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Z:\REVISÃO\Concessionárias de Distribuição\2022\07 - D64 - Nova Palma\Versão Final\Estrutura\"/>
    </mc:Choice>
  </mc:AlternateContent>
  <xr:revisionPtr revIDLastSave="0" documentId="13_ncr:1_{EBD9AA21-E812-41F1-98FF-2AA13CE929BE}" xr6:coauthVersionLast="47" xr6:coauthVersionMax="47" xr10:uidLastSave="{00000000-0000-0000-0000-000000000000}"/>
  <bookViews>
    <workbookView xWindow="1020" yWindow="-108" windowWidth="22128" windowHeight="13176" tabRatio="901" firstSheet="16" activeTab="16" xr2:uid="{5C94C7E4-DD25-47EC-B853-14C2FE447856}"/>
  </bookViews>
  <sheets>
    <sheet name="Mercado_Receita" sheetId="1" r:id="rId1"/>
    <sheet name="EVENTOS" sheetId="2" r:id="rId2"/>
    <sheet name="TAR FIN" sheetId="113" r:id="rId3"/>
    <sheet name="MERCADO TUSD" sheetId="3" r:id="rId4"/>
    <sheet name="MERCADO TE" sheetId="4" r:id="rId5"/>
    <sheet name="CUSTOS" sheetId="5" r:id="rId6"/>
    <sheet name="TRANSICAO" sheetId="112" r:id="rId7"/>
    <sheet name="TR TUSD" sheetId="104" r:id="rId8"/>
    <sheet name="TUSD BE" sheetId="105" r:id="rId9"/>
    <sheet name="TUSD BF" sheetId="106" r:id="rId10"/>
    <sheet name="TUSD CVA" sheetId="107" r:id="rId11"/>
    <sheet name="TR TE" sheetId="108" r:id="rId12"/>
    <sheet name="TE BE" sheetId="109" r:id="rId13"/>
    <sheet name="TE BF" sheetId="110" r:id="rId14"/>
    <sheet name="TE CVA" sheetId="111" r:id="rId15"/>
    <sheet name="EFEITO" sheetId="114" r:id="rId16"/>
    <sheet name="SUBSIDIO" sheetId="115" r:id="rId17"/>
    <sheet name="TabDinEfeito" sheetId="116" r:id="rId18"/>
    <sheet name="TabDinSubsidio" sheetId="117" r:id="rId19"/>
    <sheet name="TABELAS REH" sheetId="130" r:id="rId20"/>
    <sheet name="CONSISTENCIA" sheetId="118" r:id="rId21"/>
    <sheet name="TUSD" sheetId="124" r:id="rId22"/>
    <sheet name="TE" sheetId="125" r:id="rId23"/>
    <sheet name="RESUMO TUSD" sheetId="126" r:id="rId24"/>
    <sheet name="RESUMO TE" sheetId="127" r:id="rId25"/>
    <sheet name="TUSD BF_350" sheetId="120" r:id="rId26"/>
    <sheet name="TE BF_350" sheetId="121" r:id="rId27"/>
    <sheet name="EFEITO_350" sheetId="122" r:id="rId28"/>
    <sheet name="TarifaMedia" sheetId="119" r:id="rId29"/>
    <sheet name="TABELAS REH_350" sheetId="128" r:id="rId30"/>
    <sheet name="TabDinEfeito_350" sheetId="134" r:id="rId31"/>
    <sheet name="Descontos" sheetId="20" r:id="rId32"/>
    <sheet name="ERD" sheetId="129" r:id="rId33"/>
    <sheet name="TA - Aplicação" sheetId="131" r:id="rId34"/>
    <sheet name="TA - BE" sheetId="132" r:id="rId35"/>
    <sheet name="TA - CVA" sheetId="133" r:id="rId36"/>
  </sheets>
  <definedNames>
    <definedName name="_xlnm._FilterDatabase" localSheetId="20" hidden="1">CONSISTENCIA!$A$1:$W$666</definedName>
    <definedName name="_xlnm._FilterDatabase" localSheetId="15" hidden="1">EFEITO!$A$1:$U$666</definedName>
    <definedName name="_xlnm._FilterDatabase" localSheetId="27" hidden="1">EFEITO_350!$A$1:$U$666</definedName>
    <definedName name="_xlnm._FilterDatabase" localSheetId="0" hidden="1">Mercado_Receita!$A$1:$W$666</definedName>
    <definedName name="_xlnm._FilterDatabase" localSheetId="16" hidden="1">SUBSIDIO!$A$1:$U$303</definedName>
    <definedName name="DadosExternos_1" localSheetId="33" hidden="1">'TA - Aplicação'!$B$3:$AR$53</definedName>
    <definedName name="DadosExternos_1" localSheetId="34" hidden="1">'TA - BE'!$B$3:$AR$53</definedName>
    <definedName name="DadosExternos_1" localSheetId="35" hidden="1">'TA - CVA'!$B$3:$AR$53</definedName>
  </definedNames>
  <calcPr calcId="191029" iterate="1"/>
  <pivotCaches>
    <pivotCache cacheId="0" r:id="rId37"/>
    <pivotCache cacheId="1" r:id="rId38"/>
    <pivotCache cacheId="22" r:id="rId3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130" l="1"/>
  <c r="V32" i="130"/>
  <c r="V31" i="130"/>
  <c r="V30" i="130"/>
  <c r="V29" i="130"/>
  <c r="V28" i="130"/>
  <c r="V27" i="130"/>
  <c r="V26" i="130"/>
  <c r="V21" i="130"/>
  <c r="V16" i="130"/>
  <c r="V25" i="130"/>
  <c r="V20" i="130"/>
  <c r="V15" i="130"/>
  <c r="V24" i="130"/>
  <c r="V23" i="130"/>
  <c r="V22" i="130"/>
  <c r="V19" i="130"/>
  <c r="V18" i="130"/>
  <c r="V17" i="130"/>
  <c r="V14" i="130"/>
  <c r="V13" i="130"/>
  <c r="V12" i="130"/>
  <c r="V11" i="130"/>
  <c r="V9" i="130"/>
  <c r="V10" i="130"/>
  <c r="V8" i="130"/>
  <c r="V7" i="130"/>
  <c r="V6" i="130"/>
  <c r="V5" i="130"/>
  <c r="J11" i="130"/>
  <c r="J10" i="130"/>
  <c r="J6" i="130"/>
  <c r="J5" i="130"/>
  <c r="I3" i="129"/>
  <c r="I2" i="129" s="1"/>
  <c r="B2" i="129"/>
  <c r="C2" i="129"/>
  <c r="D2" i="129"/>
  <c r="E2" i="129"/>
  <c r="F2" i="129"/>
  <c r="G2" i="129"/>
  <c r="H2" i="129"/>
  <c r="J2" i="129"/>
  <c r="K2" i="129"/>
  <c r="L2" i="129"/>
  <c r="B11" i="129"/>
  <c r="L5" i="127" l="1"/>
  <c r="K5" i="127"/>
  <c r="J5" i="127"/>
  <c r="I5" i="127"/>
  <c r="H5" i="127"/>
  <c r="G5" i="127"/>
  <c r="F5" i="127"/>
  <c r="E5" i="127"/>
  <c r="D5" i="127"/>
  <c r="C5" i="127"/>
  <c r="B5" i="127"/>
  <c r="I2" i="127"/>
  <c r="W5" i="126"/>
  <c r="V5" i="126"/>
  <c r="U5" i="126"/>
  <c r="T5" i="126"/>
  <c r="S5" i="126"/>
  <c r="R5" i="126"/>
  <c r="Q5" i="126"/>
  <c r="P5" i="126"/>
  <c r="O5" i="126"/>
  <c r="N5" i="126"/>
  <c r="M5" i="126"/>
  <c r="L5" i="126"/>
  <c r="K5" i="126"/>
  <c r="J5" i="126"/>
  <c r="I5" i="126"/>
  <c r="H5" i="126"/>
  <c r="G5" i="126"/>
  <c r="F5" i="126"/>
  <c r="E5" i="126"/>
  <c r="D5" i="126"/>
  <c r="C5" i="126"/>
  <c r="B5" i="126"/>
  <c r="I2" i="126"/>
  <c r="U10" i="125"/>
  <c r="U9" i="125"/>
  <c r="U7" i="125"/>
  <c r="AB11" i="124"/>
  <c r="AB10" i="124"/>
  <c r="AB9" i="124"/>
  <c r="AE667" i="122"/>
  <c r="X667" i="122"/>
  <c r="AD667" i="122" s="1"/>
  <c r="W667" i="122"/>
  <c r="AC667" i="122" s="1"/>
  <c r="V667" i="122"/>
  <c r="AB667" i="122" s="1"/>
  <c r="AE666" i="122"/>
  <c r="X666" i="122"/>
  <c r="AD666" i="122" s="1"/>
  <c r="W666" i="122"/>
  <c r="AC666" i="122" s="1"/>
  <c r="V666" i="122"/>
  <c r="AB666" i="122" s="1"/>
  <c r="AE665" i="122"/>
  <c r="AB665" i="122"/>
  <c r="X665" i="122"/>
  <c r="AD665" i="122" s="1"/>
  <c r="W665" i="122"/>
  <c r="AC665" i="122" s="1"/>
  <c r="V665" i="122"/>
  <c r="AE664" i="122"/>
  <c r="X664" i="122"/>
  <c r="AD664" i="122" s="1"/>
  <c r="W664" i="122"/>
  <c r="AC664" i="122" s="1"/>
  <c r="V664" i="122"/>
  <c r="AB664" i="122" s="1"/>
  <c r="AE663" i="122"/>
  <c r="X663" i="122"/>
  <c r="AD663" i="122" s="1"/>
  <c r="W663" i="122"/>
  <c r="AC663" i="122" s="1"/>
  <c r="V663" i="122"/>
  <c r="AB663" i="122" s="1"/>
  <c r="AE662" i="122"/>
  <c r="AD662" i="122"/>
  <c r="X662" i="122"/>
  <c r="W662" i="122"/>
  <c r="AC662" i="122" s="1"/>
  <c r="V662" i="122"/>
  <c r="AB662" i="122" s="1"/>
  <c r="AE661" i="122"/>
  <c r="AC661" i="122"/>
  <c r="AB661" i="122"/>
  <c r="X661" i="122"/>
  <c r="AD661" i="122" s="1"/>
  <c r="W661" i="122"/>
  <c r="V661" i="122"/>
  <c r="AE660" i="122"/>
  <c r="X660" i="122"/>
  <c r="AD660" i="122" s="1"/>
  <c r="W660" i="122"/>
  <c r="AC660" i="122" s="1"/>
  <c r="V660" i="122"/>
  <c r="AB660" i="122" s="1"/>
  <c r="AE659" i="122"/>
  <c r="X659" i="122"/>
  <c r="AD659" i="122" s="1"/>
  <c r="W659" i="122"/>
  <c r="AC659" i="122" s="1"/>
  <c r="V659" i="122"/>
  <c r="AB659" i="122" s="1"/>
  <c r="AE658" i="122"/>
  <c r="AD658" i="122"/>
  <c r="AB658" i="122"/>
  <c r="X658" i="122"/>
  <c r="W658" i="122"/>
  <c r="AC658" i="122" s="1"/>
  <c r="V658" i="122"/>
  <c r="AE657" i="122"/>
  <c r="AB657" i="122"/>
  <c r="X657" i="122"/>
  <c r="AD657" i="122" s="1"/>
  <c r="W657" i="122"/>
  <c r="AC657" i="122" s="1"/>
  <c r="V657" i="122"/>
  <c r="AE656" i="122"/>
  <c r="X656" i="122"/>
  <c r="AD656" i="122" s="1"/>
  <c r="W656" i="122"/>
  <c r="AC656" i="122" s="1"/>
  <c r="V656" i="122"/>
  <c r="AB656" i="122" s="1"/>
  <c r="AE655" i="122"/>
  <c r="X655" i="122"/>
  <c r="AD655" i="122" s="1"/>
  <c r="W655" i="122"/>
  <c r="AC655" i="122" s="1"/>
  <c r="V655" i="122"/>
  <c r="AB655" i="122" s="1"/>
  <c r="AE654" i="122"/>
  <c r="AB654" i="122"/>
  <c r="X654" i="122"/>
  <c r="AD654" i="122" s="1"/>
  <c r="W654" i="122"/>
  <c r="AC654" i="122" s="1"/>
  <c r="V654" i="122"/>
  <c r="AE653" i="122"/>
  <c r="X653" i="122"/>
  <c r="AD653" i="122" s="1"/>
  <c r="W653" i="122"/>
  <c r="AC653" i="122" s="1"/>
  <c r="V653" i="122"/>
  <c r="AB653" i="122" s="1"/>
  <c r="AE652" i="122"/>
  <c r="AB652" i="122"/>
  <c r="X652" i="122"/>
  <c r="AD652" i="122" s="1"/>
  <c r="W652" i="122"/>
  <c r="AC652" i="122" s="1"/>
  <c r="V652" i="122"/>
  <c r="AE651" i="122"/>
  <c r="AC651" i="122"/>
  <c r="X651" i="122"/>
  <c r="AD651" i="122" s="1"/>
  <c r="W651" i="122"/>
  <c r="V651" i="122"/>
  <c r="AB651" i="122" s="1"/>
  <c r="AE650" i="122"/>
  <c r="X650" i="122"/>
  <c r="AD650" i="122" s="1"/>
  <c r="W650" i="122"/>
  <c r="AC650" i="122" s="1"/>
  <c r="V650" i="122"/>
  <c r="AB650" i="122" s="1"/>
  <c r="AE649" i="122"/>
  <c r="X649" i="122"/>
  <c r="AD649" i="122" s="1"/>
  <c r="W649" i="122"/>
  <c r="AC649" i="122" s="1"/>
  <c r="V649" i="122"/>
  <c r="AB649" i="122" s="1"/>
  <c r="AE648" i="122"/>
  <c r="AC648" i="122"/>
  <c r="X648" i="122"/>
  <c r="AD648" i="122" s="1"/>
  <c r="W648" i="122"/>
  <c r="V648" i="122"/>
  <c r="AB648" i="122" s="1"/>
  <c r="AE647" i="122"/>
  <c r="X647" i="122"/>
  <c r="AD647" i="122" s="1"/>
  <c r="W647" i="122"/>
  <c r="AC647" i="122" s="1"/>
  <c r="V647" i="122"/>
  <c r="AB647" i="122" s="1"/>
  <c r="AE646" i="122"/>
  <c r="AD646" i="122"/>
  <c r="X646" i="122"/>
  <c r="W646" i="122"/>
  <c r="AC646" i="122" s="1"/>
  <c r="V646" i="122"/>
  <c r="AB646" i="122" s="1"/>
  <c r="AE645" i="122"/>
  <c r="X645" i="122"/>
  <c r="AD645" i="122" s="1"/>
  <c r="W645" i="122"/>
  <c r="AC645" i="122" s="1"/>
  <c r="V645" i="122"/>
  <c r="AB645" i="122" s="1"/>
  <c r="AE644" i="122"/>
  <c r="AC644" i="122"/>
  <c r="AB644" i="122"/>
  <c r="X644" i="122"/>
  <c r="AD644" i="122" s="1"/>
  <c r="W644" i="122"/>
  <c r="V644" i="122"/>
  <c r="AE643" i="122"/>
  <c r="X643" i="122"/>
  <c r="AD643" i="122" s="1"/>
  <c r="W643" i="122"/>
  <c r="AC643" i="122" s="1"/>
  <c r="V643" i="122"/>
  <c r="AB643" i="122" s="1"/>
  <c r="AE642" i="122"/>
  <c r="X642" i="122"/>
  <c r="AD642" i="122" s="1"/>
  <c r="W642" i="122"/>
  <c r="AC642" i="122" s="1"/>
  <c r="V642" i="122"/>
  <c r="AB642" i="122" s="1"/>
  <c r="AE641" i="122"/>
  <c r="AC641" i="122"/>
  <c r="X641" i="122"/>
  <c r="AD641" i="122" s="1"/>
  <c r="W641" i="122"/>
  <c r="V641" i="122"/>
  <c r="AB641" i="122" s="1"/>
  <c r="AE640" i="122"/>
  <c r="AC640" i="122"/>
  <c r="AB640" i="122"/>
  <c r="X640" i="122"/>
  <c r="AD640" i="122" s="1"/>
  <c r="W640" i="122"/>
  <c r="V640" i="122"/>
  <c r="AE639" i="122"/>
  <c r="X639" i="122"/>
  <c r="AD639" i="122" s="1"/>
  <c r="W639" i="122"/>
  <c r="AC639" i="122" s="1"/>
  <c r="V639" i="122"/>
  <c r="AB639" i="122" s="1"/>
  <c r="AE638" i="122"/>
  <c r="X638" i="122"/>
  <c r="AD638" i="122" s="1"/>
  <c r="W638" i="122"/>
  <c r="AC638" i="122" s="1"/>
  <c r="V638" i="122"/>
  <c r="AB638" i="122" s="1"/>
  <c r="AE637" i="122"/>
  <c r="AC637" i="122"/>
  <c r="AB637" i="122"/>
  <c r="X637" i="122"/>
  <c r="AD637" i="122" s="1"/>
  <c r="W637" i="122"/>
  <c r="V637" i="122"/>
  <c r="AE636" i="122"/>
  <c r="X636" i="122"/>
  <c r="AD636" i="122" s="1"/>
  <c r="W636" i="122"/>
  <c r="AC636" i="122" s="1"/>
  <c r="V636" i="122"/>
  <c r="AB636" i="122" s="1"/>
  <c r="AE635" i="122"/>
  <c r="X635" i="122"/>
  <c r="AD635" i="122" s="1"/>
  <c r="W635" i="122"/>
  <c r="AC635" i="122" s="1"/>
  <c r="V635" i="122"/>
  <c r="AB635" i="122" s="1"/>
  <c r="AE634" i="122"/>
  <c r="AD634" i="122"/>
  <c r="X634" i="122"/>
  <c r="W634" i="122"/>
  <c r="AC634" i="122" s="1"/>
  <c r="V634" i="122"/>
  <c r="AB634" i="122" s="1"/>
  <c r="AE633" i="122"/>
  <c r="AB633" i="122"/>
  <c r="X633" i="122"/>
  <c r="AD633" i="122" s="1"/>
  <c r="W633" i="122"/>
  <c r="AC633" i="122" s="1"/>
  <c r="V633" i="122"/>
  <c r="AE632" i="122"/>
  <c r="X632" i="122"/>
  <c r="AD632" i="122" s="1"/>
  <c r="W632" i="122"/>
  <c r="AC632" i="122" s="1"/>
  <c r="V632" i="122"/>
  <c r="AB632" i="122" s="1"/>
  <c r="AE631" i="122"/>
  <c r="X631" i="122"/>
  <c r="AD631" i="122" s="1"/>
  <c r="W631" i="122"/>
  <c r="AC631" i="122" s="1"/>
  <c r="V631" i="122"/>
  <c r="AB631" i="122" s="1"/>
  <c r="AE630" i="122"/>
  <c r="AD630" i="122"/>
  <c r="AB630" i="122"/>
  <c r="X630" i="122"/>
  <c r="W630" i="122"/>
  <c r="AC630" i="122" s="1"/>
  <c r="V630" i="122"/>
  <c r="AE629" i="122"/>
  <c r="X629" i="122"/>
  <c r="AD629" i="122" s="1"/>
  <c r="W629" i="122"/>
  <c r="AC629" i="122" s="1"/>
  <c r="V629" i="122"/>
  <c r="AB629" i="122" s="1"/>
  <c r="AE628" i="122"/>
  <c r="X628" i="122"/>
  <c r="AD628" i="122" s="1"/>
  <c r="W628" i="122"/>
  <c r="AC628" i="122" s="1"/>
  <c r="V628" i="122"/>
  <c r="AB628" i="122" s="1"/>
  <c r="AE627" i="122"/>
  <c r="X627" i="122"/>
  <c r="AD627" i="122" s="1"/>
  <c r="W627" i="122"/>
  <c r="AC627" i="122" s="1"/>
  <c r="V627" i="122"/>
  <c r="AB627" i="122" s="1"/>
  <c r="AE626" i="122"/>
  <c r="AB626" i="122"/>
  <c r="X626" i="122"/>
  <c r="AD626" i="122" s="1"/>
  <c r="W626" i="122"/>
  <c r="AC626" i="122" s="1"/>
  <c r="V626" i="122"/>
  <c r="AE625" i="122"/>
  <c r="X625" i="122"/>
  <c r="AD625" i="122" s="1"/>
  <c r="W625" i="122"/>
  <c r="AC625" i="122" s="1"/>
  <c r="V625" i="122"/>
  <c r="AB625" i="122" s="1"/>
  <c r="AE624" i="122"/>
  <c r="AC624" i="122"/>
  <c r="X624" i="122"/>
  <c r="AD624" i="122" s="1"/>
  <c r="W624" i="122"/>
  <c r="V624" i="122"/>
  <c r="AB624" i="122" s="1"/>
  <c r="AE623" i="122"/>
  <c r="AC623" i="122"/>
  <c r="X623" i="122"/>
  <c r="AD623" i="122" s="1"/>
  <c r="W623" i="122"/>
  <c r="V623" i="122"/>
  <c r="AB623" i="122" s="1"/>
  <c r="AE622" i="122"/>
  <c r="X622" i="122"/>
  <c r="AD622" i="122" s="1"/>
  <c r="W622" i="122"/>
  <c r="AC622" i="122" s="1"/>
  <c r="V622" i="122"/>
  <c r="AB622" i="122" s="1"/>
  <c r="AE621" i="122"/>
  <c r="X621" i="122"/>
  <c r="AD621" i="122" s="1"/>
  <c r="W621" i="122"/>
  <c r="AC621" i="122" s="1"/>
  <c r="V621" i="122"/>
  <c r="AB621" i="122" s="1"/>
  <c r="AE620" i="122"/>
  <c r="AC620" i="122"/>
  <c r="X620" i="122"/>
  <c r="AD620" i="122" s="1"/>
  <c r="W620" i="122"/>
  <c r="V620" i="122"/>
  <c r="AB620" i="122" s="1"/>
  <c r="AE619" i="122"/>
  <c r="AC619" i="122"/>
  <c r="X619" i="122"/>
  <c r="AD619" i="122" s="1"/>
  <c r="W619" i="122"/>
  <c r="V619" i="122"/>
  <c r="AB619" i="122" s="1"/>
  <c r="AE618" i="122"/>
  <c r="X618" i="122"/>
  <c r="AD618" i="122" s="1"/>
  <c r="W618" i="122"/>
  <c r="AC618" i="122" s="1"/>
  <c r="V618" i="122"/>
  <c r="AB618" i="122" s="1"/>
  <c r="AE617" i="122"/>
  <c r="X617" i="122"/>
  <c r="AD617" i="122" s="1"/>
  <c r="W617" i="122"/>
  <c r="AC617" i="122" s="1"/>
  <c r="V617" i="122"/>
  <c r="AB617" i="122" s="1"/>
  <c r="AE616" i="122"/>
  <c r="AC616" i="122"/>
  <c r="X616" i="122"/>
  <c r="AD616" i="122" s="1"/>
  <c r="W616" i="122"/>
  <c r="V616" i="122"/>
  <c r="AB616" i="122" s="1"/>
  <c r="AE615" i="122"/>
  <c r="X615" i="122"/>
  <c r="AD615" i="122" s="1"/>
  <c r="W615" i="122"/>
  <c r="AC615" i="122" s="1"/>
  <c r="V615" i="122"/>
  <c r="AB615" i="122" s="1"/>
  <c r="AE614" i="122"/>
  <c r="X614" i="122"/>
  <c r="AD614" i="122" s="1"/>
  <c r="W614" i="122"/>
  <c r="AC614" i="122" s="1"/>
  <c r="V614" i="122"/>
  <c r="AB614" i="122" s="1"/>
  <c r="AE613" i="122"/>
  <c r="X613" i="122"/>
  <c r="AD613" i="122" s="1"/>
  <c r="W613" i="122"/>
  <c r="AC613" i="122" s="1"/>
  <c r="V613" i="122"/>
  <c r="AB613" i="122" s="1"/>
  <c r="AE612" i="122"/>
  <c r="AC612" i="122"/>
  <c r="AB612" i="122"/>
  <c r="X612" i="122"/>
  <c r="AD612" i="122" s="1"/>
  <c r="W612" i="122"/>
  <c r="V612" i="122"/>
  <c r="AE611" i="122"/>
  <c r="X611" i="122"/>
  <c r="AD611" i="122" s="1"/>
  <c r="W611" i="122"/>
  <c r="AC611" i="122" s="1"/>
  <c r="V611" i="122"/>
  <c r="AB611" i="122" s="1"/>
  <c r="AE610" i="122"/>
  <c r="X610" i="122"/>
  <c r="AD610" i="122" s="1"/>
  <c r="W610" i="122"/>
  <c r="AC610" i="122" s="1"/>
  <c r="V610" i="122"/>
  <c r="AB610" i="122" s="1"/>
  <c r="AE609" i="122"/>
  <c r="AC609" i="122"/>
  <c r="X609" i="122"/>
  <c r="AD609" i="122" s="1"/>
  <c r="W609" i="122"/>
  <c r="V609" i="122"/>
  <c r="AB609" i="122" s="1"/>
  <c r="AE608" i="122"/>
  <c r="AB608" i="122"/>
  <c r="X608" i="122"/>
  <c r="AD608" i="122" s="1"/>
  <c r="W608" i="122"/>
  <c r="AC608" i="122" s="1"/>
  <c r="V608" i="122"/>
  <c r="AE607" i="122"/>
  <c r="X607" i="122"/>
  <c r="AD607" i="122" s="1"/>
  <c r="W607" i="122"/>
  <c r="AC607" i="122" s="1"/>
  <c r="V607" i="122"/>
  <c r="AB607" i="122" s="1"/>
  <c r="AE606" i="122"/>
  <c r="X606" i="122"/>
  <c r="AD606" i="122" s="1"/>
  <c r="W606" i="122"/>
  <c r="AC606" i="122" s="1"/>
  <c r="V606" i="122"/>
  <c r="AB606" i="122" s="1"/>
  <c r="AE605" i="122"/>
  <c r="AC605" i="122"/>
  <c r="AB605" i="122"/>
  <c r="X605" i="122"/>
  <c r="AD605" i="122" s="1"/>
  <c r="W605" i="122"/>
  <c r="V605" i="122"/>
  <c r="AE604" i="122"/>
  <c r="X604" i="122"/>
  <c r="AD604" i="122" s="1"/>
  <c r="W604" i="122"/>
  <c r="AC604" i="122" s="1"/>
  <c r="V604" i="122"/>
  <c r="AB604" i="122" s="1"/>
  <c r="AE603" i="122"/>
  <c r="X603" i="122"/>
  <c r="AD603" i="122" s="1"/>
  <c r="W603" i="122"/>
  <c r="AC603" i="122" s="1"/>
  <c r="V603" i="122"/>
  <c r="AB603" i="122" s="1"/>
  <c r="AE602" i="122"/>
  <c r="AD602" i="122"/>
  <c r="X602" i="122"/>
  <c r="W602" i="122"/>
  <c r="AC602" i="122" s="1"/>
  <c r="V602" i="122"/>
  <c r="AB602" i="122" s="1"/>
  <c r="AE601" i="122"/>
  <c r="AB601" i="122"/>
  <c r="X601" i="122"/>
  <c r="AD601" i="122" s="1"/>
  <c r="W601" i="122"/>
  <c r="AC601" i="122" s="1"/>
  <c r="V601" i="122"/>
  <c r="AE600" i="122"/>
  <c r="X600" i="122"/>
  <c r="AD600" i="122" s="1"/>
  <c r="W600" i="122"/>
  <c r="AC600" i="122" s="1"/>
  <c r="V600" i="122"/>
  <c r="AB600" i="122" s="1"/>
  <c r="AE599" i="122"/>
  <c r="X599" i="122"/>
  <c r="AD599" i="122" s="1"/>
  <c r="W599" i="122"/>
  <c r="AC599" i="122" s="1"/>
  <c r="V599" i="122"/>
  <c r="AB599" i="122" s="1"/>
  <c r="AE598" i="122"/>
  <c r="AD598" i="122"/>
  <c r="AB598" i="122"/>
  <c r="X598" i="122"/>
  <c r="W598" i="122"/>
  <c r="AC598" i="122" s="1"/>
  <c r="V598" i="122"/>
  <c r="AE597" i="122"/>
  <c r="X597" i="122"/>
  <c r="AD597" i="122" s="1"/>
  <c r="W597" i="122"/>
  <c r="AC597" i="122" s="1"/>
  <c r="V597" i="122"/>
  <c r="AB597" i="122" s="1"/>
  <c r="AE596" i="122"/>
  <c r="AC596" i="122"/>
  <c r="X596" i="122"/>
  <c r="AD596" i="122" s="1"/>
  <c r="W596" i="122"/>
  <c r="V596" i="122"/>
  <c r="AB596" i="122" s="1"/>
  <c r="AE595" i="122"/>
  <c r="AC595" i="122"/>
  <c r="X595" i="122"/>
  <c r="AD595" i="122" s="1"/>
  <c r="W595" i="122"/>
  <c r="V595" i="122"/>
  <c r="AB595" i="122" s="1"/>
  <c r="AE594" i="122"/>
  <c r="AB594" i="122"/>
  <c r="X594" i="122"/>
  <c r="AD594" i="122" s="1"/>
  <c r="W594" i="122"/>
  <c r="AC594" i="122" s="1"/>
  <c r="V594" i="122"/>
  <c r="AE593" i="122"/>
  <c r="X593" i="122"/>
  <c r="AD593" i="122" s="1"/>
  <c r="W593" i="122"/>
  <c r="AC593" i="122" s="1"/>
  <c r="V593" i="122"/>
  <c r="AB593" i="122" s="1"/>
  <c r="AE592" i="122"/>
  <c r="AC592" i="122"/>
  <c r="X592" i="122"/>
  <c r="AD592" i="122" s="1"/>
  <c r="W592" i="122"/>
  <c r="V592" i="122"/>
  <c r="AB592" i="122" s="1"/>
  <c r="AE591" i="122"/>
  <c r="AC591" i="122"/>
  <c r="X591" i="122"/>
  <c r="AD591" i="122" s="1"/>
  <c r="W591" i="122"/>
  <c r="V591" i="122"/>
  <c r="AB591" i="122" s="1"/>
  <c r="AE590" i="122"/>
  <c r="X590" i="122"/>
  <c r="AD590" i="122" s="1"/>
  <c r="W590" i="122"/>
  <c r="AC590" i="122" s="1"/>
  <c r="V590" i="122"/>
  <c r="AB590" i="122" s="1"/>
  <c r="AE589" i="122"/>
  <c r="X589" i="122"/>
  <c r="AD589" i="122" s="1"/>
  <c r="W589" i="122"/>
  <c r="AC589" i="122" s="1"/>
  <c r="V589" i="122"/>
  <c r="AB589" i="122" s="1"/>
  <c r="AE588" i="122"/>
  <c r="AC588" i="122"/>
  <c r="X588" i="122"/>
  <c r="AD588" i="122" s="1"/>
  <c r="W588" i="122"/>
  <c r="V588" i="122"/>
  <c r="AB588" i="122" s="1"/>
  <c r="AE587" i="122"/>
  <c r="AC587" i="122"/>
  <c r="X587" i="122"/>
  <c r="AD587" i="122" s="1"/>
  <c r="W587" i="122"/>
  <c r="V587" i="122"/>
  <c r="AB587" i="122" s="1"/>
  <c r="AE586" i="122"/>
  <c r="X586" i="122"/>
  <c r="AD586" i="122" s="1"/>
  <c r="W586" i="122"/>
  <c r="AC586" i="122" s="1"/>
  <c r="V586" i="122"/>
  <c r="AB586" i="122" s="1"/>
  <c r="AE585" i="122"/>
  <c r="X585" i="122"/>
  <c r="AD585" i="122" s="1"/>
  <c r="W585" i="122"/>
  <c r="AC585" i="122" s="1"/>
  <c r="V585" i="122"/>
  <c r="AB585" i="122" s="1"/>
  <c r="AE584" i="122"/>
  <c r="AC584" i="122"/>
  <c r="X584" i="122"/>
  <c r="AD584" i="122" s="1"/>
  <c r="W584" i="122"/>
  <c r="V584" i="122"/>
  <c r="AB584" i="122" s="1"/>
  <c r="AE583" i="122"/>
  <c r="X583" i="122"/>
  <c r="AD583" i="122" s="1"/>
  <c r="W583" i="122"/>
  <c r="AC583" i="122" s="1"/>
  <c r="V583" i="122"/>
  <c r="AB583" i="122" s="1"/>
  <c r="AE582" i="122"/>
  <c r="X582" i="122"/>
  <c r="AD582" i="122" s="1"/>
  <c r="W582" i="122"/>
  <c r="AC582" i="122" s="1"/>
  <c r="V582" i="122"/>
  <c r="AB582" i="122" s="1"/>
  <c r="AE581" i="122"/>
  <c r="AC581" i="122"/>
  <c r="X581" i="122"/>
  <c r="AD581" i="122" s="1"/>
  <c r="W581" i="122"/>
  <c r="V581" i="122"/>
  <c r="AB581" i="122" s="1"/>
  <c r="AE580" i="122"/>
  <c r="AC580" i="122"/>
  <c r="AB580" i="122"/>
  <c r="X580" i="122"/>
  <c r="AD580" i="122" s="1"/>
  <c r="W580" i="122"/>
  <c r="V580" i="122"/>
  <c r="AE579" i="122"/>
  <c r="X579" i="122"/>
  <c r="AD579" i="122" s="1"/>
  <c r="W579" i="122"/>
  <c r="AC579" i="122" s="1"/>
  <c r="V579" i="122"/>
  <c r="AB579" i="122" s="1"/>
  <c r="AE578" i="122"/>
  <c r="X578" i="122"/>
  <c r="AD578" i="122" s="1"/>
  <c r="W578" i="122"/>
  <c r="AC578" i="122" s="1"/>
  <c r="V578" i="122"/>
  <c r="AB578" i="122" s="1"/>
  <c r="AE577" i="122"/>
  <c r="AC577" i="122"/>
  <c r="AB577" i="122"/>
  <c r="X577" i="122"/>
  <c r="AD577" i="122" s="1"/>
  <c r="W577" i="122"/>
  <c r="V577" i="122"/>
  <c r="AE576" i="122"/>
  <c r="X576" i="122"/>
  <c r="AD576" i="122" s="1"/>
  <c r="W576" i="122"/>
  <c r="AC576" i="122" s="1"/>
  <c r="V576" i="122"/>
  <c r="AB576" i="122" s="1"/>
  <c r="AE575" i="122"/>
  <c r="AC575" i="122"/>
  <c r="X575" i="122"/>
  <c r="AD575" i="122" s="1"/>
  <c r="W575" i="122"/>
  <c r="V575" i="122"/>
  <c r="AB575" i="122" s="1"/>
  <c r="AE574" i="122"/>
  <c r="AB574" i="122"/>
  <c r="X574" i="122"/>
  <c r="AD574" i="122" s="1"/>
  <c r="W574" i="122"/>
  <c r="AC574" i="122" s="1"/>
  <c r="V574" i="122"/>
  <c r="AE573" i="122"/>
  <c r="AB573" i="122"/>
  <c r="X573" i="122"/>
  <c r="AD573" i="122" s="1"/>
  <c r="W573" i="122"/>
  <c r="AC573" i="122" s="1"/>
  <c r="V573" i="122"/>
  <c r="AE572" i="122"/>
  <c r="X572" i="122"/>
  <c r="AD572" i="122" s="1"/>
  <c r="W572" i="122"/>
  <c r="AC572" i="122" s="1"/>
  <c r="V572" i="122"/>
  <c r="AB572" i="122" s="1"/>
  <c r="AE571" i="122"/>
  <c r="AC571" i="122"/>
  <c r="X571" i="122"/>
  <c r="AD571" i="122" s="1"/>
  <c r="W571" i="122"/>
  <c r="V571" i="122"/>
  <c r="AB571" i="122" s="1"/>
  <c r="AE570" i="122"/>
  <c r="AD570" i="122"/>
  <c r="AB570" i="122"/>
  <c r="X570" i="122"/>
  <c r="W570" i="122"/>
  <c r="AC570" i="122" s="1"/>
  <c r="V570" i="122"/>
  <c r="AE569" i="122"/>
  <c r="X569" i="122"/>
  <c r="AD569" i="122" s="1"/>
  <c r="W569" i="122"/>
  <c r="AC569" i="122" s="1"/>
  <c r="V569" i="122"/>
  <c r="AB569" i="122" s="1"/>
  <c r="AE568" i="122"/>
  <c r="AC568" i="122"/>
  <c r="X568" i="122"/>
  <c r="AD568" i="122" s="1"/>
  <c r="W568" i="122"/>
  <c r="V568" i="122"/>
  <c r="AB568" i="122" s="1"/>
  <c r="AE567" i="122"/>
  <c r="AC567" i="122"/>
  <c r="X567" i="122"/>
  <c r="AD567" i="122" s="1"/>
  <c r="W567" i="122"/>
  <c r="V567" i="122"/>
  <c r="AB567" i="122" s="1"/>
  <c r="AE566" i="122"/>
  <c r="AB566" i="122"/>
  <c r="X566" i="122"/>
  <c r="AD566" i="122" s="1"/>
  <c r="W566" i="122"/>
  <c r="AC566" i="122" s="1"/>
  <c r="V566" i="122"/>
  <c r="AE565" i="122"/>
  <c r="X565" i="122"/>
  <c r="AD565" i="122" s="1"/>
  <c r="W565" i="122"/>
  <c r="AC565" i="122" s="1"/>
  <c r="V565" i="122"/>
  <c r="AB565" i="122" s="1"/>
  <c r="AE564" i="122"/>
  <c r="AC564" i="122"/>
  <c r="X564" i="122"/>
  <c r="AD564" i="122" s="1"/>
  <c r="W564" i="122"/>
  <c r="V564" i="122"/>
  <c r="AB564" i="122" s="1"/>
  <c r="AE563" i="122"/>
  <c r="X563" i="122"/>
  <c r="AD563" i="122" s="1"/>
  <c r="W563" i="122"/>
  <c r="AC563" i="122" s="1"/>
  <c r="V563" i="122"/>
  <c r="AB563" i="122" s="1"/>
  <c r="AE562" i="122"/>
  <c r="X562" i="122"/>
  <c r="AD562" i="122" s="1"/>
  <c r="W562" i="122"/>
  <c r="AC562" i="122" s="1"/>
  <c r="V562" i="122"/>
  <c r="AB562" i="122" s="1"/>
  <c r="AE561" i="122"/>
  <c r="X561" i="122"/>
  <c r="AD561" i="122" s="1"/>
  <c r="W561" i="122"/>
  <c r="AC561" i="122" s="1"/>
  <c r="V561" i="122"/>
  <c r="AB561" i="122" s="1"/>
  <c r="AE560" i="122"/>
  <c r="AC560" i="122"/>
  <c r="AB560" i="122"/>
  <c r="X560" i="122"/>
  <c r="AD560" i="122" s="1"/>
  <c r="W560" i="122"/>
  <c r="V560" i="122"/>
  <c r="AE559" i="122"/>
  <c r="AC559" i="122"/>
  <c r="X559" i="122"/>
  <c r="AD559" i="122" s="1"/>
  <c r="W559" i="122"/>
  <c r="V559" i="122"/>
  <c r="AB559" i="122" s="1"/>
  <c r="AE558" i="122"/>
  <c r="AD558" i="122"/>
  <c r="X558" i="122"/>
  <c r="W558" i="122"/>
  <c r="AC558" i="122" s="1"/>
  <c r="V558" i="122"/>
  <c r="AB558" i="122" s="1"/>
  <c r="AE557" i="122"/>
  <c r="AC557" i="122"/>
  <c r="X557" i="122"/>
  <c r="AD557" i="122" s="1"/>
  <c r="W557" i="122"/>
  <c r="V557" i="122"/>
  <c r="AB557" i="122" s="1"/>
  <c r="AE556" i="122"/>
  <c r="AC556" i="122"/>
  <c r="AB556" i="122"/>
  <c r="X556" i="122"/>
  <c r="AD556" i="122" s="1"/>
  <c r="W556" i="122"/>
  <c r="V556" i="122"/>
  <c r="AE555" i="122"/>
  <c r="X555" i="122"/>
  <c r="AD555" i="122" s="1"/>
  <c r="W555" i="122"/>
  <c r="AC555" i="122" s="1"/>
  <c r="V555" i="122"/>
  <c r="AB555" i="122" s="1"/>
  <c r="AE554" i="122"/>
  <c r="X554" i="122"/>
  <c r="AD554" i="122" s="1"/>
  <c r="W554" i="122"/>
  <c r="AC554" i="122" s="1"/>
  <c r="V554" i="122"/>
  <c r="AB554" i="122" s="1"/>
  <c r="AE553" i="122"/>
  <c r="AC553" i="122"/>
  <c r="AB553" i="122"/>
  <c r="X553" i="122"/>
  <c r="AD553" i="122" s="1"/>
  <c r="W553" i="122"/>
  <c r="V553" i="122"/>
  <c r="AE552" i="122"/>
  <c r="AC552" i="122"/>
  <c r="AB552" i="122"/>
  <c r="X552" i="122"/>
  <c r="AD552" i="122" s="1"/>
  <c r="W552" i="122"/>
  <c r="V552" i="122"/>
  <c r="AE551" i="122"/>
  <c r="X551" i="122"/>
  <c r="AD551" i="122" s="1"/>
  <c r="W551" i="122"/>
  <c r="AC551" i="122" s="1"/>
  <c r="V551" i="122"/>
  <c r="AB551" i="122" s="1"/>
  <c r="AE550" i="122"/>
  <c r="AD550" i="122"/>
  <c r="X550" i="122"/>
  <c r="W550" i="122"/>
  <c r="AC550" i="122" s="1"/>
  <c r="V550" i="122"/>
  <c r="AB550" i="122" s="1"/>
  <c r="AE549" i="122"/>
  <c r="AC549" i="122"/>
  <c r="AB549" i="122"/>
  <c r="X549" i="122"/>
  <c r="AD549" i="122" s="1"/>
  <c r="W549" i="122"/>
  <c r="V549" i="122"/>
  <c r="AE548" i="122"/>
  <c r="AB548" i="122"/>
  <c r="X548" i="122"/>
  <c r="AD548" i="122" s="1"/>
  <c r="W548" i="122"/>
  <c r="AC548" i="122" s="1"/>
  <c r="V548" i="122"/>
  <c r="AE547" i="122"/>
  <c r="AC547" i="122"/>
  <c r="X547" i="122"/>
  <c r="AD547" i="122" s="1"/>
  <c r="W547" i="122"/>
  <c r="V547" i="122"/>
  <c r="AB547" i="122" s="1"/>
  <c r="AE546" i="122"/>
  <c r="AD546" i="122"/>
  <c r="AB546" i="122"/>
  <c r="X546" i="122"/>
  <c r="W546" i="122"/>
  <c r="AC546" i="122" s="1"/>
  <c r="V546" i="122"/>
  <c r="AE545" i="122"/>
  <c r="AC545" i="122"/>
  <c r="AB545" i="122"/>
  <c r="X545" i="122"/>
  <c r="AD545" i="122" s="1"/>
  <c r="W545" i="122"/>
  <c r="V545" i="122"/>
  <c r="AE544" i="122"/>
  <c r="X544" i="122"/>
  <c r="AD544" i="122" s="1"/>
  <c r="W544" i="122"/>
  <c r="AC544" i="122" s="1"/>
  <c r="V544" i="122"/>
  <c r="AB544" i="122" s="1"/>
  <c r="AE543" i="122"/>
  <c r="X543" i="122"/>
  <c r="AD543" i="122" s="1"/>
  <c r="W543" i="122"/>
  <c r="AC543" i="122" s="1"/>
  <c r="V543" i="122"/>
  <c r="AB543" i="122" s="1"/>
  <c r="AE542" i="122"/>
  <c r="AB542" i="122"/>
  <c r="X542" i="122"/>
  <c r="AD542" i="122" s="1"/>
  <c r="W542" i="122"/>
  <c r="AC542" i="122" s="1"/>
  <c r="V542" i="122"/>
  <c r="AE541" i="122"/>
  <c r="X541" i="122"/>
  <c r="AD541" i="122" s="1"/>
  <c r="W541" i="122"/>
  <c r="AC541" i="122" s="1"/>
  <c r="V541" i="122"/>
  <c r="AB541" i="122" s="1"/>
  <c r="AE540" i="122"/>
  <c r="X540" i="122"/>
  <c r="AD540" i="122" s="1"/>
  <c r="W540" i="122"/>
  <c r="AC540" i="122" s="1"/>
  <c r="V540" i="122"/>
  <c r="AB540" i="122" s="1"/>
  <c r="AE539" i="122"/>
  <c r="AB539" i="122"/>
  <c r="X539" i="122"/>
  <c r="AD539" i="122" s="1"/>
  <c r="W539" i="122"/>
  <c r="AC539" i="122" s="1"/>
  <c r="V539" i="122"/>
  <c r="AE538" i="122"/>
  <c r="X538" i="122"/>
  <c r="AD538" i="122" s="1"/>
  <c r="W538" i="122"/>
  <c r="AC538" i="122" s="1"/>
  <c r="V538" i="122"/>
  <c r="AB538" i="122" s="1"/>
  <c r="AE537" i="122"/>
  <c r="AC537" i="122"/>
  <c r="X537" i="122"/>
  <c r="AD537" i="122" s="1"/>
  <c r="W537" i="122"/>
  <c r="V537" i="122"/>
  <c r="AB537" i="122" s="1"/>
  <c r="AE536" i="122"/>
  <c r="AC536" i="122"/>
  <c r="X536" i="122"/>
  <c r="AD536" i="122" s="1"/>
  <c r="W536" i="122"/>
  <c r="V536" i="122"/>
  <c r="AB536" i="122" s="1"/>
  <c r="AE535" i="122"/>
  <c r="AB535" i="122"/>
  <c r="X535" i="122"/>
  <c r="AD535" i="122" s="1"/>
  <c r="W535" i="122"/>
  <c r="AC535" i="122" s="1"/>
  <c r="V535" i="122"/>
  <c r="AE534" i="122"/>
  <c r="X534" i="122"/>
  <c r="AD534" i="122" s="1"/>
  <c r="W534" i="122"/>
  <c r="AC534" i="122" s="1"/>
  <c r="V534" i="122"/>
  <c r="AB534" i="122" s="1"/>
  <c r="AE533" i="122"/>
  <c r="AD533" i="122"/>
  <c r="X533" i="122"/>
  <c r="W533" i="122"/>
  <c r="AC533" i="122" s="1"/>
  <c r="V533" i="122"/>
  <c r="AB533" i="122" s="1"/>
  <c r="AE532" i="122"/>
  <c r="X532" i="122"/>
  <c r="AD532" i="122" s="1"/>
  <c r="W532" i="122"/>
  <c r="AC532" i="122" s="1"/>
  <c r="V532" i="122"/>
  <c r="AB532" i="122" s="1"/>
  <c r="AE531" i="122"/>
  <c r="X531" i="122"/>
  <c r="AD531" i="122" s="1"/>
  <c r="W531" i="122"/>
  <c r="AC531" i="122" s="1"/>
  <c r="V531" i="122"/>
  <c r="AB531" i="122" s="1"/>
  <c r="AE530" i="122"/>
  <c r="AB530" i="122"/>
  <c r="X530" i="122"/>
  <c r="AD530" i="122" s="1"/>
  <c r="W530" i="122"/>
  <c r="AC530" i="122" s="1"/>
  <c r="V530" i="122"/>
  <c r="AE529" i="122"/>
  <c r="AB529" i="122"/>
  <c r="X529" i="122"/>
  <c r="AD529" i="122" s="1"/>
  <c r="W529" i="122"/>
  <c r="AC529" i="122" s="1"/>
  <c r="V529" i="122"/>
  <c r="AE528" i="122"/>
  <c r="AD528" i="122"/>
  <c r="X528" i="122"/>
  <c r="W528" i="122"/>
  <c r="AC528" i="122" s="1"/>
  <c r="V528" i="122"/>
  <c r="AB528" i="122" s="1"/>
  <c r="AE527" i="122"/>
  <c r="AD527" i="122"/>
  <c r="X527" i="122"/>
  <c r="W527" i="122"/>
  <c r="AC527" i="122" s="1"/>
  <c r="V527" i="122"/>
  <c r="AB527" i="122" s="1"/>
  <c r="AE526" i="122"/>
  <c r="AC526" i="122"/>
  <c r="AB526" i="122"/>
  <c r="X526" i="122"/>
  <c r="AD526" i="122" s="1"/>
  <c r="W526" i="122"/>
  <c r="V526" i="122"/>
  <c r="AE525" i="122"/>
  <c r="AC525" i="122"/>
  <c r="X525" i="122"/>
  <c r="AD525" i="122" s="1"/>
  <c r="W525" i="122"/>
  <c r="V525" i="122"/>
  <c r="AB525" i="122" s="1"/>
  <c r="AE524" i="122"/>
  <c r="AD524" i="122"/>
  <c r="X524" i="122"/>
  <c r="W524" i="122"/>
  <c r="AC524" i="122" s="1"/>
  <c r="V524" i="122"/>
  <c r="AB524" i="122" s="1"/>
  <c r="AE523" i="122"/>
  <c r="X523" i="122"/>
  <c r="AD523" i="122" s="1"/>
  <c r="W523" i="122"/>
  <c r="AC523" i="122" s="1"/>
  <c r="V523" i="122"/>
  <c r="AB523" i="122" s="1"/>
  <c r="AE522" i="122"/>
  <c r="X522" i="122"/>
  <c r="AD522" i="122" s="1"/>
  <c r="W522" i="122"/>
  <c r="AC522" i="122" s="1"/>
  <c r="V522" i="122"/>
  <c r="AB522" i="122" s="1"/>
  <c r="AE521" i="122"/>
  <c r="AC521" i="122"/>
  <c r="X521" i="122"/>
  <c r="AD521" i="122" s="1"/>
  <c r="W521" i="122"/>
  <c r="V521" i="122"/>
  <c r="AB521" i="122" s="1"/>
  <c r="AE520" i="122"/>
  <c r="AC520" i="122"/>
  <c r="X520" i="122"/>
  <c r="AD520" i="122" s="1"/>
  <c r="W520" i="122"/>
  <c r="V520" i="122"/>
  <c r="AB520" i="122" s="1"/>
  <c r="AE519" i="122"/>
  <c r="AB519" i="122"/>
  <c r="X519" i="122"/>
  <c r="AD519" i="122" s="1"/>
  <c r="W519" i="122"/>
  <c r="AC519" i="122" s="1"/>
  <c r="V519" i="122"/>
  <c r="AE518" i="122"/>
  <c r="X518" i="122"/>
  <c r="AD518" i="122" s="1"/>
  <c r="W518" i="122"/>
  <c r="AC518" i="122" s="1"/>
  <c r="V518" i="122"/>
  <c r="AB518" i="122" s="1"/>
  <c r="AE517" i="122"/>
  <c r="AD517" i="122"/>
  <c r="X517" i="122"/>
  <c r="W517" i="122"/>
  <c r="AC517" i="122" s="1"/>
  <c r="V517" i="122"/>
  <c r="AB517" i="122" s="1"/>
  <c r="AE516" i="122"/>
  <c r="X516" i="122"/>
  <c r="AD516" i="122" s="1"/>
  <c r="W516" i="122"/>
  <c r="AC516" i="122" s="1"/>
  <c r="V516" i="122"/>
  <c r="AB516" i="122" s="1"/>
  <c r="AE515" i="122"/>
  <c r="X515" i="122"/>
  <c r="AD515" i="122" s="1"/>
  <c r="W515" i="122"/>
  <c r="AC515" i="122" s="1"/>
  <c r="V515" i="122"/>
  <c r="AB515" i="122" s="1"/>
  <c r="AE514" i="122"/>
  <c r="AB514" i="122"/>
  <c r="X514" i="122"/>
  <c r="AD514" i="122" s="1"/>
  <c r="W514" i="122"/>
  <c r="AC514" i="122" s="1"/>
  <c r="V514" i="122"/>
  <c r="AE513" i="122"/>
  <c r="AB513" i="122"/>
  <c r="X513" i="122"/>
  <c r="AD513" i="122" s="1"/>
  <c r="W513" i="122"/>
  <c r="AC513" i="122" s="1"/>
  <c r="V513" i="122"/>
  <c r="AE512" i="122"/>
  <c r="X512" i="122"/>
  <c r="AD512" i="122" s="1"/>
  <c r="W512" i="122"/>
  <c r="AC512" i="122" s="1"/>
  <c r="V512" i="122"/>
  <c r="AB512" i="122" s="1"/>
  <c r="AE511" i="122"/>
  <c r="AD511" i="122"/>
  <c r="X511" i="122"/>
  <c r="W511" i="122"/>
  <c r="AC511" i="122" s="1"/>
  <c r="V511" i="122"/>
  <c r="AB511" i="122" s="1"/>
  <c r="AE510" i="122"/>
  <c r="AC510" i="122"/>
  <c r="AB510" i="122"/>
  <c r="X510" i="122"/>
  <c r="AD510" i="122" s="1"/>
  <c r="W510" i="122"/>
  <c r="V510" i="122"/>
  <c r="AE509" i="122"/>
  <c r="AC509" i="122"/>
  <c r="X509" i="122"/>
  <c r="AD509" i="122" s="1"/>
  <c r="W509" i="122"/>
  <c r="V509" i="122"/>
  <c r="AB509" i="122" s="1"/>
  <c r="AE508" i="122"/>
  <c r="AD508" i="122"/>
  <c r="X508" i="122"/>
  <c r="W508" i="122"/>
  <c r="AC508" i="122" s="1"/>
  <c r="V508" i="122"/>
  <c r="AB508" i="122" s="1"/>
  <c r="AE507" i="122"/>
  <c r="X507" i="122"/>
  <c r="AD507" i="122" s="1"/>
  <c r="W507" i="122"/>
  <c r="AC507" i="122" s="1"/>
  <c r="V507" i="122"/>
  <c r="AB507" i="122" s="1"/>
  <c r="AE506" i="122"/>
  <c r="X506" i="122"/>
  <c r="AD506" i="122" s="1"/>
  <c r="W506" i="122"/>
  <c r="AC506" i="122" s="1"/>
  <c r="V506" i="122"/>
  <c r="AB506" i="122" s="1"/>
  <c r="AE505" i="122"/>
  <c r="AC505" i="122"/>
  <c r="X505" i="122"/>
  <c r="AD505" i="122" s="1"/>
  <c r="W505" i="122"/>
  <c r="V505" i="122"/>
  <c r="AB505" i="122" s="1"/>
  <c r="AE504" i="122"/>
  <c r="AC504" i="122"/>
  <c r="X504" i="122"/>
  <c r="AD504" i="122" s="1"/>
  <c r="W504" i="122"/>
  <c r="V504" i="122"/>
  <c r="AB504" i="122" s="1"/>
  <c r="AE503" i="122"/>
  <c r="AB503" i="122"/>
  <c r="X503" i="122"/>
  <c r="AD503" i="122" s="1"/>
  <c r="W503" i="122"/>
  <c r="AC503" i="122" s="1"/>
  <c r="V503" i="122"/>
  <c r="AE502" i="122"/>
  <c r="X502" i="122"/>
  <c r="AD502" i="122" s="1"/>
  <c r="W502" i="122"/>
  <c r="AC502" i="122" s="1"/>
  <c r="V502" i="122"/>
  <c r="AB502" i="122" s="1"/>
  <c r="AE501" i="122"/>
  <c r="AD501" i="122"/>
  <c r="X501" i="122"/>
  <c r="W501" i="122"/>
  <c r="AC501" i="122" s="1"/>
  <c r="V501" i="122"/>
  <c r="AB501" i="122" s="1"/>
  <c r="AE500" i="122"/>
  <c r="X500" i="122"/>
  <c r="AD500" i="122" s="1"/>
  <c r="W500" i="122"/>
  <c r="AC500" i="122" s="1"/>
  <c r="V500" i="122"/>
  <c r="AB500" i="122" s="1"/>
  <c r="AE499" i="122"/>
  <c r="X499" i="122"/>
  <c r="AD499" i="122" s="1"/>
  <c r="W499" i="122"/>
  <c r="AC499" i="122" s="1"/>
  <c r="V499" i="122"/>
  <c r="AB499" i="122" s="1"/>
  <c r="AE498" i="122"/>
  <c r="AB498" i="122"/>
  <c r="X498" i="122"/>
  <c r="AD498" i="122" s="1"/>
  <c r="W498" i="122"/>
  <c r="AC498" i="122" s="1"/>
  <c r="V498" i="122"/>
  <c r="AE497" i="122"/>
  <c r="AB497" i="122"/>
  <c r="X497" i="122"/>
  <c r="AD497" i="122" s="1"/>
  <c r="W497" i="122"/>
  <c r="AC497" i="122" s="1"/>
  <c r="V497" i="122"/>
  <c r="AE496" i="122"/>
  <c r="X496" i="122"/>
  <c r="AD496" i="122" s="1"/>
  <c r="W496" i="122"/>
  <c r="AC496" i="122" s="1"/>
  <c r="V496" i="122"/>
  <c r="AB496" i="122" s="1"/>
  <c r="AE495" i="122"/>
  <c r="AB495" i="122"/>
  <c r="X495" i="122"/>
  <c r="AD495" i="122" s="1"/>
  <c r="W495" i="122"/>
  <c r="AC495" i="122" s="1"/>
  <c r="V495" i="122"/>
  <c r="AE494" i="122"/>
  <c r="AC494" i="122"/>
  <c r="AB494" i="122"/>
  <c r="X494" i="122"/>
  <c r="AD494" i="122" s="1"/>
  <c r="W494" i="122"/>
  <c r="V494" i="122"/>
  <c r="AE493" i="122"/>
  <c r="X493" i="122"/>
  <c r="AD493" i="122" s="1"/>
  <c r="W493" i="122"/>
  <c r="AC493" i="122" s="1"/>
  <c r="V493" i="122"/>
  <c r="AB493" i="122" s="1"/>
  <c r="AE492" i="122"/>
  <c r="X492" i="122"/>
  <c r="AD492" i="122" s="1"/>
  <c r="W492" i="122"/>
  <c r="AC492" i="122" s="1"/>
  <c r="V492" i="122"/>
  <c r="AB492" i="122" s="1"/>
  <c r="AE491" i="122"/>
  <c r="X491" i="122"/>
  <c r="AD491" i="122" s="1"/>
  <c r="W491" i="122"/>
  <c r="AC491" i="122" s="1"/>
  <c r="V491" i="122"/>
  <c r="AB491" i="122" s="1"/>
  <c r="AE490" i="122"/>
  <c r="X490" i="122"/>
  <c r="AD490" i="122" s="1"/>
  <c r="W490" i="122"/>
  <c r="AC490" i="122" s="1"/>
  <c r="V490" i="122"/>
  <c r="AB490" i="122" s="1"/>
  <c r="AE489" i="122"/>
  <c r="AC489" i="122"/>
  <c r="AB489" i="122"/>
  <c r="X489" i="122"/>
  <c r="AD489" i="122" s="1"/>
  <c r="W489" i="122"/>
  <c r="V489" i="122"/>
  <c r="AE488" i="122"/>
  <c r="AD488" i="122"/>
  <c r="X488" i="122"/>
  <c r="W488" i="122"/>
  <c r="AC488" i="122" s="1"/>
  <c r="V488" i="122"/>
  <c r="AB488" i="122" s="1"/>
  <c r="AE487" i="122"/>
  <c r="X487" i="122"/>
  <c r="AD487" i="122" s="1"/>
  <c r="W487" i="122"/>
  <c r="AC487" i="122" s="1"/>
  <c r="V487" i="122"/>
  <c r="AB487" i="122" s="1"/>
  <c r="AE486" i="122"/>
  <c r="AC486" i="122"/>
  <c r="X486" i="122"/>
  <c r="AD486" i="122" s="1"/>
  <c r="W486" i="122"/>
  <c r="V486" i="122"/>
  <c r="AB486" i="122" s="1"/>
  <c r="AE485" i="122"/>
  <c r="AC485" i="122"/>
  <c r="X485" i="122"/>
  <c r="AD485" i="122" s="1"/>
  <c r="W485" i="122"/>
  <c r="V485" i="122"/>
  <c r="AB485" i="122" s="1"/>
  <c r="AE484" i="122"/>
  <c r="X484" i="122"/>
  <c r="AD484" i="122" s="1"/>
  <c r="W484" i="122"/>
  <c r="AC484" i="122" s="1"/>
  <c r="V484" i="122"/>
  <c r="AB484" i="122" s="1"/>
  <c r="AE483" i="122"/>
  <c r="X483" i="122"/>
  <c r="AD483" i="122" s="1"/>
  <c r="W483" i="122"/>
  <c r="AC483" i="122" s="1"/>
  <c r="V483" i="122"/>
  <c r="AB483" i="122" s="1"/>
  <c r="AE482" i="122"/>
  <c r="AB482" i="122"/>
  <c r="X482" i="122"/>
  <c r="AD482" i="122" s="1"/>
  <c r="W482" i="122"/>
  <c r="AC482" i="122" s="1"/>
  <c r="V482" i="122"/>
  <c r="AE481" i="122"/>
  <c r="X481" i="122"/>
  <c r="AD481" i="122" s="1"/>
  <c r="W481" i="122"/>
  <c r="AC481" i="122" s="1"/>
  <c r="V481" i="122"/>
  <c r="AB481" i="122" s="1"/>
  <c r="AE480" i="122"/>
  <c r="AD480" i="122"/>
  <c r="X480" i="122"/>
  <c r="W480" i="122"/>
  <c r="AC480" i="122" s="1"/>
  <c r="V480" i="122"/>
  <c r="AB480" i="122" s="1"/>
  <c r="AE479" i="122"/>
  <c r="AB479" i="122"/>
  <c r="X479" i="122"/>
  <c r="AD479" i="122" s="1"/>
  <c r="W479" i="122"/>
  <c r="AC479" i="122" s="1"/>
  <c r="V479" i="122"/>
  <c r="AE478" i="122"/>
  <c r="X478" i="122"/>
  <c r="AD478" i="122" s="1"/>
  <c r="W478" i="122"/>
  <c r="AC478" i="122" s="1"/>
  <c r="V478" i="122"/>
  <c r="AB478" i="122" s="1"/>
  <c r="AE477" i="122"/>
  <c r="X477" i="122"/>
  <c r="AD477" i="122" s="1"/>
  <c r="W477" i="122"/>
  <c r="AC477" i="122" s="1"/>
  <c r="V477" i="122"/>
  <c r="AB477" i="122" s="1"/>
  <c r="AE476" i="122"/>
  <c r="X476" i="122"/>
  <c r="AD476" i="122" s="1"/>
  <c r="W476" i="122"/>
  <c r="AC476" i="122" s="1"/>
  <c r="V476" i="122"/>
  <c r="AB476" i="122" s="1"/>
  <c r="AE475" i="122"/>
  <c r="X475" i="122"/>
  <c r="AD475" i="122" s="1"/>
  <c r="W475" i="122"/>
  <c r="AC475" i="122" s="1"/>
  <c r="V475" i="122"/>
  <c r="AB475" i="122" s="1"/>
  <c r="AE474" i="122"/>
  <c r="AB474" i="122"/>
  <c r="X474" i="122"/>
  <c r="AD474" i="122" s="1"/>
  <c r="W474" i="122"/>
  <c r="AC474" i="122" s="1"/>
  <c r="V474" i="122"/>
  <c r="AE473" i="122"/>
  <c r="AB473" i="122"/>
  <c r="X473" i="122"/>
  <c r="AD473" i="122" s="1"/>
  <c r="W473" i="122"/>
  <c r="AC473" i="122" s="1"/>
  <c r="V473" i="122"/>
  <c r="AE472" i="122"/>
  <c r="X472" i="122"/>
  <c r="AD472" i="122" s="1"/>
  <c r="W472" i="122"/>
  <c r="AC472" i="122" s="1"/>
  <c r="V472" i="122"/>
  <c r="AB472" i="122" s="1"/>
  <c r="AE471" i="122"/>
  <c r="AB471" i="122"/>
  <c r="X471" i="122"/>
  <c r="AD471" i="122" s="1"/>
  <c r="W471" i="122"/>
  <c r="AC471" i="122" s="1"/>
  <c r="V471" i="122"/>
  <c r="AE470" i="122"/>
  <c r="AC470" i="122"/>
  <c r="AB470" i="122"/>
  <c r="X470" i="122"/>
  <c r="AD470" i="122" s="1"/>
  <c r="W470" i="122"/>
  <c r="V470" i="122"/>
  <c r="AE469" i="122"/>
  <c r="X469" i="122"/>
  <c r="AD469" i="122" s="1"/>
  <c r="W469" i="122"/>
  <c r="AC469" i="122" s="1"/>
  <c r="V469" i="122"/>
  <c r="AB469" i="122" s="1"/>
  <c r="AE468" i="122"/>
  <c r="AD468" i="122"/>
  <c r="X468" i="122"/>
  <c r="W468" i="122"/>
  <c r="AC468" i="122" s="1"/>
  <c r="V468" i="122"/>
  <c r="AB468" i="122" s="1"/>
  <c r="AE467" i="122"/>
  <c r="X467" i="122"/>
  <c r="AD467" i="122" s="1"/>
  <c r="W467" i="122"/>
  <c r="AC467" i="122" s="1"/>
  <c r="V467" i="122"/>
  <c r="AB467" i="122" s="1"/>
  <c r="AE466" i="122"/>
  <c r="X466" i="122"/>
  <c r="AD466" i="122" s="1"/>
  <c r="W466" i="122"/>
  <c r="AC466" i="122" s="1"/>
  <c r="V466" i="122"/>
  <c r="AB466" i="122" s="1"/>
  <c r="AE465" i="122"/>
  <c r="AC465" i="122"/>
  <c r="AB465" i="122"/>
  <c r="X465" i="122"/>
  <c r="AD465" i="122" s="1"/>
  <c r="W465" i="122"/>
  <c r="V465" i="122"/>
  <c r="AE464" i="122"/>
  <c r="X464" i="122"/>
  <c r="AD464" i="122" s="1"/>
  <c r="W464" i="122"/>
  <c r="AC464" i="122" s="1"/>
  <c r="V464" i="122"/>
  <c r="AB464" i="122" s="1"/>
  <c r="AE463" i="122"/>
  <c r="X463" i="122"/>
  <c r="AD463" i="122" s="1"/>
  <c r="W463" i="122"/>
  <c r="AC463" i="122" s="1"/>
  <c r="V463" i="122"/>
  <c r="AB463" i="122" s="1"/>
  <c r="AE462" i="122"/>
  <c r="AC462" i="122"/>
  <c r="AB462" i="122"/>
  <c r="X462" i="122"/>
  <c r="AD462" i="122" s="1"/>
  <c r="W462" i="122"/>
  <c r="V462" i="122"/>
  <c r="AE461" i="122"/>
  <c r="X461" i="122"/>
  <c r="AD461" i="122" s="1"/>
  <c r="W461" i="122"/>
  <c r="AC461" i="122" s="1"/>
  <c r="V461" i="122"/>
  <c r="AB461" i="122" s="1"/>
  <c r="AE460" i="122"/>
  <c r="X460" i="122"/>
  <c r="AD460" i="122" s="1"/>
  <c r="W460" i="122"/>
  <c r="AC460" i="122" s="1"/>
  <c r="V460" i="122"/>
  <c r="AB460" i="122" s="1"/>
  <c r="AE459" i="122"/>
  <c r="X459" i="122"/>
  <c r="AD459" i="122" s="1"/>
  <c r="W459" i="122"/>
  <c r="AC459" i="122" s="1"/>
  <c r="V459" i="122"/>
  <c r="AB459" i="122" s="1"/>
  <c r="AE458" i="122"/>
  <c r="X458" i="122"/>
  <c r="AD458" i="122" s="1"/>
  <c r="W458" i="122"/>
  <c r="AC458" i="122" s="1"/>
  <c r="V458" i="122"/>
  <c r="AB458" i="122" s="1"/>
  <c r="AE457" i="122"/>
  <c r="AC457" i="122"/>
  <c r="AB457" i="122"/>
  <c r="X457" i="122"/>
  <c r="AD457" i="122" s="1"/>
  <c r="W457" i="122"/>
  <c r="V457" i="122"/>
  <c r="AE456" i="122"/>
  <c r="AD456" i="122"/>
  <c r="X456" i="122"/>
  <c r="W456" i="122"/>
  <c r="AC456" i="122" s="1"/>
  <c r="V456" i="122"/>
  <c r="AB456" i="122" s="1"/>
  <c r="AE455" i="122"/>
  <c r="X455" i="122"/>
  <c r="AD455" i="122" s="1"/>
  <c r="W455" i="122"/>
  <c r="AC455" i="122" s="1"/>
  <c r="V455" i="122"/>
  <c r="AB455" i="122" s="1"/>
  <c r="AE454" i="122"/>
  <c r="AC454" i="122"/>
  <c r="AB454" i="122"/>
  <c r="X454" i="122"/>
  <c r="AD454" i="122" s="1"/>
  <c r="W454" i="122"/>
  <c r="V454" i="122"/>
  <c r="AE453" i="122"/>
  <c r="AC453" i="122"/>
  <c r="X453" i="122"/>
  <c r="AD453" i="122" s="1"/>
  <c r="W453" i="122"/>
  <c r="V453" i="122"/>
  <c r="AB453" i="122" s="1"/>
  <c r="AE452" i="122"/>
  <c r="X452" i="122"/>
  <c r="AD452" i="122" s="1"/>
  <c r="W452" i="122"/>
  <c r="AC452" i="122" s="1"/>
  <c r="V452" i="122"/>
  <c r="AB452" i="122" s="1"/>
  <c r="AE451" i="122"/>
  <c r="X451" i="122"/>
  <c r="AD451" i="122" s="1"/>
  <c r="W451" i="122"/>
  <c r="AC451" i="122" s="1"/>
  <c r="V451" i="122"/>
  <c r="AB451" i="122" s="1"/>
  <c r="AE450" i="122"/>
  <c r="X450" i="122"/>
  <c r="AD450" i="122" s="1"/>
  <c r="W450" i="122"/>
  <c r="AC450" i="122" s="1"/>
  <c r="V450" i="122"/>
  <c r="AB450" i="122" s="1"/>
  <c r="AE449" i="122"/>
  <c r="AC449" i="122"/>
  <c r="X449" i="122"/>
  <c r="AD449" i="122" s="1"/>
  <c r="W449" i="122"/>
  <c r="V449" i="122"/>
  <c r="AB449" i="122" s="1"/>
  <c r="AE448" i="122"/>
  <c r="AD448" i="122"/>
  <c r="X448" i="122"/>
  <c r="W448" i="122"/>
  <c r="AC448" i="122" s="1"/>
  <c r="V448" i="122"/>
  <c r="AB448" i="122" s="1"/>
  <c r="AE447" i="122"/>
  <c r="X447" i="122"/>
  <c r="AD447" i="122" s="1"/>
  <c r="W447" i="122"/>
  <c r="AC447" i="122" s="1"/>
  <c r="V447" i="122"/>
  <c r="AB447" i="122" s="1"/>
  <c r="AE446" i="122"/>
  <c r="AC446" i="122"/>
  <c r="AB446" i="122"/>
  <c r="X446" i="122"/>
  <c r="AD446" i="122" s="1"/>
  <c r="W446" i="122"/>
  <c r="V446" i="122"/>
  <c r="AE445" i="122"/>
  <c r="AC445" i="122"/>
  <c r="X445" i="122"/>
  <c r="AD445" i="122" s="1"/>
  <c r="W445" i="122"/>
  <c r="V445" i="122"/>
  <c r="AB445" i="122" s="1"/>
  <c r="AE444" i="122"/>
  <c r="X444" i="122"/>
  <c r="AD444" i="122" s="1"/>
  <c r="W444" i="122"/>
  <c r="AC444" i="122" s="1"/>
  <c r="V444" i="122"/>
  <c r="AB444" i="122" s="1"/>
  <c r="AE443" i="122"/>
  <c r="X443" i="122"/>
  <c r="AD443" i="122" s="1"/>
  <c r="W443" i="122"/>
  <c r="AC443" i="122" s="1"/>
  <c r="V443" i="122"/>
  <c r="AB443" i="122" s="1"/>
  <c r="AE442" i="122"/>
  <c r="X442" i="122"/>
  <c r="AD442" i="122" s="1"/>
  <c r="W442" i="122"/>
  <c r="AC442" i="122" s="1"/>
  <c r="V442" i="122"/>
  <c r="AB442" i="122" s="1"/>
  <c r="AE441" i="122"/>
  <c r="AC441" i="122"/>
  <c r="X441" i="122"/>
  <c r="AD441" i="122" s="1"/>
  <c r="W441" i="122"/>
  <c r="V441" i="122"/>
  <c r="AB441" i="122" s="1"/>
  <c r="AE440" i="122"/>
  <c r="AD440" i="122"/>
  <c r="X440" i="122"/>
  <c r="W440" i="122"/>
  <c r="AC440" i="122" s="1"/>
  <c r="V440" i="122"/>
  <c r="AB440" i="122" s="1"/>
  <c r="AE439" i="122"/>
  <c r="X439" i="122"/>
  <c r="AD439" i="122" s="1"/>
  <c r="W439" i="122"/>
  <c r="AC439" i="122" s="1"/>
  <c r="V439" i="122"/>
  <c r="AB439" i="122" s="1"/>
  <c r="AE438" i="122"/>
  <c r="AC438" i="122"/>
  <c r="AB438" i="122"/>
  <c r="X438" i="122"/>
  <c r="AD438" i="122" s="1"/>
  <c r="W438" i="122"/>
  <c r="V438" i="122"/>
  <c r="AE437" i="122"/>
  <c r="AC437" i="122"/>
  <c r="X437" i="122"/>
  <c r="AD437" i="122" s="1"/>
  <c r="W437" i="122"/>
  <c r="V437" i="122"/>
  <c r="AB437" i="122" s="1"/>
  <c r="AE436" i="122"/>
  <c r="X436" i="122"/>
  <c r="AD436" i="122" s="1"/>
  <c r="W436" i="122"/>
  <c r="AC436" i="122" s="1"/>
  <c r="V436" i="122"/>
  <c r="AB436" i="122" s="1"/>
  <c r="AE435" i="122"/>
  <c r="AB435" i="122"/>
  <c r="X435" i="122"/>
  <c r="AD435" i="122" s="1"/>
  <c r="W435" i="122"/>
  <c r="AC435" i="122" s="1"/>
  <c r="V435" i="122"/>
  <c r="AE434" i="122"/>
  <c r="X434" i="122"/>
  <c r="AD434" i="122" s="1"/>
  <c r="W434" i="122"/>
  <c r="AC434" i="122" s="1"/>
  <c r="V434" i="122"/>
  <c r="AB434" i="122" s="1"/>
  <c r="AE433" i="122"/>
  <c r="X433" i="122"/>
  <c r="AD433" i="122" s="1"/>
  <c r="W433" i="122"/>
  <c r="AC433" i="122" s="1"/>
  <c r="V433" i="122"/>
  <c r="AB433" i="122" s="1"/>
  <c r="AE432" i="122"/>
  <c r="X432" i="122"/>
  <c r="AD432" i="122" s="1"/>
  <c r="W432" i="122"/>
  <c r="AC432" i="122" s="1"/>
  <c r="V432" i="122"/>
  <c r="AB432" i="122" s="1"/>
  <c r="AE431" i="122"/>
  <c r="X431" i="122"/>
  <c r="AD431" i="122" s="1"/>
  <c r="W431" i="122"/>
  <c r="AC431" i="122" s="1"/>
  <c r="V431" i="122"/>
  <c r="AB431" i="122" s="1"/>
  <c r="AE430" i="122"/>
  <c r="AC430" i="122"/>
  <c r="X430" i="122"/>
  <c r="AD430" i="122" s="1"/>
  <c r="W430" i="122"/>
  <c r="V430" i="122"/>
  <c r="AB430" i="122" s="1"/>
  <c r="AE429" i="122"/>
  <c r="X429" i="122"/>
  <c r="AD429" i="122" s="1"/>
  <c r="W429" i="122"/>
  <c r="AC429" i="122" s="1"/>
  <c r="V429" i="122"/>
  <c r="AB429" i="122" s="1"/>
  <c r="AE428" i="122"/>
  <c r="AD428" i="122"/>
  <c r="X428" i="122"/>
  <c r="W428" i="122"/>
  <c r="AC428" i="122" s="1"/>
  <c r="V428" i="122"/>
  <c r="AB428" i="122" s="1"/>
  <c r="AE427" i="122"/>
  <c r="AB427" i="122"/>
  <c r="X427" i="122"/>
  <c r="AD427" i="122" s="1"/>
  <c r="W427" i="122"/>
  <c r="AC427" i="122" s="1"/>
  <c r="V427" i="122"/>
  <c r="AE426" i="122"/>
  <c r="AB426" i="122"/>
  <c r="X426" i="122"/>
  <c r="AD426" i="122" s="1"/>
  <c r="W426" i="122"/>
  <c r="AC426" i="122" s="1"/>
  <c r="V426" i="122"/>
  <c r="AE425" i="122"/>
  <c r="X425" i="122"/>
  <c r="AD425" i="122" s="1"/>
  <c r="W425" i="122"/>
  <c r="AC425" i="122" s="1"/>
  <c r="V425" i="122"/>
  <c r="AB425" i="122" s="1"/>
  <c r="AE424" i="122"/>
  <c r="AD424" i="122"/>
  <c r="X424" i="122"/>
  <c r="W424" i="122"/>
  <c r="AC424" i="122" s="1"/>
  <c r="V424" i="122"/>
  <c r="AB424" i="122" s="1"/>
  <c r="AE423" i="122"/>
  <c r="X423" i="122"/>
  <c r="AD423" i="122" s="1"/>
  <c r="W423" i="122"/>
  <c r="AC423" i="122" s="1"/>
  <c r="V423" i="122"/>
  <c r="AB423" i="122" s="1"/>
  <c r="AE422" i="122"/>
  <c r="X422" i="122"/>
  <c r="AD422" i="122" s="1"/>
  <c r="W422" i="122"/>
  <c r="AC422" i="122" s="1"/>
  <c r="V422" i="122"/>
  <c r="AB422" i="122" s="1"/>
  <c r="AE421" i="122"/>
  <c r="AC421" i="122"/>
  <c r="X421" i="122"/>
  <c r="AD421" i="122" s="1"/>
  <c r="W421" i="122"/>
  <c r="V421" i="122"/>
  <c r="AB421" i="122" s="1"/>
  <c r="AE420" i="122"/>
  <c r="X420" i="122"/>
  <c r="AD420" i="122" s="1"/>
  <c r="W420" i="122"/>
  <c r="AC420" i="122" s="1"/>
  <c r="V420" i="122"/>
  <c r="AB420" i="122" s="1"/>
  <c r="AE419" i="122"/>
  <c r="X419" i="122"/>
  <c r="AD419" i="122" s="1"/>
  <c r="W419" i="122"/>
  <c r="AC419" i="122" s="1"/>
  <c r="V419" i="122"/>
  <c r="AB419" i="122" s="1"/>
  <c r="AE418" i="122"/>
  <c r="AB418" i="122"/>
  <c r="X418" i="122"/>
  <c r="AD418" i="122" s="1"/>
  <c r="W418" i="122"/>
  <c r="AC418" i="122" s="1"/>
  <c r="V418" i="122"/>
  <c r="AE417" i="122"/>
  <c r="X417" i="122"/>
  <c r="AD417" i="122" s="1"/>
  <c r="W417" i="122"/>
  <c r="AC417" i="122" s="1"/>
  <c r="V417" i="122"/>
  <c r="AB417" i="122" s="1"/>
  <c r="AE416" i="122"/>
  <c r="X416" i="122"/>
  <c r="AD416" i="122" s="1"/>
  <c r="W416" i="122"/>
  <c r="AC416" i="122" s="1"/>
  <c r="V416" i="122"/>
  <c r="AB416" i="122" s="1"/>
  <c r="AE415" i="122"/>
  <c r="AB415" i="122"/>
  <c r="X415" i="122"/>
  <c r="AD415" i="122" s="1"/>
  <c r="W415" i="122"/>
  <c r="AC415" i="122" s="1"/>
  <c r="V415" i="122"/>
  <c r="AE414" i="122"/>
  <c r="X414" i="122"/>
  <c r="AD414" i="122" s="1"/>
  <c r="W414" i="122"/>
  <c r="AC414" i="122" s="1"/>
  <c r="V414" i="122"/>
  <c r="AB414" i="122" s="1"/>
  <c r="AE413" i="122"/>
  <c r="X413" i="122"/>
  <c r="AD413" i="122" s="1"/>
  <c r="W413" i="122"/>
  <c r="AC413" i="122" s="1"/>
  <c r="V413" i="122"/>
  <c r="AB413" i="122" s="1"/>
  <c r="AE412" i="122"/>
  <c r="X412" i="122"/>
  <c r="AD412" i="122" s="1"/>
  <c r="W412" i="122"/>
  <c r="AC412" i="122" s="1"/>
  <c r="V412" i="122"/>
  <c r="AB412" i="122" s="1"/>
  <c r="AE411" i="122"/>
  <c r="X411" i="122"/>
  <c r="AD411" i="122" s="1"/>
  <c r="W411" i="122"/>
  <c r="AC411" i="122" s="1"/>
  <c r="V411" i="122"/>
  <c r="AB411" i="122" s="1"/>
  <c r="AE410" i="122"/>
  <c r="AB410" i="122"/>
  <c r="X410" i="122"/>
  <c r="AD410" i="122" s="1"/>
  <c r="W410" i="122"/>
  <c r="AC410" i="122" s="1"/>
  <c r="V410" i="122"/>
  <c r="AE409" i="122"/>
  <c r="AC409" i="122"/>
  <c r="X409" i="122"/>
  <c r="AD409" i="122" s="1"/>
  <c r="W409" i="122"/>
  <c r="V409" i="122"/>
  <c r="AB409" i="122" s="1"/>
  <c r="AE408" i="122"/>
  <c r="X408" i="122"/>
  <c r="AD408" i="122" s="1"/>
  <c r="W408" i="122"/>
  <c r="AC408" i="122" s="1"/>
  <c r="V408" i="122"/>
  <c r="AB408" i="122" s="1"/>
  <c r="AE407" i="122"/>
  <c r="AD407" i="122"/>
  <c r="X407" i="122"/>
  <c r="W407" i="122"/>
  <c r="AC407" i="122" s="1"/>
  <c r="V407" i="122"/>
  <c r="AB407" i="122" s="1"/>
  <c r="AE406" i="122"/>
  <c r="AC406" i="122"/>
  <c r="AB406" i="122"/>
  <c r="X406" i="122"/>
  <c r="AD406" i="122" s="1"/>
  <c r="W406" i="122"/>
  <c r="V406" i="122"/>
  <c r="AE405" i="122"/>
  <c r="AC405" i="122"/>
  <c r="X405" i="122"/>
  <c r="AD405" i="122" s="1"/>
  <c r="W405" i="122"/>
  <c r="V405" i="122"/>
  <c r="AB405" i="122" s="1"/>
  <c r="AE404" i="122"/>
  <c r="X404" i="122"/>
  <c r="AD404" i="122" s="1"/>
  <c r="W404" i="122"/>
  <c r="AC404" i="122" s="1"/>
  <c r="V404" i="122"/>
  <c r="AB404" i="122" s="1"/>
  <c r="AE403" i="122"/>
  <c r="AC403" i="122"/>
  <c r="X403" i="122"/>
  <c r="AD403" i="122" s="1"/>
  <c r="W403" i="122"/>
  <c r="V403" i="122"/>
  <c r="AB403" i="122" s="1"/>
  <c r="AE402" i="122"/>
  <c r="AB402" i="122"/>
  <c r="X402" i="122"/>
  <c r="AD402" i="122" s="1"/>
  <c r="W402" i="122"/>
  <c r="AC402" i="122" s="1"/>
  <c r="V402" i="122"/>
  <c r="AE401" i="122"/>
  <c r="X401" i="122"/>
  <c r="AD401" i="122" s="1"/>
  <c r="W401" i="122"/>
  <c r="AC401" i="122" s="1"/>
  <c r="V401" i="122"/>
  <c r="AB401" i="122" s="1"/>
  <c r="AE400" i="122"/>
  <c r="AC400" i="122"/>
  <c r="X400" i="122"/>
  <c r="AD400" i="122" s="1"/>
  <c r="W400" i="122"/>
  <c r="V400" i="122"/>
  <c r="AB400" i="122" s="1"/>
  <c r="AE399" i="122"/>
  <c r="AD399" i="122"/>
  <c r="X399" i="122"/>
  <c r="W399" i="122"/>
  <c r="AC399" i="122" s="1"/>
  <c r="V399" i="122"/>
  <c r="AB399" i="122" s="1"/>
  <c r="AE398" i="122"/>
  <c r="X398" i="122"/>
  <c r="AD398" i="122" s="1"/>
  <c r="W398" i="122"/>
  <c r="AC398" i="122" s="1"/>
  <c r="V398" i="122"/>
  <c r="AB398" i="122" s="1"/>
  <c r="AE397" i="122"/>
  <c r="AC397" i="122"/>
  <c r="AB397" i="122"/>
  <c r="X397" i="122"/>
  <c r="AD397" i="122" s="1"/>
  <c r="W397" i="122"/>
  <c r="V397" i="122"/>
  <c r="AE396" i="122"/>
  <c r="AD396" i="122"/>
  <c r="AC396" i="122"/>
  <c r="AB396" i="122"/>
  <c r="X396" i="122"/>
  <c r="W396" i="122"/>
  <c r="V396" i="122"/>
  <c r="AE395" i="122"/>
  <c r="X395" i="122"/>
  <c r="AD395" i="122" s="1"/>
  <c r="W395" i="122"/>
  <c r="AC395" i="122" s="1"/>
  <c r="V395" i="122"/>
  <c r="AB395" i="122" s="1"/>
  <c r="AE394" i="122"/>
  <c r="X394" i="122"/>
  <c r="AD394" i="122" s="1"/>
  <c r="W394" i="122"/>
  <c r="AC394" i="122" s="1"/>
  <c r="V394" i="122"/>
  <c r="AB394" i="122" s="1"/>
  <c r="AE393" i="122"/>
  <c r="AC393" i="122"/>
  <c r="AB393" i="122"/>
  <c r="X393" i="122"/>
  <c r="AD393" i="122" s="1"/>
  <c r="W393" i="122"/>
  <c r="V393" i="122"/>
  <c r="AE392" i="122"/>
  <c r="X392" i="122"/>
  <c r="AD392" i="122" s="1"/>
  <c r="W392" i="122"/>
  <c r="AC392" i="122" s="1"/>
  <c r="V392" i="122"/>
  <c r="AB392" i="122" s="1"/>
  <c r="AE391" i="122"/>
  <c r="X391" i="122"/>
  <c r="AD391" i="122" s="1"/>
  <c r="W391" i="122"/>
  <c r="AC391" i="122" s="1"/>
  <c r="V391" i="122"/>
  <c r="AB391" i="122" s="1"/>
  <c r="AE390" i="122"/>
  <c r="AB390" i="122"/>
  <c r="X390" i="122"/>
  <c r="AD390" i="122" s="1"/>
  <c r="W390" i="122"/>
  <c r="AC390" i="122" s="1"/>
  <c r="V390" i="122"/>
  <c r="AE389" i="122"/>
  <c r="X389" i="122"/>
  <c r="AD389" i="122" s="1"/>
  <c r="W389" i="122"/>
  <c r="AC389" i="122" s="1"/>
  <c r="V389" i="122"/>
  <c r="AB389" i="122" s="1"/>
  <c r="AE388" i="122"/>
  <c r="X388" i="122"/>
  <c r="AD388" i="122" s="1"/>
  <c r="W388" i="122"/>
  <c r="AC388" i="122" s="1"/>
  <c r="V388" i="122"/>
  <c r="AB388" i="122" s="1"/>
  <c r="AE387" i="122"/>
  <c r="AC387" i="122"/>
  <c r="X387" i="122"/>
  <c r="AD387" i="122" s="1"/>
  <c r="W387" i="122"/>
  <c r="V387" i="122"/>
  <c r="AB387" i="122" s="1"/>
  <c r="AE386" i="122"/>
  <c r="AB386" i="122"/>
  <c r="X386" i="122"/>
  <c r="AD386" i="122" s="1"/>
  <c r="W386" i="122"/>
  <c r="AC386" i="122" s="1"/>
  <c r="V386" i="122"/>
  <c r="AE385" i="122"/>
  <c r="X385" i="122"/>
  <c r="AD385" i="122" s="1"/>
  <c r="W385" i="122"/>
  <c r="AC385" i="122" s="1"/>
  <c r="V385" i="122"/>
  <c r="AB385" i="122" s="1"/>
  <c r="AE384" i="122"/>
  <c r="AC384" i="122"/>
  <c r="X384" i="122"/>
  <c r="AD384" i="122" s="1"/>
  <c r="W384" i="122"/>
  <c r="V384" i="122"/>
  <c r="AB384" i="122" s="1"/>
  <c r="AE383" i="122"/>
  <c r="AD383" i="122"/>
  <c r="X383" i="122"/>
  <c r="W383" i="122"/>
  <c r="AC383" i="122" s="1"/>
  <c r="V383" i="122"/>
  <c r="AB383" i="122" s="1"/>
  <c r="AE382" i="122"/>
  <c r="X382" i="122"/>
  <c r="AD382" i="122" s="1"/>
  <c r="W382" i="122"/>
  <c r="AC382" i="122" s="1"/>
  <c r="V382" i="122"/>
  <c r="AB382" i="122" s="1"/>
  <c r="AE381" i="122"/>
  <c r="AC381" i="122"/>
  <c r="AB381" i="122"/>
  <c r="X381" i="122"/>
  <c r="AD381" i="122" s="1"/>
  <c r="W381" i="122"/>
  <c r="V381" i="122"/>
  <c r="AE380" i="122"/>
  <c r="AD380" i="122"/>
  <c r="AC380" i="122"/>
  <c r="AB380" i="122"/>
  <c r="X380" i="122"/>
  <c r="W380" i="122"/>
  <c r="V380" i="122"/>
  <c r="AE379" i="122"/>
  <c r="X379" i="122"/>
  <c r="AD379" i="122" s="1"/>
  <c r="W379" i="122"/>
  <c r="AC379" i="122" s="1"/>
  <c r="V379" i="122"/>
  <c r="AB379" i="122" s="1"/>
  <c r="AE378" i="122"/>
  <c r="X378" i="122"/>
  <c r="AD378" i="122" s="1"/>
  <c r="W378" i="122"/>
  <c r="AC378" i="122" s="1"/>
  <c r="V378" i="122"/>
  <c r="AB378" i="122" s="1"/>
  <c r="AE377" i="122"/>
  <c r="AC377" i="122"/>
  <c r="AB377" i="122"/>
  <c r="X377" i="122"/>
  <c r="AD377" i="122" s="1"/>
  <c r="W377" i="122"/>
  <c r="V377" i="122"/>
  <c r="AE376" i="122"/>
  <c r="X376" i="122"/>
  <c r="AD376" i="122" s="1"/>
  <c r="W376" i="122"/>
  <c r="AC376" i="122" s="1"/>
  <c r="V376" i="122"/>
  <c r="AB376" i="122" s="1"/>
  <c r="AE375" i="122"/>
  <c r="X375" i="122"/>
  <c r="AD375" i="122" s="1"/>
  <c r="W375" i="122"/>
  <c r="AC375" i="122" s="1"/>
  <c r="V375" i="122"/>
  <c r="AB375" i="122" s="1"/>
  <c r="AE374" i="122"/>
  <c r="AB374" i="122"/>
  <c r="X374" i="122"/>
  <c r="AD374" i="122" s="1"/>
  <c r="W374" i="122"/>
  <c r="AC374" i="122" s="1"/>
  <c r="V374" i="122"/>
  <c r="AE373" i="122"/>
  <c r="X373" i="122"/>
  <c r="AD373" i="122" s="1"/>
  <c r="W373" i="122"/>
  <c r="AC373" i="122" s="1"/>
  <c r="V373" i="122"/>
  <c r="AB373" i="122" s="1"/>
  <c r="AE372" i="122"/>
  <c r="X372" i="122"/>
  <c r="AD372" i="122" s="1"/>
  <c r="W372" i="122"/>
  <c r="AC372" i="122" s="1"/>
  <c r="V372" i="122"/>
  <c r="AB372" i="122" s="1"/>
  <c r="AE371" i="122"/>
  <c r="AC371" i="122"/>
  <c r="X371" i="122"/>
  <c r="AD371" i="122" s="1"/>
  <c r="W371" i="122"/>
  <c r="V371" i="122"/>
  <c r="AB371" i="122" s="1"/>
  <c r="AE370" i="122"/>
  <c r="AB370" i="122"/>
  <c r="X370" i="122"/>
  <c r="AD370" i="122" s="1"/>
  <c r="W370" i="122"/>
  <c r="AC370" i="122" s="1"/>
  <c r="V370" i="122"/>
  <c r="AE369" i="122"/>
  <c r="X369" i="122"/>
  <c r="AD369" i="122" s="1"/>
  <c r="W369" i="122"/>
  <c r="AC369" i="122" s="1"/>
  <c r="V369" i="122"/>
  <c r="AB369" i="122" s="1"/>
  <c r="AE368" i="122"/>
  <c r="AC368" i="122"/>
  <c r="X368" i="122"/>
  <c r="AD368" i="122" s="1"/>
  <c r="W368" i="122"/>
  <c r="V368" i="122"/>
  <c r="AB368" i="122" s="1"/>
  <c r="AE367" i="122"/>
  <c r="AD367" i="122"/>
  <c r="X367" i="122"/>
  <c r="W367" i="122"/>
  <c r="AC367" i="122" s="1"/>
  <c r="V367" i="122"/>
  <c r="AB367" i="122" s="1"/>
  <c r="AE366" i="122"/>
  <c r="X366" i="122"/>
  <c r="AD366" i="122" s="1"/>
  <c r="W366" i="122"/>
  <c r="AC366" i="122" s="1"/>
  <c r="V366" i="122"/>
  <c r="AB366" i="122" s="1"/>
  <c r="AE365" i="122"/>
  <c r="AC365" i="122"/>
  <c r="AB365" i="122"/>
  <c r="X365" i="122"/>
  <c r="AD365" i="122" s="1"/>
  <c r="W365" i="122"/>
  <c r="V365" i="122"/>
  <c r="AE364" i="122"/>
  <c r="AD364" i="122"/>
  <c r="AC364" i="122"/>
  <c r="AB364" i="122"/>
  <c r="X364" i="122"/>
  <c r="W364" i="122"/>
  <c r="V364" i="122"/>
  <c r="AE363" i="122"/>
  <c r="X363" i="122"/>
  <c r="AD363" i="122" s="1"/>
  <c r="W363" i="122"/>
  <c r="AC363" i="122" s="1"/>
  <c r="V363" i="122"/>
  <c r="AB363" i="122" s="1"/>
  <c r="AE362" i="122"/>
  <c r="AB362" i="122"/>
  <c r="X362" i="122"/>
  <c r="AD362" i="122" s="1"/>
  <c r="W362" i="122"/>
  <c r="AC362" i="122" s="1"/>
  <c r="V362" i="122"/>
  <c r="AE361" i="122"/>
  <c r="AC361" i="122"/>
  <c r="AB361" i="122"/>
  <c r="X361" i="122"/>
  <c r="AD361" i="122" s="1"/>
  <c r="W361" i="122"/>
  <c r="V361" i="122"/>
  <c r="AE360" i="122"/>
  <c r="AC360" i="122"/>
  <c r="X360" i="122"/>
  <c r="AD360" i="122" s="1"/>
  <c r="W360" i="122"/>
  <c r="V360" i="122"/>
  <c r="AB360" i="122" s="1"/>
  <c r="AE359" i="122"/>
  <c r="X359" i="122"/>
  <c r="AD359" i="122" s="1"/>
  <c r="W359" i="122"/>
  <c r="AC359" i="122" s="1"/>
  <c r="V359" i="122"/>
  <c r="AB359" i="122" s="1"/>
  <c r="AE358" i="122"/>
  <c r="AB358" i="122"/>
  <c r="X358" i="122"/>
  <c r="AD358" i="122" s="1"/>
  <c r="W358" i="122"/>
  <c r="AC358" i="122" s="1"/>
  <c r="V358" i="122"/>
  <c r="AE357" i="122"/>
  <c r="AB357" i="122"/>
  <c r="X357" i="122"/>
  <c r="AD357" i="122" s="1"/>
  <c r="W357" i="122"/>
  <c r="AC357" i="122" s="1"/>
  <c r="V357" i="122"/>
  <c r="AE356" i="122"/>
  <c r="X356" i="122"/>
  <c r="AD356" i="122" s="1"/>
  <c r="W356" i="122"/>
  <c r="AC356" i="122" s="1"/>
  <c r="V356" i="122"/>
  <c r="AB356" i="122" s="1"/>
  <c r="AE355" i="122"/>
  <c r="AC355" i="122"/>
  <c r="X355" i="122"/>
  <c r="AD355" i="122" s="1"/>
  <c r="W355" i="122"/>
  <c r="V355" i="122"/>
  <c r="AB355" i="122" s="1"/>
  <c r="AE354" i="122"/>
  <c r="AB354" i="122"/>
  <c r="X354" i="122"/>
  <c r="AD354" i="122" s="1"/>
  <c r="W354" i="122"/>
  <c r="AC354" i="122" s="1"/>
  <c r="V354" i="122"/>
  <c r="AE353" i="122"/>
  <c r="AB353" i="122"/>
  <c r="X353" i="122"/>
  <c r="AD353" i="122" s="1"/>
  <c r="W353" i="122"/>
  <c r="AC353" i="122" s="1"/>
  <c r="V353" i="122"/>
  <c r="AE352" i="122"/>
  <c r="AD352" i="122"/>
  <c r="X352" i="122"/>
  <c r="W352" i="122"/>
  <c r="AC352" i="122" s="1"/>
  <c r="V352" i="122"/>
  <c r="AB352" i="122" s="1"/>
  <c r="AE351" i="122"/>
  <c r="X351" i="122"/>
  <c r="AD351" i="122" s="1"/>
  <c r="W351" i="122"/>
  <c r="AC351" i="122" s="1"/>
  <c r="V351" i="122"/>
  <c r="AB351" i="122" s="1"/>
  <c r="AE350" i="122"/>
  <c r="X350" i="122"/>
  <c r="AD350" i="122" s="1"/>
  <c r="W350" i="122"/>
  <c r="AC350" i="122" s="1"/>
  <c r="V350" i="122"/>
  <c r="AB350" i="122" s="1"/>
  <c r="AE349" i="122"/>
  <c r="AC349" i="122"/>
  <c r="X349" i="122"/>
  <c r="AD349" i="122" s="1"/>
  <c r="W349" i="122"/>
  <c r="V349" i="122"/>
  <c r="AB349" i="122" s="1"/>
  <c r="AE348" i="122"/>
  <c r="AD348" i="122"/>
  <c r="AB348" i="122"/>
  <c r="X348" i="122"/>
  <c r="W348" i="122"/>
  <c r="AC348" i="122" s="1"/>
  <c r="V348" i="122"/>
  <c r="AE347" i="122"/>
  <c r="AC347" i="122"/>
  <c r="AB347" i="122"/>
  <c r="X347" i="122"/>
  <c r="AD347" i="122" s="1"/>
  <c r="W347" i="122"/>
  <c r="V347" i="122"/>
  <c r="AE346" i="122"/>
  <c r="X346" i="122"/>
  <c r="AD346" i="122" s="1"/>
  <c r="W346" i="122"/>
  <c r="AC346" i="122" s="1"/>
  <c r="V346" i="122"/>
  <c r="AB346" i="122" s="1"/>
  <c r="AE345" i="122"/>
  <c r="AC345" i="122"/>
  <c r="X345" i="122"/>
  <c r="AD345" i="122" s="1"/>
  <c r="W345" i="122"/>
  <c r="V345" i="122"/>
  <c r="AB345" i="122" s="1"/>
  <c r="AE344" i="122"/>
  <c r="AD344" i="122"/>
  <c r="AC344" i="122"/>
  <c r="X344" i="122"/>
  <c r="W344" i="122"/>
  <c r="V344" i="122"/>
  <c r="AB344" i="122" s="1"/>
  <c r="AE343" i="122"/>
  <c r="X343" i="122"/>
  <c r="AD343" i="122" s="1"/>
  <c r="W343" i="122"/>
  <c r="AC343" i="122" s="1"/>
  <c r="V343" i="122"/>
  <c r="AB343" i="122" s="1"/>
  <c r="AE342" i="122"/>
  <c r="AB342" i="122"/>
  <c r="X342" i="122"/>
  <c r="AD342" i="122" s="1"/>
  <c r="W342" i="122"/>
  <c r="AC342" i="122" s="1"/>
  <c r="V342" i="122"/>
  <c r="AE341" i="122"/>
  <c r="AC341" i="122"/>
  <c r="AB341" i="122"/>
  <c r="X341" i="122"/>
  <c r="AD341" i="122" s="1"/>
  <c r="W341" i="122"/>
  <c r="V341" i="122"/>
  <c r="AE340" i="122"/>
  <c r="AB340" i="122"/>
  <c r="X340" i="122"/>
  <c r="AD340" i="122" s="1"/>
  <c r="W340" i="122"/>
  <c r="AC340" i="122" s="1"/>
  <c r="V340" i="122"/>
  <c r="AE339" i="122"/>
  <c r="X339" i="122"/>
  <c r="AD339" i="122" s="1"/>
  <c r="W339" i="122"/>
  <c r="AC339" i="122" s="1"/>
  <c r="V339" i="122"/>
  <c r="AB339" i="122" s="1"/>
  <c r="AE338" i="122"/>
  <c r="AB338" i="122"/>
  <c r="X338" i="122"/>
  <c r="AD338" i="122" s="1"/>
  <c r="W338" i="122"/>
  <c r="AC338" i="122" s="1"/>
  <c r="V338" i="122"/>
  <c r="AE337" i="122"/>
  <c r="AC337" i="122"/>
  <c r="AB337" i="122"/>
  <c r="X337" i="122"/>
  <c r="AD337" i="122" s="1"/>
  <c r="W337" i="122"/>
  <c r="V337" i="122"/>
  <c r="AE336" i="122"/>
  <c r="X336" i="122"/>
  <c r="AD336" i="122" s="1"/>
  <c r="W336" i="122"/>
  <c r="AC336" i="122" s="1"/>
  <c r="V336" i="122"/>
  <c r="AB336" i="122" s="1"/>
  <c r="AE335" i="122"/>
  <c r="AB335" i="122"/>
  <c r="X335" i="122"/>
  <c r="AD335" i="122" s="1"/>
  <c r="W335" i="122"/>
  <c r="AC335" i="122" s="1"/>
  <c r="V335" i="122"/>
  <c r="AE334" i="122"/>
  <c r="AB334" i="122"/>
  <c r="X334" i="122"/>
  <c r="AD334" i="122" s="1"/>
  <c r="W334" i="122"/>
  <c r="AC334" i="122" s="1"/>
  <c r="V334" i="122"/>
  <c r="AE333" i="122"/>
  <c r="X333" i="122"/>
  <c r="AD333" i="122" s="1"/>
  <c r="W333" i="122"/>
  <c r="AC333" i="122" s="1"/>
  <c r="V333" i="122"/>
  <c r="AB333" i="122" s="1"/>
  <c r="AE332" i="122"/>
  <c r="X332" i="122"/>
  <c r="AD332" i="122" s="1"/>
  <c r="W332" i="122"/>
  <c r="AC332" i="122" s="1"/>
  <c r="V332" i="122"/>
  <c r="AB332" i="122" s="1"/>
  <c r="AE331" i="122"/>
  <c r="AC331" i="122"/>
  <c r="AB331" i="122"/>
  <c r="X331" i="122"/>
  <c r="AD331" i="122" s="1"/>
  <c r="W331" i="122"/>
  <c r="V331" i="122"/>
  <c r="AE330" i="122"/>
  <c r="AC330" i="122"/>
  <c r="AB330" i="122"/>
  <c r="X330" i="122"/>
  <c r="AD330" i="122" s="1"/>
  <c r="W330" i="122"/>
  <c r="V330" i="122"/>
  <c r="AE329" i="122"/>
  <c r="X329" i="122"/>
  <c r="AD329" i="122" s="1"/>
  <c r="W329" i="122"/>
  <c r="AC329" i="122" s="1"/>
  <c r="V329" i="122"/>
  <c r="AB329" i="122" s="1"/>
  <c r="AE328" i="122"/>
  <c r="X328" i="122"/>
  <c r="AD328" i="122" s="1"/>
  <c r="W328" i="122"/>
  <c r="AC328" i="122" s="1"/>
  <c r="V328" i="122"/>
  <c r="AB328" i="122" s="1"/>
  <c r="AE327" i="122"/>
  <c r="AB327" i="122"/>
  <c r="X327" i="122"/>
  <c r="AD327" i="122" s="1"/>
  <c r="W327" i="122"/>
  <c r="AC327" i="122" s="1"/>
  <c r="V327" i="122"/>
  <c r="AE326" i="122"/>
  <c r="X326" i="122"/>
  <c r="AD326" i="122" s="1"/>
  <c r="W326" i="122"/>
  <c r="AC326" i="122" s="1"/>
  <c r="V326" i="122"/>
  <c r="AB326" i="122" s="1"/>
  <c r="AE325" i="122"/>
  <c r="AC325" i="122"/>
  <c r="AB325" i="122"/>
  <c r="X325" i="122"/>
  <c r="AD325" i="122" s="1"/>
  <c r="W325" i="122"/>
  <c r="V325" i="122"/>
  <c r="AE324" i="122"/>
  <c r="X324" i="122"/>
  <c r="AD324" i="122" s="1"/>
  <c r="W324" i="122"/>
  <c r="AC324" i="122" s="1"/>
  <c r="V324" i="122"/>
  <c r="AB324" i="122" s="1"/>
  <c r="AE323" i="122"/>
  <c r="AB323" i="122"/>
  <c r="X323" i="122"/>
  <c r="AD323" i="122" s="1"/>
  <c r="W323" i="122"/>
  <c r="AC323" i="122" s="1"/>
  <c r="V323" i="122"/>
  <c r="AE322" i="122"/>
  <c r="X322" i="122"/>
  <c r="AD322" i="122" s="1"/>
  <c r="W322" i="122"/>
  <c r="AC322" i="122" s="1"/>
  <c r="V322" i="122"/>
  <c r="AB322" i="122" s="1"/>
  <c r="AE321" i="122"/>
  <c r="AC321" i="122"/>
  <c r="AB321" i="122"/>
  <c r="X321" i="122"/>
  <c r="AD321" i="122" s="1"/>
  <c r="W321" i="122"/>
  <c r="V321" i="122"/>
  <c r="AE320" i="122"/>
  <c r="X320" i="122"/>
  <c r="AD320" i="122" s="1"/>
  <c r="W320" i="122"/>
  <c r="AC320" i="122" s="1"/>
  <c r="V320" i="122"/>
  <c r="AB320" i="122" s="1"/>
  <c r="AE319" i="122"/>
  <c r="X319" i="122"/>
  <c r="AD319" i="122" s="1"/>
  <c r="W319" i="122"/>
  <c r="AC319" i="122" s="1"/>
  <c r="V319" i="122"/>
  <c r="AB319" i="122" s="1"/>
  <c r="AE318" i="122"/>
  <c r="AB318" i="122"/>
  <c r="X318" i="122"/>
  <c r="AD318" i="122" s="1"/>
  <c r="W318" i="122"/>
  <c r="AC318" i="122" s="1"/>
  <c r="V318" i="122"/>
  <c r="AE317" i="122"/>
  <c r="AC317" i="122"/>
  <c r="AB317" i="122"/>
  <c r="X317" i="122"/>
  <c r="AD317" i="122" s="1"/>
  <c r="W317" i="122"/>
  <c r="V317" i="122"/>
  <c r="AE316" i="122"/>
  <c r="X316" i="122"/>
  <c r="AD316" i="122" s="1"/>
  <c r="W316" i="122"/>
  <c r="AC316" i="122" s="1"/>
  <c r="V316" i="122"/>
  <c r="AB316" i="122" s="1"/>
  <c r="AE315" i="122"/>
  <c r="AC315" i="122"/>
  <c r="X315" i="122"/>
  <c r="AD315" i="122" s="1"/>
  <c r="W315" i="122"/>
  <c r="V315" i="122"/>
  <c r="AB315" i="122" s="1"/>
  <c r="AE314" i="122"/>
  <c r="AB314" i="122"/>
  <c r="X314" i="122"/>
  <c r="AD314" i="122" s="1"/>
  <c r="W314" i="122"/>
  <c r="AC314" i="122" s="1"/>
  <c r="V314" i="122"/>
  <c r="AE313" i="122"/>
  <c r="AC313" i="122"/>
  <c r="AB313" i="122"/>
  <c r="X313" i="122"/>
  <c r="AD313" i="122" s="1"/>
  <c r="W313" i="122"/>
  <c r="V313" i="122"/>
  <c r="AE312" i="122"/>
  <c r="X312" i="122"/>
  <c r="AD312" i="122" s="1"/>
  <c r="W312" i="122"/>
  <c r="AC312" i="122" s="1"/>
  <c r="V312" i="122"/>
  <c r="AB312" i="122" s="1"/>
  <c r="AE311" i="122"/>
  <c r="AB311" i="122"/>
  <c r="X311" i="122"/>
  <c r="AD311" i="122" s="1"/>
  <c r="W311" i="122"/>
  <c r="AC311" i="122" s="1"/>
  <c r="V311" i="122"/>
  <c r="AE310" i="122"/>
  <c r="AB310" i="122"/>
  <c r="X310" i="122"/>
  <c r="AD310" i="122" s="1"/>
  <c r="W310" i="122"/>
  <c r="AC310" i="122" s="1"/>
  <c r="V310" i="122"/>
  <c r="AE309" i="122"/>
  <c r="X309" i="122"/>
  <c r="AD309" i="122" s="1"/>
  <c r="W309" i="122"/>
  <c r="AC309" i="122" s="1"/>
  <c r="V309" i="122"/>
  <c r="AB309" i="122" s="1"/>
  <c r="AE308" i="122"/>
  <c r="AB308" i="122"/>
  <c r="X308" i="122"/>
  <c r="AD308" i="122" s="1"/>
  <c r="W308" i="122"/>
  <c r="AC308" i="122" s="1"/>
  <c r="V308" i="122"/>
  <c r="AE307" i="122"/>
  <c r="AC307" i="122"/>
  <c r="X307" i="122"/>
  <c r="AD307" i="122" s="1"/>
  <c r="W307" i="122"/>
  <c r="V307" i="122"/>
  <c r="AB307" i="122" s="1"/>
  <c r="AE306" i="122"/>
  <c r="AB306" i="122"/>
  <c r="X306" i="122"/>
  <c r="AD306" i="122" s="1"/>
  <c r="W306" i="122"/>
  <c r="AC306" i="122" s="1"/>
  <c r="V306" i="122"/>
  <c r="AE305" i="122"/>
  <c r="X305" i="122"/>
  <c r="AD305" i="122" s="1"/>
  <c r="W305" i="122"/>
  <c r="AC305" i="122" s="1"/>
  <c r="V305" i="122"/>
  <c r="AB305" i="122" s="1"/>
  <c r="AE304" i="122"/>
  <c r="AC304" i="122"/>
  <c r="X304" i="122"/>
  <c r="AD304" i="122" s="1"/>
  <c r="W304" i="122"/>
  <c r="V304" i="122"/>
  <c r="AB304" i="122" s="1"/>
  <c r="AE303" i="122"/>
  <c r="X303" i="122"/>
  <c r="AD303" i="122" s="1"/>
  <c r="W303" i="122"/>
  <c r="AC303" i="122" s="1"/>
  <c r="V303" i="122"/>
  <c r="AB303" i="122" s="1"/>
  <c r="AE302" i="122"/>
  <c r="X302" i="122"/>
  <c r="AD302" i="122" s="1"/>
  <c r="W302" i="122"/>
  <c r="AC302" i="122" s="1"/>
  <c r="V302" i="122"/>
  <c r="AB302" i="122" s="1"/>
  <c r="AE301" i="122"/>
  <c r="AC301" i="122"/>
  <c r="X301" i="122"/>
  <c r="AD301" i="122" s="1"/>
  <c r="W301" i="122"/>
  <c r="V301" i="122"/>
  <c r="AB301" i="122" s="1"/>
  <c r="AE300" i="122"/>
  <c r="AD300" i="122"/>
  <c r="AB300" i="122"/>
  <c r="X300" i="122"/>
  <c r="W300" i="122"/>
  <c r="AC300" i="122" s="1"/>
  <c r="V300" i="122"/>
  <c r="AE299" i="122"/>
  <c r="AC299" i="122"/>
  <c r="AB299" i="122"/>
  <c r="X299" i="122"/>
  <c r="AD299" i="122" s="1"/>
  <c r="W299" i="122"/>
  <c r="V299" i="122"/>
  <c r="AE298" i="122"/>
  <c r="X298" i="122"/>
  <c r="AD298" i="122" s="1"/>
  <c r="W298" i="122"/>
  <c r="AC298" i="122" s="1"/>
  <c r="V298" i="122"/>
  <c r="AB298" i="122" s="1"/>
  <c r="AE297" i="122"/>
  <c r="AD297" i="122"/>
  <c r="X297" i="122"/>
  <c r="W297" i="122"/>
  <c r="AC297" i="122" s="1"/>
  <c r="V297" i="122"/>
  <c r="AB297" i="122" s="1"/>
  <c r="AE296" i="122"/>
  <c r="X296" i="122"/>
  <c r="AD296" i="122" s="1"/>
  <c r="W296" i="122"/>
  <c r="AC296" i="122" s="1"/>
  <c r="V296" i="122"/>
  <c r="AB296" i="122" s="1"/>
  <c r="AE295" i="122"/>
  <c r="AB295" i="122"/>
  <c r="X295" i="122"/>
  <c r="AD295" i="122" s="1"/>
  <c r="W295" i="122"/>
  <c r="AC295" i="122" s="1"/>
  <c r="V295" i="122"/>
  <c r="AE294" i="122"/>
  <c r="X294" i="122"/>
  <c r="AD294" i="122" s="1"/>
  <c r="W294" i="122"/>
  <c r="AC294" i="122" s="1"/>
  <c r="V294" i="122"/>
  <c r="AB294" i="122" s="1"/>
  <c r="AE293" i="122"/>
  <c r="X293" i="122"/>
  <c r="AD293" i="122" s="1"/>
  <c r="W293" i="122"/>
  <c r="AC293" i="122" s="1"/>
  <c r="V293" i="122"/>
  <c r="AB293" i="122" s="1"/>
  <c r="AE292" i="122"/>
  <c r="AD292" i="122"/>
  <c r="AB292" i="122"/>
  <c r="X292" i="122"/>
  <c r="W292" i="122"/>
  <c r="AC292" i="122" s="1"/>
  <c r="V292" i="122"/>
  <c r="AE291" i="122"/>
  <c r="X291" i="122"/>
  <c r="AD291" i="122" s="1"/>
  <c r="W291" i="122"/>
  <c r="AC291" i="122" s="1"/>
  <c r="V291" i="122"/>
  <c r="AB291" i="122" s="1"/>
  <c r="AE290" i="122"/>
  <c r="AC290" i="122"/>
  <c r="AB290" i="122"/>
  <c r="X290" i="122"/>
  <c r="AD290" i="122" s="1"/>
  <c r="W290" i="122"/>
  <c r="V290" i="122"/>
  <c r="AE289" i="122"/>
  <c r="AB289" i="122"/>
  <c r="X289" i="122"/>
  <c r="AD289" i="122" s="1"/>
  <c r="W289" i="122"/>
  <c r="AC289" i="122" s="1"/>
  <c r="V289" i="122"/>
  <c r="AE288" i="122"/>
  <c r="AD288" i="122"/>
  <c r="X288" i="122"/>
  <c r="W288" i="122"/>
  <c r="AC288" i="122" s="1"/>
  <c r="V288" i="122"/>
  <c r="AB288" i="122" s="1"/>
  <c r="AE287" i="122"/>
  <c r="X287" i="122"/>
  <c r="AD287" i="122" s="1"/>
  <c r="W287" i="122"/>
  <c r="AC287" i="122" s="1"/>
  <c r="V287" i="122"/>
  <c r="AB287" i="122" s="1"/>
  <c r="AE286" i="122"/>
  <c r="AB286" i="122"/>
  <c r="X286" i="122"/>
  <c r="AD286" i="122" s="1"/>
  <c r="W286" i="122"/>
  <c r="AC286" i="122" s="1"/>
  <c r="V286" i="122"/>
  <c r="AE285" i="122"/>
  <c r="AC285" i="122"/>
  <c r="X285" i="122"/>
  <c r="AD285" i="122" s="1"/>
  <c r="W285" i="122"/>
  <c r="V285" i="122"/>
  <c r="AB285" i="122" s="1"/>
  <c r="AE284" i="122"/>
  <c r="AD284" i="122"/>
  <c r="X284" i="122"/>
  <c r="W284" i="122"/>
  <c r="AC284" i="122" s="1"/>
  <c r="V284" i="122"/>
  <c r="AB284" i="122" s="1"/>
  <c r="AE283" i="122"/>
  <c r="AC283" i="122"/>
  <c r="AB283" i="122"/>
  <c r="X283" i="122"/>
  <c r="AD283" i="122" s="1"/>
  <c r="W283" i="122"/>
  <c r="V283" i="122"/>
  <c r="AE282" i="122"/>
  <c r="AC282" i="122"/>
  <c r="X282" i="122"/>
  <c r="AD282" i="122" s="1"/>
  <c r="W282" i="122"/>
  <c r="V282" i="122"/>
  <c r="AB282" i="122" s="1"/>
  <c r="AE281" i="122"/>
  <c r="AB281" i="122"/>
  <c r="X281" i="122"/>
  <c r="AD281" i="122" s="1"/>
  <c r="W281" i="122"/>
  <c r="AC281" i="122" s="1"/>
  <c r="V281" i="122"/>
  <c r="AE280" i="122"/>
  <c r="AD280" i="122"/>
  <c r="X280" i="122"/>
  <c r="W280" i="122"/>
  <c r="AC280" i="122" s="1"/>
  <c r="V280" i="122"/>
  <c r="AB280" i="122" s="1"/>
  <c r="AE279" i="122"/>
  <c r="AB279" i="122"/>
  <c r="X279" i="122"/>
  <c r="AD279" i="122" s="1"/>
  <c r="W279" i="122"/>
  <c r="AC279" i="122" s="1"/>
  <c r="V279" i="122"/>
  <c r="AE278" i="122"/>
  <c r="AB278" i="122"/>
  <c r="X278" i="122"/>
  <c r="AD278" i="122" s="1"/>
  <c r="W278" i="122"/>
  <c r="AC278" i="122" s="1"/>
  <c r="V278" i="122"/>
  <c r="AE277" i="122"/>
  <c r="AC277" i="122"/>
  <c r="X277" i="122"/>
  <c r="AD277" i="122" s="1"/>
  <c r="W277" i="122"/>
  <c r="V277" i="122"/>
  <c r="AB277" i="122" s="1"/>
  <c r="AE276" i="122"/>
  <c r="AD276" i="122"/>
  <c r="AB276" i="122"/>
  <c r="X276" i="122"/>
  <c r="W276" i="122"/>
  <c r="AC276" i="122" s="1"/>
  <c r="V276" i="122"/>
  <c r="AE275" i="122"/>
  <c r="AC275" i="122"/>
  <c r="AB275" i="122"/>
  <c r="X275" i="122"/>
  <c r="AD275" i="122" s="1"/>
  <c r="W275" i="122"/>
  <c r="V275" i="122"/>
  <c r="AE274" i="122"/>
  <c r="X274" i="122"/>
  <c r="AD274" i="122" s="1"/>
  <c r="W274" i="122"/>
  <c r="AC274" i="122" s="1"/>
  <c r="V274" i="122"/>
  <c r="AB274" i="122" s="1"/>
  <c r="AE273" i="122"/>
  <c r="AC273" i="122"/>
  <c r="X273" i="122"/>
  <c r="AD273" i="122" s="1"/>
  <c r="W273" i="122"/>
  <c r="V273" i="122"/>
  <c r="AB273" i="122" s="1"/>
  <c r="AE272" i="122"/>
  <c r="AD272" i="122"/>
  <c r="X272" i="122"/>
  <c r="W272" i="122"/>
  <c r="AC272" i="122" s="1"/>
  <c r="V272" i="122"/>
  <c r="AB272" i="122" s="1"/>
  <c r="AE271" i="122"/>
  <c r="AB271" i="122"/>
  <c r="X271" i="122"/>
  <c r="AD271" i="122" s="1"/>
  <c r="W271" i="122"/>
  <c r="AC271" i="122" s="1"/>
  <c r="V271" i="122"/>
  <c r="AE270" i="122"/>
  <c r="AB270" i="122"/>
  <c r="X270" i="122"/>
  <c r="AD270" i="122" s="1"/>
  <c r="W270" i="122"/>
  <c r="AC270" i="122" s="1"/>
  <c r="V270" i="122"/>
  <c r="AE269" i="122"/>
  <c r="AC269" i="122"/>
  <c r="X269" i="122"/>
  <c r="AD269" i="122" s="1"/>
  <c r="W269" i="122"/>
  <c r="V269" i="122"/>
  <c r="AB269" i="122" s="1"/>
  <c r="AE268" i="122"/>
  <c r="AB268" i="122"/>
  <c r="X268" i="122"/>
  <c r="AD268" i="122" s="1"/>
  <c r="W268" i="122"/>
  <c r="AC268" i="122" s="1"/>
  <c r="V268" i="122"/>
  <c r="AE267" i="122"/>
  <c r="AC267" i="122"/>
  <c r="X267" i="122"/>
  <c r="AD267" i="122" s="1"/>
  <c r="W267" i="122"/>
  <c r="V267" i="122"/>
  <c r="AB267" i="122" s="1"/>
  <c r="AE266" i="122"/>
  <c r="AC266" i="122"/>
  <c r="AB266" i="122"/>
  <c r="X266" i="122"/>
  <c r="AD266" i="122" s="1"/>
  <c r="W266" i="122"/>
  <c r="V266" i="122"/>
  <c r="AE265" i="122"/>
  <c r="AC265" i="122"/>
  <c r="X265" i="122"/>
  <c r="AD265" i="122" s="1"/>
  <c r="W265" i="122"/>
  <c r="V265" i="122"/>
  <c r="AB265" i="122" s="1"/>
  <c r="AE264" i="122"/>
  <c r="AC264" i="122"/>
  <c r="X264" i="122"/>
  <c r="AD264" i="122" s="1"/>
  <c r="W264" i="122"/>
  <c r="V264" i="122"/>
  <c r="AB264" i="122" s="1"/>
  <c r="AE263" i="122"/>
  <c r="AB263" i="122"/>
  <c r="X263" i="122"/>
  <c r="AD263" i="122" s="1"/>
  <c r="W263" i="122"/>
  <c r="AC263" i="122" s="1"/>
  <c r="V263" i="122"/>
  <c r="AE262" i="122"/>
  <c r="X262" i="122"/>
  <c r="AD262" i="122" s="1"/>
  <c r="W262" i="122"/>
  <c r="AC262" i="122" s="1"/>
  <c r="V262" i="122"/>
  <c r="AB262" i="122" s="1"/>
  <c r="AE261" i="122"/>
  <c r="X261" i="122"/>
  <c r="AD261" i="122" s="1"/>
  <c r="W261" i="122"/>
  <c r="AC261" i="122" s="1"/>
  <c r="V261" i="122"/>
  <c r="AB261" i="122" s="1"/>
  <c r="AE260" i="122"/>
  <c r="X260" i="122"/>
  <c r="AD260" i="122" s="1"/>
  <c r="W260" i="122"/>
  <c r="AC260" i="122" s="1"/>
  <c r="V260" i="122"/>
  <c r="AB260" i="122" s="1"/>
  <c r="AE259" i="122"/>
  <c r="AB259" i="122"/>
  <c r="X259" i="122"/>
  <c r="AD259" i="122" s="1"/>
  <c r="W259" i="122"/>
  <c r="AC259" i="122" s="1"/>
  <c r="V259" i="122"/>
  <c r="AE258" i="122"/>
  <c r="AC258" i="122"/>
  <c r="AB258" i="122"/>
  <c r="X258" i="122"/>
  <c r="AD258" i="122" s="1"/>
  <c r="W258" i="122"/>
  <c r="V258" i="122"/>
  <c r="AE257" i="122"/>
  <c r="X257" i="122"/>
  <c r="AD257" i="122" s="1"/>
  <c r="W257" i="122"/>
  <c r="AC257" i="122" s="1"/>
  <c r="V257" i="122"/>
  <c r="AB257" i="122" s="1"/>
  <c r="AE256" i="122"/>
  <c r="AC256" i="122"/>
  <c r="X256" i="122"/>
  <c r="AD256" i="122" s="1"/>
  <c r="W256" i="122"/>
  <c r="V256" i="122"/>
  <c r="AB256" i="122" s="1"/>
  <c r="AE255" i="122"/>
  <c r="X255" i="122"/>
  <c r="AD255" i="122" s="1"/>
  <c r="W255" i="122"/>
  <c r="AC255" i="122" s="1"/>
  <c r="V255" i="122"/>
  <c r="AB255" i="122" s="1"/>
  <c r="AE254" i="122"/>
  <c r="X254" i="122"/>
  <c r="AD254" i="122" s="1"/>
  <c r="W254" i="122"/>
  <c r="AC254" i="122" s="1"/>
  <c r="V254" i="122"/>
  <c r="AB254" i="122" s="1"/>
  <c r="AE253" i="122"/>
  <c r="X253" i="122"/>
  <c r="AD253" i="122" s="1"/>
  <c r="W253" i="122"/>
  <c r="AC253" i="122" s="1"/>
  <c r="V253" i="122"/>
  <c r="AB253" i="122" s="1"/>
  <c r="AE252" i="122"/>
  <c r="X252" i="122"/>
  <c r="AD252" i="122" s="1"/>
  <c r="W252" i="122"/>
  <c r="AC252" i="122" s="1"/>
  <c r="V252" i="122"/>
  <c r="AB252" i="122" s="1"/>
  <c r="AE251" i="122"/>
  <c r="X251" i="122"/>
  <c r="AD251" i="122" s="1"/>
  <c r="W251" i="122"/>
  <c r="AC251" i="122" s="1"/>
  <c r="V251" i="122"/>
  <c r="AB251" i="122" s="1"/>
  <c r="AE250" i="122"/>
  <c r="AC250" i="122"/>
  <c r="X250" i="122"/>
  <c r="AD250" i="122" s="1"/>
  <c r="W250" i="122"/>
  <c r="V250" i="122"/>
  <c r="AB250" i="122" s="1"/>
  <c r="AE249" i="122"/>
  <c r="AB249" i="122"/>
  <c r="X249" i="122"/>
  <c r="AD249" i="122" s="1"/>
  <c r="W249" i="122"/>
  <c r="AC249" i="122" s="1"/>
  <c r="V249" i="122"/>
  <c r="AE248" i="122"/>
  <c r="AD248" i="122"/>
  <c r="X248" i="122"/>
  <c r="W248" i="122"/>
  <c r="AC248" i="122" s="1"/>
  <c r="V248" i="122"/>
  <c r="AB248" i="122" s="1"/>
  <c r="AE247" i="122"/>
  <c r="X247" i="122"/>
  <c r="AD247" i="122" s="1"/>
  <c r="W247" i="122"/>
  <c r="AC247" i="122" s="1"/>
  <c r="V247" i="122"/>
  <c r="AB247" i="122" s="1"/>
  <c r="AG246" i="122"/>
  <c r="AF246" i="122"/>
  <c r="AB246" i="122"/>
  <c r="X246" i="122"/>
  <c r="AD246" i="122" s="1"/>
  <c r="W246" i="122"/>
  <c r="AC246" i="122" s="1"/>
  <c r="V246" i="122"/>
  <c r="AG245" i="122"/>
  <c r="AF245" i="122"/>
  <c r="AC245" i="122"/>
  <c r="X245" i="122"/>
  <c r="AD245" i="122" s="1"/>
  <c r="W245" i="122"/>
  <c r="V245" i="122"/>
  <c r="AB245" i="122" s="1"/>
  <c r="AG244" i="122"/>
  <c r="AF244" i="122"/>
  <c r="AD244" i="122"/>
  <c r="AB244" i="122"/>
  <c r="X244" i="122"/>
  <c r="W244" i="122"/>
  <c r="AC244" i="122" s="1"/>
  <c r="V244" i="122"/>
  <c r="AG243" i="122"/>
  <c r="AF243" i="122"/>
  <c r="X243" i="122"/>
  <c r="AD243" i="122" s="1"/>
  <c r="W243" i="122"/>
  <c r="AC243" i="122" s="1"/>
  <c r="V243" i="122"/>
  <c r="AB243" i="122" s="1"/>
  <c r="AG242" i="122"/>
  <c r="AF242" i="122"/>
  <c r="X242" i="122"/>
  <c r="AD242" i="122" s="1"/>
  <c r="W242" i="122"/>
  <c r="AC242" i="122" s="1"/>
  <c r="V242" i="122"/>
  <c r="AB242" i="122" s="1"/>
  <c r="AG241" i="122"/>
  <c r="AF241" i="122"/>
  <c r="AC241" i="122"/>
  <c r="AB241" i="122"/>
  <c r="X241" i="122"/>
  <c r="AD241" i="122" s="1"/>
  <c r="W241" i="122"/>
  <c r="V241" i="122"/>
  <c r="AG240" i="122"/>
  <c r="AF240" i="122"/>
  <c r="AD240" i="122"/>
  <c r="X240" i="122"/>
  <c r="W240" i="122"/>
  <c r="AC240" i="122" s="1"/>
  <c r="V240" i="122"/>
  <c r="AB240" i="122" s="1"/>
  <c r="AG239" i="122"/>
  <c r="AF239" i="122"/>
  <c r="AB239" i="122"/>
  <c r="X239" i="122"/>
  <c r="AD239" i="122" s="1"/>
  <c r="W239" i="122"/>
  <c r="AC239" i="122" s="1"/>
  <c r="V239" i="122"/>
  <c r="AG238" i="122"/>
  <c r="AF238" i="122"/>
  <c r="AB238" i="122"/>
  <c r="X238" i="122"/>
  <c r="AD238" i="122" s="1"/>
  <c r="W238" i="122"/>
  <c r="AC238" i="122" s="1"/>
  <c r="V238" i="122"/>
  <c r="AG237" i="122"/>
  <c r="AF237" i="122"/>
  <c r="X237" i="122"/>
  <c r="AD237" i="122" s="1"/>
  <c r="W237" i="122"/>
  <c r="AC237" i="122" s="1"/>
  <c r="V237" i="122"/>
  <c r="AB237" i="122" s="1"/>
  <c r="AG236" i="122"/>
  <c r="AF236" i="122"/>
  <c r="X236" i="122"/>
  <c r="AD236" i="122" s="1"/>
  <c r="W236" i="122"/>
  <c r="AC236" i="122" s="1"/>
  <c r="V236" i="122"/>
  <c r="AB236" i="122" s="1"/>
  <c r="AG235" i="122"/>
  <c r="AF235" i="122"/>
  <c r="AC235" i="122"/>
  <c r="X235" i="122"/>
  <c r="AD235" i="122" s="1"/>
  <c r="W235" i="122"/>
  <c r="V235" i="122"/>
  <c r="AB235" i="122" s="1"/>
  <c r="AE234" i="122"/>
  <c r="AC234" i="122"/>
  <c r="X234" i="122"/>
  <c r="AD234" i="122" s="1"/>
  <c r="W234" i="122"/>
  <c r="V234" i="122"/>
  <c r="AB234" i="122" s="1"/>
  <c r="AE233" i="122"/>
  <c r="X233" i="122"/>
  <c r="AD233" i="122" s="1"/>
  <c r="W233" i="122"/>
  <c r="AC233" i="122" s="1"/>
  <c r="V233" i="122"/>
  <c r="AB233" i="122" s="1"/>
  <c r="AE232" i="122"/>
  <c r="X232" i="122"/>
  <c r="AD232" i="122" s="1"/>
  <c r="W232" i="122"/>
  <c r="AC232" i="122" s="1"/>
  <c r="V232" i="122"/>
  <c r="AB232" i="122" s="1"/>
  <c r="AE231" i="122"/>
  <c r="X231" i="122"/>
  <c r="AD231" i="122" s="1"/>
  <c r="W231" i="122"/>
  <c r="AC231" i="122" s="1"/>
  <c r="V231" i="122"/>
  <c r="AB231" i="122" s="1"/>
  <c r="AE230" i="122"/>
  <c r="AB230" i="122"/>
  <c r="X230" i="122"/>
  <c r="AD230" i="122" s="1"/>
  <c r="W230" i="122"/>
  <c r="AC230" i="122" s="1"/>
  <c r="V230" i="122"/>
  <c r="AE229" i="122"/>
  <c r="AC229" i="122"/>
  <c r="X229" i="122"/>
  <c r="AD229" i="122" s="1"/>
  <c r="W229" i="122"/>
  <c r="V229" i="122"/>
  <c r="AB229" i="122" s="1"/>
  <c r="AE228" i="122"/>
  <c r="X228" i="122"/>
  <c r="AD228" i="122" s="1"/>
  <c r="W228" i="122"/>
  <c r="AC228" i="122" s="1"/>
  <c r="V228" i="122"/>
  <c r="AB228" i="122" s="1"/>
  <c r="AE227" i="122"/>
  <c r="X227" i="122"/>
  <c r="AD227" i="122" s="1"/>
  <c r="W227" i="122"/>
  <c r="AC227" i="122" s="1"/>
  <c r="V227" i="122"/>
  <c r="AB227" i="122" s="1"/>
  <c r="AE226" i="122"/>
  <c r="AC226" i="122"/>
  <c r="X226" i="122"/>
  <c r="AD226" i="122" s="1"/>
  <c r="W226" i="122"/>
  <c r="V226" i="122"/>
  <c r="AB226" i="122" s="1"/>
  <c r="AE225" i="122"/>
  <c r="X225" i="122"/>
  <c r="AD225" i="122" s="1"/>
  <c r="W225" i="122"/>
  <c r="AC225" i="122" s="1"/>
  <c r="V225" i="122"/>
  <c r="AB225" i="122" s="1"/>
  <c r="AE224" i="122"/>
  <c r="X224" i="122"/>
  <c r="AD224" i="122" s="1"/>
  <c r="W224" i="122"/>
  <c r="AC224" i="122" s="1"/>
  <c r="V224" i="122"/>
  <c r="AB224" i="122" s="1"/>
  <c r="AE223" i="122"/>
  <c r="X223" i="122"/>
  <c r="AD223" i="122" s="1"/>
  <c r="W223" i="122"/>
  <c r="AC223" i="122" s="1"/>
  <c r="V223" i="122"/>
  <c r="AB223" i="122" s="1"/>
  <c r="AE222" i="122"/>
  <c r="AB222" i="122"/>
  <c r="X222" i="122"/>
  <c r="AD222" i="122" s="1"/>
  <c r="W222" i="122"/>
  <c r="AC222" i="122" s="1"/>
  <c r="V222" i="122"/>
  <c r="AE221" i="122"/>
  <c r="AB221" i="122"/>
  <c r="X221" i="122"/>
  <c r="AD221" i="122" s="1"/>
  <c r="W221" i="122"/>
  <c r="AC221" i="122" s="1"/>
  <c r="V221" i="122"/>
  <c r="AE220" i="122"/>
  <c r="AD220" i="122"/>
  <c r="AC220" i="122"/>
  <c r="X220" i="122"/>
  <c r="W220" i="122"/>
  <c r="V220" i="122"/>
  <c r="AB220" i="122" s="1"/>
  <c r="AE219" i="122"/>
  <c r="AC219" i="122"/>
  <c r="AB219" i="122"/>
  <c r="X219" i="122"/>
  <c r="AD219" i="122" s="1"/>
  <c r="W219" i="122"/>
  <c r="V219" i="122"/>
  <c r="AE218" i="122"/>
  <c r="AB218" i="122"/>
  <c r="X218" i="122"/>
  <c r="AD218" i="122" s="1"/>
  <c r="W218" i="122"/>
  <c r="AC218" i="122" s="1"/>
  <c r="V218" i="122"/>
  <c r="AE217" i="122"/>
  <c r="AD217" i="122"/>
  <c r="X217" i="122"/>
  <c r="W217" i="122"/>
  <c r="AC217" i="122" s="1"/>
  <c r="V217" i="122"/>
  <c r="AB217" i="122" s="1"/>
  <c r="AE216" i="122"/>
  <c r="AD216" i="122"/>
  <c r="X216" i="122"/>
  <c r="W216" i="122"/>
  <c r="AC216" i="122" s="1"/>
  <c r="V216" i="122"/>
  <c r="AB216" i="122" s="1"/>
  <c r="AE215" i="122"/>
  <c r="X215" i="122"/>
  <c r="AD215" i="122" s="1"/>
  <c r="W215" i="122"/>
  <c r="AC215" i="122" s="1"/>
  <c r="V215" i="122"/>
  <c r="AB215" i="122" s="1"/>
  <c r="AE214" i="122"/>
  <c r="X214" i="122"/>
  <c r="AD214" i="122" s="1"/>
  <c r="W214" i="122"/>
  <c r="AC214" i="122" s="1"/>
  <c r="V214" i="122"/>
  <c r="AB214" i="122" s="1"/>
  <c r="AE213" i="122"/>
  <c r="AC213" i="122"/>
  <c r="AB213" i="122"/>
  <c r="X213" i="122"/>
  <c r="AD213" i="122" s="1"/>
  <c r="W213" i="122"/>
  <c r="V213" i="122"/>
  <c r="AE212" i="122"/>
  <c r="AB212" i="122"/>
  <c r="X212" i="122"/>
  <c r="AD212" i="122" s="1"/>
  <c r="W212" i="122"/>
  <c r="AC212" i="122" s="1"/>
  <c r="V212" i="122"/>
  <c r="AE211" i="122"/>
  <c r="X211" i="122"/>
  <c r="AD211" i="122" s="1"/>
  <c r="W211" i="122"/>
  <c r="AC211" i="122" s="1"/>
  <c r="V211" i="122"/>
  <c r="AB211" i="122" s="1"/>
  <c r="AG210" i="122"/>
  <c r="AF210" i="122"/>
  <c r="X210" i="122"/>
  <c r="AD210" i="122" s="1"/>
  <c r="W210" i="122"/>
  <c r="AC210" i="122" s="1"/>
  <c r="V210" i="122"/>
  <c r="AB210" i="122" s="1"/>
  <c r="AG209" i="122"/>
  <c r="AF209" i="122"/>
  <c r="X209" i="122"/>
  <c r="AD209" i="122" s="1"/>
  <c r="W209" i="122"/>
  <c r="AC209" i="122" s="1"/>
  <c r="V209" i="122"/>
  <c r="AB209" i="122" s="1"/>
  <c r="AG208" i="122"/>
  <c r="AF208" i="122"/>
  <c r="AD208" i="122"/>
  <c r="X208" i="122"/>
  <c r="W208" i="122"/>
  <c r="AC208" i="122" s="1"/>
  <c r="V208" i="122"/>
  <c r="AB208" i="122" s="1"/>
  <c r="AG207" i="122"/>
  <c r="AF207" i="122"/>
  <c r="X207" i="122"/>
  <c r="AD207" i="122" s="1"/>
  <c r="W207" i="122"/>
  <c r="AC207" i="122" s="1"/>
  <c r="V207" i="122"/>
  <c r="AB207" i="122" s="1"/>
  <c r="AG206" i="122"/>
  <c r="AF206" i="122"/>
  <c r="X206" i="122"/>
  <c r="AD206" i="122" s="1"/>
  <c r="W206" i="122"/>
  <c r="AC206" i="122" s="1"/>
  <c r="V206" i="122"/>
  <c r="AB206" i="122" s="1"/>
  <c r="AG205" i="122"/>
  <c r="AF205" i="122"/>
  <c r="X205" i="122"/>
  <c r="AD205" i="122" s="1"/>
  <c r="W205" i="122"/>
  <c r="AC205" i="122" s="1"/>
  <c r="V205" i="122"/>
  <c r="AB205" i="122" s="1"/>
  <c r="AG204" i="122"/>
  <c r="AF204" i="122"/>
  <c r="AD204" i="122"/>
  <c r="X204" i="122"/>
  <c r="W204" i="122"/>
  <c r="AC204" i="122" s="1"/>
  <c r="V204" i="122"/>
  <c r="AB204" i="122" s="1"/>
  <c r="AG203" i="122"/>
  <c r="AF203" i="122"/>
  <c r="AD203" i="122"/>
  <c r="X203" i="122"/>
  <c r="W203" i="122"/>
  <c r="AC203" i="122" s="1"/>
  <c r="V203" i="122"/>
  <c r="AB203" i="122" s="1"/>
  <c r="AG202" i="122"/>
  <c r="AF202" i="122"/>
  <c r="AD202" i="122"/>
  <c r="X202" i="122"/>
  <c r="W202" i="122"/>
  <c r="AC202" i="122" s="1"/>
  <c r="V202" i="122"/>
  <c r="AB202" i="122" s="1"/>
  <c r="AG201" i="122"/>
  <c r="AF201" i="122"/>
  <c r="AD201" i="122"/>
  <c r="X201" i="122"/>
  <c r="W201" i="122"/>
  <c r="AC201" i="122" s="1"/>
  <c r="V201" i="122"/>
  <c r="AB201" i="122" s="1"/>
  <c r="AG200" i="122"/>
  <c r="AF200" i="122"/>
  <c r="X200" i="122"/>
  <c r="AD200" i="122" s="1"/>
  <c r="W200" i="122"/>
  <c r="AC200" i="122" s="1"/>
  <c r="V200" i="122"/>
  <c r="AB200" i="122" s="1"/>
  <c r="AG199" i="122"/>
  <c r="AF199" i="122"/>
  <c r="X199" i="122"/>
  <c r="AD199" i="122" s="1"/>
  <c r="W199" i="122"/>
  <c r="AC199" i="122" s="1"/>
  <c r="V199" i="122"/>
  <c r="AB199" i="122" s="1"/>
  <c r="AE198" i="122"/>
  <c r="X198" i="122"/>
  <c r="AD198" i="122" s="1"/>
  <c r="W198" i="122"/>
  <c r="AC198" i="122" s="1"/>
  <c r="V198" i="122"/>
  <c r="AB198" i="122" s="1"/>
  <c r="AE197" i="122"/>
  <c r="AC197" i="122"/>
  <c r="X197" i="122"/>
  <c r="AD197" i="122" s="1"/>
  <c r="W197" i="122"/>
  <c r="V197" i="122"/>
  <c r="AB197" i="122" s="1"/>
  <c r="AE196" i="122"/>
  <c r="AD196" i="122"/>
  <c r="AC196" i="122"/>
  <c r="X196" i="122"/>
  <c r="W196" i="122"/>
  <c r="V196" i="122"/>
  <c r="AB196" i="122" s="1"/>
  <c r="AE195" i="122"/>
  <c r="AD195" i="122"/>
  <c r="AC195" i="122"/>
  <c r="AB195" i="122"/>
  <c r="X195" i="122"/>
  <c r="W195" i="122"/>
  <c r="V195" i="122"/>
  <c r="AE194" i="122"/>
  <c r="AB194" i="122"/>
  <c r="X194" i="122"/>
  <c r="AD194" i="122" s="1"/>
  <c r="W194" i="122"/>
  <c r="AC194" i="122" s="1"/>
  <c r="V194" i="122"/>
  <c r="AE193" i="122"/>
  <c r="X193" i="122"/>
  <c r="AD193" i="122" s="1"/>
  <c r="W193" i="122"/>
  <c r="AC193" i="122" s="1"/>
  <c r="V193" i="122"/>
  <c r="AB193" i="122" s="1"/>
  <c r="AE192" i="122"/>
  <c r="X192" i="122"/>
  <c r="AD192" i="122" s="1"/>
  <c r="W192" i="122"/>
  <c r="AC192" i="122" s="1"/>
  <c r="V192" i="122"/>
  <c r="AB192" i="122" s="1"/>
  <c r="AE191" i="122"/>
  <c r="X191" i="122"/>
  <c r="AD191" i="122" s="1"/>
  <c r="W191" i="122"/>
  <c r="AC191" i="122" s="1"/>
  <c r="V191" i="122"/>
  <c r="AB191" i="122" s="1"/>
  <c r="AE190" i="122"/>
  <c r="AB190" i="122"/>
  <c r="X190" i="122"/>
  <c r="AD190" i="122" s="1"/>
  <c r="W190" i="122"/>
  <c r="AC190" i="122" s="1"/>
  <c r="V190" i="122"/>
  <c r="AE189" i="122"/>
  <c r="AB189" i="122"/>
  <c r="X189" i="122"/>
  <c r="AD189" i="122" s="1"/>
  <c r="W189" i="122"/>
  <c r="AC189" i="122" s="1"/>
  <c r="V189" i="122"/>
  <c r="AE188" i="122"/>
  <c r="AC188" i="122"/>
  <c r="X188" i="122"/>
  <c r="AD188" i="122" s="1"/>
  <c r="W188" i="122"/>
  <c r="V188" i="122"/>
  <c r="AB188" i="122" s="1"/>
  <c r="AE187" i="122"/>
  <c r="AC187" i="122"/>
  <c r="AB187" i="122"/>
  <c r="X187" i="122"/>
  <c r="AD187" i="122" s="1"/>
  <c r="W187" i="122"/>
  <c r="V187" i="122"/>
  <c r="AE186" i="122"/>
  <c r="X186" i="122"/>
  <c r="AD186" i="122" s="1"/>
  <c r="W186" i="122"/>
  <c r="AC186" i="122" s="1"/>
  <c r="V186" i="122"/>
  <c r="AB186" i="122" s="1"/>
  <c r="AE185" i="122"/>
  <c r="AD185" i="122"/>
  <c r="X185" i="122"/>
  <c r="W185" i="122"/>
  <c r="AC185" i="122" s="1"/>
  <c r="V185" i="122"/>
  <c r="AB185" i="122" s="1"/>
  <c r="AE184" i="122"/>
  <c r="AD184" i="122"/>
  <c r="X184" i="122"/>
  <c r="W184" i="122"/>
  <c r="AC184" i="122" s="1"/>
  <c r="V184" i="122"/>
  <c r="AB184" i="122" s="1"/>
  <c r="AE183" i="122"/>
  <c r="X183" i="122"/>
  <c r="AD183" i="122" s="1"/>
  <c r="W183" i="122"/>
  <c r="AC183" i="122" s="1"/>
  <c r="V183" i="122"/>
  <c r="AB183" i="122" s="1"/>
  <c r="AE182" i="122"/>
  <c r="AB182" i="122"/>
  <c r="X182" i="122"/>
  <c r="AD182" i="122" s="1"/>
  <c r="W182" i="122"/>
  <c r="AC182" i="122" s="1"/>
  <c r="V182" i="122"/>
  <c r="AE181" i="122"/>
  <c r="AC181" i="122"/>
  <c r="X181" i="122"/>
  <c r="AD181" i="122" s="1"/>
  <c r="W181" i="122"/>
  <c r="V181" i="122"/>
  <c r="AB181" i="122" s="1"/>
  <c r="AE180" i="122"/>
  <c r="AC180" i="122"/>
  <c r="X180" i="122"/>
  <c r="AD180" i="122" s="1"/>
  <c r="W180" i="122"/>
  <c r="V180" i="122"/>
  <c r="AB180" i="122" s="1"/>
  <c r="AE179" i="122"/>
  <c r="AD179" i="122"/>
  <c r="X179" i="122"/>
  <c r="W179" i="122"/>
  <c r="AC179" i="122" s="1"/>
  <c r="V179" i="122"/>
  <c r="AB179" i="122" s="1"/>
  <c r="AE178" i="122"/>
  <c r="X178" i="122"/>
  <c r="AD178" i="122" s="1"/>
  <c r="W178" i="122"/>
  <c r="AC178" i="122" s="1"/>
  <c r="V178" i="122"/>
  <c r="AB178" i="122" s="1"/>
  <c r="AE177" i="122"/>
  <c r="AD177" i="122"/>
  <c r="AC177" i="122"/>
  <c r="X177" i="122"/>
  <c r="W177" i="122"/>
  <c r="V177" i="122"/>
  <c r="AB177" i="122" s="1"/>
  <c r="AE176" i="122"/>
  <c r="AD176" i="122"/>
  <c r="X176" i="122"/>
  <c r="W176" i="122"/>
  <c r="AC176" i="122" s="1"/>
  <c r="V176" i="122"/>
  <c r="AB176" i="122" s="1"/>
  <c r="AE175" i="122"/>
  <c r="X175" i="122"/>
  <c r="AD175" i="122" s="1"/>
  <c r="W175" i="122"/>
  <c r="AC175" i="122" s="1"/>
  <c r="V175" i="122"/>
  <c r="AB175" i="122" s="1"/>
  <c r="AE174" i="122"/>
  <c r="X174" i="122"/>
  <c r="AD174" i="122" s="1"/>
  <c r="W174" i="122"/>
  <c r="AC174" i="122" s="1"/>
  <c r="V174" i="122"/>
  <c r="AB174" i="122" s="1"/>
  <c r="AE173" i="122"/>
  <c r="AC173" i="122"/>
  <c r="X173" i="122"/>
  <c r="AD173" i="122" s="1"/>
  <c r="W173" i="122"/>
  <c r="V173" i="122"/>
  <c r="AB173" i="122" s="1"/>
  <c r="AE172" i="122"/>
  <c r="AD172" i="122"/>
  <c r="AB172" i="122"/>
  <c r="X172" i="122"/>
  <c r="W172" i="122"/>
  <c r="AC172" i="122" s="1"/>
  <c r="V172" i="122"/>
  <c r="AE171" i="122"/>
  <c r="AC171" i="122"/>
  <c r="X171" i="122"/>
  <c r="AD171" i="122" s="1"/>
  <c r="W171" i="122"/>
  <c r="V171" i="122"/>
  <c r="AB171" i="122" s="1"/>
  <c r="AE170" i="122"/>
  <c r="AD170" i="122"/>
  <c r="AB170" i="122"/>
  <c r="X170" i="122"/>
  <c r="W170" i="122"/>
  <c r="AC170" i="122" s="1"/>
  <c r="V170" i="122"/>
  <c r="AE169" i="122"/>
  <c r="AD169" i="122"/>
  <c r="AC169" i="122"/>
  <c r="X169" i="122"/>
  <c r="W169" i="122"/>
  <c r="V169" i="122"/>
  <c r="AB169" i="122" s="1"/>
  <c r="AG168" i="122"/>
  <c r="AF168" i="122"/>
  <c r="AD168" i="122"/>
  <c r="X168" i="122"/>
  <c r="W168" i="122"/>
  <c r="AC168" i="122" s="1"/>
  <c r="V168" i="122"/>
  <c r="AB168" i="122" s="1"/>
  <c r="AG167" i="122"/>
  <c r="AF167" i="122"/>
  <c r="X167" i="122"/>
  <c r="AD167" i="122" s="1"/>
  <c r="W167" i="122"/>
  <c r="AC167" i="122" s="1"/>
  <c r="V167" i="122"/>
  <c r="AB167" i="122" s="1"/>
  <c r="AG166" i="122"/>
  <c r="AF166" i="122"/>
  <c r="X166" i="122"/>
  <c r="AD166" i="122" s="1"/>
  <c r="W166" i="122"/>
  <c r="AC166" i="122" s="1"/>
  <c r="V166" i="122"/>
  <c r="AB166" i="122" s="1"/>
  <c r="AG165" i="122"/>
  <c r="AF165" i="122"/>
  <c r="AB165" i="122"/>
  <c r="X165" i="122"/>
  <c r="AD165" i="122" s="1"/>
  <c r="W165" i="122"/>
  <c r="AC165" i="122" s="1"/>
  <c r="V165" i="122"/>
  <c r="AG164" i="122"/>
  <c r="AF164" i="122"/>
  <c r="AD164" i="122"/>
  <c r="AB164" i="122"/>
  <c r="X164" i="122"/>
  <c r="W164" i="122"/>
  <c r="AC164" i="122" s="1"/>
  <c r="V164" i="122"/>
  <c r="AG163" i="122"/>
  <c r="AF163" i="122"/>
  <c r="AD163" i="122"/>
  <c r="AB163" i="122"/>
  <c r="X163" i="122"/>
  <c r="W163" i="122"/>
  <c r="AC163" i="122" s="1"/>
  <c r="V163" i="122"/>
  <c r="AG162" i="122"/>
  <c r="AF162" i="122"/>
  <c r="AD162" i="122"/>
  <c r="AB162" i="122"/>
  <c r="X162" i="122"/>
  <c r="W162" i="122"/>
  <c r="AC162" i="122" s="1"/>
  <c r="V162" i="122"/>
  <c r="AG161" i="122"/>
  <c r="AF161" i="122"/>
  <c r="AC161" i="122"/>
  <c r="X161" i="122"/>
  <c r="AD161" i="122" s="1"/>
  <c r="W161" i="122"/>
  <c r="V161" i="122"/>
  <c r="AB161" i="122" s="1"/>
  <c r="AG160" i="122"/>
  <c r="AF160" i="122"/>
  <c r="X160" i="122"/>
  <c r="AD160" i="122" s="1"/>
  <c r="W160" i="122"/>
  <c r="AC160" i="122" s="1"/>
  <c r="V160" i="122"/>
  <c r="AB160" i="122" s="1"/>
  <c r="AG159" i="122"/>
  <c r="AF159" i="122"/>
  <c r="X159" i="122"/>
  <c r="AD159" i="122" s="1"/>
  <c r="W159" i="122"/>
  <c r="AC159" i="122" s="1"/>
  <c r="V159" i="122"/>
  <c r="AB159" i="122" s="1"/>
  <c r="AG158" i="122"/>
  <c r="AF158" i="122"/>
  <c r="AB158" i="122"/>
  <c r="X158" i="122"/>
  <c r="AD158" i="122" s="1"/>
  <c r="W158" i="122"/>
  <c r="AC158" i="122" s="1"/>
  <c r="V158" i="122"/>
  <c r="AG157" i="122"/>
  <c r="AF157" i="122"/>
  <c r="AC157" i="122"/>
  <c r="X157" i="122"/>
  <c r="AD157" i="122" s="1"/>
  <c r="W157" i="122"/>
  <c r="V157" i="122"/>
  <c r="AB157" i="122" s="1"/>
  <c r="AG156" i="122"/>
  <c r="AF156" i="122"/>
  <c r="AC156" i="122"/>
  <c r="X156" i="122"/>
  <c r="AD156" i="122" s="1"/>
  <c r="W156" i="122"/>
  <c r="V156" i="122"/>
  <c r="AB156" i="122" s="1"/>
  <c r="AG155" i="122"/>
  <c r="AF155" i="122"/>
  <c r="AC155" i="122"/>
  <c r="X155" i="122"/>
  <c r="AD155" i="122" s="1"/>
  <c r="W155" i="122"/>
  <c r="V155" i="122"/>
  <c r="AB155" i="122" s="1"/>
  <c r="AG154" i="122"/>
  <c r="AF154" i="122"/>
  <c r="AC154" i="122"/>
  <c r="X154" i="122"/>
  <c r="AD154" i="122" s="1"/>
  <c r="W154" i="122"/>
  <c r="V154" i="122"/>
  <c r="AB154" i="122" s="1"/>
  <c r="AG153" i="122"/>
  <c r="AF153" i="122"/>
  <c r="X153" i="122"/>
  <c r="AD153" i="122" s="1"/>
  <c r="W153" i="122"/>
  <c r="AC153" i="122" s="1"/>
  <c r="V153" i="122"/>
  <c r="AB153" i="122" s="1"/>
  <c r="AG152" i="122"/>
  <c r="AF152" i="122"/>
  <c r="AD152" i="122"/>
  <c r="X152" i="122"/>
  <c r="W152" i="122"/>
  <c r="AC152" i="122" s="1"/>
  <c r="V152" i="122"/>
  <c r="AB152" i="122" s="1"/>
  <c r="AG151" i="122"/>
  <c r="AF151" i="122"/>
  <c r="X151" i="122"/>
  <c r="AD151" i="122" s="1"/>
  <c r="W151" i="122"/>
  <c r="AC151" i="122" s="1"/>
  <c r="V151" i="122"/>
  <c r="AB151" i="122" s="1"/>
  <c r="AG150" i="122"/>
  <c r="AF150" i="122"/>
  <c r="X150" i="122"/>
  <c r="AD150" i="122" s="1"/>
  <c r="W150" i="122"/>
  <c r="AC150" i="122" s="1"/>
  <c r="V150" i="122"/>
  <c r="AB150" i="122" s="1"/>
  <c r="AG149" i="122"/>
  <c r="AF149" i="122"/>
  <c r="AB149" i="122"/>
  <c r="X149" i="122"/>
  <c r="AD149" i="122" s="1"/>
  <c r="W149" i="122"/>
  <c r="AC149" i="122" s="1"/>
  <c r="V149" i="122"/>
  <c r="AE148" i="122"/>
  <c r="AC148" i="122"/>
  <c r="X148" i="122"/>
  <c r="AD148" i="122" s="1"/>
  <c r="W148" i="122"/>
  <c r="V148" i="122"/>
  <c r="AB148" i="122" s="1"/>
  <c r="AE147" i="122"/>
  <c r="AD147" i="122"/>
  <c r="AB147" i="122"/>
  <c r="X147" i="122"/>
  <c r="W147" i="122"/>
  <c r="AC147" i="122" s="1"/>
  <c r="V147" i="122"/>
  <c r="AE146" i="122"/>
  <c r="AC146" i="122"/>
  <c r="X146" i="122"/>
  <c r="AD146" i="122" s="1"/>
  <c r="W146" i="122"/>
  <c r="V146" i="122"/>
  <c r="AB146" i="122" s="1"/>
  <c r="AE145" i="122"/>
  <c r="AC145" i="122"/>
  <c r="X145" i="122"/>
  <c r="AD145" i="122" s="1"/>
  <c r="W145" i="122"/>
  <c r="V145" i="122"/>
  <c r="AB145" i="122" s="1"/>
  <c r="AE144" i="122"/>
  <c r="AD144" i="122"/>
  <c r="X144" i="122"/>
  <c r="W144" i="122"/>
  <c r="AC144" i="122" s="1"/>
  <c r="V144" i="122"/>
  <c r="AB144" i="122" s="1"/>
  <c r="AE143" i="122"/>
  <c r="X143" i="122"/>
  <c r="AD143" i="122" s="1"/>
  <c r="W143" i="122"/>
  <c r="AC143" i="122" s="1"/>
  <c r="V143" i="122"/>
  <c r="AB143" i="122" s="1"/>
  <c r="AE142" i="122"/>
  <c r="X142" i="122"/>
  <c r="AD142" i="122" s="1"/>
  <c r="W142" i="122"/>
  <c r="AC142" i="122" s="1"/>
  <c r="V142" i="122"/>
  <c r="AB142" i="122" s="1"/>
  <c r="AE141" i="122"/>
  <c r="AC141" i="122"/>
  <c r="X141" i="122"/>
  <c r="AD141" i="122" s="1"/>
  <c r="W141" i="122"/>
  <c r="V141" i="122"/>
  <c r="AB141" i="122" s="1"/>
  <c r="AE140" i="122"/>
  <c r="AD140" i="122"/>
  <c r="AB140" i="122"/>
  <c r="X140" i="122"/>
  <c r="W140" i="122"/>
  <c r="AC140" i="122" s="1"/>
  <c r="V140" i="122"/>
  <c r="AE139" i="122"/>
  <c r="AC139" i="122"/>
  <c r="X139" i="122"/>
  <c r="AD139" i="122" s="1"/>
  <c r="W139" i="122"/>
  <c r="V139" i="122"/>
  <c r="AB139" i="122" s="1"/>
  <c r="AE138" i="122"/>
  <c r="AD138" i="122"/>
  <c r="AB138" i="122"/>
  <c r="X138" i="122"/>
  <c r="W138" i="122"/>
  <c r="AC138" i="122" s="1"/>
  <c r="V138" i="122"/>
  <c r="AE137" i="122"/>
  <c r="AC137" i="122"/>
  <c r="X137" i="122"/>
  <c r="AD137" i="122" s="1"/>
  <c r="W137" i="122"/>
  <c r="V137" i="122"/>
  <c r="AB137" i="122" s="1"/>
  <c r="AE136" i="122"/>
  <c r="X136" i="122"/>
  <c r="AD136" i="122" s="1"/>
  <c r="W136" i="122"/>
  <c r="AC136" i="122" s="1"/>
  <c r="V136" i="122"/>
  <c r="AB136" i="122" s="1"/>
  <c r="AE135" i="122"/>
  <c r="X135" i="122"/>
  <c r="AD135" i="122" s="1"/>
  <c r="W135" i="122"/>
  <c r="AC135" i="122" s="1"/>
  <c r="V135" i="122"/>
  <c r="AB135" i="122" s="1"/>
  <c r="AE134" i="122"/>
  <c r="AB134" i="122"/>
  <c r="X134" i="122"/>
  <c r="AD134" i="122" s="1"/>
  <c r="W134" i="122"/>
  <c r="AC134" i="122" s="1"/>
  <c r="V134" i="122"/>
  <c r="AE133" i="122"/>
  <c r="AB133" i="122"/>
  <c r="X133" i="122"/>
  <c r="AD133" i="122" s="1"/>
  <c r="W133" i="122"/>
  <c r="AC133" i="122" s="1"/>
  <c r="V133" i="122"/>
  <c r="AE132" i="122"/>
  <c r="AC132" i="122"/>
  <c r="X132" i="122"/>
  <c r="AD132" i="122" s="1"/>
  <c r="W132" i="122"/>
  <c r="V132" i="122"/>
  <c r="AB132" i="122" s="1"/>
  <c r="AE131" i="122"/>
  <c r="AD131" i="122"/>
  <c r="AB131" i="122"/>
  <c r="X131" i="122"/>
  <c r="W131" i="122"/>
  <c r="AC131" i="122" s="1"/>
  <c r="V131" i="122"/>
  <c r="AE130" i="122"/>
  <c r="AC130" i="122"/>
  <c r="X130" i="122"/>
  <c r="AD130" i="122" s="1"/>
  <c r="W130" i="122"/>
  <c r="V130" i="122"/>
  <c r="AB130" i="122" s="1"/>
  <c r="AG129" i="122"/>
  <c r="AE129" i="122"/>
  <c r="X129" i="122"/>
  <c r="AD129" i="122" s="1"/>
  <c r="W129" i="122"/>
  <c r="AC129" i="122" s="1"/>
  <c r="V129" i="122"/>
  <c r="AB129" i="122" s="1"/>
  <c r="AG128" i="122"/>
  <c r="AE128" i="122"/>
  <c r="AD128" i="122"/>
  <c r="X128" i="122"/>
  <c r="W128" i="122"/>
  <c r="AC128" i="122" s="1"/>
  <c r="V128" i="122"/>
  <c r="AB128" i="122" s="1"/>
  <c r="AG127" i="122"/>
  <c r="AE127" i="122"/>
  <c r="X127" i="122"/>
  <c r="AD127" i="122" s="1"/>
  <c r="W127" i="122"/>
  <c r="AC127" i="122" s="1"/>
  <c r="V127" i="122"/>
  <c r="AB127" i="122" s="1"/>
  <c r="AG126" i="122"/>
  <c r="AE126" i="122"/>
  <c r="X126" i="122"/>
  <c r="AD126" i="122" s="1"/>
  <c r="W126" i="122"/>
  <c r="AC126" i="122" s="1"/>
  <c r="V126" i="122"/>
  <c r="AB126" i="122" s="1"/>
  <c r="AG125" i="122"/>
  <c r="AE125" i="122"/>
  <c r="AB125" i="122"/>
  <c r="X125" i="122"/>
  <c r="AD125" i="122" s="1"/>
  <c r="W125" i="122"/>
  <c r="AC125" i="122" s="1"/>
  <c r="V125" i="122"/>
  <c r="AG124" i="122"/>
  <c r="AE124" i="122"/>
  <c r="AD124" i="122"/>
  <c r="AB124" i="122"/>
  <c r="X124" i="122"/>
  <c r="W124" i="122"/>
  <c r="AC124" i="122" s="1"/>
  <c r="V124" i="122"/>
  <c r="AG123" i="122"/>
  <c r="AE123" i="122"/>
  <c r="AD123" i="122"/>
  <c r="AB123" i="122"/>
  <c r="X123" i="122"/>
  <c r="W123" i="122"/>
  <c r="AC123" i="122" s="1"/>
  <c r="V123" i="122"/>
  <c r="AG122" i="122"/>
  <c r="AE122" i="122"/>
  <c r="AD122" i="122"/>
  <c r="AB122" i="122"/>
  <c r="X122" i="122"/>
  <c r="W122" i="122"/>
  <c r="AC122" i="122" s="1"/>
  <c r="V122" i="122"/>
  <c r="AG121" i="122"/>
  <c r="AE121" i="122"/>
  <c r="X121" i="122"/>
  <c r="AD121" i="122" s="1"/>
  <c r="W121" i="122"/>
  <c r="AC121" i="122" s="1"/>
  <c r="V121" i="122"/>
  <c r="AB121" i="122" s="1"/>
  <c r="AG120" i="122"/>
  <c r="AE120" i="122"/>
  <c r="X120" i="122"/>
  <c r="AD120" i="122" s="1"/>
  <c r="W120" i="122"/>
  <c r="AC120" i="122" s="1"/>
  <c r="V120" i="122"/>
  <c r="AB120" i="122" s="1"/>
  <c r="AG119" i="122"/>
  <c r="AE119" i="122"/>
  <c r="X119" i="122"/>
  <c r="AD119" i="122" s="1"/>
  <c r="W119" i="122"/>
  <c r="AC119" i="122" s="1"/>
  <c r="V119" i="122"/>
  <c r="AB119" i="122" s="1"/>
  <c r="AG118" i="122"/>
  <c r="AE118" i="122"/>
  <c r="AB118" i="122"/>
  <c r="X118" i="122"/>
  <c r="AD118" i="122" s="1"/>
  <c r="W118" i="122"/>
  <c r="AC118" i="122" s="1"/>
  <c r="V118" i="122"/>
  <c r="AG117" i="122"/>
  <c r="AF117" i="122"/>
  <c r="AC117" i="122"/>
  <c r="X117" i="122"/>
  <c r="AD117" i="122" s="1"/>
  <c r="W117" i="122"/>
  <c r="V117" i="122"/>
  <c r="AB117" i="122" s="1"/>
  <c r="AG116" i="122"/>
  <c r="AF116" i="122"/>
  <c r="AC116" i="122"/>
  <c r="X116" i="122"/>
  <c r="AD116" i="122" s="1"/>
  <c r="W116" i="122"/>
  <c r="V116" i="122"/>
  <c r="AB116" i="122" s="1"/>
  <c r="AG115" i="122"/>
  <c r="AF115" i="122"/>
  <c r="AC115" i="122"/>
  <c r="X115" i="122"/>
  <c r="AD115" i="122" s="1"/>
  <c r="W115" i="122"/>
  <c r="V115" i="122"/>
  <c r="AB115" i="122" s="1"/>
  <c r="AG114" i="122"/>
  <c r="AF114" i="122"/>
  <c r="AC114" i="122"/>
  <c r="X114" i="122"/>
  <c r="AD114" i="122" s="1"/>
  <c r="W114" i="122"/>
  <c r="V114" i="122"/>
  <c r="AB114" i="122" s="1"/>
  <c r="AG113" i="122"/>
  <c r="AF113" i="122"/>
  <c r="X113" i="122"/>
  <c r="AD113" i="122" s="1"/>
  <c r="W113" i="122"/>
  <c r="AC113" i="122" s="1"/>
  <c r="V113" i="122"/>
  <c r="AB113" i="122" s="1"/>
  <c r="AG112" i="122"/>
  <c r="AF112" i="122"/>
  <c r="AD112" i="122"/>
  <c r="X112" i="122"/>
  <c r="W112" i="122"/>
  <c r="AC112" i="122" s="1"/>
  <c r="V112" i="122"/>
  <c r="AB112" i="122" s="1"/>
  <c r="AG111" i="122"/>
  <c r="AF111" i="122"/>
  <c r="X111" i="122"/>
  <c r="AD111" i="122" s="1"/>
  <c r="W111" i="122"/>
  <c r="AC111" i="122" s="1"/>
  <c r="V111" i="122"/>
  <c r="AB111" i="122" s="1"/>
  <c r="AG110" i="122"/>
  <c r="AF110" i="122"/>
  <c r="X110" i="122"/>
  <c r="AD110" i="122" s="1"/>
  <c r="W110" i="122"/>
  <c r="AC110" i="122" s="1"/>
  <c r="V110" i="122"/>
  <c r="AB110" i="122" s="1"/>
  <c r="AG109" i="122"/>
  <c r="AF109" i="122"/>
  <c r="AB109" i="122"/>
  <c r="X109" i="122"/>
  <c r="AD109" i="122" s="1"/>
  <c r="W109" i="122"/>
  <c r="AC109" i="122" s="1"/>
  <c r="V109" i="122"/>
  <c r="AG108" i="122"/>
  <c r="AF108" i="122"/>
  <c r="AD108" i="122"/>
  <c r="AB108" i="122"/>
  <c r="X108" i="122"/>
  <c r="W108" i="122"/>
  <c r="AC108" i="122" s="1"/>
  <c r="V108" i="122"/>
  <c r="AG107" i="122"/>
  <c r="AF107" i="122"/>
  <c r="AD107" i="122"/>
  <c r="AB107" i="122"/>
  <c r="X107" i="122"/>
  <c r="W107" i="122"/>
  <c r="AC107" i="122" s="1"/>
  <c r="V107" i="122"/>
  <c r="AG106" i="122"/>
  <c r="AF106" i="122"/>
  <c r="AD106" i="122"/>
  <c r="AB106" i="122"/>
  <c r="X106" i="122"/>
  <c r="W106" i="122"/>
  <c r="AC106" i="122" s="1"/>
  <c r="V106" i="122"/>
  <c r="AG105" i="122"/>
  <c r="AE105" i="122"/>
  <c r="AD105" i="122"/>
  <c r="X105" i="122"/>
  <c r="W105" i="122"/>
  <c r="AC105" i="122" s="1"/>
  <c r="V105" i="122"/>
  <c r="AB105" i="122" s="1"/>
  <c r="AG104" i="122"/>
  <c r="AE104" i="122"/>
  <c r="X104" i="122"/>
  <c r="AD104" i="122" s="1"/>
  <c r="W104" i="122"/>
  <c r="AC104" i="122" s="1"/>
  <c r="V104" i="122"/>
  <c r="AB104" i="122" s="1"/>
  <c r="AG103" i="122"/>
  <c r="AE103" i="122"/>
  <c r="X103" i="122"/>
  <c r="AD103" i="122" s="1"/>
  <c r="W103" i="122"/>
  <c r="AC103" i="122" s="1"/>
  <c r="V103" i="122"/>
  <c r="AB103" i="122" s="1"/>
  <c r="AG102" i="122"/>
  <c r="AE102" i="122"/>
  <c r="AB102" i="122"/>
  <c r="X102" i="122"/>
  <c r="AD102" i="122" s="1"/>
  <c r="W102" i="122"/>
  <c r="AC102" i="122" s="1"/>
  <c r="V102" i="122"/>
  <c r="AG101" i="122"/>
  <c r="AE101" i="122"/>
  <c r="AC101" i="122"/>
  <c r="X101" i="122"/>
  <c r="AD101" i="122" s="1"/>
  <c r="W101" i="122"/>
  <c r="V101" i="122"/>
  <c r="AB101" i="122" s="1"/>
  <c r="AG100" i="122"/>
  <c r="AE100" i="122"/>
  <c r="AC100" i="122"/>
  <c r="X100" i="122"/>
  <c r="AD100" i="122" s="1"/>
  <c r="W100" i="122"/>
  <c r="V100" i="122"/>
  <c r="AB100" i="122" s="1"/>
  <c r="AG99" i="122"/>
  <c r="AE99" i="122"/>
  <c r="AC99" i="122"/>
  <c r="X99" i="122"/>
  <c r="AD99" i="122" s="1"/>
  <c r="W99" i="122"/>
  <c r="V99" i="122"/>
  <c r="AB99" i="122" s="1"/>
  <c r="AG98" i="122"/>
  <c r="AE98" i="122"/>
  <c r="AC98" i="122"/>
  <c r="X98" i="122"/>
  <c r="AD98" i="122" s="1"/>
  <c r="W98" i="122"/>
  <c r="V98" i="122"/>
  <c r="AB98" i="122" s="1"/>
  <c r="AG97" i="122"/>
  <c r="AE97" i="122"/>
  <c r="AD97" i="122"/>
  <c r="AC97" i="122"/>
  <c r="X97" i="122"/>
  <c r="W97" i="122"/>
  <c r="V97" i="122"/>
  <c r="AB97" i="122" s="1"/>
  <c r="AG96" i="122"/>
  <c r="AE96" i="122"/>
  <c r="AD96" i="122"/>
  <c r="X96" i="122"/>
  <c r="W96" i="122"/>
  <c r="AC96" i="122" s="1"/>
  <c r="V96" i="122"/>
  <c r="AB96" i="122" s="1"/>
  <c r="AG95" i="122"/>
  <c r="AE95" i="122"/>
  <c r="X95" i="122"/>
  <c r="AD95" i="122" s="1"/>
  <c r="W95" i="122"/>
  <c r="AC95" i="122" s="1"/>
  <c r="V95" i="122"/>
  <c r="AB95" i="122" s="1"/>
  <c r="AG94" i="122"/>
  <c r="AE94" i="122"/>
  <c r="X94" i="122"/>
  <c r="AD94" i="122" s="1"/>
  <c r="W94" i="122"/>
  <c r="AC94" i="122" s="1"/>
  <c r="V94" i="122"/>
  <c r="AB94" i="122" s="1"/>
  <c r="AE93" i="122"/>
  <c r="AC93" i="122"/>
  <c r="X93" i="122"/>
  <c r="AD93" i="122" s="1"/>
  <c r="W93" i="122"/>
  <c r="V93" i="122"/>
  <c r="AB93" i="122" s="1"/>
  <c r="AE92" i="122"/>
  <c r="AD92" i="122"/>
  <c r="AB92" i="122"/>
  <c r="X92" i="122"/>
  <c r="W92" i="122"/>
  <c r="AC92" i="122" s="1"/>
  <c r="V92" i="122"/>
  <c r="AE91" i="122"/>
  <c r="AC91" i="122"/>
  <c r="X91" i="122"/>
  <c r="AD91" i="122" s="1"/>
  <c r="W91" i="122"/>
  <c r="V91" i="122"/>
  <c r="AB91" i="122" s="1"/>
  <c r="AE90" i="122"/>
  <c r="AD90" i="122"/>
  <c r="AB90" i="122"/>
  <c r="X90" i="122"/>
  <c r="W90" i="122"/>
  <c r="AC90" i="122" s="1"/>
  <c r="V90" i="122"/>
  <c r="AE89" i="122"/>
  <c r="X89" i="122"/>
  <c r="AD89" i="122" s="1"/>
  <c r="W89" i="122"/>
  <c r="AC89" i="122" s="1"/>
  <c r="V89" i="122"/>
  <c r="AB89" i="122" s="1"/>
  <c r="AE88" i="122"/>
  <c r="X88" i="122"/>
  <c r="AD88" i="122" s="1"/>
  <c r="W88" i="122"/>
  <c r="AC88" i="122" s="1"/>
  <c r="V88" i="122"/>
  <c r="AB88" i="122" s="1"/>
  <c r="AE87" i="122"/>
  <c r="X87" i="122"/>
  <c r="AD87" i="122" s="1"/>
  <c r="W87" i="122"/>
  <c r="AC87" i="122" s="1"/>
  <c r="V87" i="122"/>
  <c r="AB87" i="122" s="1"/>
  <c r="AE86" i="122"/>
  <c r="AB86" i="122"/>
  <c r="X86" i="122"/>
  <c r="AD86" i="122" s="1"/>
  <c r="W86" i="122"/>
  <c r="AC86" i="122" s="1"/>
  <c r="V86" i="122"/>
  <c r="AE85" i="122"/>
  <c r="AB85" i="122"/>
  <c r="X85" i="122"/>
  <c r="AD85" i="122" s="1"/>
  <c r="W85" i="122"/>
  <c r="AC85" i="122" s="1"/>
  <c r="V85" i="122"/>
  <c r="AE84" i="122"/>
  <c r="X84" i="122"/>
  <c r="AD84" i="122" s="1"/>
  <c r="W84" i="122"/>
  <c r="AC84" i="122" s="1"/>
  <c r="V84" i="122"/>
  <c r="AB84" i="122" s="1"/>
  <c r="AE83" i="122"/>
  <c r="AD83" i="122"/>
  <c r="X83" i="122"/>
  <c r="W83" i="122"/>
  <c r="AC83" i="122" s="1"/>
  <c r="V83" i="122"/>
  <c r="AB83" i="122" s="1"/>
  <c r="AE82" i="122"/>
  <c r="X82" i="122"/>
  <c r="AD82" i="122" s="1"/>
  <c r="W82" i="122"/>
  <c r="AC82" i="122" s="1"/>
  <c r="V82" i="122"/>
  <c r="AB82" i="122" s="1"/>
  <c r="AE81" i="122"/>
  <c r="AC81" i="122"/>
  <c r="X81" i="122"/>
  <c r="AD81" i="122" s="1"/>
  <c r="W81" i="122"/>
  <c r="V81" i="122"/>
  <c r="AB81" i="122" s="1"/>
  <c r="AE80" i="122"/>
  <c r="AD80" i="122"/>
  <c r="X80" i="122"/>
  <c r="W80" i="122"/>
  <c r="AC80" i="122" s="1"/>
  <c r="V80" i="122"/>
  <c r="AB80" i="122" s="1"/>
  <c r="AE79" i="122"/>
  <c r="AD79" i="122"/>
  <c r="X79" i="122"/>
  <c r="W79" i="122"/>
  <c r="AC79" i="122" s="1"/>
  <c r="V79" i="122"/>
  <c r="AB79" i="122" s="1"/>
  <c r="AG78" i="122"/>
  <c r="AF78" i="122"/>
  <c r="AB78" i="122"/>
  <c r="X78" i="122"/>
  <c r="AD78" i="122" s="1"/>
  <c r="W78" i="122"/>
  <c r="AC78" i="122" s="1"/>
  <c r="V78" i="122"/>
  <c r="AG77" i="122"/>
  <c r="AF77" i="122"/>
  <c r="AC77" i="122"/>
  <c r="X77" i="122"/>
  <c r="AD77" i="122" s="1"/>
  <c r="W77" i="122"/>
  <c r="V77" i="122"/>
  <c r="AB77" i="122" s="1"/>
  <c r="AG76" i="122"/>
  <c r="AF76" i="122"/>
  <c r="X76" i="122"/>
  <c r="AD76" i="122" s="1"/>
  <c r="W76" i="122"/>
  <c r="AC76" i="122" s="1"/>
  <c r="V76" i="122"/>
  <c r="AB76" i="122" s="1"/>
  <c r="AG75" i="122"/>
  <c r="AF75" i="122"/>
  <c r="AD75" i="122"/>
  <c r="X75" i="122"/>
  <c r="W75" i="122"/>
  <c r="AC75" i="122" s="1"/>
  <c r="V75" i="122"/>
  <c r="AB75" i="122" s="1"/>
  <c r="AG74" i="122"/>
  <c r="AF74" i="122"/>
  <c r="AB74" i="122"/>
  <c r="X74" i="122"/>
  <c r="AD74" i="122" s="1"/>
  <c r="W74" i="122"/>
  <c r="AC74" i="122" s="1"/>
  <c r="V74" i="122"/>
  <c r="AG73" i="122"/>
  <c r="AF73" i="122"/>
  <c r="AC73" i="122"/>
  <c r="X73" i="122"/>
  <c r="AD73" i="122" s="1"/>
  <c r="W73" i="122"/>
  <c r="V73" i="122"/>
  <c r="AB73" i="122" s="1"/>
  <c r="AG72" i="122"/>
  <c r="AF72" i="122"/>
  <c r="AC72" i="122"/>
  <c r="X72" i="122"/>
  <c r="AD72" i="122" s="1"/>
  <c r="W72" i="122"/>
  <c r="V72" i="122"/>
  <c r="AB72" i="122" s="1"/>
  <c r="AG71" i="122"/>
  <c r="AF71" i="122"/>
  <c r="AD71" i="122"/>
  <c r="X71" i="122"/>
  <c r="W71" i="122"/>
  <c r="AC71" i="122" s="1"/>
  <c r="V71" i="122"/>
  <c r="AB71" i="122" s="1"/>
  <c r="AG70" i="122"/>
  <c r="AF70" i="122"/>
  <c r="AB70" i="122"/>
  <c r="X70" i="122"/>
  <c r="AD70" i="122" s="1"/>
  <c r="W70" i="122"/>
  <c r="AC70" i="122" s="1"/>
  <c r="V70" i="122"/>
  <c r="AG69" i="122"/>
  <c r="AF69" i="122"/>
  <c r="AC69" i="122"/>
  <c r="X69" i="122"/>
  <c r="AD69" i="122" s="1"/>
  <c r="W69" i="122"/>
  <c r="V69" i="122"/>
  <c r="AB69" i="122" s="1"/>
  <c r="AG68" i="122"/>
  <c r="AF68" i="122"/>
  <c r="AC68" i="122"/>
  <c r="X68" i="122"/>
  <c r="AD68" i="122" s="1"/>
  <c r="W68" i="122"/>
  <c r="V68" i="122"/>
  <c r="AB68" i="122" s="1"/>
  <c r="AG67" i="122"/>
  <c r="AF67" i="122"/>
  <c r="X67" i="122"/>
  <c r="AD67" i="122" s="1"/>
  <c r="W67" i="122"/>
  <c r="AC67" i="122" s="1"/>
  <c r="V67" i="122"/>
  <c r="AB67" i="122" s="1"/>
  <c r="AG66" i="122"/>
  <c r="AF66" i="122"/>
  <c r="X66" i="122"/>
  <c r="AD66" i="122" s="1"/>
  <c r="W66" i="122"/>
  <c r="AC66" i="122" s="1"/>
  <c r="V66" i="122"/>
  <c r="AB66" i="122" s="1"/>
  <c r="AG65" i="122"/>
  <c r="AF65" i="122"/>
  <c r="AB65" i="122"/>
  <c r="X65" i="122"/>
  <c r="AD65" i="122" s="1"/>
  <c r="W65" i="122"/>
  <c r="AC65" i="122" s="1"/>
  <c r="V65" i="122"/>
  <c r="AG64" i="122"/>
  <c r="AF64" i="122"/>
  <c r="AD64" i="122"/>
  <c r="AC64" i="122"/>
  <c r="X64" i="122"/>
  <c r="W64" i="122"/>
  <c r="V64" i="122"/>
  <c r="AB64" i="122" s="1"/>
  <c r="AG63" i="122"/>
  <c r="AF63" i="122"/>
  <c r="X63" i="122"/>
  <c r="AD63" i="122" s="1"/>
  <c r="W63" i="122"/>
  <c r="AC63" i="122" s="1"/>
  <c r="V63" i="122"/>
  <c r="AB63" i="122" s="1"/>
  <c r="AG62" i="122"/>
  <c r="AF62" i="122"/>
  <c r="X62" i="122"/>
  <c r="AD62" i="122" s="1"/>
  <c r="W62" i="122"/>
  <c r="AC62" i="122" s="1"/>
  <c r="V62" i="122"/>
  <c r="AB62" i="122" s="1"/>
  <c r="AG61" i="122"/>
  <c r="AF61" i="122"/>
  <c r="AB61" i="122"/>
  <c r="X61" i="122"/>
  <c r="AD61" i="122" s="1"/>
  <c r="W61" i="122"/>
  <c r="AC61" i="122" s="1"/>
  <c r="V61" i="122"/>
  <c r="AG60" i="122"/>
  <c r="AF60" i="122"/>
  <c r="AC60" i="122"/>
  <c r="X60" i="122"/>
  <c r="AD60" i="122" s="1"/>
  <c r="W60" i="122"/>
  <c r="V60" i="122"/>
  <c r="AB60" i="122" s="1"/>
  <c r="AG59" i="122"/>
  <c r="AF59" i="122"/>
  <c r="AD59" i="122"/>
  <c r="X59" i="122"/>
  <c r="W59" i="122"/>
  <c r="AC59" i="122" s="1"/>
  <c r="V59" i="122"/>
  <c r="AB59" i="122" s="1"/>
  <c r="AG58" i="122"/>
  <c r="AF58" i="122"/>
  <c r="AB58" i="122"/>
  <c r="X58" i="122"/>
  <c r="AD58" i="122" s="1"/>
  <c r="W58" i="122"/>
  <c r="AC58" i="122" s="1"/>
  <c r="V58" i="122"/>
  <c r="AG57" i="122"/>
  <c r="AF57" i="122"/>
  <c r="AC57" i="122"/>
  <c r="X57" i="122"/>
  <c r="AD57" i="122" s="1"/>
  <c r="W57" i="122"/>
  <c r="V57" i="122"/>
  <c r="AB57" i="122" s="1"/>
  <c r="AG56" i="122"/>
  <c r="AF56" i="122"/>
  <c r="X56" i="122"/>
  <c r="AD56" i="122" s="1"/>
  <c r="W56" i="122"/>
  <c r="AC56" i="122" s="1"/>
  <c r="V56" i="122"/>
  <c r="AB56" i="122" s="1"/>
  <c r="AG55" i="122"/>
  <c r="AF55" i="122"/>
  <c r="AD55" i="122"/>
  <c r="X55" i="122"/>
  <c r="W55" i="122"/>
  <c r="AC55" i="122" s="1"/>
  <c r="V55" i="122"/>
  <c r="AB55" i="122" s="1"/>
  <c r="AE54" i="122"/>
  <c r="X54" i="122"/>
  <c r="AD54" i="122" s="1"/>
  <c r="W54" i="122"/>
  <c r="AC54" i="122" s="1"/>
  <c r="V54" i="122"/>
  <c r="AB54" i="122" s="1"/>
  <c r="AE53" i="122"/>
  <c r="AC53" i="122"/>
  <c r="X53" i="122"/>
  <c r="AD53" i="122" s="1"/>
  <c r="W53" i="122"/>
  <c r="V53" i="122"/>
  <c r="AB53" i="122" s="1"/>
  <c r="AE52" i="122"/>
  <c r="AC52" i="122"/>
  <c r="X52" i="122"/>
  <c r="AD52" i="122" s="1"/>
  <c r="W52" i="122"/>
  <c r="V52" i="122"/>
  <c r="AB52" i="122" s="1"/>
  <c r="AE51" i="122"/>
  <c r="X51" i="122"/>
  <c r="AD51" i="122" s="1"/>
  <c r="W51" i="122"/>
  <c r="AC51" i="122" s="1"/>
  <c r="V51" i="122"/>
  <c r="AB51" i="122" s="1"/>
  <c r="AE50" i="122"/>
  <c r="AB50" i="122"/>
  <c r="X50" i="122"/>
  <c r="AD50" i="122" s="1"/>
  <c r="W50" i="122"/>
  <c r="AC50" i="122" s="1"/>
  <c r="V50" i="122"/>
  <c r="AE49" i="122"/>
  <c r="AB49" i="122"/>
  <c r="X49" i="122"/>
  <c r="AD49" i="122" s="1"/>
  <c r="W49" i="122"/>
  <c r="AC49" i="122" s="1"/>
  <c r="V49" i="122"/>
  <c r="AE48" i="122"/>
  <c r="AD48" i="122"/>
  <c r="AC48" i="122"/>
  <c r="X48" i="122"/>
  <c r="W48" i="122"/>
  <c r="V48" i="122"/>
  <c r="AB48" i="122" s="1"/>
  <c r="AE47" i="122"/>
  <c r="X47" i="122"/>
  <c r="AD47" i="122" s="1"/>
  <c r="W47" i="122"/>
  <c r="AC47" i="122" s="1"/>
  <c r="V47" i="122"/>
  <c r="AB47" i="122" s="1"/>
  <c r="AE46" i="122"/>
  <c r="AB46" i="122"/>
  <c r="X46" i="122"/>
  <c r="AD46" i="122" s="1"/>
  <c r="W46" i="122"/>
  <c r="AC46" i="122" s="1"/>
  <c r="V46" i="122"/>
  <c r="AE45" i="122"/>
  <c r="AB45" i="122"/>
  <c r="X45" i="122"/>
  <c r="AD45" i="122" s="1"/>
  <c r="W45" i="122"/>
  <c r="AC45" i="122" s="1"/>
  <c r="V45" i="122"/>
  <c r="AE44" i="122"/>
  <c r="X44" i="122"/>
  <c r="AD44" i="122" s="1"/>
  <c r="W44" i="122"/>
  <c r="AC44" i="122" s="1"/>
  <c r="V44" i="122"/>
  <c r="AB44" i="122" s="1"/>
  <c r="AE43" i="122"/>
  <c r="AD43" i="122"/>
  <c r="X43" i="122"/>
  <c r="W43" i="122"/>
  <c r="AC43" i="122" s="1"/>
  <c r="V43" i="122"/>
  <c r="AB43" i="122" s="1"/>
  <c r="AE42" i="122"/>
  <c r="X42" i="122"/>
  <c r="AD42" i="122" s="1"/>
  <c r="W42" i="122"/>
  <c r="AC42" i="122" s="1"/>
  <c r="V42" i="122"/>
  <c r="AB42" i="122" s="1"/>
  <c r="AE41" i="122"/>
  <c r="AC41" i="122"/>
  <c r="X41" i="122"/>
  <c r="AD41" i="122" s="1"/>
  <c r="W41" i="122"/>
  <c r="V41" i="122"/>
  <c r="AB41" i="122" s="1"/>
  <c r="AE40" i="122"/>
  <c r="X40" i="122"/>
  <c r="AD40" i="122" s="1"/>
  <c r="W40" i="122"/>
  <c r="AC40" i="122" s="1"/>
  <c r="V40" i="122"/>
  <c r="AB40" i="122" s="1"/>
  <c r="AE39" i="122"/>
  <c r="AD39" i="122"/>
  <c r="X39" i="122"/>
  <c r="W39" i="122"/>
  <c r="AC39" i="122" s="1"/>
  <c r="V39" i="122"/>
  <c r="AB39" i="122" s="1"/>
  <c r="AE38" i="122"/>
  <c r="X38" i="122"/>
  <c r="AD38" i="122" s="1"/>
  <c r="W38" i="122"/>
  <c r="AC38" i="122" s="1"/>
  <c r="V38" i="122"/>
  <c r="AB38" i="122" s="1"/>
  <c r="X37" i="122"/>
  <c r="W37" i="122"/>
  <c r="V37" i="122"/>
  <c r="O37" i="122"/>
  <c r="M37" i="122"/>
  <c r="AC37" i="122" s="1"/>
  <c r="K37" i="122"/>
  <c r="AB37" i="122" s="1"/>
  <c r="X36" i="122"/>
  <c r="W36" i="122"/>
  <c r="V36" i="122"/>
  <c r="O36" i="122"/>
  <c r="M36" i="122"/>
  <c r="AC36" i="122" s="1"/>
  <c r="K36" i="122"/>
  <c r="AB36" i="122" s="1"/>
  <c r="X35" i="122"/>
  <c r="W35" i="122"/>
  <c r="V35" i="122"/>
  <c r="O35" i="122"/>
  <c r="M35" i="122"/>
  <c r="AC35" i="122" s="1"/>
  <c r="K35" i="122"/>
  <c r="AB35" i="122" s="1"/>
  <c r="AB34" i="122"/>
  <c r="X34" i="122"/>
  <c r="W34" i="122"/>
  <c r="V34" i="122"/>
  <c r="O34" i="122"/>
  <c r="M34" i="122"/>
  <c r="K34" i="122"/>
  <c r="X33" i="122"/>
  <c r="W33" i="122"/>
  <c r="V33" i="122"/>
  <c r="AB33" i="122" s="1"/>
  <c r="O33" i="122"/>
  <c r="M33" i="122"/>
  <c r="AC33" i="122" s="1"/>
  <c r="K33" i="122"/>
  <c r="AB32" i="122"/>
  <c r="X32" i="122"/>
  <c r="W32" i="122"/>
  <c r="V32" i="122"/>
  <c r="O32" i="122"/>
  <c r="M32" i="122"/>
  <c r="K32" i="122"/>
  <c r="X31" i="122"/>
  <c r="W31" i="122"/>
  <c r="V31" i="122"/>
  <c r="O31" i="122"/>
  <c r="M31" i="122"/>
  <c r="AC31" i="122" s="1"/>
  <c r="K31" i="122"/>
  <c r="AB31" i="122" s="1"/>
  <c r="X30" i="122"/>
  <c r="W30" i="122"/>
  <c r="V30" i="122"/>
  <c r="O30" i="122"/>
  <c r="M30" i="122"/>
  <c r="AC30" i="122" s="1"/>
  <c r="K30" i="122"/>
  <c r="AB30" i="122" s="1"/>
  <c r="X29" i="122"/>
  <c r="W29" i="122"/>
  <c r="V29" i="122"/>
  <c r="O29" i="122"/>
  <c r="M29" i="122"/>
  <c r="AC29" i="122" s="1"/>
  <c r="K29" i="122"/>
  <c r="AB29" i="122" s="1"/>
  <c r="X28" i="122"/>
  <c r="W28" i="122"/>
  <c r="V28" i="122"/>
  <c r="O28" i="122"/>
  <c r="M28" i="122"/>
  <c r="K28" i="122"/>
  <c r="AB28" i="122" s="1"/>
  <c r="X27" i="122"/>
  <c r="W27" i="122"/>
  <c r="V27" i="122"/>
  <c r="O27" i="122"/>
  <c r="M27" i="122"/>
  <c r="AC27" i="122" s="1"/>
  <c r="K27" i="122"/>
  <c r="AB27" i="122" s="1"/>
  <c r="AB26" i="122"/>
  <c r="X26" i="122"/>
  <c r="W26" i="122"/>
  <c r="V26" i="122"/>
  <c r="O26" i="122"/>
  <c r="M26" i="122"/>
  <c r="K26" i="122"/>
  <c r="X25" i="122"/>
  <c r="W25" i="122"/>
  <c r="V25" i="122"/>
  <c r="AB25" i="122" s="1"/>
  <c r="O25" i="122"/>
  <c r="M25" i="122"/>
  <c r="K25" i="122"/>
  <c r="AB24" i="122"/>
  <c r="X24" i="122"/>
  <c r="W24" i="122"/>
  <c r="V24" i="122"/>
  <c r="O24" i="122"/>
  <c r="M24" i="122"/>
  <c r="K24" i="122"/>
  <c r="X23" i="122"/>
  <c r="W23" i="122"/>
  <c r="V23" i="122"/>
  <c r="O23" i="122"/>
  <c r="M23" i="122"/>
  <c r="AC23" i="122" s="1"/>
  <c r="K23" i="122"/>
  <c r="AB23" i="122" s="1"/>
  <c r="X22" i="122"/>
  <c r="W22" i="122"/>
  <c r="V22" i="122"/>
  <c r="O22" i="122"/>
  <c r="M22" i="122"/>
  <c r="K22" i="122"/>
  <c r="AB22" i="122" s="1"/>
  <c r="X21" i="122"/>
  <c r="W21" i="122"/>
  <c r="V21" i="122"/>
  <c r="O21" i="122"/>
  <c r="M21" i="122"/>
  <c r="AC21" i="122" s="1"/>
  <c r="K21" i="122"/>
  <c r="AB21" i="122" s="1"/>
  <c r="X20" i="122"/>
  <c r="W20" i="122"/>
  <c r="V20" i="122"/>
  <c r="O20" i="122"/>
  <c r="M20" i="122"/>
  <c r="K20" i="122"/>
  <c r="AB20" i="122" s="1"/>
  <c r="X19" i="122"/>
  <c r="W19" i="122"/>
  <c r="V19" i="122"/>
  <c r="O19" i="122"/>
  <c r="M19" i="122"/>
  <c r="AC19" i="122" s="1"/>
  <c r="K19" i="122"/>
  <c r="AB19" i="122" s="1"/>
  <c r="AB18" i="122"/>
  <c r="X18" i="122"/>
  <c r="W18" i="122"/>
  <c r="V18" i="122"/>
  <c r="O18" i="122"/>
  <c r="M18" i="122"/>
  <c r="K18" i="122"/>
  <c r="X17" i="122"/>
  <c r="W17" i="122"/>
  <c r="V17" i="122"/>
  <c r="O17" i="122"/>
  <c r="M17" i="122"/>
  <c r="K17" i="122"/>
  <c r="AB17" i="122" s="1"/>
  <c r="AB16" i="122"/>
  <c r="X16" i="122"/>
  <c r="W16" i="122"/>
  <c r="V16" i="122"/>
  <c r="O16" i="122"/>
  <c r="M16" i="122"/>
  <c r="K16" i="122"/>
  <c r="X15" i="122"/>
  <c r="W15" i="122"/>
  <c r="V15" i="122"/>
  <c r="O15" i="122"/>
  <c r="M15" i="122"/>
  <c r="K15" i="122"/>
  <c r="AB15" i="122" s="1"/>
  <c r="X14" i="122"/>
  <c r="W14" i="122"/>
  <c r="V14" i="122"/>
  <c r="O14" i="122"/>
  <c r="M14" i="122"/>
  <c r="K14" i="122"/>
  <c r="AB14" i="122" s="1"/>
  <c r="X13" i="122"/>
  <c r="W13" i="122"/>
  <c r="V13" i="122"/>
  <c r="O13" i="122"/>
  <c r="M13" i="122"/>
  <c r="AC13" i="122" s="1"/>
  <c r="K13" i="122"/>
  <c r="AB13" i="122" s="1"/>
  <c r="AB12" i="122"/>
  <c r="X12" i="122"/>
  <c r="W12" i="122"/>
  <c r="V12" i="122"/>
  <c r="O12" i="122"/>
  <c r="M12" i="122"/>
  <c r="K12" i="122"/>
  <c r="X11" i="122"/>
  <c r="W11" i="122"/>
  <c r="V11" i="122"/>
  <c r="O11" i="122"/>
  <c r="M11" i="122"/>
  <c r="K11" i="122"/>
  <c r="AB11" i="122" s="1"/>
  <c r="X10" i="122"/>
  <c r="W10" i="122"/>
  <c r="V10" i="122"/>
  <c r="AB10" i="122" s="1"/>
  <c r="O10" i="122"/>
  <c r="M10" i="122"/>
  <c r="K10" i="122"/>
  <c r="X9" i="122"/>
  <c r="W9" i="122"/>
  <c r="V9" i="122"/>
  <c r="O9" i="122"/>
  <c r="AD9" i="122" s="1"/>
  <c r="M9" i="122"/>
  <c r="AC9" i="122" s="1"/>
  <c r="K9" i="122"/>
  <c r="AB9" i="122" s="1"/>
  <c r="X8" i="122"/>
  <c r="W8" i="122"/>
  <c r="V8" i="122"/>
  <c r="O8" i="122"/>
  <c r="AD8" i="122" s="1"/>
  <c r="M8" i="122"/>
  <c r="AC8" i="122" s="1"/>
  <c r="K8" i="122"/>
  <c r="AD7" i="122"/>
  <c r="X7" i="122"/>
  <c r="W7" i="122"/>
  <c r="V7" i="122"/>
  <c r="O7" i="122"/>
  <c r="M7" i="122"/>
  <c r="K7" i="122"/>
  <c r="AT6" i="122"/>
  <c r="AO6" i="122"/>
  <c r="AJ6" i="122"/>
  <c r="X6" i="122"/>
  <c r="W6" i="122"/>
  <c r="V6" i="122"/>
  <c r="O6" i="122"/>
  <c r="M6" i="122"/>
  <c r="AC6" i="122" s="1"/>
  <c r="K6" i="122"/>
  <c r="AB6" i="122" s="1"/>
  <c r="AT5" i="122"/>
  <c r="AO5" i="122"/>
  <c r="AJ5" i="122"/>
  <c r="X5" i="122"/>
  <c r="W5" i="122"/>
  <c r="V5" i="122"/>
  <c r="O5" i="122"/>
  <c r="M5" i="122"/>
  <c r="K5" i="122"/>
  <c r="AB5" i="122" s="1"/>
  <c r="AT4" i="122"/>
  <c r="AO4" i="122"/>
  <c r="AJ4" i="122"/>
  <c r="X4" i="122"/>
  <c r="W4" i="122"/>
  <c r="V4" i="122"/>
  <c r="O4" i="122"/>
  <c r="AD4" i="122" s="1"/>
  <c r="M4" i="122"/>
  <c r="AC4" i="122" s="1"/>
  <c r="K4" i="122"/>
  <c r="AB4" i="122" s="1"/>
  <c r="AO3" i="122"/>
  <c r="X3" i="122"/>
  <c r="W3" i="122"/>
  <c r="V3" i="122"/>
  <c r="O3" i="122"/>
  <c r="M3" i="122"/>
  <c r="K3" i="122"/>
  <c r="AB3" i="122" s="1"/>
  <c r="X2" i="122"/>
  <c r="W2" i="122"/>
  <c r="V2" i="122"/>
  <c r="O2" i="122"/>
  <c r="AD2" i="122" s="1"/>
  <c r="M2" i="122"/>
  <c r="K2" i="122"/>
  <c r="AG45" i="121"/>
  <c r="AF45" i="121"/>
  <c r="AG44" i="121"/>
  <c r="AF44" i="121"/>
  <c r="AE44" i="121"/>
  <c r="AE45" i="121" s="1"/>
  <c r="AD44" i="121"/>
  <c r="AD45" i="121" s="1"/>
  <c r="AC44" i="121"/>
  <c r="AC45" i="121" s="1"/>
  <c r="AG43" i="121"/>
  <c r="AF43" i="121"/>
  <c r="AE43" i="121"/>
  <c r="AD43" i="121"/>
  <c r="AG42" i="121"/>
  <c r="AF42" i="121"/>
  <c r="AE42" i="121"/>
  <c r="AD42" i="121"/>
  <c r="AD41" i="121"/>
  <c r="AG40" i="121"/>
  <c r="AG41" i="121" s="1"/>
  <c r="AG39" i="121"/>
  <c r="AF39" i="121"/>
  <c r="AF40" i="121" s="1"/>
  <c r="AF41" i="121" s="1"/>
  <c r="AE39" i="121"/>
  <c r="AE40" i="121" s="1"/>
  <c r="AE41" i="121" s="1"/>
  <c r="AD39" i="121"/>
  <c r="AD40" i="121" s="1"/>
  <c r="AC39" i="121"/>
  <c r="AC40" i="121" s="1"/>
  <c r="AC41" i="121" s="1"/>
  <c r="AC42" i="121" s="1"/>
  <c r="AC43" i="121" s="1"/>
  <c r="AG38" i="121"/>
  <c r="AF38" i="121"/>
  <c r="AG37" i="121"/>
  <c r="AF37" i="121"/>
  <c r="AG36" i="121"/>
  <c r="AF36" i="121"/>
  <c r="AE36" i="121"/>
  <c r="AE37" i="121" s="1"/>
  <c r="AE38" i="121" s="1"/>
  <c r="AD36" i="121"/>
  <c r="AD37" i="121" s="1"/>
  <c r="AD38" i="121" s="1"/>
  <c r="AG35" i="121"/>
  <c r="AF35" i="121"/>
  <c r="AE35" i="121"/>
  <c r="AD35" i="121"/>
  <c r="AD34" i="121"/>
  <c r="AG32" i="121"/>
  <c r="AG33" i="121" s="1"/>
  <c r="AG34" i="121" s="1"/>
  <c r="AF32" i="121"/>
  <c r="AF33" i="121" s="1"/>
  <c r="AF34" i="121" s="1"/>
  <c r="AE32" i="121"/>
  <c r="AE33" i="121" s="1"/>
  <c r="AE34" i="121" s="1"/>
  <c r="AD32" i="121"/>
  <c r="AD33" i="121" s="1"/>
  <c r="AG31" i="121"/>
  <c r="AF31" i="121"/>
  <c r="AE31" i="121"/>
  <c r="AD31" i="121"/>
  <c r="AE29" i="121"/>
  <c r="AE30" i="121" s="1"/>
  <c r="AD29" i="121"/>
  <c r="AD30" i="121" s="1"/>
  <c r="AG28" i="121"/>
  <c r="AG29" i="121" s="1"/>
  <c r="AG30" i="121" s="1"/>
  <c r="AF28" i="121"/>
  <c r="AF29" i="121" s="1"/>
  <c r="AF30" i="121" s="1"/>
  <c r="AE28" i="121"/>
  <c r="AD28" i="121"/>
  <c r="AG27" i="121"/>
  <c r="AF27" i="121"/>
  <c r="AE27" i="121"/>
  <c r="AD27" i="121"/>
  <c r="AD25" i="121"/>
  <c r="AD26" i="121" s="1"/>
  <c r="AG24" i="121"/>
  <c r="AG25" i="121" s="1"/>
  <c r="AG26" i="121" s="1"/>
  <c r="AF24" i="121"/>
  <c r="AF25" i="121" s="1"/>
  <c r="AF26" i="121" s="1"/>
  <c r="AE24" i="121"/>
  <c r="AE25" i="121" s="1"/>
  <c r="AE26" i="121" s="1"/>
  <c r="AD24" i="121"/>
  <c r="AC24" i="121"/>
  <c r="AC25" i="121" s="1"/>
  <c r="AC26" i="121" s="1"/>
  <c r="AC27" i="121" s="1"/>
  <c r="AC28" i="121" s="1"/>
  <c r="AC29" i="121" s="1"/>
  <c r="AC30" i="121" s="1"/>
  <c r="AC31" i="121" s="1"/>
  <c r="AC32" i="121" s="1"/>
  <c r="AC33" i="121" s="1"/>
  <c r="AC34" i="121" s="1"/>
  <c r="AC35" i="121" s="1"/>
  <c r="AC36" i="121" s="1"/>
  <c r="AC37" i="121" s="1"/>
  <c r="AC38" i="121" s="1"/>
  <c r="AG23" i="121"/>
  <c r="AF23" i="121"/>
  <c r="AG22" i="121"/>
  <c r="AF22" i="121"/>
  <c r="AG21" i="121"/>
  <c r="AF21" i="121"/>
  <c r="AG20" i="121"/>
  <c r="AF20" i="121"/>
  <c r="AG19" i="121"/>
  <c r="AF19" i="121"/>
  <c r="AE19" i="121"/>
  <c r="AE20" i="121" s="1"/>
  <c r="AE21" i="121" s="1"/>
  <c r="AE22" i="121" s="1"/>
  <c r="AE23" i="121" s="1"/>
  <c r="AD19" i="121"/>
  <c r="AD20" i="121" s="1"/>
  <c r="AD21" i="121" s="1"/>
  <c r="AD22" i="121" s="1"/>
  <c r="AD23" i="121" s="1"/>
  <c r="AG18" i="121"/>
  <c r="AF18" i="121"/>
  <c r="AG17" i="121"/>
  <c r="AF17" i="121"/>
  <c r="AG16" i="121"/>
  <c r="AF16" i="121"/>
  <c r="AG15" i="121"/>
  <c r="AF15" i="121"/>
  <c r="AD15" i="121"/>
  <c r="AD16" i="121" s="1"/>
  <c r="AD17" i="121" s="1"/>
  <c r="AD18" i="121" s="1"/>
  <c r="AG14" i="121"/>
  <c r="AF14" i="121"/>
  <c r="AE14" i="121"/>
  <c r="AE15" i="121" s="1"/>
  <c r="AE16" i="121" s="1"/>
  <c r="AE17" i="121" s="1"/>
  <c r="AE18" i="121" s="1"/>
  <c r="AD14" i="121"/>
  <c r="AD12" i="121"/>
  <c r="AD13" i="121" s="1"/>
  <c r="AG11" i="121"/>
  <c r="AG12" i="121" s="1"/>
  <c r="AG13" i="121" s="1"/>
  <c r="AF11" i="121"/>
  <c r="AF12" i="121" s="1"/>
  <c r="AF13" i="121" s="1"/>
  <c r="AE11" i="121"/>
  <c r="AE12" i="121" s="1"/>
  <c r="AE13" i="121" s="1"/>
  <c r="AD11" i="121"/>
  <c r="AC11" i="121"/>
  <c r="AC12" i="121" s="1"/>
  <c r="AC13" i="121" s="1"/>
  <c r="AC14" i="121" s="1"/>
  <c r="AC15" i="121" s="1"/>
  <c r="AC16" i="121" s="1"/>
  <c r="AC17" i="121" s="1"/>
  <c r="AC18" i="121" s="1"/>
  <c r="AC19" i="121" s="1"/>
  <c r="AC20" i="121" s="1"/>
  <c r="AC21" i="121" s="1"/>
  <c r="AC22" i="121" s="1"/>
  <c r="AC23" i="121" s="1"/>
  <c r="AG10" i="121"/>
  <c r="AF10" i="121"/>
  <c r="AE10" i="121"/>
  <c r="AD10" i="121"/>
  <c r="AG9" i="121"/>
  <c r="AF9" i="121"/>
  <c r="AE9" i="121"/>
  <c r="AD9" i="121"/>
  <c r="AG8" i="121"/>
  <c r="AF8" i="121"/>
  <c r="AE8" i="121"/>
  <c r="AD8" i="121"/>
  <c r="AG7" i="121"/>
  <c r="AF7" i="121"/>
  <c r="AE7" i="121"/>
  <c r="AD7" i="121"/>
  <c r="AG6" i="121"/>
  <c r="AE6" i="121"/>
  <c r="AG5" i="121"/>
  <c r="AF5" i="121"/>
  <c r="AF6" i="121" s="1"/>
  <c r="AE5" i="121"/>
  <c r="AD5" i="121"/>
  <c r="AD6" i="121" s="1"/>
  <c r="AC5" i="121"/>
  <c r="AC6" i="121" s="1"/>
  <c r="AC7" i="121" s="1"/>
  <c r="AC8" i="121" s="1"/>
  <c r="V52" i="121"/>
  <c r="X50" i="121"/>
  <c r="V50" i="121"/>
  <c r="T50" i="121"/>
  <c r="P50" i="121"/>
  <c r="P52" i="121" s="1"/>
  <c r="O50" i="121"/>
  <c r="O52" i="121" s="1"/>
  <c r="N50" i="121"/>
  <c r="M50" i="121"/>
  <c r="V49" i="121"/>
  <c r="U49" i="121"/>
  <c r="T49" i="121"/>
  <c r="P49" i="121"/>
  <c r="O49" i="121"/>
  <c r="N49" i="121"/>
  <c r="M49" i="121"/>
  <c r="X48" i="121"/>
  <c r="V48" i="121"/>
  <c r="U48" i="121"/>
  <c r="T48" i="121"/>
  <c r="T52" i="121" s="1"/>
  <c r="P48" i="121"/>
  <c r="O48" i="121"/>
  <c r="N48" i="121"/>
  <c r="N52" i="121" s="1"/>
  <c r="M48" i="121"/>
  <c r="Y10" i="121"/>
  <c r="Y9" i="121"/>
  <c r="Y7" i="121"/>
  <c r="AU54" i="120"/>
  <c r="AT54" i="120"/>
  <c r="AS54" i="120"/>
  <c r="AU53" i="120"/>
  <c r="AT53" i="120"/>
  <c r="AS53" i="120"/>
  <c r="AR53" i="120"/>
  <c r="AV53" i="120" s="1"/>
  <c r="AQ53" i="120"/>
  <c r="AQ54" i="120" s="1"/>
  <c r="AU52" i="120"/>
  <c r="AT52" i="120"/>
  <c r="AS52" i="120"/>
  <c r="AR52" i="120"/>
  <c r="AV52" i="120" s="1"/>
  <c r="AU51" i="120"/>
  <c r="AT51" i="120"/>
  <c r="AS51" i="120"/>
  <c r="AR51" i="120"/>
  <c r="AV51" i="120" s="1"/>
  <c r="AU50" i="120"/>
  <c r="AU49" i="120"/>
  <c r="AU48" i="120"/>
  <c r="AT48" i="120"/>
  <c r="AT49" i="120" s="1"/>
  <c r="AT50" i="120" s="1"/>
  <c r="AS48" i="120"/>
  <c r="AS49" i="120" s="1"/>
  <c r="AS50" i="120" s="1"/>
  <c r="AR48" i="120"/>
  <c r="AV48" i="120" s="1"/>
  <c r="AQ48" i="120"/>
  <c r="AQ49" i="120" s="1"/>
  <c r="AQ50" i="120" s="1"/>
  <c r="AQ51" i="120" s="1"/>
  <c r="AQ52" i="120" s="1"/>
  <c r="AU47" i="120"/>
  <c r="AT47" i="120"/>
  <c r="AU46" i="120"/>
  <c r="AT46" i="120"/>
  <c r="AU45" i="120"/>
  <c r="AT45" i="120"/>
  <c r="AS45" i="120"/>
  <c r="AS46" i="120" s="1"/>
  <c r="AS47" i="120" s="1"/>
  <c r="AR45" i="120"/>
  <c r="AV45" i="120" s="1"/>
  <c r="AU44" i="120"/>
  <c r="AT44" i="120"/>
  <c r="AS44" i="120"/>
  <c r="AR44" i="120"/>
  <c r="AV44" i="120" s="1"/>
  <c r="AR42" i="120"/>
  <c r="AV42" i="120" s="1"/>
  <c r="AU41" i="120"/>
  <c r="AU42" i="120" s="1"/>
  <c r="AU43" i="120" s="1"/>
  <c r="AT41" i="120"/>
  <c r="AT42" i="120" s="1"/>
  <c r="AT43" i="120" s="1"/>
  <c r="AS41" i="120"/>
  <c r="AS42" i="120" s="1"/>
  <c r="AS43" i="120" s="1"/>
  <c r="AR41" i="120"/>
  <c r="AV41" i="120" s="1"/>
  <c r="AU40" i="120"/>
  <c r="AT40" i="120"/>
  <c r="AS40" i="120"/>
  <c r="AR40" i="120"/>
  <c r="AV40" i="120" s="1"/>
  <c r="AU37" i="120"/>
  <c r="AU38" i="120" s="1"/>
  <c r="AU39" i="120" s="1"/>
  <c r="AT37" i="120"/>
  <c r="AT38" i="120" s="1"/>
  <c r="AT39" i="120" s="1"/>
  <c r="AS37" i="120"/>
  <c r="AS38" i="120" s="1"/>
  <c r="AS39" i="120" s="1"/>
  <c r="AR37" i="120"/>
  <c r="AV37" i="120" s="1"/>
  <c r="AU36" i="120"/>
  <c r="AT36" i="120"/>
  <c r="AS36" i="120"/>
  <c r="AR36" i="120"/>
  <c r="AV36" i="120" s="1"/>
  <c r="AT35" i="120"/>
  <c r="AU34" i="120"/>
  <c r="AU35" i="120" s="1"/>
  <c r="AT34" i="120"/>
  <c r="AU33" i="120"/>
  <c r="AT33" i="120"/>
  <c r="AS33" i="120"/>
  <c r="AS34" i="120" s="1"/>
  <c r="AS35" i="120" s="1"/>
  <c r="AR33" i="120"/>
  <c r="AQ33" i="120"/>
  <c r="AQ34" i="120" s="1"/>
  <c r="AQ35" i="120" s="1"/>
  <c r="AQ36" i="120" s="1"/>
  <c r="AQ37" i="120" s="1"/>
  <c r="AQ38" i="120" s="1"/>
  <c r="AQ39" i="120" s="1"/>
  <c r="AQ40" i="120" s="1"/>
  <c r="AQ41" i="120" s="1"/>
  <c r="AQ42" i="120" s="1"/>
  <c r="AQ43" i="120" s="1"/>
  <c r="AQ44" i="120" s="1"/>
  <c r="AQ45" i="120" s="1"/>
  <c r="AQ46" i="120" s="1"/>
  <c r="AQ47" i="120" s="1"/>
  <c r="AU32" i="120"/>
  <c r="AT32" i="120"/>
  <c r="AU31" i="120"/>
  <c r="AT31" i="120"/>
  <c r="AU30" i="120"/>
  <c r="AT30" i="120"/>
  <c r="AS30" i="120"/>
  <c r="AS31" i="120" s="1"/>
  <c r="AS32" i="120" s="1"/>
  <c r="AU29" i="120"/>
  <c r="AT29" i="120"/>
  <c r="AU28" i="120"/>
  <c r="AT28" i="120"/>
  <c r="AS28" i="120"/>
  <c r="AS29" i="120" s="1"/>
  <c r="AR28" i="120"/>
  <c r="AV28" i="120" s="1"/>
  <c r="AU27" i="120"/>
  <c r="AT27" i="120"/>
  <c r="AU26" i="120"/>
  <c r="AT26" i="120"/>
  <c r="AU25" i="120"/>
  <c r="AT25" i="120"/>
  <c r="AU24" i="120"/>
  <c r="AT24" i="120"/>
  <c r="AU23" i="120"/>
  <c r="AT23" i="120"/>
  <c r="AS23" i="120"/>
  <c r="AS24" i="120" s="1"/>
  <c r="AS25" i="120" s="1"/>
  <c r="AS26" i="120" s="1"/>
  <c r="AS27" i="120" s="1"/>
  <c r="AR23" i="120"/>
  <c r="AR24" i="120" s="1"/>
  <c r="AU20" i="120"/>
  <c r="AU21" i="120" s="1"/>
  <c r="AU22" i="120" s="1"/>
  <c r="AT20" i="120"/>
  <c r="AT21" i="120" s="1"/>
  <c r="AT22" i="120" s="1"/>
  <c r="AS20" i="120"/>
  <c r="AS21" i="120" s="1"/>
  <c r="AS22" i="120" s="1"/>
  <c r="AR20" i="120"/>
  <c r="AQ20" i="120"/>
  <c r="AQ21" i="120" s="1"/>
  <c r="AQ22" i="120" s="1"/>
  <c r="AQ23" i="120" s="1"/>
  <c r="AQ24" i="120" s="1"/>
  <c r="AQ25" i="120" s="1"/>
  <c r="AQ26" i="120" s="1"/>
  <c r="AQ27" i="120" s="1"/>
  <c r="AQ28" i="120" s="1"/>
  <c r="AQ29" i="120" s="1"/>
  <c r="AQ30" i="120" s="1"/>
  <c r="AQ31" i="120" s="1"/>
  <c r="AQ32" i="120" s="1"/>
  <c r="AU19" i="120"/>
  <c r="AR19" i="120"/>
  <c r="AV19" i="120" s="1"/>
  <c r="AQ19" i="120"/>
  <c r="AV18" i="120"/>
  <c r="AU18" i="120"/>
  <c r="AT18" i="120"/>
  <c r="AT19" i="120" s="1"/>
  <c r="AS18" i="120"/>
  <c r="AS19" i="120" s="1"/>
  <c r="AR18" i="120"/>
  <c r="AQ18" i="120"/>
  <c r="AU16" i="120"/>
  <c r="AU17" i="120" s="1"/>
  <c r="AR15" i="120"/>
  <c r="AR16" i="120" s="1"/>
  <c r="AV14" i="120"/>
  <c r="AT14" i="120"/>
  <c r="AT15" i="120" s="1"/>
  <c r="AT16" i="120" s="1"/>
  <c r="AT17" i="120" s="1"/>
  <c r="AU13" i="120"/>
  <c r="AU14" i="120" s="1"/>
  <c r="AU15" i="120" s="1"/>
  <c r="AT13" i="120"/>
  <c r="AS13" i="120"/>
  <c r="AS14" i="120" s="1"/>
  <c r="AS15" i="120" s="1"/>
  <c r="AS16" i="120" s="1"/>
  <c r="AS17" i="120" s="1"/>
  <c r="AR13" i="120"/>
  <c r="AR14" i="120" s="1"/>
  <c r="AV12" i="120"/>
  <c r="AU12" i="120"/>
  <c r="AT12" i="120"/>
  <c r="AS12" i="120"/>
  <c r="AR12" i="120"/>
  <c r="AU9" i="120"/>
  <c r="AU10" i="120" s="1"/>
  <c r="AU11" i="120" s="1"/>
  <c r="AT9" i="120"/>
  <c r="AT10" i="120" s="1"/>
  <c r="AT11" i="120" s="1"/>
  <c r="AS9" i="120"/>
  <c r="AS10" i="120" s="1"/>
  <c r="AS11" i="120" s="1"/>
  <c r="AR9" i="120"/>
  <c r="AU8" i="120"/>
  <c r="AU6" i="120"/>
  <c r="AU7" i="120" s="1"/>
  <c r="AU5" i="120"/>
  <c r="AT5" i="120"/>
  <c r="AT6" i="120" s="1"/>
  <c r="AT7" i="120" s="1"/>
  <c r="AT8" i="120" s="1"/>
  <c r="AS5" i="120"/>
  <c r="AS6" i="120" s="1"/>
  <c r="AS7" i="120" s="1"/>
  <c r="AS8" i="120" s="1"/>
  <c r="AR5" i="120"/>
  <c r="AQ5" i="120"/>
  <c r="AQ6" i="120" s="1"/>
  <c r="AQ7" i="120" s="1"/>
  <c r="AL60" i="120"/>
  <c r="AG60" i="120"/>
  <c r="AD60" i="120"/>
  <c r="AB60" i="120"/>
  <c r="T60" i="120"/>
  <c r="AK59" i="120"/>
  <c r="AF59" i="120"/>
  <c r="AE59" i="120"/>
  <c r="AC59" i="120"/>
  <c r="Y59" i="120"/>
  <c r="X59" i="120"/>
  <c r="W59" i="120"/>
  <c r="S59" i="120"/>
  <c r="R59" i="120"/>
  <c r="Q59" i="120"/>
  <c r="P59" i="120"/>
  <c r="O59" i="120"/>
  <c r="M59" i="120"/>
  <c r="L59" i="120"/>
  <c r="AK58" i="120"/>
  <c r="AF58" i="120"/>
  <c r="AP57" i="120" s="1"/>
  <c r="AC58" i="120"/>
  <c r="AA58" i="120"/>
  <c r="Z58" i="120"/>
  <c r="Y58" i="120"/>
  <c r="X58" i="120"/>
  <c r="W58" i="120"/>
  <c r="V58" i="120"/>
  <c r="U58" i="120"/>
  <c r="S58" i="120"/>
  <c r="R58" i="120"/>
  <c r="Q58" i="120"/>
  <c r="P58" i="120"/>
  <c r="O58" i="120"/>
  <c r="M58" i="120"/>
  <c r="L58" i="120"/>
  <c r="F14" i="119"/>
  <c r="J14" i="119" s="1"/>
  <c r="F13" i="119"/>
  <c r="J13" i="119" s="1"/>
  <c r="F12" i="119"/>
  <c r="J12" i="119" s="1"/>
  <c r="F11" i="119"/>
  <c r="J11" i="119" s="1"/>
  <c r="F10" i="119"/>
  <c r="J10" i="119" s="1"/>
  <c r="F9" i="119"/>
  <c r="J9" i="119" s="1"/>
  <c r="F8" i="119"/>
  <c r="F7" i="119"/>
  <c r="J7" i="119" s="1"/>
  <c r="F6" i="119"/>
  <c r="J6" i="119" s="1"/>
  <c r="F5" i="119"/>
  <c r="J5" i="119" s="1"/>
  <c r="AE13" i="118"/>
  <c r="AD13" i="118"/>
  <c r="AC13" i="118"/>
  <c r="AB13" i="118"/>
  <c r="AA13" i="118"/>
  <c r="W13" i="118"/>
  <c r="V13" i="118"/>
  <c r="U13" i="118"/>
  <c r="AI13" i="118" s="1"/>
  <c r="T13" i="118"/>
  <c r="S13" i="118"/>
  <c r="Y13" i="118" s="1"/>
  <c r="AG13" i="118" s="1"/>
  <c r="R13" i="118"/>
  <c r="AE12" i="118"/>
  <c r="AD12" i="118"/>
  <c r="AE8" i="118"/>
  <c r="AD8" i="118"/>
  <c r="AC8" i="118"/>
  <c r="AB8" i="118"/>
  <c r="AA8" i="118"/>
  <c r="W8" i="118"/>
  <c r="AJ8" i="118" s="1"/>
  <c r="V8" i="118"/>
  <c r="U8" i="118"/>
  <c r="AI8" i="118" s="1"/>
  <c r="T8" i="118"/>
  <c r="S8" i="118"/>
  <c r="Y8" i="118" s="1"/>
  <c r="R8" i="118"/>
  <c r="X8" i="118" s="1"/>
  <c r="AF8" i="118" s="1"/>
  <c r="AE6" i="118"/>
  <c r="AD6" i="118"/>
  <c r="AI6" i="118" s="1"/>
  <c r="AC6" i="118"/>
  <c r="AB6" i="118"/>
  <c r="AA6" i="118"/>
  <c r="W6" i="118"/>
  <c r="V6" i="118"/>
  <c r="Y6" i="118" s="1"/>
  <c r="AG6" i="118" s="1"/>
  <c r="U6" i="118"/>
  <c r="T6" i="118"/>
  <c r="S6" i="118"/>
  <c r="R6" i="118"/>
  <c r="X6" i="118" s="1"/>
  <c r="AE5" i="118"/>
  <c r="AD5" i="118"/>
  <c r="AC5" i="118"/>
  <c r="AB5" i="118"/>
  <c r="AA5" i="118"/>
  <c r="W5" i="118"/>
  <c r="AJ5" i="118" s="1"/>
  <c r="V5" i="118"/>
  <c r="U5" i="118"/>
  <c r="T5" i="118"/>
  <c r="S5" i="118"/>
  <c r="R5" i="118"/>
  <c r="X5" i="118" s="1"/>
  <c r="AE4" i="118"/>
  <c r="AD4" i="118"/>
  <c r="AC4" i="118"/>
  <c r="AB4" i="118"/>
  <c r="AA4" i="118"/>
  <c r="W4" i="118"/>
  <c r="V4" i="118"/>
  <c r="U4" i="118"/>
  <c r="AI4" i="118" s="1"/>
  <c r="T4" i="118"/>
  <c r="S4" i="118"/>
  <c r="Y4" i="118" s="1"/>
  <c r="AG4" i="118" s="1"/>
  <c r="R4" i="118"/>
  <c r="AE3" i="118"/>
  <c r="AD3" i="118"/>
  <c r="AC3" i="118"/>
  <c r="AB3" i="118"/>
  <c r="AA3" i="118"/>
  <c r="W3" i="118"/>
  <c r="AJ3" i="118" s="1"/>
  <c r="V3" i="118"/>
  <c r="U3" i="118"/>
  <c r="AI3" i="118" s="1"/>
  <c r="T3" i="118"/>
  <c r="S3" i="118"/>
  <c r="Y3" i="118" s="1"/>
  <c r="R3" i="118"/>
  <c r="J654" i="118"/>
  <c r="M654" i="118" s="1"/>
  <c r="J653" i="118"/>
  <c r="M653" i="118" s="1"/>
  <c r="J652" i="118"/>
  <c r="M652" i="118" s="1"/>
  <c r="J651" i="118"/>
  <c r="J650" i="118"/>
  <c r="M650" i="118" s="1"/>
  <c r="J649" i="118"/>
  <c r="J648" i="118"/>
  <c r="J647" i="118"/>
  <c r="M647" i="118" s="1"/>
  <c r="J646" i="118"/>
  <c r="M646" i="118" s="1"/>
  <c r="J645" i="118"/>
  <c r="J644" i="118"/>
  <c r="J643" i="118"/>
  <c r="J642" i="118"/>
  <c r="J557" i="118"/>
  <c r="J258" i="118"/>
  <c r="J257" i="118"/>
  <c r="J256" i="118"/>
  <c r="M256" i="118" s="1"/>
  <c r="J255" i="118"/>
  <c r="M255" i="118" s="1"/>
  <c r="J254" i="118"/>
  <c r="M254" i="118" s="1"/>
  <c r="J253" i="118"/>
  <c r="J252" i="118"/>
  <c r="J251" i="118"/>
  <c r="J250" i="118"/>
  <c r="J249" i="118"/>
  <c r="J248" i="118"/>
  <c r="M248" i="118" s="1"/>
  <c r="J247" i="118"/>
  <c r="M247" i="118" s="1"/>
  <c r="L246" i="118"/>
  <c r="O246" i="118" s="1"/>
  <c r="K246" i="118"/>
  <c r="L245" i="118"/>
  <c r="K245" i="118"/>
  <c r="L244" i="118"/>
  <c r="K244" i="118"/>
  <c r="L243" i="118"/>
  <c r="O243" i="118" s="1"/>
  <c r="K243" i="118"/>
  <c r="N243" i="118" s="1"/>
  <c r="L242" i="118"/>
  <c r="O242" i="118" s="1"/>
  <c r="K242" i="118"/>
  <c r="L241" i="118"/>
  <c r="K241" i="118"/>
  <c r="L240" i="118"/>
  <c r="K240" i="118"/>
  <c r="L239" i="118"/>
  <c r="O239" i="118" s="1"/>
  <c r="K239" i="118"/>
  <c r="N239" i="118" s="1"/>
  <c r="L238" i="118"/>
  <c r="O238" i="118" s="1"/>
  <c r="K238" i="118"/>
  <c r="L237" i="118"/>
  <c r="K237" i="118"/>
  <c r="L236" i="118"/>
  <c r="K236" i="118"/>
  <c r="L235" i="118"/>
  <c r="O235" i="118" s="1"/>
  <c r="K235" i="118"/>
  <c r="N235" i="118" s="1"/>
  <c r="J234" i="118"/>
  <c r="M234" i="118" s="1"/>
  <c r="J233" i="118"/>
  <c r="J232" i="118"/>
  <c r="J231" i="118"/>
  <c r="J230" i="118"/>
  <c r="J229" i="118"/>
  <c r="J228" i="118"/>
  <c r="M228" i="118" s="1"/>
  <c r="J227" i="118"/>
  <c r="M227" i="118" s="1"/>
  <c r="J226" i="118"/>
  <c r="M226" i="118" s="1"/>
  <c r="J225" i="118"/>
  <c r="J224" i="118"/>
  <c r="J223" i="118"/>
  <c r="J667" i="118"/>
  <c r="M667" i="118" s="1"/>
  <c r="J666" i="118"/>
  <c r="M666" i="118" s="1"/>
  <c r="J665" i="118"/>
  <c r="M665" i="118" s="1"/>
  <c r="M664" i="118"/>
  <c r="J664" i="118"/>
  <c r="J663" i="118"/>
  <c r="M663" i="118" s="1"/>
  <c r="J662" i="118"/>
  <c r="M662" i="118" s="1"/>
  <c r="J661" i="118"/>
  <c r="M661" i="118" s="1"/>
  <c r="M660" i="118"/>
  <c r="J660" i="118"/>
  <c r="M659" i="118"/>
  <c r="J659" i="118"/>
  <c r="J658" i="118"/>
  <c r="M658" i="118" s="1"/>
  <c r="J657" i="118"/>
  <c r="M657" i="118" s="1"/>
  <c r="J656" i="118"/>
  <c r="M656" i="118" s="1"/>
  <c r="M655" i="118"/>
  <c r="J655" i="118"/>
  <c r="M651" i="118"/>
  <c r="M649" i="118"/>
  <c r="M648" i="118"/>
  <c r="M645" i="118"/>
  <c r="M644" i="118"/>
  <c r="M643" i="118"/>
  <c r="M642" i="118"/>
  <c r="J641" i="118"/>
  <c r="M641" i="118" s="1"/>
  <c r="J640" i="118"/>
  <c r="M640" i="118" s="1"/>
  <c r="J639" i="118"/>
  <c r="M639" i="118" s="1"/>
  <c r="J638" i="118"/>
  <c r="M638" i="118" s="1"/>
  <c r="J637" i="118"/>
  <c r="M637" i="118" s="1"/>
  <c r="J636" i="118"/>
  <c r="M636" i="118" s="1"/>
  <c r="M635" i="118"/>
  <c r="J635" i="118"/>
  <c r="J634" i="118"/>
  <c r="M634" i="118" s="1"/>
  <c r="J633" i="118"/>
  <c r="M633" i="118" s="1"/>
  <c r="J632" i="118"/>
  <c r="M632" i="118" s="1"/>
  <c r="M631" i="118"/>
  <c r="J631" i="118"/>
  <c r="J630" i="118"/>
  <c r="M630" i="118" s="1"/>
  <c r="J629" i="118"/>
  <c r="M629" i="118" s="1"/>
  <c r="J628" i="118"/>
  <c r="M628" i="118" s="1"/>
  <c r="J627" i="118"/>
  <c r="M627" i="118" s="1"/>
  <c r="J626" i="118"/>
  <c r="M626" i="118" s="1"/>
  <c r="J625" i="118"/>
  <c r="M625" i="118" s="1"/>
  <c r="J624" i="118"/>
  <c r="M624" i="118" s="1"/>
  <c r="M623" i="118"/>
  <c r="J623" i="118"/>
  <c r="J622" i="118"/>
  <c r="M622" i="118" s="1"/>
  <c r="J621" i="118"/>
  <c r="M621" i="118" s="1"/>
  <c r="J620" i="118"/>
  <c r="M620" i="118" s="1"/>
  <c r="J619" i="118"/>
  <c r="M619" i="118" s="1"/>
  <c r="J618" i="118"/>
  <c r="M618" i="118" s="1"/>
  <c r="J617" i="118"/>
  <c r="M617" i="118" s="1"/>
  <c r="J616" i="118"/>
  <c r="M616" i="118" s="1"/>
  <c r="J615" i="118"/>
  <c r="M615" i="118" s="1"/>
  <c r="J614" i="118"/>
  <c r="M614" i="118" s="1"/>
  <c r="J613" i="118"/>
  <c r="M613" i="118" s="1"/>
  <c r="J612" i="118"/>
  <c r="M612" i="118" s="1"/>
  <c r="J611" i="118"/>
  <c r="M611" i="118" s="1"/>
  <c r="J610" i="118"/>
  <c r="M610" i="118" s="1"/>
  <c r="M609" i="118"/>
  <c r="J609" i="118"/>
  <c r="J608" i="118"/>
  <c r="M608" i="118" s="1"/>
  <c r="J607" i="118"/>
  <c r="M607" i="118" s="1"/>
  <c r="J606" i="118"/>
  <c r="M606" i="118" s="1"/>
  <c r="J605" i="118"/>
  <c r="M605" i="118" s="1"/>
  <c r="J604" i="118"/>
  <c r="M604" i="118" s="1"/>
  <c r="J603" i="118"/>
  <c r="M603" i="118" s="1"/>
  <c r="J602" i="118"/>
  <c r="M602" i="118" s="1"/>
  <c r="J601" i="118"/>
  <c r="M601" i="118" s="1"/>
  <c r="J600" i="118"/>
  <c r="M600" i="118" s="1"/>
  <c r="J599" i="118"/>
  <c r="M599" i="118" s="1"/>
  <c r="J598" i="118"/>
  <c r="M598" i="118" s="1"/>
  <c r="M597" i="118"/>
  <c r="J597" i="118"/>
  <c r="J596" i="118"/>
  <c r="M596" i="118" s="1"/>
  <c r="J595" i="118"/>
  <c r="M595" i="118" s="1"/>
  <c r="J594" i="118"/>
  <c r="M594" i="118" s="1"/>
  <c r="J593" i="118"/>
  <c r="M593" i="118" s="1"/>
  <c r="J592" i="118"/>
  <c r="M592" i="118" s="1"/>
  <c r="J591" i="118"/>
  <c r="M591" i="118" s="1"/>
  <c r="M590" i="118"/>
  <c r="J590" i="118"/>
  <c r="J589" i="118"/>
  <c r="M589" i="118" s="1"/>
  <c r="J588" i="118"/>
  <c r="M588" i="118" s="1"/>
  <c r="J587" i="118"/>
  <c r="M587" i="118" s="1"/>
  <c r="J586" i="118"/>
  <c r="M586" i="118" s="1"/>
  <c r="J585" i="118"/>
  <c r="M585" i="118" s="1"/>
  <c r="M584" i="118"/>
  <c r="J584" i="118"/>
  <c r="J583" i="118"/>
  <c r="M583" i="118" s="1"/>
  <c r="J582" i="118"/>
  <c r="M582" i="118" s="1"/>
  <c r="J581" i="118"/>
  <c r="M581" i="118" s="1"/>
  <c r="J580" i="118"/>
  <c r="M580" i="118" s="1"/>
  <c r="J579" i="118"/>
  <c r="M579" i="118" s="1"/>
  <c r="M578" i="118"/>
  <c r="J578" i="118"/>
  <c r="J577" i="118"/>
  <c r="M577" i="118" s="1"/>
  <c r="J576" i="118"/>
  <c r="M576" i="118" s="1"/>
  <c r="J575" i="118"/>
  <c r="M575" i="118" s="1"/>
  <c r="J574" i="118"/>
  <c r="M574" i="118" s="1"/>
  <c r="J573" i="118"/>
  <c r="M573" i="118" s="1"/>
  <c r="J572" i="118"/>
  <c r="M572" i="118" s="1"/>
  <c r="J571" i="118"/>
  <c r="M571" i="118" s="1"/>
  <c r="J570" i="118"/>
  <c r="M570" i="118" s="1"/>
  <c r="J569" i="118"/>
  <c r="M569" i="118" s="1"/>
  <c r="M568" i="118"/>
  <c r="J568" i="118"/>
  <c r="J567" i="118"/>
  <c r="M567" i="118" s="1"/>
  <c r="J566" i="118"/>
  <c r="M566" i="118" s="1"/>
  <c r="J565" i="118"/>
  <c r="M565" i="118" s="1"/>
  <c r="J564" i="118"/>
  <c r="M564" i="118" s="1"/>
  <c r="J563" i="118"/>
  <c r="M563" i="118" s="1"/>
  <c r="J562" i="118"/>
  <c r="M562" i="118" s="1"/>
  <c r="M561" i="118"/>
  <c r="J561" i="118"/>
  <c r="J560" i="118"/>
  <c r="M560" i="118" s="1"/>
  <c r="J559" i="118"/>
  <c r="M559" i="118" s="1"/>
  <c r="J558" i="118"/>
  <c r="M558" i="118" s="1"/>
  <c r="M557" i="118"/>
  <c r="J556" i="118"/>
  <c r="M556" i="118" s="1"/>
  <c r="J555" i="118"/>
  <c r="M555" i="118" s="1"/>
  <c r="M554" i="118"/>
  <c r="J554" i="118"/>
  <c r="J553" i="118"/>
  <c r="M553" i="118" s="1"/>
  <c r="J552" i="118"/>
  <c r="M552" i="118" s="1"/>
  <c r="J551" i="118"/>
  <c r="M551" i="118" s="1"/>
  <c r="J550" i="118"/>
  <c r="M550" i="118" s="1"/>
  <c r="J549" i="118"/>
  <c r="M549" i="118" s="1"/>
  <c r="J548" i="118"/>
  <c r="M548" i="118" s="1"/>
  <c r="J547" i="118"/>
  <c r="M547" i="118" s="1"/>
  <c r="J546" i="118"/>
  <c r="M546" i="118" s="1"/>
  <c r="J545" i="118"/>
  <c r="M545" i="118" s="1"/>
  <c r="M544" i="118"/>
  <c r="J544" i="118"/>
  <c r="J543" i="118"/>
  <c r="M543" i="118" s="1"/>
  <c r="J542" i="118"/>
  <c r="M542" i="118" s="1"/>
  <c r="J541" i="118"/>
  <c r="M541" i="118" s="1"/>
  <c r="J540" i="118"/>
  <c r="M540" i="118" s="1"/>
  <c r="J539" i="118"/>
  <c r="M539" i="118" s="1"/>
  <c r="J538" i="118"/>
  <c r="M538" i="118" s="1"/>
  <c r="J537" i="118"/>
  <c r="M537" i="118" s="1"/>
  <c r="J536" i="118"/>
  <c r="M536" i="118" s="1"/>
  <c r="J535" i="118"/>
  <c r="M535" i="118" s="1"/>
  <c r="J534" i="118"/>
  <c r="M534" i="118" s="1"/>
  <c r="J533" i="118"/>
  <c r="M533" i="118" s="1"/>
  <c r="J532" i="118"/>
  <c r="M532" i="118" s="1"/>
  <c r="J531" i="118"/>
  <c r="M531" i="118" s="1"/>
  <c r="J530" i="118"/>
  <c r="M530" i="118" s="1"/>
  <c r="J529" i="118"/>
  <c r="M529" i="118" s="1"/>
  <c r="M528" i="118"/>
  <c r="J528" i="118"/>
  <c r="J527" i="118"/>
  <c r="M527" i="118" s="1"/>
  <c r="J526" i="118"/>
  <c r="M526" i="118" s="1"/>
  <c r="J525" i="118"/>
  <c r="M525" i="118" s="1"/>
  <c r="J524" i="118"/>
  <c r="M524" i="118" s="1"/>
  <c r="J523" i="118"/>
  <c r="M523" i="118" s="1"/>
  <c r="J522" i="118"/>
  <c r="M522" i="118" s="1"/>
  <c r="J521" i="118"/>
  <c r="M521" i="118" s="1"/>
  <c r="J520" i="118"/>
  <c r="M520" i="118" s="1"/>
  <c r="J519" i="118"/>
  <c r="M519" i="118" s="1"/>
  <c r="M518" i="118"/>
  <c r="J518" i="118"/>
  <c r="J517" i="118"/>
  <c r="M517" i="118" s="1"/>
  <c r="J516" i="118"/>
  <c r="M516" i="118" s="1"/>
  <c r="J515" i="118"/>
  <c r="M515" i="118" s="1"/>
  <c r="J514" i="118"/>
  <c r="M514" i="118" s="1"/>
  <c r="J513" i="118"/>
  <c r="M513" i="118" s="1"/>
  <c r="M512" i="118"/>
  <c r="J512" i="118"/>
  <c r="J511" i="118"/>
  <c r="M511" i="118" s="1"/>
  <c r="J510" i="118"/>
  <c r="M510" i="118" s="1"/>
  <c r="J509" i="118"/>
  <c r="M509" i="118" s="1"/>
  <c r="J508" i="118"/>
  <c r="M508" i="118" s="1"/>
  <c r="J507" i="118"/>
  <c r="M507" i="118" s="1"/>
  <c r="J506" i="118"/>
  <c r="M506" i="118" s="1"/>
  <c r="J505" i="118"/>
  <c r="M505" i="118" s="1"/>
  <c r="J504" i="118"/>
  <c r="M504" i="118" s="1"/>
  <c r="J503" i="118"/>
  <c r="M503" i="118" s="1"/>
  <c r="J502" i="118"/>
  <c r="M502" i="118" s="1"/>
  <c r="J501" i="118"/>
  <c r="M501" i="118" s="1"/>
  <c r="J500" i="118"/>
  <c r="M500" i="118" s="1"/>
  <c r="J499" i="118"/>
  <c r="M499" i="118" s="1"/>
  <c r="J498" i="118"/>
  <c r="M498" i="118" s="1"/>
  <c r="M497" i="118"/>
  <c r="J497" i="118"/>
  <c r="M496" i="118"/>
  <c r="J496" i="118"/>
  <c r="J495" i="118"/>
  <c r="M495" i="118" s="1"/>
  <c r="J494" i="118"/>
  <c r="M494" i="118" s="1"/>
  <c r="J493" i="118"/>
  <c r="M493" i="118" s="1"/>
  <c r="J492" i="118"/>
  <c r="M492" i="118" s="1"/>
  <c r="J491" i="118"/>
  <c r="M491" i="118" s="1"/>
  <c r="J490" i="118"/>
  <c r="M490" i="118" s="1"/>
  <c r="J489" i="118"/>
  <c r="M489" i="118" s="1"/>
  <c r="J488" i="118"/>
  <c r="M488" i="118" s="1"/>
  <c r="J487" i="118"/>
  <c r="M487" i="118" s="1"/>
  <c r="J486" i="118"/>
  <c r="M486" i="118" s="1"/>
  <c r="M485" i="118"/>
  <c r="J485" i="118"/>
  <c r="J484" i="118"/>
  <c r="M484" i="118" s="1"/>
  <c r="J483" i="118"/>
  <c r="M483" i="118" s="1"/>
  <c r="J482" i="118"/>
  <c r="M482" i="118" s="1"/>
  <c r="M481" i="118"/>
  <c r="J481" i="118"/>
  <c r="M480" i="118"/>
  <c r="J480" i="118"/>
  <c r="J479" i="118"/>
  <c r="M479" i="118" s="1"/>
  <c r="J478" i="118"/>
  <c r="M478" i="118" s="1"/>
  <c r="J477" i="118"/>
  <c r="M477" i="118" s="1"/>
  <c r="J476" i="118"/>
  <c r="M476" i="118" s="1"/>
  <c r="J475" i="118"/>
  <c r="M475" i="118" s="1"/>
  <c r="J474" i="118"/>
  <c r="M474" i="118" s="1"/>
  <c r="J473" i="118"/>
  <c r="M473" i="118" s="1"/>
  <c r="J472" i="118"/>
  <c r="M472" i="118" s="1"/>
  <c r="J471" i="118"/>
  <c r="M471" i="118" s="1"/>
  <c r="J470" i="118"/>
  <c r="M470" i="118" s="1"/>
  <c r="M469" i="118"/>
  <c r="J469" i="118"/>
  <c r="J468" i="118"/>
  <c r="M468" i="118" s="1"/>
  <c r="J467" i="118"/>
  <c r="M467" i="118" s="1"/>
  <c r="J466" i="118"/>
  <c r="M466" i="118" s="1"/>
  <c r="M465" i="118"/>
  <c r="J465" i="118"/>
  <c r="J464" i="118"/>
  <c r="M464" i="118" s="1"/>
  <c r="J463" i="118"/>
  <c r="M463" i="118" s="1"/>
  <c r="J462" i="118"/>
  <c r="M462" i="118" s="1"/>
  <c r="M461" i="118"/>
  <c r="J461" i="118"/>
  <c r="M460" i="118"/>
  <c r="J460" i="118"/>
  <c r="J459" i="118"/>
  <c r="M459" i="118" s="1"/>
  <c r="J458" i="118"/>
  <c r="M458" i="118" s="1"/>
  <c r="J457" i="118"/>
  <c r="M457" i="118" s="1"/>
  <c r="M456" i="118"/>
  <c r="J456" i="118"/>
  <c r="J455" i="118"/>
  <c r="M455" i="118" s="1"/>
  <c r="J454" i="118"/>
  <c r="M454" i="118" s="1"/>
  <c r="J453" i="118"/>
  <c r="M453" i="118" s="1"/>
  <c r="J452" i="118"/>
  <c r="M452" i="118" s="1"/>
  <c r="J451" i="118"/>
  <c r="M451" i="118" s="1"/>
  <c r="J420" i="118"/>
  <c r="M420" i="118" s="1"/>
  <c r="J419" i="118"/>
  <c r="M419" i="118" s="1"/>
  <c r="J418" i="118"/>
  <c r="M418" i="118" s="1"/>
  <c r="M417" i="118"/>
  <c r="J417" i="118"/>
  <c r="J416" i="118"/>
  <c r="M416" i="118" s="1"/>
  <c r="J415" i="118"/>
  <c r="M415" i="118" s="1"/>
  <c r="M414" i="118"/>
  <c r="J414" i="118"/>
  <c r="M413" i="118"/>
  <c r="J413" i="118"/>
  <c r="J412" i="118"/>
  <c r="M412" i="118" s="1"/>
  <c r="J411" i="118"/>
  <c r="M411" i="118" s="1"/>
  <c r="J410" i="118"/>
  <c r="M410" i="118" s="1"/>
  <c r="M409" i="118"/>
  <c r="J409" i="118"/>
  <c r="J408" i="118"/>
  <c r="M408" i="118" s="1"/>
  <c r="J407" i="118"/>
  <c r="M407" i="118" s="1"/>
  <c r="M406" i="118"/>
  <c r="J406" i="118"/>
  <c r="M405" i="118"/>
  <c r="J405" i="118"/>
  <c r="J404" i="118"/>
  <c r="M404" i="118" s="1"/>
  <c r="J403" i="118"/>
  <c r="M403" i="118" s="1"/>
  <c r="J402" i="118"/>
  <c r="M402" i="118" s="1"/>
  <c r="M401" i="118"/>
  <c r="J401" i="118"/>
  <c r="J400" i="118"/>
  <c r="M400" i="118" s="1"/>
  <c r="J399" i="118"/>
  <c r="M399" i="118" s="1"/>
  <c r="M398" i="118"/>
  <c r="J398" i="118"/>
  <c r="M397" i="118"/>
  <c r="J397" i="118"/>
  <c r="J396" i="118"/>
  <c r="M396" i="118" s="1"/>
  <c r="J395" i="118"/>
  <c r="M395" i="118" s="1"/>
  <c r="J394" i="118"/>
  <c r="M394" i="118" s="1"/>
  <c r="M393" i="118"/>
  <c r="J393" i="118"/>
  <c r="J392" i="118"/>
  <c r="M392" i="118" s="1"/>
  <c r="J391" i="118"/>
  <c r="M391" i="118" s="1"/>
  <c r="M390" i="118"/>
  <c r="J390" i="118"/>
  <c r="M389" i="118"/>
  <c r="J389" i="118"/>
  <c r="J388" i="118"/>
  <c r="M388" i="118" s="1"/>
  <c r="J387" i="118"/>
  <c r="M387" i="118" s="1"/>
  <c r="J386" i="118"/>
  <c r="M386" i="118" s="1"/>
  <c r="M385" i="118"/>
  <c r="J385" i="118"/>
  <c r="J384" i="118"/>
  <c r="M384" i="118" s="1"/>
  <c r="J383" i="118"/>
  <c r="M383" i="118" s="1"/>
  <c r="M382" i="118"/>
  <c r="J382" i="118"/>
  <c r="M381" i="118"/>
  <c r="J381" i="118"/>
  <c r="J380" i="118"/>
  <c r="M380" i="118" s="1"/>
  <c r="J379" i="118"/>
  <c r="M379" i="118" s="1"/>
  <c r="J378" i="118"/>
  <c r="M378" i="118" s="1"/>
  <c r="M377" i="118"/>
  <c r="J377" i="118"/>
  <c r="J376" i="118"/>
  <c r="M376" i="118" s="1"/>
  <c r="J375" i="118"/>
  <c r="M375" i="118" s="1"/>
  <c r="M374" i="118"/>
  <c r="J374" i="118"/>
  <c r="M373" i="118"/>
  <c r="J373" i="118"/>
  <c r="J372" i="118"/>
  <c r="M372" i="118" s="1"/>
  <c r="J371" i="118"/>
  <c r="M371" i="118" s="1"/>
  <c r="J370" i="118"/>
  <c r="M370" i="118" s="1"/>
  <c r="M369" i="118"/>
  <c r="J369" i="118"/>
  <c r="J368" i="118"/>
  <c r="M368" i="118" s="1"/>
  <c r="J367" i="118"/>
  <c r="M367" i="118" s="1"/>
  <c r="M366" i="118"/>
  <c r="J366" i="118"/>
  <c r="M365" i="118"/>
  <c r="J365" i="118"/>
  <c r="J364" i="118"/>
  <c r="M364" i="118" s="1"/>
  <c r="J363" i="118"/>
  <c r="M363" i="118" s="1"/>
  <c r="J362" i="118"/>
  <c r="M362" i="118" s="1"/>
  <c r="M361" i="118"/>
  <c r="J361" i="118"/>
  <c r="J360" i="118"/>
  <c r="M360" i="118" s="1"/>
  <c r="J359" i="118"/>
  <c r="M359" i="118" s="1"/>
  <c r="M358" i="118"/>
  <c r="J358" i="118"/>
  <c r="M357" i="118"/>
  <c r="J357" i="118"/>
  <c r="J356" i="118"/>
  <c r="M356" i="118" s="1"/>
  <c r="J355" i="118"/>
  <c r="M355" i="118" s="1"/>
  <c r="J354" i="118"/>
  <c r="M354" i="118" s="1"/>
  <c r="M353" i="118"/>
  <c r="J353" i="118"/>
  <c r="J352" i="118"/>
  <c r="M352" i="118" s="1"/>
  <c r="J351" i="118"/>
  <c r="M351" i="118" s="1"/>
  <c r="M350" i="118"/>
  <c r="J350" i="118"/>
  <c r="M349" i="118"/>
  <c r="J349" i="118"/>
  <c r="J348" i="118"/>
  <c r="M348" i="118" s="1"/>
  <c r="J347" i="118"/>
  <c r="M347" i="118" s="1"/>
  <c r="J346" i="118"/>
  <c r="M346" i="118" s="1"/>
  <c r="M345" i="118"/>
  <c r="J345" i="118"/>
  <c r="J344" i="118"/>
  <c r="M344" i="118" s="1"/>
  <c r="J343" i="118"/>
  <c r="M343" i="118" s="1"/>
  <c r="M342" i="118"/>
  <c r="J342" i="118"/>
  <c r="M341" i="118"/>
  <c r="J341" i="118"/>
  <c r="J340" i="118"/>
  <c r="M340" i="118" s="1"/>
  <c r="J339" i="118"/>
  <c r="M339" i="118" s="1"/>
  <c r="J338" i="118"/>
  <c r="M338" i="118" s="1"/>
  <c r="M337" i="118"/>
  <c r="J337" i="118"/>
  <c r="J336" i="118"/>
  <c r="M336" i="118" s="1"/>
  <c r="J335" i="118"/>
  <c r="M335" i="118" s="1"/>
  <c r="M334" i="118"/>
  <c r="J334" i="118"/>
  <c r="M333" i="118"/>
  <c r="J333" i="118"/>
  <c r="J332" i="118"/>
  <c r="M332" i="118" s="1"/>
  <c r="J331" i="118"/>
  <c r="M331" i="118" s="1"/>
  <c r="J330" i="118"/>
  <c r="M330" i="118" s="1"/>
  <c r="J329" i="118"/>
  <c r="M329" i="118" s="1"/>
  <c r="M328" i="118"/>
  <c r="J328" i="118"/>
  <c r="J327" i="118"/>
  <c r="M327" i="118" s="1"/>
  <c r="J326" i="118"/>
  <c r="M326" i="118" s="1"/>
  <c r="J325" i="118"/>
  <c r="M325" i="118" s="1"/>
  <c r="J324" i="118"/>
  <c r="M324" i="118" s="1"/>
  <c r="M323" i="118"/>
  <c r="J323" i="118"/>
  <c r="J322" i="118"/>
  <c r="M322" i="118" s="1"/>
  <c r="J321" i="118"/>
  <c r="M321" i="118" s="1"/>
  <c r="J320" i="118"/>
  <c r="M320" i="118" s="1"/>
  <c r="M319" i="118"/>
  <c r="J319" i="118"/>
  <c r="J318" i="118"/>
  <c r="M318" i="118" s="1"/>
  <c r="J317" i="118"/>
  <c r="M317" i="118" s="1"/>
  <c r="J316" i="118"/>
  <c r="M316" i="118" s="1"/>
  <c r="J315" i="118"/>
  <c r="M315" i="118" s="1"/>
  <c r="J314" i="118"/>
  <c r="M314" i="118" s="1"/>
  <c r="M313" i="118"/>
  <c r="J313" i="118"/>
  <c r="J312" i="118"/>
  <c r="M312" i="118" s="1"/>
  <c r="J311" i="118"/>
  <c r="M311" i="118" s="1"/>
  <c r="J310" i="118"/>
  <c r="M310" i="118" s="1"/>
  <c r="J309" i="118"/>
  <c r="M309" i="118" s="1"/>
  <c r="J308" i="118"/>
  <c r="M308" i="118" s="1"/>
  <c r="J307" i="118"/>
  <c r="M307" i="118" s="1"/>
  <c r="J306" i="118"/>
  <c r="M306" i="118" s="1"/>
  <c r="J305" i="118"/>
  <c r="M305" i="118" s="1"/>
  <c r="M304" i="118"/>
  <c r="J304" i="118"/>
  <c r="J303" i="118"/>
  <c r="M303" i="118" s="1"/>
  <c r="J302" i="118"/>
  <c r="M302" i="118" s="1"/>
  <c r="M301" i="118"/>
  <c r="J301" i="118"/>
  <c r="J300" i="118"/>
  <c r="M300" i="118" s="1"/>
  <c r="M299" i="118"/>
  <c r="J299" i="118"/>
  <c r="J298" i="118"/>
  <c r="M298" i="118" s="1"/>
  <c r="J297" i="118"/>
  <c r="M297" i="118" s="1"/>
  <c r="M296" i="118"/>
  <c r="J296" i="118"/>
  <c r="J295" i="118"/>
  <c r="M295" i="118" s="1"/>
  <c r="J294" i="118"/>
  <c r="M294" i="118" s="1"/>
  <c r="J293" i="118"/>
  <c r="M293" i="118" s="1"/>
  <c r="J292" i="118"/>
  <c r="M292" i="118" s="1"/>
  <c r="M291" i="118"/>
  <c r="J291" i="118"/>
  <c r="J290" i="118"/>
  <c r="M290" i="118" s="1"/>
  <c r="J289" i="118"/>
  <c r="M289" i="118" s="1"/>
  <c r="J288" i="118"/>
  <c r="M288" i="118" s="1"/>
  <c r="J287" i="118"/>
  <c r="M287" i="118" s="1"/>
  <c r="J286" i="118"/>
  <c r="M286" i="118" s="1"/>
  <c r="J285" i="118"/>
  <c r="M285" i="118" s="1"/>
  <c r="M284" i="118"/>
  <c r="J284" i="118"/>
  <c r="J283" i="118"/>
  <c r="M283" i="118" s="1"/>
  <c r="J282" i="118"/>
  <c r="M282" i="118" s="1"/>
  <c r="J281" i="118"/>
  <c r="M281" i="118" s="1"/>
  <c r="M280" i="118"/>
  <c r="J280" i="118"/>
  <c r="J279" i="118"/>
  <c r="M279" i="118" s="1"/>
  <c r="J278" i="118"/>
  <c r="M278" i="118" s="1"/>
  <c r="J277" i="118"/>
  <c r="M277" i="118" s="1"/>
  <c r="J276" i="118"/>
  <c r="M276" i="118" s="1"/>
  <c r="M275" i="118"/>
  <c r="J275" i="118"/>
  <c r="J274" i="118"/>
  <c r="M274" i="118" s="1"/>
  <c r="J273" i="118"/>
  <c r="M273" i="118" s="1"/>
  <c r="J272" i="118"/>
  <c r="M272" i="118" s="1"/>
  <c r="J271" i="118"/>
  <c r="M271" i="118" s="1"/>
  <c r="J270" i="118"/>
  <c r="M270" i="118" s="1"/>
  <c r="J269" i="118"/>
  <c r="M269" i="118" s="1"/>
  <c r="M268" i="118"/>
  <c r="J268" i="118"/>
  <c r="J267" i="118"/>
  <c r="M267" i="118" s="1"/>
  <c r="J266" i="118"/>
  <c r="M266" i="118" s="1"/>
  <c r="J265" i="118"/>
  <c r="M265" i="118" s="1"/>
  <c r="M264" i="118"/>
  <c r="J264" i="118"/>
  <c r="J263" i="118"/>
  <c r="M263" i="118" s="1"/>
  <c r="J262" i="118"/>
  <c r="M262" i="118" s="1"/>
  <c r="J261" i="118"/>
  <c r="M261" i="118" s="1"/>
  <c r="J260" i="118"/>
  <c r="M260" i="118" s="1"/>
  <c r="M259" i="118"/>
  <c r="J259" i="118"/>
  <c r="M258" i="118"/>
  <c r="M257" i="118"/>
  <c r="M253" i="118"/>
  <c r="M252" i="118"/>
  <c r="M251" i="118"/>
  <c r="M250" i="118"/>
  <c r="M249" i="118"/>
  <c r="N246" i="118"/>
  <c r="O245" i="118"/>
  <c r="N245" i="118"/>
  <c r="O244" i="118"/>
  <c r="N244" i="118"/>
  <c r="N242" i="118"/>
  <c r="O241" i="118"/>
  <c r="N241" i="118"/>
  <c r="O240" i="118"/>
  <c r="N240" i="118"/>
  <c r="N238" i="118"/>
  <c r="O237" i="118"/>
  <c r="N237" i="118"/>
  <c r="O236" i="118"/>
  <c r="N236" i="118"/>
  <c r="M233" i="118"/>
  <c r="M232" i="118"/>
  <c r="M231" i="118"/>
  <c r="M230" i="118"/>
  <c r="M229" i="118"/>
  <c r="M225" i="118"/>
  <c r="M224" i="118"/>
  <c r="M223" i="118"/>
  <c r="J222" i="118"/>
  <c r="M222" i="118" s="1"/>
  <c r="M221" i="118"/>
  <c r="J221" i="118"/>
  <c r="J220" i="118"/>
  <c r="M220" i="118" s="1"/>
  <c r="J219" i="118"/>
  <c r="M219" i="118" s="1"/>
  <c r="J218" i="118"/>
  <c r="M218" i="118" s="1"/>
  <c r="J217" i="118"/>
  <c r="M217" i="118" s="1"/>
  <c r="J216" i="118"/>
  <c r="M216" i="118" s="1"/>
  <c r="J215" i="118"/>
  <c r="M215" i="118" s="1"/>
  <c r="J214" i="118"/>
  <c r="M214" i="118" s="1"/>
  <c r="M213" i="118"/>
  <c r="J213" i="118"/>
  <c r="J212" i="118"/>
  <c r="M212" i="118" s="1"/>
  <c r="J211" i="118"/>
  <c r="M211" i="118" s="1"/>
  <c r="N210" i="118"/>
  <c r="L210" i="118"/>
  <c r="O210" i="118" s="1"/>
  <c r="K210" i="118"/>
  <c r="L209" i="118"/>
  <c r="O209" i="118" s="1"/>
  <c r="K209" i="118"/>
  <c r="N209" i="118" s="1"/>
  <c r="L208" i="118"/>
  <c r="O208" i="118" s="1"/>
  <c r="K208" i="118"/>
  <c r="N208" i="118" s="1"/>
  <c r="L207" i="118"/>
  <c r="O207" i="118" s="1"/>
  <c r="K207" i="118"/>
  <c r="N207" i="118" s="1"/>
  <c r="L206" i="118"/>
  <c r="O206" i="118" s="1"/>
  <c r="K206" i="118"/>
  <c r="N206" i="118" s="1"/>
  <c r="L205" i="118"/>
  <c r="O205" i="118" s="1"/>
  <c r="K205" i="118"/>
  <c r="N205" i="118" s="1"/>
  <c r="L204" i="118"/>
  <c r="O204" i="118" s="1"/>
  <c r="K204" i="118"/>
  <c r="N204" i="118" s="1"/>
  <c r="L203" i="118"/>
  <c r="O203" i="118" s="1"/>
  <c r="K203" i="118"/>
  <c r="N203" i="118" s="1"/>
  <c r="L202" i="118"/>
  <c r="O202" i="118" s="1"/>
  <c r="K202" i="118"/>
  <c r="N202" i="118" s="1"/>
  <c r="L201" i="118"/>
  <c r="O201" i="118" s="1"/>
  <c r="K201" i="118"/>
  <c r="N201" i="118" s="1"/>
  <c r="L200" i="118"/>
  <c r="O200" i="118" s="1"/>
  <c r="K200" i="118"/>
  <c r="N200" i="118" s="1"/>
  <c r="L199" i="118"/>
  <c r="O199" i="118" s="1"/>
  <c r="K199" i="118"/>
  <c r="N199" i="118" s="1"/>
  <c r="J198" i="118"/>
  <c r="M198" i="118" s="1"/>
  <c r="J197" i="118"/>
  <c r="M197" i="118" s="1"/>
  <c r="J196" i="118"/>
  <c r="M196" i="118" s="1"/>
  <c r="J195" i="118"/>
  <c r="M195" i="118" s="1"/>
  <c r="J194" i="118"/>
  <c r="M194" i="118" s="1"/>
  <c r="M193" i="118"/>
  <c r="J193" i="118"/>
  <c r="J192" i="118"/>
  <c r="M192" i="118" s="1"/>
  <c r="J191" i="118"/>
  <c r="M191" i="118" s="1"/>
  <c r="J190" i="118"/>
  <c r="M190" i="118" s="1"/>
  <c r="J189" i="118"/>
  <c r="M189" i="118" s="1"/>
  <c r="J188" i="118"/>
  <c r="M188" i="118" s="1"/>
  <c r="J187" i="118"/>
  <c r="M187" i="118" s="1"/>
  <c r="J186" i="118"/>
  <c r="M186" i="118" s="1"/>
  <c r="J185" i="118"/>
  <c r="M185" i="118" s="1"/>
  <c r="J184" i="118"/>
  <c r="M184" i="118" s="1"/>
  <c r="J183" i="118"/>
  <c r="M183" i="118" s="1"/>
  <c r="J182" i="118"/>
  <c r="M182" i="118" s="1"/>
  <c r="J181" i="118"/>
  <c r="M181" i="118" s="1"/>
  <c r="J180" i="118"/>
  <c r="M180" i="118" s="1"/>
  <c r="J179" i="118"/>
  <c r="M179" i="118" s="1"/>
  <c r="J178" i="118"/>
  <c r="M178" i="118" s="1"/>
  <c r="J177" i="118"/>
  <c r="M177" i="118" s="1"/>
  <c r="J176" i="118"/>
  <c r="M176" i="118" s="1"/>
  <c r="J175" i="118"/>
  <c r="M175" i="118" s="1"/>
  <c r="J174" i="118"/>
  <c r="M174" i="118" s="1"/>
  <c r="M173" i="118"/>
  <c r="J173" i="118"/>
  <c r="J172" i="118"/>
  <c r="M172" i="118" s="1"/>
  <c r="J171" i="118"/>
  <c r="M171" i="118" s="1"/>
  <c r="J170" i="118"/>
  <c r="M170" i="118" s="1"/>
  <c r="M169" i="118"/>
  <c r="J169" i="118"/>
  <c r="L168" i="118"/>
  <c r="O168" i="118" s="1"/>
  <c r="K168" i="118"/>
  <c r="N168" i="118" s="1"/>
  <c r="L167" i="118"/>
  <c r="O167" i="118" s="1"/>
  <c r="K167" i="118"/>
  <c r="N167" i="118" s="1"/>
  <c r="L166" i="118"/>
  <c r="O166" i="118" s="1"/>
  <c r="K166" i="118"/>
  <c r="N166" i="118" s="1"/>
  <c r="O165" i="118"/>
  <c r="N165" i="118"/>
  <c r="L165" i="118"/>
  <c r="K165" i="118"/>
  <c r="L164" i="118"/>
  <c r="O164" i="118" s="1"/>
  <c r="K164" i="118"/>
  <c r="N164" i="118" s="1"/>
  <c r="L163" i="118"/>
  <c r="O163" i="118" s="1"/>
  <c r="K163" i="118"/>
  <c r="N163" i="118" s="1"/>
  <c r="O162" i="118"/>
  <c r="N162" i="118"/>
  <c r="L162" i="118"/>
  <c r="K162" i="118"/>
  <c r="L161" i="118"/>
  <c r="O161" i="118" s="1"/>
  <c r="K161" i="118"/>
  <c r="N161" i="118" s="1"/>
  <c r="L160" i="118"/>
  <c r="O160" i="118" s="1"/>
  <c r="K160" i="118"/>
  <c r="N160" i="118" s="1"/>
  <c r="L159" i="118"/>
  <c r="O159" i="118" s="1"/>
  <c r="K159" i="118"/>
  <c r="N159" i="118" s="1"/>
  <c r="L158" i="118"/>
  <c r="O158" i="118" s="1"/>
  <c r="K158" i="118"/>
  <c r="N158" i="118" s="1"/>
  <c r="O157" i="118"/>
  <c r="N157" i="118"/>
  <c r="L157" i="118"/>
  <c r="K157" i="118"/>
  <c r="L156" i="118"/>
  <c r="O156" i="118" s="1"/>
  <c r="K156" i="118"/>
  <c r="N156" i="118" s="1"/>
  <c r="L155" i="118"/>
  <c r="O155" i="118" s="1"/>
  <c r="K155" i="118"/>
  <c r="N155" i="118" s="1"/>
  <c r="O154" i="118"/>
  <c r="N154" i="118"/>
  <c r="L154" i="118"/>
  <c r="K154" i="118"/>
  <c r="L153" i="118"/>
  <c r="O153" i="118" s="1"/>
  <c r="K153" i="118"/>
  <c r="N153" i="118" s="1"/>
  <c r="L152" i="118"/>
  <c r="O152" i="118" s="1"/>
  <c r="K152" i="118"/>
  <c r="N152" i="118" s="1"/>
  <c r="L151" i="118"/>
  <c r="O151" i="118" s="1"/>
  <c r="K151" i="118"/>
  <c r="N151" i="118" s="1"/>
  <c r="L150" i="118"/>
  <c r="O150" i="118" s="1"/>
  <c r="K150" i="118"/>
  <c r="N150" i="118" s="1"/>
  <c r="O149" i="118"/>
  <c r="N149" i="118"/>
  <c r="L149" i="118"/>
  <c r="K149" i="118"/>
  <c r="J148" i="118"/>
  <c r="M148" i="118" s="1"/>
  <c r="J147" i="118"/>
  <c r="M147" i="118" s="1"/>
  <c r="J146" i="118"/>
  <c r="M146" i="118" s="1"/>
  <c r="J145" i="118"/>
  <c r="M145" i="118" s="1"/>
  <c r="J144" i="118"/>
  <c r="M144" i="118" s="1"/>
  <c r="J143" i="118"/>
  <c r="M143" i="118" s="1"/>
  <c r="J142" i="118"/>
  <c r="M142" i="118" s="1"/>
  <c r="J141" i="118"/>
  <c r="M141" i="118" s="1"/>
  <c r="J140" i="118"/>
  <c r="M140" i="118" s="1"/>
  <c r="J139" i="118"/>
  <c r="M139" i="118" s="1"/>
  <c r="J138" i="118"/>
  <c r="M138" i="118" s="1"/>
  <c r="M137" i="118"/>
  <c r="J137" i="118"/>
  <c r="J136" i="118"/>
  <c r="M136" i="118" s="1"/>
  <c r="J135" i="118"/>
  <c r="M135" i="118" s="1"/>
  <c r="J134" i="118"/>
  <c r="M134" i="118" s="1"/>
  <c r="J133" i="118"/>
  <c r="M133" i="118" s="1"/>
  <c r="J132" i="118"/>
  <c r="M132" i="118" s="1"/>
  <c r="J131" i="118"/>
  <c r="M131" i="118" s="1"/>
  <c r="J130" i="118"/>
  <c r="M130" i="118" s="1"/>
  <c r="L129" i="118"/>
  <c r="O129" i="118" s="1"/>
  <c r="J129" i="118"/>
  <c r="M129" i="118" s="1"/>
  <c r="L128" i="118"/>
  <c r="O128" i="118" s="1"/>
  <c r="J128" i="118"/>
  <c r="M128" i="118" s="1"/>
  <c r="L127" i="118"/>
  <c r="O127" i="118" s="1"/>
  <c r="J127" i="118"/>
  <c r="M127" i="118" s="1"/>
  <c r="O126" i="118"/>
  <c r="L126" i="118"/>
  <c r="J126" i="118"/>
  <c r="M126" i="118" s="1"/>
  <c r="L125" i="118"/>
  <c r="O125" i="118" s="1"/>
  <c r="J125" i="118"/>
  <c r="M125" i="118" s="1"/>
  <c r="L124" i="118"/>
  <c r="O124" i="118" s="1"/>
  <c r="J124" i="118"/>
  <c r="M124" i="118" s="1"/>
  <c r="L123" i="118"/>
  <c r="O123" i="118" s="1"/>
  <c r="J123" i="118"/>
  <c r="M123" i="118" s="1"/>
  <c r="L122" i="118"/>
  <c r="O122" i="118" s="1"/>
  <c r="J122" i="118"/>
  <c r="M122" i="118" s="1"/>
  <c r="O121" i="118"/>
  <c r="M121" i="118"/>
  <c r="L121" i="118"/>
  <c r="J121" i="118"/>
  <c r="L120" i="118"/>
  <c r="O120" i="118" s="1"/>
  <c r="J120" i="118"/>
  <c r="M120" i="118" s="1"/>
  <c r="L119" i="118"/>
  <c r="O119" i="118" s="1"/>
  <c r="J119" i="118"/>
  <c r="M119" i="118" s="1"/>
  <c r="O118" i="118"/>
  <c r="M118" i="118"/>
  <c r="L118" i="118"/>
  <c r="J118" i="118"/>
  <c r="N117" i="118"/>
  <c r="L117" i="118"/>
  <c r="O117" i="118" s="1"/>
  <c r="K117" i="118"/>
  <c r="L116" i="118"/>
  <c r="O116" i="118" s="1"/>
  <c r="K116" i="118"/>
  <c r="N116" i="118" s="1"/>
  <c r="L115" i="118"/>
  <c r="O115" i="118" s="1"/>
  <c r="K115" i="118"/>
  <c r="N115" i="118" s="1"/>
  <c r="O114" i="118"/>
  <c r="N114" i="118"/>
  <c r="L114" i="118"/>
  <c r="K114" i="118"/>
  <c r="O113" i="118"/>
  <c r="L113" i="118"/>
  <c r="K113" i="118"/>
  <c r="N113" i="118" s="1"/>
  <c r="L112" i="118"/>
  <c r="O112" i="118" s="1"/>
  <c r="K112" i="118"/>
  <c r="N112" i="118" s="1"/>
  <c r="L111" i="118"/>
  <c r="O111" i="118" s="1"/>
  <c r="K111" i="118"/>
  <c r="N111" i="118" s="1"/>
  <c r="O110" i="118"/>
  <c r="L110" i="118"/>
  <c r="K110" i="118"/>
  <c r="N110" i="118" s="1"/>
  <c r="L109" i="118"/>
  <c r="O109" i="118" s="1"/>
  <c r="K109" i="118"/>
  <c r="N109" i="118" s="1"/>
  <c r="L108" i="118"/>
  <c r="O108" i="118" s="1"/>
  <c r="K108" i="118"/>
  <c r="N108" i="118" s="1"/>
  <c r="L107" i="118"/>
  <c r="O107" i="118" s="1"/>
  <c r="K107" i="118"/>
  <c r="N107" i="118" s="1"/>
  <c r="L106" i="118"/>
  <c r="O106" i="118" s="1"/>
  <c r="K106" i="118"/>
  <c r="N106" i="118" s="1"/>
  <c r="O105" i="118"/>
  <c r="L105" i="118"/>
  <c r="J105" i="118"/>
  <c r="M105" i="118" s="1"/>
  <c r="M104" i="118"/>
  <c r="L104" i="118"/>
  <c r="O104" i="118" s="1"/>
  <c r="J104" i="118"/>
  <c r="L103" i="118"/>
  <c r="O103" i="118" s="1"/>
  <c r="J103" i="118"/>
  <c r="M103" i="118" s="1"/>
  <c r="L102" i="118"/>
  <c r="O102" i="118" s="1"/>
  <c r="J102" i="118"/>
  <c r="M102" i="118" s="1"/>
  <c r="M101" i="118"/>
  <c r="L101" i="118"/>
  <c r="O101" i="118" s="1"/>
  <c r="J101" i="118"/>
  <c r="M100" i="118"/>
  <c r="L100" i="118"/>
  <c r="O100" i="118" s="1"/>
  <c r="J100" i="118"/>
  <c r="L99" i="118"/>
  <c r="O99" i="118" s="1"/>
  <c r="J99" i="118"/>
  <c r="M99" i="118" s="1"/>
  <c r="O98" i="118"/>
  <c r="L98" i="118"/>
  <c r="J98" i="118"/>
  <c r="M98" i="118" s="1"/>
  <c r="M97" i="118"/>
  <c r="L97" i="118"/>
  <c r="O97" i="118" s="1"/>
  <c r="J97" i="118"/>
  <c r="L96" i="118"/>
  <c r="O96" i="118" s="1"/>
  <c r="J96" i="118"/>
  <c r="M96" i="118" s="1"/>
  <c r="L95" i="118"/>
  <c r="O95" i="118" s="1"/>
  <c r="J95" i="118"/>
  <c r="M95" i="118" s="1"/>
  <c r="L94" i="118"/>
  <c r="O94" i="118" s="1"/>
  <c r="J94" i="118"/>
  <c r="M94" i="118" s="1"/>
  <c r="J93" i="118"/>
  <c r="M93" i="118" s="1"/>
  <c r="J92" i="118"/>
  <c r="M92" i="118" s="1"/>
  <c r="J91" i="118"/>
  <c r="M91" i="118" s="1"/>
  <c r="J90" i="118"/>
  <c r="M90" i="118" s="1"/>
  <c r="M89" i="118"/>
  <c r="J89" i="118"/>
  <c r="J88" i="118"/>
  <c r="M88" i="118" s="1"/>
  <c r="J87" i="118"/>
  <c r="M87" i="118" s="1"/>
  <c r="J86" i="118"/>
  <c r="M86" i="118" s="1"/>
  <c r="J85" i="118"/>
  <c r="M85" i="118" s="1"/>
  <c r="M84" i="118"/>
  <c r="J84" i="118"/>
  <c r="J83" i="118"/>
  <c r="M83" i="118" s="1"/>
  <c r="J82" i="118"/>
  <c r="M82" i="118" s="1"/>
  <c r="J81" i="118"/>
  <c r="M81" i="118" s="1"/>
  <c r="J80" i="118"/>
  <c r="M80" i="118" s="1"/>
  <c r="J79" i="118"/>
  <c r="M79" i="118" s="1"/>
  <c r="N78" i="118"/>
  <c r="L78" i="118"/>
  <c r="O78" i="118" s="1"/>
  <c r="K78" i="118"/>
  <c r="L77" i="118"/>
  <c r="O77" i="118" s="1"/>
  <c r="K77" i="118"/>
  <c r="N77" i="118" s="1"/>
  <c r="L76" i="118"/>
  <c r="O76" i="118" s="1"/>
  <c r="K76" i="118"/>
  <c r="N76" i="118" s="1"/>
  <c r="L75" i="118"/>
  <c r="O75" i="118" s="1"/>
  <c r="K75" i="118"/>
  <c r="N75" i="118" s="1"/>
  <c r="L74" i="118"/>
  <c r="O74" i="118" s="1"/>
  <c r="K74" i="118"/>
  <c r="N74" i="118" s="1"/>
  <c r="L73" i="118"/>
  <c r="O73" i="118" s="1"/>
  <c r="K73" i="118"/>
  <c r="N73" i="118" s="1"/>
  <c r="L72" i="118"/>
  <c r="O72" i="118" s="1"/>
  <c r="K72" i="118"/>
  <c r="N72" i="118" s="1"/>
  <c r="L71" i="118"/>
  <c r="O71" i="118" s="1"/>
  <c r="K71" i="118"/>
  <c r="N71" i="118" s="1"/>
  <c r="L70" i="118"/>
  <c r="O70" i="118" s="1"/>
  <c r="K70" i="118"/>
  <c r="N70" i="118" s="1"/>
  <c r="L69" i="118"/>
  <c r="O69" i="118" s="1"/>
  <c r="K69" i="118"/>
  <c r="N69" i="118" s="1"/>
  <c r="L68" i="118"/>
  <c r="O68" i="118" s="1"/>
  <c r="K68" i="118"/>
  <c r="N68" i="118" s="1"/>
  <c r="L67" i="118"/>
  <c r="O67" i="118" s="1"/>
  <c r="K67" i="118"/>
  <c r="N67" i="118" s="1"/>
  <c r="O66" i="118"/>
  <c r="L66" i="118"/>
  <c r="K66" i="118"/>
  <c r="N66" i="118" s="1"/>
  <c r="N65" i="118"/>
  <c r="L65" i="118"/>
  <c r="O65" i="118" s="1"/>
  <c r="K65" i="118"/>
  <c r="L64" i="118"/>
  <c r="O64" i="118" s="1"/>
  <c r="K64" i="118"/>
  <c r="N64" i="118" s="1"/>
  <c r="L63" i="118"/>
  <c r="O63" i="118" s="1"/>
  <c r="K63" i="118"/>
  <c r="N63" i="118" s="1"/>
  <c r="O62" i="118"/>
  <c r="N62" i="118"/>
  <c r="L62" i="118"/>
  <c r="K62" i="118"/>
  <c r="N61" i="118"/>
  <c r="L61" i="118"/>
  <c r="O61" i="118" s="1"/>
  <c r="K61" i="118"/>
  <c r="L60" i="118"/>
  <c r="O60" i="118" s="1"/>
  <c r="K60" i="118"/>
  <c r="N60" i="118" s="1"/>
  <c r="L59" i="118"/>
  <c r="O59" i="118" s="1"/>
  <c r="K59" i="118"/>
  <c r="N59" i="118" s="1"/>
  <c r="N58" i="118"/>
  <c r="L58" i="118"/>
  <c r="O58" i="118" s="1"/>
  <c r="K58" i="118"/>
  <c r="L57" i="118"/>
  <c r="O57" i="118" s="1"/>
  <c r="K57" i="118"/>
  <c r="N57" i="118" s="1"/>
  <c r="L56" i="118"/>
  <c r="O56" i="118" s="1"/>
  <c r="K56" i="118"/>
  <c r="N56" i="118" s="1"/>
  <c r="L55" i="118"/>
  <c r="O55" i="118" s="1"/>
  <c r="K55" i="118"/>
  <c r="N55" i="118" s="1"/>
  <c r="J54" i="118"/>
  <c r="M54" i="118" s="1"/>
  <c r="J53" i="118"/>
  <c r="M53" i="118" s="1"/>
  <c r="M52" i="118"/>
  <c r="J52" i="118"/>
  <c r="J51" i="118"/>
  <c r="M51" i="118" s="1"/>
  <c r="J50" i="118"/>
  <c r="M50" i="118" s="1"/>
  <c r="J49" i="118"/>
  <c r="M49" i="118" s="1"/>
  <c r="J48" i="118"/>
  <c r="M48" i="118" s="1"/>
  <c r="M47" i="118"/>
  <c r="J47" i="118"/>
  <c r="J46" i="118"/>
  <c r="M46" i="118" s="1"/>
  <c r="J45" i="118"/>
  <c r="M45" i="118" s="1"/>
  <c r="M44" i="118"/>
  <c r="J44" i="118"/>
  <c r="J43" i="118"/>
  <c r="M43" i="118" s="1"/>
  <c r="M42" i="118"/>
  <c r="J42" i="118"/>
  <c r="J41" i="118"/>
  <c r="M41" i="118" s="1"/>
  <c r="M40" i="118"/>
  <c r="J40" i="118"/>
  <c r="J39" i="118"/>
  <c r="M39" i="118" s="1"/>
  <c r="M38" i="118"/>
  <c r="J38" i="118"/>
  <c r="X654" i="114"/>
  <c r="W654" i="114"/>
  <c r="X653" i="114"/>
  <c r="W653" i="114"/>
  <c r="AC653" i="114" s="1"/>
  <c r="X652" i="114"/>
  <c r="W652" i="114"/>
  <c r="X651" i="114"/>
  <c r="W651" i="114"/>
  <c r="AC651" i="114" s="1"/>
  <c r="X650" i="114"/>
  <c r="W650" i="114"/>
  <c r="X649" i="114"/>
  <c r="W649" i="114"/>
  <c r="AC649" i="114" s="1"/>
  <c r="X648" i="114"/>
  <c r="W648" i="114"/>
  <c r="X647" i="114"/>
  <c r="W647" i="114"/>
  <c r="AC647" i="114" s="1"/>
  <c r="X646" i="114"/>
  <c r="W646" i="114"/>
  <c r="X645" i="114"/>
  <c r="W645" i="114"/>
  <c r="AC645" i="114" s="1"/>
  <c r="X644" i="114"/>
  <c r="W644" i="114"/>
  <c r="X643" i="114"/>
  <c r="W643" i="114"/>
  <c r="AC643" i="114" s="1"/>
  <c r="X642" i="114"/>
  <c r="W642" i="114"/>
  <c r="X557" i="114"/>
  <c r="W557" i="114"/>
  <c r="AC557" i="114" s="1"/>
  <c r="AD303" i="115"/>
  <c r="X303" i="115"/>
  <c r="W303" i="115"/>
  <c r="AC303" i="115" s="1"/>
  <c r="AD302" i="115"/>
  <c r="X302" i="115"/>
  <c r="W302" i="115"/>
  <c r="AC302" i="115" s="1"/>
  <c r="AD301" i="115"/>
  <c r="X301" i="115"/>
  <c r="W301" i="115"/>
  <c r="AC301" i="115" s="1"/>
  <c r="AD300" i="115"/>
  <c r="X300" i="115"/>
  <c r="W300" i="115"/>
  <c r="AC300" i="115" s="1"/>
  <c r="AD299" i="115"/>
  <c r="X299" i="115"/>
  <c r="W299" i="115"/>
  <c r="AC299" i="115" s="1"/>
  <c r="AD298" i="115"/>
  <c r="X298" i="115"/>
  <c r="W298" i="115"/>
  <c r="AC298" i="115" s="1"/>
  <c r="AD297" i="115"/>
  <c r="X297" i="115"/>
  <c r="W297" i="115"/>
  <c r="AC297" i="115" s="1"/>
  <c r="AD296" i="115"/>
  <c r="X296" i="115"/>
  <c r="W296" i="115"/>
  <c r="AC296" i="115" s="1"/>
  <c r="AD295" i="115"/>
  <c r="X295" i="115"/>
  <c r="W295" i="115"/>
  <c r="AC295" i="115" s="1"/>
  <c r="AD294" i="115"/>
  <c r="X294" i="115"/>
  <c r="W294" i="115"/>
  <c r="AC294" i="115" s="1"/>
  <c r="AD293" i="115"/>
  <c r="X293" i="115"/>
  <c r="W293" i="115"/>
  <c r="AC293" i="115" s="1"/>
  <c r="AD292" i="115"/>
  <c r="X292" i="115"/>
  <c r="W292" i="115"/>
  <c r="AC292" i="115" s="1"/>
  <c r="AD291" i="115"/>
  <c r="X291" i="115"/>
  <c r="W291" i="115"/>
  <c r="AC291" i="115" s="1"/>
  <c r="AD290" i="115"/>
  <c r="AD11" i="118" s="1"/>
  <c r="X290" i="115"/>
  <c r="W290" i="115"/>
  <c r="AC290" i="115" s="1"/>
  <c r="X258" i="114"/>
  <c r="W258" i="114"/>
  <c r="X257" i="114"/>
  <c r="W257" i="114"/>
  <c r="AC257" i="114" s="1"/>
  <c r="X256" i="114"/>
  <c r="W256" i="114"/>
  <c r="X255" i="114"/>
  <c r="W255" i="114"/>
  <c r="AC255" i="114" s="1"/>
  <c r="X254" i="114"/>
  <c r="W254" i="114"/>
  <c r="X253" i="114"/>
  <c r="W253" i="114"/>
  <c r="AC253" i="114" s="1"/>
  <c r="X252" i="114"/>
  <c r="W252" i="114"/>
  <c r="X251" i="114"/>
  <c r="W251" i="114"/>
  <c r="AC251" i="114" s="1"/>
  <c r="X250" i="114"/>
  <c r="W250" i="114"/>
  <c r="X249" i="114"/>
  <c r="W249" i="114"/>
  <c r="AC249" i="114" s="1"/>
  <c r="X248" i="114"/>
  <c r="W248" i="114"/>
  <c r="X247" i="114"/>
  <c r="W247" i="114"/>
  <c r="AC247" i="114" s="1"/>
  <c r="V246" i="114"/>
  <c r="V245" i="114"/>
  <c r="V244" i="114"/>
  <c r="V243" i="114"/>
  <c r="V242" i="114"/>
  <c r="V241" i="114"/>
  <c r="V240" i="114"/>
  <c r="V239" i="114"/>
  <c r="AB239" i="114" s="1"/>
  <c r="V238" i="114"/>
  <c r="V237" i="114"/>
  <c r="V236" i="114"/>
  <c r="V235" i="114"/>
  <c r="X234" i="114"/>
  <c r="W234" i="114"/>
  <c r="X233" i="114"/>
  <c r="W233" i="114"/>
  <c r="AC233" i="114" s="1"/>
  <c r="X232" i="114"/>
  <c r="W232" i="114"/>
  <c r="X231" i="114"/>
  <c r="W231" i="114"/>
  <c r="AC231" i="114" s="1"/>
  <c r="X230" i="114"/>
  <c r="W230" i="114"/>
  <c r="X229" i="114"/>
  <c r="W229" i="114"/>
  <c r="AC229" i="114" s="1"/>
  <c r="X228" i="114"/>
  <c r="W228" i="114"/>
  <c r="X227" i="114"/>
  <c r="W227" i="114"/>
  <c r="AC227" i="114" s="1"/>
  <c r="X226" i="114"/>
  <c r="W226" i="114"/>
  <c r="X225" i="114"/>
  <c r="W225" i="114"/>
  <c r="AC225" i="114" s="1"/>
  <c r="X224" i="114"/>
  <c r="W224" i="114"/>
  <c r="X223" i="114"/>
  <c r="W223" i="114"/>
  <c r="AC223" i="114" s="1"/>
  <c r="AD109" i="115"/>
  <c r="X109" i="115"/>
  <c r="W109" i="115"/>
  <c r="AC109" i="115" s="1"/>
  <c r="AD108" i="115"/>
  <c r="X108" i="115"/>
  <c r="W108" i="115"/>
  <c r="AC108" i="115" s="1"/>
  <c r="AD107" i="115"/>
  <c r="X107" i="115"/>
  <c r="W107" i="115"/>
  <c r="AC107" i="115" s="1"/>
  <c r="AD106" i="115"/>
  <c r="X106" i="115"/>
  <c r="W106" i="115"/>
  <c r="AC106" i="115" s="1"/>
  <c r="AD105" i="115"/>
  <c r="X105" i="115"/>
  <c r="W105" i="115"/>
  <c r="AC105" i="115" s="1"/>
  <c r="AD104" i="115"/>
  <c r="X104" i="115"/>
  <c r="W104" i="115"/>
  <c r="AC104" i="115" s="1"/>
  <c r="AD103" i="115"/>
  <c r="X103" i="115"/>
  <c r="W103" i="115"/>
  <c r="AC103" i="115" s="1"/>
  <c r="AD102" i="115"/>
  <c r="X102" i="115"/>
  <c r="W102" i="115"/>
  <c r="AC102" i="115" s="1"/>
  <c r="AD101" i="115"/>
  <c r="X101" i="115"/>
  <c r="W101" i="115"/>
  <c r="AC101" i="115" s="1"/>
  <c r="AD100" i="115"/>
  <c r="X100" i="115"/>
  <c r="W100" i="115"/>
  <c r="AC100" i="115" s="1"/>
  <c r="AD99" i="115"/>
  <c r="X99" i="115"/>
  <c r="W99" i="115"/>
  <c r="AC99" i="115" s="1"/>
  <c r="AD98" i="115"/>
  <c r="X98" i="115"/>
  <c r="W98" i="115"/>
  <c r="AC98" i="115" s="1"/>
  <c r="AE97" i="115"/>
  <c r="V97" i="115"/>
  <c r="AB97" i="115" s="1"/>
  <c r="AE96" i="115"/>
  <c r="V96" i="115"/>
  <c r="AB96" i="115" s="1"/>
  <c r="AE95" i="115"/>
  <c r="V95" i="115"/>
  <c r="AB95" i="115" s="1"/>
  <c r="AE94" i="115"/>
  <c r="V94" i="115"/>
  <c r="AB94" i="115" s="1"/>
  <c r="AE93" i="115"/>
  <c r="V93" i="115"/>
  <c r="AB93" i="115" s="1"/>
  <c r="AE92" i="115"/>
  <c r="V92" i="115"/>
  <c r="AB92" i="115" s="1"/>
  <c r="AE91" i="115"/>
  <c r="V91" i="115"/>
  <c r="AB91" i="115" s="1"/>
  <c r="AE90" i="115"/>
  <c r="V90" i="115"/>
  <c r="AB90" i="115" s="1"/>
  <c r="AE89" i="115"/>
  <c r="V89" i="115"/>
  <c r="AB89" i="115" s="1"/>
  <c r="AE88" i="115"/>
  <c r="V88" i="115"/>
  <c r="AB88" i="115" s="1"/>
  <c r="AE87" i="115"/>
  <c r="V87" i="115"/>
  <c r="AB87" i="115" s="1"/>
  <c r="AE86" i="115"/>
  <c r="V86" i="115"/>
  <c r="AB86" i="115" s="1"/>
  <c r="AD85" i="115"/>
  <c r="X85" i="115"/>
  <c r="W85" i="115"/>
  <c r="AC85" i="115" s="1"/>
  <c r="AD84" i="115"/>
  <c r="X84" i="115"/>
  <c r="W84" i="115"/>
  <c r="AC84" i="115" s="1"/>
  <c r="AD83" i="115"/>
  <c r="X83" i="115"/>
  <c r="W83" i="115"/>
  <c r="AC83" i="115" s="1"/>
  <c r="AD82" i="115"/>
  <c r="X82" i="115"/>
  <c r="W82" i="115"/>
  <c r="AC82" i="115" s="1"/>
  <c r="AD81" i="115"/>
  <c r="X81" i="115"/>
  <c r="W81" i="115"/>
  <c r="AD80" i="115"/>
  <c r="X80" i="115"/>
  <c r="W80" i="115"/>
  <c r="AC80" i="115" s="1"/>
  <c r="AD79" i="115"/>
  <c r="X79" i="115"/>
  <c r="W79" i="115"/>
  <c r="AD78" i="115"/>
  <c r="X78" i="115"/>
  <c r="W78" i="115"/>
  <c r="AC78" i="115" s="1"/>
  <c r="AD77" i="115"/>
  <c r="X77" i="115"/>
  <c r="W77" i="115"/>
  <c r="AD76" i="115"/>
  <c r="X76" i="115"/>
  <c r="W76" i="115"/>
  <c r="AC76" i="115" s="1"/>
  <c r="AD75" i="115"/>
  <c r="X75" i="115"/>
  <c r="W75" i="115"/>
  <c r="AD74" i="115"/>
  <c r="X74" i="115"/>
  <c r="W74" i="115"/>
  <c r="AC74" i="115" s="1"/>
  <c r="M40" i="5"/>
  <c r="M39" i="5"/>
  <c r="M38" i="5"/>
  <c r="J445" i="118" s="1"/>
  <c r="M445" i="118" s="1"/>
  <c r="AJ9" i="115"/>
  <c r="AI9" i="115"/>
  <c r="AJ3" i="115"/>
  <c r="AI3" i="115"/>
  <c r="AD289" i="115"/>
  <c r="AD288" i="115"/>
  <c r="AD287" i="115"/>
  <c r="AD286" i="115"/>
  <c r="AD285" i="115"/>
  <c r="AD284" i="115"/>
  <c r="AD283" i="115"/>
  <c r="AD282" i="115"/>
  <c r="AD281" i="115"/>
  <c r="AD280" i="115"/>
  <c r="AD279" i="115"/>
  <c r="AD278" i="115"/>
  <c r="AD277" i="115"/>
  <c r="AD276" i="115"/>
  <c r="AD275" i="115"/>
  <c r="AD274" i="115"/>
  <c r="AD273" i="115"/>
  <c r="AD272" i="115"/>
  <c r="AD271" i="115"/>
  <c r="AD270" i="115"/>
  <c r="AD269" i="115"/>
  <c r="AD268" i="115"/>
  <c r="AD267" i="115"/>
  <c r="AD266" i="115"/>
  <c r="AD265" i="115"/>
  <c r="AD264" i="115"/>
  <c r="AD263" i="115"/>
  <c r="AD262" i="115"/>
  <c r="AD261" i="115"/>
  <c r="AD260" i="115"/>
  <c r="AD259" i="115"/>
  <c r="AD258" i="115"/>
  <c r="AD257" i="115"/>
  <c r="AD256" i="115"/>
  <c r="AD255" i="115"/>
  <c r="AD254" i="115"/>
  <c r="AD253" i="115"/>
  <c r="AD252" i="115"/>
  <c r="AD251" i="115"/>
  <c r="AD250" i="115"/>
  <c r="AD249" i="115"/>
  <c r="AD248" i="115"/>
  <c r="AD247" i="115"/>
  <c r="AD246" i="115"/>
  <c r="AD245" i="115"/>
  <c r="AD244" i="115"/>
  <c r="AD243" i="115"/>
  <c r="AD242" i="115"/>
  <c r="AD241" i="115"/>
  <c r="AD240" i="115"/>
  <c r="AD239" i="115"/>
  <c r="AD238" i="115"/>
  <c r="AD237" i="115"/>
  <c r="AD236" i="115"/>
  <c r="AD235" i="115"/>
  <c r="AD234" i="115"/>
  <c r="AD233" i="115"/>
  <c r="AD232" i="115"/>
  <c r="AD231" i="115"/>
  <c r="AD230" i="115"/>
  <c r="AD229" i="115"/>
  <c r="AD228" i="115"/>
  <c r="AD227" i="115"/>
  <c r="AD226" i="115"/>
  <c r="AD225" i="115"/>
  <c r="AD224" i="115"/>
  <c r="AD223" i="115"/>
  <c r="AD222" i="115"/>
  <c r="AD221" i="115"/>
  <c r="AD220" i="115"/>
  <c r="AD219" i="115"/>
  <c r="AD218" i="115"/>
  <c r="AD217" i="115"/>
  <c r="AD216" i="115"/>
  <c r="AD215" i="115"/>
  <c r="AD214" i="115"/>
  <c r="AD213" i="115"/>
  <c r="AD212" i="115"/>
  <c r="AD211" i="115"/>
  <c r="AD210" i="115"/>
  <c r="AD209" i="115"/>
  <c r="AD208" i="115"/>
  <c r="AD207" i="115"/>
  <c r="AD206" i="115"/>
  <c r="AD205" i="115"/>
  <c r="AD204" i="115"/>
  <c r="AD203" i="115"/>
  <c r="AD202" i="115"/>
  <c r="AD201" i="115"/>
  <c r="AD200" i="115"/>
  <c r="AD199" i="115"/>
  <c r="AD198" i="115"/>
  <c r="AD197" i="115"/>
  <c r="AD196" i="115"/>
  <c r="AD195" i="115"/>
  <c r="AD194" i="115"/>
  <c r="AD193" i="115"/>
  <c r="AD192" i="115"/>
  <c r="AD191" i="115"/>
  <c r="AD190" i="115"/>
  <c r="AD189" i="115"/>
  <c r="AD188" i="115"/>
  <c r="AD187" i="115"/>
  <c r="AD186" i="115"/>
  <c r="AD185" i="115"/>
  <c r="AD184" i="115"/>
  <c r="AD183" i="115"/>
  <c r="AD182" i="115"/>
  <c r="AD181" i="115"/>
  <c r="AD180" i="115"/>
  <c r="AD179" i="115"/>
  <c r="AD178" i="115"/>
  <c r="AD177" i="115"/>
  <c r="AD176" i="115"/>
  <c r="AD175" i="115"/>
  <c r="AD174" i="115"/>
  <c r="AD173" i="115"/>
  <c r="AD172" i="115"/>
  <c r="AD171" i="115"/>
  <c r="AD170" i="115"/>
  <c r="AD169" i="115"/>
  <c r="AD168" i="115"/>
  <c r="AD167" i="115"/>
  <c r="AD166" i="115"/>
  <c r="AD165" i="115"/>
  <c r="AD164" i="115"/>
  <c r="AD163" i="115"/>
  <c r="AD162" i="115"/>
  <c r="AD161" i="115"/>
  <c r="AD160" i="115"/>
  <c r="AD159" i="115"/>
  <c r="AD158" i="115"/>
  <c r="AD157" i="115"/>
  <c r="AD156" i="115"/>
  <c r="AD155" i="115"/>
  <c r="AD154" i="115"/>
  <c r="AD153" i="115"/>
  <c r="AD152" i="115"/>
  <c r="AD151" i="115"/>
  <c r="AD150" i="115"/>
  <c r="AD149" i="115"/>
  <c r="AD148" i="115"/>
  <c r="AD147" i="115"/>
  <c r="AD146" i="115"/>
  <c r="AD145" i="115"/>
  <c r="AD144" i="115"/>
  <c r="AD143" i="115"/>
  <c r="AD142" i="115"/>
  <c r="AD141" i="115"/>
  <c r="AD140" i="115"/>
  <c r="AD139" i="115"/>
  <c r="AD138" i="115"/>
  <c r="AD137" i="115"/>
  <c r="AD136" i="115"/>
  <c r="AD135" i="115"/>
  <c r="AD134" i="115"/>
  <c r="AD133" i="115"/>
  <c r="AD132" i="115"/>
  <c r="AD131" i="115"/>
  <c r="AD130" i="115"/>
  <c r="AD129" i="115"/>
  <c r="AD128" i="115"/>
  <c r="AD127" i="115"/>
  <c r="AD126" i="115"/>
  <c r="AD125" i="115"/>
  <c r="AD124" i="115"/>
  <c r="AD123" i="115"/>
  <c r="AD122" i="115"/>
  <c r="AD121" i="115"/>
  <c r="AD120" i="115"/>
  <c r="AD119" i="115"/>
  <c r="AD118" i="115"/>
  <c r="AD117" i="115"/>
  <c r="AD116" i="115"/>
  <c r="AD115" i="115"/>
  <c r="AD114" i="115"/>
  <c r="AD113" i="115"/>
  <c r="AD112" i="115"/>
  <c r="AD111" i="115"/>
  <c r="AD110" i="115"/>
  <c r="AD73" i="115"/>
  <c r="AD72" i="115"/>
  <c r="AD71" i="115"/>
  <c r="AD70" i="115"/>
  <c r="AD69" i="115"/>
  <c r="AD68" i="115"/>
  <c r="AD67" i="115"/>
  <c r="AD66" i="115"/>
  <c r="AD65" i="115"/>
  <c r="AD64" i="115"/>
  <c r="AD63" i="115"/>
  <c r="AD62" i="115"/>
  <c r="AE61" i="115"/>
  <c r="AE60" i="115"/>
  <c r="AE59" i="115"/>
  <c r="AE58" i="115"/>
  <c r="AE57" i="115"/>
  <c r="AE56" i="115"/>
  <c r="AE55" i="115"/>
  <c r="AE54" i="115"/>
  <c r="AE53" i="115"/>
  <c r="AE52" i="115"/>
  <c r="AE51" i="115"/>
  <c r="AE50" i="115"/>
  <c r="AD49" i="115"/>
  <c r="AD48" i="115"/>
  <c r="AD47" i="115"/>
  <c r="AD46" i="115"/>
  <c r="AD45" i="115"/>
  <c r="AD44" i="115"/>
  <c r="AD43" i="115"/>
  <c r="AD42" i="115"/>
  <c r="AD41" i="115"/>
  <c r="AD40" i="115"/>
  <c r="AD39" i="115"/>
  <c r="AD38" i="115"/>
  <c r="V303" i="115"/>
  <c r="AB303" i="115" s="1"/>
  <c r="V302" i="115"/>
  <c r="AB302" i="115" s="1"/>
  <c r="V301" i="115"/>
  <c r="AB301" i="115" s="1"/>
  <c r="V300" i="115"/>
  <c r="AB300" i="115" s="1"/>
  <c r="V299" i="115"/>
  <c r="AB299" i="115" s="1"/>
  <c r="V298" i="115"/>
  <c r="AB298" i="115" s="1"/>
  <c r="V297" i="115"/>
  <c r="AB297" i="115" s="1"/>
  <c r="V296" i="115"/>
  <c r="AB296" i="115" s="1"/>
  <c r="V295" i="115"/>
  <c r="AB295" i="115" s="1"/>
  <c r="V294" i="115"/>
  <c r="AB294" i="115" s="1"/>
  <c r="V293" i="115"/>
  <c r="AB293" i="115" s="1"/>
  <c r="V292" i="115"/>
  <c r="AB292" i="115" s="1"/>
  <c r="V291" i="115"/>
  <c r="AB291" i="115" s="1"/>
  <c r="V290" i="115"/>
  <c r="AB290" i="115" s="1"/>
  <c r="X289" i="115"/>
  <c r="W289" i="115"/>
  <c r="V289" i="115"/>
  <c r="AB289" i="115" s="1"/>
  <c r="X288" i="115"/>
  <c r="W288" i="115"/>
  <c r="V288" i="115"/>
  <c r="AB288" i="115" s="1"/>
  <c r="X287" i="115"/>
  <c r="W287" i="115"/>
  <c r="V287" i="115"/>
  <c r="AB287" i="115" s="1"/>
  <c r="X286" i="115"/>
  <c r="W286" i="115"/>
  <c r="V286" i="115"/>
  <c r="AB286" i="115" s="1"/>
  <c r="X285" i="115"/>
  <c r="W285" i="115"/>
  <c r="V285" i="115"/>
  <c r="AB285" i="115" s="1"/>
  <c r="X284" i="115"/>
  <c r="W284" i="115"/>
  <c r="V284" i="115"/>
  <c r="AB284" i="115" s="1"/>
  <c r="X283" i="115"/>
  <c r="W283" i="115"/>
  <c r="V283" i="115"/>
  <c r="AB283" i="115" s="1"/>
  <c r="X282" i="115"/>
  <c r="W282" i="115"/>
  <c r="V282" i="115"/>
  <c r="AB282" i="115" s="1"/>
  <c r="X281" i="115"/>
  <c r="W281" i="115"/>
  <c r="V281" i="115"/>
  <c r="AB281" i="115" s="1"/>
  <c r="X280" i="115"/>
  <c r="W280" i="115"/>
  <c r="V280" i="115"/>
  <c r="AB280" i="115" s="1"/>
  <c r="X279" i="115"/>
  <c r="W279" i="115"/>
  <c r="V279" i="115"/>
  <c r="AB279" i="115" s="1"/>
  <c r="X278" i="115"/>
  <c r="W278" i="115"/>
  <c r="V278" i="115"/>
  <c r="AB278" i="115" s="1"/>
  <c r="X277" i="115"/>
  <c r="W277" i="115"/>
  <c r="V277" i="115"/>
  <c r="AB277" i="115" s="1"/>
  <c r="X276" i="115"/>
  <c r="W276" i="115"/>
  <c r="V276" i="115"/>
  <c r="AB276" i="115" s="1"/>
  <c r="X275" i="115"/>
  <c r="W275" i="115"/>
  <c r="V275" i="115"/>
  <c r="AB275" i="115" s="1"/>
  <c r="X274" i="115"/>
  <c r="W274" i="115"/>
  <c r="V274" i="115"/>
  <c r="AB274" i="115" s="1"/>
  <c r="X273" i="115"/>
  <c r="W273" i="115"/>
  <c r="V273" i="115"/>
  <c r="AB273" i="115" s="1"/>
  <c r="X272" i="115"/>
  <c r="W272" i="115"/>
  <c r="V272" i="115"/>
  <c r="AB272" i="115" s="1"/>
  <c r="X271" i="115"/>
  <c r="W271" i="115"/>
  <c r="V271" i="115"/>
  <c r="AB271" i="115" s="1"/>
  <c r="X270" i="115"/>
  <c r="W270" i="115"/>
  <c r="V270" i="115"/>
  <c r="AB270" i="115" s="1"/>
  <c r="X269" i="115"/>
  <c r="W269" i="115"/>
  <c r="V269" i="115"/>
  <c r="AB269" i="115" s="1"/>
  <c r="X268" i="115"/>
  <c r="W268" i="115"/>
  <c r="V268" i="115"/>
  <c r="AB268" i="115" s="1"/>
  <c r="X267" i="115"/>
  <c r="W267" i="115"/>
  <c r="V267" i="115"/>
  <c r="AB267" i="115" s="1"/>
  <c r="X266" i="115"/>
  <c r="W266" i="115"/>
  <c r="V266" i="115"/>
  <c r="AB266" i="115" s="1"/>
  <c r="X265" i="115"/>
  <c r="W265" i="115"/>
  <c r="V265" i="115"/>
  <c r="AB265" i="115" s="1"/>
  <c r="X264" i="115"/>
  <c r="W264" i="115"/>
  <c r="V264" i="115"/>
  <c r="AB264" i="115" s="1"/>
  <c r="X263" i="115"/>
  <c r="W263" i="115"/>
  <c r="V263" i="115"/>
  <c r="AB263" i="115" s="1"/>
  <c r="X262" i="115"/>
  <c r="W262" i="115"/>
  <c r="V262" i="115"/>
  <c r="AB262" i="115" s="1"/>
  <c r="X261" i="115"/>
  <c r="W261" i="115"/>
  <c r="V261" i="115"/>
  <c r="AB261" i="115" s="1"/>
  <c r="X260" i="115"/>
  <c r="W260" i="115"/>
  <c r="V260" i="115"/>
  <c r="AB260" i="115" s="1"/>
  <c r="X259" i="115"/>
  <c r="W259" i="115"/>
  <c r="V259" i="115"/>
  <c r="AB259" i="115" s="1"/>
  <c r="X258" i="115"/>
  <c r="W258" i="115"/>
  <c r="V258" i="115"/>
  <c r="AB258" i="115" s="1"/>
  <c r="X257" i="115"/>
  <c r="W257" i="115"/>
  <c r="V257" i="115"/>
  <c r="AB257" i="115" s="1"/>
  <c r="X256" i="115"/>
  <c r="W256" i="115"/>
  <c r="V256" i="115"/>
  <c r="AB256" i="115" s="1"/>
  <c r="X255" i="115"/>
  <c r="W255" i="115"/>
  <c r="V255" i="115"/>
  <c r="AB255" i="115" s="1"/>
  <c r="X254" i="115"/>
  <c r="W254" i="115"/>
  <c r="V254" i="115"/>
  <c r="AB254" i="115" s="1"/>
  <c r="X253" i="115"/>
  <c r="W253" i="115"/>
  <c r="V253" i="115"/>
  <c r="AB253" i="115" s="1"/>
  <c r="X252" i="115"/>
  <c r="W252" i="115"/>
  <c r="V252" i="115"/>
  <c r="AB252" i="115" s="1"/>
  <c r="X251" i="115"/>
  <c r="W251" i="115"/>
  <c r="V251" i="115"/>
  <c r="AB251" i="115" s="1"/>
  <c r="X250" i="115"/>
  <c r="W250" i="115"/>
  <c r="V250" i="115"/>
  <c r="AB250" i="115" s="1"/>
  <c r="X249" i="115"/>
  <c r="W249" i="115"/>
  <c r="V249" i="115"/>
  <c r="AB249" i="115" s="1"/>
  <c r="X248" i="115"/>
  <c r="W248" i="115"/>
  <c r="V248" i="115"/>
  <c r="AB248" i="115" s="1"/>
  <c r="X247" i="115"/>
  <c r="W247" i="115"/>
  <c r="V247" i="115"/>
  <c r="AB247" i="115" s="1"/>
  <c r="X246" i="115"/>
  <c r="W246" i="115"/>
  <c r="V246" i="115"/>
  <c r="AB246" i="115" s="1"/>
  <c r="X245" i="115"/>
  <c r="W245" i="115"/>
  <c r="V245" i="115"/>
  <c r="AB245" i="115" s="1"/>
  <c r="X244" i="115"/>
  <c r="W244" i="115"/>
  <c r="V244" i="115"/>
  <c r="AB244" i="115" s="1"/>
  <c r="X243" i="115"/>
  <c r="W243" i="115"/>
  <c r="V243" i="115"/>
  <c r="AB243" i="115" s="1"/>
  <c r="X242" i="115"/>
  <c r="W242" i="115"/>
  <c r="V242" i="115"/>
  <c r="AB242" i="115" s="1"/>
  <c r="X241" i="115"/>
  <c r="W241" i="115"/>
  <c r="V241" i="115"/>
  <c r="AB241" i="115" s="1"/>
  <c r="X240" i="115"/>
  <c r="W240" i="115"/>
  <c r="V240" i="115"/>
  <c r="AB240" i="115" s="1"/>
  <c r="X239" i="115"/>
  <c r="W239" i="115"/>
  <c r="V239" i="115"/>
  <c r="AB239" i="115" s="1"/>
  <c r="X238" i="115"/>
  <c r="W238" i="115"/>
  <c r="V238" i="115"/>
  <c r="AB238" i="115" s="1"/>
  <c r="X237" i="115"/>
  <c r="W237" i="115"/>
  <c r="V237" i="115"/>
  <c r="AB237" i="115" s="1"/>
  <c r="X236" i="115"/>
  <c r="W236" i="115"/>
  <c r="V236" i="115"/>
  <c r="AB236" i="115" s="1"/>
  <c r="X235" i="115"/>
  <c r="W235" i="115"/>
  <c r="V235" i="115"/>
  <c r="AB235" i="115" s="1"/>
  <c r="X234" i="115"/>
  <c r="W234" i="115"/>
  <c r="V234" i="115"/>
  <c r="AB234" i="115" s="1"/>
  <c r="X233" i="115"/>
  <c r="W233" i="115"/>
  <c r="V233" i="115"/>
  <c r="AB233" i="115" s="1"/>
  <c r="X232" i="115"/>
  <c r="W232" i="115"/>
  <c r="V232" i="115"/>
  <c r="AB232" i="115" s="1"/>
  <c r="X231" i="115"/>
  <c r="W231" i="115"/>
  <c r="V231" i="115"/>
  <c r="AB231" i="115" s="1"/>
  <c r="X230" i="115"/>
  <c r="W230" i="115"/>
  <c r="V230" i="115"/>
  <c r="AB230" i="115" s="1"/>
  <c r="X229" i="115"/>
  <c r="W229" i="115"/>
  <c r="V229" i="115"/>
  <c r="AB229" i="115" s="1"/>
  <c r="X228" i="115"/>
  <c r="W228" i="115"/>
  <c r="V228" i="115"/>
  <c r="AB228" i="115" s="1"/>
  <c r="X227" i="115"/>
  <c r="W227" i="115"/>
  <c r="V227" i="115"/>
  <c r="AB227" i="115" s="1"/>
  <c r="X226" i="115"/>
  <c r="W226" i="115"/>
  <c r="V226" i="115"/>
  <c r="AB226" i="115" s="1"/>
  <c r="X225" i="115"/>
  <c r="W225" i="115"/>
  <c r="V225" i="115"/>
  <c r="AB225" i="115" s="1"/>
  <c r="X224" i="115"/>
  <c r="W224" i="115"/>
  <c r="V224" i="115"/>
  <c r="AB224" i="115" s="1"/>
  <c r="X223" i="115"/>
  <c r="W223" i="115"/>
  <c r="V223" i="115"/>
  <c r="AB223" i="115" s="1"/>
  <c r="X222" i="115"/>
  <c r="W222" i="115"/>
  <c r="V222" i="115"/>
  <c r="AB222" i="115" s="1"/>
  <c r="X221" i="115"/>
  <c r="W221" i="115"/>
  <c r="V221" i="115"/>
  <c r="AB221" i="115" s="1"/>
  <c r="X220" i="115"/>
  <c r="W220" i="115"/>
  <c r="V220" i="115"/>
  <c r="AB220" i="115" s="1"/>
  <c r="X219" i="115"/>
  <c r="W219" i="115"/>
  <c r="V219" i="115"/>
  <c r="AB219" i="115" s="1"/>
  <c r="X218" i="115"/>
  <c r="W218" i="115"/>
  <c r="V218" i="115"/>
  <c r="AB218" i="115" s="1"/>
  <c r="X217" i="115"/>
  <c r="W217" i="115"/>
  <c r="V217" i="115"/>
  <c r="AB217" i="115" s="1"/>
  <c r="X216" i="115"/>
  <c r="W216" i="115"/>
  <c r="AC216" i="115" s="1"/>
  <c r="V216" i="115"/>
  <c r="AB216" i="115" s="1"/>
  <c r="X215" i="115"/>
  <c r="W215" i="115"/>
  <c r="V215" i="115"/>
  <c r="AB215" i="115" s="1"/>
  <c r="X214" i="115"/>
  <c r="W214" i="115"/>
  <c r="V214" i="115"/>
  <c r="AB214" i="115" s="1"/>
  <c r="X213" i="115"/>
  <c r="W213" i="115"/>
  <c r="V213" i="115"/>
  <c r="AB213" i="115" s="1"/>
  <c r="X212" i="115"/>
  <c r="W212" i="115"/>
  <c r="V212" i="115"/>
  <c r="AB212" i="115" s="1"/>
  <c r="X211" i="115"/>
  <c r="W211" i="115"/>
  <c r="V211" i="115"/>
  <c r="AB211" i="115" s="1"/>
  <c r="X210" i="115"/>
  <c r="W210" i="115"/>
  <c r="V210" i="115"/>
  <c r="AB210" i="115" s="1"/>
  <c r="X209" i="115"/>
  <c r="W209" i="115"/>
  <c r="V209" i="115"/>
  <c r="AB209" i="115" s="1"/>
  <c r="X208" i="115"/>
  <c r="W208" i="115"/>
  <c r="V208" i="115"/>
  <c r="AB208" i="115" s="1"/>
  <c r="X207" i="115"/>
  <c r="W207" i="115"/>
  <c r="V207" i="115"/>
  <c r="AB207" i="115" s="1"/>
  <c r="X206" i="115"/>
  <c r="W206" i="115"/>
  <c r="V206" i="115"/>
  <c r="AB206" i="115" s="1"/>
  <c r="X205" i="115"/>
  <c r="W205" i="115"/>
  <c r="V205" i="115"/>
  <c r="AB205" i="115" s="1"/>
  <c r="X204" i="115"/>
  <c r="W204" i="115"/>
  <c r="V204" i="115"/>
  <c r="AB204" i="115" s="1"/>
  <c r="X203" i="115"/>
  <c r="W203" i="115"/>
  <c r="V203" i="115"/>
  <c r="AB203" i="115" s="1"/>
  <c r="X202" i="115"/>
  <c r="W202" i="115"/>
  <c r="V202" i="115"/>
  <c r="AB202" i="115" s="1"/>
  <c r="X201" i="115"/>
  <c r="W201" i="115"/>
  <c r="V201" i="115"/>
  <c r="AB201" i="115" s="1"/>
  <c r="X200" i="115"/>
  <c r="W200" i="115"/>
  <c r="V200" i="115"/>
  <c r="AB200" i="115" s="1"/>
  <c r="X199" i="115"/>
  <c r="W199" i="115"/>
  <c r="V199" i="115"/>
  <c r="AB199" i="115" s="1"/>
  <c r="X198" i="115"/>
  <c r="W198" i="115"/>
  <c r="V198" i="115"/>
  <c r="AB198" i="115" s="1"/>
  <c r="X197" i="115"/>
  <c r="W197" i="115"/>
  <c r="V197" i="115"/>
  <c r="AB197" i="115" s="1"/>
  <c r="X196" i="115"/>
  <c r="W196" i="115"/>
  <c r="V196" i="115"/>
  <c r="AB196" i="115" s="1"/>
  <c r="X195" i="115"/>
  <c r="W195" i="115"/>
  <c r="V195" i="115"/>
  <c r="AB195" i="115" s="1"/>
  <c r="X194" i="115"/>
  <c r="W194" i="115"/>
  <c r="V194" i="115"/>
  <c r="AB194" i="115" s="1"/>
  <c r="X193" i="115"/>
  <c r="W193" i="115"/>
  <c r="V193" i="115"/>
  <c r="AB193" i="115" s="1"/>
  <c r="X192" i="115"/>
  <c r="W192" i="115"/>
  <c r="V192" i="115"/>
  <c r="AB192" i="115" s="1"/>
  <c r="X191" i="115"/>
  <c r="W191" i="115"/>
  <c r="V191" i="115"/>
  <c r="AB191" i="115" s="1"/>
  <c r="X190" i="115"/>
  <c r="W190" i="115"/>
  <c r="V190" i="115"/>
  <c r="AB190" i="115" s="1"/>
  <c r="X189" i="115"/>
  <c r="W189" i="115"/>
  <c r="V189" i="115"/>
  <c r="AB189" i="115" s="1"/>
  <c r="X188" i="115"/>
  <c r="W188" i="115"/>
  <c r="V188" i="115"/>
  <c r="AB188" i="115" s="1"/>
  <c r="X187" i="115"/>
  <c r="W187" i="115"/>
  <c r="V187" i="115"/>
  <c r="AB187" i="115" s="1"/>
  <c r="X186" i="115"/>
  <c r="W186" i="115"/>
  <c r="V186" i="115"/>
  <c r="AB186" i="115" s="1"/>
  <c r="X185" i="115"/>
  <c r="W185" i="115"/>
  <c r="V185" i="115"/>
  <c r="AB185" i="115" s="1"/>
  <c r="X184" i="115"/>
  <c r="W184" i="115"/>
  <c r="AC184" i="115" s="1"/>
  <c r="V184" i="115"/>
  <c r="AB184" i="115" s="1"/>
  <c r="X183" i="115"/>
  <c r="W183" i="115"/>
  <c r="V183" i="115"/>
  <c r="AB183" i="115" s="1"/>
  <c r="X182" i="115"/>
  <c r="W182" i="115"/>
  <c r="V182" i="115"/>
  <c r="AB182" i="115" s="1"/>
  <c r="X181" i="115"/>
  <c r="W181" i="115"/>
  <c r="V181" i="115"/>
  <c r="AB181" i="115" s="1"/>
  <c r="X180" i="115"/>
  <c r="W180" i="115"/>
  <c r="V180" i="115"/>
  <c r="AB180" i="115" s="1"/>
  <c r="X179" i="115"/>
  <c r="W179" i="115"/>
  <c r="V179" i="115"/>
  <c r="AB179" i="115" s="1"/>
  <c r="X178" i="115"/>
  <c r="W178" i="115"/>
  <c r="V178" i="115"/>
  <c r="AB178" i="115" s="1"/>
  <c r="X177" i="115"/>
  <c r="W177" i="115"/>
  <c r="V177" i="115"/>
  <c r="AB177" i="115" s="1"/>
  <c r="X176" i="115"/>
  <c r="W176" i="115"/>
  <c r="V176" i="115"/>
  <c r="AB176" i="115" s="1"/>
  <c r="X175" i="115"/>
  <c r="W175" i="115"/>
  <c r="V175" i="115"/>
  <c r="AB175" i="115" s="1"/>
  <c r="X174" i="115"/>
  <c r="W174" i="115"/>
  <c r="V174" i="115"/>
  <c r="AB174" i="115" s="1"/>
  <c r="X173" i="115"/>
  <c r="W173" i="115"/>
  <c r="V173" i="115"/>
  <c r="AB173" i="115" s="1"/>
  <c r="X172" i="115"/>
  <c r="W172" i="115"/>
  <c r="V172" i="115"/>
  <c r="AB172" i="115" s="1"/>
  <c r="X171" i="115"/>
  <c r="W171" i="115"/>
  <c r="V171" i="115"/>
  <c r="AB171" i="115" s="1"/>
  <c r="X170" i="115"/>
  <c r="W170" i="115"/>
  <c r="V170" i="115"/>
  <c r="AB170" i="115" s="1"/>
  <c r="X169" i="115"/>
  <c r="W169" i="115"/>
  <c r="V169" i="115"/>
  <c r="AB169" i="115" s="1"/>
  <c r="X168" i="115"/>
  <c r="W168" i="115"/>
  <c r="AC168" i="115" s="1"/>
  <c r="V168" i="115"/>
  <c r="AB168" i="115" s="1"/>
  <c r="X167" i="115"/>
  <c r="W167" i="115"/>
  <c r="V167" i="115"/>
  <c r="AB167" i="115" s="1"/>
  <c r="X166" i="115"/>
  <c r="W166" i="115"/>
  <c r="V166" i="115"/>
  <c r="AB166" i="115" s="1"/>
  <c r="X165" i="115"/>
  <c r="W165" i="115"/>
  <c r="V165" i="115"/>
  <c r="AB165" i="115" s="1"/>
  <c r="X164" i="115"/>
  <c r="W164" i="115"/>
  <c r="V164" i="115"/>
  <c r="AB164" i="115" s="1"/>
  <c r="X163" i="115"/>
  <c r="W163" i="115"/>
  <c r="V163" i="115"/>
  <c r="AB163" i="115" s="1"/>
  <c r="X162" i="115"/>
  <c r="W162" i="115"/>
  <c r="V162" i="115"/>
  <c r="AB162" i="115" s="1"/>
  <c r="X161" i="115"/>
  <c r="W161" i="115"/>
  <c r="V161" i="115"/>
  <c r="AB161" i="115" s="1"/>
  <c r="X160" i="115"/>
  <c r="W160" i="115"/>
  <c r="V160" i="115"/>
  <c r="AB160" i="115" s="1"/>
  <c r="X159" i="115"/>
  <c r="W159" i="115"/>
  <c r="V159" i="115"/>
  <c r="AB159" i="115" s="1"/>
  <c r="X158" i="115"/>
  <c r="W158" i="115"/>
  <c r="V158" i="115"/>
  <c r="AB158" i="115" s="1"/>
  <c r="X157" i="115"/>
  <c r="W157" i="115"/>
  <c r="V157" i="115"/>
  <c r="AB157" i="115" s="1"/>
  <c r="X156" i="115"/>
  <c r="W156" i="115"/>
  <c r="V156" i="115"/>
  <c r="AB156" i="115" s="1"/>
  <c r="X155" i="115"/>
  <c r="W155" i="115"/>
  <c r="V155" i="115"/>
  <c r="AB155" i="115" s="1"/>
  <c r="X154" i="115"/>
  <c r="W154" i="115"/>
  <c r="V154" i="115"/>
  <c r="AB154" i="115" s="1"/>
  <c r="X153" i="115"/>
  <c r="W153" i="115"/>
  <c r="V153" i="115"/>
  <c r="AB153" i="115" s="1"/>
  <c r="X152" i="115"/>
  <c r="W152" i="115"/>
  <c r="AC152" i="115" s="1"/>
  <c r="V152" i="115"/>
  <c r="AB152" i="115" s="1"/>
  <c r="X151" i="115"/>
  <c r="W151" i="115"/>
  <c r="V151" i="115"/>
  <c r="AB151" i="115" s="1"/>
  <c r="X150" i="115"/>
  <c r="W150" i="115"/>
  <c r="V150" i="115"/>
  <c r="AB150" i="115" s="1"/>
  <c r="X149" i="115"/>
  <c r="W149" i="115"/>
  <c r="V149" i="115"/>
  <c r="AB149" i="115" s="1"/>
  <c r="X148" i="115"/>
  <c r="W148" i="115"/>
  <c r="V148" i="115"/>
  <c r="AB148" i="115" s="1"/>
  <c r="X147" i="115"/>
  <c r="W147" i="115"/>
  <c r="V147" i="115"/>
  <c r="AB147" i="115" s="1"/>
  <c r="X146" i="115"/>
  <c r="W146" i="115"/>
  <c r="V146" i="115"/>
  <c r="AB146" i="115" s="1"/>
  <c r="X145" i="115"/>
  <c r="W145" i="115"/>
  <c r="V145" i="115"/>
  <c r="AB145" i="115" s="1"/>
  <c r="X144" i="115"/>
  <c r="W144" i="115"/>
  <c r="V144" i="115"/>
  <c r="AB144" i="115" s="1"/>
  <c r="X143" i="115"/>
  <c r="W143" i="115"/>
  <c r="V143" i="115"/>
  <c r="AB143" i="115" s="1"/>
  <c r="X142" i="115"/>
  <c r="W142" i="115"/>
  <c r="V142" i="115"/>
  <c r="AB142" i="115" s="1"/>
  <c r="X141" i="115"/>
  <c r="W141" i="115"/>
  <c r="V141" i="115"/>
  <c r="AB141" i="115" s="1"/>
  <c r="X140" i="115"/>
  <c r="W140" i="115"/>
  <c r="V140" i="115"/>
  <c r="AB140" i="115" s="1"/>
  <c r="X139" i="115"/>
  <c r="W139" i="115"/>
  <c r="V139" i="115"/>
  <c r="AB139" i="115" s="1"/>
  <c r="X138" i="115"/>
  <c r="W138" i="115"/>
  <c r="V138" i="115"/>
  <c r="AB138" i="115" s="1"/>
  <c r="X137" i="115"/>
  <c r="W137" i="115"/>
  <c r="V137" i="115"/>
  <c r="AB137" i="115" s="1"/>
  <c r="X136" i="115"/>
  <c r="W136" i="115"/>
  <c r="AC136" i="115" s="1"/>
  <c r="V136" i="115"/>
  <c r="AB136" i="115" s="1"/>
  <c r="X135" i="115"/>
  <c r="W135" i="115"/>
  <c r="V135" i="115"/>
  <c r="AB135" i="115" s="1"/>
  <c r="X134" i="115"/>
  <c r="W134" i="115"/>
  <c r="V134" i="115"/>
  <c r="AB134" i="115" s="1"/>
  <c r="X133" i="115"/>
  <c r="W133" i="115"/>
  <c r="V133" i="115"/>
  <c r="AB133" i="115" s="1"/>
  <c r="X132" i="115"/>
  <c r="W132" i="115"/>
  <c r="V132" i="115"/>
  <c r="AB132" i="115" s="1"/>
  <c r="X131" i="115"/>
  <c r="W131" i="115"/>
  <c r="V131" i="115"/>
  <c r="AB131" i="115" s="1"/>
  <c r="X130" i="115"/>
  <c r="W130" i="115"/>
  <c r="V130" i="115"/>
  <c r="AB130" i="115" s="1"/>
  <c r="X129" i="115"/>
  <c r="W129" i="115"/>
  <c r="V129" i="115"/>
  <c r="AB129" i="115" s="1"/>
  <c r="X128" i="115"/>
  <c r="W128" i="115"/>
  <c r="V128" i="115"/>
  <c r="AB128" i="115" s="1"/>
  <c r="X127" i="115"/>
  <c r="W127" i="115"/>
  <c r="V127" i="115"/>
  <c r="AB127" i="115" s="1"/>
  <c r="X126" i="115"/>
  <c r="W126" i="115"/>
  <c r="V126" i="115"/>
  <c r="AB126" i="115" s="1"/>
  <c r="X125" i="115"/>
  <c r="W125" i="115"/>
  <c r="V125" i="115"/>
  <c r="AB125" i="115" s="1"/>
  <c r="X124" i="115"/>
  <c r="W124" i="115"/>
  <c r="V124" i="115"/>
  <c r="AB124" i="115" s="1"/>
  <c r="X123" i="115"/>
  <c r="W123" i="115"/>
  <c r="V123" i="115"/>
  <c r="AB123" i="115" s="1"/>
  <c r="X122" i="115"/>
  <c r="W122" i="115"/>
  <c r="V122" i="115"/>
  <c r="AB122" i="115" s="1"/>
  <c r="X121" i="115"/>
  <c r="W121" i="115"/>
  <c r="V121" i="115"/>
  <c r="AB121" i="115" s="1"/>
  <c r="X120" i="115"/>
  <c r="W120" i="115"/>
  <c r="AC120" i="115" s="1"/>
  <c r="V120" i="115"/>
  <c r="AB120" i="115" s="1"/>
  <c r="X119" i="115"/>
  <c r="W119" i="115"/>
  <c r="V119" i="115"/>
  <c r="AB119" i="115" s="1"/>
  <c r="X118" i="115"/>
  <c r="W118" i="115"/>
  <c r="V118" i="115"/>
  <c r="AB118" i="115" s="1"/>
  <c r="X117" i="115"/>
  <c r="W117" i="115"/>
  <c r="V117" i="115"/>
  <c r="AB117" i="115" s="1"/>
  <c r="X116" i="115"/>
  <c r="W116" i="115"/>
  <c r="V116" i="115"/>
  <c r="AB116" i="115" s="1"/>
  <c r="X115" i="115"/>
  <c r="W115" i="115"/>
  <c r="V115" i="115"/>
  <c r="AB115" i="115" s="1"/>
  <c r="X114" i="115"/>
  <c r="W114" i="115"/>
  <c r="V114" i="115"/>
  <c r="AB114" i="115" s="1"/>
  <c r="X113" i="115"/>
  <c r="W113" i="115"/>
  <c r="V113" i="115"/>
  <c r="AB113" i="115" s="1"/>
  <c r="X112" i="115"/>
  <c r="W112" i="115"/>
  <c r="V112" i="115"/>
  <c r="AB112" i="115" s="1"/>
  <c r="X111" i="115"/>
  <c r="W111" i="115"/>
  <c r="V111" i="115"/>
  <c r="AB111" i="115" s="1"/>
  <c r="X110" i="115"/>
  <c r="W110" i="115"/>
  <c r="V110" i="115"/>
  <c r="AB110" i="115" s="1"/>
  <c r="V109" i="115"/>
  <c r="AB109" i="115" s="1"/>
  <c r="V108" i="115"/>
  <c r="AB108" i="115" s="1"/>
  <c r="V107" i="115"/>
  <c r="AB107" i="115" s="1"/>
  <c r="V106" i="115"/>
  <c r="AB106" i="115" s="1"/>
  <c r="V105" i="115"/>
  <c r="AB105" i="115" s="1"/>
  <c r="V104" i="115"/>
  <c r="AB104" i="115" s="1"/>
  <c r="V103" i="115"/>
  <c r="AB103" i="115" s="1"/>
  <c r="V102" i="115"/>
  <c r="AB102" i="115" s="1"/>
  <c r="V101" i="115"/>
  <c r="AB101" i="115" s="1"/>
  <c r="V100" i="115"/>
  <c r="AB100" i="115" s="1"/>
  <c r="V99" i="115"/>
  <c r="AB99" i="115" s="1"/>
  <c r="V98" i="115"/>
  <c r="AB98" i="115" s="1"/>
  <c r="X97" i="115"/>
  <c r="W97" i="115"/>
  <c r="AC97" i="115" s="1"/>
  <c r="X96" i="115"/>
  <c r="W96" i="115"/>
  <c r="AC96" i="115" s="1"/>
  <c r="X95" i="115"/>
  <c r="W95" i="115"/>
  <c r="X94" i="115"/>
  <c r="W94" i="115"/>
  <c r="AC94" i="115" s="1"/>
  <c r="X93" i="115"/>
  <c r="W93" i="115"/>
  <c r="AC93" i="115" s="1"/>
  <c r="X92" i="115"/>
  <c r="W92" i="115"/>
  <c r="AC92" i="115" s="1"/>
  <c r="X91" i="115"/>
  <c r="W91" i="115"/>
  <c r="X90" i="115"/>
  <c r="W90" i="115"/>
  <c r="AC90" i="115" s="1"/>
  <c r="X89" i="115"/>
  <c r="W89" i="115"/>
  <c r="AC89" i="115" s="1"/>
  <c r="X88" i="115"/>
  <c r="W88" i="115"/>
  <c r="AC88" i="115" s="1"/>
  <c r="X87" i="115"/>
  <c r="W87" i="115"/>
  <c r="X86" i="115"/>
  <c r="W86" i="115"/>
  <c r="AC86" i="115" s="1"/>
  <c r="V85" i="115"/>
  <c r="AB85" i="115" s="1"/>
  <c r="V84" i="115"/>
  <c r="AB84" i="115" s="1"/>
  <c r="V83" i="115"/>
  <c r="AB83" i="115" s="1"/>
  <c r="V82" i="115"/>
  <c r="AB82" i="115" s="1"/>
  <c r="V81" i="115"/>
  <c r="AB81" i="115" s="1"/>
  <c r="V80" i="115"/>
  <c r="AB80" i="115" s="1"/>
  <c r="V79" i="115"/>
  <c r="AB79" i="115" s="1"/>
  <c r="V78" i="115"/>
  <c r="AB78" i="115" s="1"/>
  <c r="V77" i="115"/>
  <c r="AB77" i="115" s="1"/>
  <c r="V76" i="115"/>
  <c r="AB76" i="115" s="1"/>
  <c r="V75" i="115"/>
  <c r="AB75" i="115" s="1"/>
  <c r="V74" i="115"/>
  <c r="AB74" i="115" s="1"/>
  <c r="X73" i="115"/>
  <c r="W73" i="115"/>
  <c r="V73" i="115"/>
  <c r="AB73" i="115" s="1"/>
  <c r="X72" i="115"/>
  <c r="W72" i="115"/>
  <c r="V72" i="115"/>
  <c r="AB72" i="115" s="1"/>
  <c r="X71" i="115"/>
  <c r="W71" i="115"/>
  <c r="V71" i="115"/>
  <c r="AB71" i="115" s="1"/>
  <c r="X70" i="115"/>
  <c r="W70" i="115"/>
  <c r="V70" i="115"/>
  <c r="AB70" i="115" s="1"/>
  <c r="X69" i="115"/>
  <c r="W69" i="115"/>
  <c r="AC69" i="115" s="1"/>
  <c r="V69" i="115"/>
  <c r="AB69" i="115" s="1"/>
  <c r="X68" i="115"/>
  <c r="W68" i="115"/>
  <c r="V68" i="115"/>
  <c r="AB68" i="115" s="1"/>
  <c r="X67" i="115"/>
  <c r="W67" i="115"/>
  <c r="V67" i="115"/>
  <c r="AB67" i="115" s="1"/>
  <c r="X66" i="115"/>
  <c r="W66" i="115"/>
  <c r="V66" i="115"/>
  <c r="AB66" i="115" s="1"/>
  <c r="X65" i="115"/>
  <c r="W65" i="115"/>
  <c r="V65" i="115"/>
  <c r="AB65" i="115" s="1"/>
  <c r="X64" i="115"/>
  <c r="W64" i="115"/>
  <c r="V64" i="115"/>
  <c r="AB64" i="115" s="1"/>
  <c r="X63" i="115"/>
  <c r="W63" i="115"/>
  <c r="V63" i="115"/>
  <c r="AB63" i="115" s="1"/>
  <c r="X62" i="115"/>
  <c r="W62" i="115"/>
  <c r="V62" i="115"/>
  <c r="AB62" i="115" s="1"/>
  <c r="X61" i="115"/>
  <c r="W61" i="115"/>
  <c r="AC61" i="115" s="1"/>
  <c r="V61" i="115"/>
  <c r="AB61" i="115" s="1"/>
  <c r="X60" i="115"/>
  <c r="W60" i="115"/>
  <c r="V60" i="115"/>
  <c r="AB60" i="115" s="1"/>
  <c r="X59" i="115"/>
  <c r="W59" i="115"/>
  <c r="V59" i="115"/>
  <c r="AB59" i="115" s="1"/>
  <c r="X58" i="115"/>
  <c r="W58" i="115"/>
  <c r="V58" i="115"/>
  <c r="AB58" i="115" s="1"/>
  <c r="X57" i="115"/>
  <c r="W57" i="115"/>
  <c r="V57" i="115"/>
  <c r="AB57" i="115" s="1"/>
  <c r="X56" i="115"/>
  <c r="W56" i="115"/>
  <c r="V56" i="115"/>
  <c r="AB56" i="115" s="1"/>
  <c r="X55" i="115"/>
  <c r="W55" i="115"/>
  <c r="AC55" i="115" s="1"/>
  <c r="V55" i="115"/>
  <c r="AB55" i="115" s="1"/>
  <c r="X54" i="115"/>
  <c r="W54" i="115"/>
  <c r="V54" i="115"/>
  <c r="AB54" i="115" s="1"/>
  <c r="X53" i="115"/>
  <c r="W53" i="115"/>
  <c r="AC53" i="115" s="1"/>
  <c r="V53" i="115"/>
  <c r="AB53" i="115" s="1"/>
  <c r="X52" i="115"/>
  <c r="W52" i="115"/>
  <c r="V52" i="115"/>
  <c r="AB52" i="115" s="1"/>
  <c r="X51" i="115"/>
  <c r="W51" i="115"/>
  <c r="V51" i="115"/>
  <c r="AB51" i="115" s="1"/>
  <c r="X50" i="115"/>
  <c r="W50" i="115"/>
  <c r="V50" i="115"/>
  <c r="AB50" i="115" s="1"/>
  <c r="X49" i="115"/>
  <c r="W49" i="115"/>
  <c r="V49" i="115"/>
  <c r="AB49" i="115" s="1"/>
  <c r="X48" i="115"/>
  <c r="W48" i="115"/>
  <c r="V48" i="115"/>
  <c r="AB48" i="115" s="1"/>
  <c r="X47" i="115"/>
  <c r="W47" i="115"/>
  <c r="V47" i="115"/>
  <c r="AB47" i="115" s="1"/>
  <c r="X46" i="115"/>
  <c r="W46" i="115"/>
  <c r="V46" i="115"/>
  <c r="AB46" i="115" s="1"/>
  <c r="X45" i="115"/>
  <c r="W45" i="115"/>
  <c r="AC45" i="115" s="1"/>
  <c r="V45" i="115"/>
  <c r="AB45" i="115" s="1"/>
  <c r="X44" i="115"/>
  <c r="W44" i="115"/>
  <c r="V44" i="115"/>
  <c r="AB44" i="115" s="1"/>
  <c r="X43" i="115"/>
  <c r="W43" i="115"/>
  <c r="V43" i="115"/>
  <c r="AB43" i="115" s="1"/>
  <c r="X42" i="115"/>
  <c r="W42" i="115"/>
  <c r="V42" i="115"/>
  <c r="AB42" i="115" s="1"/>
  <c r="X41" i="115"/>
  <c r="W41" i="115"/>
  <c r="V41" i="115"/>
  <c r="AB41" i="115" s="1"/>
  <c r="X40" i="115"/>
  <c r="W40" i="115"/>
  <c r="V40" i="115"/>
  <c r="AB40" i="115" s="1"/>
  <c r="X39" i="115"/>
  <c r="W39" i="115"/>
  <c r="V39" i="115"/>
  <c r="AB39" i="115" s="1"/>
  <c r="X38" i="115"/>
  <c r="W38" i="115"/>
  <c r="V38" i="115"/>
  <c r="AB38" i="115" s="1"/>
  <c r="X37" i="115"/>
  <c r="W37" i="115"/>
  <c r="V37" i="115"/>
  <c r="O37" i="115"/>
  <c r="M37" i="115"/>
  <c r="K37" i="115"/>
  <c r="X36" i="115"/>
  <c r="W36" i="115"/>
  <c r="V36" i="115"/>
  <c r="O36" i="115"/>
  <c r="M36" i="115"/>
  <c r="K36" i="115"/>
  <c r="X35" i="115"/>
  <c r="W35" i="115"/>
  <c r="V35" i="115"/>
  <c r="O35" i="115"/>
  <c r="M35" i="115"/>
  <c r="K35" i="115"/>
  <c r="X34" i="115"/>
  <c r="W34" i="115"/>
  <c r="V34" i="115"/>
  <c r="O34" i="115"/>
  <c r="M34" i="115"/>
  <c r="K34" i="115"/>
  <c r="X33" i="115"/>
  <c r="W33" i="115"/>
  <c r="V33" i="115"/>
  <c r="O33" i="115"/>
  <c r="M33" i="115"/>
  <c r="K33" i="115"/>
  <c r="X32" i="115"/>
  <c r="W32" i="115"/>
  <c r="V32" i="115"/>
  <c r="O32" i="115"/>
  <c r="M32" i="115"/>
  <c r="K32" i="115"/>
  <c r="X31" i="115"/>
  <c r="W31" i="115"/>
  <c r="V31" i="115"/>
  <c r="O31" i="115"/>
  <c r="M31" i="115"/>
  <c r="K31" i="115"/>
  <c r="X30" i="115"/>
  <c r="W30" i="115"/>
  <c r="V30" i="115"/>
  <c r="O30" i="115"/>
  <c r="M30" i="115"/>
  <c r="K30" i="115"/>
  <c r="X29" i="115"/>
  <c r="W29" i="115"/>
  <c r="V29" i="115"/>
  <c r="O29" i="115"/>
  <c r="M29" i="115"/>
  <c r="K29" i="115"/>
  <c r="X28" i="115"/>
  <c r="W28" i="115"/>
  <c r="V28" i="115"/>
  <c r="O28" i="115"/>
  <c r="M28" i="115"/>
  <c r="K28" i="115"/>
  <c r="X27" i="115"/>
  <c r="W27" i="115"/>
  <c r="V27" i="115"/>
  <c r="O27" i="115"/>
  <c r="M27" i="115"/>
  <c r="K27" i="115"/>
  <c r="X26" i="115"/>
  <c r="W26" i="115"/>
  <c r="V26" i="115"/>
  <c r="O26" i="115"/>
  <c r="M26" i="115"/>
  <c r="K26" i="115"/>
  <c r="X25" i="115"/>
  <c r="W25" i="115"/>
  <c r="V25" i="115"/>
  <c r="O25" i="115"/>
  <c r="M25" i="115"/>
  <c r="K25" i="115"/>
  <c r="X24" i="115"/>
  <c r="W24" i="115"/>
  <c r="V24" i="115"/>
  <c r="O24" i="115"/>
  <c r="M24" i="115"/>
  <c r="K24" i="115"/>
  <c r="X23" i="115"/>
  <c r="W23" i="115"/>
  <c r="V23" i="115"/>
  <c r="O23" i="115"/>
  <c r="M23" i="115"/>
  <c r="K23" i="115"/>
  <c r="X22" i="115"/>
  <c r="W22" i="115"/>
  <c r="V22" i="115"/>
  <c r="O22" i="115"/>
  <c r="M22" i="115"/>
  <c r="K22" i="115"/>
  <c r="X21" i="115"/>
  <c r="W21" i="115"/>
  <c r="V21" i="115"/>
  <c r="O21" i="115"/>
  <c r="M21" i="115"/>
  <c r="K21" i="115"/>
  <c r="X20" i="115"/>
  <c r="W20" i="115"/>
  <c r="V20" i="115"/>
  <c r="O20" i="115"/>
  <c r="M20" i="115"/>
  <c r="K20" i="115"/>
  <c r="X19" i="115"/>
  <c r="W19" i="115"/>
  <c r="V19" i="115"/>
  <c r="O19" i="115"/>
  <c r="M19" i="115"/>
  <c r="K19" i="115"/>
  <c r="X18" i="115"/>
  <c r="W18" i="115"/>
  <c r="V18" i="115"/>
  <c r="O18" i="115"/>
  <c r="M18" i="115"/>
  <c r="K18" i="115"/>
  <c r="X17" i="115"/>
  <c r="W17" i="115"/>
  <c r="V17" i="115"/>
  <c r="O17" i="115"/>
  <c r="M17" i="115"/>
  <c r="K17" i="115"/>
  <c r="X16" i="115"/>
  <c r="W16" i="115"/>
  <c r="V16" i="115"/>
  <c r="O16" i="115"/>
  <c r="M16" i="115"/>
  <c r="K16" i="115"/>
  <c r="X15" i="115"/>
  <c r="W15" i="115"/>
  <c r="V15" i="115"/>
  <c r="O15" i="115"/>
  <c r="M15" i="115"/>
  <c r="K15" i="115"/>
  <c r="X14" i="115"/>
  <c r="W14" i="115"/>
  <c r="V14" i="115"/>
  <c r="O14" i="115"/>
  <c r="M14" i="115"/>
  <c r="K14" i="115"/>
  <c r="X13" i="115"/>
  <c r="W13" i="115"/>
  <c r="V13" i="115"/>
  <c r="O13" i="115"/>
  <c r="M13" i="115"/>
  <c r="AC13" i="115" s="1"/>
  <c r="K13" i="115"/>
  <c r="X12" i="115"/>
  <c r="W12" i="115"/>
  <c r="V12" i="115"/>
  <c r="O12" i="115"/>
  <c r="M12" i="115"/>
  <c r="K12" i="115"/>
  <c r="X11" i="115"/>
  <c r="W11" i="115"/>
  <c r="V11" i="115"/>
  <c r="O11" i="115"/>
  <c r="M11" i="115"/>
  <c r="K11" i="115"/>
  <c r="X10" i="115"/>
  <c r="W10" i="115"/>
  <c r="V10" i="115"/>
  <c r="O10" i="115"/>
  <c r="M10" i="115"/>
  <c r="K10" i="115"/>
  <c r="X9" i="115"/>
  <c r="W9" i="115"/>
  <c r="V9" i="115"/>
  <c r="O9" i="115"/>
  <c r="M9" i="115"/>
  <c r="K9" i="115"/>
  <c r="X8" i="115"/>
  <c r="W8" i="115"/>
  <c r="V8" i="115"/>
  <c r="O8" i="115"/>
  <c r="M8" i="115"/>
  <c r="K8" i="115"/>
  <c r="X7" i="115"/>
  <c r="W7" i="115"/>
  <c r="V7" i="115"/>
  <c r="O7" i="115"/>
  <c r="M7" i="115"/>
  <c r="K7" i="115"/>
  <c r="X6" i="115"/>
  <c r="W6" i="115"/>
  <c r="V6" i="115"/>
  <c r="O6" i="115"/>
  <c r="M6" i="115"/>
  <c r="K6" i="115"/>
  <c r="X5" i="115"/>
  <c r="W5" i="115"/>
  <c r="V5" i="115"/>
  <c r="O5" i="115"/>
  <c r="M5" i="115"/>
  <c r="K5" i="115"/>
  <c r="X4" i="115"/>
  <c r="W4" i="115"/>
  <c r="V4" i="115"/>
  <c r="O4" i="115"/>
  <c r="M4" i="115"/>
  <c r="K4" i="115"/>
  <c r="X3" i="115"/>
  <c r="W3" i="115"/>
  <c r="V3" i="115"/>
  <c r="O3" i="115"/>
  <c r="M3" i="115"/>
  <c r="K3" i="115"/>
  <c r="X2" i="115"/>
  <c r="W2" i="115"/>
  <c r="V2" i="115"/>
  <c r="O2" i="115"/>
  <c r="M2" i="115"/>
  <c r="K2" i="115"/>
  <c r="AE667" i="114"/>
  <c r="AE666" i="114"/>
  <c r="AE665" i="114"/>
  <c r="AE664" i="114"/>
  <c r="AE663" i="114"/>
  <c r="AE662" i="114"/>
  <c r="AE661" i="114"/>
  <c r="AE660" i="114"/>
  <c r="AE659" i="114"/>
  <c r="AE658" i="114"/>
  <c r="AE657" i="114"/>
  <c r="AE656" i="114"/>
  <c r="AE655" i="114"/>
  <c r="AA12" i="118" s="1"/>
  <c r="AE654" i="114"/>
  <c r="AD654" i="114"/>
  <c r="AC654" i="114"/>
  <c r="AE653" i="114"/>
  <c r="AD653" i="114"/>
  <c r="AE652" i="114"/>
  <c r="AD652" i="114"/>
  <c r="AC652" i="114"/>
  <c r="AE651" i="114"/>
  <c r="AD651" i="114"/>
  <c r="AE650" i="114"/>
  <c r="AD650" i="114"/>
  <c r="AC650" i="114"/>
  <c r="AE649" i="114"/>
  <c r="AD649" i="114"/>
  <c r="AE648" i="114"/>
  <c r="AD648" i="114"/>
  <c r="AC648" i="114"/>
  <c r="AE647" i="114"/>
  <c r="AD647" i="114"/>
  <c r="AE646" i="114"/>
  <c r="AD646" i="114"/>
  <c r="AC646" i="114"/>
  <c r="AE645" i="114"/>
  <c r="AD645" i="114"/>
  <c r="AE644" i="114"/>
  <c r="AD644" i="114"/>
  <c r="AC644" i="114"/>
  <c r="AE643" i="114"/>
  <c r="AD643" i="114"/>
  <c r="AE642" i="114"/>
  <c r="AD642" i="114"/>
  <c r="AC642" i="114"/>
  <c r="AE641" i="114"/>
  <c r="AE640" i="114"/>
  <c r="AE639" i="114"/>
  <c r="AE638" i="114"/>
  <c r="AE637" i="114"/>
  <c r="AE636" i="114"/>
  <c r="AE635" i="114"/>
  <c r="AE634" i="114"/>
  <c r="AE633" i="114"/>
  <c r="AE632" i="114"/>
  <c r="AE631" i="114"/>
  <c r="AE630" i="114"/>
  <c r="AE629" i="114"/>
  <c r="AE628" i="114"/>
  <c r="AE627" i="114"/>
  <c r="AE626" i="114"/>
  <c r="AE625" i="114"/>
  <c r="AE624" i="114"/>
  <c r="AE623" i="114"/>
  <c r="AE622" i="114"/>
  <c r="AE621" i="114"/>
  <c r="AE620" i="114"/>
  <c r="AE619" i="114"/>
  <c r="AE618" i="114"/>
  <c r="AE617" i="114"/>
  <c r="AE616" i="114"/>
  <c r="AE615" i="114"/>
  <c r="AE614" i="114"/>
  <c r="AE613" i="114"/>
  <c r="AE612" i="114"/>
  <c r="AE611" i="114"/>
  <c r="AE610" i="114"/>
  <c r="AE609" i="114"/>
  <c r="AE608" i="114"/>
  <c r="AE607" i="114"/>
  <c r="AE606" i="114"/>
  <c r="AE605" i="114"/>
  <c r="AE604" i="114"/>
  <c r="AE603" i="114"/>
  <c r="AE602" i="114"/>
  <c r="AE601" i="114"/>
  <c r="AE600" i="114"/>
  <c r="AE599" i="114"/>
  <c r="AE598" i="114"/>
  <c r="AE597" i="114"/>
  <c r="AE596" i="114"/>
  <c r="AE595" i="114"/>
  <c r="AE594" i="114"/>
  <c r="AE593" i="114"/>
  <c r="AE592" i="114"/>
  <c r="AE591" i="114"/>
  <c r="AE590" i="114"/>
  <c r="AE589" i="114"/>
  <c r="AE588" i="114"/>
  <c r="AE587" i="114"/>
  <c r="AE586" i="114"/>
  <c r="AE585" i="114"/>
  <c r="AE584" i="114"/>
  <c r="AE583" i="114"/>
  <c r="AE582" i="114"/>
  <c r="AE581" i="114"/>
  <c r="AE580" i="114"/>
  <c r="AE579" i="114"/>
  <c r="AE578" i="114"/>
  <c r="AE577" i="114"/>
  <c r="AE576" i="114"/>
  <c r="AE575" i="114"/>
  <c r="AE574" i="114"/>
  <c r="AE573" i="114"/>
  <c r="AE572" i="114"/>
  <c r="AE571" i="114"/>
  <c r="AE570" i="114"/>
  <c r="AE569" i="114"/>
  <c r="AE568" i="114"/>
  <c r="AE567" i="114"/>
  <c r="AE566" i="114"/>
  <c r="AE565" i="114"/>
  <c r="AE564" i="114"/>
  <c r="AE563" i="114"/>
  <c r="AE562" i="114"/>
  <c r="AE561" i="114"/>
  <c r="AE560" i="114"/>
  <c r="AE559" i="114"/>
  <c r="AE558" i="114"/>
  <c r="AE557" i="114"/>
  <c r="AD557" i="114"/>
  <c r="AE556" i="114"/>
  <c r="AE555" i="114"/>
  <c r="AE554" i="114"/>
  <c r="AE553" i="114"/>
  <c r="AE552" i="114"/>
  <c r="AE551" i="114"/>
  <c r="AE550" i="114"/>
  <c r="AE549" i="114"/>
  <c r="AE548" i="114"/>
  <c r="AE547" i="114"/>
  <c r="AE546" i="114"/>
  <c r="AE545" i="114"/>
  <c r="AE544" i="114"/>
  <c r="AE543" i="114"/>
  <c r="AE542" i="114"/>
  <c r="AE541" i="114"/>
  <c r="AE540" i="114"/>
  <c r="AE539" i="114"/>
  <c r="AE538" i="114"/>
  <c r="AE537" i="114"/>
  <c r="AE536" i="114"/>
  <c r="AE535" i="114"/>
  <c r="AE534" i="114"/>
  <c r="AE533" i="114"/>
  <c r="AE532" i="114"/>
  <c r="AE531" i="114"/>
  <c r="AE530" i="114"/>
  <c r="AE529" i="114"/>
  <c r="AE528" i="114"/>
  <c r="AE527" i="114"/>
  <c r="AE526" i="114"/>
  <c r="AE525" i="114"/>
  <c r="AE524" i="114"/>
  <c r="AE523" i="114"/>
  <c r="AE522" i="114"/>
  <c r="AE521" i="114"/>
  <c r="AE520" i="114"/>
  <c r="AE519" i="114"/>
  <c r="AE518" i="114"/>
  <c r="AE517" i="114"/>
  <c r="AE516" i="114"/>
  <c r="AE515" i="114"/>
  <c r="AE514" i="114"/>
  <c r="AE513" i="114"/>
  <c r="AE512" i="114"/>
  <c r="AE511" i="114"/>
  <c r="AE510" i="114"/>
  <c r="AE509" i="114"/>
  <c r="AE508" i="114"/>
  <c r="AE507" i="114"/>
  <c r="AE506" i="114"/>
  <c r="AE505" i="114"/>
  <c r="AE504" i="114"/>
  <c r="AE503" i="114"/>
  <c r="AE502" i="114"/>
  <c r="AE501" i="114"/>
  <c r="AE500" i="114"/>
  <c r="AE499" i="114"/>
  <c r="AE498" i="114"/>
  <c r="AE497" i="114"/>
  <c r="AE496" i="114"/>
  <c r="AE495" i="114"/>
  <c r="AE494" i="114"/>
  <c r="AE493" i="114"/>
  <c r="AE492" i="114"/>
  <c r="AE491" i="114"/>
  <c r="AE490" i="114"/>
  <c r="AE489" i="114"/>
  <c r="AE488" i="114"/>
  <c r="AE487" i="114"/>
  <c r="AE486" i="114"/>
  <c r="AE485" i="114"/>
  <c r="AE484" i="114"/>
  <c r="AE483" i="114"/>
  <c r="AE482" i="114"/>
  <c r="AE481" i="114"/>
  <c r="AE480" i="114"/>
  <c r="AE479" i="114"/>
  <c r="AE478" i="114"/>
  <c r="AE477" i="114"/>
  <c r="AE476" i="114"/>
  <c r="AE475" i="114"/>
  <c r="AE474" i="114"/>
  <c r="AE473" i="114"/>
  <c r="AE472" i="114"/>
  <c r="AE471" i="114"/>
  <c r="AE470" i="114"/>
  <c r="AE469" i="114"/>
  <c r="AE468" i="114"/>
  <c r="AE467" i="114"/>
  <c r="AE466" i="114"/>
  <c r="AE465" i="114"/>
  <c r="AE464" i="114"/>
  <c r="AE463" i="114"/>
  <c r="AE462" i="114"/>
  <c r="AE461" i="114"/>
  <c r="AE460" i="114"/>
  <c r="AE459" i="114"/>
  <c r="AE458" i="114"/>
  <c r="AE457" i="114"/>
  <c r="AE456" i="114"/>
  <c r="AE455" i="114"/>
  <c r="AE454" i="114"/>
  <c r="AE453" i="114"/>
  <c r="AE452" i="114"/>
  <c r="AE451" i="114"/>
  <c r="AE450" i="114"/>
  <c r="AE449" i="114"/>
  <c r="AE448" i="114"/>
  <c r="AE447" i="114"/>
  <c r="AE446" i="114"/>
  <c r="AE445" i="114"/>
  <c r="AE444" i="114"/>
  <c r="AE443" i="114"/>
  <c r="AE442" i="114"/>
  <c r="AE441" i="114"/>
  <c r="AE440" i="114"/>
  <c r="AE439" i="114"/>
  <c r="AE438" i="114"/>
  <c r="AE437" i="114"/>
  <c r="AE436" i="114"/>
  <c r="AE435" i="114"/>
  <c r="AE434" i="114"/>
  <c r="AE433" i="114"/>
  <c r="AE432" i="114"/>
  <c r="AE431" i="114"/>
  <c r="AE430" i="114"/>
  <c r="AE429" i="114"/>
  <c r="AE428" i="114"/>
  <c r="AE427" i="114"/>
  <c r="AE426" i="114"/>
  <c r="AE425" i="114"/>
  <c r="AE424" i="114"/>
  <c r="AE423" i="114"/>
  <c r="AE422" i="114"/>
  <c r="AE421" i="114"/>
  <c r="AE420" i="114"/>
  <c r="AE419" i="114"/>
  <c r="AE418" i="114"/>
  <c r="AE417" i="114"/>
  <c r="AE416" i="114"/>
  <c r="AE415" i="114"/>
  <c r="AE414" i="114"/>
  <c r="AE413" i="114"/>
  <c r="AE412" i="114"/>
  <c r="AE411" i="114"/>
  <c r="AE410" i="114"/>
  <c r="AE409" i="114"/>
  <c r="AE408" i="114"/>
  <c r="AE407" i="114"/>
  <c r="AE406" i="114"/>
  <c r="AE405" i="114"/>
  <c r="AE404" i="114"/>
  <c r="AE403" i="114"/>
  <c r="AE402" i="114"/>
  <c r="AE401" i="114"/>
  <c r="AE400" i="114"/>
  <c r="AE399" i="114"/>
  <c r="AE398" i="114"/>
  <c r="AE397" i="114"/>
  <c r="AE396" i="114"/>
  <c r="AE395" i="114"/>
  <c r="AE394" i="114"/>
  <c r="AE393" i="114"/>
  <c r="AE392" i="114"/>
  <c r="AE391" i="114"/>
  <c r="AE390" i="114"/>
  <c r="AE389" i="114"/>
  <c r="AE388" i="114"/>
  <c r="AE387" i="114"/>
  <c r="AE386" i="114"/>
  <c r="AE385" i="114"/>
  <c r="AE384" i="114"/>
  <c r="AE383" i="114"/>
  <c r="AE382" i="114"/>
  <c r="AE381" i="114"/>
  <c r="AE380" i="114"/>
  <c r="AE379" i="114"/>
  <c r="AE378" i="114"/>
  <c r="AE377" i="114"/>
  <c r="AE376" i="114"/>
  <c r="AE375" i="114"/>
  <c r="AE374" i="114"/>
  <c r="AE373" i="114"/>
  <c r="AE372" i="114"/>
  <c r="AE371" i="114"/>
  <c r="AE370" i="114"/>
  <c r="AE369" i="114"/>
  <c r="AE368" i="114"/>
  <c r="AE367" i="114"/>
  <c r="AE366" i="114"/>
  <c r="AE365" i="114"/>
  <c r="AE364" i="114"/>
  <c r="AE363" i="114"/>
  <c r="AE362" i="114"/>
  <c r="AE361" i="114"/>
  <c r="AE360" i="114"/>
  <c r="AE359" i="114"/>
  <c r="AE358" i="114"/>
  <c r="AE357" i="114"/>
  <c r="AE356" i="114"/>
  <c r="AE355" i="114"/>
  <c r="AE354" i="114"/>
  <c r="AE353" i="114"/>
  <c r="AE352" i="114"/>
  <c r="AE351" i="114"/>
  <c r="AE350" i="114"/>
  <c r="AE349" i="114"/>
  <c r="AE348" i="114"/>
  <c r="AE347" i="114"/>
  <c r="AE346" i="114"/>
  <c r="AE345" i="114"/>
  <c r="AE344" i="114"/>
  <c r="AE343" i="114"/>
  <c r="AE342" i="114"/>
  <c r="AE341" i="114"/>
  <c r="AE340" i="114"/>
  <c r="AE339" i="114"/>
  <c r="AE338" i="114"/>
  <c r="AE337" i="114"/>
  <c r="AE336" i="114"/>
  <c r="AE335" i="114"/>
  <c r="AE334" i="114"/>
  <c r="AE333" i="114"/>
  <c r="AE332" i="114"/>
  <c r="AE331" i="114"/>
  <c r="AE330" i="114"/>
  <c r="AE329" i="114"/>
  <c r="AE328" i="114"/>
  <c r="AE327" i="114"/>
  <c r="AE326" i="114"/>
  <c r="AE325" i="114"/>
  <c r="AE324" i="114"/>
  <c r="AE323" i="114"/>
  <c r="AE322" i="114"/>
  <c r="AE321" i="114"/>
  <c r="AE320" i="114"/>
  <c r="AE319" i="114"/>
  <c r="AE318" i="114"/>
  <c r="AE317" i="114"/>
  <c r="AE316" i="114"/>
  <c r="AE315" i="114"/>
  <c r="AE314" i="114"/>
  <c r="AE313" i="114"/>
  <c r="AE312" i="114"/>
  <c r="AE311" i="114"/>
  <c r="AE310" i="114"/>
  <c r="AE309" i="114"/>
  <c r="AE308" i="114"/>
  <c r="AE307" i="114"/>
  <c r="AE306" i="114"/>
  <c r="AE305" i="114"/>
  <c r="AE304" i="114"/>
  <c r="AE303" i="114"/>
  <c r="AE302" i="114"/>
  <c r="AE301" i="114"/>
  <c r="AE300" i="114"/>
  <c r="AE299" i="114"/>
  <c r="AE298" i="114"/>
  <c r="AE297" i="114"/>
  <c r="AE296" i="114"/>
  <c r="AE295" i="114"/>
  <c r="AE294" i="114"/>
  <c r="AE293" i="114"/>
  <c r="AE292" i="114"/>
  <c r="AE291" i="114"/>
  <c r="AE290" i="114"/>
  <c r="AE289" i="114"/>
  <c r="AE288" i="114"/>
  <c r="AE287" i="114"/>
  <c r="AE286" i="114"/>
  <c r="AE285" i="114"/>
  <c r="AE284" i="114"/>
  <c r="AE283" i="114"/>
  <c r="AE282" i="114"/>
  <c r="AE281" i="114"/>
  <c r="AE280" i="114"/>
  <c r="AE279" i="114"/>
  <c r="AE278" i="114"/>
  <c r="AE277" i="114"/>
  <c r="AE276" i="114"/>
  <c r="AE275" i="114"/>
  <c r="AE274" i="114"/>
  <c r="AE273" i="114"/>
  <c r="AE272" i="114"/>
  <c r="AE271" i="114"/>
  <c r="AE270" i="114"/>
  <c r="AE269" i="114"/>
  <c r="AE268" i="114"/>
  <c r="AE267" i="114"/>
  <c r="AE266" i="114"/>
  <c r="AE265" i="114"/>
  <c r="AE264" i="114"/>
  <c r="AE263" i="114"/>
  <c r="AE262" i="114"/>
  <c r="AE261" i="114"/>
  <c r="AE260" i="114"/>
  <c r="AE259" i="114"/>
  <c r="AA9" i="118" s="1"/>
  <c r="AE258" i="114"/>
  <c r="AD258" i="114"/>
  <c r="AC258" i="114"/>
  <c r="AE257" i="114"/>
  <c r="AD257" i="114"/>
  <c r="AE256" i="114"/>
  <c r="AD256" i="114"/>
  <c r="AC256" i="114"/>
  <c r="AE255" i="114"/>
  <c r="AD255" i="114"/>
  <c r="AE254" i="114"/>
  <c r="AD254" i="114"/>
  <c r="AC254" i="114"/>
  <c r="AE253" i="114"/>
  <c r="AD253" i="114"/>
  <c r="AE252" i="114"/>
  <c r="AD252" i="114"/>
  <c r="AC252" i="114"/>
  <c r="AE251" i="114"/>
  <c r="AD251" i="114"/>
  <c r="AE250" i="114"/>
  <c r="AD250" i="114"/>
  <c r="AC250" i="114"/>
  <c r="AE249" i="114"/>
  <c r="AD249" i="114"/>
  <c r="AE248" i="114"/>
  <c r="AD248" i="114"/>
  <c r="AC248" i="114"/>
  <c r="AE247" i="114"/>
  <c r="AD247" i="114"/>
  <c r="AG246" i="114"/>
  <c r="AF246" i="114"/>
  <c r="AB246" i="114"/>
  <c r="AG245" i="114"/>
  <c r="AF245" i="114"/>
  <c r="AB245" i="114"/>
  <c r="AG244" i="114"/>
  <c r="AF244" i="114"/>
  <c r="AB244" i="114"/>
  <c r="AG243" i="114"/>
  <c r="AF243" i="114"/>
  <c r="AB243" i="114"/>
  <c r="AG242" i="114"/>
  <c r="AF242" i="114"/>
  <c r="AB242" i="114"/>
  <c r="AG241" i="114"/>
  <c r="AF241" i="114"/>
  <c r="AB241" i="114"/>
  <c r="AG240" i="114"/>
  <c r="AF240" i="114"/>
  <c r="AB240" i="114"/>
  <c r="AG239" i="114"/>
  <c r="AF239" i="114"/>
  <c r="AG238" i="114"/>
  <c r="AF238" i="114"/>
  <c r="AB238" i="114"/>
  <c r="AG237" i="114"/>
  <c r="AF237" i="114"/>
  <c r="AB237" i="114"/>
  <c r="AG236" i="114"/>
  <c r="AF236" i="114"/>
  <c r="AB236" i="114"/>
  <c r="AG235" i="114"/>
  <c r="AF235" i="114"/>
  <c r="AB235" i="114"/>
  <c r="AE234" i="114"/>
  <c r="AD234" i="114"/>
  <c r="AC234" i="114"/>
  <c r="AE233" i="114"/>
  <c r="AD233" i="114"/>
  <c r="AE232" i="114"/>
  <c r="AD232" i="114"/>
  <c r="AC232" i="114"/>
  <c r="AE231" i="114"/>
  <c r="AD231" i="114"/>
  <c r="AE230" i="114"/>
  <c r="AD230" i="114"/>
  <c r="AC230" i="114"/>
  <c r="AE229" i="114"/>
  <c r="AD229" i="114"/>
  <c r="AE228" i="114"/>
  <c r="AD228" i="114"/>
  <c r="AC228" i="114"/>
  <c r="AE227" i="114"/>
  <c r="AD227" i="114"/>
  <c r="AE226" i="114"/>
  <c r="AD226" i="114"/>
  <c r="AC226" i="114"/>
  <c r="AE225" i="114"/>
  <c r="AD225" i="114"/>
  <c r="AE224" i="114"/>
  <c r="AD224" i="114"/>
  <c r="AC224" i="114"/>
  <c r="AE223" i="114"/>
  <c r="AD223" i="114"/>
  <c r="AE222" i="114"/>
  <c r="AE221" i="114"/>
  <c r="AE220" i="114"/>
  <c r="AE219" i="114"/>
  <c r="AE218" i="114"/>
  <c r="AE217" i="114"/>
  <c r="AE216" i="114"/>
  <c r="AE215" i="114"/>
  <c r="AE214" i="114"/>
  <c r="AE213" i="114"/>
  <c r="AE212" i="114"/>
  <c r="AE211" i="114"/>
  <c r="AG210" i="114"/>
  <c r="AF210" i="114"/>
  <c r="AG209" i="114"/>
  <c r="AF209" i="114"/>
  <c r="AG208" i="114"/>
  <c r="AF208" i="114"/>
  <c r="AG207" i="114"/>
  <c r="AF207" i="114"/>
  <c r="AG206" i="114"/>
  <c r="AF206" i="114"/>
  <c r="AG205" i="114"/>
  <c r="AF205" i="114"/>
  <c r="AG204" i="114"/>
  <c r="AF204" i="114"/>
  <c r="AG203" i="114"/>
  <c r="AF203" i="114"/>
  <c r="AG202" i="114"/>
  <c r="AF202" i="114"/>
  <c r="AG201" i="114"/>
  <c r="AF201" i="114"/>
  <c r="AG200" i="114"/>
  <c r="AF200" i="114"/>
  <c r="AG199" i="114"/>
  <c r="AF199" i="114"/>
  <c r="AE198" i="114"/>
  <c r="AE197" i="114"/>
  <c r="AE196" i="114"/>
  <c r="AE195" i="114"/>
  <c r="AE194" i="114"/>
  <c r="AE193" i="114"/>
  <c r="AE192" i="114"/>
  <c r="AE191" i="114"/>
  <c r="AE190" i="114"/>
  <c r="AE189" i="114"/>
  <c r="AE188" i="114"/>
  <c r="AE187" i="114"/>
  <c r="AE186" i="114"/>
  <c r="AE185" i="114"/>
  <c r="AE184" i="114"/>
  <c r="AE183" i="114"/>
  <c r="AE182" i="114"/>
  <c r="AE181" i="114"/>
  <c r="AE180" i="114"/>
  <c r="AE179" i="114"/>
  <c r="AE178" i="114"/>
  <c r="AE177" i="114"/>
  <c r="AE176" i="114"/>
  <c r="AE175" i="114"/>
  <c r="AE174" i="114"/>
  <c r="AE173" i="114"/>
  <c r="AE172" i="114"/>
  <c r="AE171" i="114"/>
  <c r="AE170" i="114"/>
  <c r="AE169" i="114"/>
  <c r="AG168" i="114"/>
  <c r="AF168" i="114"/>
  <c r="AG167" i="114"/>
  <c r="AF167" i="114"/>
  <c r="AG166" i="114"/>
  <c r="AF166" i="114"/>
  <c r="AG165" i="114"/>
  <c r="AF165" i="114"/>
  <c r="AG164" i="114"/>
  <c r="AF164" i="114"/>
  <c r="AG163" i="114"/>
  <c r="AF163" i="114"/>
  <c r="AG162" i="114"/>
  <c r="AF162" i="114"/>
  <c r="AG161" i="114"/>
  <c r="AF161" i="114"/>
  <c r="AG160" i="114"/>
  <c r="AF160" i="114"/>
  <c r="AG159" i="114"/>
  <c r="AF159" i="114"/>
  <c r="AG158" i="114"/>
  <c r="AF158" i="114"/>
  <c r="AG157" i="114"/>
  <c r="AF157" i="114"/>
  <c r="AG156" i="114"/>
  <c r="AF156" i="114"/>
  <c r="AG155" i="114"/>
  <c r="AF155" i="114"/>
  <c r="AG154" i="114"/>
  <c r="AF154" i="114"/>
  <c r="AG153" i="114"/>
  <c r="AF153" i="114"/>
  <c r="AG152" i="114"/>
  <c r="AF152" i="114"/>
  <c r="AG151" i="114"/>
  <c r="AF151" i="114"/>
  <c r="AG150" i="114"/>
  <c r="AF150" i="114"/>
  <c r="AG149" i="114"/>
  <c r="AF149" i="114"/>
  <c r="AE148" i="114"/>
  <c r="AE147" i="114"/>
  <c r="AE146" i="114"/>
  <c r="AE145" i="114"/>
  <c r="AE144" i="114"/>
  <c r="AE143" i="114"/>
  <c r="AE142" i="114"/>
  <c r="AE141" i="114"/>
  <c r="AE140" i="114"/>
  <c r="AE139" i="114"/>
  <c r="AE138" i="114"/>
  <c r="AE137" i="114"/>
  <c r="AE136" i="114"/>
  <c r="AE135" i="114"/>
  <c r="AE134" i="114"/>
  <c r="AE133" i="114"/>
  <c r="AE132" i="114"/>
  <c r="AE131" i="114"/>
  <c r="AE130" i="114"/>
  <c r="AG129" i="114"/>
  <c r="AE129" i="114"/>
  <c r="AG128" i="114"/>
  <c r="AE128" i="114"/>
  <c r="AG127" i="114"/>
  <c r="AE127" i="114"/>
  <c r="AG126" i="114"/>
  <c r="AE126" i="114"/>
  <c r="AG125" i="114"/>
  <c r="AE125" i="114"/>
  <c r="AG124" i="114"/>
  <c r="AE124" i="114"/>
  <c r="AG123" i="114"/>
  <c r="AE123" i="114"/>
  <c r="AG122" i="114"/>
  <c r="AE122" i="114"/>
  <c r="AG121" i="114"/>
  <c r="AE121" i="114"/>
  <c r="AG120" i="114"/>
  <c r="AE120" i="114"/>
  <c r="AG119" i="114"/>
  <c r="AE119" i="114"/>
  <c r="AG118" i="114"/>
  <c r="AE118" i="114"/>
  <c r="AG117" i="114"/>
  <c r="AF117" i="114"/>
  <c r="AG116" i="114"/>
  <c r="AF116" i="114"/>
  <c r="AG115" i="114"/>
  <c r="AF115" i="114"/>
  <c r="AG114" i="114"/>
  <c r="AF114" i="114"/>
  <c r="AG113" i="114"/>
  <c r="AF113" i="114"/>
  <c r="AG112" i="114"/>
  <c r="AF112" i="114"/>
  <c r="AG111" i="114"/>
  <c r="AF111" i="114"/>
  <c r="AG110" i="114"/>
  <c r="AF110" i="114"/>
  <c r="AG109" i="114"/>
  <c r="AF109" i="114"/>
  <c r="AG108" i="114"/>
  <c r="AF108" i="114"/>
  <c r="AG107" i="114"/>
  <c r="AF107" i="114"/>
  <c r="AG106" i="114"/>
  <c r="AF106" i="114"/>
  <c r="AG105" i="114"/>
  <c r="AE105" i="114"/>
  <c r="AG104" i="114"/>
  <c r="AE104" i="114"/>
  <c r="AG103" i="114"/>
  <c r="AE103" i="114"/>
  <c r="AG102" i="114"/>
  <c r="AE102" i="114"/>
  <c r="AG101" i="114"/>
  <c r="AE101" i="114"/>
  <c r="AG100" i="114"/>
  <c r="AE100" i="114"/>
  <c r="AG99" i="114"/>
  <c r="AE99" i="114"/>
  <c r="AG98" i="114"/>
  <c r="AE98" i="114"/>
  <c r="AG97" i="114"/>
  <c r="AE97" i="114"/>
  <c r="AG96" i="114"/>
  <c r="AE96" i="114"/>
  <c r="AG95" i="114"/>
  <c r="AE95" i="114"/>
  <c r="AG94" i="114"/>
  <c r="AE94" i="114"/>
  <c r="AE93" i="114"/>
  <c r="AE92" i="114"/>
  <c r="AE91" i="114"/>
  <c r="AE90" i="114"/>
  <c r="AE89" i="114"/>
  <c r="AE88" i="114"/>
  <c r="AE87" i="114"/>
  <c r="AE86" i="114"/>
  <c r="AE85" i="114"/>
  <c r="AE84" i="114"/>
  <c r="AE83" i="114"/>
  <c r="AE82" i="114"/>
  <c r="AE81" i="114"/>
  <c r="AE80" i="114"/>
  <c r="AE79" i="114"/>
  <c r="AG78" i="114"/>
  <c r="AF78" i="114"/>
  <c r="AG77" i="114"/>
  <c r="AF77" i="114"/>
  <c r="AG76" i="114"/>
  <c r="AF76" i="114"/>
  <c r="AG75" i="114"/>
  <c r="AF75" i="114"/>
  <c r="AG74" i="114"/>
  <c r="AF74" i="114"/>
  <c r="AG73" i="114"/>
  <c r="AF73" i="114"/>
  <c r="AG72" i="114"/>
  <c r="AF72" i="114"/>
  <c r="AG71" i="114"/>
  <c r="AF71" i="114"/>
  <c r="AG70" i="114"/>
  <c r="AF70" i="114"/>
  <c r="AG69" i="114"/>
  <c r="AF69" i="114"/>
  <c r="AG68" i="114"/>
  <c r="AF68" i="114"/>
  <c r="AG67" i="114"/>
  <c r="AF67" i="114"/>
  <c r="AG66" i="114"/>
  <c r="AF66" i="114"/>
  <c r="AG65" i="114"/>
  <c r="AF65" i="114"/>
  <c r="AG64" i="114"/>
  <c r="AF64" i="114"/>
  <c r="AG63" i="114"/>
  <c r="AF63" i="114"/>
  <c r="AG62" i="114"/>
  <c r="AF62" i="114"/>
  <c r="AG61" i="114"/>
  <c r="AF61" i="114"/>
  <c r="AG60" i="114"/>
  <c r="AF60" i="114"/>
  <c r="AG59" i="114"/>
  <c r="AF59" i="114"/>
  <c r="AG58" i="114"/>
  <c r="AF58" i="114"/>
  <c r="AG57" i="114"/>
  <c r="AF57" i="114"/>
  <c r="AG56" i="114"/>
  <c r="AF56" i="114"/>
  <c r="AG55" i="114"/>
  <c r="AF55" i="114"/>
  <c r="AE54" i="114"/>
  <c r="AE53" i="114"/>
  <c r="AE52" i="114"/>
  <c r="AE51" i="114"/>
  <c r="AE50" i="114"/>
  <c r="AE49" i="114"/>
  <c r="AE48" i="114"/>
  <c r="AE47" i="114"/>
  <c r="AE46" i="114"/>
  <c r="AE45" i="114"/>
  <c r="AE44" i="114"/>
  <c r="AE43" i="114"/>
  <c r="AE42" i="114"/>
  <c r="AE41" i="114"/>
  <c r="AE40" i="114"/>
  <c r="AE39" i="114"/>
  <c r="AE38" i="114"/>
  <c r="M37" i="114"/>
  <c r="O37" i="114"/>
  <c r="K37" i="114"/>
  <c r="M36" i="114"/>
  <c r="O36" i="114"/>
  <c r="K36" i="114"/>
  <c r="M35" i="114"/>
  <c r="O35" i="114"/>
  <c r="K35" i="114"/>
  <c r="M34" i="114"/>
  <c r="O34" i="114"/>
  <c r="K34" i="114"/>
  <c r="M33" i="114"/>
  <c r="O33" i="114"/>
  <c r="K33" i="114"/>
  <c r="M32" i="114"/>
  <c r="O32" i="114"/>
  <c r="K32" i="114"/>
  <c r="M31" i="114"/>
  <c r="O31" i="114"/>
  <c r="K31" i="114"/>
  <c r="M30" i="114"/>
  <c r="O30" i="114"/>
  <c r="K30" i="114"/>
  <c r="M29" i="114"/>
  <c r="O29" i="114"/>
  <c r="K29" i="114"/>
  <c r="M28" i="114"/>
  <c r="O28" i="114"/>
  <c r="K28" i="114"/>
  <c r="M27" i="114"/>
  <c r="O27" i="114"/>
  <c r="K27" i="114"/>
  <c r="M26" i="114"/>
  <c r="O26" i="114"/>
  <c r="K26" i="114"/>
  <c r="M25" i="114"/>
  <c r="O25" i="114"/>
  <c r="K25" i="114"/>
  <c r="M24" i="114"/>
  <c r="O24" i="114"/>
  <c r="K24" i="114"/>
  <c r="M23" i="114"/>
  <c r="O23" i="114"/>
  <c r="K23" i="114"/>
  <c r="M22" i="114"/>
  <c r="O22" i="114"/>
  <c r="K22" i="114"/>
  <c r="M21" i="114"/>
  <c r="O21" i="114"/>
  <c r="K21" i="114"/>
  <c r="M20" i="114"/>
  <c r="O20" i="114"/>
  <c r="K20" i="114"/>
  <c r="M19" i="114"/>
  <c r="O19" i="114"/>
  <c r="K19" i="114"/>
  <c r="M18" i="114"/>
  <c r="O18" i="114"/>
  <c r="K18" i="114"/>
  <c r="M17" i="114"/>
  <c r="O17" i="114"/>
  <c r="K17" i="114"/>
  <c r="M16" i="114"/>
  <c r="O16" i="114"/>
  <c r="K16" i="114"/>
  <c r="M15" i="114"/>
  <c r="O15" i="114"/>
  <c r="K15" i="114"/>
  <c r="M14" i="114"/>
  <c r="O14" i="114"/>
  <c r="K14" i="114"/>
  <c r="M13" i="114"/>
  <c r="O13" i="114"/>
  <c r="K13" i="114"/>
  <c r="M12" i="114"/>
  <c r="O12" i="114"/>
  <c r="K12" i="114"/>
  <c r="M11" i="114"/>
  <c r="O11" i="114"/>
  <c r="K11" i="114"/>
  <c r="M10" i="114"/>
  <c r="O10" i="114"/>
  <c r="K10" i="114"/>
  <c r="M9" i="114"/>
  <c r="O9" i="114"/>
  <c r="K9" i="114"/>
  <c r="M8" i="114"/>
  <c r="O8" i="114"/>
  <c r="AD8" i="114" s="1"/>
  <c r="K8" i="114"/>
  <c r="M7" i="114"/>
  <c r="O7" i="114"/>
  <c r="K7" i="114"/>
  <c r="M6" i="114"/>
  <c r="O6" i="114"/>
  <c r="AD6" i="114" s="1"/>
  <c r="K6" i="114"/>
  <c r="M5" i="114"/>
  <c r="O5" i="114"/>
  <c r="K5" i="114"/>
  <c r="M4" i="114"/>
  <c r="O4" i="114"/>
  <c r="AD4" i="114" s="1"/>
  <c r="K4" i="114"/>
  <c r="M3" i="114"/>
  <c r="O3" i="114"/>
  <c r="K3" i="114"/>
  <c r="M2" i="114"/>
  <c r="O2" i="114"/>
  <c r="K2" i="114"/>
  <c r="X667" i="114"/>
  <c r="AD667" i="114" s="1"/>
  <c r="W667" i="114"/>
  <c r="AC667" i="114" s="1"/>
  <c r="V667" i="114"/>
  <c r="AB667" i="114" s="1"/>
  <c r="X666" i="114"/>
  <c r="AD666" i="114" s="1"/>
  <c r="W666" i="114"/>
  <c r="AC666" i="114" s="1"/>
  <c r="V666" i="114"/>
  <c r="AB666" i="114" s="1"/>
  <c r="X665" i="114"/>
  <c r="AD665" i="114" s="1"/>
  <c r="W665" i="114"/>
  <c r="AC665" i="114" s="1"/>
  <c r="V665" i="114"/>
  <c r="AB665" i="114" s="1"/>
  <c r="X664" i="114"/>
  <c r="AD664" i="114" s="1"/>
  <c r="W664" i="114"/>
  <c r="AC664" i="114" s="1"/>
  <c r="V664" i="114"/>
  <c r="AB664" i="114" s="1"/>
  <c r="X663" i="114"/>
  <c r="AD663" i="114" s="1"/>
  <c r="W663" i="114"/>
  <c r="AC663" i="114" s="1"/>
  <c r="V663" i="114"/>
  <c r="AB663" i="114" s="1"/>
  <c r="X662" i="114"/>
  <c r="AD662" i="114" s="1"/>
  <c r="W662" i="114"/>
  <c r="AC662" i="114" s="1"/>
  <c r="V662" i="114"/>
  <c r="AB662" i="114" s="1"/>
  <c r="X661" i="114"/>
  <c r="AD661" i="114" s="1"/>
  <c r="W661" i="114"/>
  <c r="AC661" i="114" s="1"/>
  <c r="V661" i="114"/>
  <c r="AB661" i="114" s="1"/>
  <c r="X660" i="114"/>
  <c r="AD660" i="114" s="1"/>
  <c r="W660" i="114"/>
  <c r="AC660" i="114" s="1"/>
  <c r="V660" i="114"/>
  <c r="AB660" i="114" s="1"/>
  <c r="X659" i="114"/>
  <c r="AD659" i="114" s="1"/>
  <c r="W659" i="114"/>
  <c r="AC659" i="114" s="1"/>
  <c r="V659" i="114"/>
  <c r="AB659" i="114" s="1"/>
  <c r="X658" i="114"/>
  <c r="AD658" i="114" s="1"/>
  <c r="W658" i="114"/>
  <c r="AC658" i="114" s="1"/>
  <c r="V658" i="114"/>
  <c r="AB658" i="114" s="1"/>
  <c r="X657" i="114"/>
  <c r="AD657" i="114" s="1"/>
  <c r="W657" i="114"/>
  <c r="AC657" i="114" s="1"/>
  <c r="V657" i="114"/>
  <c r="AB657" i="114" s="1"/>
  <c r="X656" i="114"/>
  <c r="AD656" i="114" s="1"/>
  <c r="W656" i="114"/>
  <c r="AC656" i="114" s="1"/>
  <c r="V656" i="114"/>
  <c r="AB656" i="114" s="1"/>
  <c r="X655" i="114"/>
  <c r="AD655" i="114" s="1"/>
  <c r="AO6" i="114" s="1"/>
  <c r="W655" i="114"/>
  <c r="AC655" i="114" s="1"/>
  <c r="V655" i="114"/>
  <c r="AB655" i="114" s="1"/>
  <c r="V654" i="114"/>
  <c r="AB654" i="114" s="1"/>
  <c r="V653" i="114"/>
  <c r="AB653" i="114" s="1"/>
  <c r="V652" i="114"/>
  <c r="AB652" i="114" s="1"/>
  <c r="V651" i="114"/>
  <c r="AB651" i="114" s="1"/>
  <c r="V650" i="114"/>
  <c r="AB650" i="114" s="1"/>
  <c r="V649" i="114"/>
  <c r="AB649" i="114" s="1"/>
  <c r="V648" i="114"/>
  <c r="AB648" i="114" s="1"/>
  <c r="V647" i="114"/>
  <c r="AB647" i="114" s="1"/>
  <c r="V646" i="114"/>
  <c r="AB646" i="114" s="1"/>
  <c r="V645" i="114"/>
  <c r="AB645" i="114" s="1"/>
  <c r="V644" i="114"/>
  <c r="AB644" i="114" s="1"/>
  <c r="V643" i="114"/>
  <c r="AB643" i="114" s="1"/>
  <c r="V642" i="114"/>
  <c r="AB642" i="114" s="1"/>
  <c r="X641" i="114"/>
  <c r="AD641" i="114" s="1"/>
  <c r="W641" i="114"/>
  <c r="AC641" i="114" s="1"/>
  <c r="V641" i="114"/>
  <c r="AB641" i="114" s="1"/>
  <c r="X640" i="114"/>
  <c r="AD640" i="114" s="1"/>
  <c r="W640" i="114"/>
  <c r="AC640" i="114" s="1"/>
  <c r="V640" i="114"/>
  <c r="AB640" i="114" s="1"/>
  <c r="X639" i="114"/>
  <c r="AD639" i="114" s="1"/>
  <c r="W639" i="114"/>
  <c r="AC639" i="114" s="1"/>
  <c r="V639" i="114"/>
  <c r="AB639" i="114" s="1"/>
  <c r="X638" i="114"/>
  <c r="AD638" i="114" s="1"/>
  <c r="W638" i="114"/>
  <c r="AC638" i="114" s="1"/>
  <c r="V638" i="114"/>
  <c r="AB638" i="114" s="1"/>
  <c r="X637" i="114"/>
  <c r="AD637" i="114" s="1"/>
  <c r="W637" i="114"/>
  <c r="AC637" i="114" s="1"/>
  <c r="V637" i="114"/>
  <c r="AB637" i="114" s="1"/>
  <c r="X636" i="114"/>
  <c r="AD636" i="114" s="1"/>
  <c r="W636" i="114"/>
  <c r="AC636" i="114" s="1"/>
  <c r="V636" i="114"/>
  <c r="AB636" i="114" s="1"/>
  <c r="X635" i="114"/>
  <c r="AD635" i="114" s="1"/>
  <c r="W635" i="114"/>
  <c r="AC635" i="114" s="1"/>
  <c r="V635" i="114"/>
  <c r="AB635" i="114" s="1"/>
  <c r="X634" i="114"/>
  <c r="AD634" i="114" s="1"/>
  <c r="W634" i="114"/>
  <c r="AC634" i="114" s="1"/>
  <c r="V634" i="114"/>
  <c r="AB634" i="114" s="1"/>
  <c r="X633" i="114"/>
  <c r="AD633" i="114" s="1"/>
  <c r="W633" i="114"/>
  <c r="AC633" i="114" s="1"/>
  <c r="V633" i="114"/>
  <c r="AB633" i="114" s="1"/>
  <c r="X632" i="114"/>
  <c r="AD632" i="114" s="1"/>
  <c r="W632" i="114"/>
  <c r="AC632" i="114" s="1"/>
  <c r="V632" i="114"/>
  <c r="AB632" i="114" s="1"/>
  <c r="X631" i="114"/>
  <c r="AD631" i="114" s="1"/>
  <c r="W631" i="114"/>
  <c r="AC631" i="114" s="1"/>
  <c r="V631" i="114"/>
  <c r="AB631" i="114" s="1"/>
  <c r="X630" i="114"/>
  <c r="AD630" i="114" s="1"/>
  <c r="W630" i="114"/>
  <c r="AC630" i="114" s="1"/>
  <c r="V630" i="114"/>
  <c r="AB630" i="114" s="1"/>
  <c r="X629" i="114"/>
  <c r="AD629" i="114" s="1"/>
  <c r="W629" i="114"/>
  <c r="AC629" i="114" s="1"/>
  <c r="V629" i="114"/>
  <c r="AB629" i="114" s="1"/>
  <c r="X628" i="114"/>
  <c r="AD628" i="114" s="1"/>
  <c r="W628" i="114"/>
  <c r="AC628" i="114" s="1"/>
  <c r="V628" i="114"/>
  <c r="AB628" i="114" s="1"/>
  <c r="X627" i="114"/>
  <c r="AD627" i="114" s="1"/>
  <c r="W627" i="114"/>
  <c r="AC627" i="114" s="1"/>
  <c r="V627" i="114"/>
  <c r="AB627" i="114" s="1"/>
  <c r="X626" i="114"/>
  <c r="AD626" i="114" s="1"/>
  <c r="W626" i="114"/>
  <c r="AC626" i="114" s="1"/>
  <c r="V626" i="114"/>
  <c r="AB626" i="114" s="1"/>
  <c r="X625" i="114"/>
  <c r="AD625" i="114" s="1"/>
  <c r="W625" i="114"/>
  <c r="AC625" i="114" s="1"/>
  <c r="V625" i="114"/>
  <c r="AB625" i="114" s="1"/>
  <c r="X624" i="114"/>
  <c r="AD624" i="114" s="1"/>
  <c r="W624" i="114"/>
  <c r="AC624" i="114" s="1"/>
  <c r="V624" i="114"/>
  <c r="AB624" i="114" s="1"/>
  <c r="X623" i="114"/>
  <c r="AD623" i="114" s="1"/>
  <c r="W623" i="114"/>
  <c r="AC623" i="114" s="1"/>
  <c r="V623" i="114"/>
  <c r="AB623" i="114" s="1"/>
  <c r="X622" i="114"/>
  <c r="AD622" i="114" s="1"/>
  <c r="W622" i="114"/>
  <c r="AC622" i="114" s="1"/>
  <c r="V622" i="114"/>
  <c r="AB622" i="114" s="1"/>
  <c r="X621" i="114"/>
  <c r="AD621" i="114" s="1"/>
  <c r="W621" i="114"/>
  <c r="AC621" i="114" s="1"/>
  <c r="V621" i="114"/>
  <c r="AB621" i="114" s="1"/>
  <c r="X620" i="114"/>
  <c r="AD620" i="114" s="1"/>
  <c r="W620" i="114"/>
  <c r="AC620" i="114" s="1"/>
  <c r="V620" i="114"/>
  <c r="AB620" i="114" s="1"/>
  <c r="X619" i="114"/>
  <c r="AD619" i="114" s="1"/>
  <c r="W619" i="114"/>
  <c r="AC619" i="114" s="1"/>
  <c r="V619" i="114"/>
  <c r="AB619" i="114" s="1"/>
  <c r="X618" i="114"/>
  <c r="AD618" i="114" s="1"/>
  <c r="W618" i="114"/>
  <c r="AC618" i="114" s="1"/>
  <c r="V618" i="114"/>
  <c r="AB618" i="114" s="1"/>
  <c r="X617" i="114"/>
  <c r="AD617" i="114" s="1"/>
  <c r="W617" i="114"/>
  <c r="AC617" i="114" s="1"/>
  <c r="V617" i="114"/>
  <c r="AB617" i="114" s="1"/>
  <c r="X616" i="114"/>
  <c r="AD616" i="114" s="1"/>
  <c r="W616" i="114"/>
  <c r="AC616" i="114" s="1"/>
  <c r="V616" i="114"/>
  <c r="AB616" i="114" s="1"/>
  <c r="X615" i="114"/>
  <c r="AD615" i="114" s="1"/>
  <c r="W615" i="114"/>
  <c r="AC615" i="114" s="1"/>
  <c r="V615" i="114"/>
  <c r="AB615" i="114" s="1"/>
  <c r="X614" i="114"/>
  <c r="AD614" i="114" s="1"/>
  <c r="W614" i="114"/>
  <c r="AC614" i="114" s="1"/>
  <c r="V614" i="114"/>
  <c r="AB614" i="114" s="1"/>
  <c r="X613" i="114"/>
  <c r="AD613" i="114" s="1"/>
  <c r="W613" i="114"/>
  <c r="AC613" i="114" s="1"/>
  <c r="V613" i="114"/>
  <c r="AB613" i="114" s="1"/>
  <c r="X612" i="114"/>
  <c r="AD612" i="114" s="1"/>
  <c r="W612" i="114"/>
  <c r="AC612" i="114" s="1"/>
  <c r="V612" i="114"/>
  <c r="AB612" i="114" s="1"/>
  <c r="X611" i="114"/>
  <c r="AD611" i="114" s="1"/>
  <c r="W611" i="114"/>
  <c r="AC611" i="114" s="1"/>
  <c r="V611" i="114"/>
  <c r="AB611" i="114" s="1"/>
  <c r="X610" i="114"/>
  <c r="AD610" i="114" s="1"/>
  <c r="W610" i="114"/>
  <c r="AC610" i="114" s="1"/>
  <c r="V610" i="114"/>
  <c r="AB610" i="114" s="1"/>
  <c r="X609" i="114"/>
  <c r="AD609" i="114" s="1"/>
  <c r="W609" i="114"/>
  <c r="AC609" i="114" s="1"/>
  <c r="V609" i="114"/>
  <c r="AB609" i="114" s="1"/>
  <c r="X608" i="114"/>
  <c r="AD608" i="114" s="1"/>
  <c r="W608" i="114"/>
  <c r="AC608" i="114" s="1"/>
  <c r="V608" i="114"/>
  <c r="AB608" i="114" s="1"/>
  <c r="X607" i="114"/>
  <c r="AD607" i="114" s="1"/>
  <c r="W607" i="114"/>
  <c r="AC607" i="114" s="1"/>
  <c r="V607" i="114"/>
  <c r="AB607" i="114" s="1"/>
  <c r="X606" i="114"/>
  <c r="AD606" i="114" s="1"/>
  <c r="W606" i="114"/>
  <c r="AC606" i="114" s="1"/>
  <c r="V606" i="114"/>
  <c r="AB606" i="114" s="1"/>
  <c r="X605" i="114"/>
  <c r="AD605" i="114" s="1"/>
  <c r="W605" i="114"/>
  <c r="AC605" i="114" s="1"/>
  <c r="V605" i="114"/>
  <c r="AB605" i="114" s="1"/>
  <c r="X604" i="114"/>
  <c r="AD604" i="114" s="1"/>
  <c r="W604" i="114"/>
  <c r="AC604" i="114" s="1"/>
  <c r="V604" i="114"/>
  <c r="AB604" i="114" s="1"/>
  <c r="X603" i="114"/>
  <c r="AD603" i="114" s="1"/>
  <c r="W603" i="114"/>
  <c r="AC603" i="114" s="1"/>
  <c r="V603" i="114"/>
  <c r="AB603" i="114" s="1"/>
  <c r="X602" i="114"/>
  <c r="AD602" i="114" s="1"/>
  <c r="W602" i="114"/>
  <c r="AC602" i="114" s="1"/>
  <c r="V602" i="114"/>
  <c r="AB602" i="114" s="1"/>
  <c r="X601" i="114"/>
  <c r="AD601" i="114" s="1"/>
  <c r="W601" i="114"/>
  <c r="AC601" i="114" s="1"/>
  <c r="V601" i="114"/>
  <c r="AB601" i="114" s="1"/>
  <c r="X600" i="114"/>
  <c r="AD600" i="114" s="1"/>
  <c r="W600" i="114"/>
  <c r="AC600" i="114" s="1"/>
  <c r="V600" i="114"/>
  <c r="AB600" i="114" s="1"/>
  <c r="X599" i="114"/>
  <c r="AD599" i="114" s="1"/>
  <c r="W599" i="114"/>
  <c r="AC599" i="114" s="1"/>
  <c r="V599" i="114"/>
  <c r="AB599" i="114" s="1"/>
  <c r="X598" i="114"/>
  <c r="AD598" i="114" s="1"/>
  <c r="W598" i="114"/>
  <c r="AC598" i="114" s="1"/>
  <c r="V598" i="114"/>
  <c r="AB598" i="114" s="1"/>
  <c r="X597" i="114"/>
  <c r="AD597" i="114" s="1"/>
  <c r="W597" i="114"/>
  <c r="AC597" i="114" s="1"/>
  <c r="V597" i="114"/>
  <c r="AB597" i="114" s="1"/>
  <c r="X596" i="114"/>
  <c r="AD596" i="114" s="1"/>
  <c r="W596" i="114"/>
  <c r="AC596" i="114" s="1"/>
  <c r="V596" i="114"/>
  <c r="AB596" i="114" s="1"/>
  <c r="X595" i="114"/>
  <c r="AD595" i="114" s="1"/>
  <c r="W595" i="114"/>
  <c r="AC595" i="114" s="1"/>
  <c r="V595" i="114"/>
  <c r="AB595" i="114" s="1"/>
  <c r="X594" i="114"/>
  <c r="AD594" i="114" s="1"/>
  <c r="W594" i="114"/>
  <c r="AC594" i="114" s="1"/>
  <c r="V594" i="114"/>
  <c r="AB594" i="114" s="1"/>
  <c r="X593" i="114"/>
  <c r="AD593" i="114" s="1"/>
  <c r="W593" i="114"/>
  <c r="AC593" i="114" s="1"/>
  <c r="V593" i="114"/>
  <c r="AB593" i="114" s="1"/>
  <c r="X592" i="114"/>
  <c r="AD592" i="114" s="1"/>
  <c r="W592" i="114"/>
  <c r="AC592" i="114" s="1"/>
  <c r="V592" i="114"/>
  <c r="AB592" i="114" s="1"/>
  <c r="X591" i="114"/>
  <c r="AD591" i="114" s="1"/>
  <c r="W591" i="114"/>
  <c r="AC591" i="114" s="1"/>
  <c r="V591" i="114"/>
  <c r="AB591" i="114" s="1"/>
  <c r="X590" i="114"/>
  <c r="AD590" i="114" s="1"/>
  <c r="W590" i="114"/>
  <c r="AC590" i="114" s="1"/>
  <c r="V590" i="114"/>
  <c r="AB590" i="114" s="1"/>
  <c r="X589" i="114"/>
  <c r="AD589" i="114" s="1"/>
  <c r="W589" i="114"/>
  <c r="AC589" i="114" s="1"/>
  <c r="V589" i="114"/>
  <c r="AB589" i="114" s="1"/>
  <c r="X588" i="114"/>
  <c r="AD588" i="114" s="1"/>
  <c r="W588" i="114"/>
  <c r="AC588" i="114" s="1"/>
  <c r="V588" i="114"/>
  <c r="AB588" i="114" s="1"/>
  <c r="X587" i="114"/>
  <c r="AD587" i="114" s="1"/>
  <c r="W587" i="114"/>
  <c r="AC587" i="114" s="1"/>
  <c r="V587" i="114"/>
  <c r="AB587" i="114" s="1"/>
  <c r="X586" i="114"/>
  <c r="AD586" i="114" s="1"/>
  <c r="W586" i="114"/>
  <c r="AC586" i="114" s="1"/>
  <c r="V586" i="114"/>
  <c r="AB586" i="114" s="1"/>
  <c r="X585" i="114"/>
  <c r="AD585" i="114" s="1"/>
  <c r="W585" i="114"/>
  <c r="AC585" i="114" s="1"/>
  <c r="V585" i="114"/>
  <c r="AB585" i="114" s="1"/>
  <c r="X584" i="114"/>
  <c r="AD584" i="114" s="1"/>
  <c r="W584" i="114"/>
  <c r="AC584" i="114" s="1"/>
  <c r="V584" i="114"/>
  <c r="AB584" i="114" s="1"/>
  <c r="X583" i="114"/>
  <c r="AD583" i="114" s="1"/>
  <c r="W583" i="114"/>
  <c r="AC583" i="114" s="1"/>
  <c r="V583" i="114"/>
  <c r="AB583" i="114" s="1"/>
  <c r="X582" i="114"/>
  <c r="AD582" i="114" s="1"/>
  <c r="W582" i="114"/>
  <c r="AC582" i="114" s="1"/>
  <c r="V582" i="114"/>
  <c r="AB582" i="114" s="1"/>
  <c r="X581" i="114"/>
  <c r="AD581" i="114" s="1"/>
  <c r="W581" i="114"/>
  <c r="AC581" i="114" s="1"/>
  <c r="V581" i="114"/>
  <c r="AB581" i="114" s="1"/>
  <c r="X580" i="114"/>
  <c r="AD580" i="114" s="1"/>
  <c r="W580" i="114"/>
  <c r="AC580" i="114" s="1"/>
  <c r="V580" i="114"/>
  <c r="AB580" i="114" s="1"/>
  <c r="X579" i="114"/>
  <c r="AD579" i="114" s="1"/>
  <c r="W579" i="114"/>
  <c r="AC579" i="114" s="1"/>
  <c r="V579" i="114"/>
  <c r="AB579" i="114" s="1"/>
  <c r="X578" i="114"/>
  <c r="AD578" i="114" s="1"/>
  <c r="W578" i="114"/>
  <c r="AC578" i="114" s="1"/>
  <c r="V578" i="114"/>
  <c r="AB578" i="114" s="1"/>
  <c r="X577" i="114"/>
  <c r="AD577" i="114" s="1"/>
  <c r="W577" i="114"/>
  <c r="AC577" i="114" s="1"/>
  <c r="V577" i="114"/>
  <c r="AB577" i="114" s="1"/>
  <c r="X576" i="114"/>
  <c r="AD576" i="114" s="1"/>
  <c r="W576" i="114"/>
  <c r="AC576" i="114" s="1"/>
  <c r="V576" i="114"/>
  <c r="AB576" i="114" s="1"/>
  <c r="X575" i="114"/>
  <c r="AD575" i="114" s="1"/>
  <c r="W575" i="114"/>
  <c r="AC575" i="114" s="1"/>
  <c r="V575" i="114"/>
  <c r="AB575" i="114" s="1"/>
  <c r="X574" i="114"/>
  <c r="AD574" i="114" s="1"/>
  <c r="W574" i="114"/>
  <c r="AC574" i="114" s="1"/>
  <c r="V574" i="114"/>
  <c r="AB574" i="114" s="1"/>
  <c r="X573" i="114"/>
  <c r="AD573" i="114" s="1"/>
  <c r="W573" i="114"/>
  <c r="AC573" i="114" s="1"/>
  <c r="V573" i="114"/>
  <c r="AB573" i="114" s="1"/>
  <c r="X572" i="114"/>
  <c r="AD572" i="114" s="1"/>
  <c r="W572" i="114"/>
  <c r="AC572" i="114" s="1"/>
  <c r="V572" i="114"/>
  <c r="AB572" i="114" s="1"/>
  <c r="X571" i="114"/>
  <c r="AD571" i="114" s="1"/>
  <c r="W571" i="114"/>
  <c r="AC571" i="114" s="1"/>
  <c r="V571" i="114"/>
  <c r="AB571" i="114" s="1"/>
  <c r="X570" i="114"/>
  <c r="AD570" i="114" s="1"/>
  <c r="W570" i="114"/>
  <c r="AC570" i="114" s="1"/>
  <c r="V570" i="114"/>
  <c r="AB570" i="114" s="1"/>
  <c r="X569" i="114"/>
  <c r="AD569" i="114" s="1"/>
  <c r="W569" i="114"/>
  <c r="AC569" i="114" s="1"/>
  <c r="V569" i="114"/>
  <c r="AB569" i="114" s="1"/>
  <c r="X568" i="114"/>
  <c r="AD568" i="114" s="1"/>
  <c r="W568" i="114"/>
  <c r="AC568" i="114" s="1"/>
  <c r="V568" i="114"/>
  <c r="AB568" i="114" s="1"/>
  <c r="X567" i="114"/>
  <c r="AD567" i="114" s="1"/>
  <c r="W567" i="114"/>
  <c r="AC567" i="114" s="1"/>
  <c r="V567" i="114"/>
  <c r="AB567" i="114" s="1"/>
  <c r="X566" i="114"/>
  <c r="AD566" i="114" s="1"/>
  <c r="W566" i="114"/>
  <c r="AC566" i="114" s="1"/>
  <c r="V566" i="114"/>
  <c r="AB566" i="114" s="1"/>
  <c r="X565" i="114"/>
  <c r="AD565" i="114" s="1"/>
  <c r="W565" i="114"/>
  <c r="AC565" i="114" s="1"/>
  <c r="V565" i="114"/>
  <c r="AB565" i="114" s="1"/>
  <c r="X564" i="114"/>
  <c r="AD564" i="114" s="1"/>
  <c r="W564" i="114"/>
  <c r="AC564" i="114" s="1"/>
  <c r="V564" i="114"/>
  <c r="AB564" i="114" s="1"/>
  <c r="X563" i="114"/>
  <c r="AD563" i="114" s="1"/>
  <c r="W563" i="114"/>
  <c r="AC563" i="114" s="1"/>
  <c r="V563" i="114"/>
  <c r="AB563" i="114" s="1"/>
  <c r="X562" i="114"/>
  <c r="AD562" i="114" s="1"/>
  <c r="W562" i="114"/>
  <c r="AC562" i="114" s="1"/>
  <c r="V562" i="114"/>
  <c r="AB562" i="114" s="1"/>
  <c r="X561" i="114"/>
  <c r="AD561" i="114" s="1"/>
  <c r="W561" i="114"/>
  <c r="AC561" i="114" s="1"/>
  <c r="V561" i="114"/>
  <c r="AB561" i="114" s="1"/>
  <c r="X560" i="114"/>
  <c r="AD560" i="114" s="1"/>
  <c r="W560" i="114"/>
  <c r="AC560" i="114" s="1"/>
  <c r="V560" i="114"/>
  <c r="AB560" i="114" s="1"/>
  <c r="X559" i="114"/>
  <c r="AD559" i="114" s="1"/>
  <c r="W559" i="114"/>
  <c r="AC559" i="114" s="1"/>
  <c r="V559" i="114"/>
  <c r="AB559" i="114" s="1"/>
  <c r="X558" i="114"/>
  <c r="AD558" i="114" s="1"/>
  <c r="W558" i="114"/>
  <c r="AC558" i="114" s="1"/>
  <c r="V558" i="114"/>
  <c r="AB558" i="114" s="1"/>
  <c r="V557" i="114"/>
  <c r="AB557" i="114" s="1"/>
  <c r="X556" i="114"/>
  <c r="AD556" i="114" s="1"/>
  <c r="W556" i="114"/>
  <c r="AC556" i="114" s="1"/>
  <c r="V556" i="114"/>
  <c r="AB556" i="114" s="1"/>
  <c r="X555" i="114"/>
  <c r="AD555" i="114" s="1"/>
  <c r="W555" i="114"/>
  <c r="AC555" i="114" s="1"/>
  <c r="V555" i="114"/>
  <c r="AB555" i="114" s="1"/>
  <c r="X554" i="114"/>
  <c r="AD554" i="114" s="1"/>
  <c r="W554" i="114"/>
  <c r="AC554" i="114" s="1"/>
  <c r="V554" i="114"/>
  <c r="AB554" i="114" s="1"/>
  <c r="X553" i="114"/>
  <c r="AD553" i="114" s="1"/>
  <c r="W553" i="114"/>
  <c r="AC553" i="114" s="1"/>
  <c r="V553" i="114"/>
  <c r="AB553" i="114" s="1"/>
  <c r="X552" i="114"/>
  <c r="AD552" i="114" s="1"/>
  <c r="W552" i="114"/>
  <c r="AC552" i="114" s="1"/>
  <c r="V552" i="114"/>
  <c r="AB552" i="114" s="1"/>
  <c r="X551" i="114"/>
  <c r="AD551" i="114" s="1"/>
  <c r="W551" i="114"/>
  <c r="AC551" i="114" s="1"/>
  <c r="V551" i="114"/>
  <c r="AB551" i="114" s="1"/>
  <c r="X550" i="114"/>
  <c r="AD550" i="114" s="1"/>
  <c r="W550" i="114"/>
  <c r="AC550" i="114" s="1"/>
  <c r="V550" i="114"/>
  <c r="AB550" i="114" s="1"/>
  <c r="X549" i="114"/>
  <c r="AD549" i="114" s="1"/>
  <c r="W549" i="114"/>
  <c r="AC549" i="114" s="1"/>
  <c r="V549" i="114"/>
  <c r="AB549" i="114" s="1"/>
  <c r="X548" i="114"/>
  <c r="AD548" i="114" s="1"/>
  <c r="W548" i="114"/>
  <c r="AC548" i="114" s="1"/>
  <c r="V548" i="114"/>
  <c r="AB548" i="114" s="1"/>
  <c r="X547" i="114"/>
  <c r="AD547" i="114" s="1"/>
  <c r="W547" i="114"/>
  <c r="AC547" i="114" s="1"/>
  <c r="V547" i="114"/>
  <c r="AB547" i="114" s="1"/>
  <c r="X546" i="114"/>
  <c r="AD546" i="114" s="1"/>
  <c r="W546" i="114"/>
  <c r="AC546" i="114" s="1"/>
  <c r="V546" i="114"/>
  <c r="AB546" i="114" s="1"/>
  <c r="X545" i="114"/>
  <c r="AD545" i="114" s="1"/>
  <c r="W545" i="114"/>
  <c r="AC545" i="114" s="1"/>
  <c r="V545" i="114"/>
  <c r="AB545" i="114" s="1"/>
  <c r="X544" i="114"/>
  <c r="AD544" i="114" s="1"/>
  <c r="W544" i="114"/>
  <c r="AC544" i="114" s="1"/>
  <c r="V544" i="114"/>
  <c r="AB544" i="114" s="1"/>
  <c r="X543" i="114"/>
  <c r="AD543" i="114" s="1"/>
  <c r="W543" i="114"/>
  <c r="AC543" i="114" s="1"/>
  <c r="V543" i="114"/>
  <c r="AB543" i="114" s="1"/>
  <c r="X542" i="114"/>
  <c r="AD542" i="114" s="1"/>
  <c r="W542" i="114"/>
  <c r="AC542" i="114" s="1"/>
  <c r="V542" i="114"/>
  <c r="AB542" i="114" s="1"/>
  <c r="X541" i="114"/>
  <c r="AD541" i="114" s="1"/>
  <c r="W541" i="114"/>
  <c r="AC541" i="114" s="1"/>
  <c r="V541" i="114"/>
  <c r="AB541" i="114" s="1"/>
  <c r="X540" i="114"/>
  <c r="AD540" i="114" s="1"/>
  <c r="W540" i="114"/>
  <c r="AC540" i="114" s="1"/>
  <c r="V540" i="114"/>
  <c r="AB540" i="114" s="1"/>
  <c r="X539" i="114"/>
  <c r="AD539" i="114" s="1"/>
  <c r="W539" i="114"/>
  <c r="AC539" i="114" s="1"/>
  <c r="V539" i="114"/>
  <c r="AB539" i="114" s="1"/>
  <c r="X538" i="114"/>
  <c r="AD538" i="114" s="1"/>
  <c r="W538" i="114"/>
  <c r="AC538" i="114" s="1"/>
  <c r="V538" i="114"/>
  <c r="AB538" i="114" s="1"/>
  <c r="X537" i="114"/>
  <c r="AD537" i="114" s="1"/>
  <c r="W537" i="114"/>
  <c r="AC537" i="114" s="1"/>
  <c r="V537" i="114"/>
  <c r="AB537" i="114" s="1"/>
  <c r="X536" i="114"/>
  <c r="AD536" i="114" s="1"/>
  <c r="W536" i="114"/>
  <c r="AC536" i="114" s="1"/>
  <c r="V536" i="114"/>
  <c r="AB536" i="114" s="1"/>
  <c r="X535" i="114"/>
  <c r="AD535" i="114" s="1"/>
  <c r="W535" i="114"/>
  <c r="AC535" i="114" s="1"/>
  <c r="V535" i="114"/>
  <c r="AB535" i="114" s="1"/>
  <c r="X534" i="114"/>
  <c r="AD534" i="114" s="1"/>
  <c r="W534" i="114"/>
  <c r="AC534" i="114" s="1"/>
  <c r="V534" i="114"/>
  <c r="AB534" i="114" s="1"/>
  <c r="X533" i="114"/>
  <c r="AD533" i="114" s="1"/>
  <c r="W533" i="114"/>
  <c r="AC533" i="114" s="1"/>
  <c r="V533" i="114"/>
  <c r="AB533" i="114" s="1"/>
  <c r="X532" i="114"/>
  <c r="AD532" i="114" s="1"/>
  <c r="W532" i="114"/>
  <c r="AC532" i="114" s="1"/>
  <c r="V532" i="114"/>
  <c r="AB532" i="114" s="1"/>
  <c r="X531" i="114"/>
  <c r="AD531" i="114" s="1"/>
  <c r="W531" i="114"/>
  <c r="AC531" i="114" s="1"/>
  <c r="V531" i="114"/>
  <c r="AB531" i="114" s="1"/>
  <c r="X530" i="114"/>
  <c r="AD530" i="114" s="1"/>
  <c r="W530" i="114"/>
  <c r="AC530" i="114" s="1"/>
  <c r="V530" i="114"/>
  <c r="AB530" i="114" s="1"/>
  <c r="X529" i="114"/>
  <c r="AD529" i="114" s="1"/>
  <c r="W529" i="114"/>
  <c r="AC529" i="114" s="1"/>
  <c r="V529" i="114"/>
  <c r="AB529" i="114" s="1"/>
  <c r="X528" i="114"/>
  <c r="AD528" i="114" s="1"/>
  <c r="W528" i="114"/>
  <c r="AC528" i="114" s="1"/>
  <c r="V528" i="114"/>
  <c r="AB528" i="114" s="1"/>
  <c r="X527" i="114"/>
  <c r="AD527" i="114" s="1"/>
  <c r="W527" i="114"/>
  <c r="AC527" i="114" s="1"/>
  <c r="V527" i="114"/>
  <c r="AB527" i="114" s="1"/>
  <c r="X526" i="114"/>
  <c r="AD526" i="114" s="1"/>
  <c r="W526" i="114"/>
  <c r="AC526" i="114" s="1"/>
  <c r="V526" i="114"/>
  <c r="AB526" i="114" s="1"/>
  <c r="X525" i="114"/>
  <c r="AD525" i="114" s="1"/>
  <c r="W525" i="114"/>
  <c r="AC525" i="114" s="1"/>
  <c r="V525" i="114"/>
  <c r="AB525" i="114" s="1"/>
  <c r="X524" i="114"/>
  <c r="AD524" i="114" s="1"/>
  <c r="W524" i="114"/>
  <c r="AC524" i="114" s="1"/>
  <c r="V524" i="114"/>
  <c r="AB524" i="114" s="1"/>
  <c r="X523" i="114"/>
  <c r="AD523" i="114" s="1"/>
  <c r="W523" i="114"/>
  <c r="AC523" i="114" s="1"/>
  <c r="V523" i="114"/>
  <c r="AB523" i="114" s="1"/>
  <c r="X522" i="114"/>
  <c r="AD522" i="114" s="1"/>
  <c r="W522" i="114"/>
  <c r="AC522" i="114" s="1"/>
  <c r="V522" i="114"/>
  <c r="AB522" i="114" s="1"/>
  <c r="X521" i="114"/>
  <c r="AD521" i="114" s="1"/>
  <c r="W521" i="114"/>
  <c r="AC521" i="114" s="1"/>
  <c r="V521" i="114"/>
  <c r="AB521" i="114" s="1"/>
  <c r="X520" i="114"/>
  <c r="AD520" i="114" s="1"/>
  <c r="W520" i="114"/>
  <c r="AC520" i="114" s="1"/>
  <c r="V520" i="114"/>
  <c r="AB520" i="114" s="1"/>
  <c r="X519" i="114"/>
  <c r="AD519" i="114" s="1"/>
  <c r="W519" i="114"/>
  <c r="AC519" i="114" s="1"/>
  <c r="V519" i="114"/>
  <c r="AB519" i="114" s="1"/>
  <c r="X518" i="114"/>
  <c r="AD518" i="114" s="1"/>
  <c r="W518" i="114"/>
  <c r="AC518" i="114" s="1"/>
  <c r="V518" i="114"/>
  <c r="AB518" i="114" s="1"/>
  <c r="X517" i="114"/>
  <c r="AD517" i="114" s="1"/>
  <c r="W517" i="114"/>
  <c r="AC517" i="114" s="1"/>
  <c r="V517" i="114"/>
  <c r="AB517" i="114" s="1"/>
  <c r="X516" i="114"/>
  <c r="AD516" i="114" s="1"/>
  <c r="W516" i="114"/>
  <c r="AC516" i="114" s="1"/>
  <c r="V516" i="114"/>
  <c r="AB516" i="114" s="1"/>
  <c r="X515" i="114"/>
  <c r="AD515" i="114" s="1"/>
  <c r="W515" i="114"/>
  <c r="AC515" i="114" s="1"/>
  <c r="V515" i="114"/>
  <c r="AB515" i="114" s="1"/>
  <c r="X514" i="114"/>
  <c r="AD514" i="114" s="1"/>
  <c r="W514" i="114"/>
  <c r="AC514" i="114" s="1"/>
  <c r="V514" i="114"/>
  <c r="AB514" i="114" s="1"/>
  <c r="X513" i="114"/>
  <c r="AD513" i="114" s="1"/>
  <c r="W513" i="114"/>
  <c r="AC513" i="114" s="1"/>
  <c r="V513" i="114"/>
  <c r="AB513" i="114" s="1"/>
  <c r="X512" i="114"/>
  <c r="AD512" i="114" s="1"/>
  <c r="W512" i="114"/>
  <c r="AC512" i="114" s="1"/>
  <c r="V512" i="114"/>
  <c r="AB512" i="114" s="1"/>
  <c r="X511" i="114"/>
  <c r="AD511" i="114" s="1"/>
  <c r="W511" i="114"/>
  <c r="AC511" i="114" s="1"/>
  <c r="V511" i="114"/>
  <c r="AB511" i="114" s="1"/>
  <c r="X510" i="114"/>
  <c r="AD510" i="114" s="1"/>
  <c r="W510" i="114"/>
  <c r="AC510" i="114" s="1"/>
  <c r="V510" i="114"/>
  <c r="AB510" i="114" s="1"/>
  <c r="X509" i="114"/>
  <c r="AD509" i="114" s="1"/>
  <c r="W509" i="114"/>
  <c r="AC509" i="114" s="1"/>
  <c r="V509" i="114"/>
  <c r="AB509" i="114" s="1"/>
  <c r="X508" i="114"/>
  <c r="AD508" i="114" s="1"/>
  <c r="W508" i="114"/>
  <c r="AC508" i="114" s="1"/>
  <c r="V508" i="114"/>
  <c r="AB508" i="114" s="1"/>
  <c r="X507" i="114"/>
  <c r="AD507" i="114" s="1"/>
  <c r="W507" i="114"/>
  <c r="AC507" i="114" s="1"/>
  <c r="V507" i="114"/>
  <c r="AB507" i="114" s="1"/>
  <c r="X506" i="114"/>
  <c r="AD506" i="114" s="1"/>
  <c r="W506" i="114"/>
  <c r="AC506" i="114" s="1"/>
  <c r="V506" i="114"/>
  <c r="AB506" i="114" s="1"/>
  <c r="X505" i="114"/>
  <c r="AD505" i="114" s="1"/>
  <c r="W505" i="114"/>
  <c r="AC505" i="114" s="1"/>
  <c r="V505" i="114"/>
  <c r="AB505" i="114" s="1"/>
  <c r="X504" i="114"/>
  <c r="AD504" i="114" s="1"/>
  <c r="W504" i="114"/>
  <c r="AC504" i="114" s="1"/>
  <c r="V504" i="114"/>
  <c r="AB504" i="114" s="1"/>
  <c r="X503" i="114"/>
  <c r="AD503" i="114" s="1"/>
  <c r="W503" i="114"/>
  <c r="AC503" i="114" s="1"/>
  <c r="V503" i="114"/>
  <c r="AB503" i="114" s="1"/>
  <c r="X502" i="114"/>
  <c r="AD502" i="114" s="1"/>
  <c r="W502" i="114"/>
  <c r="AC502" i="114" s="1"/>
  <c r="V502" i="114"/>
  <c r="AB502" i="114" s="1"/>
  <c r="X501" i="114"/>
  <c r="AD501" i="114" s="1"/>
  <c r="W501" i="114"/>
  <c r="AC501" i="114" s="1"/>
  <c r="V501" i="114"/>
  <c r="AB501" i="114" s="1"/>
  <c r="X500" i="114"/>
  <c r="AD500" i="114" s="1"/>
  <c r="W500" i="114"/>
  <c r="AC500" i="114" s="1"/>
  <c r="V500" i="114"/>
  <c r="AB500" i="114" s="1"/>
  <c r="X499" i="114"/>
  <c r="AD499" i="114" s="1"/>
  <c r="W499" i="114"/>
  <c r="AC499" i="114" s="1"/>
  <c r="V499" i="114"/>
  <c r="AB499" i="114" s="1"/>
  <c r="X498" i="114"/>
  <c r="AD498" i="114" s="1"/>
  <c r="W498" i="114"/>
  <c r="AC498" i="114" s="1"/>
  <c r="V498" i="114"/>
  <c r="AB498" i="114" s="1"/>
  <c r="X497" i="114"/>
  <c r="AD497" i="114" s="1"/>
  <c r="W497" i="114"/>
  <c r="AC497" i="114" s="1"/>
  <c r="V497" i="114"/>
  <c r="AB497" i="114" s="1"/>
  <c r="X496" i="114"/>
  <c r="AD496" i="114" s="1"/>
  <c r="W496" i="114"/>
  <c r="AC496" i="114" s="1"/>
  <c r="V496" i="114"/>
  <c r="AB496" i="114" s="1"/>
  <c r="X495" i="114"/>
  <c r="AD495" i="114" s="1"/>
  <c r="W495" i="114"/>
  <c r="AC495" i="114" s="1"/>
  <c r="V495" i="114"/>
  <c r="AB495" i="114" s="1"/>
  <c r="X494" i="114"/>
  <c r="AD494" i="114" s="1"/>
  <c r="W494" i="114"/>
  <c r="AC494" i="114" s="1"/>
  <c r="V494" i="114"/>
  <c r="AB494" i="114" s="1"/>
  <c r="X493" i="114"/>
  <c r="AD493" i="114" s="1"/>
  <c r="W493" i="114"/>
  <c r="AC493" i="114" s="1"/>
  <c r="V493" i="114"/>
  <c r="AB493" i="114" s="1"/>
  <c r="X492" i="114"/>
  <c r="AD492" i="114" s="1"/>
  <c r="W492" i="114"/>
  <c r="AC492" i="114" s="1"/>
  <c r="V492" i="114"/>
  <c r="AB492" i="114" s="1"/>
  <c r="X491" i="114"/>
  <c r="AD491" i="114" s="1"/>
  <c r="W491" i="114"/>
  <c r="AC491" i="114" s="1"/>
  <c r="V491" i="114"/>
  <c r="AB491" i="114" s="1"/>
  <c r="X490" i="114"/>
  <c r="AD490" i="114" s="1"/>
  <c r="W490" i="114"/>
  <c r="AC490" i="114" s="1"/>
  <c r="V490" i="114"/>
  <c r="AB490" i="114" s="1"/>
  <c r="X489" i="114"/>
  <c r="AD489" i="114" s="1"/>
  <c r="W489" i="114"/>
  <c r="AC489" i="114" s="1"/>
  <c r="V489" i="114"/>
  <c r="AB489" i="114" s="1"/>
  <c r="X488" i="114"/>
  <c r="AD488" i="114" s="1"/>
  <c r="W488" i="114"/>
  <c r="AC488" i="114" s="1"/>
  <c r="V488" i="114"/>
  <c r="AB488" i="114" s="1"/>
  <c r="X487" i="114"/>
  <c r="AD487" i="114" s="1"/>
  <c r="W487" i="114"/>
  <c r="AC487" i="114" s="1"/>
  <c r="V487" i="114"/>
  <c r="AB487" i="114" s="1"/>
  <c r="X486" i="114"/>
  <c r="AD486" i="114" s="1"/>
  <c r="W486" i="114"/>
  <c r="AC486" i="114" s="1"/>
  <c r="V486" i="114"/>
  <c r="AB486" i="114" s="1"/>
  <c r="X485" i="114"/>
  <c r="AD485" i="114" s="1"/>
  <c r="W485" i="114"/>
  <c r="AC485" i="114" s="1"/>
  <c r="V485" i="114"/>
  <c r="AB485" i="114" s="1"/>
  <c r="X484" i="114"/>
  <c r="AD484" i="114" s="1"/>
  <c r="W484" i="114"/>
  <c r="AC484" i="114" s="1"/>
  <c r="V484" i="114"/>
  <c r="AB484" i="114" s="1"/>
  <c r="X483" i="114"/>
  <c r="AD483" i="114" s="1"/>
  <c r="W483" i="114"/>
  <c r="AC483" i="114" s="1"/>
  <c r="V483" i="114"/>
  <c r="AB483" i="114" s="1"/>
  <c r="X482" i="114"/>
  <c r="AD482" i="114" s="1"/>
  <c r="W482" i="114"/>
  <c r="AC482" i="114" s="1"/>
  <c r="V482" i="114"/>
  <c r="AB482" i="114" s="1"/>
  <c r="X481" i="114"/>
  <c r="AD481" i="114" s="1"/>
  <c r="W481" i="114"/>
  <c r="AC481" i="114" s="1"/>
  <c r="V481" i="114"/>
  <c r="AB481" i="114" s="1"/>
  <c r="X480" i="114"/>
  <c r="AD480" i="114" s="1"/>
  <c r="W480" i="114"/>
  <c r="AC480" i="114" s="1"/>
  <c r="V480" i="114"/>
  <c r="AB480" i="114" s="1"/>
  <c r="X479" i="114"/>
  <c r="AD479" i="114" s="1"/>
  <c r="W479" i="114"/>
  <c r="AC479" i="114" s="1"/>
  <c r="V479" i="114"/>
  <c r="AB479" i="114" s="1"/>
  <c r="X478" i="114"/>
  <c r="AD478" i="114" s="1"/>
  <c r="W478" i="114"/>
  <c r="AC478" i="114" s="1"/>
  <c r="V478" i="114"/>
  <c r="AB478" i="114" s="1"/>
  <c r="X477" i="114"/>
  <c r="AD477" i="114" s="1"/>
  <c r="W477" i="114"/>
  <c r="AC477" i="114" s="1"/>
  <c r="V477" i="114"/>
  <c r="AB477" i="114" s="1"/>
  <c r="X476" i="114"/>
  <c r="AD476" i="114" s="1"/>
  <c r="W476" i="114"/>
  <c r="AC476" i="114" s="1"/>
  <c r="V476" i="114"/>
  <c r="AB476" i="114" s="1"/>
  <c r="X475" i="114"/>
  <c r="AD475" i="114" s="1"/>
  <c r="W475" i="114"/>
  <c r="AC475" i="114" s="1"/>
  <c r="V475" i="114"/>
  <c r="AB475" i="114" s="1"/>
  <c r="X474" i="114"/>
  <c r="AD474" i="114" s="1"/>
  <c r="W474" i="114"/>
  <c r="AC474" i="114" s="1"/>
  <c r="V474" i="114"/>
  <c r="AB474" i="114" s="1"/>
  <c r="X473" i="114"/>
  <c r="AD473" i="114" s="1"/>
  <c r="W473" i="114"/>
  <c r="AC473" i="114" s="1"/>
  <c r="V473" i="114"/>
  <c r="AB473" i="114" s="1"/>
  <c r="X472" i="114"/>
  <c r="AD472" i="114" s="1"/>
  <c r="W472" i="114"/>
  <c r="AC472" i="114" s="1"/>
  <c r="V472" i="114"/>
  <c r="AB472" i="114" s="1"/>
  <c r="X471" i="114"/>
  <c r="AD471" i="114" s="1"/>
  <c r="W471" i="114"/>
  <c r="AC471" i="114" s="1"/>
  <c r="V471" i="114"/>
  <c r="AB471" i="114" s="1"/>
  <c r="X470" i="114"/>
  <c r="AD470" i="114" s="1"/>
  <c r="W470" i="114"/>
  <c r="AC470" i="114" s="1"/>
  <c r="V470" i="114"/>
  <c r="AB470" i="114" s="1"/>
  <c r="X469" i="114"/>
  <c r="AD469" i="114" s="1"/>
  <c r="W469" i="114"/>
  <c r="AC469" i="114" s="1"/>
  <c r="V469" i="114"/>
  <c r="AB469" i="114" s="1"/>
  <c r="X468" i="114"/>
  <c r="AD468" i="114" s="1"/>
  <c r="W468" i="114"/>
  <c r="AC468" i="114" s="1"/>
  <c r="V468" i="114"/>
  <c r="AB468" i="114" s="1"/>
  <c r="X467" i="114"/>
  <c r="AD467" i="114" s="1"/>
  <c r="W467" i="114"/>
  <c r="AC467" i="114" s="1"/>
  <c r="V467" i="114"/>
  <c r="AB467" i="114" s="1"/>
  <c r="X466" i="114"/>
  <c r="AD466" i="114" s="1"/>
  <c r="W466" i="114"/>
  <c r="AC466" i="114" s="1"/>
  <c r="V466" i="114"/>
  <c r="AB466" i="114" s="1"/>
  <c r="X465" i="114"/>
  <c r="AD465" i="114" s="1"/>
  <c r="W465" i="114"/>
  <c r="AC465" i="114" s="1"/>
  <c r="V465" i="114"/>
  <c r="AB465" i="114" s="1"/>
  <c r="X464" i="114"/>
  <c r="AD464" i="114" s="1"/>
  <c r="W464" i="114"/>
  <c r="AC464" i="114" s="1"/>
  <c r="V464" i="114"/>
  <c r="AB464" i="114" s="1"/>
  <c r="X463" i="114"/>
  <c r="AD463" i="114" s="1"/>
  <c r="W463" i="114"/>
  <c r="AC463" i="114" s="1"/>
  <c r="V463" i="114"/>
  <c r="AB463" i="114" s="1"/>
  <c r="X462" i="114"/>
  <c r="AD462" i="114" s="1"/>
  <c r="W462" i="114"/>
  <c r="AC462" i="114" s="1"/>
  <c r="V462" i="114"/>
  <c r="AB462" i="114" s="1"/>
  <c r="X461" i="114"/>
  <c r="AD461" i="114" s="1"/>
  <c r="W461" i="114"/>
  <c r="AC461" i="114" s="1"/>
  <c r="V461" i="114"/>
  <c r="AB461" i="114" s="1"/>
  <c r="X460" i="114"/>
  <c r="AD460" i="114" s="1"/>
  <c r="W460" i="114"/>
  <c r="AC460" i="114" s="1"/>
  <c r="V460" i="114"/>
  <c r="AB460" i="114" s="1"/>
  <c r="X459" i="114"/>
  <c r="AD459" i="114" s="1"/>
  <c r="W459" i="114"/>
  <c r="AC459" i="114" s="1"/>
  <c r="V459" i="114"/>
  <c r="AB459" i="114" s="1"/>
  <c r="X458" i="114"/>
  <c r="AD458" i="114" s="1"/>
  <c r="W458" i="114"/>
  <c r="AC458" i="114" s="1"/>
  <c r="V458" i="114"/>
  <c r="AB458" i="114" s="1"/>
  <c r="X457" i="114"/>
  <c r="AD457" i="114" s="1"/>
  <c r="W457" i="114"/>
  <c r="AC457" i="114" s="1"/>
  <c r="V457" i="114"/>
  <c r="AB457" i="114" s="1"/>
  <c r="X456" i="114"/>
  <c r="AD456" i="114" s="1"/>
  <c r="W456" i="114"/>
  <c r="AC456" i="114" s="1"/>
  <c r="V456" i="114"/>
  <c r="AB456" i="114" s="1"/>
  <c r="X455" i="114"/>
  <c r="AD455" i="114" s="1"/>
  <c r="W455" i="114"/>
  <c r="AC455" i="114" s="1"/>
  <c r="V455" i="114"/>
  <c r="AB455" i="114" s="1"/>
  <c r="X454" i="114"/>
  <c r="AD454" i="114" s="1"/>
  <c r="W454" i="114"/>
  <c r="AC454" i="114" s="1"/>
  <c r="V454" i="114"/>
  <c r="AB454" i="114" s="1"/>
  <c r="X453" i="114"/>
  <c r="AD453" i="114" s="1"/>
  <c r="W453" i="114"/>
  <c r="AC453" i="114" s="1"/>
  <c r="V453" i="114"/>
  <c r="AB453" i="114" s="1"/>
  <c r="X452" i="114"/>
  <c r="AD452" i="114" s="1"/>
  <c r="W452" i="114"/>
  <c r="AC452" i="114" s="1"/>
  <c r="V452" i="114"/>
  <c r="AB452" i="114" s="1"/>
  <c r="X451" i="114"/>
  <c r="AD451" i="114" s="1"/>
  <c r="W451" i="114"/>
  <c r="AC451" i="114" s="1"/>
  <c r="V451" i="114"/>
  <c r="AB451" i="114" s="1"/>
  <c r="X450" i="114"/>
  <c r="AD450" i="114" s="1"/>
  <c r="W450" i="114"/>
  <c r="AC450" i="114" s="1"/>
  <c r="V450" i="114"/>
  <c r="AB450" i="114" s="1"/>
  <c r="X449" i="114"/>
  <c r="AD449" i="114" s="1"/>
  <c r="W449" i="114"/>
  <c r="AC449" i="114" s="1"/>
  <c r="V449" i="114"/>
  <c r="AB449" i="114" s="1"/>
  <c r="X448" i="114"/>
  <c r="AD448" i="114" s="1"/>
  <c r="W448" i="114"/>
  <c r="AC448" i="114" s="1"/>
  <c r="V448" i="114"/>
  <c r="AB448" i="114" s="1"/>
  <c r="X447" i="114"/>
  <c r="AD447" i="114" s="1"/>
  <c r="W447" i="114"/>
  <c r="AC447" i="114" s="1"/>
  <c r="V447" i="114"/>
  <c r="AB447" i="114" s="1"/>
  <c r="X446" i="114"/>
  <c r="AD446" i="114" s="1"/>
  <c r="W446" i="114"/>
  <c r="AC446" i="114" s="1"/>
  <c r="V446" i="114"/>
  <c r="AB446" i="114" s="1"/>
  <c r="X445" i="114"/>
  <c r="AD445" i="114" s="1"/>
  <c r="W445" i="114"/>
  <c r="AC445" i="114" s="1"/>
  <c r="V445" i="114"/>
  <c r="AB445" i="114" s="1"/>
  <c r="X444" i="114"/>
  <c r="AD444" i="114" s="1"/>
  <c r="W444" i="114"/>
  <c r="AC444" i="114" s="1"/>
  <c r="V444" i="114"/>
  <c r="AB444" i="114" s="1"/>
  <c r="X443" i="114"/>
  <c r="AD443" i="114" s="1"/>
  <c r="W443" i="114"/>
  <c r="AC443" i="114" s="1"/>
  <c r="V443" i="114"/>
  <c r="AB443" i="114" s="1"/>
  <c r="X442" i="114"/>
  <c r="AD442" i="114" s="1"/>
  <c r="W442" i="114"/>
  <c r="AC442" i="114" s="1"/>
  <c r="V442" i="114"/>
  <c r="AB442" i="114" s="1"/>
  <c r="X441" i="114"/>
  <c r="AD441" i="114" s="1"/>
  <c r="W441" i="114"/>
  <c r="AC441" i="114" s="1"/>
  <c r="V441" i="114"/>
  <c r="AB441" i="114" s="1"/>
  <c r="X440" i="114"/>
  <c r="AD440" i="114" s="1"/>
  <c r="W440" i="114"/>
  <c r="AC440" i="114" s="1"/>
  <c r="V440" i="114"/>
  <c r="AB440" i="114" s="1"/>
  <c r="X439" i="114"/>
  <c r="AD439" i="114" s="1"/>
  <c r="W439" i="114"/>
  <c r="AC439" i="114" s="1"/>
  <c r="V439" i="114"/>
  <c r="AB439" i="114" s="1"/>
  <c r="X438" i="114"/>
  <c r="AD438" i="114" s="1"/>
  <c r="W438" i="114"/>
  <c r="AC438" i="114" s="1"/>
  <c r="V438" i="114"/>
  <c r="AB438" i="114" s="1"/>
  <c r="X437" i="114"/>
  <c r="AD437" i="114" s="1"/>
  <c r="W437" i="114"/>
  <c r="AC437" i="114" s="1"/>
  <c r="V437" i="114"/>
  <c r="AB437" i="114" s="1"/>
  <c r="X436" i="114"/>
  <c r="AD436" i="114" s="1"/>
  <c r="W436" i="114"/>
  <c r="AC436" i="114" s="1"/>
  <c r="V436" i="114"/>
  <c r="AB436" i="114" s="1"/>
  <c r="X435" i="114"/>
  <c r="AD435" i="114" s="1"/>
  <c r="W435" i="114"/>
  <c r="AC435" i="114" s="1"/>
  <c r="V435" i="114"/>
  <c r="AB435" i="114" s="1"/>
  <c r="X434" i="114"/>
  <c r="AD434" i="114" s="1"/>
  <c r="W434" i="114"/>
  <c r="AC434" i="114" s="1"/>
  <c r="V434" i="114"/>
  <c r="AB434" i="114" s="1"/>
  <c r="X433" i="114"/>
  <c r="AD433" i="114" s="1"/>
  <c r="W433" i="114"/>
  <c r="AC433" i="114" s="1"/>
  <c r="V433" i="114"/>
  <c r="AB433" i="114" s="1"/>
  <c r="X432" i="114"/>
  <c r="AD432" i="114" s="1"/>
  <c r="W432" i="114"/>
  <c r="AC432" i="114" s="1"/>
  <c r="V432" i="114"/>
  <c r="AB432" i="114" s="1"/>
  <c r="X431" i="114"/>
  <c r="AD431" i="114" s="1"/>
  <c r="W431" i="114"/>
  <c r="AC431" i="114" s="1"/>
  <c r="V431" i="114"/>
  <c r="AB431" i="114" s="1"/>
  <c r="X430" i="114"/>
  <c r="AD430" i="114" s="1"/>
  <c r="W430" i="114"/>
  <c r="AC430" i="114" s="1"/>
  <c r="V430" i="114"/>
  <c r="AB430" i="114" s="1"/>
  <c r="X429" i="114"/>
  <c r="AD429" i="114" s="1"/>
  <c r="W429" i="114"/>
  <c r="AC429" i="114" s="1"/>
  <c r="V429" i="114"/>
  <c r="AB429" i="114" s="1"/>
  <c r="X428" i="114"/>
  <c r="AD428" i="114" s="1"/>
  <c r="W428" i="114"/>
  <c r="AC428" i="114" s="1"/>
  <c r="V428" i="114"/>
  <c r="AB428" i="114" s="1"/>
  <c r="X427" i="114"/>
  <c r="AD427" i="114" s="1"/>
  <c r="W427" i="114"/>
  <c r="AC427" i="114" s="1"/>
  <c r="V427" i="114"/>
  <c r="AB427" i="114" s="1"/>
  <c r="X426" i="114"/>
  <c r="AD426" i="114" s="1"/>
  <c r="W426" i="114"/>
  <c r="AC426" i="114" s="1"/>
  <c r="V426" i="114"/>
  <c r="AB426" i="114" s="1"/>
  <c r="X425" i="114"/>
  <c r="AD425" i="114" s="1"/>
  <c r="W425" i="114"/>
  <c r="AC425" i="114" s="1"/>
  <c r="V425" i="114"/>
  <c r="AB425" i="114" s="1"/>
  <c r="X424" i="114"/>
  <c r="AD424" i="114" s="1"/>
  <c r="W424" i="114"/>
  <c r="AC424" i="114" s="1"/>
  <c r="V424" i="114"/>
  <c r="AB424" i="114" s="1"/>
  <c r="X423" i="114"/>
  <c r="AD423" i="114" s="1"/>
  <c r="W423" i="114"/>
  <c r="AC423" i="114" s="1"/>
  <c r="V423" i="114"/>
  <c r="AB423" i="114" s="1"/>
  <c r="X422" i="114"/>
  <c r="AD422" i="114" s="1"/>
  <c r="W422" i="114"/>
  <c r="AC422" i="114" s="1"/>
  <c r="V422" i="114"/>
  <c r="AB422" i="114" s="1"/>
  <c r="X421" i="114"/>
  <c r="AD421" i="114" s="1"/>
  <c r="W421" i="114"/>
  <c r="AC421" i="114" s="1"/>
  <c r="V421" i="114"/>
  <c r="AB421" i="114" s="1"/>
  <c r="X420" i="114"/>
  <c r="AD420" i="114" s="1"/>
  <c r="W420" i="114"/>
  <c r="AC420" i="114" s="1"/>
  <c r="V420" i="114"/>
  <c r="AB420" i="114" s="1"/>
  <c r="X419" i="114"/>
  <c r="AD419" i="114" s="1"/>
  <c r="W419" i="114"/>
  <c r="AC419" i="114" s="1"/>
  <c r="V419" i="114"/>
  <c r="AB419" i="114" s="1"/>
  <c r="X418" i="114"/>
  <c r="AD418" i="114" s="1"/>
  <c r="W418" i="114"/>
  <c r="AC418" i="114" s="1"/>
  <c r="V418" i="114"/>
  <c r="AB418" i="114" s="1"/>
  <c r="X417" i="114"/>
  <c r="AD417" i="114" s="1"/>
  <c r="W417" i="114"/>
  <c r="AC417" i="114" s="1"/>
  <c r="V417" i="114"/>
  <c r="AB417" i="114" s="1"/>
  <c r="X416" i="114"/>
  <c r="AD416" i="114" s="1"/>
  <c r="W416" i="114"/>
  <c r="AC416" i="114" s="1"/>
  <c r="V416" i="114"/>
  <c r="AB416" i="114" s="1"/>
  <c r="X415" i="114"/>
  <c r="AD415" i="114" s="1"/>
  <c r="W415" i="114"/>
  <c r="AC415" i="114" s="1"/>
  <c r="V415" i="114"/>
  <c r="AB415" i="114" s="1"/>
  <c r="X414" i="114"/>
  <c r="AD414" i="114" s="1"/>
  <c r="W414" i="114"/>
  <c r="AC414" i="114" s="1"/>
  <c r="V414" i="114"/>
  <c r="AB414" i="114" s="1"/>
  <c r="X413" i="114"/>
  <c r="AD413" i="114" s="1"/>
  <c r="W413" i="114"/>
  <c r="AC413" i="114" s="1"/>
  <c r="V413" i="114"/>
  <c r="AB413" i="114" s="1"/>
  <c r="X412" i="114"/>
  <c r="AD412" i="114" s="1"/>
  <c r="W412" i="114"/>
  <c r="AC412" i="114" s="1"/>
  <c r="V412" i="114"/>
  <c r="AB412" i="114" s="1"/>
  <c r="X411" i="114"/>
  <c r="AD411" i="114" s="1"/>
  <c r="W411" i="114"/>
  <c r="AC411" i="114" s="1"/>
  <c r="V411" i="114"/>
  <c r="AB411" i="114" s="1"/>
  <c r="X410" i="114"/>
  <c r="AD410" i="114" s="1"/>
  <c r="W410" i="114"/>
  <c r="AC410" i="114" s="1"/>
  <c r="V410" i="114"/>
  <c r="AB410" i="114" s="1"/>
  <c r="X409" i="114"/>
  <c r="AD409" i="114" s="1"/>
  <c r="W409" i="114"/>
  <c r="AC409" i="114" s="1"/>
  <c r="V409" i="114"/>
  <c r="AB409" i="114" s="1"/>
  <c r="X408" i="114"/>
  <c r="AD408" i="114" s="1"/>
  <c r="W408" i="114"/>
  <c r="AC408" i="114" s="1"/>
  <c r="V408" i="114"/>
  <c r="AB408" i="114" s="1"/>
  <c r="X407" i="114"/>
  <c r="AD407" i="114" s="1"/>
  <c r="W407" i="114"/>
  <c r="AC407" i="114" s="1"/>
  <c r="V407" i="114"/>
  <c r="AB407" i="114" s="1"/>
  <c r="X406" i="114"/>
  <c r="AD406" i="114" s="1"/>
  <c r="W406" i="114"/>
  <c r="AC406" i="114" s="1"/>
  <c r="V406" i="114"/>
  <c r="AB406" i="114" s="1"/>
  <c r="X405" i="114"/>
  <c r="AD405" i="114" s="1"/>
  <c r="W405" i="114"/>
  <c r="AC405" i="114" s="1"/>
  <c r="V405" i="114"/>
  <c r="AB405" i="114" s="1"/>
  <c r="X404" i="114"/>
  <c r="AD404" i="114" s="1"/>
  <c r="W404" i="114"/>
  <c r="AC404" i="114" s="1"/>
  <c r="V404" i="114"/>
  <c r="AB404" i="114" s="1"/>
  <c r="X403" i="114"/>
  <c r="AD403" i="114" s="1"/>
  <c r="W403" i="114"/>
  <c r="AC403" i="114" s="1"/>
  <c r="V403" i="114"/>
  <c r="AB403" i="114" s="1"/>
  <c r="X402" i="114"/>
  <c r="AD402" i="114" s="1"/>
  <c r="W402" i="114"/>
  <c r="AC402" i="114" s="1"/>
  <c r="V402" i="114"/>
  <c r="AB402" i="114" s="1"/>
  <c r="X401" i="114"/>
  <c r="AD401" i="114" s="1"/>
  <c r="W401" i="114"/>
  <c r="AC401" i="114" s="1"/>
  <c r="V401" i="114"/>
  <c r="AB401" i="114" s="1"/>
  <c r="X400" i="114"/>
  <c r="AD400" i="114" s="1"/>
  <c r="W400" i="114"/>
  <c r="AC400" i="114" s="1"/>
  <c r="V400" i="114"/>
  <c r="AB400" i="114" s="1"/>
  <c r="X399" i="114"/>
  <c r="AD399" i="114" s="1"/>
  <c r="W399" i="114"/>
  <c r="AC399" i="114" s="1"/>
  <c r="V399" i="114"/>
  <c r="AB399" i="114" s="1"/>
  <c r="X398" i="114"/>
  <c r="AD398" i="114" s="1"/>
  <c r="W398" i="114"/>
  <c r="AC398" i="114" s="1"/>
  <c r="V398" i="114"/>
  <c r="AB398" i="114" s="1"/>
  <c r="X397" i="114"/>
  <c r="AD397" i="114" s="1"/>
  <c r="W397" i="114"/>
  <c r="AC397" i="114" s="1"/>
  <c r="V397" i="114"/>
  <c r="AB397" i="114" s="1"/>
  <c r="X396" i="114"/>
  <c r="AD396" i="114" s="1"/>
  <c r="W396" i="114"/>
  <c r="AC396" i="114" s="1"/>
  <c r="V396" i="114"/>
  <c r="AB396" i="114" s="1"/>
  <c r="X395" i="114"/>
  <c r="AD395" i="114" s="1"/>
  <c r="W395" i="114"/>
  <c r="AC395" i="114" s="1"/>
  <c r="V395" i="114"/>
  <c r="AB395" i="114" s="1"/>
  <c r="X394" i="114"/>
  <c r="AD394" i="114" s="1"/>
  <c r="W394" i="114"/>
  <c r="AC394" i="114" s="1"/>
  <c r="V394" i="114"/>
  <c r="AB394" i="114" s="1"/>
  <c r="X393" i="114"/>
  <c r="AD393" i="114" s="1"/>
  <c r="W393" i="114"/>
  <c r="AC393" i="114" s="1"/>
  <c r="V393" i="114"/>
  <c r="AB393" i="114" s="1"/>
  <c r="X392" i="114"/>
  <c r="AD392" i="114" s="1"/>
  <c r="W392" i="114"/>
  <c r="AC392" i="114" s="1"/>
  <c r="V392" i="114"/>
  <c r="AB392" i="114" s="1"/>
  <c r="X391" i="114"/>
  <c r="AD391" i="114" s="1"/>
  <c r="W391" i="114"/>
  <c r="AC391" i="114" s="1"/>
  <c r="V391" i="114"/>
  <c r="AB391" i="114" s="1"/>
  <c r="X390" i="114"/>
  <c r="AD390" i="114" s="1"/>
  <c r="W390" i="114"/>
  <c r="AC390" i="114" s="1"/>
  <c r="V390" i="114"/>
  <c r="AB390" i="114" s="1"/>
  <c r="X389" i="114"/>
  <c r="AD389" i="114" s="1"/>
  <c r="W389" i="114"/>
  <c r="AC389" i="114" s="1"/>
  <c r="V389" i="114"/>
  <c r="AB389" i="114" s="1"/>
  <c r="X388" i="114"/>
  <c r="AD388" i="114" s="1"/>
  <c r="W388" i="114"/>
  <c r="AC388" i="114" s="1"/>
  <c r="V388" i="114"/>
  <c r="AB388" i="114" s="1"/>
  <c r="X387" i="114"/>
  <c r="AD387" i="114" s="1"/>
  <c r="W387" i="114"/>
  <c r="AC387" i="114" s="1"/>
  <c r="V387" i="114"/>
  <c r="AB387" i="114" s="1"/>
  <c r="X386" i="114"/>
  <c r="AD386" i="114" s="1"/>
  <c r="W386" i="114"/>
  <c r="AC386" i="114" s="1"/>
  <c r="V386" i="114"/>
  <c r="AB386" i="114" s="1"/>
  <c r="X385" i="114"/>
  <c r="AD385" i="114" s="1"/>
  <c r="W385" i="114"/>
  <c r="AC385" i="114" s="1"/>
  <c r="V385" i="114"/>
  <c r="AB385" i="114" s="1"/>
  <c r="X384" i="114"/>
  <c r="AD384" i="114" s="1"/>
  <c r="W384" i="114"/>
  <c r="AC384" i="114" s="1"/>
  <c r="V384" i="114"/>
  <c r="AB384" i="114" s="1"/>
  <c r="X383" i="114"/>
  <c r="AD383" i="114" s="1"/>
  <c r="W383" i="114"/>
  <c r="AC383" i="114" s="1"/>
  <c r="V383" i="114"/>
  <c r="AB383" i="114" s="1"/>
  <c r="X382" i="114"/>
  <c r="AD382" i="114" s="1"/>
  <c r="W382" i="114"/>
  <c r="AC382" i="114" s="1"/>
  <c r="V382" i="114"/>
  <c r="AB382" i="114" s="1"/>
  <c r="X381" i="114"/>
  <c r="AD381" i="114" s="1"/>
  <c r="W381" i="114"/>
  <c r="AC381" i="114" s="1"/>
  <c r="V381" i="114"/>
  <c r="AB381" i="114" s="1"/>
  <c r="X380" i="114"/>
  <c r="AD380" i="114" s="1"/>
  <c r="W380" i="114"/>
  <c r="AC380" i="114" s="1"/>
  <c r="V380" i="114"/>
  <c r="AB380" i="114" s="1"/>
  <c r="X379" i="114"/>
  <c r="AD379" i="114" s="1"/>
  <c r="W379" i="114"/>
  <c r="AC379" i="114" s="1"/>
  <c r="V379" i="114"/>
  <c r="AB379" i="114" s="1"/>
  <c r="X378" i="114"/>
  <c r="AD378" i="114" s="1"/>
  <c r="W378" i="114"/>
  <c r="AC378" i="114" s="1"/>
  <c r="V378" i="114"/>
  <c r="AB378" i="114" s="1"/>
  <c r="X377" i="114"/>
  <c r="AD377" i="114" s="1"/>
  <c r="W377" i="114"/>
  <c r="AC377" i="114" s="1"/>
  <c r="V377" i="114"/>
  <c r="AB377" i="114" s="1"/>
  <c r="X376" i="114"/>
  <c r="AD376" i="114" s="1"/>
  <c r="W376" i="114"/>
  <c r="AC376" i="114" s="1"/>
  <c r="V376" i="114"/>
  <c r="AB376" i="114" s="1"/>
  <c r="X375" i="114"/>
  <c r="AD375" i="114" s="1"/>
  <c r="W375" i="114"/>
  <c r="AC375" i="114" s="1"/>
  <c r="V375" i="114"/>
  <c r="AB375" i="114" s="1"/>
  <c r="X374" i="114"/>
  <c r="AD374" i="114" s="1"/>
  <c r="W374" i="114"/>
  <c r="AC374" i="114" s="1"/>
  <c r="V374" i="114"/>
  <c r="AB374" i="114" s="1"/>
  <c r="X373" i="114"/>
  <c r="AD373" i="114" s="1"/>
  <c r="W373" i="114"/>
  <c r="AC373" i="114" s="1"/>
  <c r="V373" i="114"/>
  <c r="AB373" i="114" s="1"/>
  <c r="X372" i="114"/>
  <c r="AD372" i="114" s="1"/>
  <c r="W372" i="114"/>
  <c r="AC372" i="114" s="1"/>
  <c r="V372" i="114"/>
  <c r="AB372" i="114" s="1"/>
  <c r="X371" i="114"/>
  <c r="AD371" i="114" s="1"/>
  <c r="W371" i="114"/>
  <c r="AC371" i="114" s="1"/>
  <c r="V371" i="114"/>
  <c r="AB371" i="114" s="1"/>
  <c r="X370" i="114"/>
  <c r="AD370" i="114" s="1"/>
  <c r="W370" i="114"/>
  <c r="AC370" i="114" s="1"/>
  <c r="V370" i="114"/>
  <c r="AB370" i="114" s="1"/>
  <c r="X369" i="114"/>
  <c r="AD369" i="114" s="1"/>
  <c r="W369" i="114"/>
  <c r="AC369" i="114" s="1"/>
  <c r="V369" i="114"/>
  <c r="AB369" i="114" s="1"/>
  <c r="X368" i="114"/>
  <c r="AD368" i="114" s="1"/>
  <c r="W368" i="114"/>
  <c r="AC368" i="114" s="1"/>
  <c r="V368" i="114"/>
  <c r="AB368" i="114" s="1"/>
  <c r="X367" i="114"/>
  <c r="AD367" i="114" s="1"/>
  <c r="W367" i="114"/>
  <c r="AC367" i="114" s="1"/>
  <c r="V367" i="114"/>
  <c r="AB367" i="114" s="1"/>
  <c r="X366" i="114"/>
  <c r="AD366" i="114" s="1"/>
  <c r="W366" i="114"/>
  <c r="AC366" i="114" s="1"/>
  <c r="V366" i="114"/>
  <c r="AB366" i="114" s="1"/>
  <c r="X365" i="114"/>
  <c r="AD365" i="114" s="1"/>
  <c r="W365" i="114"/>
  <c r="AC365" i="114" s="1"/>
  <c r="V365" i="114"/>
  <c r="AB365" i="114" s="1"/>
  <c r="X364" i="114"/>
  <c r="AD364" i="114" s="1"/>
  <c r="W364" i="114"/>
  <c r="AC364" i="114" s="1"/>
  <c r="V364" i="114"/>
  <c r="AB364" i="114" s="1"/>
  <c r="X363" i="114"/>
  <c r="AD363" i="114" s="1"/>
  <c r="W363" i="114"/>
  <c r="AC363" i="114" s="1"/>
  <c r="V363" i="114"/>
  <c r="AB363" i="114" s="1"/>
  <c r="X362" i="114"/>
  <c r="AD362" i="114" s="1"/>
  <c r="W362" i="114"/>
  <c r="AC362" i="114" s="1"/>
  <c r="V362" i="114"/>
  <c r="AB362" i="114" s="1"/>
  <c r="X361" i="114"/>
  <c r="AD361" i="114" s="1"/>
  <c r="W361" i="114"/>
  <c r="AC361" i="114" s="1"/>
  <c r="V361" i="114"/>
  <c r="AB361" i="114" s="1"/>
  <c r="X360" i="114"/>
  <c r="AD360" i="114" s="1"/>
  <c r="W360" i="114"/>
  <c r="AC360" i="114" s="1"/>
  <c r="V360" i="114"/>
  <c r="AB360" i="114" s="1"/>
  <c r="X359" i="114"/>
  <c r="AD359" i="114" s="1"/>
  <c r="W359" i="114"/>
  <c r="AC359" i="114" s="1"/>
  <c r="V359" i="114"/>
  <c r="AB359" i="114" s="1"/>
  <c r="X358" i="114"/>
  <c r="AD358" i="114" s="1"/>
  <c r="W358" i="114"/>
  <c r="AC358" i="114" s="1"/>
  <c r="V358" i="114"/>
  <c r="AB358" i="114" s="1"/>
  <c r="X357" i="114"/>
  <c r="AD357" i="114" s="1"/>
  <c r="W357" i="114"/>
  <c r="AC357" i="114" s="1"/>
  <c r="V357" i="114"/>
  <c r="AB357" i="114" s="1"/>
  <c r="X356" i="114"/>
  <c r="AD356" i="114" s="1"/>
  <c r="W356" i="114"/>
  <c r="AC356" i="114" s="1"/>
  <c r="V356" i="114"/>
  <c r="AB356" i="114" s="1"/>
  <c r="X355" i="114"/>
  <c r="AD355" i="114" s="1"/>
  <c r="W355" i="114"/>
  <c r="AC355" i="114" s="1"/>
  <c r="V355" i="114"/>
  <c r="AB355" i="114" s="1"/>
  <c r="X354" i="114"/>
  <c r="AD354" i="114" s="1"/>
  <c r="W354" i="114"/>
  <c r="AC354" i="114" s="1"/>
  <c r="V354" i="114"/>
  <c r="AB354" i="114" s="1"/>
  <c r="X353" i="114"/>
  <c r="AD353" i="114" s="1"/>
  <c r="W353" i="114"/>
  <c r="AC353" i="114" s="1"/>
  <c r="V353" i="114"/>
  <c r="AB353" i="114" s="1"/>
  <c r="X352" i="114"/>
  <c r="AD352" i="114" s="1"/>
  <c r="W352" i="114"/>
  <c r="AC352" i="114" s="1"/>
  <c r="V352" i="114"/>
  <c r="AB352" i="114" s="1"/>
  <c r="X351" i="114"/>
  <c r="AD351" i="114" s="1"/>
  <c r="W351" i="114"/>
  <c r="AC351" i="114" s="1"/>
  <c r="V351" i="114"/>
  <c r="AB351" i="114" s="1"/>
  <c r="X350" i="114"/>
  <c r="AD350" i="114" s="1"/>
  <c r="W350" i="114"/>
  <c r="AC350" i="114" s="1"/>
  <c r="V350" i="114"/>
  <c r="AB350" i="114" s="1"/>
  <c r="X349" i="114"/>
  <c r="AD349" i="114" s="1"/>
  <c r="W349" i="114"/>
  <c r="AC349" i="114" s="1"/>
  <c r="V349" i="114"/>
  <c r="AB349" i="114" s="1"/>
  <c r="X348" i="114"/>
  <c r="AD348" i="114" s="1"/>
  <c r="W348" i="114"/>
  <c r="AC348" i="114" s="1"/>
  <c r="V348" i="114"/>
  <c r="AB348" i="114" s="1"/>
  <c r="X347" i="114"/>
  <c r="AD347" i="114" s="1"/>
  <c r="W347" i="114"/>
  <c r="AC347" i="114" s="1"/>
  <c r="V347" i="114"/>
  <c r="AB347" i="114" s="1"/>
  <c r="X346" i="114"/>
  <c r="AD346" i="114" s="1"/>
  <c r="W346" i="114"/>
  <c r="AC346" i="114" s="1"/>
  <c r="V346" i="114"/>
  <c r="AB346" i="114" s="1"/>
  <c r="X345" i="114"/>
  <c r="AD345" i="114" s="1"/>
  <c r="W345" i="114"/>
  <c r="AC345" i="114" s="1"/>
  <c r="V345" i="114"/>
  <c r="AB345" i="114" s="1"/>
  <c r="X344" i="114"/>
  <c r="AD344" i="114" s="1"/>
  <c r="W344" i="114"/>
  <c r="AC344" i="114" s="1"/>
  <c r="V344" i="114"/>
  <c r="AB344" i="114" s="1"/>
  <c r="X343" i="114"/>
  <c r="AD343" i="114" s="1"/>
  <c r="W343" i="114"/>
  <c r="AC343" i="114" s="1"/>
  <c r="V343" i="114"/>
  <c r="AB343" i="114" s="1"/>
  <c r="X342" i="114"/>
  <c r="AD342" i="114" s="1"/>
  <c r="W342" i="114"/>
  <c r="AC342" i="114" s="1"/>
  <c r="V342" i="114"/>
  <c r="AB342" i="114" s="1"/>
  <c r="X341" i="114"/>
  <c r="AD341" i="114" s="1"/>
  <c r="W341" i="114"/>
  <c r="AC341" i="114" s="1"/>
  <c r="V341" i="114"/>
  <c r="AB341" i="114" s="1"/>
  <c r="X340" i="114"/>
  <c r="AD340" i="114" s="1"/>
  <c r="W340" i="114"/>
  <c r="AC340" i="114" s="1"/>
  <c r="V340" i="114"/>
  <c r="AB340" i="114" s="1"/>
  <c r="X339" i="114"/>
  <c r="AD339" i="114" s="1"/>
  <c r="W339" i="114"/>
  <c r="AC339" i="114" s="1"/>
  <c r="V339" i="114"/>
  <c r="AB339" i="114" s="1"/>
  <c r="X338" i="114"/>
  <c r="AD338" i="114" s="1"/>
  <c r="W338" i="114"/>
  <c r="AC338" i="114" s="1"/>
  <c r="V338" i="114"/>
  <c r="AB338" i="114" s="1"/>
  <c r="X337" i="114"/>
  <c r="AD337" i="114" s="1"/>
  <c r="W337" i="114"/>
  <c r="AC337" i="114" s="1"/>
  <c r="V337" i="114"/>
  <c r="AB337" i="114" s="1"/>
  <c r="X336" i="114"/>
  <c r="AD336" i="114" s="1"/>
  <c r="W336" i="114"/>
  <c r="AC336" i="114" s="1"/>
  <c r="V336" i="114"/>
  <c r="AB336" i="114" s="1"/>
  <c r="X335" i="114"/>
  <c r="AD335" i="114" s="1"/>
  <c r="W335" i="114"/>
  <c r="AC335" i="114" s="1"/>
  <c r="V335" i="114"/>
  <c r="AB335" i="114" s="1"/>
  <c r="X334" i="114"/>
  <c r="AD334" i="114" s="1"/>
  <c r="W334" i="114"/>
  <c r="AC334" i="114" s="1"/>
  <c r="V334" i="114"/>
  <c r="AB334" i="114" s="1"/>
  <c r="X333" i="114"/>
  <c r="AD333" i="114" s="1"/>
  <c r="W333" i="114"/>
  <c r="AC333" i="114" s="1"/>
  <c r="V333" i="114"/>
  <c r="AB333" i="114" s="1"/>
  <c r="X332" i="114"/>
  <c r="AD332" i="114" s="1"/>
  <c r="W332" i="114"/>
  <c r="AC332" i="114" s="1"/>
  <c r="V332" i="114"/>
  <c r="AB332" i="114" s="1"/>
  <c r="X331" i="114"/>
  <c r="AD331" i="114" s="1"/>
  <c r="W331" i="114"/>
  <c r="AC331" i="114" s="1"/>
  <c r="V331" i="114"/>
  <c r="AB331" i="114" s="1"/>
  <c r="X330" i="114"/>
  <c r="AD330" i="114" s="1"/>
  <c r="W330" i="114"/>
  <c r="AC330" i="114" s="1"/>
  <c r="V330" i="114"/>
  <c r="AB330" i="114" s="1"/>
  <c r="X329" i="114"/>
  <c r="AD329" i="114" s="1"/>
  <c r="W329" i="114"/>
  <c r="AC329" i="114" s="1"/>
  <c r="V329" i="114"/>
  <c r="AB329" i="114" s="1"/>
  <c r="X328" i="114"/>
  <c r="AD328" i="114" s="1"/>
  <c r="W328" i="114"/>
  <c r="AC328" i="114" s="1"/>
  <c r="V328" i="114"/>
  <c r="AB328" i="114" s="1"/>
  <c r="X327" i="114"/>
  <c r="AD327" i="114" s="1"/>
  <c r="W327" i="114"/>
  <c r="AC327" i="114" s="1"/>
  <c r="V327" i="114"/>
  <c r="AB327" i="114" s="1"/>
  <c r="X326" i="114"/>
  <c r="AD326" i="114" s="1"/>
  <c r="W326" i="114"/>
  <c r="AC326" i="114" s="1"/>
  <c r="V326" i="114"/>
  <c r="AB326" i="114" s="1"/>
  <c r="X325" i="114"/>
  <c r="AD325" i="114" s="1"/>
  <c r="W325" i="114"/>
  <c r="AC325" i="114" s="1"/>
  <c r="V325" i="114"/>
  <c r="AB325" i="114" s="1"/>
  <c r="X324" i="114"/>
  <c r="AD324" i="114" s="1"/>
  <c r="W324" i="114"/>
  <c r="AC324" i="114" s="1"/>
  <c r="V324" i="114"/>
  <c r="AB324" i="114" s="1"/>
  <c r="X323" i="114"/>
  <c r="AD323" i="114" s="1"/>
  <c r="W323" i="114"/>
  <c r="AC323" i="114" s="1"/>
  <c r="V323" i="114"/>
  <c r="AB323" i="114" s="1"/>
  <c r="X322" i="114"/>
  <c r="AD322" i="114" s="1"/>
  <c r="W322" i="114"/>
  <c r="AC322" i="114" s="1"/>
  <c r="V322" i="114"/>
  <c r="AB322" i="114" s="1"/>
  <c r="X321" i="114"/>
  <c r="AD321" i="114" s="1"/>
  <c r="W321" i="114"/>
  <c r="AC321" i="114" s="1"/>
  <c r="V321" i="114"/>
  <c r="AB321" i="114" s="1"/>
  <c r="X320" i="114"/>
  <c r="AD320" i="114" s="1"/>
  <c r="W320" i="114"/>
  <c r="AC320" i="114" s="1"/>
  <c r="V320" i="114"/>
  <c r="AB320" i="114" s="1"/>
  <c r="X319" i="114"/>
  <c r="AD319" i="114" s="1"/>
  <c r="W319" i="114"/>
  <c r="AC319" i="114" s="1"/>
  <c r="V319" i="114"/>
  <c r="AB319" i="114" s="1"/>
  <c r="X318" i="114"/>
  <c r="AD318" i="114" s="1"/>
  <c r="W318" i="114"/>
  <c r="AC318" i="114" s="1"/>
  <c r="V318" i="114"/>
  <c r="AB318" i="114" s="1"/>
  <c r="X317" i="114"/>
  <c r="AD317" i="114" s="1"/>
  <c r="W317" i="114"/>
  <c r="AC317" i="114" s="1"/>
  <c r="V317" i="114"/>
  <c r="AB317" i="114" s="1"/>
  <c r="X316" i="114"/>
  <c r="AD316" i="114" s="1"/>
  <c r="W316" i="114"/>
  <c r="AC316" i="114" s="1"/>
  <c r="V316" i="114"/>
  <c r="AB316" i="114" s="1"/>
  <c r="X315" i="114"/>
  <c r="AD315" i="114" s="1"/>
  <c r="W315" i="114"/>
  <c r="AC315" i="114" s="1"/>
  <c r="V315" i="114"/>
  <c r="AB315" i="114" s="1"/>
  <c r="X314" i="114"/>
  <c r="AD314" i="114" s="1"/>
  <c r="W314" i="114"/>
  <c r="AC314" i="114" s="1"/>
  <c r="V314" i="114"/>
  <c r="AB314" i="114" s="1"/>
  <c r="X313" i="114"/>
  <c r="AD313" i="114" s="1"/>
  <c r="W313" i="114"/>
  <c r="AC313" i="114" s="1"/>
  <c r="V313" i="114"/>
  <c r="AB313" i="114" s="1"/>
  <c r="X312" i="114"/>
  <c r="AD312" i="114" s="1"/>
  <c r="W312" i="114"/>
  <c r="AC312" i="114" s="1"/>
  <c r="V312" i="114"/>
  <c r="AB312" i="114" s="1"/>
  <c r="X311" i="114"/>
  <c r="AD311" i="114" s="1"/>
  <c r="W311" i="114"/>
  <c r="AC311" i="114" s="1"/>
  <c r="V311" i="114"/>
  <c r="AB311" i="114" s="1"/>
  <c r="X310" i="114"/>
  <c r="AD310" i="114" s="1"/>
  <c r="W310" i="114"/>
  <c r="AC310" i="114" s="1"/>
  <c r="V310" i="114"/>
  <c r="AB310" i="114" s="1"/>
  <c r="X309" i="114"/>
  <c r="AD309" i="114" s="1"/>
  <c r="W309" i="114"/>
  <c r="AC309" i="114" s="1"/>
  <c r="V309" i="114"/>
  <c r="AB309" i="114" s="1"/>
  <c r="X308" i="114"/>
  <c r="AD308" i="114" s="1"/>
  <c r="W308" i="114"/>
  <c r="AC308" i="114" s="1"/>
  <c r="V308" i="114"/>
  <c r="AB308" i="114" s="1"/>
  <c r="X307" i="114"/>
  <c r="AD307" i="114" s="1"/>
  <c r="W307" i="114"/>
  <c r="AC307" i="114" s="1"/>
  <c r="V307" i="114"/>
  <c r="AB307" i="114" s="1"/>
  <c r="X306" i="114"/>
  <c r="AD306" i="114" s="1"/>
  <c r="W306" i="114"/>
  <c r="AC306" i="114" s="1"/>
  <c r="V306" i="114"/>
  <c r="AB306" i="114" s="1"/>
  <c r="X305" i="114"/>
  <c r="AD305" i="114" s="1"/>
  <c r="W305" i="114"/>
  <c r="AC305" i="114" s="1"/>
  <c r="V305" i="114"/>
  <c r="AB305" i="114" s="1"/>
  <c r="X304" i="114"/>
  <c r="AD304" i="114" s="1"/>
  <c r="W304" i="114"/>
  <c r="AC304" i="114" s="1"/>
  <c r="V304" i="114"/>
  <c r="AB304" i="114" s="1"/>
  <c r="X303" i="114"/>
  <c r="AD303" i="114" s="1"/>
  <c r="W303" i="114"/>
  <c r="AC303" i="114" s="1"/>
  <c r="V303" i="114"/>
  <c r="AB303" i="114" s="1"/>
  <c r="X302" i="114"/>
  <c r="AD302" i="114" s="1"/>
  <c r="W302" i="114"/>
  <c r="AC302" i="114" s="1"/>
  <c r="V302" i="114"/>
  <c r="AB302" i="114" s="1"/>
  <c r="X301" i="114"/>
  <c r="AD301" i="114" s="1"/>
  <c r="W301" i="114"/>
  <c r="AC301" i="114" s="1"/>
  <c r="V301" i="114"/>
  <c r="AB301" i="114" s="1"/>
  <c r="X300" i="114"/>
  <c r="AD300" i="114" s="1"/>
  <c r="W300" i="114"/>
  <c r="AC300" i="114" s="1"/>
  <c r="V300" i="114"/>
  <c r="AB300" i="114" s="1"/>
  <c r="X299" i="114"/>
  <c r="AD299" i="114" s="1"/>
  <c r="W299" i="114"/>
  <c r="AC299" i="114" s="1"/>
  <c r="V299" i="114"/>
  <c r="AB299" i="114" s="1"/>
  <c r="X298" i="114"/>
  <c r="AD298" i="114" s="1"/>
  <c r="W298" i="114"/>
  <c r="AC298" i="114" s="1"/>
  <c r="V298" i="114"/>
  <c r="AB298" i="114" s="1"/>
  <c r="X297" i="114"/>
  <c r="AD297" i="114" s="1"/>
  <c r="W297" i="114"/>
  <c r="AC297" i="114" s="1"/>
  <c r="V297" i="114"/>
  <c r="AB297" i="114" s="1"/>
  <c r="X296" i="114"/>
  <c r="AD296" i="114" s="1"/>
  <c r="W296" i="114"/>
  <c r="AC296" i="114" s="1"/>
  <c r="V296" i="114"/>
  <c r="AB296" i="114" s="1"/>
  <c r="X295" i="114"/>
  <c r="AD295" i="114" s="1"/>
  <c r="W295" i="114"/>
  <c r="AC295" i="114" s="1"/>
  <c r="V295" i="114"/>
  <c r="AB295" i="114" s="1"/>
  <c r="X294" i="114"/>
  <c r="AD294" i="114" s="1"/>
  <c r="W294" i="114"/>
  <c r="AC294" i="114" s="1"/>
  <c r="V294" i="114"/>
  <c r="AB294" i="114" s="1"/>
  <c r="X293" i="114"/>
  <c r="AD293" i="114" s="1"/>
  <c r="W293" i="114"/>
  <c r="AC293" i="114" s="1"/>
  <c r="V293" i="114"/>
  <c r="AB293" i="114" s="1"/>
  <c r="X292" i="114"/>
  <c r="AD292" i="114" s="1"/>
  <c r="W292" i="114"/>
  <c r="AC292" i="114" s="1"/>
  <c r="V292" i="114"/>
  <c r="AB292" i="114" s="1"/>
  <c r="X291" i="114"/>
  <c r="AD291" i="114" s="1"/>
  <c r="W291" i="114"/>
  <c r="AC291" i="114" s="1"/>
  <c r="V291" i="114"/>
  <c r="AB291" i="114" s="1"/>
  <c r="X290" i="114"/>
  <c r="AD290" i="114" s="1"/>
  <c r="W290" i="114"/>
  <c r="AC290" i="114" s="1"/>
  <c r="V290" i="114"/>
  <c r="AB290" i="114" s="1"/>
  <c r="X289" i="114"/>
  <c r="AD289" i="114" s="1"/>
  <c r="W289" i="114"/>
  <c r="AC289" i="114" s="1"/>
  <c r="V289" i="114"/>
  <c r="AB289" i="114" s="1"/>
  <c r="X288" i="114"/>
  <c r="AD288" i="114" s="1"/>
  <c r="W288" i="114"/>
  <c r="AC288" i="114" s="1"/>
  <c r="V288" i="114"/>
  <c r="AB288" i="114" s="1"/>
  <c r="X287" i="114"/>
  <c r="AD287" i="114" s="1"/>
  <c r="W287" i="114"/>
  <c r="AC287" i="114" s="1"/>
  <c r="V287" i="114"/>
  <c r="AB287" i="114" s="1"/>
  <c r="X286" i="114"/>
  <c r="AD286" i="114" s="1"/>
  <c r="W286" i="114"/>
  <c r="AC286" i="114" s="1"/>
  <c r="V286" i="114"/>
  <c r="AB286" i="114" s="1"/>
  <c r="X285" i="114"/>
  <c r="AD285" i="114" s="1"/>
  <c r="W285" i="114"/>
  <c r="AC285" i="114" s="1"/>
  <c r="V285" i="114"/>
  <c r="AB285" i="114" s="1"/>
  <c r="X284" i="114"/>
  <c r="AD284" i="114" s="1"/>
  <c r="W284" i="114"/>
  <c r="AC284" i="114" s="1"/>
  <c r="V284" i="114"/>
  <c r="AB284" i="114" s="1"/>
  <c r="X283" i="114"/>
  <c r="AD283" i="114" s="1"/>
  <c r="W283" i="114"/>
  <c r="AC283" i="114" s="1"/>
  <c r="V283" i="114"/>
  <c r="AB283" i="114" s="1"/>
  <c r="X282" i="114"/>
  <c r="AD282" i="114" s="1"/>
  <c r="W282" i="114"/>
  <c r="AC282" i="114" s="1"/>
  <c r="V282" i="114"/>
  <c r="AB282" i="114" s="1"/>
  <c r="X281" i="114"/>
  <c r="AD281" i="114" s="1"/>
  <c r="W281" i="114"/>
  <c r="AC281" i="114" s="1"/>
  <c r="V281" i="114"/>
  <c r="AB281" i="114" s="1"/>
  <c r="X280" i="114"/>
  <c r="AD280" i="114" s="1"/>
  <c r="W280" i="114"/>
  <c r="AC280" i="114" s="1"/>
  <c r="V280" i="114"/>
  <c r="AB280" i="114" s="1"/>
  <c r="X279" i="114"/>
  <c r="AD279" i="114" s="1"/>
  <c r="W279" i="114"/>
  <c r="AC279" i="114" s="1"/>
  <c r="V279" i="114"/>
  <c r="AB279" i="114" s="1"/>
  <c r="X278" i="114"/>
  <c r="AD278" i="114" s="1"/>
  <c r="W278" i="114"/>
  <c r="AC278" i="114" s="1"/>
  <c r="V278" i="114"/>
  <c r="AB278" i="114" s="1"/>
  <c r="X277" i="114"/>
  <c r="AD277" i="114" s="1"/>
  <c r="W277" i="114"/>
  <c r="AC277" i="114" s="1"/>
  <c r="V277" i="114"/>
  <c r="AB277" i="114" s="1"/>
  <c r="X276" i="114"/>
  <c r="AD276" i="114" s="1"/>
  <c r="W276" i="114"/>
  <c r="AC276" i="114" s="1"/>
  <c r="V276" i="114"/>
  <c r="AB276" i="114" s="1"/>
  <c r="X275" i="114"/>
  <c r="AD275" i="114" s="1"/>
  <c r="W275" i="114"/>
  <c r="AC275" i="114" s="1"/>
  <c r="V275" i="114"/>
  <c r="AB275" i="114" s="1"/>
  <c r="X274" i="114"/>
  <c r="AD274" i="114" s="1"/>
  <c r="W274" i="114"/>
  <c r="AC274" i="114" s="1"/>
  <c r="V274" i="114"/>
  <c r="AB274" i="114" s="1"/>
  <c r="X273" i="114"/>
  <c r="AD273" i="114" s="1"/>
  <c r="W273" i="114"/>
  <c r="AC273" i="114" s="1"/>
  <c r="V273" i="114"/>
  <c r="AB273" i="114" s="1"/>
  <c r="X272" i="114"/>
  <c r="AD272" i="114" s="1"/>
  <c r="W272" i="114"/>
  <c r="AC272" i="114" s="1"/>
  <c r="V272" i="114"/>
  <c r="AB272" i="114" s="1"/>
  <c r="X271" i="114"/>
  <c r="AD271" i="114" s="1"/>
  <c r="W271" i="114"/>
  <c r="AC271" i="114" s="1"/>
  <c r="V271" i="114"/>
  <c r="AB271" i="114" s="1"/>
  <c r="X270" i="114"/>
  <c r="AD270" i="114" s="1"/>
  <c r="W270" i="114"/>
  <c r="AC270" i="114" s="1"/>
  <c r="V270" i="114"/>
  <c r="AB270" i="114" s="1"/>
  <c r="X269" i="114"/>
  <c r="AD269" i="114" s="1"/>
  <c r="W269" i="114"/>
  <c r="AC269" i="114" s="1"/>
  <c r="V269" i="114"/>
  <c r="AB269" i="114" s="1"/>
  <c r="X268" i="114"/>
  <c r="AD268" i="114" s="1"/>
  <c r="W268" i="114"/>
  <c r="AC268" i="114" s="1"/>
  <c r="V268" i="114"/>
  <c r="AB268" i="114" s="1"/>
  <c r="X267" i="114"/>
  <c r="AD267" i="114" s="1"/>
  <c r="W267" i="114"/>
  <c r="AC267" i="114" s="1"/>
  <c r="V267" i="114"/>
  <c r="AB267" i="114" s="1"/>
  <c r="X266" i="114"/>
  <c r="AD266" i="114" s="1"/>
  <c r="W266" i="114"/>
  <c r="AC266" i="114" s="1"/>
  <c r="V266" i="114"/>
  <c r="AB266" i="114" s="1"/>
  <c r="X265" i="114"/>
  <c r="AD265" i="114" s="1"/>
  <c r="W265" i="114"/>
  <c r="AC265" i="114" s="1"/>
  <c r="V265" i="114"/>
  <c r="AB265" i="114" s="1"/>
  <c r="X264" i="114"/>
  <c r="AD264" i="114" s="1"/>
  <c r="W264" i="114"/>
  <c r="AC264" i="114" s="1"/>
  <c r="V264" i="114"/>
  <c r="AB264" i="114" s="1"/>
  <c r="X263" i="114"/>
  <c r="AD263" i="114" s="1"/>
  <c r="W263" i="114"/>
  <c r="AC263" i="114" s="1"/>
  <c r="V263" i="114"/>
  <c r="AB263" i="114" s="1"/>
  <c r="X262" i="114"/>
  <c r="AD262" i="114" s="1"/>
  <c r="W262" i="114"/>
  <c r="AC262" i="114" s="1"/>
  <c r="V262" i="114"/>
  <c r="AB262" i="114" s="1"/>
  <c r="X261" i="114"/>
  <c r="AD261" i="114" s="1"/>
  <c r="W261" i="114"/>
  <c r="AC261" i="114" s="1"/>
  <c r="V261" i="114"/>
  <c r="AB261" i="114" s="1"/>
  <c r="X260" i="114"/>
  <c r="AD260" i="114" s="1"/>
  <c r="W260" i="114"/>
  <c r="AC260" i="114" s="1"/>
  <c r="V260" i="114"/>
  <c r="AB260" i="114" s="1"/>
  <c r="X259" i="114"/>
  <c r="AD259" i="114" s="1"/>
  <c r="W259" i="114"/>
  <c r="AC259" i="114" s="1"/>
  <c r="V259" i="114"/>
  <c r="AB259" i="114" s="1"/>
  <c r="V258" i="114"/>
  <c r="AB258" i="114" s="1"/>
  <c r="V257" i="114"/>
  <c r="AB257" i="114" s="1"/>
  <c r="V256" i="114"/>
  <c r="AB256" i="114" s="1"/>
  <c r="V255" i="114"/>
  <c r="AB255" i="114" s="1"/>
  <c r="V254" i="114"/>
  <c r="AB254" i="114" s="1"/>
  <c r="V253" i="114"/>
  <c r="AB253" i="114" s="1"/>
  <c r="V252" i="114"/>
  <c r="AB252" i="114" s="1"/>
  <c r="V251" i="114"/>
  <c r="AB251" i="114" s="1"/>
  <c r="V250" i="114"/>
  <c r="AB250" i="114" s="1"/>
  <c r="V249" i="114"/>
  <c r="AB249" i="114" s="1"/>
  <c r="V248" i="114"/>
  <c r="AB248" i="114" s="1"/>
  <c r="V247" i="114"/>
  <c r="AB247" i="114" s="1"/>
  <c r="X246" i="114"/>
  <c r="AD246" i="114" s="1"/>
  <c r="W246" i="114"/>
  <c r="AC246" i="114" s="1"/>
  <c r="X245" i="114"/>
  <c r="AD245" i="114" s="1"/>
  <c r="W245" i="114"/>
  <c r="AC245" i="114" s="1"/>
  <c r="X244" i="114"/>
  <c r="AD244" i="114" s="1"/>
  <c r="W244" i="114"/>
  <c r="AC244" i="114" s="1"/>
  <c r="X243" i="114"/>
  <c r="AD243" i="114" s="1"/>
  <c r="W243" i="114"/>
  <c r="AC243" i="114" s="1"/>
  <c r="X242" i="114"/>
  <c r="AD242" i="114" s="1"/>
  <c r="W242" i="114"/>
  <c r="AC242" i="114" s="1"/>
  <c r="X241" i="114"/>
  <c r="AD241" i="114" s="1"/>
  <c r="W241" i="114"/>
  <c r="AC241" i="114" s="1"/>
  <c r="X240" i="114"/>
  <c r="AD240" i="114" s="1"/>
  <c r="W240" i="114"/>
  <c r="AC240" i="114" s="1"/>
  <c r="X239" i="114"/>
  <c r="AD239" i="114" s="1"/>
  <c r="W239" i="114"/>
  <c r="AC239" i="114" s="1"/>
  <c r="X238" i="114"/>
  <c r="AD238" i="114" s="1"/>
  <c r="W238" i="114"/>
  <c r="AC238" i="114" s="1"/>
  <c r="X237" i="114"/>
  <c r="AD237" i="114" s="1"/>
  <c r="W237" i="114"/>
  <c r="AC237" i="114" s="1"/>
  <c r="X236" i="114"/>
  <c r="AD236" i="114" s="1"/>
  <c r="W236" i="114"/>
  <c r="AC236" i="114" s="1"/>
  <c r="X235" i="114"/>
  <c r="AD235" i="114" s="1"/>
  <c r="W235" i="114"/>
  <c r="AC235" i="114" s="1"/>
  <c r="V234" i="114"/>
  <c r="AB234" i="114" s="1"/>
  <c r="V233" i="114"/>
  <c r="AB233" i="114" s="1"/>
  <c r="V232" i="114"/>
  <c r="AB232" i="114" s="1"/>
  <c r="V231" i="114"/>
  <c r="AB231" i="114" s="1"/>
  <c r="V230" i="114"/>
  <c r="AB230" i="114" s="1"/>
  <c r="V229" i="114"/>
  <c r="AB229" i="114" s="1"/>
  <c r="V228" i="114"/>
  <c r="AB228" i="114" s="1"/>
  <c r="V227" i="114"/>
  <c r="AB227" i="114" s="1"/>
  <c r="V226" i="114"/>
  <c r="AB226" i="114" s="1"/>
  <c r="V225" i="114"/>
  <c r="AB225" i="114" s="1"/>
  <c r="V224" i="114"/>
  <c r="AB224" i="114" s="1"/>
  <c r="V223" i="114"/>
  <c r="AB223" i="114" s="1"/>
  <c r="X222" i="114"/>
  <c r="AD222" i="114" s="1"/>
  <c r="W222" i="114"/>
  <c r="AC222" i="114" s="1"/>
  <c r="V222" i="114"/>
  <c r="AB222" i="114" s="1"/>
  <c r="X221" i="114"/>
  <c r="AD221" i="114" s="1"/>
  <c r="W221" i="114"/>
  <c r="AC221" i="114" s="1"/>
  <c r="V221" i="114"/>
  <c r="AB221" i="114" s="1"/>
  <c r="X220" i="114"/>
  <c r="AD220" i="114" s="1"/>
  <c r="W220" i="114"/>
  <c r="AC220" i="114" s="1"/>
  <c r="V220" i="114"/>
  <c r="AB220" i="114" s="1"/>
  <c r="X219" i="114"/>
  <c r="AD219" i="114" s="1"/>
  <c r="W219" i="114"/>
  <c r="AC219" i="114" s="1"/>
  <c r="V219" i="114"/>
  <c r="AB219" i="114" s="1"/>
  <c r="X218" i="114"/>
  <c r="AD218" i="114" s="1"/>
  <c r="W218" i="114"/>
  <c r="AC218" i="114" s="1"/>
  <c r="V218" i="114"/>
  <c r="AB218" i="114" s="1"/>
  <c r="X217" i="114"/>
  <c r="AD217" i="114" s="1"/>
  <c r="W217" i="114"/>
  <c r="AC217" i="114" s="1"/>
  <c r="V217" i="114"/>
  <c r="AB217" i="114" s="1"/>
  <c r="X216" i="114"/>
  <c r="AD216" i="114" s="1"/>
  <c r="W216" i="114"/>
  <c r="AC216" i="114" s="1"/>
  <c r="V216" i="114"/>
  <c r="AB216" i="114" s="1"/>
  <c r="X215" i="114"/>
  <c r="AD215" i="114" s="1"/>
  <c r="W215" i="114"/>
  <c r="AC215" i="114" s="1"/>
  <c r="V215" i="114"/>
  <c r="AB215" i="114" s="1"/>
  <c r="X214" i="114"/>
  <c r="AD214" i="114" s="1"/>
  <c r="W214" i="114"/>
  <c r="AC214" i="114" s="1"/>
  <c r="V214" i="114"/>
  <c r="AB214" i="114" s="1"/>
  <c r="X213" i="114"/>
  <c r="AD213" i="114" s="1"/>
  <c r="W213" i="114"/>
  <c r="AC213" i="114" s="1"/>
  <c r="V213" i="114"/>
  <c r="AB213" i="114" s="1"/>
  <c r="X212" i="114"/>
  <c r="AD212" i="114" s="1"/>
  <c r="W212" i="114"/>
  <c r="AC212" i="114" s="1"/>
  <c r="V212" i="114"/>
  <c r="AB212" i="114" s="1"/>
  <c r="X211" i="114"/>
  <c r="AD211" i="114" s="1"/>
  <c r="W211" i="114"/>
  <c r="AC211" i="114" s="1"/>
  <c r="V211" i="114"/>
  <c r="AB211" i="114" s="1"/>
  <c r="X210" i="114"/>
  <c r="AD210" i="114" s="1"/>
  <c r="W210" i="114"/>
  <c r="AC210" i="114" s="1"/>
  <c r="V210" i="114"/>
  <c r="AB210" i="114" s="1"/>
  <c r="X209" i="114"/>
  <c r="AD209" i="114" s="1"/>
  <c r="W209" i="114"/>
  <c r="AC209" i="114" s="1"/>
  <c r="V209" i="114"/>
  <c r="AB209" i="114" s="1"/>
  <c r="X208" i="114"/>
  <c r="AD208" i="114" s="1"/>
  <c r="W208" i="114"/>
  <c r="AC208" i="114" s="1"/>
  <c r="V208" i="114"/>
  <c r="AB208" i="114" s="1"/>
  <c r="X207" i="114"/>
  <c r="AD207" i="114" s="1"/>
  <c r="W207" i="114"/>
  <c r="AC207" i="114" s="1"/>
  <c r="V207" i="114"/>
  <c r="AB207" i="114" s="1"/>
  <c r="X206" i="114"/>
  <c r="AD206" i="114" s="1"/>
  <c r="W206" i="114"/>
  <c r="AC206" i="114" s="1"/>
  <c r="V206" i="114"/>
  <c r="AB206" i="114" s="1"/>
  <c r="X205" i="114"/>
  <c r="AD205" i="114" s="1"/>
  <c r="W205" i="114"/>
  <c r="AC205" i="114" s="1"/>
  <c r="V205" i="114"/>
  <c r="AB205" i="114" s="1"/>
  <c r="X204" i="114"/>
  <c r="AD204" i="114" s="1"/>
  <c r="W204" i="114"/>
  <c r="AC204" i="114" s="1"/>
  <c r="V204" i="114"/>
  <c r="AB204" i="114" s="1"/>
  <c r="X203" i="114"/>
  <c r="AD203" i="114" s="1"/>
  <c r="W203" i="114"/>
  <c r="AC203" i="114" s="1"/>
  <c r="V203" i="114"/>
  <c r="AB203" i="114" s="1"/>
  <c r="X202" i="114"/>
  <c r="AD202" i="114" s="1"/>
  <c r="W202" i="114"/>
  <c r="AC202" i="114" s="1"/>
  <c r="V202" i="114"/>
  <c r="AB202" i="114" s="1"/>
  <c r="X201" i="114"/>
  <c r="AD201" i="114" s="1"/>
  <c r="W201" i="114"/>
  <c r="AC201" i="114" s="1"/>
  <c r="V201" i="114"/>
  <c r="AB201" i="114" s="1"/>
  <c r="X200" i="114"/>
  <c r="AD200" i="114" s="1"/>
  <c r="W200" i="114"/>
  <c r="AC200" i="114" s="1"/>
  <c r="V200" i="114"/>
  <c r="AB200" i="114" s="1"/>
  <c r="X199" i="114"/>
  <c r="AD199" i="114" s="1"/>
  <c r="W199" i="114"/>
  <c r="AC199" i="114" s="1"/>
  <c r="V199" i="114"/>
  <c r="AB199" i="114" s="1"/>
  <c r="X198" i="114"/>
  <c r="AD198" i="114" s="1"/>
  <c r="W198" i="114"/>
  <c r="AC198" i="114" s="1"/>
  <c r="V198" i="114"/>
  <c r="AB198" i="114" s="1"/>
  <c r="X197" i="114"/>
  <c r="AD197" i="114" s="1"/>
  <c r="W197" i="114"/>
  <c r="AC197" i="114" s="1"/>
  <c r="V197" i="114"/>
  <c r="AB197" i="114" s="1"/>
  <c r="X196" i="114"/>
  <c r="AD196" i="114" s="1"/>
  <c r="W196" i="114"/>
  <c r="AC196" i="114" s="1"/>
  <c r="V196" i="114"/>
  <c r="AB196" i="114" s="1"/>
  <c r="X195" i="114"/>
  <c r="AD195" i="114" s="1"/>
  <c r="W195" i="114"/>
  <c r="AC195" i="114" s="1"/>
  <c r="V195" i="114"/>
  <c r="AB195" i="114" s="1"/>
  <c r="X194" i="114"/>
  <c r="AD194" i="114" s="1"/>
  <c r="W194" i="114"/>
  <c r="AC194" i="114" s="1"/>
  <c r="V194" i="114"/>
  <c r="AB194" i="114" s="1"/>
  <c r="X193" i="114"/>
  <c r="AD193" i="114" s="1"/>
  <c r="W193" i="114"/>
  <c r="AC193" i="114" s="1"/>
  <c r="V193" i="114"/>
  <c r="AB193" i="114" s="1"/>
  <c r="X192" i="114"/>
  <c r="AD192" i="114" s="1"/>
  <c r="W192" i="114"/>
  <c r="AC192" i="114" s="1"/>
  <c r="V192" i="114"/>
  <c r="AB192" i="114" s="1"/>
  <c r="X191" i="114"/>
  <c r="AD191" i="114" s="1"/>
  <c r="W191" i="114"/>
  <c r="AC191" i="114" s="1"/>
  <c r="V191" i="114"/>
  <c r="AB191" i="114" s="1"/>
  <c r="X190" i="114"/>
  <c r="AD190" i="114" s="1"/>
  <c r="W190" i="114"/>
  <c r="AC190" i="114" s="1"/>
  <c r="V190" i="114"/>
  <c r="AB190" i="114" s="1"/>
  <c r="X189" i="114"/>
  <c r="AD189" i="114" s="1"/>
  <c r="W189" i="114"/>
  <c r="AC189" i="114" s="1"/>
  <c r="V189" i="114"/>
  <c r="AB189" i="114" s="1"/>
  <c r="X188" i="114"/>
  <c r="AD188" i="114" s="1"/>
  <c r="W188" i="114"/>
  <c r="AC188" i="114" s="1"/>
  <c r="V188" i="114"/>
  <c r="AB188" i="114" s="1"/>
  <c r="X187" i="114"/>
  <c r="AD187" i="114" s="1"/>
  <c r="W187" i="114"/>
  <c r="AC187" i="114" s="1"/>
  <c r="V187" i="114"/>
  <c r="AB187" i="114" s="1"/>
  <c r="X186" i="114"/>
  <c r="AD186" i="114" s="1"/>
  <c r="W186" i="114"/>
  <c r="AC186" i="114" s="1"/>
  <c r="V186" i="114"/>
  <c r="AB186" i="114" s="1"/>
  <c r="X185" i="114"/>
  <c r="AD185" i="114" s="1"/>
  <c r="W185" i="114"/>
  <c r="AC185" i="114" s="1"/>
  <c r="V185" i="114"/>
  <c r="AB185" i="114" s="1"/>
  <c r="X184" i="114"/>
  <c r="AD184" i="114" s="1"/>
  <c r="W184" i="114"/>
  <c r="AC184" i="114" s="1"/>
  <c r="V184" i="114"/>
  <c r="AB184" i="114" s="1"/>
  <c r="X183" i="114"/>
  <c r="AD183" i="114" s="1"/>
  <c r="W183" i="114"/>
  <c r="AC183" i="114" s="1"/>
  <c r="V183" i="114"/>
  <c r="AB183" i="114" s="1"/>
  <c r="X182" i="114"/>
  <c r="AD182" i="114" s="1"/>
  <c r="W182" i="114"/>
  <c r="AC182" i="114" s="1"/>
  <c r="V182" i="114"/>
  <c r="AB182" i="114" s="1"/>
  <c r="X181" i="114"/>
  <c r="AD181" i="114" s="1"/>
  <c r="W181" i="114"/>
  <c r="AC181" i="114" s="1"/>
  <c r="V181" i="114"/>
  <c r="AB181" i="114" s="1"/>
  <c r="X180" i="114"/>
  <c r="AD180" i="114" s="1"/>
  <c r="W180" i="114"/>
  <c r="AC180" i="114" s="1"/>
  <c r="V180" i="114"/>
  <c r="AB180" i="114" s="1"/>
  <c r="X179" i="114"/>
  <c r="AD179" i="114" s="1"/>
  <c r="W179" i="114"/>
  <c r="AC179" i="114" s="1"/>
  <c r="V179" i="114"/>
  <c r="AB179" i="114" s="1"/>
  <c r="X178" i="114"/>
  <c r="AD178" i="114" s="1"/>
  <c r="W178" i="114"/>
  <c r="AC178" i="114" s="1"/>
  <c r="V178" i="114"/>
  <c r="AB178" i="114" s="1"/>
  <c r="X177" i="114"/>
  <c r="AD177" i="114" s="1"/>
  <c r="W177" i="114"/>
  <c r="AC177" i="114" s="1"/>
  <c r="V177" i="114"/>
  <c r="AB177" i="114" s="1"/>
  <c r="X176" i="114"/>
  <c r="AD176" i="114" s="1"/>
  <c r="W176" i="114"/>
  <c r="AC176" i="114" s="1"/>
  <c r="V176" i="114"/>
  <c r="AB176" i="114" s="1"/>
  <c r="X175" i="114"/>
  <c r="AD175" i="114" s="1"/>
  <c r="W175" i="114"/>
  <c r="AC175" i="114" s="1"/>
  <c r="V175" i="114"/>
  <c r="AB175" i="114" s="1"/>
  <c r="X174" i="114"/>
  <c r="AD174" i="114" s="1"/>
  <c r="W174" i="114"/>
  <c r="AC174" i="114" s="1"/>
  <c r="V174" i="114"/>
  <c r="AB174" i="114" s="1"/>
  <c r="X173" i="114"/>
  <c r="AD173" i="114" s="1"/>
  <c r="W173" i="114"/>
  <c r="AC173" i="114" s="1"/>
  <c r="V173" i="114"/>
  <c r="AB173" i="114" s="1"/>
  <c r="X172" i="114"/>
  <c r="AD172" i="114" s="1"/>
  <c r="W172" i="114"/>
  <c r="AC172" i="114" s="1"/>
  <c r="V172" i="114"/>
  <c r="AB172" i="114" s="1"/>
  <c r="X171" i="114"/>
  <c r="AD171" i="114" s="1"/>
  <c r="W171" i="114"/>
  <c r="AC171" i="114" s="1"/>
  <c r="V171" i="114"/>
  <c r="AB171" i="114" s="1"/>
  <c r="X170" i="114"/>
  <c r="AD170" i="114" s="1"/>
  <c r="W170" i="114"/>
  <c r="AC170" i="114" s="1"/>
  <c r="V170" i="114"/>
  <c r="AB170" i="114" s="1"/>
  <c r="X169" i="114"/>
  <c r="AD169" i="114" s="1"/>
  <c r="W169" i="114"/>
  <c r="AC169" i="114" s="1"/>
  <c r="V169" i="114"/>
  <c r="AB169" i="114" s="1"/>
  <c r="X168" i="114"/>
  <c r="AD168" i="114" s="1"/>
  <c r="W168" i="114"/>
  <c r="AC168" i="114" s="1"/>
  <c r="V168" i="114"/>
  <c r="AB168" i="114" s="1"/>
  <c r="X167" i="114"/>
  <c r="AD167" i="114" s="1"/>
  <c r="W167" i="114"/>
  <c r="AC167" i="114" s="1"/>
  <c r="V167" i="114"/>
  <c r="AB167" i="114" s="1"/>
  <c r="X166" i="114"/>
  <c r="AD166" i="114" s="1"/>
  <c r="W166" i="114"/>
  <c r="AC166" i="114" s="1"/>
  <c r="V166" i="114"/>
  <c r="AB166" i="114" s="1"/>
  <c r="X165" i="114"/>
  <c r="AD165" i="114" s="1"/>
  <c r="W165" i="114"/>
  <c r="AC165" i="114" s="1"/>
  <c r="V165" i="114"/>
  <c r="AB165" i="114" s="1"/>
  <c r="X164" i="114"/>
  <c r="AD164" i="114" s="1"/>
  <c r="W164" i="114"/>
  <c r="AC164" i="114" s="1"/>
  <c r="V164" i="114"/>
  <c r="AB164" i="114" s="1"/>
  <c r="X163" i="114"/>
  <c r="AD163" i="114" s="1"/>
  <c r="W163" i="114"/>
  <c r="AC163" i="114" s="1"/>
  <c r="V163" i="114"/>
  <c r="AB163" i="114" s="1"/>
  <c r="X162" i="114"/>
  <c r="AD162" i="114" s="1"/>
  <c r="W162" i="114"/>
  <c r="AC162" i="114" s="1"/>
  <c r="V162" i="114"/>
  <c r="AB162" i="114" s="1"/>
  <c r="X161" i="114"/>
  <c r="AD161" i="114" s="1"/>
  <c r="W161" i="114"/>
  <c r="AC161" i="114" s="1"/>
  <c r="V161" i="114"/>
  <c r="AB161" i="114" s="1"/>
  <c r="X160" i="114"/>
  <c r="AD160" i="114" s="1"/>
  <c r="W160" i="114"/>
  <c r="AC160" i="114" s="1"/>
  <c r="V160" i="114"/>
  <c r="AB160" i="114" s="1"/>
  <c r="X159" i="114"/>
  <c r="AD159" i="114" s="1"/>
  <c r="W159" i="114"/>
  <c r="AC159" i="114" s="1"/>
  <c r="V159" i="114"/>
  <c r="AB159" i="114" s="1"/>
  <c r="X158" i="114"/>
  <c r="AD158" i="114" s="1"/>
  <c r="W158" i="114"/>
  <c r="AC158" i="114" s="1"/>
  <c r="V158" i="114"/>
  <c r="AB158" i="114" s="1"/>
  <c r="X157" i="114"/>
  <c r="AD157" i="114" s="1"/>
  <c r="W157" i="114"/>
  <c r="AC157" i="114" s="1"/>
  <c r="V157" i="114"/>
  <c r="AB157" i="114" s="1"/>
  <c r="X156" i="114"/>
  <c r="AD156" i="114" s="1"/>
  <c r="W156" i="114"/>
  <c r="AC156" i="114" s="1"/>
  <c r="V156" i="114"/>
  <c r="AB156" i="114" s="1"/>
  <c r="X155" i="114"/>
  <c r="AD155" i="114" s="1"/>
  <c r="W155" i="114"/>
  <c r="AC155" i="114" s="1"/>
  <c r="V155" i="114"/>
  <c r="AB155" i="114" s="1"/>
  <c r="X154" i="114"/>
  <c r="AD154" i="114" s="1"/>
  <c r="W154" i="114"/>
  <c r="AC154" i="114" s="1"/>
  <c r="V154" i="114"/>
  <c r="AB154" i="114" s="1"/>
  <c r="X153" i="114"/>
  <c r="AD153" i="114" s="1"/>
  <c r="W153" i="114"/>
  <c r="AC153" i="114" s="1"/>
  <c r="V153" i="114"/>
  <c r="AB153" i="114" s="1"/>
  <c r="X152" i="114"/>
  <c r="AD152" i="114" s="1"/>
  <c r="W152" i="114"/>
  <c r="AC152" i="114" s="1"/>
  <c r="V152" i="114"/>
  <c r="AB152" i="114" s="1"/>
  <c r="X151" i="114"/>
  <c r="AD151" i="114" s="1"/>
  <c r="W151" i="114"/>
  <c r="AC151" i="114" s="1"/>
  <c r="V151" i="114"/>
  <c r="AB151" i="114" s="1"/>
  <c r="X150" i="114"/>
  <c r="AD150" i="114" s="1"/>
  <c r="W150" i="114"/>
  <c r="AC150" i="114" s="1"/>
  <c r="V150" i="114"/>
  <c r="AB150" i="114" s="1"/>
  <c r="X149" i="114"/>
  <c r="AD149" i="114" s="1"/>
  <c r="W149" i="114"/>
  <c r="AC149" i="114" s="1"/>
  <c r="V149" i="114"/>
  <c r="AB149" i="114" s="1"/>
  <c r="X148" i="114"/>
  <c r="AD148" i="114" s="1"/>
  <c r="W148" i="114"/>
  <c r="AC148" i="114" s="1"/>
  <c r="V148" i="114"/>
  <c r="AB148" i="114" s="1"/>
  <c r="X147" i="114"/>
  <c r="AD147" i="114" s="1"/>
  <c r="W147" i="114"/>
  <c r="AC147" i="114" s="1"/>
  <c r="V147" i="114"/>
  <c r="AB147" i="114" s="1"/>
  <c r="X146" i="114"/>
  <c r="AD146" i="114" s="1"/>
  <c r="W146" i="114"/>
  <c r="AC146" i="114" s="1"/>
  <c r="V146" i="114"/>
  <c r="AB146" i="114" s="1"/>
  <c r="X145" i="114"/>
  <c r="AD145" i="114" s="1"/>
  <c r="W145" i="114"/>
  <c r="AC145" i="114" s="1"/>
  <c r="V145" i="114"/>
  <c r="AB145" i="114" s="1"/>
  <c r="X144" i="114"/>
  <c r="AD144" i="114" s="1"/>
  <c r="W144" i="114"/>
  <c r="AC144" i="114" s="1"/>
  <c r="V144" i="114"/>
  <c r="AB144" i="114" s="1"/>
  <c r="X143" i="114"/>
  <c r="AD143" i="114" s="1"/>
  <c r="W143" i="114"/>
  <c r="AC143" i="114" s="1"/>
  <c r="V143" i="114"/>
  <c r="AB143" i="114" s="1"/>
  <c r="X142" i="114"/>
  <c r="AD142" i="114" s="1"/>
  <c r="W142" i="114"/>
  <c r="AC142" i="114" s="1"/>
  <c r="V142" i="114"/>
  <c r="AB142" i="114" s="1"/>
  <c r="X141" i="114"/>
  <c r="AD141" i="114" s="1"/>
  <c r="W141" i="114"/>
  <c r="AC141" i="114" s="1"/>
  <c r="V141" i="114"/>
  <c r="AB141" i="114" s="1"/>
  <c r="X140" i="114"/>
  <c r="AD140" i="114" s="1"/>
  <c r="W140" i="114"/>
  <c r="AC140" i="114" s="1"/>
  <c r="V140" i="114"/>
  <c r="AB140" i="114" s="1"/>
  <c r="X139" i="114"/>
  <c r="AD139" i="114" s="1"/>
  <c r="W139" i="114"/>
  <c r="AC139" i="114" s="1"/>
  <c r="V139" i="114"/>
  <c r="AB139" i="114" s="1"/>
  <c r="X138" i="114"/>
  <c r="AD138" i="114" s="1"/>
  <c r="W138" i="114"/>
  <c r="AC138" i="114" s="1"/>
  <c r="V138" i="114"/>
  <c r="AB138" i="114" s="1"/>
  <c r="X137" i="114"/>
  <c r="AD137" i="114" s="1"/>
  <c r="W137" i="114"/>
  <c r="AC137" i="114" s="1"/>
  <c r="V137" i="114"/>
  <c r="AB137" i="114" s="1"/>
  <c r="X136" i="114"/>
  <c r="AD136" i="114" s="1"/>
  <c r="W136" i="114"/>
  <c r="AC136" i="114" s="1"/>
  <c r="V136" i="114"/>
  <c r="AB136" i="114" s="1"/>
  <c r="X135" i="114"/>
  <c r="AD135" i="114" s="1"/>
  <c r="W135" i="114"/>
  <c r="AC135" i="114" s="1"/>
  <c r="V135" i="114"/>
  <c r="AB135" i="114" s="1"/>
  <c r="X134" i="114"/>
  <c r="AD134" i="114" s="1"/>
  <c r="W134" i="114"/>
  <c r="AC134" i="114" s="1"/>
  <c r="V134" i="114"/>
  <c r="AB134" i="114" s="1"/>
  <c r="X133" i="114"/>
  <c r="AD133" i="114" s="1"/>
  <c r="W133" i="114"/>
  <c r="AC133" i="114" s="1"/>
  <c r="V133" i="114"/>
  <c r="AB133" i="114" s="1"/>
  <c r="X132" i="114"/>
  <c r="AD132" i="114" s="1"/>
  <c r="W132" i="114"/>
  <c r="AC132" i="114" s="1"/>
  <c r="V132" i="114"/>
  <c r="AB132" i="114" s="1"/>
  <c r="X131" i="114"/>
  <c r="AD131" i="114" s="1"/>
  <c r="W131" i="114"/>
  <c r="AC131" i="114" s="1"/>
  <c r="V131" i="114"/>
  <c r="AB131" i="114" s="1"/>
  <c r="X130" i="114"/>
  <c r="AD130" i="114" s="1"/>
  <c r="W130" i="114"/>
  <c r="AC130" i="114" s="1"/>
  <c r="V130" i="114"/>
  <c r="AB130" i="114" s="1"/>
  <c r="X129" i="114"/>
  <c r="AD129" i="114" s="1"/>
  <c r="W129" i="114"/>
  <c r="AC129" i="114" s="1"/>
  <c r="V129" i="114"/>
  <c r="AB129" i="114" s="1"/>
  <c r="X128" i="114"/>
  <c r="AD128" i="114" s="1"/>
  <c r="W128" i="114"/>
  <c r="AC128" i="114" s="1"/>
  <c r="V128" i="114"/>
  <c r="AB128" i="114" s="1"/>
  <c r="X127" i="114"/>
  <c r="AD127" i="114" s="1"/>
  <c r="W127" i="114"/>
  <c r="AC127" i="114" s="1"/>
  <c r="V127" i="114"/>
  <c r="AB127" i="114" s="1"/>
  <c r="X126" i="114"/>
  <c r="AD126" i="114" s="1"/>
  <c r="W126" i="114"/>
  <c r="AC126" i="114" s="1"/>
  <c r="V126" i="114"/>
  <c r="AB126" i="114" s="1"/>
  <c r="X125" i="114"/>
  <c r="AD125" i="114" s="1"/>
  <c r="W125" i="114"/>
  <c r="AC125" i="114" s="1"/>
  <c r="V125" i="114"/>
  <c r="AB125" i="114" s="1"/>
  <c r="X124" i="114"/>
  <c r="AD124" i="114" s="1"/>
  <c r="W124" i="114"/>
  <c r="AC124" i="114" s="1"/>
  <c r="V124" i="114"/>
  <c r="AB124" i="114" s="1"/>
  <c r="X123" i="114"/>
  <c r="AD123" i="114" s="1"/>
  <c r="W123" i="114"/>
  <c r="AC123" i="114" s="1"/>
  <c r="V123" i="114"/>
  <c r="AB123" i="114" s="1"/>
  <c r="X122" i="114"/>
  <c r="AD122" i="114" s="1"/>
  <c r="W122" i="114"/>
  <c r="AC122" i="114" s="1"/>
  <c r="V122" i="114"/>
  <c r="AB122" i="114" s="1"/>
  <c r="X121" i="114"/>
  <c r="AD121" i="114" s="1"/>
  <c r="W121" i="114"/>
  <c r="AC121" i="114" s="1"/>
  <c r="V121" i="114"/>
  <c r="AB121" i="114" s="1"/>
  <c r="X120" i="114"/>
  <c r="AD120" i="114" s="1"/>
  <c r="W120" i="114"/>
  <c r="AC120" i="114" s="1"/>
  <c r="V120" i="114"/>
  <c r="AB120" i="114" s="1"/>
  <c r="X119" i="114"/>
  <c r="AD119" i="114" s="1"/>
  <c r="W119" i="114"/>
  <c r="AC119" i="114" s="1"/>
  <c r="V119" i="114"/>
  <c r="AB119" i="114" s="1"/>
  <c r="X118" i="114"/>
  <c r="AD118" i="114" s="1"/>
  <c r="W118" i="114"/>
  <c r="AC118" i="114" s="1"/>
  <c r="V118" i="114"/>
  <c r="AB118" i="114" s="1"/>
  <c r="X117" i="114"/>
  <c r="AD117" i="114" s="1"/>
  <c r="W117" i="114"/>
  <c r="AC117" i="114" s="1"/>
  <c r="V117" i="114"/>
  <c r="AB117" i="114" s="1"/>
  <c r="X116" i="114"/>
  <c r="AD116" i="114" s="1"/>
  <c r="W116" i="114"/>
  <c r="AC116" i="114" s="1"/>
  <c r="V116" i="114"/>
  <c r="AB116" i="114" s="1"/>
  <c r="X115" i="114"/>
  <c r="AD115" i="114" s="1"/>
  <c r="W115" i="114"/>
  <c r="AC115" i="114" s="1"/>
  <c r="V115" i="114"/>
  <c r="AB115" i="114" s="1"/>
  <c r="X114" i="114"/>
  <c r="AD114" i="114" s="1"/>
  <c r="W114" i="114"/>
  <c r="AC114" i="114" s="1"/>
  <c r="V114" i="114"/>
  <c r="AB114" i="114" s="1"/>
  <c r="X113" i="114"/>
  <c r="AD113" i="114" s="1"/>
  <c r="W113" i="114"/>
  <c r="AC113" i="114" s="1"/>
  <c r="V113" i="114"/>
  <c r="AB113" i="114" s="1"/>
  <c r="X112" i="114"/>
  <c r="AD112" i="114" s="1"/>
  <c r="W112" i="114"/>
  <c r="AC112" i="114" s="1"/>
  <c r="V112" i="114"/>
  <c r="AB112" i="114" s="1"/>
  <c r="X111" i="114"/>
  <c r="AD111" i="114" s="1"/>
  <c r="W111" i="114"/>
  <c r="AC111" i="114" s="1"/>
  <c r="V111" i="114"/>
  <c r="AB111" i="114" s="1"/>
  <c r="X110" i="114"/>
  <c r="AD110" i="114" s="1"/>
  <c r="W110" i="114"/>
  <c r="AC110" i="114" s="1"/>
  <c r="V110" i="114"/>
  <c r="AB110" i="114" s="1"/>
  <c r="X109" i="114"/>
  <c r="AD109" i="114" s="1"/>
  <c r="W109" i="114"/>
  <c r="AC109" i="114" s="1"/>
  <c r="V109" i="114"/>
  <c r="AB109" i="114" s="1"/>
  <c r="X108" i="114"/>
  <c r="AD108" i="114" s="1"/>
  <c r="W108" i="114"/>
  <c r="AC108" i="114" s="1"/>
  <c r="V108" i="114"/>
  <c r="AB108" i="114" s="1"/>
  <c r="X107" i="114"/>
  <c r="AD107" i="114" s="1"/>
  <c r="W107" i="114"/>
  <c r="AC107" i="114" s="1"/>
  <c r="V107" i="114"/>
  <c r="AB107" i="114" s="1"/>
  <c r="X106" i="114"/>
  <c r="AD106" i="114" s="1"/>
  <c r="W106" i="114"/>
  <c r="AC106" i="114" s="1"/>
  <c r="V106" i="114"/>
  <c r="AB106" i="114" s="1"/>
  <c r="X105" i="114"/>
  <c r="AD105" i="114" s="1"/>
  <c r="W105" i="114"/>
  <c r="AC105" i="114" s="1"/>
  <c r="V105" i="114"/>
  <c r="AB105" i="114" s="1"/>
  <c r="X104" i="114"/>
  <c r="AD104" i="114" s="1"/>
  <c r="W104" i="114"/>
  <c r="AC104" i="114" s="1"/>
  <c r="V104" i="114"/>
  <c r="AB104" i="114" s="1"/>
  <c r="X103" i="114"/>
  <c r="AD103" i="114" s="1"/>
  <c r="W103" i="114"/>
  <c r="AC103" i="114" s="1"/>
  <c r="V103" i="114"/>
  <c r="AB103" i="114" s="1"/>
  <c r="X102" i="114"/>
  <c r="AD102" i="114" s="1"/>
  <c r="W102" i="114"/>
  <c r="AC102" i="114" s="1"/>
  <c r="V102" i="114"/>
  <c r="AB102" i="114" s="1"/>
  <c r="X101" i="114"/>
  <c r="AD101" i="114" s="1"/>
  <c r="W101" i="114"/>
  <c r="AC101" i="114" s="1"/>
  <c r="V101" i="114"/>
  <c r="AB101" i="114" s="1"/>
  <c r="X100" i="114"/>
  <c r="AD100" i="114" s="1"/>
  <c r="W100" i="114"/>
  <c r="AC100" i="114" s="1"/>
  <c r="V100" i="114"/>
  <c r="AB100" i="114" s="1"/>
  <c r="X99" i="114"/>
  <c r="AD99" i="114" s="1"/>
  <c r="W99" i="114"/>
  <c r="AC99" i="114" s="1"/>
  <c r="V99" i="114"/>
  <c r="AB99" i="114" s="1"/>
  <c r="X98" i="114"/>
  <c r="AD98" i="114" s="1"/>
  <c r="W98" i="114"/>
  <c r="AC98" i="114" s="1"/>
  <c r="V98" i="114"/>
  <c r="AB98" i="114" s="1"/>
  <c r="X97" i="114"/>
  <c r="AD97" i="114" s="1"/>
  <c r="W97" i="114"/>
  <c r="AC97" i="114" s="1"/>
  <c r="V97" i="114"/>
  <c r="AB97" i="114" s="1"/>
  <c r="X96" i="114"/>
  <c r="AD96" i="114" s="1"/>
  <c r="W96" i="114"/>
  <c r="AC96" i="114" s="1"/>
  <c r="V96" i="114"/>
  <c r="AB96" i="114" s="1"/>
  <c r="X95" i="114"/>
  <c r="AD95" i="114" s="1"/>
  <c r="W95" i="114"/>
  <c r="AC95" i="114" s="1"/>
  <c r="V95" i="114"/>
  <c r="AB95" i="114" s="1"/>
  <c r="X94" i="114"/>
  <c r="AD94" i="114" s="1"/>
  <c r="W94" i="114"/>
  <c r="AC94" i="114" s="1"/>
  <c r="V94" i="114"/>
  <c r="AB94" i="114" s="1"/>
  <c r="X93" i="114"/>
  <c r="AD93" i="114" s="1"/>
  <c r="W93" i="114"/>
  <c r="AC93" i="114" s="1"/>
  <c r="V93" i="114"/>
  <c r="AB93" i="114" s="1"/>
  <c r="X92" i="114"/>
  <c r="AD92" i="114" s="1"/>
  <c r="W92" i="114"/>
  <c r="AC92" i="114" s="1"/>
  <c r="V92" i="114"/>
  <c r="AB92" i="114" s="1"/>
  <c r="X91" i="114"/>
  <c r="AD91" i="114" s="1"/>
  <c r="W91" i="114"/>
  <c r="AC91" i="114" s="1"/>
  <c r="V91" i="114"/>
  <c r="AB91" i="114" s="1"/>
  <c r="X90" i="114"/>
  <c r="AD90" i="114" s="1"/>
  <c r="W90" i="114"/>
  <c r="AC90" i="114" s="1"/>
  <c r="V90" i="114"/>
  <c r="AB90" i="114" s="1"/>
  <c r="X89" i="114"/>
  <c r="AD89" i="114" s="1"/>
  <c r="W89" i="114"/>
  <c r="AC89" i="114" s="1"/>
  <c r="V89" i="114"/>
  <c r="AB89" i="114" s="1"/>
  <c r="X88" i="114"/>
  <c r="AD88" i="114" s="1"/>
  <c r="W88" i="114"/>
  <c r="AC88" i="114" s="1"/>
  <c r="V88" i="114"/>
  <c r="AB88" i="114" s="1"/>
  <c r="X87" i="114"/>
  <c r="AD87" i="114" s="1"/>
  <c r="W87" i="114"/>
  <c r="AC87" i="114" s="1"/>
  <c r="V87" i="114"/>
  <c r="AB87" i="114" s="1"/>
  <c r="X86" i="114"/>
  <c r="AD86" i="114" s="1"/>
  <c r="W86" i="114"/>
  <c r="AC86" i="114" s="1"/>
  <c r="V86" i="114"/>
  <c r="AB86" i="114" s="1"/>
  <c r="X85" i="114"/>
  <c r="AD85" i="114" s="1"/>
  <c r="W85" i="114"/>
  <c r="AC85" i="114" s="1"/>
  <c r="V85" i="114"/>
  <c r="AB85" i="114" s="1"/>
  <c r="X84" i="114"/>
  <c r="AD84" i="114" s="1"/>
  <c r="W84" i="114"/>
  <c r="AC84" i="114" s="1"/>
  <c r="V84" i="114"/>
  <c r="AB84" i="114" s="1"/>
  <c r="X83" i="114"/>
  <c r="AD83" i="114" s="1"/>
  <c r="W83" i="114"/>
  <c r="AC83" i="114" s="1"/>
  <c r="V83" i="114"/>
  <c r="AB83" i="114" s="1"/>
  <c r="X82" i="114"/>
  <c r="AD82" i="114" s="1"/>
  <c r="W82" i="114"/>
  <c r="AC82" i="114" s="1"/>
  <c r="V82" i="114"/>
  <c r="AB82" i="114" s="1"/>
  <c r="X81" i="114"/>
  <c r="AD81" i="114" s="1"/>
  <c r="W81" i="114"/>
  <c r="AC81" i="114" s="1"/>
  <c r="V81" i="114"/>
  <c r="AB81" i="114" s="1"/>
  <c r="X80" i="114"/>
  <c r="AD80" i="114" s="1"/>
  <c r="W80" i="114"/>
  <c r="AC80" i="114" s="1"/>
  <c r="V80" i="114"/>
  <c r="AB80" i="114" s="1"/>
  <c r="X79" i="114"/>
  <c r="AD79" i="114" s="1"/>
  <c r="W79" i="114"/>
  <c r="AC79" i="114" s="1"/>
  <c r="V79" i="114"/>
  <c r="AB79" i="114" s="1"/>
  <c r="X78" i="114"/>
  <c r="AD78" i="114" s="1"/>
  <c r="W78" i="114"/>
  <c r="AC78" i="114" s="1"/>
  <c r="V78" i="114"/>
  <c r="AB78" i="114" s="1"/>
  <c r="X77" i="114"/>
  <c r="AD77" i="114" s="1"/>
  <c r="W77" i="114"/>
  <c r="AC77" i="114" s="1"/>
  <c r="V77" i="114"/>
  <c r="AB77" i="114" s="1"/>
  <c r="X76" i="114"/>
  <c r="AD76" i="114" s="1"/>
  <c r="W76" i="114"/>
  <c r="AC76" i="114" s="1"/>
  <c r="V76" i="114"/>
  <c r="AB76" i="114" s="1"/>
  <c r="X75" i="114"/>
  <c r="AD75" i="114" s="1"/>
  <c r="W75" i="114"/>
  <c r="AC75" i="114" s="1"/>
  <c r="V75" i="114"/>
  <c r="AB75" i="114" s="1"/>
  <c r="X74" i="114"/>
  <c r="AD74" i="114" s="1"/>
  <c r="W74" i="114"/>
  <c r="AC74" i="114" s="1"/>
  <c r="V74" i="114"/>
  <c r="AB74" i="114" s="1"/>
  <c r="X73" i="114"/>
  <c r="AD73" i="114" s="1"/>
  <c r="W73" i="114"/>
  <c r="AC73" i="114" s="1"/>
  <c r="V73" i="114"/>
  <c r="AB73" i="114" s="1"/>
  <c r="X72" i="114"/>
  <c r="AD72" i="114" s="1"/>
  <c r="W72" i="114"/>
  <c r="AC72" i="114" s="1"/>
  <c r="V72" i="114"/>
  <c r="AB72" i="114" s="1"/>
  <c r="X71" i="114"/>
  <c r="AD71" i="114" s="1"/>
  <c r="W71" i="114"/>
  <c r="AC71" i="114" s="1"/>
  <c r="V71" i="114"/>
  <c r="AB71" i="114" s="1"/>
  <c r="X70" i="114"/>
  <c r="AD70" i="114" s="1"/>
  <c r="W70" i="114"/>
  <c r="AC70" i="114" s="1"/>
  <c r="V70" i="114"/>
  <c r="AB70" i="114" s="1"/>
  <c r="X69" i="114"/>
  <c r="AD69" i="114" s="1"/>
  <c r="W69" i="114"/>
  <c r="AC69" i="114" s="1"/>
  <c r="V69" i="114"/>
  <c r="AB69" i="114" s="1"/>
  <c r="X68" i="114"/>
  <c r="AD68" i="114" s="1"/>
  <c r="W68" i="114"/>
  <c r="AC68" i="114" s="1"/>
  <c r="V68" i="114"/>
  <c r="AB68" i="114" s="1"/>
  <c r="X67" i="114"/>
  <c r="AD67" i="114" s="1"/>
  <c r="W67" i="114"/>
  <c r="AC67" i="114" s="1"/>
  <c r="V67" i="114"/>
  <c r="AB67" i="114" s="1"/>
  <c r="X66" i="114"/>
  <c r="AD66" i="114" s="1"/>
  <c r="W66" i="114"/>
  <c r="AC66" i="114" s="1"/>
  <c r="V66" i="114"/>
  <c r="AB66" i="114" s="1"/>
  <c r="X65" i="114"/>
  <c r="AD65" i="114" s="1"/>
  <c r="W65" i="114"/>
  <c r="AC65" i="114" s="1"/>
  <c r="V65" i="114"/>
  <c r="AB65" i="114" s="1"/>
  <c r="X64" i="114"/>
  <c r="AD64" i="114" s="1"/>
  <c r="W64" i="114"/>
  <c r="AC64" i="114" s="1"/>
  <c r="V64" i="114"/>
  <c r="AB64" i="114" s="1"/>
  <c r="X63" i="114"/>
  <c r="AD63" i="114" s="1"/>
  <c r="W63" i="114"/>
  <c r="AC63" i="114" s="1"/>
  <c r="V63" i="114"/>
  <c r="AB63" i="114" s="1"/>
  <c r="X62" i="114"/>
  <c r="AD62" i="114" s="1"/>
  <c r="W62" i="114"/>
  <c r="AC62" i="114" s="1"/>
  <c r="V62" i="114"/>
  <c r="AB62" i="114" s="1"/>
  <c r="X61" i="114"/>
  <c r="AD61" i="114" s="1"/>
  <c r="W61" i="114"/>
  <c r="AC61" i="114" s="1"/>
  <c r="V61" i="114"/>
  <c r="AB61" i="114" s="1"/>
  <c r="X60" i="114"/>
  <c r="AD60" i="114" s="1"/>
  <c r="W60" i="114"/>
  <c r="AC60" i="114" s="1"/>
  <c r="V60" i="114"/>
  <c r="AB60" i="114" s="1"/>
  <c r="X59" i="114"/>
  <c r="AD59" i="114" s="1"/>
  <c r="W59" i="114"/>
  <c r="AC59" i="114" s="1"/>
  <c r="V59" i="114"/>
  <c r="AB59" i="114" s="1"/>
  <c r="X58" i="114"/>
  <c r="AD58" i="114" s="1"/>
  <c r="W58" i="114"/>
  <c r="AC58" i="114" s="1"/>
  <c r="V58" i="114"/>
  <c r="AB58" i="114" s="1"/>
  <c r="X57" i="114"/>
  <c r="AD57" i="114" s="1"/>
  <c r="W57" i="114"/>
  <c r="AC57" i="114" s="1"/>
  <c r="V57" i="114"/>
  <c r="AB57" i="114" s="1"/>
  <c r="X56" i="114"/>
  <c r="AD56" i="114" s="1"/>
  <c r="W56" i="114"/>
  <c r="AC56" i="114" s="1"/>
  <c r="V56" i="114"/>
  <c r="AB56" i="114" s="1"/>
  <c r="X55" i="114"/>
  <c r="AD55" i="114" s="1"/>
  <c r="W55" i="114"/>
  <c r="AC55" i="114" s="1"/>
  <c r="V55" i="114"/>
  <c r="AB55" i="114" s="1"/>
  <c r="X54" i="114"/>
  <c r="AD54" i="114" s="1"/>
  <c r="W54" i="114"/>
  <c r="AC54" i="114" s="1"/>
  <c r="V54" i="114"/>
  <c r="AB54" i="114" s="1"/>
  <c r="X53" i="114"/>
  <c r="AD53" i="114" s="1"/>
  <c r="W53" i="114"/>
  <c r="AC53" i="114" s="1"/>
  <c r="V53" i="114"/>
  <c r="AB53" i="114" s="1"/>
  <c r="X52" i="114"/>
  <c r="AD52" i="114" s="1"/>
  <c r="W52" i="114"/>
  <c r="AC52" i="114" s="1"/>
  <c r="V52" i="114"/>
  <c r="AB52" i="114" s="1"/>
  <c r="X51" i="114"/>
  <c r="AD51" i="114" s="1"/>
  <c r="W51" i="114"/>
  <c r="AC51" i="114" s="1"/>
  <c r="V51" i="114"/>
  <c r="AB51" i="114" s="1"/>
  <c r="X50" i="114"/>
  <c r="AD50" i="114" s="1"/>
  <c r="W50" i="114"/>
  <c r="AC50" i="114" s="1"/>
  <c r="V50" i="114"/>
  <c r="AB50" i="114" s="1"/>
  <c r="X49" i="114"/>
  <c r="AD49" i="114" s="1"/>
  <c r="W49" i="114"/>
  <c r="AC49" i="114" s="1"/>
  <c r="V49" i="114"/>
  <c r="AB49" i="114" s="1"/>
  <c r="X48" i="114"/>
  <c r="AD48" i="114" s="1"/>
  <c r="W48" i="114"/>
  <c r="AC48" i="114" s="1"/>
  <c r="V48" i="114"/>
  <c r="AB48" i="114" s="1"/>
  <c r="X47" i="114"/>
  <c r="AD47" i="114" s="1"/>
  <c r="W47" i="114"/>
  <c r="AC47" i="114" s="1"/>
  <c r="V47" i="114"/>
  <c r="AB47" i="114" s="1"/>
  <c r="X46" i="114"/>
  <c r="AD46" i="114" s="1"/>
  <c r="W46" i="114"/>
  <c r="AC46" i="114" s="1"/>
  <c r="V46" i="114"/>
  <c r="AB46" i="114" s="1"/>
  <c r="X45" i="114"/>
  <c r="AD45" i="114" s="1"/>
  <c r="W45" i="114"/>
  <c r="AC45" i="114" s="1"/>
  <c r="V45" i="114"/>
  <c r="AB45" i="114" s="1"/>
  <c r="X44" i="114"/>
  <c r="AD44" i="114" s="1"/>
  <c r="W44" i="114"/>
  <c r="AC44" i="114" s="1"/>
  <c r="V44" i="114"/>
  <c r="AB44" i="114" s="1"/>
  <c r="X43" i="114"/>
  <c r="AD43" i="114" s="1"/>
  <c r="W43" i="114"/>
  <c r="AC43" i="114" s="1"/>
  <c r="V43" i="114"/>
  <c r="AB43" i="114" s="1"/>
  <c r="X42" i="114"/>
  <c r="AD42" i="114" s="1"/>
  <c r="W42" i="114"/>
  <c r="AC42" i="114" s="1"/>
  <c r="V42" i="114"/>
  <c r="AB42" i="114" s="1"/>
  <c r="X41" i="114"/>
  <c r="AD41" i="114" s="1"/>
  <c r="W41" i="114"/>
  <c r="AC41" i="114" s="1"/>
  <c r="V41" i="114"/>
  <c r="AB41" i="114" s="1"/>
  <c r="X40" i="114"/>
  <c r="AD40" i="114" s="1"/>
  <c r="W40" i="114"/>
  <c r="AC40" i="114" s="1"/>
  <c r="V40" i="114"/>
  <c r="AB40" i="114" s="1"/>
  <c r="X39" i="114"/>
  <c r="AD39" i="114" s="1"/>
  <c r="W39" i="114"/>
  <c r="AC39" i="114" s="1"/>
  <c r="V39" i="114"/>
  <c r="AB39" i="114" s="1"/>
  <c r="X38" i="114"/>
  <c r="AD38" i="114" s="1"/>
  <c r="W38" i="114"/>
  <c r="AC38" i="114" s="1"/>
  <c r="V38" i="114"/>
  <c r="AB38" i="114" s="1"/>
  <c r="X37" i="114"/>
  <c r="W37" i="114"/>
  <c r="V37" i="114"/>
  <c r="X36" i="114"/>
  <c r="W36" i="114"/>
  <c r="V36" i="114"/>
  <c r="X35" i="114"/>
  <c r="W35" i="114"/>
  <c r="V35" i="114"/>
  <c r="X34" i="114"/>
  <c r="W34" i="114"/>
  <c r="V34" i="114"/>
  <c r="X33" i="114"/>
  <c r="W33" i="114"/>
  <c r="V33" i="114"/>
  <c r="X32" i="114"/>
  <c r="W32" i="114"/>
  <c r="V32" i="114"/>
  <c r="X31" i="114"/>
  <c r="W31" i="114"/>
  <c r="V31" i="114"/>
  <c r="X30" i="114"/>
  <c r="W30" i="114"/>
  <c r="V30" i="114"/>
  <c r="X29" i="114"/>
  <c r="W29" i="114"/>
  <c r="V29" i="114"/>
  <c r="X28" i="114"/>
  <c r="W28" i="114"/>
  <c r="V28" i="114"/>
  <c r="X27" i="114"/>
  <c r="W27" i="114"/>
  <c r="V27" i="114"/>
  <c r="X26" i="114"/>
  <c r="W26" i="114"/>
  <c r="V26" i="114"/>
  <c r="X25" i="114"/>
  <c r="W25" i="114"/>
  <c r="V25" i="114"/>
  <c r="X24" i="114"/>
  <c r="W24" i="114"/>
  <c r="V24" i="114"/>
  <c r="X23" i="114"/>
  <c r="W23" i="114"/>
  <c r="V23" i="114"/>
  <c r="X22" i="114"/>
  <c r="W22" i="114"/>
  <c r="V22" i="114"/>
  <c r="X21" i="114"/>
  <c r="W21" i="114"/>
  <c r="V21" i="114"/>
  <c r="X20" i="114"/>
  <c r="W20" i="114"/>
  <c r="V20" i="114"/>
  <c r="X19" i="114"/>
  <c r="W19" i="114"/>
  <c r="V19" i="114"/>
  <c r="X18" i="114"/>
  <c r="W18" i="114"/>
  <c r="V18" i="114"/>
  <c r="X17" i="114"/>
  <c r="W17" i="114"/>
  <c r="V17" i="114"/>
  <c r="X16" i="114"/>
  <c r="W16" i="114"/>
  <c r="V16" i="114"/>
  <c r="X15" i="114"/>
  <c r="W15" i="114"/>
  <c r="V15" i="114"/>
  <c r="X14" i="114"/>
  <c r="W14" i="114"/>
  <c r="V14" i="114"/>
  <c r="X13" i="114"/>
  <c r="W13" i="114"/>
  <c r="V13" i="114"/>
  <c r="X12" i="114"/>
  <c r="W12" i="114"/>
  <c r="V12" i="114"/>
  <c r="X11" i="114"/>
  <c r="W11" i="114"/>
  <c r="V11" i="114"/>
  <c r="X10" i="114"/>
  <c r="W10" i="114"/>
  <c r="V10" i="114"/>
  <c r="X9" i="114"/>
  <c r="W9" i="114"/>
  <c r="V9" i="114"/>
  <c r="X8" i="114"/>
  <c r="W8" i="114"/>
  <c r="V8" i="114"/>
  <c r="X7" i="114"/>
  <c r="W7" i="114"/>
  <c r="V7" i="114"/>
  <c r="X6" i="114"/>
  <c r="W6" i="114"/>
  <c r="V6" i="114"/>
  <c r="X5" i="114"/>
  <c r="W5" i="114"/>
  <c r="V5" i="114"/>
  <c r="X4" i="114"/>
  <c r="W4" i="114"/>
  <c r="V4" i="114"/>
  <c r="X3" i="114"/>
  <c r="W3" i="114"/>
  <c r="V3" i="114"/>
  <c r="X2" i="114"/>
  <c r="W2" i="114"/>
  <c r="V2" i="114"/>
  <c r="AD54" i="104"/>
  <c r="AB54" i="104"/>
  <c r="AA54" i="104"/>
  <c r="Z54" i="104"/>
  <c r="X54" i="104"/>
  <c r="W54" i="104"/>
  <c r="V54" i="104"/>
  <c r="U54" i="104"/>
  <c r="AD53" i="104"/>
  <c r="AB53" i="104"/>
  <c r="AA53" i="104"/>
  <c r="Z53" i="104"/>
  <c r="Z53" i="105" s="1"/>
  <c r="X53" i="104"/>
  <c r="W53" i="104"/>
  <c r="V53" i="104"/>
  <c r="U53" i="104"/>
  <c r="AD52" i="104"/>
  <c r="AB52" i="104"/>
  <c r="AA52" i="104"/>
  <c r="AA52" i="105" s="1"/>
  <c r="Z52" i="104"/>
  <c r="X52" i="104"/>
  <c r="W52" i="104"/>
  <c r="V52" i="104"/>
  <c r="U52" i="104"/>
  <c r="AD51" i="104"/>
  <c r="AB51" i="104"/>
  <c r="AA51" i="104"/>
  <c r="Z51" i="104"/>
  <c r="X51" i="104"/>
  <c r="W51" i="104"/>
  <c r="V51" i="104"/>
  <c r="U51" i="104"/>
  <c r="AD50" i="104"/>
  <c r="AB50" i="104"/>
  <c r="AA50" i="104"/>
  <c r="Z50" i="104"/>
  <c r="X50" i="104"/>
  <c r="W50" i="104"/>
  <c r="V50" i="104"/>
  <c r="U50" i="104"/>
  <c r="AD49" i="104"/>
  <c r="AB49" i="104"/>
  <c r="AA49" i="104"/>
  <c r="Z49" i="104"/>
  <c r="Z49" i="105" s="1"/>
  <c r="X49" i="104"/>
  <c r="W49" i="104"/>
  <c r="V49" i="104"/>
  <c r="U49" i="104"/>
  <c r="AD48" i="104"/>
  <c r="AB48" i="104"/>
  <c r="AA48" i="104"/>
  <c r="AA48" i="105" s="1"/>
  <c r="Z48" i="104"/>
  <c r="X48" i="104"/>
  <c r="W48" i="104"/>
  <c r="V48" i="104"/>
  <c r="U48" i="104"/>
  <c r="AD47" i="104"/>
  <c r="AB47" i="104"/>
  <c r="AA47" i="104"/>
  <c r="Z47" i="104"/>
  <c r="Z47" i="105" s="1"/>
  <c r="X47" i="104"/>
  <c r="W47" i="104"/>
  <c r="V47" i="104"/>
  <c r="U47" i="104"/>
  <c r="AD46" i="104"/>
  <c r="AB46" i="104"/>
  <c r="AA46" i="104"/>
  <c r="Z46" i="104"/>
  <c r="X46" i="104"/>
  <c r="W46" i="104"/>
  <c r="V46" i="104"/>
  <c r="U46" i="104"/>
  <c r="AD45" i="104"/>
  <c r="AB45" i="104"/>
  <c r="AA45" i="104"/>
  <c r="Z45" i="104"/>
  <c r="Z45" i="105" s="1"/>
  <c r="X45" i="104"/>
  <c r="W45" i="104"/>
  <c r="V45" i="104"/>
  <c r="U45" i="104"/>
  <c r="AD44" i="104"/>
  <c r="AB44" i="104"/>
  <c r="AA44" i="104"/>
  <c r="AA44" i="105" s="1"/>
  <c r="Z44" i="104"/>
  <c r="X44" i="104"/>
  <c r="W44" i="104"/>
  <c r="V44" i="104"/>
  <c r="U44" i="104"/>
  <c r="AD43" i="104"/>
  <c r="AB43" i="104"/>
  <c r="AA43" i="104"/>
  <c r="Z43" i="104"/>
  <c r="X43" i="104"/>
  <c r="W43" i="104"/>
  <c r="V43" i="104"/>
  <c r="U43" i="104"/>
  <c r="AD42" i="104"/>
  <c r="AB42" i="104"/>
  <c r="AA42" i="104"/>
  <c r="Z42" i="104"/>
  <c r="X42" i="104"/>
  <c r="W42" i="104"/>
  <c r="V42" i="104"/>
  <c r="U42" i="104"/>
  <c r="AD41" i="104"/>
  <c r="AB41" i="104"/>
  <c r="AA41" i="104"/>
  <c r="Z41" i="104"/>
  <c r="Z41" i="105" s="1"/>
  <c r="X41" i="104"/>
  <c r="W41" i="104"/>
  <c r="V41" i="104"/>
  <c r="U41" i="104"/>
  <c r="AD40" i="104"/>
  <c r="AB40" i="104"/>
  <c r="AA40" i="104"/>
  <c r="AA40" i="105" s="1"/>
  <c r="Z40" i="104"/>
  <c r="X40" i="104"/>
  <c r="W40" i="104"/>
  <c r="V40" i="104"/>
  <c r="U40" i="104"/>
  <c r="AD39" i="104"/>
  <c r="AB39" i="104"/>
  <c r="AA39" i="104"/>
  <c r="Z39" i="104"/>
  <c r="X39" i="104"/>
  <c r="W39" i="104"/>
  <c r="V39" i="104"/>
  <c r="U39" i="104"/>
  <c r="AD38" i="104"/>
  <c r="AB38" i="104"/>
  <c r="AA38" i="104"/>
  <c r="Z38" i="104"/>
  <c r="X38" i="104"/>
  <c r="W38" i="104"/>
  <c r="V38" i="104"/>
  <c r="U38" i="104"/>
  <c r="AD37" i="104"/>
  <c r="AB37" i="104"/>
  <c r="AA37" i="104"/>
  <c r="Z37" i="104"/>
  <c r="Z37" i="105" s="1"/>
  <c r="X37" i="104"/>
  <c r="W37" i="104"/>
  <c r="V37" i="104"/>
  <c r="U37" i="104"/>
  <c r="AD36" i="104"/>
  <c r="AB36" i="104"/>
  <c r="AA36" i="104"/>
  <c r="AA36" i="105" s="1"/>
  <c r="Z36" i="104"/>
  <c r="X36" i="104"/>
  <c r="W36" i="104"/>
  <c r="V36" i="104"/>
  <c r="U36" i="104"/>
  <c r="AD35" i="104"/>
  <c r="AB35" i="104"/>
  <c r="AA35" i="104"/>
  <c r="Z35" i="104"/>
  <c r="X35" i="104"/>
  <c r="W35" i="104"/>
  <c r="V35" i="104"/>
  <c r="U35" i="104"/>
  <c r="AD34" i="104"/>
  <c r="AB34" i="104"/>
  <c r="AA34" i="104"/>
  <c r="Z34" i="104"/>
  <c r="X34" i="104"/>
  <c r="W34" i="104"/>
  <c r="V34" i="104"/>
  <c r="U34" i="104"/>
  <c r="AD33" i="104"/>
  <c r="AB33" i="104"/>
  <c r="AA33" i="104"/>
  <c r="Z33" i="104"/>
  <c r="Z33" i="105" s="1"/>
  <c r="X33" i="104"/>
  <c r="W33" i="104"/>
  <c r="V33" i="104"/>
  <c r="U33" i="104"/>
  <c r="AD32" i="104"/>
  <c r="AB32" i="104"/>
  <c r="AA32" i="104"/>
  <c r="AA32" i="105" s="1"/>
  <c r="Z32" i="104"/>
  <c r="X32" i="104"/>
  <c r="W32" i="104"/>
  <c r="V32" i="104"/>
  <c r="U32" i="104"/>
  <c r="AD31" i="104"/>
  <c r="AB31" i="104"/>
  <c r="AA31" i="104"/>
  <c r="Z31" i="104"/>
  <c r="Z31" i="105" s="1"/>
  <c r="X31" i="104"/>
  <c r="W31" i="104"/>
  <c r="V31" i="104"/>
  <c r="U31" i="104"/>
  <c r="AD30" i="104"/>
  <c r="AB30" i="104"/>
  <c r="AA30" i="104"/>
  <c r="Z30" i="104"/>
  <c r="X30" i="104"/>
  <c r="W30" i="104"/>
  <c r="V30" i="104"/>
  <c r="U30" i="104"/>
  <c r="AD29" i="104"/>
  <c r="AB29" i="104"/>
  <c r="AA29" i="104"/>
  <c r="Z29" i="104"/>
  <c r="Z29" i="105" s="1"/>
  <c r="X29" i="104"/>
  <c r="W29" i="104"/>
  <c r="V29" i="104"/>
  <c r="U29" i="104"/>
  <c r="AD28" i="104"/>
  <c r="AC28" i="104"/>
  <c r="AB28" i="104"/>
  <c r="AA28" i="104"/>
  <c r="AA28" i="105" s="1"/>
  <c r="Z28" i="104"/>
  <c r="Y28" i="104"/>
  <c r="X28" i="104"/>
  <c r="W28" i="104"/>
  <c r="V28" i="104"/>
  <c r="U28" i="104"/>
  <c r="AD27" i="104"/>
  <c r="AB27" i="104"/>
  <c r="AA27" i="104"/>
  <c r="Z27" i="104"/>
  <c r="Z27" i="105" s="1"/>
  <c r="X27" i="104"/>
  <c r="W27" i="104"/>
  <c r="V27" i="104"/>
  <c r="U27" i="104"/>
  <c r="AD26" i="104"/>
  <c r="AB26" i="104"/>
  <c r="AA26" i="104"/>
  <c r="Z26" i="104"/>
  <c r="Z26" i="105" s="1"/>
  <c r="X26" i="104"/>
  <c r="W26" i="104"/>
  <c r="V26" i="104"/>
  <c r="U26" i="104"/>
  <c r="AD25" i="104"/>
  <c r="AB25" i="104"/>
  <c r="AA25" i="104"/>
  <c r="Z25" i="104"/>
  <c r="Z25" i="105" s="1"/>
  <c r="X25" i="104"/>
  <c r="W25" i="104"/>
  <c r="V25" i="104"/>
  <c r="U25" i="104"/>
  <c r="AD24" i="104"/>
  <c r="AB24" i="104"/>
  <c r="AA24" i="104"/>
  <c r="AA24" i="105" s="1"/>
  <c r="Z24" i="104"/>
  <c r="Z24" i="105" s="1"/>
  <c r="X24" i="104"/>
  <c r="W24" i="104"/>
  <c r="V24" i="104"/>
  <c r="U24" i="104"/>
  <c r="AD23" i="104"/>
  <c r="AC23" i="104"/>
  <c r="AB23" i="104"/>
  <c r="AA23" i="104"/>
  <c r="Z23" i="104"/>
  <c r="Y23" i="104"/>
  <c r="X23" i="104"/>
  <c r="W23" i="104"/>
  <c r="V23" i="104"/>
  <c r="U23" i="104"/>
  <c r="AD22" i="104"/>
  <c r="AC22" i="104"/>
  <c r="AB22" i="104"/>
  <c r="AA22" i="104"/>
  <c r="Z22" i="104"/>
  <c r="Y22" i="104"/>
  <c r="X22" i="104"/>
  <c r="W22" i="104"/>
  <c r="V22" i="104"/>
  <c r="U22" i="104"/>
  <c r="AD21" i="104"/>
  <c r="AC21" i="104"/>
  <c r="AB21" i="104"/>
  <c r="AA21" i="104"/>
  <c r="AA21" i="105" s="1"/>
  <c r="Z21" i="104"/>
  <c r="Z21" i="105" s="1"/>
  <c r="Y21" i="104"/>
  <c r="X21" i="104"/>
  <c r="W21" i="104"/>
  <c r="V21" i="104"/>
  <c r="U21" i="104"/>
  <c r="AD20" i="104"/>
  <c r="AC20" i="104"/>
  <c r="AB20" i="104"/>
  <c r="AA20" i="104"/>
  <c r="AA20" i="105" s="1"/>
  <c r="Z20" i="104"/>
  <c r="Y20" i="104"/>
  <c r="X20" i="104"/>
  <c r="W20" i="104"/>
  <c r="V20" i="104"/>
  <c r="U20" i="104"/>
  <c r="AD19" i="104"/>
  <c r="AC19" i="104"/>
  <c r="AB19" i="104"/>
  <c r="AA19" i="104"/>
  <c r="AA19" i="105" s="1"/>
  <c r="Z19" i="104"/>
  <c r="Y19" i="104"/>
  <c r="X19" i="104"/>
  <c r="W19" i="104"/>
  <c r="V19" i="104"/>
  <c r="U19" i="104"/>
  <c r="AD18" i="104"/>
  <c r="AC18" i="104"/>
  <c r="AB18" i="104"/>
  <c r="AA18" i="104"/>
  <c r="Z18" i="104"/>
  <c r="Y18" i="104"/>
  <c r="X18" i="104"/>
  <c r="W18" i="104"/>
  <c r="V18" i="104"/>
  <c r="U18" i="104"/>
  <c r="AD17" i="104"/>
  <c r="AC17" i="104"/>
  <c r="AB17" i="104"/>
  <c r="AA17" i="104"/>
  <c r="Z17" i="104"/>
  <c r="Z17" i="105" s="1"/>
  <c r="Y17" i="104"/>
  <c r="X17" i="104"/>
  <c r="W17" i="104"/>
  <c r="V17" i="104"/>
  <c r="U17" i="104"/>
  <c r="AD16" i="104"/>
  <c r="AC16" i="104"/>
  <c r="AB16" i="104"/>
  <c r="AA16" i="104"/>
  <c r="AA16" i="105" s="1"/>
  <c r="Z16" i="104"/>
  <c r="Y16" i="104"/>
  <c r="X16" i="104"/>
  <c r="W16" i="104"/>
  <c r="V16" i="104"/>
  <c r="U16" i="104"/>
  <c r="AD15" i="104"/>
  <c r="AC15" i="104"/>
  <c r="AB15" i="104"/>
  <c r="AA15" i="104"/>
  <c r="Z15" i="104"/>
  <c r="Y15" i="104"/>
  <c r="X15" i="104"/>
  <c r="W15" i="104"/>
  <c r="V15" i="104"/>
  <c r="U15" i="104"/>
  <c r="AD14" i="104"/>
  <c r="AC14" i="104"/>
  <c r="AB14" i="104"/>
  <c r="AA14" i="104"/>
  <c r="Z14" i="104"/>
  <c r="Y14" i="104"/>
  <c r="X14" i="104"/>
  <c r="W14" i="104"/>
  <c r="V14" i="104"/>
  <c r="U14" i="104"/>
  <c r="AD13" i="104"/>
  <c r="AC13" i="104"/>
  <c r="AB13" i="104"/>
  <c r="AA13" i="104"/>
  <c r="AA13" i="105" s="1"/>
  <c r="Z13" i="104"/>
  <c r="Z13" i="105" s="1"/>
  <c r="Y13" i="104"/>
  <c r="X13" i="104"/>
  <c r="W13" i="104"/>
  <c r="V13" i="104"/>
  <c r="U13" i="104"/>
  <c r="AD12" i="104"/>
  <c r="AC12" i="104"/>
  <c r="AB12" i="104"/>
  <c r="AA12" i="104"/>
  <c r="AA12" i="105" s="1"/>
  <c r="Z12" i="104"/>
  <c r="Y12" i="104"/>
  <c r="X12" i="104"/>
  <c r="W12" i="104"/>
  <c r="V12" i="104"/>
  <c r="U12" i="104"/>
  <c r="AD11" i="104"/>
  <c r="AC11" i="104"/>
  <c r="AB11" i="104"/>
  <c r="AA11" i="104"/>
  <c r="AA11" i="105" s="1"/>
  <c r="Z11" i="104"/>
  <c r="Y11" i="104"/>
  <c r="X11" i="104"/>
  <c r="W11" i="104"/>
  <c r="V11" i="104"/>
  <c r="U11" i="104"/>
  <c r="AD10" i="104"/>
  <c r="AC10" i="104"/>
  <c r="AB10" i="104"/>
  <c r="AA10" i="104"/>
  <c r="Z10" i="104"/>
  <c r="Y10" i="104"/>
  <c r="X10" i="104"/>
  <c r="W10" i="104"/>
  <c r="V10" i="104"/>
  <c r="U10" i="104"/>
  <c r="AD9" i="104"/>
  <c r="AC9" i="104"/>
  <c r="AB9" i="104"/>
  <c r="AA9" i="104"/>
  <c r="Z9" i="104"/>
  <c r="Z9" i="105" s="1"/>
  <c r="Y9" i="104"/>
  <c r="X9" i="104"/>
  <c r="W9" i="104"/>
  <c r="V9" i="104"/>
  <c r="U9" i="104"/>
  <c r="AD8" i="104"/>
  <c r="AC8" i="104"/>
  <c r="AB8" i="104"/>
  <c r="AA8" i="104"/>
  <c r="AA8" i="105" s="1"/>
  <c r="Z8" i="104"/>
  <c r="Y8" i="104"/>
  <c r="X8" i="104"/>
  <c r="W8" i="104"/>
  <c r="V8" i="104"/>
  <c r="U8" i="104"/>
  <c r="AD7" i="104"/>
  <c r="AC7" i="104"/>
  <c r="AB7" i="104"/>
  <c r="AA7" i="104"/>
  <c r="Z7" i="104"/>
  <c r="Y7" i="104"/>
  <c r="X7" i="104"/>
  <c r="W7" i="104"/>
  <c r="V7" i="104"/>
  <c r="U7" i="104"/>
  <c r="AD6" i="104"/>
  <c r="AC6" i="104"/>
  <c r="AB6" i="104"/>
  <c r="AA6" i="104"/>
  <c r="Z6" i="104"/>
  <c r="Y6" i="104"/>
  <c r="X6" i="104"/>
  <c r="W6" i="104"/>
  <c r="V6" i="104"/>
  <c r="U6" i="104"/>
  <c r="AD5" i="104"/>
  <c r="AC5" i="104"/>
  <c r="AB5" i="104"/>
  <c r="AA5" i="104"/>
  <c r="AA5" i="105" s="1"/>
  <c r="Z5" i="104"/>
  <c r="Z5" i="105" s="1"/>
  <c r="Y5" i="104"/>
  <c r="X5" i="104"/>
  <c r="W5" i="104"/>
  <c r="V5" i="104"/>
  <c r="U5" i="104"/>
  <c r="AP54" i="112"/>
  <c r="AC54" i="112"/>
  <c r="AC54" i="104" s="1"/>
  <c r="Y54" i="112"/>
  <c r="Y54" i="104" s="1"/>
  <c r="AP53" i="112"/>
  <c r="AC53" i="112"/>
  <c r="AC53" i="104" s="1"/>
  <c r="Y53" i="112"/>
  <c r="Y53" i="104" s="1"/>
  <c r="AP52" i="112"/>
  <c r="AC52" i="112"/>
  <c r="AC52" i="104" s="1"/>
  <c r="Y52" i="112"/>
  <c r="Y52" i="104" s="1"/>
  <c r="AP51" i="112"/>
  <c r="AC51" i="112"/>
  <c r="AC51" i="104" s="1"/>
  <c r="Y51" i="112"/>
  <c r="Y51" i="104" s="1"/>
  <c r="AP50" i="112"/>
  <c r="AC50" i="112"/>
  <c r="AC50" i="104" s="1"/>
  <c r="Y50" i="112"/>
  <c r="Y50" i="104" s="1"/>
  <c r="AP49" i="112"/>
  <c r="AC49" i="112"/>
  <c r="AC49" i="104" s="1"/>
  <c r="Y49" i="112"/>
  <c r="Y49" i="104" s="1"/>
  <c r="AP48" i="112"/>
  <c r="AC48" i="112"/>
  <c r="AC48" i="104" s="1"/>
  <c r="Y48" i="112"/>
  <c r="Y48" i="104" s="1"/>
  <c r="AP47" i="112"/>
  <c r="AC47" i="112"/>
  <c r="AC47" i="104" s="1"/>
  <c r="Y47" i="112"/>
  <c r="Y47" i="104" s="1"/>
  <c r="AP46" i="112"/>
  <c r="AC46" i="112"/>
  <c r="AC46" i="104" s="1"/>
  <c r="Y46" i="112"/>
  <c r="Y46" i="104" s="1"/>
  <c r="AP45" i="112"/>
  <c r="AC45" i="112"/>
  <c r="AC45" i="104" s="1"/>
  <c r="Y45" i="112"/>
  <c r="Y45" i="104" s="1"/>
  <c r="AP44" i="112"/>
  <c r="AC44" i="112"/>
  <c r="AC44" i="104" s="1"/>
  <c r="Y44" i="112"/>
  <c r="Y44" i="104" s="1"/>
  <c r="AP43" i="112"/>
  <c r="AC43" i="112"/>
  <c r="AC43" i="104" s="1"/>
  <c r="Y43" i="112"/>
  <c r="Y43" i="104" s="1"/>
  <c r="AP42" i="112"/>
  <c r="AC42" i="112"/>
  <c r="AC42" i="104" s="1"/>
  <c r="Y42" i="112"/>
  <c r="Y42" i="104" s="1"/>
  <c r="AP41" i="112"/>
  <c r="AC41" i="112"/>
  <c r="AC41" i="104" s="1"/>
  <c r="Y41" i="112"/>
  <c r="Y41" i="104" s="1"/>
  <c r="AP40" i="112"/>
  <c r="AC40" i="112"/>
  <c r="AC40" i="104" s="1"/>
  <c r="Y40" i="112"/>
  <c r="Y40" i="104" s="1"/>
  <c r="AP39" i="112"/>
  <c r="AC39" i="112"/>
  <c r="AC39" i="104" s="1"/>
  <c r="Y39" i="112"/>
  <c r="Y39" i="104" s="1"/>
  <c r="AP38" i="112"/>
  <c r="AC38" i="112"/>
  <c r="AC38" i="104" s="1"/>
  <c r="Y38" i="112"/>
  <c r="Y38" i="104" s="1"/>
  <c r="AP37" i="112"/>
  <c r="AC37" i="112"/>
  <c r="AC37" i="104" s="1"/>
  <c r="Y37" i="112"/>
  <c r="Y37" i="104" s="1"/>
  <c r="AP36" i="112"/>
  <c r="AC36" i="112"/>
  <c r="AC36" i="104" s="1"/>
  <c r="Y36" i="112"/>
  <c r="Y36" i="104" s="1"/>
  <c r="AP35" i="112"/>
  <c r="AC35" i="112"/>
  <c r="AC35" i="104" s="1"/>
  <c r="Y35" i="112"/>
  <c r="Y35" i="104" s="1"/>
  <c r="AP34" i="112"/>
  <c r="AC34" i="112"/>
  <c r="AC34" i="104" s="1"/>
  <c r="Y34" i="112"/>
  <c r="Y34" i="104" s="1"/>
  <c r="AP33" i="112"/>
  <c r="AC33" i="112"/>
  <c r="AC33" i="104" s="1"/>
  <c r="Y33" i="112"/>
  <c r="Y33" i="104" s="1"/>
  <c r="AP32" i="112"/>
  <c r="AC32" i="112"/>
  <c r="AC32" i="104" s="1"/>
  <c r="Y32" i="112"/>
  <c r="Y32" i="104" s="1"/>
  <c r="AP31" i="112"/>
  <c r="AC31" i="112"/>
  <c r="AC31" i="104" s="1"/>
  <c r="Y31" i="112"/>
  <c r="Y31" i="104" s="1"/>
  <c r="AP30" i="112"/>
  <c r="AC30" i="112"/>
  <c r="AC30" i="104" s="1"/>
  <c r="Y30" i="112"/>
  <c r="Y30" i="104" s="1"/>
  <c r="AP29" i="112"/>
  <c r="AC29" i="112"/>
  <c r="AC29" i="104" s="1"/>
  <c r="Y29" i="112"/>
  <c r="Y29" i="104" s="1"/>
  <c r="AP27" i="112"/>
  <c r="AC27" i="112"/>
  <c r="AC27" i="104" s="1"/>
  <c r="Y27" i="112"/>
  <c r="Y27" i="104" s="1"/>
  <c r="AP26" i="112"/>
  <c r="AC26" i="112"/>
  <c r="AC26" i="104" s="1"/>
  <c r="Y26" i="112"/>
  <c r="Y26" i="104" s="1"/>
  <c r="AP25" i="112"/>
  <c r="AC25" i="112"/>
  <c r="AC25" i="104" s="1"/>
  <c r="Y25" i="112"/>
  <c r="Y25" i="104" s="1"/>
  <c r="AP24" i="112"/>
  <c r="AC24" i="112"/>
  <c r="AC24" i="104" s="1"/>
  <c r="Y24" i="112"/>
  <c r="Y24" i="104" s="1"/>
  <c r="Y10" i="111"/>
  <c r="Y9" i="111"/>
  <c r="Y7" i="111"/>
  <c r="X50" i="111"/>
  <c r="V50" i="111"/>
  <c r="T50" i="111"/>
  <c r="P50" i="111"/>
  <c r="O50" i="111"/>
  <c r="N50" i="111"/>
  <c r="M50" i="111"/>
  <c r="V49" i="111"/>
  <c r="U49" i="111"/>
  <c r="T49" i="111"/>
  <c r="P49" i="111"/>
  <c r="O49" i="111"/>
  <c r="N49" i="111"/>
  <c r="M49" i="111"/>
  <c r="X48" i="111"/>
  <c r="V48" i="111"/>
  <c r="U48" i="111"/>
  <c r="T48" i="111"/>
  <c r="P48" i="111"/>
  <c r="O48" i="111"/>
  <c r="N48" i="111"/>
  <c r="M48" i="111"/>
  <c r="Y10" i="110"/>
  <c r="Y9" i="110"/>
  <c r="Y7" i="110"/>
  <c r="X50" i="110"/>
  <c r="V50" i="110"/>
  <c r="T50" i="110"/>
  <c r="P50" i="110"/>
  <c r="O50" i="110"/>
  <c r="N50" i="110"/>
  <c r="M50" i="110"/>
  <c r="V49" i="110"/>
  <c r="U49" i="110"/>
  <c r="T49" i="110"/>
  <c r="P49" i="110"/>
  <c r="O49" i="110"/>
  <c r="N49" i="110"/>
  <c r="M49" i="110"/>
  <c r="X48" i="110"/>
  <c r="V48" i="110"/>
  <c r="V52" i="110" s="1"/>
  <c r="U48" i="110"/>
  <c r="T48" i="110"/>
  <c r="T52" i="110" s="1"/>
  <c r="P48" i="110"/>
  <c r="O48" i="110"/>
  <c r="N48" i="110"/>
  <c r="N52" i="110" s="1"/>
  <c r="M48" i="110"/>
  <c r="O52" i="109"/>
  <c r="Y45" i="109"/>
  <c r="Y44" i="109"/>
  <c r="Y43" i="109"/>
  <c r="Y42" i="109"/>
  <c r="Y41" i="109"/>
  <c r="Y40" i="109"/>
  <c r="Y39" i="109"/>
  <c r="Y38" i="109"/>
  <c r="Y37" i="109"/>
  <c r="Y36" i="109"/>
  <c r="Y35" i="109"/>
  <c r="Y34" i="109"/>
  <c r="Y33" i="109"/>
  <c r="Y32" i="109"/>
  <c r="Y31" i="109"/>
  <c r="Y30" i="109"/>
  <c r="Y29" i="109"/>
  <c r="Y28" i="109"/>
  <c r="Y27" i="109"/>
  <c r="Y26" i="109"/>
  <c r="Y25" i="109"/>
  <c r="Y24" i="109"/>
  <c r="Y23" i="109"/>
  <c r="Y22" i="109"/>
  <c r="Y21" i="109"/>
  <c r="Y20" i="109"/>
  <c r="Y19" i="109"/>
  <c r="Y18" i="109"/>
  <c r="Y17" i="109"/>
  <c r="Y16" i="109"/>
  <c r="Y15" i="109"/>
  <c r="Y14" i="109"/>
  <c r="Y13" i="109"/>
  <c r="Y12" i="109"/>
  <c r="Y11" i="109"/>
  <c r="AA10" i="109"/>
  <c r="Y10" i="109"/>
  <c r="Y9" i="109"/>
  <c r="Y8" i="109"/>
  <c r="Y7" i="109"/>
  <c r="Y6" i="109"/>
  <c r="Y5" i="109"/>
  <c r="X50" i="109"/>
  <c r="V50" i="109"/>
  <c r="T50" i="109"/>
  <c r="P50" i="109"/>
  <c r="O50" i="109"/>
  <c r="N50" i="109"/>
  <c r="M50" i="109"/>
  <c r="V49" i="109"/>
  <c r="U49" i="109"/>
  <c r="T49" i="109"/>
  <c r="P49" i="109"/>
  <c r="O49" i="109"/>
  <c r="N49" i="109"/>
  <c r="M49" i="109"/>
  <c r="X48" i="109"/>
  <c r="V48" i="109"/>
  <c r="V52" i="109" s="1"/>
  <c r="U48" i="109"/>
  <c r="U52" i="109" s="1"/>
  <c r="T48" i="109"/>
  <c r="T52" i="109" s="1"/>
  <c r="P48" i="109"/>
  <c r="P52" i="109" s="1"/>
  <c r="O48" i="109"/>
  <c r="N48" i="109"/>
  <c r="N52" i="109" s="1"/>
  <c r="M48" i="109"/>
  <c r="M52" i="109" s="1"/>
  <c r="M10" i="121" s="1"/>
  <c r="X50" i="108"/>
  <c r="X48" i="108"/>
  <c r="V50" i="108"/>
  <c r="V49" i="108"/>
  <c r="V48" i="108"/>
  <c r="U49" i="108"/>
  <c r="U48" i="108"/>
  <c r="T50" i="108"/>
  <c r="T49" i="108"/>
  <c r="T48" i="108"/>
  <c r="R51" i="108"/>
  <c r="P50" i="108"/>
  <c r="P49" i="108"/>
  <c r="P48" i="108"/>
  <c r="O50" i="108"/>
  <c r="O49" i="108"/>
  <c r="O48" i="108"/>
  <c r="N50" i="108"/>
  <c r="N49" i="108"/>
  <c r="N48" i="108"/>
  <c r="M50" i="108"/>
  <c r="M49" i="108"/>
  <c r="M48" i="108"/>
  <c r="Z45" i="108"/>
  <c r="Z44" i="108"/>
  <c r="Z43" i="108"/>
  <c r="Z42" i="108"/>
  <c r="Z41" i="108"/>
  <c r="Z40" i="108"/>
  <c r="Z39" i="108"/>
  <c r="Z38" i="108"/>
  <c r="Z37" i="108"/>
  <c r="Z36" i="108"/>
  <c r="Z35" i="108"/>
  <c r="Z34" i="108"/>
  <c r="Z33" i="108"/>
  <c r="Z32" i="108"/>
  <c r="Z31" i="108"/>
  <c r="Z30" i="108"/>
  <c r="Z29" i="108"/>
  <c r="Z28" i="108"/>
  <c r="Z27" i="108"/>
  <c r="Z26" i="108"/>
  <c r="Z25" i="108"/>
  <c r="Z24" i="108"/>
  <c r="Z23" i="108"/>
  <c r="Z22" i="108"/>
  <c r="Z21" i="108"/>
  <c r="Z20" i="108"/>
  <c r="Z18" i="108"/>
  <c r="Z17" i="108"/>
  <c r="Z16" i="108"/>
  <c r="Z15" i="108"/>
  <c r="V45" i="108"/>
  <c r="V44" i="108"/>
  <c r="V43" i="108"/>
  <c r="V42" i="108"/>
  <c r="V41" i="108"/>
  <c r="V40" i="108"/>
  <c r="V39" i="108"/>
  <c r="V38" i="108"/>
  <c r="V37" i="108"/>
  <c r="V36" i="108"/>
  <c r="V35" i="108"/>
  <c r="V34" i="108"/>
  <c r="V33" i="108"/>
  <c r="V32" i="108"/>
  <c r="V31" i="108"/>
  <c r="V30" i="108"/>
  <c r="V29" i="108"/>
  <c r="V28" i="108"/>
  <c r="V27" i="108"/>
  <c r="V26" i="108"/>
  <c r="V25" i="108"/>
  <c r="V24" i="108"/>
  <c r="V23" i="108"/>
  <c r="V22" i="108"/>
  <c r="V21" i="108"/>
  <c r="V20" i="108"/>
  <c r="V18" i="108"/>
  <c r="V17" i="108"/>
  <c r="V16" i="108"/>
  <c r="V15" i="108"/>
  <c r="U45" i="108"/>
  <c r="U44" i="108"/>
  <c r="U43" i="108"/>
  <c r="U42" i="108"/>
  <c r="U41" i="108"/>
  <c r="U40" i="108"/>
  <c r="U39" i="108"/>
  <c r="U38" i="108"/>
  <c r="U37" i="108"/>
  <c r="U36" i="108"/>
  <c r="U35" i="108"/>
  <c r="U34" i="108"/>
  <c r="U33" i="108"/>
  <c r="U32" i="108"/>
  <c r="U31" i="108"/>
  <c r="U30" i="108"/>
  <c r="U29" i="108"/>
  <c r="U28" i="108"/>
  <c r="U27" i="108"/>
  <c r="U26" i="108"/>
  <c r="U25" i="108"/>
  <c r="U24" i="108"/>
  <c r="U23" i="108"/>
  <c r="U22" i="108"/>
  <c r="U21" i="108"/>
  <c r="U20" i="108"/>
  <c r="U18" i="108"/>
  <c r="U17" i="108"/>
  <c r="U16" i="108"/>
  <c r="U15" i="108"/>
  <c r="T45" i="108"/>
  <c r="T44" i="108"/>
  <c r="T43" i="108"/>
  <c r="T42" i="108"/>
  <c r="T41" i="108"/>
  <c r="T40" i="108"/>
  <c r="T39" i="108"/>
  <c r="T38" i="108"/>
  <c r="T37" i="108"/>
  <c r="T36" i="108"/>
  <c r="T35" i="108"/>
  <c r="T34" i="108"/>
  <c r="T33" i="108"/>
  <c r="T32" i="108"/>
  <c r="T31" i="108"/>
  <c r="T30" i="108"/>
  <c r="T29" i="108"/>
  <c r="T28" i="108"/>
  <c r="T27" i="108"/>
  <c r="T26" i="108"/>
  <c r="T25" i="108"/>
  <c r="T24" i="108"/>
  <c r="T23" i="108"/>
  <c r="T22" i="108"/>
  <c r="T21" i="108"/>
  <c r="T20" i="108"/>
  <c r="T18" i="108"/>
  <c r="T17" i="108"/>
  <c r="T16" i="108"/>
  <c r="T15" i="108"/>
  <c r="R45" i="108"/>
  <c r="R44" i="108"/>
  <c r="R43" i="108"/>
  <c r="R42" i="108"/>
  <c r="R41" i="108"/>
  <c r="R40" i="108"/>
  <c r="R39" i="108"/>
  <c r="R38" i="108"/>
  <c r="R37" i="108"/>
  <c r="R36" i="108"/>
  <c r="R35" i="108"/>
  <c r="R34" i="108"/>
  <c r="R33" i="108"/>
  <c r="R32" i="108"/>
  <c r="R31" i="108"/>
  <c r="R30" i="108"/>
  <c r="R29" i="108"/>
  <c r="R28" i="108"/>
  <c r="R27" i="108"/>
  <c r="R26" i="108"/>
  <c r="R25" i="108"/>
  <c r="R24" i="108"/>
  <c r="R23" i="108"/>
  <c r="R22" i="108"/>
  <c r="R21" i="108"/>
  <c r="R20" i="108"/>
  <c r="R18" i="108"/>
  <c r="R17" i="108"/>
  <c r="R16" i="108"/>
  <c r="R15" i="108"/>
  <c r="P45" i="108"/>
  <c r="P44" i="108"/>
  <c r="P43" i="108"/>
  <c r="P42" i="108"/>
  <c r="P41" i="108"/>
  <c r="P40" i="108"/>
  <c r="P39" i="108"/>
  <c r="P38" i="108"/>
  <c r="P37" i="108"/>
  <c r="P36" i="108"/>
  <c r="P35" i="108"/>
  <c r="P34" i="108"/>
  <c r="P33" i="108"/>
  <c r="P32" i="108"/>
  <c r="P31" i="108"/>
  <c r="P30" i="108"/>
  <c r="P29" i="108"/>
  <c r="P28" i="108"/>
  <c r="P27" i="108"/>
  <c r="P26" i="108"/>
  <c r="P25" i="108"/>
  <c r="P24" i="108"/>
  <c r="P23" i="108"/>
  <c r="P22" i="108"/>
  <c r="P21" i="108"/>
  <c r="P20" i="108"/>
  <c r="P18" i="108"/>
  <c r="P17" i="108"/>
  <c r="P16" i="108"/>
  <c r="P15" i="108"/>
  <c r="O45" i="108"/>
  <c r="O44" i="108"/>
  <c r="O43" i="108"/>
  <c r="O42" i="108"/>
  <c r="O41" i="108"/>
  <c r="O40" i="108"/>
  <c r="O39" i="108"/>
  <c r="O38" i="108"/>
  <c r="O37" i="108"/>
  <c r="O36" i="108"/>
  <c r="O35" i="108"/>
  <c r="O34" i="108"/>
  <c r="O33" i="108"/>
  <c r="O32" i="108"/>
  <c r="O31" i="108"/>
  <c r="O30" i="108"/>
  <c r="O29" i="108"/>
  <c r="O28" i="108"/>
  <c r="O27" i="108"/>
  <c r="O26" i="108"/>
  <c r="O25" i="108"/>
  <c r="O24" i="108"/>
  <c r="O23" i="108"/>
  <c r="O22" i="108"/>
  <c r="O21" i="108"/>
  <c r="O20" i="108"/>
  <c r="O18" i="108"/>
  <c r="O17" i="108"/>
  <c r="O16" i="108"/>
  <c r="O15" i="108"/>
  <c r="N45" i="108"/>
  <c r="N44" i="108"/>
  <c r="N43" i="108"/>
  <c r="N42" i="108"/>
  <c r="N41" i="108"/>
  <c r="N40" i="108"/>
  <c r="N39" i="108"/>
  <c r="N38" i="108"/>
  <c r="N37" i="108"/>
  <c r="N36" i="108"/>
  <c r="N35" i="108"/>
  <c r="N34" i="108"/>
  <c r="N33" i="108"/>
  <c r="N32" i="108"/>
  <c r="N31" i="108"/>
  <c r="N30" i="108"/>
  <c r="N29" i="108"/>
  <c r="N28" i="108"/>
  <c r="N27" i="108"/>
  <c r="N26" i="108"/>
  <c r="N25" i="108"/>
  <c r="N24" i="108"/>
  <c r="N23" i="108"/>
  <c r="N22" i="108"/>
  <c r="N21" i="108"/>
  <c r="N20" i="108"/>
  <c r="N18" i="108"/>
  <c r="N17" i="108"/>
  <c r="N16" i="108"/>
  <c r="N15" i="108"/>
  <c r="M45" i="108"/>
  <c r="M44" i="108"/>
  <c r="M43" i="108"/>
  <c r="M42" i="108"/>
  <c r="M41" i="108"/>
  <c r="M40" i="108"/>
  <c r="M39" i="108"/>
  <c r="M38" i="108"/>
  <c r="M37" i="108"/>
  <c r="M36" i="108"/>
  <c r="M35" i="108"/>
  <c r="M34" i="108"/>
  <c r="M33" i="108"/>
  <c r="M32" i="108"/>
  <c r="M31" i="108"/>
  <c r="M30" i="108"/>
  <c r="M29" i="108"/>
  <c r="M28" i="108"/>
  <c r="M27" i="108"/>
  <c r="M26" i="108"/>
  <c r="M25" i="108"/>
  <c r="M24" i="108"/>
  <c r="M23" i="108"/>
  <c r="M22" i="108"/>
  <c r="M21" i="108"/>
  <c r="M20" i="108"/>
  <c r="M18" i="108"/>
  <c r="M17" i="108"/>
  <c r="M16" i="108"/>
  <c r="M15" i="108"/>
  <c r="L45" i="108"/>
  <c r="L44" i="108"/>
  <c r="L43" i="108"/>
  <c r="L42" i="108"/>
  <c r="L41" i="108"/>
  <c r="L40" i="108"/>
  <c r="L39" i="108"/>
  <c r="L38" i="108"/>
  <c r="L37" i="108"/>
  <c r="L36" i="108"/>
  <c r="L35" i="108"/>
  <c r="L34" i="108"/>
  <c r="L33" i="108"/>
  <c r="L32" i="108"/>
  <c r="L31" i="108"/>
  <c r="L30" i="108"/>
  <c r="L29" i="108"/>
  <c r="L28" i="108"/>
  <c r="L27" i="108"/>
  <c r="L26" i="108"/>
  <c r="L25" i="108"/>
  <c r="L24" i="108"/>
  <c r="L23" i="108"/>
  <c r="L22" i="108"/>
  <c r="L21" i="108"/>
  <c r="L20" i="108"/>
  <c r="L18" i="108"/>
  <c r="L17" i="108"/>
  <c r="L16" i="108"/>
  <c r="L15" i="108"/>
  <c r="AK59" i="107"/>
  <c r="AF59" i="107"/>
  <c r="AP57" i="107" s="1"/>
  <c r="AE59" i="107"/>
  <c r="AO57" i="107" s="1"/>
  <c r="AC59" i="107"/>
  <c r="Y59" i="107"/>
  <c r="X59" i="107"/>
  <c r="W59" i="107"/>
  <c r="S59" i="107"/>
  <c r="R59" i="107"/>
  <c r="Q59" i="107"/>
  <c r="P59" i="107"/>
  <c r="O59" i="107"/>
  <c r="M59" i="107"/>
  <c r="L59" i="107"/>
  <c r="AK58" i="107"/>
  <c r="AF58" i="107"/>
  <c r="AC58" i="107"/>
  <c r="AA58" i="107"/>
  <c r="Z58" i="107"/>
  <c r="Y58" i="107"/>
  <c r="X58" i="107"/>
  <c r="W58" i="107"/>
  <c r="V58" i="107"/>
  <c r="U58" i="107"/>
  <c r="S58" i="107"/>
  <c r="R58" i="107"/>
  <c r="Q58" i="107"/>
  <c r="P58" i="107"/>
  <c r="O58" i="107"/>
  <c r="M58" i="107"/>
  <c r="L58" i="107"/>
  <c r="AL60" i="106"/>
  <c r="AG60" i="106"/>
  <c r="AD60" i="106"/>
  <c r="AB60" i="106"/>
  <c r="T60" i="106"/>
  <c r="AK59" i="106"/>
  <c r="AF59" i="106"/>
  <c r="AE59" i="106"/>
  <c r="AC59" i="106"/>
  <c r="Y59" i="106"/>
  <c r="X59" i="106"/>
  <c r="W59" i="106"/>
  <c r="S59" i="106"/>
  <c r="R59" i="106"/>
  <c r="Q59" i="106"/>
  <c r="P59" i="106"/>
  <c r="O59" i="106"/>
  <c r="M59" i="106"/>
  <c r="L59" i="106"/>
  <c r="AK58" i="106"/>
  <c r="AF58" i="106"/>
  <c r="AP57" i="106" s="1"/>
  <c r="AC58" i="106"/>
  <c r="AA58" i="106"/>
  <c r="Z58" i="106"/>
  <c r="Y58" i="106"/>
  <c r="X58" i="106"/>
  <c r="W58" i="106"/>
  <c r="V58" i="106"/>
  <c r="U58" i="106"/>
  <c r="S58" i="106"/>
  <c r="R58" i="106"/>
  <c r="Q58" i="106"/>
  <c r="P58" i="106"/>
  <c r="O58" i="106"/>
  <c r="M58" i="106"/>
  <c r="L58" i="106"/>
  <c r="AL60" i="105"/>
  <c r="AG60" i="105"/>
  <c r="AD60" i="105"/>
  <c r="AB60" i="105"/>
  <c r="T60" i="105"/>
  <c r="AG54" i="105"/>
  <c r="AA54" i="105"/>
  <c r="Z54" i="105"/>
  <c r="AG53" i="105"/>
  <c r="AA53" i="105"/>
  <c r="AG52" i="105"/>
  <c r="Z52" i="105"/>
  <c r="AG51" i="105"/>
  <c r="AA51" i="105"/>
  <c r="Z51" i="105"/>
  <c r="AG50" i="105"/>
  <c r="AA50" i="105"/>
  <c r="Z50" i="105"/>
  <c r="AG49" i="105"/>
  <c r="AA49" i="105"/>
  <c r="AG48" i="105"/>
  <c r="Z48" i="105"/>
  <c r="AG47" i="105"/>
  <c r="AA47" i="105"/>
  <c r="AG46" i="105"/>
  <c r="AA46" i="105"/>
  <c r="Z46" i="105"/>
  <c r="AG45" i="105"/>
  <c r="AA45" i="105"/>
  <c r="AG44" i="105"/>
  <c r="Z44" i="105"/>
  <c r="AG43" i="105"/>
  <c r="AA43" i="105"/>
  <c r="Z43" i="105"/>
  <c r="AG42" i="105"/>
  <c r="AA42" i="105"/>
  <c r="Z42" i="105"/>
  <c r="AG41" i="105"/>
  <c r="AA41" i="105"/>
  <c r="AG40" i="105"/>
  <c r="Z40" i="105"/>
  <c r="AG39" i="105"/>
  <c r="AA39" i="105"/>
  <c r="Z39" i="105"/>
  <c r="AG38" i="105"/>
  <c r="AA38" i="105"/>
  <c r="Z38" i="105"/>
  <c r="AG37" i="105"/>
  <c r="AA37" i="105"/>
  <c r="AG36" i="105"/>
  <c r="Z36" i="105"/>
  <c r="AG35" i="105"/>
  <c r="AA35" i="105"/>
  <c r="Z35" i="105"/>
  <c r="AG34" i="105"/>
  <c r="AA34" i="105"/>
  <c r="Z34" i="105"/>
  <c r="AG33" i="105"/>
  <c r="AA33" i="105"/>
  <c r="AG32" i="105"/>
  <c r="Z32" i="105"/>
  <c r="AG31" i="105"/>
  <c r="AA31" i="105"/>
  <c r="AG30" i="105"/>
  <c r="AA30" i="105"/>
  <c r="Z30" i="105"/>
  <c r="AG29" i="105"/>
  <c r="AA29" i="105"/>
  <c r="AG28" i="105"/>
  <c r="Z28" i="105"/>
  <c r="AG27" i="105"/>
  <c r="AA27" i="105"/>
  <c r="AG26" i="105"/>
  <c r="AA26" i="105"/>
  <c r="AG25" i="105"/>
  <c r="AA25" i="105"/>
  <c r="AG24" i="105"/>
  <c r="AG23" i="105"/>
  <c r="AA23" i="105"/>
  <c r="Z23" i="105"/>
  <c r="AG22" i="105"/>
  <c r="AA22" i="105"/>
  <c r="Z22" i="105"/>
  <c r="AG21" i="105"/>
  <c r="AG20" i="105"/>
  <c r="Z20" i="105"/>
  <c r="AG19" i="105"/>
  <c r="Z19" i="105"/>
  <c r="AG18" i="105"/>
  <c r="AA18" i="105"/>
  <c r="Z18" i="105"/>
  <c r="AG17" i="105"/>
  <c r="AA17" i="105"/>
  <c r="AG16" i="105"/>
  <c r="Z16" i="105"/>
  <c r="AG15" i="105"/>
  <c r="AA15" i="105"/>
  <c r="Z15" i="105"/>
  <c r="AG14" i="105"/>
  <c r="AA14" i="105"/>
  <c r="Z14" i="105"/>
  <c r="AG13" i="105"/>
  <c r="AG12" i="105"/>
  <c r="Z12" i="105"/>
  <c r="AG11" i="105"/>
  <c r="Z11" i="105"/>
  <c r="AG10" i="105"/>
  <c r="AA10" i="105"/>
  <c r="Z10" i="105"/>
  <c r="AG9" i="105"/>
  <c r="AA9" i="105"/>
  <c r="AG8" i="105"/>
  <c r="Z8" i="105"/>
  <c r="AG7" i="105"/>
  <c r="AA7" i="105"/>
  <c r="Z7" i="105"/>
  <c r="AG6" i="105"/>
  <c r="AA6" i="105"/>
  <c r="Z6" i="105"/>
  <c r="AG5" i="105"/>
  <c r="AK59" i="105"/>
  <c r="AI59" i="105"/>
  <c r="AH59" i="105"/>
  <c r="AF59" i="105"/>
  <c r="AE59" i="105"/>
  <c r="AC59" i="105"/>
  <c r="Y59" i="105"/>
  <c r="X59" i="105"/>
  <c r="W59" i="105"/>
  <c r="S59" i="105"/>
  <c r="R59" i="105"/>
  <c r="Q59" i="105"/>
  <c r="P59" i="105"/>
  <c r="O59" i="105"/>
  <c r="M59" i="105"/>
  <c r="L59" i="105"/>
  <c r="AK58" i="105"/>
  <c r="AF58" i="105"/>
  <c r="AC58" i="105"/>
  <c r="AA58" i="105"/>
  <c r="Z58" i="105"/>
  <c r="Y58" i="105"/>
  <c r="X58" i="105"/>
  <c r="W58" i="105"/>
  <c r="V58" i="105"/>
  <c r="U58" i="105"/>
  <c r="S58" i="105"/>
  <c r="R58" i="105"/>
  <c r="Q58" i="105"/>
  <c r="P58" i="105"/>
  <c r="O58" i="105"/>
  <c r="M58" i="105"/>
  <c r="L58" i="105"/>
  <c r="AP54" i="105"/>
  <c r="AP53" i="105"/>
  <c r="AP52" i="105"/>
  <c r="AP51" i="105"/>
  <c r="AP50" i="105"/>
  <c r="AP49" i="105"/>
  <c r="AP48" i="105"/>
  <c r="AP47" i="105"/>
  <c r="AP46" i="105"/>
  <c r="AP45" i="105"/>
  <c r="AP44" i="105"/>
  <c r="AP43" i="105"/>
  <c r="AP42" i="105"/>
  <c r="AP41" i="105"/>
  <c r="AP40" i="105"/>
  <c r="AP39" i="105"/>
  <c r="AP38" i="105"/>
  <c r="AP37" i="105"/>
  <c r="AP36" i="105"/>
  <c r="AP35" i="105"/>
  <c r="AP34" i="105"/>
  <c r="AP33" i="105"/>
  <c r="AP32" i="105"/>
  <c r="AP31" i="105"/>
  <c r="AP30" i="105"/>
  <c r="AP29" i="105"/>
  <c r="AP27" i="105"/>
  <c r="AP26" i="105"/>
  <c r="AP25" i="105"/>
  <c r="AP24" i="105"/>
  <c r="AA59" i="104"/>
  <c r="AA57" i="120" s="1"/>
  <c r="AA61" i="120" s="1"/>
  <c r="Z59" i="104"/>
  <c r="Z57" i="120" s="1"/>
  <c r="Z61" i="120" s="1"/>
  <c r="AK61" i="104"/>
  <c r="AK60" i="104"/>
  <c r="AK59" i="104"/>
  <c r="AK57" i="120" s="1"/>
  <c r="AK61" i="120" s="1"/>
  <c r="AF61" i="104"/>
  <c r="AF60" i="104"/>
  <c r="AF59" i="104"/>
  <c r="AF57" i="120" s="1"/>
  <c r="AE61" i="104"/>
  <c r="AE59" i="104"/>
  <c r="AE57" i="120" s="1"/>
  <c r="AC61" i="104"/>
  <c r="AC60" i="104"/>
  <c r="AC59" i="104"/>
  <c r="AC57" i="120" s="1"/>
  <c r="AC61" i="120" s="1"/>
  <c r="AA60" i="104"/>
  <c r="Z60" i="104"/>
  <c r="Y61" i="104"/>
  <c r="Y60" i="104"/>
  <c r="X61" i="104"/>
  <c r="X60" i="104"/>
  <c r="X59" i="104"/>
  <c r="X57" i="120" s="1"/>
  <c r="X61" i="120" s="1"/>
  <c r="W61" i="104"/>
  <c r="W60" i="104"/>
  <c r="V60" i="104"/>
  <c r="U60" i="104"/>
  <c r="U59" i="104"/>
  <c r="U57" i="120" s="1"/>
  <c r="U61" i="120" s="1"/>
  <c r="S61" i="104"/>
  <c r="S60" i="104"/>
  <c r="S59" i="104"/>
  <c r="S57" i="120" s="1"/>
  <c r="R61" i="104"/>
  <c r="R60" i="104"/>
  <c r="R59" i="104"/>
  <c r="R57" i="120" s="1"/>
  <c r="R61" i="120" s="1"/>
  <c r="Q61" i="104"/>
  <c r="Q60" i="104"/>
  <c r="Q59" i="104"/>
  <c r="Q57" i="120" s="1"/>
  <c r="Q61" i="120" s="1"/>
  <c r="P61" i="104"/>
  <c r="P60" i="104"/>
  <c r="P59" i="104"/>
  <c r="O61" i="104"/>
  <c r="O60" i="104"/>
  <c r="O59" i="104"/>
  <c r="O57" i="120" s="1"/>
  <c r="O61" i="120" s="1"/>
  <c r="M61" i="104"/>
  <c r="M60" i="104"/>
  <c r="M59" i="104"/>
  <c r="M57" i="120" s="1"/>
  <c r="M61" i="120" s="1"/>
  <c r="L61" i="104"/>
  <c r="L60" i="104"/>
  <c r="L59" i="104"/>
  <c r="L57" i="120" s="1"/>
  <c r="L61" i="120" s="1"/>
  <c r="AK19" i="104"/>
  <c r="AK18" i="104"/>
  <c r="AK13" i="104"/>
  <c r="AK12" i="104"/>
  <c r="AK11" i="104"/>
  <c r="AK10" i="104"/>
  <c r="AK9" i="104"/>
  <c r="AK6" i="104"/>
  <c r="AK5" i="104"/>
  <c r="AI54" i="104"/>
  <c r="AI53" i="104"/>
  <c r="AI52" i="104"/>
  <c r="AI51" i="104"/>
  <c r="AI50" i="104"/>
  <c r="AI49" i="104"/>
  <c r="AI48" i="104"/>
  <c r="AI47" i="104"/>
  <c r="AI46" i="104"/>
  <c r="AI45" i="104"/>
  <c r="AI44" i="104"/>
  <c r="AI43" i="104"/>
  <c r="AI42" i="104"/>
  <c r="AI41" i="104"/>
  <c r="AI40" i="104"/>
  <c r="AI39" i="104"/>
  <c r="AI38" i="104"/>
  <c r="AI37" i="104"/>
  <c r="AI36" i="104"/>
  <c r="AI35" i="104"/>
  <c r="AI34" i="104"/>
  <c r="AI33" i="104"/>
  <c r="AI32" i="104"/>
  <c r="AI31" i="104"/>
  <c r="AI30" i="104"/>
  <c r="AI29" i="104"/>
  <c r="AI27" i="104"/>
  <c r="AI26" i="104"/>
  <c r="AI25" i="104"/>
  <c r="AI24" i="104"/>
  <c r="AH54" i="104"/>
  <c r="AH53" i="104"/>
  <c r="AH52" i="104"/>
  <c r="AH51" i="104"/>
  <c r="AH50" i="104"/>
  <c r="AH49" i="104"/>
  <c r="AH48" i="104"/>
  <c r="AH47" i="104"/>
  <c r="AH46" i="104"/>
  <c r="AH45" i="104"/>
  <c r="AH44" i="104"/>
  <c r="AH43" i="104"/>
  <c r="AH42" i="104"/>
  <c r="AH41" i="104"/>
  <c r="AH40" i="104"/>
  <c r="AH39" i="104"/>
  <c r="AH38" i="104"/>
  <c r="AH37" i="104"/>
  <c r="AH36" i="104"/>
  <c r="AH35" i="104"/>
  <c r="AH34" i="104"/>
  <c r="AH33" i="104"/>
  <c r="AH32" i="104"/>
  <c r="AH31" i="104"/>
  <c r="AH30" i="104"/>
  <c r="AH29" i="104"/>
  <c r="AH27" i="104"/>
  <c r="AH26" i="104"/>
  <c r="AH25" i="104"/>
  <c r="AH24" i="104"/>
  <c r="S54" i="104"/>
  <c r="S53" i="104"/>
  <c r="S52" i="104"/>
  <c r="S51" i="104"/>
  <c r="S50" i="104"/>
  <c r="S49" i="104"/>
  <c r="S48" i="104"/>
  <c r="S47" i="104"/>
  <c r="S46" i="104"/>
  <c r="S45" i="104"/>
  <c r="S44" i="104"/>
  <c r="S43" i="104"/>
  <c r="S42" i="104"/>
  <c r="S41" i="104"/>
  <c r="S40" i="104"/>
  <c r="S39" i="104"/>
  <c r="S38" i="104"/>
  <c r="S37" i="104"/>
  <c r="S36" i="104"/>
  <c r="S35" i="104"/>
  <c r="S34" i="104"/>
  <c r="S33" i="104"/>
  <c r="S32" i="104"/>
  <c r="S31" i="104"/>
  <c r="S30" i="104"/>
  <c r="S29" i="104"/>
  <c r="S27" i="104"/>
  <c r="S26" i="104"/>
  <c r="S25" i="104"/>
  <c r="S24" i="104"/>
  <c r="R54" i="104"/>
  <c r="R53" i="104"/>
  <c r="R52" i="104"/>
  <c r="R51" i="104"/>
  <c r="R50" i="104"/>
  <c r="R49" i="104"/>
  <c r="R48" i="104"/>
  <c r="R47" i="104"/>
  <c r="R46" i="104"/>
  <c r="R45" i="104"/>
  <c r="R44" i="104"/>
  <c r="R43" i="104"/>
  <c r="R42" i="104"/>
  <c r="R41" i="104"/>
  <c r="R40" i="104"/>
  <c r="R39" i="104"/>
  <c r="R38" i="104"/>
  <c r="R37" i="104"/>
  <c r="R36" i="104"/>
  <c r="R35" i="104"/>
  <c r="R34" i="104"/>
  <c r="R33" i="104"/>
  <c r="Q54" i="104"/>
  <c r="Q53" i="104"/>
  <c r="Q52" i="104"/>
  <c r="Q51" i="104"/>
  <c r="Q50" i="104"/>
  <c r="Q49" i="104"/>
  <c r="Q48" i="104"/>
  <c r="Q47" i="104"/>
  <c r="Q46" i="104"/>
  <c r="Q45" i="104"/>
  <c r="Q44" i="104"/>
  <c r="Q43" i="104"/>
  <c r="Q42" i="104"/>
  <c r="Q41" i="104"/>
  <c r="Q40" i="104"/>
  <c r="Q39" i="104"/>
  <c r="Q38" i="104"/>
  <c r="Q37" i="104"/>
  <c r="Q36" i="104"/>
  <c r="Q35" i="104"/>
  <c r="Q34" i="104"/>
  <c r="Q33" i="104"/>
  <c r="Q28" i="104"/>
  <c r="Q23" i="104"/>
  <c r="Q22" i="104"/>
  <c r="Q21" i="104"/>
  <c r="Q20" i="104"/>
  <c r="Q15" i="104"/>
  <c r="Q14" i="104"/>
  <c r="Q7" i="104"/>
  <c r="P54" i="104"/>
  <c r="P53" i="104"/>
  <c r="P52" i="104"/>
  <c r="P51" i="104"/>
  <c r="P50" i="104"/>
  <c r="P49" i="104"/>
  <c r="P48" i="104"/>
  <c r="P47" i="104"/>
  <c r="P46" i="104"/>
  <c r="P45" i="104"/>
  <c r="P44" i="104"/>
  <c r="P43" i="104"/>
  <c r="P42" i="104"/>
  <c r="P41" i="104"/>
  <c r="P40" i="104"/>
  <c r="P39" i="104"/>
  <c r="P38" i="104"/>
  <c r="P37" i="104"/>
  <c r="P36" i="104"/>
  <c r="P35" i="104"/>
  <c r="P34" i="104"/>
  <c r="P33" i="104"/>
  <c r="O54" i="104"/>
  <c r="O53" i="104"/>
  <c r="O52" i="104"/>
  <c r="O51" i="104"/>
  <c r="O50" i="104"/>
  <c r="O49" i="104"/>
  <c r="O48" i="104"/>
  <c r="O47" i="104"/>
  <c r="O46" i="104"/>
  <c r="O45" i="104"/>
  <c r="O44" i="104"/>
  <c r="O43" i="104"/>
  <c r="O42" i="104"/>
  <c r="O41" i="104"/>
  <c r="O40" i="104"/>
  <c r="O39" i="104"/>
  <c r="O38" i="104"/>
  <c r="O37" i="104"/>
  <c r="O36" i="104"/>
  <c r="O35" i="104"/>
  <c r="O34" i="104"/>
  <c r="O33" i="104"/>
  <c r="O32" i="104"/>
  <c r="O31" i="104"/>
  <c r="O30" i="104"/>
  <c r="O29" i="104"/>
  <c r="O27" i="104"/>
  <c r="O26" i="104"/>
  <c r="O25" i="104"/>
  <c r="O24" i="104"/>
  <c r="N19" i="104"/>
  <c r="N18" i="104"/>
  <c r="N12" i="104"/>
  <c r="AP54" i="104"/>
  <c r="AP53" i="104"/>
  <c r="AP52" i="104"/>
  <c r="AP51" i="104"/>
  <c r="AP50" i="104"/>
  <c r="AP49" i="104"/>
  <c r="AP48" i="104"/>
  <c r="AP47" i="104"/>
  <c r="AP46" i="104"/>
  <c r="AP45" i="104"/>
  <c r="AP44" i="104"/>
  <c r="AP43" i="104"/>
  <c r="AP42" i="104"/>
  <c r="AP41" i="104"/>
  <c r="AP40" i="104"/>
  <c r="AP39" i="104"/>
  <c r="AP38" i="104"/>
  <c r="AP37" i="104"/>
  <c r="AP36" i="104"/>
  <c r="AP35" i="104"/>
  <c r="AP34" i="104"/>
  <c r="AP33" i="104"/>
  <c r="AP32" i="104"/>
  <c r="AP31" i="104"/>
  <c r="AP30" i="104"/>
  <c r="AP29" i="104"/>
  <c r="AP27" i="104"/>
  <c r="AP26" i="104"/>
  <c r="AP25" i="104"/>
  <c r="AP24" i="104"/>
  <c r="L54" i="104"/>
  <c r="L53" i="104"/>
  <c r="L52" i="104"/>
  <c r="L51" i="104"/>
  <c r="L50" i="104"/>
  <c r="L49" i="104"/>
  <c r="L48" i="104"/>
  <c r="L47" i="104"/>
  <c r="L46" i="104"/>
  <c r="L45" i="104"/>
  <c r="L44" i="104"/>
  <c r="L43" i="104"/>
  <c r="L42" i="104"/>
  <c r="L41" i="104"/>
  <c r="L40" i="104"/>
  <c r="L39" i="104"/>
  <c r="L38" i="104"/>
  <c r="L37" i="104"/>
  <c r="L36" i="104"/>
  <c r="L35" i="104"/>
  <c r="L34" i="104"/>
  <c r="L33" i="104"/>
  <c r="L28" i="104"/>
  <c r="L23" i="104"/>
  <c r="L22" i="104"/>
  <c r="L21" i="104"/>
  <c r="L20" i="104"/>
  <c r="L15" i="104"/>
  <c r="L14" i="104"/>
  <c r="L7" i="104"/>
  <c r="P11" i="5"/>
  <c r="R11" i="5" s="1"/>
  <c r="P10" i="5"/>
  <c r="R10" i="5" s="1"/>
  <c r="P9" i="5"/>
  <c r="R9" i="5" s="1"/>
  <c r="F44" i="5"/>
  <c r="Z50" i="121" s="1"/>
  <c r="E44" i="5"/>
  <c r="Z49" i="121" s="1"/>
  <c r="D44" i="5"/>
  <c r="Z48" i="121" s="1"/>
  <c r="F26" i="5"/>
  <c r="AJ59" i="120" s="1"/>
  <c r="E26" i="5"/>
  <c r="AJ58" i="120" s="1"/>
  <c r="D26" i="5"/>
  <c r="AJ59" i="104" s="1"/>
  <c r="AJ57" i="120" s="1"/>
  <c r="F25" i="5"/>
  <c r="AI59" i="120" s="1"/>
  <c r="E25" i="5"/>
  <c r="AI58" i="120" s="1"/>
  <c r="D25" i="5"/>
  <c r="AI59" i="104" s="1"/>
  <c r="AI57" i="120" s="1"/>
  <c r="AI61" i="120" s="1"/>
  <c r="F24" i="5"/>
  <c r="AH59" i="120" s="1"/>
  <c r="E24" i="5"/>
  <c r="AH58" i="120" s="1"/>
  <c r="D24" i="5"/>
  <c r="AH59" i="104" s="1"/>
  <c r="AH57" i="120" s="1"/>
  <c r="AH61" i="120" s="1"/>
  <c r="D13" i="5"/>
  <c r="W59" i="104" s="1"/>
  <c r="W57" i="120" s="1"/>
  <c r="W61" i="120" s="1"/>
  <c r="F39" i="5"/>
  <c r="U50" i="121" s="1"/>
  <c r="F17" i="5"/>
  <c r="AA59" i="105" s="1"/>
  <c r="F16" i="5"/>
  <c r="Z59" i="120" s="1"/>
  <c r="F12" i="5"/>
  <c r="V59" i="120" s="1"/>
  <c r="F11" i="5"/>
  <c r="U59" i="120" s="1"/>
  <c r="M15" i="5"/>
  <c r="M7" i="5"/>
  <c r="D36" i="5" s="1"/>
  <c r="R48" i="121" s="1"/>
  <c r="Z59" i="105" l="1"/>
  <c r="AJ5" i="114"/>
  <c r="AB2" i="114"/>
  <c r="AC4" i="114"/>
  <c r="AB10" i="114"/>
  <c r="AC12" i="114"/>
  <c r="AD15" i="114"/>
  <c r="AB18" i="114"/>
  <c r="AC20" i="114"/>
  <c r="AD23" i="114"/>
  <c r="AB26" i="114"/>
  <c r="AC28" i="114"/>
  <c r="AD31" i="114"/>
  <c r="AB34" i="114"/>
  <c r="AC36" i="114"/>
  <c r="AB5" i="114"/>
  <c r="AC7" i="114"/>
  <c r="AD10" i="114"/>
  <c r="AB13" i="114"/>
  <c r="AC15" i="114"/>
  <c r="AD18" i="114"/>
  <c r="AB21" i="114"/>
  <c r="AC23" i="114"/>
  <c r="AD26" i="114"/>
  <c r="AB29" i="114"/>
  <c r="AC31" i="114"/>
  <c r="AD34" i="114"/>
  <c r="AB37" i="114"/>
  <c r="AD7" i="114"/>
  <c r="AC2" i="114"/>
  <c r="AB8" i="114"/>
  <c r="AC10" i="114"/>
  <c r="AD13" i="114"/>
  <c r="AB16" i="114"/>
  <c r="AC18" i="114"/>
  <c r="AD21" i="114"/>
  <c r="AB24" i="114"/>
  <c r="AC26" i="114"/>
  <c r="AD29" i="114"/>
  <c r="AB32" i="114"/>
  <c r="AC34" i="114"/>
  <c r="AD37" i="114"/>
  <c r="AA59" i="107"/>
  <c r="AA59" i="120"/>
  <c r="AT4" i="114"/>
  <c r="AJ4" i="114"/>
  <c r="AB3" i="114"/>
  <c r="AC5" i="114"/>
  <c r="AB11" i="114"/>
  <c r="AC13" i="114"/>
  <c r="AD16" i="114"/>
  <c r="AB19" i="114"/>
  <c r="AC21" i="114"/>
  <c r="AD24" i="114"/>
  <c r="AB27" i="114"/>
  <c r="AC29" i="114"/>
  <c r="AD32" i="114"/>
  <c r="AB35" i="114"/>
  <c r="AC37" i="114"/>
  <c r="AJ61" i="120"/>
  <c r="Z61" i="104"/>
  <c r="P52" i="110"/>
  <c r="AB6" i="114"/>
  <c r="AC8" i="114"/>
  <c r="AD11" i="114"/>
  <c r="AB14" i="114"/>
  <c r="AC16" i="114"/>
  <c r="AD19" i="114"/>
  <c r="AB22" i="114"/>
  <c r="AC24" i="114"/>
  <c r="AD27" i="114"/>
  <c r="AB30" i="114"/>
  <c r="AC32" i="114"/>
  <c r="AD2" i="114"/>
  <c r="P57" i="107"/>
  <c r="P57" i="120"/>
  <c r="P61" i="120" s="1"/>
  <c r="AJ3" i="114"/>
  <c r="AT3" i="114"/>
  <c r="AO4" i="114"/>
  <c r="AT6" i="114"/>
  <c r="AJ6" i="114"/>
  <c r="AC3" i="114"/>
  <c r="AB9" i="114"/>
  <c r="AC11" i="114"/>
  <c r="AD14" i="114"/>
  <c r="AB17" i="114"/>
  <c r="AC19" i="114"/>
  <c r="AD22" i="114"/>
  <c r="AB25" i="114"/>
  <c r="AC27" i="114"/>
  <c r="AD30" i="114"/>
  <c r="AB33" i="114"/>
  <c r="AC35" i="114"/>
  <c r="AD3" i="114"/>
  <c r="AO2" i="114" s="1"/>
  <c r="AO7" i="114" s="1"/>
  <c r="AB4" i="114"/>
  <c r="AC6" i="114"/>
  <c r="AD9" i="114"/>
  <c r="AB12" i="114"/>
  <c r="AC14" i="114"/>
  <c r="AD17" i="114"/>
  <c r="AB20" i="114"/>
  <c r="AC22" i="114"/>
  <c r="AD25" i="114"/>
  <c r="AB28" i="114"/>
  <c r="AC30" i="114"/>
  <c r="AD33" i="114"/>
  <c r="AB36" i="114"/>
  <c r="AI60" i="104"/>
  <c r="Z52" i="121"/>
  <c r="AI61" i="104"/>
  <c r="AO3" i="114"/>
  <c r="AB7" i="114"/>
  <c r="AC9" i="114"/>
  <c r="AD12" i="114"/>
  <c r="AB15" i="114"/>
  <c r="AC17" i="114"/>
  <c r="AD20" i="114"/>
  <c r="AB23" i="114"/>
  <c r="AC25" i="114"/>
  <c r="AD28" i="114"/>
  <c r="AB31" i="114"/>
  <c r="AC33" i="114"/>
  <c r="AD36" i="114"/>
  <c r="AD5" i="114"/>
  <c r="AD35" i="114"/>
  <c r="AA10" i="118"/>
  <c r="AA11" i="118"/>
  <c r="AC21" i="115"/>
  <c r="AC41" i="115"/>
  <c r="AC49" i="115"/>
  <c r="AC87" i="115"/>
  <c r="AC91" i="115"/>
  <c r="AC95" i="115"/>
  <c r="AO5" i="114"/>
  <c r="AC43" i="115"/>
  <c r="AC51" i="115"/>
  <c r="AC59" i="115"/>
  <c r="AC67" i="115"/>
  <c r="AC207" i="115"/>
  <c r="AC215" i="115"/>
  <c r="AC223" i="115"/>
  <c r="AD9" i="118"/>
  <c r="J427" i="118"/>
  <c r="M427" i="118" s="1"/>
  <c r="J446" i="118"/>
  <c r="M446" i="118" s="1"/>
  <c r="AC46" i="115"/>
  <c r="J437" i="118"/>
  <c r="M437" i="118" s="1"/>
  <c r="J447" i="118"/>
  <c r="M447" i="118" s="1"/>
  <c r="AC57" i="115"/>
  <c r="AC65" i="115"/>
  <c r="AC73" i="115"/>
  <c r="AC117" i="115"/>
  <c r="AC125" i="115"/>
  <c r="AC133" i="115"/>
  <c r="AC141" i="115"/>
  <c r="AC149" i="115"/>
  <c r="AC157" i="115"/>
  <c r="AC165" i="115"/>
  <c r="AC173" i="115"/>
  <c r="AC181" i="115"/>
  <c r="AC205" i="115"/>
  <c r="AC213" i="115"/>
  <c r="AC221" i="115"/>
  <c r="AC229" i="115"/>
  <c r="AI5" i="115"/>
  <c r="J431" i="118"/>
  <c r="M431" i="118" s="1"/>
  <c r="J440" i="118"/>
  <c r="M440" i="118" s="1"/>
  <c r="J450" i="118"/>
  <c r="M450" i="118" s="1"/>
  <c r="AC200" i="115"/>
  <c r="J422" i="118"/>
  <c r="M422" i="118" s="1"/>
  <c r="E17" i="119"/>
  <c r="AC39" i="115"/>
  <c r="AC47" i="115"/>
  <c r="AC63" i="115"/>
  <c r="AC71" i="115"/>
  <c r="AC115" i="115"/>
  <c r="AC123" i="115"/>
  <c r="AC131" i="115"/>
  <c r="AC139" i="115"/>
  <c r="AC147" i="115"/>
  <c r="AC155" i="115"/>
  <c r="AC163" i="115"/>
  <c r="AC171" i="115"/>
  <c r="AC179" i="115"/>
  <c r="AC187" i="115"/>
  <c r="AC195" i="115"/>
  <c r="AC203" i="115"/>
  <c r="AC211" i="115"/>
  <c r="AC219" i="115"/>
  <c r="AC227" i="115"/>
  <c r="J432" i="118"/>
  <c r="M432" i="118" s="1"/>
  <c r="J441" i="118"/>
  <c r="M441" i="118" s="1"/>
  <c r="AC42" i="115"/>
  <c r="AC50" i="115"/>
  <c r="AC58" i="115"/>
  <c r="AC66" i="115"/>
  <c r="AC110" i="115"/>
  <c r="AC118" i="115"/>
  <c r="AC134" i="115"/>
  <c r="AC166" i="115"/>
  <c r="AC198" i="115"/>
  <c r="AC230" i="115"/>
  <c r="AD10" i="118"/>
  <c r="J423" i="118"/>
  <c r="M423" i="118" s="1"/>
  <c r="AC113" i="115"/>
  <c r="AC121" i="115"/>
  <c r="AC75" i="115"/>
  <c r="AC77" i="115"/>
  <c r="AC79" i="115"/>
  <c r="AC81" i="115"/>
  <c r="J426" i="118"/>
  <c r="M426" i="118" s="1"/>
  <c r="AK32" i="121"/>
  <c r="AK25" i="121"/>
  <c r="AY37" i="120"/>
  <c r="AY33" i="120"/>
  <c r="AK30" i="121"/>
  <c r="AY43" i="120"/>
  <c r="AY35" i="120"/>
  <c r="AK29" i="121"/>
  <c r="AY42" i="120"/>
  <c r="AK28" i="121"/>
  <c r="AY41" i="120"/>
  <c r="AK34" i="121"/>
  <c r="AK26" i="121"/>
  <c r="AY39" i="120"/>
  <c r="AY38" i="120"/>
  <c r="AK33" i="121"/>
  <c r="AK24" i="121"/>
  <c r="AY34" i="120"/>
  <c r="J449" i="118"/>
  <c r="M449" i="118" s="1"/>
  <c r="J444" i="118"/>
  <c r="M444" i="118" s="1"/>
  <c r="J439" i="118"/>
  <c r="M439" i="118" s="1"/>
  <c r="J434" i="118"/>
  <c r="M434" i="118" s="1"/>
  <c r="J429" i="118"/>
  <c r="M429" i="118" s="1"/>
  <c r="J425" i="118"/>
  <c r="M425" i="118" s="1"/>
  <c r="J443" i="118"/>
  <c r="M443" i="118" s="1"/>
  <c r="J438" i="118"/>
  <c r="M438" i="118" s="1"/>
  <c r="J424" i="118"/>
  <c r="M424" i="118" s="1"/>
  <c r="J448" i="118"/>
  <c r="M448" i="118" s="1"/>
  <c r="J442" i="118"/>
  <c r="M442" i="118" s="1"/>
  <c r="J433" i="118"/>
  <c r="M433" i="118" s="1"/>
  <c r="J428" i="118"/>
  <c r="M428" i="118" s="1"/>
  <c r="J435" i="118"/>
  <c r="M435" i="118" s="1"/>
  <c r="J430" i="118"/>
  <c r="M430" i="118" s="1"/>
  <c r="J421" i="118"/>
  <c r="M421" i="118" s="1"/>
  <c r="J436" i="118"/>
  <c r="M436" i="118" s="1"/>
  <c r="X4" i="118"/>
  <c r="AF4" i="118" s="1"/>
  <c r="Y5" i="118"/>
  <c r="J8" i="119"/>
  <c r="E18" i="119" s="1"/>
  <c r="AF5" i="118"/>
  <c r="AG3" i="118"/>
  <c r="AJ4" i="118"/>
  <c r="AI5" i="118"/>
  <c r="AF6" i="118"/>
  <c r="AV9" i="120"/>
  <c r="AR10" i="120"/>
  <c r="AV10" i="120" s="1"/>
  <c r="AV5" i="120"/>
  <c r="AR6" i="120"/>
  <c r="AV6" i="120" s="1"/>
  <c r="AV33" i="120"/>
  <c r="AR34" i="120"/>
  <c r="AC3" i="122"/>
  <c r="AV20" i="120"/>
  <c r="AR21" i="120"/>
  <c r="AR22" i="120" s="1"/>
  <c r="AV22" i="120" s="1"/>
  <c r="AT3" i="122"/>
  <c r="AT8" i="122" s="1"/>
  <c r="AJ3" i="122"/>
  <c r="AC15" i="122"/>
  <c r="AB2" i="122"/>
  <c r="M52" i="121"/>
  <c r="U52" i="121"/>
  <c r="AC5" i="122"/>
  <c r="AC34" i="122"/>
  <c r="AC17" i="122"/>
  <c r="AC25" i="122"/>
  <c r="AC11" i="122"/>
  <c r="AC32" i="122"/>
  <c r="Z13" i="118"/>
  <c r="AH13" i="118" s="1"/>
  <c r="Z6" i="118"/>
  <c r="AH6" i="118" s="1"/>
  <c r="Z8" i="118"/>
  <c r="AH8" i="118" s="1"/>
  <c r="AV16" i="120"/>
  <c r="AR17" i="120"/>
  <c r="AV17" i="120" s="1"/>
  <c r="AC9" i="121"/>
  <c r="AQ8" i="120"/>
  <c r="AV24" i="120"/>
  <c r="AR25" i="120"/>
  <c r="AR7" i="120"/>
  <c r="AR11" i="120"/>
  <c r="AV11" i="120" s="1"/>
  <c r="AV13" i="120"/>
  <c r="AR49" i="120"/>
  <c r="AR54" i="120"/>
  <c r="AV54" i="120" s="1"/>
  <c r="AV23" i="120"/>
  <c r="AV15" i="120"/>
  <c r="AR38" i="120"/>
  <c r="AR29" i="120"/>
  <c r="AC2" i="122"/>
  <c r="AR43" i="120"/>
  <c r="AV43" i="120" s="1"/>
  <c r="AV21" i="120"/>
  <c r="AR46" i="120"/>
  <c r="AD6" i="122"/>
  <c r="AB8" i="122"/>
  <c r="AD11" i="122"/>
  <c r="AD13" i="122"/>
  <c r="AD15" i="122"/>
  <c r="AD17" i="122"/>
  <c r="AD19" i="122"/>
  <c r="AD21" i="122"/>
  <c r="AD23" i="122"/>
  <c r="AD25" i="122"/>
  <c r="AD27" i="122"/>
  <c r="AD29" i="122"/>
  <c r="AD31" i="122"/>
  <c r="AD33" i="122"/>
  <c r="AD35" i="122"/>
  <c r="AD37" i="122"/>
  <c r="AD3" i="122"/>
  <c r="AO8" i="122"/>
  <c r="AD5" i="122"/>
  <c r="AB7" i="122"/>
  <c r="AC10" i="122"/>
  <c r="AC12" i="122"/>
  <c r="AC14" i="122"/>
  <c r="AC16" i="122"/>
  <c r="AC18" i="122"/>
  <c r="AC20" i="122"/>
  <c r="AC22" i="122"/>
  <c r="AC24" i="122"/>
  <c r="AC26" i="122"/>
  <c r="AC28" i="122"/>
  <c r="AC7" i="122"/>
  <c r="AD10" i="122"/>
  <c r="AD12" i="122"/>
  <c r="AD14" i="122"/>
  <c r="AD16" i="122"/>
  <c r="AD18" i="122"/>
  <c r="AD20" i="122"/>
  <c r="AD22" i="122"/>
  <c r="AD24" i="122"/>
  <c r="AD26" i="122"/>
  <c r="AD28" i="122"/>
  <c r="AD30" i="122"/>
  <c r="AD32" i="122"/>
  <c r="AD34" i="122"/>
  <c r="AD36" i="122"/>
  <c r="AJ8" i="122"/>
  <c r="AJ13" i="118"/>
  <c r="Z4" i="118"/>
  <c r="AH4" i="118" s="1"/>
  <c r="AJ6" i="118"/>
  <c r="Z3" i="118"/>
  <c r="AH3" i="118" s="1"/>
  <c r="Z5" i="118"/>
  <c r="AH5" i="118" s="1"/>
  <c r="U9" i="118"/>
  <c r="AI9" i="118" s="1"/>
  <c r="U10" i="118"/>
  <c r="AI10" i="118" s="1"/>
  <c r="R9" i="118"/>
  <c r="R10" i="118"/>
  <c r="U11" i="118"/>
  <c r="AI11" i="118" s="1"/>
  <c r="R12" i="118"/>
  <c r="U12" i="118"/>
  <c r="AI12" i="118" s="1"/>
  <c r="AG5" i="118"/>
  <c r="AG8" i="118"/>
  <c r="R11" i="118"/>
  <c r="X3" i="118"/>
  <c r="AF3" i="118" s="1"/>
  <c r="X13" i="118"/>
  <c r="AF13" i="118" s="1"/>
  <c r="AT5" i="114"/>
  <c r="AO8" i="114"/>
  <c r="AT2" i="114"/>
  <c r="AT7" i="114" s="1"/>
  <c r="AJ2" i="114"/>
  <c r="AJ7" i="114" s="1"/>
  <c r="AJ8" i="114"/>
  <c r="AB2" i="115"/>
  <c r="AC9" i="115"/>
  <c r="AB10" i="115"/>
  <c r="AC17" i="115"/>
  <c r="AB18" i="115"/>
  <c r="AC25" i="115"/>
  <c r="AB26" i="115"/>
  <c r="AC35" i="115"/>
  <c r="AC38" i="115"/>
  <c r="AC243" i="115"/>
  <c r="AC258" i="115"/>
  <c r="AC275" i="115"/>
  <c r="AB27" i="115"/>
  <c r="AC232" i="115"/>
  <c r="AC262" i="115"/>
  <c r="AC264" i="115"/>
  <c r="AC3" i="115"/>
  <c r="AB4" i="115"/>
  <c r="AC11" i="115"/>
  <c r="AB12" i="115"/>
  <c r="AC19" i="115"/>
  <c r="AB20" i="115"/>
  <c r="AC27" i="115"/>
  <c r="AB28" i="115"/>
  <c r="AC251" i="115"/>
  <c r="AC283" i="115"/>
  <c r="AC10" i="115"/>
  <c r="AC4" i="115"/>
  <c r="AB5" i="115"/>
  <c r="AC12" i="115"/>
  <c r="AB13" i="115"/>
  <c r="AC20" i="115"/>
  <c r="AB21" i="115"/>
  <c r="AC48" i="115"/>
  <c r="AC56" i="115"/>
  <c r="AC64" i="115"/>
  <c r="AC72" i="115"/>
  <c r="AC142" i="115"/>
  <c r="AC174" i="115"/>
  <c r="AC206" i="115"/>
  <c r="AC238" i="115"/>
  <c r="AC270" i="115"/>
  <c r="AT8" i="114"/>
  <c r="AC29" i="115"/>
  <c r="AB19" i="115"/>
  <c r="AB6" i="115"/>
  <c r="AB14" i="115"/>
  <c r="AB22" i="115"/>
  <c r="AB30" i="115"/>
  <c r="AB31" i="115"/>
  <c r="AB32" i="115"/>
  <c r="AC242" i="115"/>
  <c r="AC259" i="115"/>
  <c r="AO9" i="114"/>
  <c r="AB3" i="115"/>
  <c r="AC6" i="115"/>
  <c r="AB7" i="115"/>
  <c r="AC14" i="115"/>
  <c r="AB15" i="115"/>
  <c r="AC22" i="115"/>
  <c r="AB23" i="115"/>
  <c r="AC30" i="115"/>
  <c r="AC31" i="115"/>
  <c r="AC32" i="115"/>
  <c r="AB33" i="115"/>
  <c r="AC44" i="115"/>
  <c r="AC54" i="115"/>
  <c r="AC62" i="115"/>
  <c r="AC70" i="115"/>
  <c r="AC150" i="115"/>
  <c r="AC182" i="115"/>
  <c r="AC214" i="115"/>
  <c r="AC246" i="115"/>
  <c r="AC248" i="115"/>
  <c r="AC278" i="115"/>
  <c r="AC5" i="115"/>
  <c r="AC37" i="115"/>
  <c r="AC2" i="115"/>
  <c r="AC7" i="115"/>
  <c r="AB8" i="115"/>
  <c r="AC15" i="115"/>
  <c r="AB16" i="115"/>
  <c r="AC23" i="115"/>
  <c r="AB24" i="115"/>
  <c r="AC33" i="115"/>
  <c r="AB34" i="115"/>
  <c r="AC235" i="115"/>
  <c r="AC267" i="115"/>
  <c r="AC280" i="115"/>
  <c r="AB11" i="115"/>
  <c r="AC18" i="115"/>
  <c r="AC26" i="115"/>
  <c r="AC8" i="115"/>
  <c r="AB9" i="115"/>
  <c r="AC16" i="115"/>
  <c r="AB17" i="115"/>
  <c r="AC24" i="115"/>
  <c r="AB25" i="115"/>
  <c r="AC34" i="115"/>
  <c r="AC40" i="115"/>
  <c r="AC52" i="115"/>
  <c r="AC60" i="115"/>
  <c r="AC68" i="115"/>
  <c r="AC126" i="115"/>
  <c r="AC158" i="115"/>
  <c r="AC190" i="115"/>
  <c r="AC222" i="115"/>
  <c r="AC254" i="115"/>
  <c r="AC286" i="115"/>
  <c r="AC274" i="115"/>
  <c r="AC112" i="115"/>
  <c r="AC128" i="115"/>
  <c r="AC144" i="115"/>
  <c r="AC160" i="115"/>
  <c r="AC176" i="115"/>
  <c r="AC192" i="115"/>
  <c r="AC208" i="115"/>
  <c r="AC224" i="115"/>
  <c r="AC240" i="115"/>
  <c r="AC256" i="115"/>
  <c r="AC272" i="115"/>
  <c r="AC288" i="115"/>
  <c r="AC189" i="115"/>
  <c r="AC197" i="115"/>
  <c r="AC237" i="115"/>
  <c r="AC245" i="115"/>
  <c r="AC253" i="115"/>
  <c r="AC261" i="115"/>
  <c r="AC269" i="115"/>
  <c r="AC277" i="115"/>
  <c r="AC285" i="115"/>
  <c r="AB35" i="115"/>
  <c r="AC114" i="115"/>
  <c r="AC122" i="115"/>
  <c r="AC130" i="115"/>
  <c r="AC138" i="115"/>
  <c r="AC146" i="115"/>
  <c r="AC154" i="115"/>
  <c r="AC162" i="115"/>
  <c r="AC170" i="115"/>
  <c r="AC178" i="115"/>
  <c r="AC186" i="115"/>
  <c r="AC194" i="115"/>
  <c r="AC202" i="115"/>
  <c r="AC210" i="115"/>
  <c r="AC218" i="115"/>
  <c r="AC226" i="115"/>
  <c r="AC234" i="115"/>
  <c r="AC250" i="115"/>
  <c r="AC266" i="115"/>
  <c r="AC282" i="115"/>
  <c r="AB36" i="115"/>
  <c r="AC111" i="115"/>
  <c r="AC119" i="115"/>
  <c r="AC127" i="115"/>
  <c r="AC135" i="115"/>
  <c r="AC143" i="115"/>
  <c r="AC151" i="115"/>
  <c r="AC159" i="115"/>
  <c r="AC167" i="115"/>
  <c r="AC175" i="115"/>
  <c r="AC183" i="115"/>
  <c r="AC191" i="115"/>
  <c r="AC199" i="115"/>
  <c r="AC231" i="115"/>
  <c r="AC239" i="115"/>
  <c r="AC247" i="115"/>
  <c r="AC255" i="115"/>
  <c r="AC263" i="115"/>
  <c r="AC271" i="115"/>
  <c r="AC279" i="115"/>
  <c r="AC287" i="115"/>
  <c r="AC28" i="115"/>
  <c r="AB29" i="115"/>
  <c r="AC36" i="115"/>
  <c r="AB37" i="115"/>
  <c r="AC116" i="115"/>
  <c r="AC124" i="115"/>
  <c r="AC132" i="115"/>
  <c r="AC140" i="115"/>
  <c r="AC148" i="115"/>
  <c r="AC156" i="115"/>
  <c r="AC164" i="115"/>
  <c r="AC172" i="115"/>
  <c r="AC180" i="115"/>
  <c r="AC188" i="115"/>
  <c r="AC196" i="115"/>
  <c r="AC204" i="115"/>
  <c r="AC212" i="115"/>
  <c r="AC220" i="115"/>
  <c r="AC228" i="115"/>
  <c r="AC236" i="115"/>
  <c r="AC244" i="115"/>
  <c r="AC252" i="115"/>
  <c r="AC260" i="115"/>
  <c r="AC268" i="115"/>
  <c r="AC276" i="115"/>
  <c r="AC284" i="115"/>
  <c r="AC129" i="115"/>
  <c r="AC137" i="115"/>
  <c r="AC145" i="115"/>
  <c r="AC153" i="115"/>
  <c r="AC161" i="115"/>
  <c r="AC169" i="115"/>
  <c r="AC177" i="115"/>
  <c r="AC185" i="115"/>
  <c r="AC193" i="115"/>
  <c r="AC201" i="115"/>
  <c r="AC209" i="115"/>
  <c r="AC217" i="115"/>
  <c r="AC225" i="115"/>
  <c r="AC233" i="115"/>
  <c r="AC241" i="115"/>
  <c r="AC249" i="115"/>
  <c r="AC257" i="115"/>
  <c r="AC265" i="115"/>
  <c r="AC273" i="115"/>
  <c r="AC281" i="115"/>
  <c r="AC289" i="115"/>
  <c r="W57" i="107"/>
  <c r="W57" i="106"/>
  <c r="W61" i="106" s="1"/>
  <c r="W57" i="105"/>
  <c r="AJ57" i="106"/>
  <c r="AJ57" i="107"/>
  <c r="AJ57" i="105"/>
  <c r="AJ58" i="107"/>
  <c r="AJ58" i="106"/>
  <c r="AJ58" i="105"/>
  <c r="AJ60" i="104"/>
  <c r="R48" i="111"/>
  <c r="R48" i="110"/>
  <c r="R48" i="109"/>
  <c r="R48" i="108"/>
  <c r="AH57" i="106"/>
  <c r="AH57" i="107"/>
  <c r="AH57" i="105"/>
  <c r="AJ59" i="107"/>
  <c r="AJ59" i="106"/>
  <c r="AJ61" i="104"/>
  <c r="AJ59" i="105"/>
  <c r="AI57" i="107"/>
  <c r="AI57" i="105"/>
  <c r="AI57" i="106"/>
  <c r="S57" i="107"/>
  <c r="S57" i="106"/>
  <c r="S57" i="105"/>
  <c r="M57" i="106"/>
  <c r="M61" i="106" s="1"/>
  <c r="M57" i="107"/>
  <c r="M57" i="105"/>
  <c r="AH58" i="107"/>
  <c r="AH58" i="106"/>
  <c r="Z48" i="111"/>
  <c r="Z48" i="110"/>
  <c r="Z48" i="108"/>
  <c r="Z48" i="109"/>
  <c r="Z52" i="109" s="1"/>
  <c r="Z10" i="121" s="1"/>
  <c r="AA10" i="121" s="1"/>
  <c r="Q57" i="106"/>
  <c r="Q61" i="106" s="1"/>
  <c r="Q57" i="107"/>
  <c r="Q57" i="105"/>
  <c r="U59" i="107"/>
  <c r="U59" i="106"/>
  <c r="AH59" i="107"/>
  <c r="AH59" i="106"/>
  <c r="Z49" i="110"/>
  <c r="Z49" i="111"/>
  <c r="Z49" i="109"/>
  <c r="Z49" i="108"/>
  <c r="U57" i="106"/>
  <c r="U61" i="106" s="1"/>
  <c r="U57" i="107"/>
  <c r="X57" i="106"/>
  <c r="X61" i="106" s="1"/>
  <c r="X57" i="107"/>
  <c r="AA61" i="104"/>
  <c r="Z57" i="106"/>
  <c r="Z61" i="106" s="1"/>
  <c r="Z57" i="107"/>
  <c r="Z57" i="105"/>
  <c r="U59" i="105"/>
  <c r="V59" i="107"/>
  <c r="V59" i="106"/>
  <c r="Z50" i="110"/>
  <c r="Z50" i="109"/>
  <c r="Z50" i="108"/>
  <c r="Z50" i="111"/>
  <c r="O57" i="107"/>
  <c r="O57" i="106"/>
  <c r="O61" i="106" s="1"/>
  <c r="O57" i="105"/>
  <c r="AA57" i="107"/>
  <c r="AA57" i="106"/>
  <c r="AA61" i="106" s="1"/>
  <c r="AA6" i="107" s="1"/>
  <c r="AA57" i="105"/>
  <c r="AH58" i="105"/>
  <c r="V59" i="105"/>
  <c r="U57" i="105"/>
  <c r="AA59" i="106"/>
  <c r="Z59" i="107"/>
  <c r="Z59" i="106"/>
  <c r="AI58" i="107"/>
  <c r="AI58" i="106"/>
  <c r="R57" i="106"/>
  <c r="R61" i="106" s="1"/>
  <c r="R57" i="107"/>
  <c r="R57" i="105"/>
  <c r="U61" i="104"/>
  <c r="AE57" i="107"/>
  <c r="AE57" i="106"/>
  <c r="AE57" i="105"/>
  <c r="AH60" i="104"/>
  <c r="AK57" i="106"/>
  <c r="AK61" i="106" s="1"/>
  <c r="AK57" i="107"/>
  <c r="AI58" i="105"/>
  <c r="X57" i="105"/>
  <c r="AI59" i="107"/>
  <c r="AI59" i="106"/>
  <c r="L57" i="106"/>
  <c r="L61" i="106" s="1"/>
  <c r="L57" i="107"/>
  <c r="L57" i="105"/>
  <c r="AH61" i="104"/>
  <c r="AK57" i="105"/>
  <c r="U50" i="111"/>
  <c r="U50" i="109"/>
  <c r="U50" i="110"/>
  <c r="U50" i="108"/>
  <c r="P57" i="106"/>
  <c r="P61" i="106" s="1"/>
  <c r="P57" i="105"/>
  <c r="V61" i="104"/>
  <c r="AC57" i="106"/>
  <c r="AC61" i="106" s="1"/>
  <c r="AC57" i="107"/>
  <c r="AC57" i="105"/>
  <c r="AF57" i="106"/>
  <c r="AF57" i="107"/>
  <c r="AF57" i="105"/>
  <c r="R9" i="109"/>
  <c r="R7" i="109"/>
  <c r="R10" i="109"/>
  <c r="U52" i="110"/>
  <c r="M10" i="110"/>
  <c r="O52" i="110"/>
  <c r="M52" i="110"/>
  <c r="Z54" i="107"/>
  <c r="Z50" i="107"/>
  <c r="Z46" i="107"/>
  <c r="Z42" i="107"/>
  <c r="Z38" i="107"/>
  <c r="Z34" i="107"/>
  <c r="Z51" i="107"/>
  <c r="Z47" i="107"/>
  <c r="Z43" i="107"/>
  <c r="Z39" i="107"/>
  <c r="Z35" i="107"/>
  <c r="Z52" i="107"/>
  <c r="Z48" i="107"/>
  <c r="Z44" i="107"/>
  <c r="Z40" i="107"/>
  <c r="Z36" i="107"/>
  <c r="Z53" i="107"/>
  <c r="Z49" i="107"/>
  <c r="Z45" i="107"/>
  <c r="Z41" i="107"/>
  <c r="Z37" i="107"/>
  <c r="Z33" i="107"/>
  <c r="Z29" i="107"/>
  <c r="Z25" i="107"/>
  <c r="Z21" i="107"/>
  <c r="Z17" i="107"/>
  <c r="Z13" i="107"/>
  <c r="Z30" i="107"/>
  <c r="Z26" i="107"/>
  <c r="Z22" i="107"/>
  <c r="Z18" i="107"/>
  <c r="Z14" i="107"/>
  <c r="Z32" i="107"/>
  <c r="Z28" i="107"/>
  <c r="Z24" i="107"/>
  <c r="Z20" i="107"/>
  <c r="Z16" i="107"/>
  <c r="Z23" i="107"/>
  <c r="Z6" i="107"/>
  <c r="Z27" i="107"/>
  <c r="Z12" i="107"/>
  <c r="Z10" i="107"/>
  <c r="Z7" i="107"/>
  <c r="Z31" i="107"/>
  <c r="Z15" i="107"/>
  <c r="Z8" i="107"/>
  <c r="Z19" i="107"/>
  <c r="Z11" i="107"/>
  <c r="Z9" i="107"/>
  <c r="Z5" i="107"/>
  <c r="AA54" i="107"/>
  <c r="AA50" i="107"/>
  <c r="AA46" i="107"/>
  <c r="AA38" i="107"/>
  <c r="AA47" i="107"/>
  <c r="AA39" i="107"/>
  <c r="AA52" i="107"/>
  <c r="AA48" i="107"/>
  <c r="AA40" i="107"/>
  <c r="AA53" i="107"/>
  <c r="AA45" i="107"/>
  <c r="AA41" i="107"/>
  <c r="AA37" i="107"/>
  <c r="AA30" i="107"/>
  <c r="AA22" i="107"/>
  <c r="AA14" i="107"/>
  <c r="AA31" i="107"/>
  <c r="AA27" i="107"/>
  <c r="AA19" i="107"/>
  <c r="AA32" i="107"/>
  <c r="AA24" i="107"/>
  <c r="AA20" i="107"/>
  <c r="AA16" i="107"/>
  <c r="AA25" i="107"/>
  <c r="AA10" i="107"/>
  <c r="AA29" i="107"/>
  <c r="AA13" i="107"/>
  <c r="AA8" i="107"/>
  <c r="AA17" i="107"/>
  <c r="AA9" i="107"/>
  <c r="AA21" i="107"/>
  <c r="AM60" i="105"/>
  <c r="E36" i="5"/>
  <c r="R49" i="121" s="1"/>
  <c r="F36" i="5"/>
  <c r="R50" i="121" s="1"/>
  <c r="R52" i="121" s="1"/>
  <c r="R51" i="121" s="1"/>
  <c r="D18" i="5"/>
  <c r="AB59" i="104" s="1"/>
  <c r="AB57" i="120" s="1"/>
  <c r="F41" i="5"/>
  <c r="W50" i="121" s="1"/>
  <c r="F45" i="5"/>
  <c r="AA50" i="121" s="1"/>
  <c r="F43" i="5"/>
  <c r="Y50" i="121" s="1"/>
  <c r="D43" i="5"/>
  <c r="Y48" i="121" s="1"/>
  <c r="E41" i="5"/>
  <c r="W49" i="121" s="1"/>
  <c r="D41" i="5"/>
  <c r="W48" i="121" s="1"/>
  <c r="F23" i="5"/>
  <c r="AG59" i="120" s="1"/>
  <c r="D23" i="5"/>
  <c r="AG59" i="104" s="1"/>
  <c r="AG57" i="120" s="1"/>
  <c r="F20" i="5"/>
  <c r="AD59" i="120" s="1"/>
  <c r="E20" i="5"/>
  <c r="AD58" i="120" s="1"/>
  <c r="D20" i="5"/>
  <c r="AD59" i="104" s="1"/>
  <c r="AD57" i="120" s="1"/>
  <c r="E18" i="5"/>
  <c r="AB58" i="120" s="1"/>
  <c r="AA5" i="107" l="1"/>
  <c r="AA7" i="107"/>
  <c r="AA28" i="107"/>
  <c r="AA18" i="107"/>
  <c r="AA49" i="107"/>
  <c r="AA43" i="107"/>
  <c r="AA11" i="107"/>
  <c r="AA12" i="107"/>
  <c r="AA15" i="107"/>
  <c r="AA26" i="107"/>
  <c r="AA36" i="107"/>
  <c r="AA51" i="107"/>
  <c r="AO2" i="122"/>
  <c r="AA33" i="107"/>
  <c r="AA34" i="107"/>
  <c r="AA23" i="107"/>
  <c r="AA35" i="107"/>
  <c r="AA44" i="107"/>
  <c r="AA42" i="107"/>
  <c r="X10" i="118"/>
  <c r="AF10" i="118" s="1"/>
  <c r="AI8" i="115"/>
  <c r="AI7" i="115"/>
  <c r="X9" i="118"/>
  <c r="AF9" i="118" s="1"/>
  <c r="AI6" i="115"/>
  <c r="AI2" i="115"/>
  <c r="AI4" i="115"/>
  <c r="AT2" i="122"/>
  <c r="AT7" i="122" s="1"/>
  <c r="AR35" i="120"/>
  <c r="AV35" i="120" s="1"/>
  <c r="AV34" i="120"/>
  <c r="E19" i="119"/>
  <c r="AO7" i="122"/>
  <c r="AO9" i="122" s="1"/>
  <c r="AR47" i="120"/>
  <c r="AV47" i="120" s="1"/>
  <c r="AV46" i="120"/>
  <c r="AR30" i="120"/>
  <c r="AV29" i="120"/>
  <c r="AQ9" i="120"/>
  <c r="AJ2" i="122"/>
  <c r="AV7" i="120"/>
  <c r="AR8" i="120"/>
  <c r="AV8" i="120" s="1"/>
  <c r="AR26" i="120"/>
  <c r="AV25" i="120"/>
  <c r="AV38" i="120"/>
  <c r="AR39" i="120"/>
  <c r="AV39" i="120" s="1"/>
  <c r="AC10" i="121"/>
  <c r="AV49" i="120"/>
  <c r="AR50" i="120"/>
  <c r="AV50" i="120" s="1"/>
  <c r="X12" i="118"/>
  <c r="AF12" i="118" s="1"/>
  <c r="X11" i="118"/>
  <c r="AF11" i="118" s="1"/>
  <c r="AT9" i="114"/>
  <c r="AJ9" i="114"/>
  <c r="AA50" i="110"/>
  <c r="AA50" i="111"/>
  <c r="AA50" i="108"/>
  <c r="AA50" i="109"/>
  <c r="AB58" i="107"/>
  <c r="AB58" i="106"/>
  <c r="AB58" i="105"/>
  <c r="AB60" i="104"/>
  <c r="Y48" i="111"/>
  <c r="Y48" i="110"/>
  <c r="Y48" i="108"/>
  <c r="Y48" i="109"/>
  <c r="AD58" i="107"/>
  <c r="AD58" i="106"/>
  <c r="AD60" i="104"/>
  <c r="AD58" i="105"/>
  <c r="W49" i="111"/>
  <c r="W49" i="109"/>
  <c r="W49" i="110"/>
  <c r="W49" i="108"/>
  <c r="AD59" i="107"/>
  <c r="AD59" i="106"/>
  <c r="AD59" i="105"/>
  <c r="AD61" i="104"/>
  <c r="W50" i="111"/>
  <c r="W50" i="110"/>
  <c r="W50" i="108"/>
  <c r="W50" i="109"/>
  <c r="M10" i="111"/>
  <c r="M10" i="125" s="1"/>
  <c r="AD57" i="106"/>
  <c r="AD57" i="107"/>
  <c r="AD57" i="105"/>
  <c r="Y50" i="110"/>
  <c r="Y50" i="108"/>
  <c r="Y50" i="109"/>
  <c r="Y50" i="111"/>
  <c r="R50" i="110"/>
  <c r="R50" i="111"/>
  <c r="R50" i="109"/>
  <c r="R50" i="108"/>
  <c r="R49" i="110"/>
  <c r="R49" i="108"/>
  <c r="R49" i="109"/>
  <c r="R52" i="109" s="1"/>
  <c r="R49" i="111"/>
  <c r="AG57" i="106"/>
  <c r="AG57" i="107"/>
  <c r="AG57" i="105"/>
  <c r="AB57" i="106"/>
  <c r="AB57" i="107"/>
  <c r="AB57" i="105"/>
  <c r="AG59" i="107"/>
  <c r="AG59" i="106"/>
  <c r="AG59" i="105"/>
  <c r="AG61" i="104"/>
  <c r="W48" i="111"/>
  <c r="W48" i="108"/>
  <c r="W48" i="109"/>
  <c r="W48" i="110"/>
  <c r="Z10" i="110"/>
  <c r="R52" i="110"/>
  <c r="Z52" i="110"/>
  <c r="S10" i="109"/>
  <c r="AJ61" i="106"/>
  <c r="S7" i="109"/>
  <c r="AH61" i="106"/>
  <c r="S9" i="109"/>
  <c r="AI61" i="106"/>
  <c r="D30" i="5"/>
  <c r="L48" i="121" s="1"/>
  <c r="D45" i="5"/>
  <c r="AA48" i="121" s="1"/>
  <c r="D28" i="5"/>
  <c r="AL59" i="104" s="1"/>
  <c r="AL57" i="120" s="1"/>
  <c r="F28" i="5"/>
  <c r="AL59" i="120" s="1"/>
  <c r="E28" i="5"/>
  <c r="AL58" i="120" s="1"/>
  <c r="F18" i="5"/>
  <c r="AB59" i="120" s="1"/>
  <c r="E45" i="5"/>
  <c r="AA49" i="121" s="1"/>
  <c r="F37" i="5"/>
  <c r="S50" i="121" s="1"/>
  <c r="T42" i="4"/>
  <c r="S42" i="4"/>
  <c r="R42" i="4"/>
  <c r="Q42" i="4"/>
  <c r="P42" i="4"/>
  <c r="O42" i="4"/>
  <c r="N42" i="4"/>
  <c r="M42" i="4"/>
  <c r="L42" i="4"/>
  <c r="K42" i="4"/>
  <c r="J42" i="4"/>
  <c r="I42" i="4"/>
  <c r="U42" i="4" s="1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U36" i="4" s="1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U28" i="4" s="1"/>
  <c r="L28" i="4"/>
  <c r="K28" i="4"/>
  <c r="J28" i="4"/>
  <c r="I28" i="4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U20" i="4" s="1"/>
  <c r="L20" i="4"/>
  <c r="K20" i="4"/>
  <c r="J20" i="4"/>
  <c r="I20" i="4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U12" i="4" s="1"/>
  <c r="L12" i="4"/>
  <c r="K12" i="4"/>
  <c r="J12" i="4"/>
  <c r="I12" i="4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U4" i="4" s="1"/>
  <c r="L4" i="4"/>
  <c r="K4" i="4"/>
  <c r="J4" i="4"/>
  <c r="I4" i="4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U48" i="3" s="1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U46" i="3" s="1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U40" i="3" s="1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U39" i="3" s="1"/>
  <c r="I39" i="3"/>
  <c r="T38" i="3"/>
  <c r="S38" i="3"/>
  <c r="R38" i="3"/>
  <c r="Q38" i="3"/>
  <c r="P38" i="3"/>
  <c r="O38" i="3"/>
  <c r="N38" i="3"/>
  <c r="M38" i="3"/>
  <c r="U38" i="3" s="1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U32" i="3" s="1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U30" i="3" s="1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U24" i="3" s="1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U22" i="3" s="1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U16" i="3" s="1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U14" i="3" s="1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U13" i="3" s="1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L8" i="3"/>
  <c r="K8" i="3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R8" i="3" s="1"/>
  <c r="Q6" i="3"/>
  <c r="Q8" i="3" s="1"/>
  <c r="P6" i="3"/>
  <c r="P8" i="3" s="1"/>
  <c r="O6" i="3"/>
  <c r="O8" i="3" s="1"/>
  <c r="N6" i="3"/>
  <c r="N8" i="3" s="1"/>
  <c r="M6" i="3"/>
  <c r="M8" i="3" s="1"/>
  <c r="L6" i="3"/>
  <c r="K6" i="3"/>
  <c r="J6" i="3"/>
  <c r="J8" i="3" s="1"/>
  <c r="I6" i="3"/>
  <c r="I8" i="3" s="1"/>
  <c r="T5" i="3"/>
  <c r="S5" i="3"/>
  <c r="R5" i="3"/>
  <c r="Q5" i="3"/>
  <c r="P5" i="3"/>
  <c r="O5" i="3"/>
  <c r="N5" i="3"/>
  <c r="M5" i="3"/>
  <c r="L5" i="3"/>
  <c r="K5" i="3"/>
  <c r="J5" i="3"/>
  <c r="U5" i="3" s="1"/>
  <c r="I5" i="3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U3" i="3" s="1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5" i="124" l="1"/>
  <c r="I5" i="120"/>
  <c r="I5" i="105"/>
  <c r="I5" i="112"/>
  <c r="I5" i="106"/>
  <c r="I5" i="107"/>
  <c r="I5" i="104"/>
  <c r="I7" i="124"/>
  <c r="I7" i="120"/>
  <c r="I7" i="105"/>
  <c r="P13" i="5"/>
  <c r="P16" i="5" s="1"/>
  <c r="I7" i="106"/>
  <c r="I7" i="104"/>
  <c r="I7" i="107"/>
  <c r="I7" i="112"/>
  <c r="I19" i="124"/>
  <c r="I19" i="120"/>
  <c r="I19" i="104"/>
  <c r="I19" i="107"/>
  <c r="I19" i="112"/>
  <c r="I19" i="105"/>
  <c r="I19" i="106"/>
  <c r="I35" i="124"/>
  <c r="I35" i="120"/>
  <c r="I35" i="107"/>
  <c r="I35" i="105"/>
  <c r="I35" i="104"/>
  <c r="I35" i="112"/>
  <c r="I35" i="106"/>
  <c r="I43" i="124"/>
  <c r="I43" i="120"/>
  <c r="I43" i="107"/>
  <c r="I43" i="105"/>
  <c r="I43" i="104"/>
  <c r="I43" i="112"/>
  <c r="I43" i="106"/>
  <c r="I51" i="124"/>
  <c r="I51" i="120"/>
  <c r="I51" i="105"/>
  <c r="I51" i="104"/>
  <c r="I51" i="112"/>
  <c r="I51" i="106"/>
  <c r="I51" i="107"/>
  <c r="U8" i="3"/>
  <c r="I15" i="124"/>
  <c r="I15" i="120"/>
  <c r="I15" i="105"/>
  <c r="I15" i="112"/>
  <c r="I15" i="106"/>
  <c r="I15" i="107"/>
  <c r="I15" i="104"/>
  <c r="I27" i="124"/>
  <c r="I27" i="120"/>
  <c r="I27" i="104"/>
  <c r="I27" i="112"/>
  <c r="I27" i="106"/>
  <c r="I27" i="107"/>
  <c r="I27" i="105"/>
  <c r="I10" i="124"/>
  <c r="I10" i="120"/>
  <c r="I10" i="106"/>
  <c r="I10" i="107"/>
  <c r="I10" i="104"/>
  <c r="I10" i="105"/>
  <c r="I10" i="112"/>
  <c r="I12" i="124"/>
  <c r="I12" i="120"/>
  <c r="I12" i="107"/>
  <c r="I12" i="104"/>
  <c r="I12" i="105"/>
  <c r="I12" i="112"/>
  <c r="I12" i="106"/>
  <c r="I14" i="124"/>
  <c r="I14" i="120"/>
  <c r="I14" i="112"/>
  <c r="I14" i="106"/>
  <c r="I14" i="107"/>
  <c r="I14" i="104"/>
  <c r="I14" i="105"/>
  <c r="I17" i="124"/>
  <c r="I17" i="120"/>
  <c r="I17" i="107"/>
  <c r="I17" i="104"/>
  <c r="I17" i="105"/>
  <c r="I17" i="106"/>
  <c r="I17" i="112"/>
  <c r="I18" i="124"/>
  <c r="I18" i="120"/>
  <c r="I18" i="106"/>
  <c r="I18" i="107"/>
  <c r="I18" i="105"/>
  <c r="I18" i="112"/>
  <c r="I18" i="104"/>
  <c r="I20" i="124"/>
  <c r="I20" i="120"/>
  <c r="I20" i="107"/>
  <c r="I20" i="104"/>
  <c r="I20" i="105"/>
  <c r="I20" i="112"/>
  <c r="I20" i="106"/>
  <c r="I22" i="124"/>
  <c r="I22" i="120"/>
  <c r="I22" i="104"/>
  <c r="I22" i="112"/>
  <c r="I22" i="106"/>
  <c r="I22" i="107"/>
  <c r="I22" i="105"/>
  <c r="I24" i="124"/>
  <c r="I24" i="120"/>
  <c r="I24" i="112"/>
  <c r="I24" i="106"/>
  <c r="I24" i="107"/>
  <c r="I24" i="104"/>
  <c r="I24" i="105"/>
  <c r="I25" i="124"/>
  <c r="I25" i="120"/>
  <c r="I25" i="107"/>
  <c r="I25" i="105"/>
  <c r="I25" i="112"/>
  <c r="I25" i="104"/>
  <c r="I25" i="106"/>
  <c r="I26" i="124"/>
  <c r="I26" i="120"/>
  <c r="I26" i="112"/>
  <c r="I26" i="106"/>
  <c r="I26" i="107"/>
  <c r="I26" i="105"/>
  <c r="I26" i="104"/>
  <c r="I28" i="124"/>
  <c r="I28" i="120"/>
  <c r="I28" i="112"/>
  <c r="I28" i="107"/>
  <c r="I28" i="104"/>
  <c r="I28" i="106"/>
  <c r="I28" i="105"/>
  <c r="I30" i="124"/>
  <c r="I30" i="120"/>
  <c r="I30" i="104"/>
  <c r="I30" i="112"/>
  <c r="I30" i="106"/>
  <c r="I30" i="105"/>
  <c r="I30" i="107"/>
  <c r="I32" i="124"/>
  <c r="I32" i="120"/>
  <c r="I32" i="105"/>
  <c r="I32" i="106"/>
  <c r="I32" i="112"/>
  <c r="I32" i="107"/>
  <c r="I32" i="104"/>
  <c r="I33" i="124"/>
  <c r="I33" i="120"/>
  <c r="I33" i="106"/>
  <c r="I33" i="107"/>
  <c r="I33" i="104"/>
  <c r="I33" i="105"/>
  <c r="I33" i="112"/>
  <c r="I34" i="124"/>
  <c r="I34" i="120"/>
  <c r="I34" i="106"/>
  <c r="I34" i="107"/>
  <c r="I34" i="112"/>
  <c r="I34" i="105"/>
  <c r="I34" i="104"/>
  <c r="I36" i="124"/>
  <c r="I36" i="120"/>
  <c r="I36" i="107"/>
  <c r="I36" i="105"/>
  <c r="I36" i="104"/>
  <c r="I36" i="112"/>
  <c r="I36" i="106"/>
  <c r="I38" i="124"/>
  <c r="I38" i="120"/>
  <c r="I38" i="104"/>
  <c r="I38" i="112"/>
  <c r="I38" i="106"/>
  <c r="I38" i="105"/>
  <c r="I38" i="107"/>
  <c r="I40" i="124"/>
  <c r="I40" i="120"/>
  <c r="I40" i="105"/>
  <c r="I40" i="106"/>
  <c r="I40" i="112"/>
  <c r="I40" i="107"/>
  <c r="I40" i="104"/>
  <c r="I41" i="124"/>
  <c r="I41" i="120"/>
  <c r="I41" i="106"/>
  <c r="I41" i="107"/>
  <c r="I41" i="104"/>
  <c r="I41" i="105"/>
  <c r="I41" i="112"/>
  <c r="I44" i="124"/>
  <c r="I44" i="120"/>
  <c r="I44" i="107"/>
  <c r="I44" i="105"/>
  <c r="I44" i="104"/>
  <c r="I44" i="112"/>
  <c r="I44" i="106"/>
  <c r="I46" i="124"/>
  <c r="I46" i="120"/>
  <c r="I46" i="104"/>
  <c r="I46" i="112"/>
  <c r="I46" i="106"/>
  <c r="I46" i="105"/>
  <c r="I46" i="107"/>
  <c r="I48" i="124"/>
  <c r="I48" i="120"/>
  <c r="I48" i="105"/>
  <c r="I48" i="106"/>
  <c r="I48" i="112"/>
  <c r="I48" i="107"/>
  <c r="I48" i="104"/>
  <c r="I49" i="124"/>
  <c r="I49" i="120"/>
  <c r="I49" i="104"/>
  <c r="I49" i="107"/>
  <c r="I49" i="105"/>
  <c r="I49" i="112"/>
  <c r="I49" i="106"/>
  <c r="I50" i="124"/>
  <c r="I50" i="120"/>
  <c r="I50" i="106"/>
  <c r="I50" i="107"/>
  <c r="I50" i="112"/>
  <c r="I50" i="105"/>
  <c r="I50" i="104"/>
  <c r="I52" i="124"/>
  <c r="I52" i="120"/>
  <c r="I52" i="107"/>
  <c r="I52" i="105"/>
  <c r="I52" i="104"/>
  <c r="I52" i="112"/>
  <c r="I52" i="106"/>
  <c r="I54" i="124"/>
  <c r="I54" i="120"/>
  <c r="I54" i="104"/>
  <c r="I54" i="112"/>
  <c r="I54" i="106"/>
  <c r="I54" i="105"/>
  <c r="I54" i="107"/>
  <c r="I6" i="125"/>
  <c r="I6" i="121"/>
  <c r="I6" i="109"/>
  <c r="I6" i="111"/>
  <c r="I6" i="108"/>
  <c r="I6" i="110"/>
  <c r="I7" i="125"/>
  <c r="I7" i="121"/>
  <c r="I7" i="109"/>
  <c r="I7" i="111"/>
  <c r="I7" i="108"/>
  <c r="I7" i="110"/>
  <c r="I8" i="125"/>
  <c r="I8" i="121"/>
  <c r="I8" i="111"/>
  <c r="I8" i="108"/>
  <c r="I8" i="110"/>
  <c r="I8" i="109"/>
  <c r="I10" i="125"/>
  <c r="I10" i="121"/>
  <c r="I10" i="111"/>
  <c r="I10" i="108"/>
  <c r="I10" i="110"/>
  <c r="I10" i="109"/>
  <c r="I12" i="125"/>
  <c r="I12" i="121"/>
  <c r="I12" i="110"/>
  <c r="I12" i="109"/>
  <c r="I12" i="111"/>
  <c r="I12" i="108"/>
  <c r="I14" i="125"/>
  <c r="I14" i="121"/>
  <c r="I14" i="109"/>
  <c r="I14" i="108"/>
  <c r="I14" i="111"/>
  <c r="I14" i="110"/>
  <c r="I15" i="125"/>
  <c r="I15" i="121"/>
  <c r="I15" i="109"/>
  <c r="I15" i="111"/>
  <c r="I15" i="108"/>
  <c r="I15" i="110"/>
  <c r="I16" i="125"/>
  <c r="I16" i="121"/>
  <c r="I16" i="111"/>
  <c r="I16" i="108"/>
  <c r="I16" i="110"/>
  <c r="I16" i="109"/>
  <c r="I18" i="125"/>
  <c r="I18" i="121"/>
  <c r="I18" i="111"/>
  <c r="I18" i="110"/>
  <c r="I18" i="109"/>
  <c r="I18" i="108"/>
  <c r="I20" i="125"/>
  <c r="I20" i="121"/>
  <c r="I20" i="110"/>
  <c r="I20" i="109"/>
  <c r="I20" i="111"/>
  <c r="I20" i="108"/>
  <c r="I22" i="125"/>
  <c r="I22" i="121"/>
  <c r="I22" i="109"/>
  <c r="I22" i="111"/>
  <c r="I22" i="108"/>
  <c r="I22" i="110"/>
  <c r="I23" i="125"/>
  <c r="I23" i="121"/>
  <c r="I23" i="109"/>
  <c r="I23" i="111"/>
  <c r="I23" i="108"/>
  <c r="I23" i="110"/>
  <c r="I24" i="125"/>
  <c r="I24" i="121"/>
  <c r="I24" i="111"/>
  <c r="I24" i="108"/>
  <c r="I24" i="110"/>
  <c r="I24" i="109"/>
  <c r="I26" i="125"/>
  <c r="I26" i="121"/>
  <c r="I26" i="111"/>
  <c r="I26" i="108"/>
  <c r="I26" i="110"/>
  <c r="I26" i="109"/>
  <c r="I28" i="125"/>
  <c r="I28" i="121"/>
  <c r="I28" i="110"/>
  <c r="I28" i="109"/>
  <c r="I28" i="111"/>
  <c r="I28" i="108"/>
  <c r="I30" i="125"/>
  <c r="I30" i="121"/>
  <c r="I30" i="109"/>
  <c r="I30" i="111"/>
  <c r="I30" i="108"/>
  <c r="I30" i="110"/>
  <c r="I31" i="125"/>
  <c r="I31" i="121"/>
  <c r="I31" i="109"/>
  <c r="I31" i="111"/>
  <c r="I31" i="108"/>
  <c r="I31" i="110"/>
  <c r="I32" i="125"/>
  <c r="I32" i="121"/>
  <c r="I32" i="111"/>
  <c r="I32" i="108"/>
  <c r="I32" i="110"/>
  <c r="I32" i="109"/>
  <c r="I34" i="125"/>
  <c r="I34" i="121"/>
  <c r="I34" i="111"/>
  <c r="I34" i="108"/>
  <c r="I34" i="110"/>
  <c r="I34" i="109"/>
  <c r="I36" i="125"/>
  <c r="I36" i="121"/>
  <c r="I36" i="110"/>
  <c r="I36" i="109"/>
  <c r="I36" i="111"/>
  <c r="I36" i="108"/>
  <c r="I38" i="125"/>
  <c r="I38" i="121"/>
  <c r="I38" i="109"/>
  <c r="I38" i="108"/>
  <c r="I38" i="111"/>
  <c r="I38" i="110"/>
  <c r="I39" i="125"/>
  <c r="I39" i="121"/>
  <c r="I39" i="109"/>
  <c r="I39" i="111"/>
  <c r="I39" i="108"/>
  <c r="I39" i="110"/>
  <c r="I40" i="125"/>
  <c r="I40" i="121"/>
  <c r="I40" i="111"/>
  <c r="I40" i="108"/>
  <c r="I40" i="110"/>
  <c r="I40" i="109"/>
  <c r="I42" i="125"/>
  <c r="I42" i="121"/>
  <c r="I42" i="111"/>
  <c r="I42" i="110"/>
  <c r="I42" i="109"/>
  <c r="I42" i="108"/>
  <c r="I44" i="125"/>
  <c r="I44" i="121"/>
  <c r="I44" i="110"/>
  <c r="I44" i="109"/>
  <c r="I44" i="111"/>
  <c r="I44" i="108"/>
  <c r="R51" i="109"/>
  <c r="R7" i="121"/>
  <c r="S7" i="121" s="1"/>
  <c r="R9" i="121"/>
  <c r="S9" i="121" s="1"/>
  <c r="R7" i="110"/>
  <c r="R10" i="121"/>
  <c r="S10" i="121" s="1"/>
  <c r="I6" i="124"/>
  <c r="I6" i="120"/>
  <c r="I6" i="112"/>
  <c r="I6" i="106"/>
  <c r="I6" i="107"/>
  <c r="I6" i="104"/>
  <c r="I6" i="105"/>
  <c r="I8" i="124"/>
  <c r="I8" i="120"/>
  <c r="I8" i="112"/>
  <c r="I8" i="106"/>
  <c r="I8" i="107"/>
  <c r="I8" i="104"/>
  <c r="I8" i="105"/>
  <c r="I16" i="124"/>
  <c r="I16" i="120"/>
  <c r="I16" i="112"/>
  <c r="I16" i="106"/>
  <c r="I16" i="107"/>
  <c r="I16" i="104"/>
  <c r="I16" i="105"/>
  <c r="I42" i="124"/>
  <c r="I42" i="120"/>
  <c r="I42" i="106"/>
  <c r="I42" i="107"/>
  <c r="I42" i="112"/>
  <c r="I42" i="105"/>
  <c r="I42" i="104"/>
  <c r="I13" i="124"/>
  <c r="I13" i="120"/>
  <c r="I13" i="105"/>
  <c r="I13" i="112"/>
  <c r="I13" i="106"/>
  <c r="I13" i="107"/>
  <c r="I13" i="104"/>
  <c r="I21" i="124"/>
  <c r="I21" i="120"/>
  <c r="I21" i="104"/>
  <c r="I21" i="105"/>
  <c r="I21" i="112"/>
  <c r="I21" i="106"/>
  <c r="I21" i="107"/>
  <c r="I23" i="124"/>
  <c r="I23" i="120"/>
  <c r="I23" i="105"/>
  <c r="I23" i="112"/>
  <c r="I23" i="106"/>
  <c r="I23" i="107"/>
  <c r="I23" i="104"/>
  <c r="I29" i="124"/>
  <c r="I29" i="120"/>
  <c r="I29" i="104"/>
  <c r="I29" i="106"/>
  <c r="I29" i="105"/>
  <c r="I29" i="112"/>
  <c r="I29" i="107"/>
  <c r="I31" i="124"/>
  <c r="I31" i="120"/>
  <c r="I31" i="105"/>
  <c r="I31" i="106"/>
  <c r="I31" i="107"/>
  <c r="I31" i="112"/>
  <c r="I31" i="104"/>
  <c r="I37" i="124"/>
  <c r="I37" i="120"/>
  <c r="I37" i="106"/>
  <c r="I37" i="105"/>
  <c r="I37" i="104"/>
  <c r="I37" i="112"/>
  <c r="I37" i="107"/>
  <c r="I39" i="124"/>
  <c r="I39" i="120"/>
  <c r="I39" i="105"/>
  <c r="I39" i="106"/>
  <c r="I39" i="107"/>
  <c r="I39" i="112"/>
  <c r="I39" i="104"/>
  <c r="I45" i="124"/>
  <c r="I45" i="120"/>
  <c r="I45" i="106"/>
  <c r="I45" i="105"/>
  <c r="I45" i="112"/>
  <c r="I45" i="107"/>
  <c r="I45" i="104"/>
  <c r="I47" i="124"/>
  <c r="I47" i="120"/>
  <c r="I47" i="105"/>
  <c r="I47" i="106"/>
  <c r="I47" i="107"/>
  <c r="I47" i="112"/>
  <c r="I47" i="104"/>
  <c r="I53" i="124"/>
  <c r="I53" i="120"/>
  <c r="I53" i="104"/>
  <c r="I53" i="106"/>
  <c r="I53" i="105"/>
  <c r="I53" i="112"/>
  <c r="I53" i="107"/>
  <c r="I5" i="125"/>
  <c r="I5" i="121"/>
  <c r="P14" i="5"/>
  <c r="P17" i="5" s="1"/>
  <c r="I5" i="109"/>
  <c r="I5" i="111"/>
  <c r="I5" i="108"/>
  <c r="I5" i="110"/>
  <c r="I9" i="125"/>
  <c r="I9" i="121"/>
  <c r="I9" i="111"/>
  <c r="I9" i="108"/>
  <c r="I9" i="110"/>
  <c r="I9" i="109"/>
  <c r="I11" i="125"/>
  <c r="I11" i="121"/>
  <c r="I11" i="108"/>
  <c r="I11" i="110"/>
  <c r="I11" i="109"/>
  <c r="I11" i="111"/>
  <c r="I13" i="125"/>
  <c r="I13" i="121"/>
  <c r="I13" i="109"/>
  <c r="I13" i="111"/>
  <c r="I13" i="108"/>
  <c r="I13" i="110"/>
  <c r="I17" i="125"/>
  <c r="I17" i="121"/>
  <c r="I17" i="108"/>
  <c r="I17" i="110"/>
  <c r="I17" i="109"/>
  <c r="I17" i="111"/>
  <c r="I19" i="125"/>
  <c r="I19" i="121"/>
  <c r="I19" i="108"/>
  <c r="I19" i="109"/>
  <c r="I19" i="111"/>
  <c r="I19" i="110"/>
  <c r="I21" i="125"/>
  <c r="I21" i="121"/>
  <c r="I21" i="109"/>
  <c r="I21" i="111"/>
  <c r="I21" i="108"/>
  <c r="I21" i="110"/>
  <c r="I25" i="125"/>
  <c r="I25" i="121"/>
  <c r="I25" i="111"/>
  <c r="I25" i="108"/>
  <c r="I25" i="110"/>
  <c r="I25" i="109"/>
  <c r="I27" i="125"/>
  <c r="I27" i="121"/>
  <c r="I27" i="108"/>
  <c r="I27" i="110"/>
  <c r="I27" i="109"/>
  <c r="I27" i="111"/>
  <c r="I29" i="125"/>
  <c r="I29" i="121"/>
  <c r="I29" i="109"/>
  <c r="I29" i="111"/>
  <c r="I29" i="108"/>
  <c r="I29" i="110"/>
  <c r="I33" i="125"/>
  <c r="I33" i="121"/>
  <c r="I33" i="108"/>
  <c r="I33" i="110"/>
  <c r="I33" i="109"/>
  <c r="I33" i="111"/>
  <c r="I35" i="125"/>
  <c r="I35" i="121"/>
  <c r="I35" i="108"/>
  <c r="I35" i="109"/>
  <c r="I35" i="111"/>
  <c r="I35" i="110"/>
  <c r="I37" i="125"/>
  <c r="I37" i="121"/>
  <c r="I37" i="109"/>
  <c r="I37" i="111"/>
  <c r="I37" i="108"/>
  <c r="I37" i="110"/>
  <c r="I41" i="125"/>
  <c r="I41" i="121"/>
  <c r="I41" i="111"/>
  <c r="I41" i="108"/>
  <c r="I41" i="110"/>
  <c r="I41" i="109"/>
  <c r="I43" i="125"/>
  <c r="I43" i="121"/>
  <c r="I43" i="108"/>
  <c r="I43" i="110"/>
  <c r="I43" i="109"/>
  <c r="I43" i="111"/>
  <c r="I45" i="125"/>
  <c r="I45" i="121"/>
  <c r="I45" i="109"/>
  <c r="I45" i="111"/>
  <c r="I45" i="108"/>
  <c r="I45" i="110"/>
  <c r="AA10" i="110"/>
  <c r="U6" i="3"/>
  <c r="P12" i="5" s="1"/>
  <c r="P15" i="5" s="1"/>
  <c r="AJ7" i="122"/>
  <c r="AQ10" i="120"/>
  <c r="AV26" i="120"/>
  <c r="AR27" i="120"/>
  <c r="AV27" i="120" s="1"/>
  <c r="AR31" i="120"/>
  <c r="AV30" i="120"/>
  <c r="AT9" i="122"/>
  <c r="AL58" i="107"/>
  <c r="AL58" i="106"/>
  <c r="AL60" i="104"/>
  <c r="AL58" i="105"/>
  <c r="L48" i="110"/>
  <c r="L48" i="108"/>
  <c r="L48" i="109"/>
  <c r="L48" i="111"/>
  <c r="AL59" i="107"/>
  <c r="AL59" i="106"/>
  <c r="AL59" i="105"/>
  <c r="AL61" i="104"/>
  <c r="R9" i="110"/>
  <c r="AL57" i="106"/>
  <c r="AL57" i="107"/>
  <c r="AL57" i="105"/>
  <c r="R7" i="111"/>
  <c r="S7" i="111" s="1"/>
  <c r="R51" i="110"/>
  <c r="R9" i="111"/>
  <c r="S9" i="111" s="1"/>
  <c r="AB59" i="107"/>
  <c r="AB59" i="106"/>
  <c r="AB61" i="104"/>
  <c r="AB59" i="105"/>
  <c r="R10" i="111"/>
  <c r="S10" i="111" s="1"/>
  <c r="R10" i="110"/>
  <c r="AA48" i="110"/>
  <c r="AA48" i="108"/>
  <c r="AA48" i="111"/>
  <c r="AA48" i="109"/>
  <c r="S50" i="110"/>
  <c r="S50" i="111"/>
  <c r="S50" i="109"/>
  <c r="S50" i="108"/>
  <c r="Z10" i="111"/>
  <c r="AA10" i="111" s="1"/>
  <c r="AA49" i="110"/>
  <c r="AA49" i="111"/>
  <c r="AA49" i="108"/>
  <c r="AA49" i="109"/>
  <c r="D4" i="5"/>
  <c r="N59" i="104" s="1"/>
  <c r="N57" i="120" s="1"/>
  <c r="E37" i="5"/>
  <c r="S49" i="121" s="1"/>
  <c r="D37" i="5"/>
  <c r="S48" i="121" s="1"/>
  <c r="S9" i="110" l="1"/>
  <c r="Q9" i="125"/>
  <c r="X83" i="125"/>
  <c r="AE83" i="125"/>
  <c r="AG83" i="125"/>
  <c r="Z83" i="125"/>
  <c r="Y83" i="125"/>
  <c r="AB83" i="125"/>
  <c r="AF83" i="125"/>
  <c r="AC83" i="125"/>
  <c r="AA83" i="125"/>
  <c r="AD83" i="125"/>
  <c r="AH83" i="125"/>
  <c r="AB73" i="125"/>
  <c r="AG73" i="125"/>
  <c r="AH73" i="125"/>
  <c r="AD73" i="125"/>
  <c r="Z73" i="125"/>
  <c r="AF73" i="125"/>
  <c r="AC73" i="125"/>
  <c r="X73" i="125"/>
  <c r="Y73" i="125"/>
  <c r="AE73" i="125"/>
  <c r="AA73" i="125"/>
  <c r="AG63" i="125"/>
  <c r="AB63" i="125"/>
  <c r="Y63" i="125"/>
  <c r="X63" i="125"/>
  <c r="AA63" i="125"/>
  <c r="AE63" i="125"/>
  <c r="AF63" i="125"/>
  <c r="AC63" i="125"/>
  <c r="Z63" i="125"/>
  <c r="AD63" i="125"/>
  <c r="AH63" i="125"/>
  <c r="AS108" i="124"/>
  <c r="AR108" i="124"/>
  <c r="AV108" i="124"/>
  <c r="AJ108" i="124"/>
  <c r="AX108" i="124"/>
  <c r="BA108" i="124"/>
  <c r="AP108" i="124"/>
  <c r="BB108" i="124"/>
  <c r="AK108" i="124"/>
  <c r="AT108" i="124"/>
  <c r="AW108" i="124"/>
  <c r="AY108" i="124"/>
  <c r="AL108" i="124"/>
  <c r="AO108" i="124"/>
  <c r="AI108" i="124"/>
  <c r="AU108" i="124"/>
  <c r="AN108" i="124"/>
  <c r="AZ108" i="124"/>
  <c r="AM108" i="124"/>
  <c r="BD108" i="124"/>
  <c r="AQ108" i="124"/>
  <c r="BC108" i="124"/>
  <c r="AJ76" i="124"/>
  <c r="AZ76" i="124"/>
  <c r="AR76" i="124"/>
  <c r="AW76" i="124"/>
  <c r="AT76" i="124"/>
  <c r="AS76" i="124"/>
  <c r="AK76" i="124"/>
  <c r="AX76" i="124"/>
  <c r="AO76" i="124"/>
  <c r="AP76" i="124"/>
  <c r="BC76" i="124"/>
  <c r="BB76" i="124"/>
  <c r="AY76" i="124"/>
  <c r="AU76" i="124"/>
  <c r="AI76" i="124"/>
  <c r="AV76" i="124"/>
  <c r="AL76" i="124"/>
  <c r="BA76" i="124"/>
  <c r="AN76" i="124"/>
  <c r="AQ76" i="124"/>
  <c r="BD76" i="124"/>
  <c r="AM76" i="124"/>
  <c r="AH85" i="125"/>
  <c r="Z85" i="125"/>
  <c r="AF85" i="125"/>
  <c r="AG85" i="125"/>
  <c r="AE85" i="125"/>
  <c r="AB85" i="125"/>
  <c r="Y85" i="125"/>
  <c r="AD85" i="125"/>
  <c r="X85" i="125"/>
  <c r="AA85" i="125"/>
  <c r="AC85" i="125"/>
  <c r="AE78" i="125"/>
  <c r="Y78" i="125"/>
  <c r="AC78" i="125"/>
  <c r="X78" i="125"/>
  <c r="Z78" i="125"/>
  <c r="AA78" i="125"/>
  <c r="AG78" i="125"/>
  <c r="AD78" i="125"/>
  <c r="AF78" i="125"/>
  <c r="AB78" i="125"/>
  <c r="AH78" i="125"/>
  <c r="Z72" i="125"/>
  <c r="AD72" i="125"/>
  <c r="AG72" i="125"/>
  <c r="AE72" i="125"/>
  <c r="AC72" i="125"/>
  <c r="Y72" i="125"/>
  <c r="AF72" i="125"/>
  <c r="AH72" i="125"/>
  <c r="AB72" i="125"/>
  <c r="X72" i="125"/>
  <c r="AA72" i="125"/>
  <c r="AD66" i="125"/>
  <c r="AA66" i="125"/>
  <c r="X66" i="125"/>
  <c r="AB66" i="125"/>
  <c r="AH66" i="125"/>
  <c r="Z66" i="125"/>
  <c r="AE66" i="125"/>
  <c r="AG66" i="125"/>
  <c r="Y66" i="125"/>
  <c r="AC66" i="125"/>
  <c r="AF66" i="125"/>
  <c r="AH60" i="125"/>
  <c r="AE60" i="125"/>
  <c r="AB60" i="125"/>
  <c r="X60" i="125"/>
  <c r="AA60" i="125"/>
  <c r="AD60" i="125"/>
  <c r="AG60" i="125"/>
  <c r="AC60" i="125"/>
  <c r="Y60" i="125"/>
  <c r="Z60" i="125"/>
  <c r="AF60" i="125"/>
  <c r="AB53" i="125"/>
  <c r="X53" i="125"/>
  <c r="AG53" i="125"/>
  <c r="AF53" i="125"/>
  <c r="AC53" i="125"/>
  <c r="Y53" i="125"/>
  <c r="AD53" i="125"/>
  <c r="Z53" i="125"/>
  <c r="AH53" i="125"/>
  <c r="AE53" i="125"/>
  <c r="AA53" i="125"/>
  <c r="U53" i="125"/>
  <c r="M72" i="104"/>
  <c r="BA101" i="124"/>
  <c r="AT101" i="124"/>
  <c r="AX101" i="124"/>
  <c r="AK101" i="124"/>
  <c r="AJ101" i="124"/>
  <c r="AL101" i="124"/>
  <c r="AP101" i="124"/>
  <c r="BC101" i="124"/>
  <c r="AZ101" i="124"/>
  <c r="AU101" i="124"/>
  <c r="AY101" i="124"/>
  <c r="AW101" i="124"/>
  <c r="BD101" i="124"/>
  <c r="AM101" i="124"/>
  <c r="AQ101" i="124"/>
  <c r="AR101" i="124"/>
  <c r="AN101" i="124"/>
  <c r="AO101" i="124"/>
  <c r="BB101" i="124"/>
  <c r="AI101" i="124"/>
  <c r="AV101" i="124"/>
  <c r="AS101" i="124"/>
  <c r="AM87" i="124"/>
  <c r="BB87" i="124"/>
  <c r="AT87" i="124"/>
  <c r="AU87" i="124"/>
  <c r="AL87" i="124"/>
  <c r="AW87" i="124"/>
  <c r="AZ87" i="124"/>
  <c r="AO87" i="124"/>
  <c r="AR87" i="124"/>
  <c r="AN87" i="124"/>
  <c r="AQ87" i="124"/>
  <c r="BA87" i="124"/>
  <c r="P87" i="124"/>
  <c r="R87" i="124"/>
  <c r="AS87" i="124"/>
  <c r="AX87" i="124"/>
  <c r="BC87" i="124"/>
  <c r="AK87" i="124"/>
  <c r="AJ87" i="124"/>
  <c r="AP87" i="124"/>
  <c r="AV87" i="124"/>
  <c r="BD87" i="124"/>
  <c r="AY87" i="124"/>
  <c r="AI87" i="124"/>
  <c r="AK73" i="124"/>
  <c r="AV73" i="124"/>
  <c r="AR73" i="124"/>
  <c r="AW73" i="124"/>
  <c r="AJ73" i="124"/>
  <c r="AO73" i="124"/>
  <c r="BB73" i="124"/>
  <c r="AX73" i="124"/>
  <c r="BA73" i="124"/>
  <c r="AZ73" i="124"/>
  <c r="AP73" i="124"/>
  <c r="BC73" i="124"/>
  <c r="AU73" i="124"/>
  <c r="AY73" i="124"/>
  <c r="AN73" i="124"/>
  <c r="AM73" i="124"/>
  <c r="AQ73" i="124"/>
  <c r="AS73" i="124"/>
  <c r="AT73" i="124"/>
  <c r="AI73" i="124"/>
  <c r="AL73" i="124"/>
  <c r="BD73" i="124"/>
  <c r="AZ90" i="124"/>
  <c r="AO90" i="124"/>
  <c r="AV90" i="124"/>
  <c r="AT90" i="124"/>
  <c r="AN90" i="124"/>
  <c r="AL90" i="124"/>
  <c r="AW90" i="124"/>
  <c r="AY90" i="124"/>
  <c r="AR90" i="124"/>
  <c r="AM90" i="124"/>
  <c r="BB90" i="124"/>
  <c r="AJ90" i="124"/>
  <c r="AQ90" i="124"/>
  <c r="AI90" i="124"/>
  <c r="AK90" i="124"/>
  <c r="AX90" i="124"/>
  <c r="BD90" i="124"/>
  <c r="AP90" i="124"/>
  <c r="BA90" i="124"/>
  <c r="BC90" i="124"/>
  <c r="AU90" i="124"/>
  <c r="AS90" i="124"/>
  <c r="AD51" i="125"/>
  <c r="AF51" i="125"/>
  <c r="AA51" i="125"/>
  <c r="X51" i="125"/>
  <c r="AC51" i="125"/>
  <c r="AH51" i="125"/>
  <c r="AB51" i="125"/>
  <c r="AE51" i="125"/>
  <c r="Z51" i="125"/>
  <c r="AG51" i="125"/>
  <c r="Y51" i="125"/>
  <c r="BC78" i="124"/>
  <c r="AY78" i="124"/>
  <c r="AU78" i="124"/>
  <c r="AQ78" i="124"/>
  <c r="BD78" i="124"/>
  <c r="AM78" i="124"/>
  <c r="AZ78" i="124"/>
  <c r="AI78" i="124"/>
  <c r="AV78" i="124"/>
  <c r="AO78" i="124"/>
  <c r="BA78" i="124"/>
  <c r="AN78" i="124"/>
  <c r="AS78" i="124"/>
  <c r="AK78" i="124"/>
  <c r="AX78" i="124"/>
  <c r="AP78" i="124"/>
  <c r="AR78" i="124"/>
  <c r="AJ78" i="124"/>
  <c r="BB78" i="124"/>
  <c r="AT78" i="124"/>
  <c r="AW78" i="124"/>
  <c r="AL78" i="124"/>
  <c r="AU103" i="124"/>
  <c r="AW103" i="124"/>
  <c r="BD103" i="124"/>
  <c r="AM103" i="124"/>
  <c r="AY103" i="124"/>
  <c r="BA103" i="124"/>
  <c r="AV103" i="124"/>
  <c r="AQ103" i="124"/>
  <c r="AO103" i="124"/>
  <c r="AS103" i="124"/>
  <c r="AN103" i="124"/>
  <c r="AI103" i="124"/>
  <c r="AT103" i="124"/>
  <c r="AR103" i="124"/>
  <c r="AL103" i="124"/>
  <c r="AX103" i="124"/>
  <c r="AJ103" i="124"/>
  <c r="BC103" i="124"/>
  <c r="AP103" i="124"/>
  <c r="BB103" i="124"/>
  <c r="AK103" i="124"/>
  <c r="AZ103" i="124"/>
  <c r="BC88" i="124"/>
  <c r="AY88" i="124"/>
  <c r="AX88" i="124"/>
  <c r="BA88" i="124"/>
  <c r="AV88" i="124"/>
  <c r="AP88" i="124"/>
  <c r="AS88" i="124"/>
  <c r="BB88" i="124"/>
  <c r="AJ88" i="124"/>
  <c r="AU88" i="124"/>
  <c r="AW88" i="124"/>
  <c r="AZ88" i="124"/>
  <c r="AI88" i="124"/>
  <c r="AK88" i="124"/>
  <c r="BD88" i="124"/>
  <c r="AR88" i="124"/>
  <c r="AN88" i="124"/>
  <c r="AL88" i="124"/>
  <c r="AT88" i="124"/>
  <c r="AM88" i="124"/>
  <c r="AO88" i="124"/>
  <c r="AQ88" i="124"/>
  <c r="BD75" i="124"/>
  <c r="BA75" i="124"/>
  <c r="AS75" i="124"/>
  <c r="AV75" i="124"/>
  <c r="AL75" i="124"/>
  <c r="AY75" i="124"/>
  <c r="BC75" i="124"/>
  <c r="AU75" i="124"/>
  <c r="AQ75" i="124"/>
  <c r="BB75" i="124"/>
  <c r="AI75" i="124"/>
  <c r="AT75" i="124"/>
  <c r="AW75" i="124"/>
  <c r="AZ75" i="124"/>
  <c r="AX75" i="124"/>
  <c r="AO75" i="124"/>
  <c r="AR75" i="124"/>
  <c r="AN75" i="124"/>
  <c r="AJ75" i="124"/>
  <c r="AM75" i="124"/>
  <c r="AK75" i="124"/>
  <c r="AP75" i="124"/>
  <c r="AZ98" i="124"/>
  <c r="AU98" i="124"/>
  <c r="BD98" i="124"/>
  <c r="AM98" i="124"/>
  <c r="AY98" i="124"/>
  <c r="BA98" i="124"/>
  <c r="AV98" i="124"/>
  <c r="AQ98" i="124"/>
  <c r="AK98" i="124"/>
  <c r="AT98" i="124"/>
  <c r="AX98" i="124"/>
  <c r="AO98" i="124"/>
  <c r="BC98" i="124"/>
  <c r="AP98" i="124"/>
  <c r="BB98" i="124"/>
  <c r="AJ98" i="124"/>
  <c r="AL98" i="124"/>
  <c r="AS98" i="124"/>
  <c r="AN98" i="124"/>
  <c r="AI98" i="124"/>
  <c r="AW98" i="124"/>
  <c r="AR98" i="124"/>
  <c r="Y87" i="125"/>
  <c r="AD87" i="125"/>
  <c r="AH87" i="125"/>
  <c r="AB87" i="125"/>
  <c r="AF87" i="125"/>
  <c r="AC87" i="125"/>
  <c r="AA87" i="125"/>
  <c r="X87" i="125"/>
  <c r="Z87" i="125"/>
  <c r="AE87" i="125"/>
  <c r="AG87" i="125"/>
  <c r="AG75" i="125"/>
  <c r="AF75" i="125"/>
  <c r="AB75" i="125"/>
  <c r="Y75" i="125"/>
  <c r="AC75" i="125"/>
  <c r="AA75" i="125"/>
  <c r="AE75" i="125"/>
  <c r="AH75" i="125"/>
  <c r="Z75" i="125"/>
  <c r="AD75" i="125"/>
  <c r="X75" i="125"/>
  <c r="Y65" i="125"/>
  <c r="AH65" i="125"/>
  <c r="AG65" i="125"/>
  <c r="AD65" i="125"/>
  <c r="Z65" i="125"/>
  <c r="AB65" i="125"/>
  <c r="AF65" i="125"/>
  <c r="AC65" i="125"/>
  <c r="X65" i="125"/>
  <c r="AE65" i="125"/>
  <c r="AA65" i="125"/>
  <c r="AE55" i="125"/>
  <c r="X55" i="125"/>
  <c r="AD55" i="125"/>
  <c r="AB55" i="125"/>
  <c r="U55" i="125"/>
  <c r="Q55" i="125"/>
  <c r="AA55" i="125"/>
  <c r="AC55" i="125"/>
  <c r="AG55" i="125"/>
  <c r="Z55" i="125"/>
  <c r="Y55" i="125"/>
  <c r="AF55" i="125"/>
  <c r="AH55" i="125"/>
  <c r="AQ84" i="124"/>
  <c r="BC84" i="124"/>
  <c r="AI84" i="124"/>
  <c r="AM84" i="124"/>
  <c r="AX84" i="124"/>
  <c r="BA84" i="124"/>
  <c r="AY84" i="124"/>
  <c r="AP84" i="124"/>
  <c r="AS84" i="124"/>
  <c r="AL84" i="124"/>
  <c r="BD84" i="124"/>
  <c r="AU84" i="124"/>
  <c r="AK84" i="124"/>
  <c r="AR84" i="124"/>
  <c r="AV84" i="124"/>
  <c r="AW84" i="124"/>
  <c r="AJ84" i="124"/>
  <c r="R84" i="124"/>
  <c r="AN84" i="124"/>
  <c r="AT84" i="124"/>
  <c r="P84" i="124"/>
  <c r="AZ84" i="124"/>
  <c r="AO84" i="124"/>
  <c r="BB84" i="124"/>
  <c r="AG86" i="125"/>
  <c r="X86" i="125"/>
  <c r="AB86" i="125"/>
  <c r="AF86" i="125"/>
  <c r="Z86" i="125"/>
  <c r="AA86" i="125"/>
  <c r="Y86" i="125"/>
  <c r="AE86" i="125"/>
  <c r="AC86" i="125"/>
  <c r="AH86" i="125"/>
  <c r="AD86" i="125"/>
  <c r="AB80" i="125"/>
  <c r="Z80" i="125"/>
  <c r="AE80" i="125"/>
  <c r="AC80" i="125"/>
  <c r="AG80" i="125"/>
  <c r="Y80" i="125"/>
  <c r="AA80" i="125"/>
  <c r="AF80" i="125"/>
  <c r="X80" i="125"/>
  <c r="AH80" i="125"/>
  <c r="AD80" i="125"/>
  <c r="AD74" i="125"/>
  <c r="AF74" i="125"/>
  <c r="X74" i="125"/>
  <c r="AB74" i="125"/>
  <c r="AH74" i="125"/>
  <c r="Z74" i="125"/>
  <c r="AE74" i="125"/>
  <c r="AA74" i="125"/>
  <c r="AG74" i="125"/>
  <c r="Y74" i="125"/>
  <c r="AC74" i="125"/>
  <c r="AH68" i="125"/>
  <c r="AA68" i="125"/>
  <c r="AD68" i="125"/>
  <c r="AE68" i="125"/>
  <c r="AG68" i="125"/>
  <c r="Z68" i="125"/>
  <c r="AC68" i="125"/>
  <c r="Y68" i="125"/>
  <c r="AF68" i="125"/>
  <c r="AB68" i="125"/>
  <c r="X68" i="125"/>
  <c r="AG61" i="125"/>
  <c r="AB61" i="125"/>
  <c r="AF61" i="125"/>
  <c r="AC61" i="125"/>
  <c r="X61" i="125"/>
  <c r="AE61" i="125"/>
  <c r="AA61" i="125"/>
  <c r="AH61" i="125"/>
  <c r="AD61" i="125"/>
  <c r="Z61" i="125"/>
  <c r="Y61" i="125"/>
  <c r="AE54" i="125"/>
  <c r="AG54" i="125"/>
  <c r="AD54" i="125"/>
  <c r="Y54" i="125"/>
  <c r="AH54" i="125"/>
  <c r="AA54" i="125"/>
  <c r="AC54" i="125"/>
  <c r="AF54" i="125"/>
  <c r="Z54" i="125"/>
  <c r="AB54" i="125"/>
  <c r="X54" i="125"/>
  <c r="AQ104" i="124"/>
  <c r="BC104" i="124"/>
  <c r="AV104" i="124"/>
  <c r="AI104" i="124"/>
  <c r="AU104" i="124"/>
  <c r="AZ104" i="124"/>
  <c r="AM104" i="124"/>
  <c r="AN104" i="124"/>
  <c r="AS104" i="124"/>
  <c r="AJ104" i="124"/>
  <c r="AX104" i="124"/>
  <c r="AK104" i="124"/>
  <c r="AP104" i="124"/>
  <c r="BB104" i="124"/>
  <c r="AW104" i="124"/>
  <c r="AY104" i="124"/>
  <c r="BD104" i="124"/>
  <c r="AO104" i="124"/>
  <c r="BA104" i="124"/>
  <c r="AT104" i="124"/>
  <c r="AR104" i="124"/>
  <c r="AL104" i="124"/>
  <c r="AX89" i="124"/>
  <c r="AO89" i="124"/>
  <c r="AP89" i="124"/>
  <c r="AU89" i="124"/>
  <c r="BA89" i="124"/>
  <c r="BB89" i="124"/>
  <c r="AN89" i="124"/>
  <c r="AT89" i="124"/>
  <c r="AV89" i="124"/>
  <c r="AL89" i="124"/>
  <c r="AI89" i="124"/>
  <c r="AZ89" i="124"/>
  <c r="AS89" i="124"/>
  <c r="BD89" i="124"/>
  <c r="AK89" i="124"/>
  <c r="AQ89" i="124"/>
  <c r="AR89" i="124"/>
  <c r="AW89" i="124"/>
  <c r="BC89" i="124"/>
  <c r="AY89" i="124"/>
  <c r="AM89" i="124"/>
  <c r="AJ89" i="124"/>
  <c r="AK77" i="124"/>
  <c r="AX77" i="124"/>
  <c r="AP77" i="124"/>
  <c r="BA77" i="124"/>
  <c r="AV77" i="124"/>
  <c r="AS77" i="124"/>
  <c r="AU77" i="124"/>
  <c r="AI77" i="124"/>
  <c r="BD77" i="124"/>
  <c r="AM77" i="124"/>
  <c r="AZ77" i="124"/>
  <c r="AR77" i="124"/>
  <c r="AW77" i="124"/>
  <c r="AJ77" i="124"/>
  <c r="AN77" i="124"/>
  <c r="AO77" i="124"/>
  <c r="BB77" i="124"/>
  <c r="AL77" i="124"/>
  <c r="AY77" i="124"/>
  <c r="BC77" i="124"/>
  <c r="AT77" i="124"/>
  <c r="AQ77" i="124"/>
  <c r="BB70" i="124"/>
  <c r="AI70" i="124"/>
  <c r="AV70" i="124"/>
  <c r="BA70" i="124"/>
  <c r="AN70" i="124"/>
  <c r="AJ70" i="124"/>
  <c r="AS70" i="124"/>
  <c r="AK70" i="124"/>
  <c r="AX70" i="124"/>
  <c r="BC70" i="124"/>
  <c r="AY70" i="124"/>
  <c r="AU70" i="124"/>
  <c r="AO70" i="124"/>
  <c r="AQ70" i="124"/>
  <c r="BD70" i="124"/>
  <c r="AM70" i="124"/>
  <c r="AZ70" i="124"/>
  <c r="AT70" i="124"/>
  <c r="AR70" i="124"/>
  <c r="AP70" i="124"/>
  <c r="AL70" i="124"/>
  <c r="AW70" i="124"/>
  <c r="AV106" i="124"/>
  <c r="AP106" i="124"/>
  <c r="BB106" i="124"/>
  <c r="AW106" i="124"/>
  <c r="AT106" i="124"/>
  <c r="BA106" i="124"/>
  <c r="AN106" i="124"/>
  <c r="AY106" i="124"/>
  <c r="AL106" i="124"/>
  <c r="AZ106" i="124"/>
  <c r="AM106" i="124"/>
  <c r="AK106" i="124"/>
  <c r="AO106" i="124"/>
  <c r="AR106" i="124"/>
  <c r="AJ106" i="124"/>
  <c r="AQ106" i="124"/>
  <c r="AI106" i="124"/>
  <c r="AX106" i="124"/>
  <c r="BD106" i="124"/>
  <c r="BC106" i="124"/>
  <c r="AS106" i="124"/>
  <c r="AU106" i="124"/>
  <c r="S10" i="110"/>
  <c r="Q10" i="125"/>
  <c r="AN86" i="124"/>
  <c r="AQ86" i="124"/>
  <c r="P86" i="124"/>
  <c r="AU86" i="124"/>
  <c r="R86" i="124"/>
  <c r="AV86" i="124"/>
  <c r="AX86" i="124"/>
  <c r="BA86" i="124"/>
  <c r="AZ86" i="124"/>
  <c r="AI86" i="124"/>
  <c r="BB86" i="124"/>
  <c r="AP86" i="124"/>
  <c r="AS86" i="124"/>
  <c r="AM86" i="124"/>
  <c r="AW86" i="124"/>
  <c r="AY86" i="124"/>
  <c r="AJ86" i="124"/>
  <c r="AO86" i="124"/>
  <c r="BC86" i="124"/>
  <c r="AL86" i="124"/>
  <c r="AK86" i="124"/>
  <c r="BD86" i="124"/>
  <c r="AT86" i="124"/>
  <c r="AR86" i="124"/>
  <c r="AQ61" i="124"/>
  <c r="AV61" i="124"/>
  <c r="AK61" i="124"/>
  <c r="BA61" i="124"/>
  <c r="AX61" i="124"/>
  <c r="BD61" i="124"/>
  <c r="AW61" i="124"/>
  <c r="AJ61" i="124"/>
  <c r="AO61" i="124"/>
  <c r="BB61" i="124"/>
  <c r="AP61" i="124"/>
  <c r="AT61" i="124"/>
  <c r="AS61" i="124"/>
  <c r="AL61" i="124"/>
  <c r="BC61" i="124"/>
  <c r="AN61" i="124"/>
  <c r="AI61" i="124"/>
  <c r="AM61" i="124"/>
  <c r="AZ61" i="124"/>
  <c r="AY61" i="124"/>
  <c r="AR61" i="124"/>
  <c r="AU61" i="124"/>
  <c r="AU105" i="124"/>
  <c r="BD105" i="124"/>
  <c r="AM105" i="124"/>
  <c r="AY105" i="124"/>
  <c r="AR105" i="124"/>
  <c r="AV105" i="124"/>
  <c r="AQ105" i="124"/>
  <c r="AK105" i="124"/>
  <c r="AI105" i="124"/>
  <c r="BA105" i="124"/>
  <c r="AS105" i="124"/>
  <c r="BC105" i="124"/>
  <c r="AZ105" i="124"/>
  <c r="AX105" i="124"/>
  <c r="AO105" i="124"/>
  <c r="BB105" i="124"/>
  <c r="AP105" i="124"/>
  <c r="AW105" i="124"/>
  <c r="AT105" i="124"/>
  <c r="AN105" i="124"/>
  <c r="AL105" i="124"/>
  <c r="AJ105" i="124"/>
  <c r="AN91" i="124"/>
  <c r="AQ91" i="124"/>
  <c r="BC91" i="124"/>
  <c r="AK91" i="124"/>
  <c r="AI91" i="124"/>
  <c r="AU91" i="124"/>
  <c r="AZ91" i="124"/>
  <c r="AM91" i="124"/>
  <c r="AV91" i="124"/>
  <c r="AW91" i="124"/>
  <c r="AR91" i="124"/>
  <c r="AJ91" i="124"/>
  <c r="AX91" i="124"/>
  <c r="AS91" i="124"/>
  <c r="AO91" i="124"/>
  <c r="AP91" i="124"/>
  <c r="BB91" i="124"/>
  <c r="AT91" i="124"/>
  <c r="BD91" i="124"/>
  <c r="AY91" i="124"/>
  <c r="AL91" i="124"/>
  <c r="BA91" i="124"/>
  <c r="AV79" i="124"/>
  <c r="AN79" i="124"/>
  <c r="AW79" i="124"/>
  <c r="AJ79" i="124"/>
  <c r="AO79" i="124"/>
  <c r="BB79" i="124"/>
  <c r="AP79" i="124"/>
  <c r="AT79" i="124"/>
  <c r="P79" i="124"/>
  <c r="AL79" i="124"/>
  <c r="AY79" i="124"/>
  <c r="AX79" i="124"/>
  <c r="BC79" i="124"/>
  <c r="AU79" i="124"/>
  <c r="AI79" i="124"/>
  <c r="AM79" i="124"/>
  <c r="AZ79" i="124"/>
  <c r="AR79" i="124"/>
  <c r="R79" i="124"/>
  <c r="AS79" i="124"/>
  <c r="AQ79" i="124"/>
  <c r="BD79" i="124"/>
  <c r="BA79" i="124"/>
  <c r="AK79" i="124"/>
  <c r="AY82" i="124"/>
  <c r="BB82" i="124"/>
  <c r="AN82" i="124"/>
  <c r="AS82" i="124"/>
  <c r="AV82" i="124"/>
  <c r="AR82" i="124"/>
  <c r="AX82" i="124"/>
  <c r="AK82" i="124"/>
  <c r="AJ82" i="124"/>
  <c r="R82" i="124"/>
  <c r="AP82" i="124"/>
  <c r="AT82" i="124"/>
  <c r="AM82" i="124"/>
  <c r="P82" i="124"/>
  <c r="BA82" i="124"/>
  <c r="BD82" i="124"/>
  <c r="BC82" i="124"/>
  <c r="AZ82" i="124"/>
  <c r="AQ82" i="124"/>
  <c r="AL82" i="124"/>
  <c r="AW82" i="124"/>
  <c r="AU82" i="124"/>
  <c r="AO82" i="124"/>
  <c r="AI82" i="124"/>
  <c r="I11" i="124"/>
  <c r="I11" i="120"/>
  <c r="I11" i="105"/>
  <c r="I11" i="112"/>
  <c r="I11" i="106"/>
  <c r="I11" i="107"/>
  <c r="I11" i="104"/>
  <c r="AA89" i="125"/>
  <c r="AC89" i="125"/>
  <c r="AH89" i="125"/>
  <c r="Z89" i="125"/>
  <c r="AE89" i="125"/>
  <c r="AD89" i="125"/>
  <c r="AG89" i="125"/>
  <c r="X89" i="125"/>
  <c r="AB89" i="125"/>
  <c r="Y89" i="125"/>
  <c r="AF89" i="125"/>
  <c r="AH79" i="125"/>
  <c r="AF79" i="125"/>
  <c r="AC79" i="125"/>
  <c r="AB79" i="125"/>
  <c r="X79" i="125"/>
  <c r="AE79" i="125"/>
  <c r="AG79" i="125"/>
  <c r="Z79" i="125"/>
  <c r="AA79" i="125"/>
  <c r="AD79" i="125"/>
  <c r="Y79" i="125"/>
  <c r="AC67" i="125"/>
  <c r="AH67" i="125"/>
  <c r="X67" i="125"/>
  <c r="Z67" i="125"/>
  <c r="AD67" i="125"/>
  <c r="AG67" i="125"/>
  <c r="AB67" i="125"/>
  <c r="Y67" i="125"/>
  <c r="AA67" i="125"/>
  <c r="AE67" i="125"/>
  <c r="AF67" i="125"/>
  <c r="AB57" i="125"/>
  <c r="AG57" i="125"/>
  <c r="AH57" i="125"/>
  <c r="Y57" i="125"/>
  <c r="AD57" i="125"/>
  <c r="Z57" i="125"/>
  <c r="AF57" i="125"/>
  <c r="AC57" i="125"/>
  <c r="X57" i="125"/>
  <c r="AE57" i="125"/>
  <c r="AA57" i="125"/>
  <c r="AB47" i="108"/>
  <c r="P47" i="108"/>
  <c r="AA47" i="108"/>
  <c r="V51" i="108"/>
  <c r="S47" i="108"/>
  <c r="T51" i="108"/>
  <c r="L47" i="108"/>
  <c r="O51" i="108"/>
  <c r="M47" i="108"/>
  <c r="V47" i="108"/>
  <c r="U51" i="108"/>
  <c r="Y47" i="108"/>
  <c r="Q47" i="108"/>
  <c r="O47" i="108"/>
  <c r="X51" i="108"/>
  <c r="W47" i="108"/>
  <c r="N47" i="108"/>
  <c r="N51" i="108"/>
  <c r="R47" i="108"/>
  <c r="R52" i="108" s="1"/>
  <c r="M51" i="108"/>
  <c r="U47" i="108"/>
  <c r="T47" i="108"/>
  <c r="T52" i="108" s="1"/>
  <c r="X47" i="108"/>
  <c r="X52" i="108" s="1"/>
  <c r="Z47" i="108"/>
  <c r="Z52" i="108" s="1"/>
  <c r="P51" i="108"/>
  <c r="Z51" i="108"/>
  <c r="AO92" i="124"/>
  <c r="BB92" i="124"/>
  <c r="AR92" i="124"/>
  <c r="AK92" i="124"/>
  <c r="AT92" i="124"/>
  <c r="AJ92" i="124"/>
  <c r="AL92" i="124"/>
  <c r="AX92" i="124"/>
  <c r="BA92" i="124"/>
  <c r="BC92" i="124"/>
  <c r="AP92" i="124"/>
  <c r="AU92" i="124"/>
  <c r="AZ92" i="124"/>
  <c r="AV92" i="124"/>
  <c r="AQ92" i="124"/>
  <c r="AS92" i="124"/>
  <c r="AW92" i="124"/>
  <c r="AN92" i="124"/>
  <c r="AI92" i="124"/>
  <c r="BD92" i="124"/>
  <c r="AM92" i="124"/>
  <c r="AY92" i="124"/>
  <c r="BD63" i="124"/>
  <c r="AN63" i="124"/>
  <c r="AS63" i="124"/>
  <c r="AL63" i="124"/>
  <c r="BC63" i="124"/>
  <c r="AU63" i="124"/>
  <c r="AQ63" i="124"/>
  <c r="AM63" i="124"/>
  <c r="AZ63" i="124"/>
  <c r="AR63" i="124"/>
  <c r="AW63" i="124"/>
  <c r="AJ63" i="124"/>
  <c r="AO63" i="124"/>
  <c r="BB63" i="124"/>
  <c r="AP63" i="124"/>
  <c r="AV63" i="124"/>
  <c r="AT63" i="124"/>
  <c r="AI63" i="124"/>
  <c r="AY63" i="124"/>
  <c r="AX63" i="124"/>
  <c r="AK63" i="124"/>
  <c r="BA63" i="124"/>
  <c r="AF88" i="125"/>
  <c r="AD88" i="125"/>
  <c r="X88" i="125"/>
  <c r="AC88" i="125"/>
  <c r="AH88" i="125"/>
  <c r="AB88" i="125"/>
  <c r="Z88" i="125"/>
  <c r="AE88" i="125"/>
  <c r="AG88" i="125"/>
  <c r="Y88" i="125"/>
  <c r="AA88" i="125"/>
  <c r="Y82" i="125"/>
  <c r="AB82" i="125"/>
  <c r="AG82" i="125"/>
  <c r="AA82" i="125"/>
  <c r="AF82" i="125"/>
  <c r="AD82" i="125"/>
  <c r="Z82" i="125"/>
  <c r="AE82" i="125"/>
  <c r="X82" i="125"/>
  <c r="AC82" i="125"/>
  <c r="AH82" i="125"/>
  <c r="AH76" i="125"/>
  <c r="AE76" i="125"/>
  <c r="AA76" i="125"/>
  <c r="Z76" i="125"/>
  <c r="AD76" i="125"/>
  <c r="AG76" i="125"/>
  <c r="AC76" i="125"/>
  <c r="Y76" i="125"/>
  <c r="AF76" i="125"/>
  <c r="AB76" i="125"/>
  <c r="X76" i="125"/>
  <c r="Y69" i="125"/>
  <c r="AB69" i="125"/>
  <c r="AG69" i="125"/>
  <c r="AF69" i="125"/>
  <c r="AC69" i="125"/>
  <c r="X69" i="125"/>
  <c r="AE69" i="125"/>
  <c r="AA69" i="125"/>
  <c r="AH69" i="125"/>
  <c r="AD69" i="125"/>
  <c r="Z69" i="125"/>
  <c r="AG62" i="125"/>
  <c r="Y62" i="125"/>
  <c r="AC62" i="125"/>
  <c r="AF62" i="125"/>
  <c r="AH62" i="125"/>
  <c r="Z62" i="125"/>
  <c r="AE62" i="125"/>
  <c r="AD62" i="125"/>
  <c r="AA62" i="125"/>
  <c r="X62" i="125"/>
  <c r="AB62" i="125"/>
  <c r="Q56" i="125"/>
  <c r="Z56" i="125"/>
  <c r="AD56" i="125"/>
  <c r="AA56" i="125"/>
  <c r="U56" i="125"/>
  <c r="M56" i="125"/>
  <c r="AG56" i="125"/>
  <c r="AE56" i="125"/>
  <c r="AC56" i="125"/>
  <c r="Y56" i="125"/>
  <c r="AF56" i="125"/>
  <c r="AB56" i="125"/>
  <c r="X56" i="125"/>
  <c r="AH56" i="125"/>
  <c r="AU107" i="124"/>
  <c r="AO107" i="124"/>
  <c r="BD107" i="124"/>
  <c r="AM107" i="124"/>
  <c r="AY107" i="124"/>
  <c r="AV107" i="124"/>
  <c r="AQ107" i="124"/>
  <c r="AJ107" i="124"/>
  <c r="AS107" i="124"/>
  <c r="AN107" i="124"/>
  <c r="AI107" i="124"/>
  <c r="AK107" i="124"/>
  <c r="BB107" i="124"/>
  <c r="BA107" i="124"/>
  <c r="AT107" i="124"/>
  <c r="AZ107" i="124"/>
  <c r="AW107" i="124"/>
  <c r="AL107" i="124"/>
  <c r="AX107" i="124"/>
  <c r="AR107" i="124"/>
  <c r="BC107" i="124"/>
  <c r="AP107" i="124"/>
  <c r="BD93" i="124"/>
  <c r="AI93" i="124"/>
  <c r="AU93" i="124"/>
  <c r="AZ93" i="124"/>
  <c r="AM93" i="124"/>
  <c r="AS93" i="124"/>
  <c r="AN93" i="124"/>
  <c r="AR93" i="124"/>
  <c r="AK93" i="124"/>
  <c r="AJ93" i="124"/>
  <c r="AX93" i="124"/>
  <c r="AO93" i="124"/>
  <c r="AP93" i="124"/>
  <c r="BB93" i="124"/>
  <c r="AV93" i="124"/>
  <c r="AY93" i="124"/>
  <c r="AL93" i="124"/>
  <c r="BC93" i="124"/>
  <c r="AT93" i="124"/>
  <c r="BA93" i="124"/>
  <c r="AW93" i="124"/>
  <c r="AQ93" i="124"/>
  <c r="M70" i="104"/>
  <c r="AU80" i="124"/>
  <c r="P80" i="124"/>
  <c r="AQ80" i="124"/>
  <c r="BB80" i="124"/>
  <c r="AY80" i="124"/>
  <c r="BA80" i="124"/>
  <c r="AX80" i="124"/>
  <c r="BD80" i="124"/>
  <c r="AS80" i="124"/>
  <c r="AM80" i="124"/>
  <c r="AT80" i="124"/>
  <c r="AZ80" i="124"/>
  <c r="R80" i="124"/>
  <c r="AP80" i="124"/>
  <c r="AV80" i="124"/>
  <c r="AL80" i="124"/>
  <c r="AN80" i="124"/>
  <c r="AW80" i="124"/>
  <c r="AI80" i="124"/>
  <c r="AO80" i="124"/>
  <c r="BC80" i="124"/>
  <c r="AJ80" i="124"/>
  <c r="AK80" i="124"/>
  <c r="AR80" i="124"/>
  <c r="AQ65" i="124"/>
  <c r="AX65" i="124"/>
  <c r="AN65" i="124"/>
  <c r="AV65" i="124"/>
  <c r="AI65" i="124"/>
  <c r="BC65" i="124"/>
  <c r="AU65" i="124"/>
  <c r="BD65" i="124"/>
  <c r="AM65" i="124"/>
  <c r="AZ65" i="124"/>
  <c r="AP65" i="124"/>
  <c r="AR65" i="124"/>
  <c r="AB65" i="124"/>
  <c r="AY65" i="124"/>
  <c r="BA65" i="124"/>
  <c r="AW65" i="124"/>
  <c r="AJ65" i="124"/>
  <c r="AK65" i="124"/>
  <c r="AS65" i="124"/>
  <c r="AT65" i="124"/>
  <c r="AL65" i="124"/>
  <c r="AO65" i="124"/>
  <c r="BB65" i="124"/>
  <c r="AV94" i="124"/>
  <c r="AQ94" i="124"/>
  <c r="AR94" i="124"/>
  <c r="AS94" i="124"/>
  <c r="AN94" i="124"/>
  <c r="AI94" i="124"/>
  <c r="AW94" i="124"/>
  <c r="BB94" i="124"/>
  <c r="AO94" i="124"/>
  <c r="AT94" i="124"/>
  <c r="BC94" i="124"/>
  <c r="AP94" i="124"/>
  <c r="AK94" i="124"/>
  <c r="AU94" i="124"/>
  <c r="BD94" i="124"/>
  <c r="AM94" i="124"/>
  <c r="AY94" i="124"/>
  <c r="BA94" i="124"/>
  <c r="AZ94" i="124"/>
  <c r="AL94" i="124"/>
  <c r="AJ94" i="124"/>
  <c r="AX94" i="124"/>
  <c r="AX71" i="124"/>
  <c r="AK71" i="124"/>
  <c r="AW71" i="124"/>
  <c r="AJ71" i="124"/>
  <c r="AO71" i="124"/>
  <c r="BB71" i="124"/>
  <c r="AT71" i="124"/>
  <c r="AL71" i="124"/>
  <c r="AY71" i="124"/>
  <c r="BD71" i="124"/>
  <c r="BC71" i="124"/>
  <c r="AQ71" i="124"/>
  <c r="AU71" i="124"/>
  <c r="AI71" i="124"/>
  <c r="AM71" i="124"/>
  <c r="AZ71" i="124"/>
  <c r="AR71" i="124"/>
  <c r="AN71" i="124"/>
  <c r="BA71" i="124"/>
  <c r="AS71" i="124"/>
  <c r="AP71" i="124"/>
  <c r="AV71" i="124"/>
  <c r="S7" i="110"/>
  <c r="Q7" i="125"/>
  <c r="Q53" i="125" s="1"/>
  <c r="AU109" i="124"/>
  <c r="AK109" i="124"/>
  <c r="BD109" i="124"/>
  <c r="AM109" i="124"/>
  <c r="AY109" i="124"/>
  <c r="AV109" i="124"/>
  <c r="AQ109" i="124"/>
  <c r="BA109" i="124"/>
  <c r="AN109" i="124"/>
  <c r="AI109" i="124"/>
  <c r="AZ109" i="124"/>
  <c r="AJ109" i="124"/>
  <c r="BB109" i="124"/>
  <c r="AW109" i="124"/>
  <c r="AL109" i="124"/>
  <c r="AX109" i="124"/>
  <c r="AO109" i="124"/>
  <c r="AR109" i="124"/>
  <c r="BC109" i="124"/>
  <c r="AT109" i="124"/>
  <c r="AP109" i="124"/>
  <c r="AS109" i="124"/>
  <c r="AP95" i="124"/>
  <c r="BB95" i="124"/>
  <c r="AK95" i="124"/>
  <c r="AT95" i="124"/>
  <c r="AW95" i="124"/>
  <c r="AY95" i="124"/>
  <c r="AL95" i="124"/>
  <c r="AQ95" i="124"/>
  <c r="BC95" i="124"/>
  <c r="BD95" i="124"/>
  <c r="AZ95" i="124"/>
  <c r="AM95" i="124"/>
  <c r="AO95" i="124"/>
  <c r="BA95" i="124"/>
  <c r="AR95" i="124"/>
  <c r="AJ95" i="124"/>
  <c r="AX95" i="124"/>
  <c r="AN95" i="124"/>
  <c r="AS95" i="124"/>
  <c r="AU95" i="124"/>
  <c r="AV95" i="124"/>
  <c r="AI95" i="124"/>
  <c r="AT81" i="124"/>
  <c r="AI81" i="124"/>
  <c r="BD81" i="124"/>
  <c r="AQ81" i="124"/>
  <c r="AM81" i="124"/>
  <c r="BA81" i="124"/>
  <c r="P81" i="124"/>
  <c r="AU81" i="124"/>
  <c r="AS81" i="124"/>
  <c r="AY81" i="124"/>
  <c r="AJ81" i="124"/>
  <c r="AK81" i="124"/>
  <c r="AN81" i="124"/>
  <c r="AZ81" i="124"/>
  <c r="R81" i="124"/>
  <c r="BC81" i="124"/>
  <c r="AW81" i="124"/>
  <c r="AL81" i="124"/>
  <c r="AX81" i="124"/>
  <c r="AP81" i="124"/>
  <c r="AO81" i="124"/>
  <c r="BB81" i="124"/>
  <c r="AV81" i="124"/>
  <c r="AR81" i="124"/>
  <c r="M69" i="104"/>
  <c r="AV67" i="124"/>
  <c r="AN67" i="124"/>
  <c r="AS67" i="124"/>
  <c r="BD67" i="124"/>
  <c r="AM67" i="124"/>
  <c r="AZ67" i="124"/>
  <c r="AR67" i="124"/>
  <c r="AQ67" i="124"/>
  <c r="AW67" i="124"/>
  <c r="AJ67" i="124"/>
  <c r="AP67" i="124"/>
  <c r="AK67" i="124"/>
  <c r="BA67" i="124"/>
  <c r="BC67" i="124"/>
  <c r="AU67" i="124"/>
  <c r="BB67" i="124"/>
  <c r="AI67" i="124"/>
  <c r="AT67" i="124"/>
  <c r="AL67" i="124"/>
  <c r="AO67" i="124"/>
  <c r="AX67" i="124"/>
  <c r="AY67" i="124"/>
  <c r="M66" i="104"/>
  <c r="AF56" i="105"/>
  <c r="I9" i="124"/>
  <c r="I9" i="120"/>
  <c r="I9" i="107"/>
  <c r="Z56" i="107" s="1"/>
  <c r="I9" i="104"/>
  <c r="O58" i="104" s="1"/>
  <c r="O63" i="104" s="1"/>
  <c r="I9" i="105"/>
  <c r="AE56" i="105" s="1"/>
  <c r="I9" i="112"/>
  <c r="I9" i="106"/>
  <c r="AG91" i="125"/>
  <c r="AD91" i="125"/>
  <c r="Y91" i="125"/>
  <c r="AF91" i="125"/>
  <c r="AC91" i="125"/>
  <c r="AH91" i="125"/>
  <c r="Z91" i="125"/>
  <c r="AE91" i="125"/>
  <c r="AB91" i="125"/>
  <c r="X91" i="125"/>
  <c r="AA91" i="125"/>
  <c r="AH81" i="125"/>
  <c r="Z81" i="125"/>
  <c r="AF81" i="125"/>
  <c r="AG81" i="125"/>
  <c r="AB81" i="125"/>
  <c r="Y81" i="125"/>
  <c r="AE81" i="125"/>
  <c r="AD81" i="125"/>
  <c r="AA81" i="125"/>
  <c r="AC81" i="125"/>
  <c r="X81" i="125"/>
  <c r="AA71" i="125"/>
  <c r="AE71" i="125"/>
  <c r="AF71" i="125"/>
  <c r="AH71" i="125"/>
  <c r="Z71" i="125"/>
  <c r="AD71" i="125"/>
  <c r="AB71" i="125"/>
  <c r="Y71" i="125"/>
  <c r="X71" i="125"/>
  <c r="AG71" i="125"/>
  <c r="AC71" i="125"/>
  <c r="AB59" i="125"/>
  <c r="Y59" i="125"/>
  <c r="AC59" i="125"/>
  <c r="AA59" i="125"/>
  <c r="AE59" i="125"/>
  <c r="X59" i="125"/>
  <c r="AH59" i="125"/>
  <c r="Z59" i="125"/>
  <c r="AD59" i="125"/>
  <c r="AG59" i="125"/>
  <c r="AF59" i="125"/>
  <c r="Y47" i="109"/>
  <c r="X47" i="109"/>
  <c r="AN100" i="124"/>
  <c r="AV100" i="124"/>
  <c r="AL100" i="124"/>
  <c r="BB100" i="124"/>
  <c r="BA100" i="124"/>
  <c r="AU100" i="124"/>
  <c r="AZ100" i="124"/>
  <c r="AP100" i="124"/>
  <c r="AR100" i="124"/>
  <c r="AO100" i="124"/>
  <c r="AY100" i="124"/>
  <c r="AW100" i="124"/>
  <c r="BD100" i="124"/>
  <c r="AK100" i="124"/>
  <c r="BC100" i="124"/>
  <c r="AI100" i="124"/>
  <c r="AX100" i="124"/>
  <c r="AT100" i="124"/>
  <c r="AJ100" i="124"/>
  <c r="AQ100" i="124"/>
  <c r="AM100" i="124"/>
  <c r="AS100" i="124"/>
  <c r="AW97" i="124"/>
  <c r="AR97" i="124"/>
  <c r="AJ97" i="124"/>
  <c r="AX97" i="124"/>
  <c r="AK97" i="124"/>
  <c r="BA97" i="124"/>
  <c r="AP97" i="124"/>
  <c r="BB97" i="124"/>
  <c r="AT97" i="124"/>
  <c r="AV97" i="124"/>
  <c r="AY97" i="124"/>
  <c r="AL97" i="124"/>
  <c r="AI97" i="124"/>
  <c r="AU97" i="124"/>
  <c r="AZ97" i="124"/>
  <c r="AM97" i="124"/>
  <c r="AN97" i="124"/>
  <c r="BD97" i="124"/>
  <c r="AO97" i="124"/>
  <c r="AQ97" i="124"/>
  <c r="BC97" i="124"/>
  <c r="AS97" i="124"/>
  <c r="AG90" i="125"/>
  <c r="AC90" i="125"/>
  <c r="AF90" i="125"/>
  <c r="AB90" i="125"/>
  <c r="Z90" i="125"/>
  <c r="Y90" i="125"/>
  <c r="AA90" i="125"/>
  <c r="X90" i="125"/>
  <c r="AD90" i="125"/>
  <c r="AE90" i="125"/>
  <c r="AH90" i="125"/>
  <c r="AH84" i="125"/>
  <c r="AC84" i="125"/>
  <c r="Z84" i="125"/>
  <c r="AE84" i="125"/>
  <c r="AB84" i="125"/>
  <c r="AG84" i="125"/>
  <c r="Y84" i="125"/>
  <c r="AA84" i="125"/>
  <c r="AF84" i="125"/>
  <c r="X84" i="125"/>
  <c r="AD84" i="125"/>
  <c r="AG77" i="125"/>
  <c r="AB77" i="125"/>
  <c r="Y77" i="125"/>
  <c r="AE77" i="125"/>
  <c r="AA77" i="125"/>
  <c r="AC77" i="125"/>
  <c r="X77" i="125"/>
  <c r="AH77" i="125"/>
  <c r="AD77" i="125"/>
  <c r="Z77" i="125"/>
  <c r="AF77" i="125"/>
  <c r="AF70" i="125"/>
  <c r="X70" i="125"/>
  <c r="AB70" i="125"/>
  <c r="AH70" i="125"/>
  <c r="Z70" i="125"/>
  <c r="AE70" i="125"/>
  <c r="AG70" i="125"/>
  <c r="AD70" i="125"/>
  <c r="Y70" i="125"/>
  <c r="AC70" i="125"/>
  <c r="AA70" i="125"/>
  <c r="AH64" i="125"/>
  <c r="Z64" i="125"/>
  <c r="AA64" i="125"/>
  <c r="AD64" i="125"/>
  <c r="AG64" i="125"/>
  <c r="AC64" i="125"/>
  <c r="Y64" i="125"/>
  <c r="AE64" i="125"/>
  <c r="AF64" i="125"/>
  <c r="AB64" i="125"/>
  <c r="X64" i="125"/>
  <c r="AD58" i="125"/>
  <c r="AH58" i="125"/>
  <c r="Z58" i="125"/>
  <c r="AE58" i="125"/>
  <c r="AG58" i="125"/>
  <c r="Y58" i="125"/>
  <c r="AC58" i="125"/>
  <c r="AA58" i="125"/>
  <c r="AF58" i="125"/>
  <c r="X58" i="125"/>
  <c r="AB58" i="125"/>
  <c r="AH52" i="125"/>
  <c r="AE52" i="125"/>
  <c r="AD52" i="125"/>
  <c r="AA52" i="125"/>
  <c r="AC52" i="125"/>
  <c r="Z52" i="125"/>
  <c r="D8" i="127" s="1"/>
  <c r="Y52" i="125"/>
  <c r="AG52" i="125"/>
  <c r="AB52" i="125"/>
  <c r="X52" i="125"/>
  <c r="AF52" i="125"/>
  <c r="AZ96" i="124"/>
  <c r="AV96" i="124"/>
  <c r="AQ96" i="124"/>
  <c r="AO96" i="124"/>
  <c r="AS96" i="124"/>
  <c r="AN96" i="124"/>
  <c r="AI96" i="124"/>
  <c r="AR96" i="124"/>
  <c r="BB96" i="124"/>
  <c r="AK96" i="124"/>
  <c r="AL96" i="124"/>
  <c r="AX96" i="124"/>
  <c r="AW96" i="124"/>
  <c r="BC96" i="124"/>
  <c r="AP96" i="124"/>
  <c r="BD96" i="124"/>
  <c r="AU96" i="124"/>
  <c r="AM96" i="124"/>
  <c r="BA96" i="124"/>
  <c r="AT96" i="124"/>
  <c r="AY96" i="124"/>
  <c r="AJ96" i="124"/>
  <c r="AV83" i="124"/>
  <c r="AR83" i="124"/>
  <c r="AI83" i="124"/>
  <c r="BC83" i="124"/>
  <c r="AJ83" i="124"/>
  <c r="AZ83" i="124"/>
  <c r="BA83" i="124"/>
  <c r="AP83" i="124"/>
  <c r="AN83" i="124"/>
  <c r="AS83" i="124"/>
  <c r="AU83" i="124"/>
  <c r="AK83" i="124"/>
  <c r="BB83" i="124"/>
  <c r="BD83" i="124"/>
  <c r="AY83" i="124"/>
  <c r="AT83" i="124"/>
  <c r="AQ83" i="124"/>
  <c r="AM83" i="124"/>
  <c r="AL83" i="124"/>
  <c r="AW83" i="124"/>
  <c r="AO83" i="124"/>
  <c r="AX83" i="124"/>
  <c r="M27" i="104"/>
  <c r="M41" i="104"/>
  <c r="M50" i="104"/>
  <c r="M32" i="104"/>
  <c r="M45" i="104"/>
  <c r="M54" i="104"/>
  <c r="M36" i="104"/>
  <c r="M24" i="104"/>
  <c r="M49" i="104"/>
  <c r="M40" i="104"/>
  <c r="M28" i="104"/>
  <c r="M53" i="104"/>
  <c r="M30" i="104"/>
  <c r="M21" i="104"/>
  <c r="M44" i="104"/>
  <c r="M34" i="104"/>
  <c r="M20" i="104"/>
  <c r="M31" i="104"/>
  <c r="M22" i="104"/>
  <c r="M48" i="104"/>
  <c r="M29" i="104"/>
  <c r="M38" i="104"/>
  <c r="M26" i="104"/>
  <c r="M35" i="104"/>
  <c r="M52" i="104"/>
  <c r="M33" i="104"/>
  <c r="M42" i="104"/>
  <c r="M39" i="104"/>
  <c r="M37" i="104"/>
  <c r="M46" i="104"/>
  <c r="M43" i="104"/>
  <c r="M23" i="104"/>
  <c r="M25" i="104"/>
  <c r="M47" i="104"/>
  <c r="M51" i="104"/>
  <c r="AV69" i="124"/>
  <c r="BA69" i="124"/>
  <c r="AN69" i="124"/>
  <c r="BD69" i="124"/>
  <c r="AK69" i="124"/>
  <c r="AU69" i="124"/>
  <c r="AI69" i="124"/>
  <c r="AM69" i="124"/>
  <c r="AZ69" i="124"/>
  <c r="AS69" i="124"/>
  <c r="AR69" i="124"/>
  <c r="AW69" i="124"/>
  <c r="AJ69" i="124"/>
  <c r="AX69" i="124"/>
  <c r="AO69" i="124"/>
  <c r="BB69" i="124"/>
  <c r="AP69" i="124"/>
  <c r="AL69" i="124"/>
  <c r="AY69" i="124"/>
  <c r="BC69" i="124"/>
  <c r="AT69" i="124"/>
  <c r="AQ69" i="124"/>
  <c r="V10" i="125"/>
  <c r="V56" i="125" s="1"/>
  <c r="AP102" i="124"/>
  <c r="BB102" i="124"/>
  <c r="BA102" i="124"/>
  <c r="AT102" i="124"/>
  <c r="AK102" i="124"/>
  <c r="AY102" i="124"/>
  <c r="AL102" i="124"/>
  <c r="AQ102" i="124"/>
  <c r="BC102" i="124"/>
  <c r="AW102" i="124"/>
  <c r="AI102" i="124"/>
  <c r="AU102" i="124"/>
  <c r="AV102" i="124"/>
  <c r="AZ102" i="124"/>
  <c r="AM102" i="124"/>
  <c r="AO102" i="124"/>
  <c r="AR102" i="124"/>
  <c r="AJ102" i="124"/>
  <c r="AX102" i="124"/>
  <c r="AN102" i="124"/>
  <c r="BD102" i="124"/>
  <c r="AS102" i="124"/>
  <c r="AT68" i="124"/>
  <c r="BB68" i="124"/>
  <c r="AO68" i="124"/>
  <c r="AJ68" i="124"/>
  <c r="AR68" i="124"/>
  <c r="AK68" i="124"/>
  <c r="AX68" i="124"/>
  <c r="AP68" i="124"/>
  <c r="BC68" i="124"/>
  <c r="AZ68" i="124"/>
  <c r="AY68" i="124"/>
  <c r="AU68" i="124"/>
  <c r="AQ68" i="124"/>
  <c r="BD68" i="124"/>
  <c r="AM68" i="124"/>
  <c r="BA68" i="124"/>
  <c r="AN68" i="124"/>
  <c r="AL68" i="124"/>
  <c r="AS68" i="124"/>
  <c r="AW68" i="124"/>
  <c r="AV68" i="124"/>
  <c r="AI68" i="124"/>
  <c r="M71" i="104"/>
  <c r="BA99" i="124"/>
  <c r="AO99" i="124"/>
  <c r="AP99" i="124"/>
  <c r="BB99" i="124"/>
  <c r="AT99" i="124"/>
  <c r="AS99" i="124"/>
  <c r="AY99" i="124"/>
  <c r="AL99" i="124"/>
  <c r="AQ99" i="124"/>
  <c r="BC99" i="124"/>
  <c r="AI99" i="124"/>
  <c r="AU99" i="124"/>
  <c r="AW99" i="124"/>
  <c r="AZ99" i="124"/>
  <c r="AM99" i="124"/>
  <c r="AK99" i="124"/>
  <c r="AR99" i="124"/>
  <c r="AV99" i="124"/>
  <c r="AJ99" i="124"/>
  <c r="AX99" i="124"/>
  <c r="BD99" i="124"/>
  <c r="AN99" i="124"/>
  <c r="AJ85" i="124"/>
  <c r="AU85" i="124"/>
  <c r="AX85" i="124"/>
  <c r="BC85" i="124"/>
  <c r="BA85" i="124"/>
  <c r="P85" i="124"/>
  <c r="AQ85" i="124"/>
  <c r="AP85" i="124"/>
  <c r="AS85" i="124"/>
  <c r="AV85" i="124"/>
  <c r="AK85" i="124"/>
  <c r="AI85" i="124"/>
  <c r="BB85" i="124"/>
  <c r="AZ85" i="124"/>
  <c r="AT85" i="124"/>
  <c r="AR85" i="124"/>
  <c r="AN85" i="124"/>
  <c r="AO85" i="124"/>
  <c r="R85" i="124"/>
  <c r="AY85" i="124"/>
  <c r="BD85" i="124"/>
  <c r="AM85" i="124"/>
  <c r="AL85" i="124"/>
  <c r="AW85" i="124"/>
  <c r="AZ72" i="124"/>
  <c r="AW72" i="124"/>
  <c r="AJ72" i="124"/>
  <c r="AK72" i="124"/>
  <c r="AX72" i="124"/>
  <c r="AP72" i="124"/>
  <c r="BC72" i="124"/>
  <c r="AL72" i="124"/>
  <c r="AY72" i="124"/>
  <c r="AU72" i="124"/>
  <c r="AI72" i="124"/>
  <c r="AV72" i="124"/>
  <c r="BA72" i="124"/>
  <c r="AN72" i="124"/>
  <c r="BD72" i="124"/>
  <c r="AO72" i="124"/>
  <c r="AT72" i="124"/>
  <c r="AM72" i="124"/>
  <c r="BB72" i="124"/>
  <c r="AS72" i="124"/>
  <c r="AQ72" i="124"/>
  <c r="AR72" i="124"/>
  <c r="AZ74" i="124"/>
  <c r="BB74" i="124"/>
  <c r="AT74" i="124"/>
  <c r="BA74" i="124"/>
  <c r="AN74" i="124"/>
  <c r="AS74" i="124"/>
  <c r="AK74" i="124"/>
  <c r="AX74" i="124"/>
  <c r="AY74" i="124"/>
  <c r="AU74" i="124"/>
  <c r="AW74" i="124"/>
  <c r="BD74" i="124"/>
  <c r="AV74" i="124"/>
  <c r="AO74" i="124"/>
  <c r="BC74" i="124"/>
  <c r="AJ74" i="124"/>
  <c r="AQ74" i="124"/>
  <c r="AM74" i="124"/>
  <c r="AL74" i="124"/>
  <c r="AI74" i="124"/>
  <c r="AP74" i="124"/>
  <c r="AR74" i="124"/>
  <c r="BA62" i="124"/>
  <c r="AN62" i="124"/>
  <c r="AS62" i="124"/>
  <c r="AK62" i="124"/>
  <c r="AX62" i="124"/>
  <c r="AP62" i="124"/>
  <c r="AZ62" i="124"/>
  <c r="AL62" i="124"/>
  <c r="AR62" i="124"/>
  <c r="AY62" i="124"/>
  <c r="AQ62" i="124"/>
  <c r="BD62" i="124"/>
  <c r="AI62" i="124"/>
  <c r="AV62" i="124"/>
  <c r="BB62" i="124"/>
  <c r="AM62" i="124"/>
  <c r="AJ62" i="124"/>
  <c r="BC62" i="124"/>
  <c r="AU62" i="124"/>
  <c r="AO62" i="124"/>
  <c r="AT62" i="124"/>
  <c r="AW62" i="124"/>
  <c r="BB60" i="124"/>
  <c r="AW60" i="124"/>
  <c r="AR60" i="124"/>
  <c r="AU60" i="124"/>
  <c r="AZ60" i="124"/>
  <c r="AT60" i="124"/>
  <c r="AL60" i="124"/>
  <c r="AQ60" i="124"/>
  <c r="BD60" i="124"/>
  <c r="AO60" i="124"/>
  <c r="AI60" i="124"/>
  <c r="AV60" i="124"/>
  <c r="BA60" i="124"/>
  <c r="AN60" i="124"/>
  <c r="AJ60" i="124"/>
  <c r="AS60" i="124"/>
  <c r="AK60" i="124"/>
  <c r="AX60" i="124"/>
  <c r="BC60" i="124"/>
  <c r="AY60" i="124"/>
  <c r="AP60" i="124"/>
  <c r="AM60" i="124"/>
  <c r="AQ11" i="120"/>
  <c r="AJ9" i="122"/>
  <c r="AR32" i="120"/>
  <c r="AV32" i="120" s="1"/>
  <c r="AV31" i="120"/>
  <c r="N57" i="106"/>
  <c r="N57" i="107"/>
  <c r="N57" i="105"/>
  <c r="S48" i="110"/>
  <c r="S48" i="111"/>
  <c r="S48" i="109"/>
  <c r="S48" i="108"/>
  <c r="E30" i="5"/>
  <c r="L49" i="121" s="1"/>
  <c r="S49" i="110"/>
  <c r="S49" i="109"/>
  <c r="S49" i="108"/>
  <c r="S49" i="111"/>
  <c r="L51" i="108"/>
  <c r="L52" i="108" s="1"/>
  <c r="F30" i="5"/>
  <c r="L50" i="121" s="1"/>
  <c r="L52" i="121" s="1"/>
  <c r="L51" i="121" s="1"/>
  <c r="F4" i="5"/>
  <c r="N59" i="120" s="1"/>
  <c r="N61" i="120" s="1"/>
  <c r="E4" i="5"/>
  <c r="N58" i="120" s="1"/>
  <c r="D35" i="5"/>
  <c r="Q48" i="121" s="1"/>
  <c r="O42" i="105" l="1"/>
  <c r="O43" i="105"/>
  <c r="O21" i="105"/>
  <c r="O12" i="105"/>
  <c r="O27" i="105"/>
  <c r="O26" i="105"/>
  <c r="O52" i="105"/>
  <c r="O51" i="105"/>
  <c r="O11" i="105"/>
  <c r="O10" i="105"/>
  <c r="O29" i="105"/>
  <c r="O34" i="105"/>
  <c r="O40" i="105"/>
  <c r="O19" i="105"/>
  <c r="O23" i="105"/>
  <c r="O6" i="105"/>
  <c r="O44" i="105"/>
  <c r="O38" i="105"/>
  <c r="O41" i="105"/>
  <c r="O16" i="105"/>
  <c r="O20" i="105"/>
  <c r="O15" i="105"/>
  <c r="O37" i="105"/>
  <c r="O47" i="105"/>
  <c r="O35" i="105"/>
  <c r="O46" i="105"/>
  <c r="O13" i="105"/>
  <c r="O14" i="105"/>
  <c r="O9" i="105"/>
  <c r="O33" i="105"/>
  <c r="O53" i="105"/>
  <c r="O48" i="105"/>
  <c r="O22" i="105"/>
  <c r="O8" i="105"/>
  <c r="O5" i="105"/>
  <c r="O25" i="105"/>
  <c r="O54" i="105"/>
  <c r="O49" i="105"/>
  <c r="O28" i="105"/>
  <c r="O17" i="105"/>
  <c r="O36" i="105"/>
  <c r="O31" i="105"/>
  <c r="O32" i="105"/>
  <c r="O39" i="105"/>
  <c r="O18" i="105"/>
  <c r="O7" i="105"/>
  <c r="O30" i="105"/>
  <c r="O45" i="105"/>
  <c r="O24" i="105"/>
  <c r="O50" i="105"/>
  <c r="P51" i="121"/>
  <c r="P51" i="110"/>
  <c r="P9" i="109"/>
  <c r="P7" i="109"/>
  <c r="P10" i="109"/>
  <c r="P51" i="109"/>
  <c r="N52" i="108"/>
  <c r="M52" i="108"/>
  <c r="M15" i="104"/>
  <c r="G8" i="127"/>
  <c r="G10" i="127"/>
  <c r="G6" i="127"/>
  <c r="S58" i="104"/>
  <c r="S63" i="104" s="1"/>
  <c r="W58" i="104"/>
  <c r="W63" i="104" s="1"/>
  <c r="AT64" i="124"/>
  <c r="AW64" i="124"/>
  <c r="P8" i="126" s="1"/>
  <c r="AR64" i="124"/>
  <c r="K10" i="126" s="1"/>
  <c r="AQ64" i="124"/>
  <c r="J8" i="126" s="1"/>
  <c r="BD64" i="124"/>
  <c r="W8" i="126" s="1"/>
  <c r="BA64" i="124"/>
  <c r="T8" i="126" s="1"/>
  <c r="AI64" i="124"/>
  <c r="AV64" i="124"/>
  <c r="O6" i="126" s="1"/>
  <c r="AZ64" i="124"/>
  <c r="S8" i="126" s="1"/>
  <c r="AS64" i="124"/>
  <c r="AN64" i="124"/>
  <c r="G8" i="126" s="1"/>
  <c r="AK64" i="124"/>
  <c r="D10" i="126" s="1"/>
  <c r="AP64" i="124"/>
  <c r="I8" i="126" s="1"/>
  <c r="AB64" i="124"/>
  <c r="AL64" i="124"/>
  <c r="E8" i="126" s="1"/>
  <c r="AY64" i="124"/>
  <c r="R10" i="126" s="1"/>
  <c r="AJ64" i="124"/>
  <c r="C8" i="126" s="1"/>
  <c r="BB64" i="124"/>
  <c r="U6" i="126" s="1"/>
  <c r="AO64" i="124"/>
  <c r="AX64" i="124"/>
  <c r="AU64" i="124"/>
  <c r="N8" i="126" s="1"/>
  <c r="AM64" i="124"/>
  <c r="F6" i="126" s="1"/>
  <c r="BC64" i="124"/>
  <c r="Z15" i="109"/>
  <c r="Z5" i="109"/>
  <c r="Z45" i="109"/>
  <c r="Z26" i="109"/>
  <c r="Z18" i="109"/>
  <c r="Z19" i="109"/>
  <c r="Z32" i="109"/>
  <c r="Z23" i="109"/>
  <c r="Z27" i="109"/>
  <c r="Z22" i="109"/>
  <c r="Z8" i="109"/>
  <c r="Z35" i="109"/>
  <c r="Z25" i="109"/>
  <c r="Z34" i="109"/>
  <c r="Z12" i="109"/>
  <c r="Z29" i="109"/>
  <c r="Z31" i="109"/>
  <c r="Z42" i="109"/>
  <c r="Z13" i="109"/>
  <c r="Z36" i="109"/>
  <c r="Z43" i="109"/>
  <c r="Z33" i="109"/>
  <c r="Z44" i="109"/>
  <c r="Z6" i="109"/>
  <c r="Z30" i="109"/>
  <c r="Z37" i="109"/>
  <c r="Z41" i="109"/>
  <c r="Z21" i="109"/>
  <c r="Z11" i="109"/>
  <c r="Z24" i="109"/>
  <c r="Z16" i="109"/>
  <c r="Z17" i="109"/>
  <c r="Z40" i="109"/>
  <c r="Z14" i="109"/>
  <c r="Z28" i="109"/>
  <c r="Z38" i="109"/>
  <c r="Z20" i="109"/>
  <c r="Z39" i="109"/>
  <c r="O51" i="110"/>
  <c r="O51" i="121"/>
  <c r="O9" i="109"/>
  <c r="O7" i="109"/>
  <c r="O10" i="109"/>
  <c r="O51" i="109"/>
  <c r="M17" i="104"/>
  <c r="H8" i="127"/>
  <c r="H6" i="127"/>
  <c r="H10" i="127"/>
  <c r="AF58" i="104"/>
  <c r="AF63" i="104" s="1"/>
  <c r="P58" i="104"/>
  <c r="P63" i="104" s="1"/>
  <c r="Z56" i="105"/>
  <c r="Z61" i="105" s="1"/>
  <c r="M14" i="104"/>
  <c r="K8" i="127"/>
  <c r="K6" i="127"/>
  <c r="K10" i="127"/>
  <c r="B8" i="127"/>
  <c r="B10" i="127"/>
  <c r="B6" i="127"/>
  <c r="AI58" i="104"/>
  <c r="AI63" i="104" s="1"/>
  <c r="Z58" i="104"/>
  <c r="AA56" i="105"/>
  <c r="AA61" i="105" s="1"/>
  <c r="T35" i="109"/>
  <c r="T39" i="109"/>
  <c r="T29" i="109"/>
  <c r="T37" i="109"/>
  <c r="T14" i="109"/>
  <c r="T27" i="109"/>
  <c r="T36" i="109"/>
  <c r="T23" i="109"/>
  <c r="T32" i="109"/>
  <c r="T19" i="109"/>
  <c r="T6" i="109"/>
  <c r="T22" i="109"/>
  <c r="T38" i="109"/>
  <c r="T31" i="109"/>
  <c r="T12" i="109"/>
  <c r="T16" i="109"/>
  <c r="T25" i="109"/>
  <c r="T15" i="109"/>
  <c r="T34" i="109"/>
  <c r="T5" i="109"/>
  <c r="T18" i="109"/>
  <c r="T44" i="109"/>
  <c r="T17" i="109"/>
  <c r="T42" i="109"/>
  <c r="T8" i="109"/>
  <c r="T40" i="109"/>
  <c r="T21" i="109"/>
  <c r="T24" i="109"/>
  <c r="T20" i="109"/>
  <c r="T13" i="109"/>
  <c r="T43" i="109"/>
  <c r="T30" i="109"/>
  <c r="T41" i="109"/>
  <c r="T45" i="109"/>
  <c r="T11" i="109"/>
  <c r="T28" i="109"/>
  <c r="T33" i="109"/>
  <c r="T26" i="109"/>
  <c r="O52" i="108"/>
  <c r="T51" i="121"/>
  <c r="T51" i="109"/>
  <c r="T9" i="109"/>
  <c r="T7" i="109"/>
  <c r="T10" i="109"/>
  <c r="T51" i="110"/>
  <c r="BC66" i="124"/>
  <c r="V6" i="126" s="1"/>
  <c r="AZ66" i="124"/>
  <c r="AO66" i="124"/>
  <c r="H8" i="126" s="1"/>
  <c r="AJ66" i="124"/>
  <c r="AM66" i="124"/>
  <c r="AY66" i="124"/>
  <c r="R8" i="126" s="1"/>
  <c r="AL66" i="124"/>
  <c r="AQ66" i="124"/>
  <c r="BD66" i="124"/>
  <c r="AK66" i="124"/>
  <c r="AR66" i="124"/>
  <c r="K8" i="126" s="1"/>
  <c r="AB66" i="124"/>
  <c r="BB66" i="124"/>
  <c r="U8" i="126" s="1"/>
  <c r="AI66" i="124"/>
  <c r="B8" i="126" s="1"/>
  <c r="AU66" i="124"/>
  <c r="N6" i="126" s="1"/>
  <c r="AX66" i="124"/>
  <c r="AP66" i="124"/>
  <c r="AT66" i="124"/>
  <c r="BA66" i="124"/>
  <c r="T6" i="126" s="1"/>
  <c r="AV66" i="124"/>
  <c r="AW66" i="124"/>
  <c r="AS66" i="124"/>
  <c r="L8" i="126" s="1"/>
  <c r="AN66" i="124"/>
  <c r="P10" i="126"/>
  <c r="M7" i="104"/>
  <c r="M58" i="104" s="1"/>
  <c r="M63" i="104" s="1"/>
  <c r="AA56" i="107"/>
  <c r="D6" i="127"/>
  <c r="D10" i="127"/>
  <c r="Y58" i="104"/>
  <c r="X58" i="104"/>
  <c r="X63" i="104" s="1"/>
  <c r="AG56" i="105"/>
  <c r="M8" i="126"/>
  <c r="U52" i="108"/>
  <c r="M8" i="104"/>
  <c r="I10" i="127"/>
  <c r="I6" i="127"/>
  <c r="I8" i="127"/>
  <c r="E8" i="127"/>
  <c r="E10" i="127"/>
  <c r="E6" i="127"/>
  <c r="AA58" i="104"/>
  <c r="AE58" i="104"/>
  <c r="AE63" i="104" s="1"/>
  <c r="M67" i="104"/>
  <c r="M73" i="104" s="1"/>
  <c r="M51" i="109"/>
  <c r="M51" i="121"/>
  <c r="M9" i="109"/>
  <c r="M7" i="109"/>
  <c r="M51" i="110"/>
  <c r="V51" i="121"/>
  <c r="V10" i="109"/>
  <c r="V9" i="109"/>
  <c r="V7" i="109"/>
  <c r="V51" i="109"/>
  <c r="V51" i="110"/>
  <c r="M16" i="104"/>
  <c r="F8" i="127"/>
  <c r="F10" i="127"/>
  <c r="F6" i="127"/>
  <c r="J6" i="127"/>
  <c r="J10" i="127"/>
  <c r="U58" i="104"/>
  <c r="U63" i="104" s="1"/>
  <c r="V58" i="104"/>
  <c r="Q58" i="104"/>
  <c r="Q63" i="104" s="1"/>
  <c r="O8" i="126"/>
  <c r="R5" i="109"/>
  <c r="R27" i="109"/>
  <c r="R43" i="109"/>
  <c r="R33" i="109"/>
  <c r="R26" i="109"/>
  <c r="R8" i="109"/>
  <c r="R36" i="109"/>
  <c r="R30" i="109"/>
  <c r="R37" i="109"/>
  <c r="R28" i="109"/>
  <c r="R13" i="109"/>
  <c r="R45" i="109"/>
  <c r="R32" i="109"/>
  <c r="R31" i="109"/>
  <c r="R29" i="109"/>
  <c r="R11" i="109"/>
  <c r="R15" i="109"/>
  <c r="R16" i="109"/>
  <c r="R17" i="109"/>
  <c r="R6" i="109"/>
  <c r="R35" i="109"/>
  <c r="R38" i="109"/>
  <c r="R20" i="109"/>
  <c r="R14" i="109"/>
  <c r="R18" i="109"/>
  <c r="R44" i="109"/>
  <c r="R40" i="109"/>
  <c r="R34" i="109"/>
  <c r="R19" i="109"/>
  <c r="R39" i="109"/>
  <c r="R22" i="109"/>
  <c r="R25" i="109"/>
  <c r="R21" i="109"/>
  <c r="R12" i="109"/>
  <c r="R42" i="109"/>
  <c r="R24" i="109"/>
  <c r="R23" i="109"/>
  <c r="R41" i="109"/>
  <c r="U51" i="109"/>
  <c r="U51" i="110"/>
  <c r="U7" i="109"/>
  <c r="U10" i="109"/>
  <c r="U9" i="109"/>
  <c r="U51" i="121"/>
  <c r="U10" i="126"/>
  <c r="L8" i="127"/>
  <c r="L6" i="127"/>
  <c r="L10" i="127"/>
  <c r="AH58" i="104"/>
  <c r="AH63" i="104" s="1"/>
  <c r="L58" i="104"/>
  <c r="L63" i="104" s="1"/>
  <c r="AC58" i="104"/>
  <c r="AC63" i="104" s="1"/>
  <c r="Q8" i="126"/>
  <c r="Q10" i="126"/>
  <c r="Q6" i="126"/>
  <c r="T10" i="126"/>
  <c r="M10" i="126"/>
  <c r="M6" i="126"/>
  <c r="J8" i="127"/>
  <c r="Z9" i="109"/>
  <c r="Z7" i="109"/>
  <c r="Z51" i="121"/>
  <c r="Z51" i="109"/>
  <c r="Z51" i="110"/>
  <c r="N51" i="109"/>
  <c r="N51" i="121"/>
  <c r="N9" i="109"/>
  <c r="N7" i="109"/>
  <c r="N10" i="109"/>
  <c r="N51" i="110"/>
  <c r="V52" i="108"/>
  <c r="P52" i="108"/>
  <c r="F8" i="126"/>
  <c r="C8" i="127"/>
  <c r="C6" i="127"/>
  <c r="C10" i="127"/>
  <c r="R58" i="104"/>
  <c r="R63" i="104" s="1"/>
  <c r="AQ12" i="120"/>
  <c r="L19" i="109"/>
  <c r="L12" i="109"/>
  <c r="L5" i="109"/>
  <c r="L8" i="109"/>
  <c r="L13" i="109"/>
  <c r="L6" i="109"/>
  <c r="L11" i="109"/>
  <c r="L14" i="109"/>
  <c r="L16" i="109"/>
  <c r="L23" i="109"/>
  <c r="L41" i="109"/>
  <c r="L29" i="109"/>
  <c r="L31" i="109"/>
  <c r="L27" i="109"/>
  <c r="L17" i="109"/>
  <c r="L37" i="109"/>
  <c r="L15" i="109"/>
  <c r="L35" i="109"/>
  <c r="L26" i="109"/>
  <c r="L39" i="109"/>
  <c r="L24" i="109"/>
  <c r="L34" i="109"/>
  <c r="L20" i="109"/>
  <c r="L21" i="109"/>
  <c r="L32" i="109"/>
  <c r="L42" i="109"/>
  <c r="L28" i="109"/>
  <c r="L45" i="109"/>
  <c r="L22" i="109"/>
  <c r="L18" i="109"/>
  <c r="L43" i="109"/>
  <c r="L25" i="109"/>
  <c r="L40" i="109"/>
  <c r="L44" i="109"/>
  <c r="L38" i="109"/>
  <c r="L30" i="109"/>
  <c r="L33" i="109"/>
  <c r="L36" i="109"/>
  <c r="N58" i="107"/>
  <c r="N58" i="106"/>
  <c r="N58" i="105"/>
  <c r="N59" i="107"/>
  <c r="N59" i="106"/>
  <c r="N59" i="105"/>
  <c r="L50" i="110"/>
  <c r="L52" i="110" s="1"/>
  <c r="L50" i="111"/>
  <c r="L50" i="109"/>
  <c r="L50" i="108"/>
  <c r="Q48" i="111"/>
  <c r="Q48" i="110"/>
  <c r="Q48" i="109"/>
  <c r="Q48" i="108"/>
  <c r="L10" i="109"/>
  <c r="L9" i="109"/>
  <c r="L7" i="109"/>
  <c r="L51" i="110"/>
  <c r="L49" i="110"/>
  <c r="L49" i="111"/>
  <c r="L49" i="108"/>
  <c r="L49" i="109"/>
  <c r="L52" i="109" s="1"/>
  <c r="L51" i="109" s="1"/>
  <c r="N61" i="106"/>
  <c r="N60" i="104"/>
  <c r="N61" i="104"/>
  <c r="D46" i="5"/>
  <c r="AB48" i="121" s="1"/>
  <c r="X52" i="121" s="1"/>
  <c r="D10" i="5"/>
  <c r="T59" i="104" s="1"/>
  <c r="T57" i="120" s="1"/>
  <c r="M7" i="105" l="1"/>
  <c r="M18" i="105"/>
  <c r="M5" i="105"/>
  <c r="M10" i="105"/>
  <c r="M11" i="105"/>
  <c r="M6" i="105"/>
  <c r="M19" i="105"/>
  <c r="M9" i="105"/>
  <c r="M13" i="105"/>
  <c r="M12" i="105"/>
  <c r="M52" i="105"/>
  <c r="M46" i="105"/>
  <c r="M40" i="105"/>
  <c r="M48" i="105"/>
  <c r="M35" i="105"/>
  <c r="M20" i="105"/>
  <c r="M38" i="105"/>
  <c r="M53" i="105"/>
  <c r="M34" i="105"/>
  <c r="M32" i="105"/>
  <c r="M24" i="105"/>
  <c r="M49" i="105"/>
  <c r="M26" i="105"/>
  <c r="M37" i="105"/>
  <c r="M27" i="105"/>
  <c r="M43" i="105"/>
  <c r="M51" i="105"/>
  <c r="M44" i="105"/>
  <c r="M29" i="105"/>
  <c r="M41" i="105"/>
  <c r="M42" i="105"/>
  <c r="M47" i="105"/>
  <c r="M36" i="105"/>
  <c r="M21" i="105"/>
  <c r="M30" i="105"/>
  <c r="M22" i="105"/>
  <c r="M33" i="105"/>
  <c r="M54" i="105"/>
  <c r="M45" i="105"/>
  <c r="M25" i="105"/>
  <c r="M28" i="105"/>
  <c r="M31" i="105"/>
  <c r="M39" i="105"/>
  <c r="M50" i="105"/>
  <c r="M23" i="105"/>
  <c r="L33" i="121"/>
  <c r="L7" i="121"/>
  <c r="L38" i="121"/>
  <c r="L28" i="121"/>
  <c r="L26" i="121"/>
  <c r="L41" i="121"/>
  <c r="L5" i="121"/>
  <c r="V8" i="109"/>
  <c r="V31" i="109"/>
  <c r="V40" i="109"/>
  <c r="V28" i="109"/>
  <c r="V38" i="109"/>
  <c r="V13" i="109"/>
  <c r="V24" i="109"/>
  <c r="V25" i="109"/>
  <c r="V30" i="109"/>
  <c r="V41" i="109"/>
  <c r="V11" i="109"/>
  <c r="V17" i="109"/>
  <c r="V34" i="109"/>
  <c r="V45" i="109"/>
  <c r="V44" i="109"/>
  <c r="V6" i="109"/>
  <c r="V37" i="109"/>
  <c r="V18" i="109"/>
  <c r="V15" i="109"/>
  <c r="V21" i="109"/>
  <c r="V32" i="109"/>
  <c r="V20" i="109"/>
  <c r="V35" i="109"/>
  <c r="V19" i="109"/>
  <c r="V14" i="109"/>
  <c r="V16" i="109"/>
  <c r="V22" i="109"/>
  <c r="V23" i="109"/>
  <c r="V12" i="109"/>
  <c r="V42" i="109"/>
  <c r="V26" i="109"/>
  <c r="V33" i="109"/>
  <c r="V43" i="109"/>
  <c r="V5" i="109"/>
  <c r="V29" i="109"/>
  <c r="V39" i="109"/>
  <c r="V27" i="109"/>
  <c r="V36" i="109"/>
  <c r="AC23" i="105"/>
  <c r="AC10" i="105"/>
  <c r="AC41" i="105"/>
  <c r="AC40" i="105"/>
  <c r="AC43" i="105"/>
  <c r="AC53" i="105"/>
  <c r="AC22" i="105"/>
  <c r="AC9" i="105"/>
  <c r="AC15" i="105"/>
  <c r="AC26" i="105"/>
  <c r="AC29" i="105"/>
  <c r="AC34" i="105"/>
  <c r="AC19" i="105"/>
  <c r="AC5" i="105"/>
  <c r="AC46" i="105"/>
  <c r="AC48" i="105"/>
  <c r="AC25" i="105"/>
  <c r="AC33" i="105"/>
  <c r="AC16" i="105"/>
  <c r="AC8" i="105"/>
  <c r="AC32" i="105"/>
  <c r="AC42" i="105"/>
  <c r="AC51" i="105"/>
  <c r="AC36" i="105"/>
  <c r="AC13" i="105"/>
  <c r="AC28" i="105"/>
  <c r="AC49" i="105"/>
  <c r="AC35" i="105"/>
  <c r="AC37" i="105"/>
  <c r="AC30" i="105"/>
  <c r="AC21" i="105"/>
  <c r="AC20" i="105"/>
  <c r="AC18" i="105"/>
  <c r="AC52" i="105"/>
  <c r="AC31" i="105"/>
  <c r="AC47" i="105"/>
  <c r="AC38" i="105"/>
  <c r="AC14" i="105"/>
  <c r="AC6" i="105"/>
  <c r="AC12" i="105"/>
  <c r="AC54" i="105"/>
  <c r="AC44" i="105"/>
  <c r="AC24" i="105"/>
  <c r="AC45" i="105"/>
  <c r="AC11" i="105"/>
  <c r="AC17" i="105"/>
  <c r="AC7" i="105"/>
  <c r="AC39" i="105"/>
  <c r="AC50" i="105"/>
  <c r="AC27" i="105"/>
  <c r="U9" i="121"/>
  <c r="U9" i="110"/>
  <c r="S9" i="125" s="1"/>
  <c r="S55" i="125" s="1"/>
  <c r="U9" i="111"/>
  <c r="R42" i="121"/>
  <c r="S42" i="121" s="1"/>
  <c r="S42" i="109"/>
  <c r="R42" i="110"/>
  <c r="S42" i="110" s="1"/>
  <c r="R42" i="111"/>
  <c r="S42" i="111" s="1"/>
  <c r="R40" i="121"/>
  <c r="S40" i="121" s="1"/>
  <c r="S40" i="109"/>
  <c r="R40" i="111"/>
  <c r="S40" i="111" s="1"/>
  <c r="R40" i="110"/>
  <c r="S40" i="110" s="1"/>
  <c r="R17" i="121"/>
  <c r="S17" i="121" s="1"/>
  <c r="S17" i="109"/>
  <c r="R17" i="111"/>
  <c r="S17" i="111" s="1"/>
  <c r="R17" i="110"/>
  <c r="S17" i="110" s="1"/>
  <c r="R13" i="121"/>
  <c r="S13" i="121" s="1"/>
  <c r="R13" i="110"/>
  <c r="S13" i="110" s="1"/>
  <c r="R13" i="111"/>
  <c r="S13" i="111" s="1"/>
  <c r="S13" i="109"/>
  <c r="R43" i="121"/>
  <c r="S43" i="121" s="1"/>
  <c r="S43" i="109"/>
  <c r="R43" i="110"/>
  <c r="S43" i="110" s="1"/>
  <c r="R43" i="111"/>
  <c r="S43" i="111" s="1"/>
  <c r="T7" i="125"/>
  <c r="T53" i="125" s="1"/>
  <c r="V7" i="121"/>
  <c r="V7" i="110"/>
  <c r="V7" i="111"/>
  <c r="K6" i="126"/>
  <c r="T10" i="121"/>
  <c r="T10" i="110"/>
  <c r="T10" i="111"/>
  <c r="R10" i="125" s="1"/>
  <c r="R56" i="125" s="1"/>
  <c r="W10" i="109"/>
  <c r="T28" i="121"/>
  <c r="T28" i="111"/>
  <c r="T28" i="110"/>
  <c r="T24" i="121"/>
  <c r="T24" i="111"/>
  <c r="T24" i="110"/>
  <c r="R5" i="125"/>
  <c r="R51" i="125" s="1"/>
  <c r="T5" i="121"/>
  <c r="T5" i="110"/>
  <c r="T47" i="109"/>
  <c r="T5" i="111"/>
  <c r="T22" i="121"/>
  <c r="T22" i="110"/>
  <c r="T22" i="111"/>
  <c r="T37" i="121"/>
  <c r="T37" i="111"/>
  <c r="T37" i="110"/>
  <c r="M6" i="127"/>
  <c r="Z20" i="120"/>
  <c r="Z28" i="120"/>
  <c r="Z37" i="120"/>
  <c r="Z6" i="120"/>
  <c r="Z41" i="120"/>
  <c r="Z27" i="120"/>
  <c r="Z18" i="120"/>
  <c r="Z40" i="120"/>
  <c r="Z32" i="120"/>
  <c r="Z48" i="120"/>
  <c r="Z23" i="120"/>
  <c r="Z5" i="120"/>
  <c r="Z21" i="120"/>
  <c r="Z52" i="120"/>
  <c r="Z46" i="120"/>
  <c r="Z38" i="120"/>
  <c r="Z44" i="120"/>
  <c r="Z19" i="120"/>
  <c r="Z51" i="120"/>
  <c r="Z31" i="120"/>
  <c r="Z33" i="120"/>
  <c r="Z15" i="120"/>
  <c r="Z12" i="120"/>
  <c r="Z10" i="120"/>
  <c r="Z9" i="120"/>
  <c r="Z29" i="120"/>
  <c r="Z14" i="120"/>
  <c r="Z43" i="120"/>
  <c r="Z25" i="120"/>
  <c r="Z53" i="120"/>
  <c r="Z54" i="120"/>
  <c r="Z24" i="120"/>
  <c r="Z47" i="120"/>
  <c r="Z34" i="120"/>
  <c r="Z50" i="120"/>
  <c r="Z22" i="120"/>
  <c r="Z16" i="120"/>
  <c r="Z42" i="120"/>
  <c r="Z7" i="120"/>
  <c r="Z39" i="120"/>
  <c r="Z13" i="120"/>
  <c r="Z30" i="120"/>
  <c r="Z11" i="120"/>
  <c r="Z35" i="120"/>
  <c r="Z26" i="120"/>
  <c r="Z8" i="120"/>
  <c r="Z49" i="120"/>
  <c r="Z17" i="120"/>
  <c r="Z45" i="120"/>
  <c r="Z36" i="120"/>
  <c r="Z48" i="106"/>
  <c r="Y48" i="124" s="1"/>
  <c r="Y103" i="124" s="1"/>
  <c r="Z28" i="106"/>
  <c r="Y28" i="124" s="1"/>
  <c r="Y83" i="124" s="1"/>
  <c r="Z15" i="106"/>
  <c r="Y15" i="124" s="1"/>
  <c r="Y70" i="124" s="1"/>
  <c r="Z37" i="106"/>
  <c r="Y37" i="124" s="1"/>
  <c r="Y92" i="124" s="1"/>
  <c r="Z24" i="106"/>
  <c r="Y24" i="124" s="1"/>
  <c r="Y79" i="124" s="1"/>
  <c r="Z9" i="106"/>
  <c r="Y9" i="124" s="1"/>
  <c r="Y64" i="124" s="1"/>
  <c r="Z40" i="106"/>
  <c r="Y40" i="124" s="1"/>
  <c r="Y95" i="124" s="1"/>
  <c r="Z43" i="106"/>
  <c r="Y43" i="124" s="1"/>
  <c r="Y98" i="124" s="1"/>
  <c r="Z49" i="106"/>
  <c r="Y49" i="124" s="1"/>
  <c r="Y104" i="124" s="1"/>
  <c r="Z12" i="106"/>
  <c r="Y12" i="124" s="1"/>
  <c r="Y67" i="124" s="1"/>
  <c r="Z19" i="106"/>
  <c r="Y19" i="124" s="1"/>
  <c r="Y74" i="124" s="1"/>
  <c r="Z20" i="106"/>
  <c r="Y20" i="124" s="1"/>
  <c r="Y75" i="124" s="1"/>
  <c r="Z39" i="106"/>
  <c r="Y39" i="124" s="1"/>
  <c r="Y94" i="124" s="1"/>
  <c r="Z35" i="106"/>
  <c r="Y35" i="124" s="1"/>
  <c r="Y90" i="124" s="1"/>
  <c r="Z38" i="106"/>
  <c r="Y38" i="124" s="1"/>
  <c r="Y93" i="124" s="1"/>
  <c r="Z7" i="106"/>
  <c r="Y7" i="124" s="1"/>
  <c r="Y62" i="124" s="1"/>
  <c r="Z18" i="106"/>
  <c r="Y18" i="124" s="1"/>
  <c r="Y73" i="124" s="1"/>
  <c r="Z5" i="106"/>
  <c r="Z31" i="106"/>
  <c r="Y31" i="124" s="1"/>
  <c r="Y86" i="124" s="1"/>
  <c r="Z27" i="106"/>
  <c r="Y27" i="124" s="1"/>
  <c r="Y82" i="124" s="1"/>
  <c r="Z14" i="106"/>
  <c r="Y14" i="124" s="1"/>
  <c r="Y69" i="124" s="1"/>
  <c r="Z11" i="106"/>
  <c r="Y11" i="124" s="1"/>
  <c r="Y66" i="124" s="1"/>
  <c r="Z6" i="106"/>
  <c r="Y6" i="124" s="1"/>
  <c r="Y61" i="124" s="1"/>
  <c r="Z16" i="106"/>
  <c r="Y16" i="124" s="1"/>
  <c r="Y71" i="124" s="1"/>
  <c r="Z23" i="106"/>
  <c r="Y23" i="124" s="1"/>
  <c r="Y78" i="124" s="1"/>
  <c r="Z41" i="106"/>
  <c r="Y41" i="124" s="1"/>
  <c r="Y96" i="124" s="1"/>
  <c r="Z8" i="106"/>
  <c r="Y8" i="124" s="1"/>
  <c r="Y63" i="124" s="1"/>
  <c r="Z47" i="106"/>
  <c r="Y47" i="124" s="1"/>
  <c r="Y102" i="124" s="1"/>
  <c r="Z42" i="106"/>
  <c r="Y42" i="124" s="1"/>
  <c r="Y97" i="124" s="1"/>
  <c r="Z10" i="106"/>
  <c r="Y10" i="124" s="1"/>
  <c r="Y65" i="124" s="1"/>
  <c r="Z52" i="106"/>
  <c r="Y52" i="124" s="1"/>
  <c r="Y107" i="124" s="1"/>
  <c r="Z54" i="106"/>
  <c r="Y54" i="124" s="1"/>
  <c r="Y109" i="124" s="1"/>
  <c r="Z32" i="106"/>
  <c r="Y32" i="124" s="1"/>
  <c r="Y87" i="124" s="1"/>
  <c r="Z34" i="106"/>
  <c r="Y34" i="124" s="1"/>
  <c r="Y89" i="124" s="1"/>
  <c r="Z46" i="106"/>
  <c r="Y46" i="124" s="1"/>
  <c r="Y101" i="124" s="1"/>
  <c r="Z26" i="106"/>
  <c r="Y26" i="124" s="1"/>
  <c r="Y81" i="124" s="1"/>
  <c r="Z17" i="106"/>
  <c r="Y17" i="124" s="1"/>
  <c r="Y72" i="124" s="1"/>
  <c r="Z51" i="106"/>
  <c r="Y51" i="124" s="1"/>
  <c r="Y106" i="124" s="1"/>
  <c r="Z44" i="106"/>
  <c r="Y44" i="124" s="1"/>
  <c r="Y99" i="124" s="1"/>
  <c r="Z29" i="106"/>
  <c r="Y29" i="124" s="1"/>
  <c r="Y84" i="124" s="1"/>
  <c r="Z25" i="106"/>
  <c r="Y25" i="124" s="1"/>
  <c r="Y80" i="124" s="1"/>
  <c r="Z33" i="106"/>
  <c r="Y33" i="124" s="1"/>
  <c r="Y88" i="124" s="1"/>
  <c r="Z21" i="106"/>
  <c r="Y21" i="124" s="1"/>
  <c r="Y76" i="124" s="1"/>
  <c r="Z53" i="106"/>
  <c r="Y53" i="124" s="1"/>
  <c r="Y108" i="124" s="1"/>
  <c r="Z50" i="106"/>
  <c r="Y50" i="124" s="1"/>
  <c r="Y105" i="124" s="1"/>
  <c r="Z36" i="106"/>
  <c r="Y36" i="124" s="1"/>
  <c r="Y91" i="124" s="1"/>
  <c r="Z22" i="106"/>
  <c r="Y22" i="124" s="1"/>
  <c r="Y77" i="124" s="1"/>
  <c r="Z13" i="106"/>
  <c r="Y13" i="124" s="1"/>
  <c r="Y68" i="124" s="1"/>
  <c r="Z30" i="106"/>
  <c r="Y30" i="124" s="1"/>
  <c r="Y85" i="124" s="1"/>
  <c r="Z45" i="106"/>
  <c r="Y45" i="124" s="1"/>
  <c r="Y100" i="124" s="1"/>
  <c r="B10" i="126"/>
  <c r="O9" i="121"/>
  <c r="O9" i="110"/>
  <c r="O9" i="125" s="1"/>
  <c r="O55" i="125" s="1"/>
  <c r="O9" i="111"/>
  <c r="Z40" i="121"/>
  <c r="AA40" i="121" s="1"/>
  <c r="AA40" i="109"/>
  <c r="Z40" i="110"/>
  <c r="AA40" i="110" s="1"/>
  <c r="Z40" i="111"/>
  <c r="AA40" i="111" s="1"/>
  <c r="Z30" i="121"/>
  <c r="AA30" i="121" s="1"/>
  <c r="AA30" i="109"/>
  <c r="Z30" i="111"/>
  <c r="AA30" i="111" s="1"/>
  <c r="Z30" i="110"/>
  <c r="AA30" i="110" s="1"/>
  <c r="V31" i="125"/>
  <c r="V77" i="125" s="1"/>
  <c r="Z31" i="121"/>
  <c r="AA31" i="121" s="1"/>
  <c r="AA31" i="109"/>
  <c r="Z31" i="110"/>
  <c r="AA31" i="110" s="1"/>
  <c r="Z31" i="111"/>
  <c r="AA31" i="111" s="1"/>
  <c r="Z27" i="121"/>
  <c r="AA27" i="121" s="1"/>
  <c r="AA27" i="109"/>
  <c r="Z27" i="110"/>
  <c r="AA27" i="110" s="1"/>
  <c r="Z27" i="111"/>
  <c r="AA27" i="111" s="1"/>
  <c r="Z15" i="121"/>
  <c r="AA15" i="121" s="1"/>
  <c r="AA15" i="109"/>
  <c r="Z15" i="110"/>
  <c r="AA15" i="110" s="1"/>
  <c r="Z15" i="111"/>
  <c r="AA15" i="111" s="1"/>
  <c r="M15" i="105"/>
  <c r="O30" i="107"/>
  <c r="O28" i="107"/>
  <c r="O53" i="107"/>
  <c r="O37" i="107"/>
  <c r="O23" i="107"/>
  <c r="O52" i="107"/>
  <c r="R6" i="126"/>
  <c r="S10" i="126"/>
  <c r="L9" i="121"/>
  <c r="L44" i="121"/>
  <c r="L42" i="121"/>
  <c r="L35" i="121"/>
  <c r="L23" i="121"/>
  <c r="L12" i="121"/>
  <c r="L40" i="105"/>
  <c r="L9" i="105"/>
  <c r="L16" i="105"/>
  <c r="L35" i="105"/>
  <c r="L48" i="105"/>
  <c r="L41" i="105"/>
  <c r="L45" i="105"/>
  <c r="L17" i="105"/>
  <c r="L5" i="105"/>
  <c r="L37" i="105"/>
  <c r="L14" i="105"/>
  <c r="L46" i="105"/>
  <c r="L50" i="105"/>
  <c r="L54" i="105"/>
  <c r="L26" i="105"/>
  <c r="L8" i="105"/>
  <c r="L18" i="105"/>
  <c r="L43" i="105"/>
  <c r="L36" i="105"/>
  <c r="L21" i="105"/>
  <c r="L32" i="105"/>
  <c r="L19" i="105"/>
  <c r="L10" i="105"/>
  <c r="L23" i="105"/>
  <c r="L44" i="105"/>
  <c r="L53" i="105"/>
  <c r="L29" i="105"/>
  <c r="L13" i="105"/>
  <c r="L24" i="105"/>
  <c r="L28" i="105"/>
  <c r="L47" i="105"/>
  <c r="L49" i="105"/>
  <c r="L31" i="105"/>
  <c r="L30" i="105"/>
  <c r="L11" i="105"/>
  <c r="L34" i="105"/>
  <c r="L33" i="105"/>
  <c r="L22" i="105"/>
  <c r="L25" i="105"/>
  <c r="L27" i="105"/>
  <c r="L6" i="105"/>
  <c r="L51" i="105"/>
  <c r="L42" i="105"/>
  <c r="L38" i="105"/>
  <c r="L12" i="105"/>
  <c r="L7" i="105"/>
  <c r="L20" i="105"/>
  <c r="L39" i="105"/>
  <c r="L52" i="105"/>
  <c r="L15" i="105"/>
  <c r="S10" i="125"/>
  <c r="S56" i="125" s="1"/>
  <c r="U10" i="121"/>
  <c r="U10" i="110"/>
  <c r="U10" i="111"/>
  <c r="Q12" i="125"/>
  <c r="Q58" i="125" s="1"/>
  <c r="R12" i="121"/>
  <c r="S12" i="121" s="1"/>
  <c r="R12" i="110"/>
  <c r="S12" i="110" s="1"/>
  <c r="R12" i="111"/>
  <c r="S12" i="111" s="1"/>
  <c r="S12" i="109"/>
  <c r="Q44" i="125"/>
  <c r="Q90" i="125" s="1"/>
  <c r="R44" i="121"/>
  <c r="S44" i="121" s="1"/>
  <c r="S44" i="109"/>
  <c r="R44" i="110"/>
  <c r="S44" i="110" s="1"/>
  <c r="R44" i="111"/>
  <c r="S44" i="111" s="1"/>
  <c r="R16" i="121"/>
  <c r="S16" i="121" s="1"/>
  <c r="R16" i="111"/>
  <c r="S16" i="111" s="1"/>
  <c r="S16" i="109"/>
  <c r="R16" i="110"/>
  <c r="S16" i="110" s="1"/>
  <c r="R28" i="121"/>
  <c r="S28" i="121" s="1"/>
  <c r="S28" i="109"/>
  <c r="R28" i="110"/>
  <c r="S28" i="110" s="1"/>
  <c r="R28" i="111"/>
  <c r="S28" i="111" s="1"/>
  <c r="Q27" i="125"/>
  <c r="Q73" i="125" s="1"/>
  <c r="R27" i="121"/>
  <c r="S27" i="121" s="1"/>
  <c r="R27" i="111"/>
  <c r="S27" i="111" s="1"/>
  <c r="S27" i="109"/>
  <c r="R27" i="110"/>
  <c r="S27" i="110" s="1"/>
  <c r="V9" i="121"/>
  <c r="V9" i="111"/>
  <c r="V9" i="110"/>
  <c r="T9" i="125" s="1"/>
  <c r="T55" i="125" s="1"/>
  <c r="X29" i="105"/>
  <c r="X22" i="105"/>
  <c r="X18" i="105"/>
  <c r="X12" i="105"/>
  <c r="X20" i="105"/>
  <c r="X5" i="105"/>
  <c r="X54" i="105"/>
  <c r="X19" i="105"/>
  <c r="X31" i="105"/>
  <c r="X49" i="105"/>
  <c r="X8" i="105"/>
  <c r="X14" i="105"/>
  <c r="X33" i="105"/>
  <c r="X51" i="105"/>
  <c r="X16" i="105"/>
  <c r="X28" i="105"/>
  <c r="X40" i="105"/>
  <c r="X39" i="105"/>
  <c r="X23" i="105"/>
  <c r="X30" i="105"/>
  <c r="X53" i="105"/>
  <c r="X13" i="105"/>
  <c r="X25" i="105"/>
  <c r="X37" i="105"/>
  <c r="X26" i="105"/>
  <c r="X6" i="105"/>
  <c r="X52" i="105"/>
  <c r="X47" i="105"/>
  <c r="X50" i="105"/>
  <c r="X27" i="105"/>
  <c r="X15" i="105"/>
  <c r="X45" i="105"/>
  <c r="X48" i="105"/>
  <c r="X44" i="105"/>
  <c r="X46" i="105"/>
  <c r="X24" i="105"/>
  <c r="X7" i="105"/>
  <c r="X17" i="105"/>
  <c r="X35" i="105"/>
  <c r="X41" i="105"/>
  <c r="X43" i="105"/>
  <c r="X21" i="105"/>
  <c r="X42" i="105"/>
  <c r="X10" i="105"/>
  <c r="X32" i="105"/>
  <c r="X38" i="105"/>
  <c r="X34" i="105"/>
  <c r="X11" i="105"/>
  <c r="X36" i="105"/>
  <c r="X9" i="105"/>
  <c r="T7" i="121"/>
  <c r="T7" i="111"/>
  <c r="R7" i="125" s="1"/>
  <c r="R53" i="125" s="1"/>
  <c r="T7" i="110"/>
  <c r="W7" i="109"/>
  <c r="R11" i="125"/>
  <c r="R57" i="125" s="1"/>
  <c r="T11" i="121"/>
  <c r="T11" i="111"/>
  <c r="T11" i="110"/>
  <c r="T21" i="121"/>
  <c r="T21" i="110"/>
  <c r="R21" i="125" s="1"/>
  <c r="R67" i="125" s="1"/>
  <c r="T21" i="111"/>
  <c r="T34" i="121"/>
  <c r="T34" i="110"/>
  <c r="T34" i="111"/>
  <c r="T6" i="121"/>
  <c r="T6" i="110"/>
  <c r="T6" i="111"/>
  <c r="T29" i="121"/>
  <c r="T29" i="111"/>
  <c r="T29" i="110"/>
  <c r="R29" i="125" s="1"/>
  <c r="R75" i="125" s="1"/>
  <c r="H6" i="126"/>
  <c r="M10" i="127"/>
  <c r="B6" i="126"/>
  <c r="Z17" i="121"/>
  <c r="AA17" i="121" s="1"/>
  <c r="Z17" i="111"/>
  <c r="AA17" i="111" s="1"/>
  <c r="AA17" i="109"/>
  <c r="Z17" i="110"/>
  <c r="AA17" i="110" s="1"/>
  <c r="V6" i="125"/>
  <c r="V52" i="125" s="1"/>
  <c r="Z6" i="121"/>
  <c r="AA6" i="121" s="1"/>
  <c r="Z6" i="110"/>
  <c r="AA6" i="110" s="1"/>
  <c r="AA6" i="109"/>
  <c r="Z6" i="111"/>
  <c r="AA6" i="111" s="1"/>
  <c r="Z29" i="121"/>
  <c r="AA29" i="121" s="1"/>
  <c r="Z29" i="110"/>
  <c r="AA29" i="110" s="1"/>
  <c r="Z29" i="111"/>
  <c r="AA29" i="111" s="1"/>
  <c r="AA29" i="109"/>
  <c r="V23" i="125"/>
  <c r="V69" i="125" s="1"/>
  <c r="Z23" i="121"/>
  <c r="AA23" i="121" s="1"/>
  <c r="AA23" i="109"/>
  <c r="Z23" i="110"/>
  <c r="AA23" i="110" s="1"/>
  <c r="Z23" i="111"/>
  <c r="AA23" i="111" s="1"/>
  <c r="M11" i="109"/>
  <c r="M18" i="109"/>
  <c r="M16" i="109"/>
  <c r="M23" i="109"/>
  <c r="M14" i="109"/>
  <c r="M45" i="109"/>
  <c r="M43" i="109"/>
  <c r="M39" i="109"/>
  <c r="M19" i="109"/>
  <c r="M34" i="109"/>
  <c r="M38" i="109"/>
  <c r="M25" i="109"/>
  <c r="M17" i="109"/>
  <c r="M12" i="109"/>
  <c r="M44" i="109"/>
  <c r="M32" i="109"/>
  <c r="M28" i="109"/>
  <c r="M22" i="109"/>
  <c r="M5" i="109"/>
  <c r="M37" i="109"/>
  <c r="M27" i="109"/>
  <c r="M36" i="109"/>
  <c r="M15" i="109"/>
  <c r="M8" i="109"/>
  <c r="M30" i="109"/>
  <c r="M40" i="109"/>
  <c r="M33" i="109"/>
  <c r="M26" i="109"/>
  <c r="M13" i="109"/>
  <c r="M24" i="109"/>
  <c r="M35" i="109"/>
  <c r="M29" i="109"/>
  <c r="M20" i="109"/>
  <c r="M6" i="109"/>
  <c r="M42" i="109"/>
  <c r="M21" i="109"/>
  <c r="M41" i="109"/>
  <c r="M31" i="109"/>
  <c r="O7" i="107"/>
  <c r="O49" i="107"/>
  <c r="O33" i="107"/>
  <c r="O15" i="107"/>
  <c r="O19" i="107"/>
  <c r="O26" i="107"/>
  <c r="O10" i="126"/>
  <c r="S6" i="126"/>
  <c r="E6" i="126"/>
  <c r="P6" i="126"/>
  <c r="L10" i="121"/>
  <c r="L40" i="121"/>
  <c r="L32" i="121"/>
  <c r="L15" i="121"/>
  <c r="L16" i="121"/>
  <c r="L19" i="121"/>
  <c r="R30" i="105"/>
  <c r="R13" i="105"/>
  <c r="R9" i="105"/>
  <c r="R50" i="105"/>
  <c r="R53" i="105"/>
  <c r="R47" i="105"/>
  <c r="R23" i="105"/>
  <c r="R31" i="105"/>
  <c r="R5" i="105"/>
  <c r="R38" i="105"/>
  <c r="R40" i="105"/>
  <c r="R42" i="105"/>
  <c r="R20" i="105"/>
  <c r="R29" i="105"/>
  <c r="R25" i="105"/>
  <c r="R33" i="105"/>
  <c r="R48" i="105"/>
  <c r="R51" i="105"/>
  <c r="R18" i="105"/>
  <c r="R17" i="105"/>
  <c r="R28" i="105"/>
  <c r="R15" i="105"/>
  <c r="R37" i="105"/>
  <c r="R52" i="105"/>
  <c r="R54" i="105"/>
  <c r="R27" i="105"/>
  <c r="R26" i="105"/>
  <c r="R16" i="105"/>
  <c r="R8" i="105"/>
  <c r="R49" i="105"/>
  <c r="R35" i="105"/>
  <c r="R24" i="105"/>
  <c r="R32" i="105"/>
  <c r="R10" i="105"/>
  <c r="R44" i="105"/>
  <c r="R45" i="105"/>
  <c r="R34" i="105"/>
  <c r="R21" i="105"/>
  <c r="R22" i="105"/>
  <c r="R6" i="105"/>
  <c r="R14" i="105"/>
  <c r="R41" i="105"/>
  <c r="R43" i="105"/>
  <c r="R11" i="105"/>
  <c r="R19" i="105"/>
  <c r="R12" i="105"/>
  <c r="R7" i="105"/>
  <c r="R36" i="105"/>
  <c r="R46" i="105"/>
  <c r="R39" i="105"/>
  <c r="N10" i="125"/>
  <c r="N56" i="125" s="1"/>
  <c r="N10" i="121"/>
  <c r="N10" i="110"/>
  <c r="N10" i="111"/>
  <c r="Z7" i="121"/>
  <c r="AA7" i="121" s="1"/>
  <c r="Z7" i="110"/>
  <c r="AA7" i="110" s="1"/>
  <c r="AA7" i="109"/>
  <c r="Z7" i="111"/>
  <c r="AA7" i="111" s="1"/>
  <c r="AH53" i="105"/>
  <c r="AH18" i="105"/>
  <c r="AH8" i="105"/>
  <c r="AH39" i="105"/>
  <c r="AH35" i="105"/>
  <c r="AH36" i="105"/>
  <c r="AH29" i="105"/>
  <c r="AH15" i="105"/>
  <c r="AH21" i="105"/>
  <c r="AH49" i="105"/>
  <c r="AH54" i="105"/>
  <c r="AH31" i="105"/>
  <c r="AH52" i="105"/>
  <c r="AH23" i="105"/>
  <c r="AH12" i="105"/>
  <c r="AH16" i="105"/>
  <c r="AH26" i="105"/>
  <c r="AH40" i="105"/>
  <c r="AH27" i="105"/>
  <c r="AH45" i="105"/>
  <c r="AH20" i="105"/>
  <c r="AH17" i="105"/>
  <c r="AH7" i="105"/>
  <c r="AH38" i="105"/>
  <c r="AH25" i="105"/>
  <c r="AH46" i="105"/>
  <c r="AH10" i="105"/>
  <c r="AH14" i="105"/>
  <c r="AH11" i="105"/>
  <c r="AH47" i="105"/>
  <c r="AH51" i="105"/>
  <c r="AH33" i="105"/>
  <c r="AH13" i="105"/>
  <c r="AH9" i="105"/>
  <c r="AH6" i="105"/>
  <c r="AH37" i="105"/>
  <c r="AH30" i="105"/>
  <c r="AH42" i="105"/>
  <c r="AH22" i="105"/>
  <c r="AH5" i="105"/>
  <c r="AH43" i="105"/>
  <c r="AH32" i="105"/>
  <c r="AH48" i="105"/>
  <c r="AH50" i="105"/>
  <c r="AH28" i="105"/>
  <c r="AH19" i="105"/>
  <c r="AH24" i="105"/>
  <c r="AH41" i="105"/>
  <c r="AH34" i="105"/>
  <c r="AH44" i="105"/>
  <c r="U7" i="121"/>
  <c r="U7" i="110"/>
  <c r="S7" i="125" s="1"/>
  <c r="S53" i="125" s="1"/>
  <c r="U7" i="111"/>
  <c r="W7" i="111" s="1"/>
  <c r="R21" i="121"/>
  <c r="S21" i="121" s="1"/>
  <c r="R21" i="110"/>
  <c r="S21" i="110" s="1"/>
  <c r="R21" i="111"/>
  <c r="S21" i="111" s="1"/>
  <c r="S21" i="109"/>
  <c r="Q18" i="125"/>
  <c r="Q64" i="125" s="1"/>
  <c r="R18" i="121"/>
  <c r="S18" i="121" s="1"/>
  <c r="R18" i="110"/>
  <c r="S18" i="110" s="1"/>
  <c r="R18" i="111"/>
  <c r="S18" i="111" s="1"/>
  <c r="S18" i="109"/>
  <c r="Q15" i="125"/>
  <c r="Q61" i="125" s="1"/>
  <c r="R15" i="121"/>
  <c r="S15" i="121" s="1"/>
  <c r="S15" i="109"/>
  <c r="R15" i="110"/>
  <c r="S15" i="110" s="1"/>
  <c r="R15" i="111"/>
  <c r="S15" i="111" s="1"/>
  <c r="R37" i="121"/>
  <c r="S37" i="121" s="1"/>
  <c r="S37" i="109"/>
  <c r="R37" i="110"/>
  <c r="S37" i="110" s="1"/>
  <c r="R37" i="111"/>
  <c r="S37" i="111" s="1"/>
  <c r="R5" i="121"/>
  <c r="S5" i="109"/>
  <c r="R5" i="110"/>
  <c r="R47" i="109"/>
  <c r="R5" i="111"/>
  <c r="Q5" i="125" s="1"/>
  <c r="Q51" i="125" s="1"/>
  <c r="T10" i="125"/>
  <c r="T56" i="125" s="1"/>
  <c r="V10" i="121"/>
  <c r="V10" i="110"/>
  <c r="V10" i="111"/>
  <c r="T9" i="121"/>
  <c r="T9" i="110"/>
  <c r="W9" i="110" s="1"/>
  <c r="W9" i="109"/>
  <c r="T9" i="111"/>
  <c r="W9" i="111" s="1"/>
  <c r="T45" i="121"/>
  <c r="T45" i="111"/>
  <c r="T45" i="110"/>
  <c r="R45" i="125" s="1"/>
  <c r="R91" i="125" s="1"/>
  <c r="R40" i="125"/>
  <c r="R86" i="125" s="1"/>
  <c r="T40" i="121"/>
  <c r="T40" i="110"/>
  <c r="T40" i="111"/>
  <c r="T15" i="121"/>
  <c r="T15" i="110"/>
  <c r="R15" i="125" s="1"/>
  <c r="R61" i="125" s="1"/>
  <c r="T15" i="111"/>
  <c r="T19" i="121"/>
  <c r="T19" i="110"/>
  <c r="T19" i="111"/>
  <c r="R39" i="125"/>
  <c r="R85" i="125" s="1"/>
  <c r="T39" i="121"/>
  <c r="T39" i="110"/>
  <c r="T39" i="111"/>
  <c r="H10" i="126"/>
  <c r="M8" i="127"/>
  <c r="V8" i="126"/>
  <c r="Z16" i="121"/>
  <c r="AA16" i="121" s="1"/>
  <c r="Z16" i="110"/>
  <c r="AA16" i="110" s="1"/>
  <c r="AA16" i="109"/>
  <c r="Z16" i="111"/>
  <c r="AA16" i="111" s="1"/>
  <c r="Z44" i="121"/>
  <c r="AA44" i="121" s="1"/>
  <c r="AA44" i="109"/>
  <c r="Z44" i="110"/>
  <c r="AA44" i="110" s="1"/>
  <c r="Z44" i="111"/>
  <c r="AA44" i="111" s="1"/>
  <c r="V12" i="125"/>
  <c r="V58" i="125" s="1"/>
  <c r="Z12" i="121"/>
  <c r="AA12" i="121" s="1"/>
  <c r="Z12" i="110"/>
  <c r="AA12" i="110" s="1"/>
  <c r="AA12" i="109"/>
  <c r="Z12" i="111"/>
  <c r="AA12" i="111" s="1"/>
  <c r="Z32" i="121"/>
  <c r="AA32" i="121" s="1"/>
  <c r="Z32" i="110"/>
  <c r="AA32" i="110" s="1"/>
  <c r="Z32" i="111"/>
  <c r="AA32" i="111" s="1"/>
  <c r="AA32" i="109"/>
  <c r="N12" i="109"/>
  <c r="N20" i="109"/>
  <c r="N31" i="109"/>
  <c r="N44" i="109"/>
  <c r="N8" i="109"/>
  <c r="N45" i="109"/>
  <c r="N30" i="109"/>
  <c r="N24" i="109"/>
  <c r="N21" i="109"/>
  <c r="N13" i="109"/>
  <c r="N16" i="109"/>
  <c r="N23" i="109"/>
  <c r="N41" i="109"/>
  <c r="N29" i="109"/>
  <c r="N6" i="109"/>
  <c r="N27" i="109"/>
  <c r="N15" i="109"/>
  <c r="N26" i="109"/>
  <c r="N40" i="109"/>
  <c r="N11" i="109"/>
  <c r="N17" i="109"/>
  <c r="N33" i="109"/>
  <c r="N36" i="109"/>
  <c r="N42" i="109"/>
  <c r="N14" i="109"/>
  <c r="N22" i="109"/>
  <c r="N43" i="109"/>
  <c r="N39" i="109"/>
  <c r="N37" i="109"/>
  <c r="N5" i="109"/>
  <c r="N25" i="109"/>
  <c r="N28" i="109"/>
  <c r="N32" i="109"/>
  <c r="N18" i="109"/>
  <c r="N19" i="109"/>
  <c r="N35" i="109"/>
  <c r="N38" i="109"/>
  <c r="N34" i="109"/>
  <c r="O18" i="107"/>
  <c r="O54" i="107"/>
  <c r="O9" i="107"/>
  <c r="O20" i="107"/>
  <c r="O40" i="107"/>
  <c r="O27" i="107"/>
  <c r="E10" i="126"/>
  <c r="L25" i="121"/>
  <c r="L21" i="121"/>
  <c r="L37" i="121"/>
  <c r="L14" i="121"/>
  <c r="N7" i="121"/>
  <c r="N7" i="110"/>
  <c r="N7" i="125" s="1"/>
  <c r="N53" i="125" s="1"/>
  <c r="N7" i="111"/>
  <c r="Z9" i="121"/>
  <c r="AA9" i="121" s="1"/>
  <c r="Z9" i="110"/>
  <c r="AA9" i="110" s="1"/>
  <c r="AA9" i="109"/>
  <c r="Z9" i="111"/>
  <c r="AA9" i="111" s="1"/>
  <c r="R25" i="121"/>
  <c r="S25" i="121" s="1"/>
  <c r="S25" i="109"/>
  <c r="R25" i="110"/>
  <c r="S25" i="110" s="1"/>
  <c r="R25" i="111"/>
  <c r="S25" i="111" s="1"/>
  <c r="Q14" i="125"/>
  <c r="Q60" i="125" s="1"/>
  <c r="R14" i="121"/>
  <c r="S14" i="121" s="1"/>
  <c r="R14" i="110"/>
  <c r="S14" i="110" s="1"/>
  <c r="R14" i="111"/>
  <c r="S14" i="111" s="1"/>
  <c r="S14" i="109"/>
  <c r="R11" i="121"/>
  <c r="S11" i="121" s="1"/>
  <c r="R11" i="110"/>
  <c r="S11" i="110" s="1"/>
  <c r="S11" i="109"/>
  <c r="R11" i="111"/>
  <c r="S11" i="111" s="1"/>
  <c r="R30" i="121"/>
  <c r="S30" i="121" s="1"/>
  <c r="S30" i="109"/>
  <c r="R30" i="110"/>
  <c r="S30" i="110" s="1"/>
  <c r="R30" i="111"/>
  <c r="S30" i="111" s="1"/>
  <c r="T41" i="121"/>
  <c r="T41" i="110"/>
  <c r="T41" i="111"/>
  <c r="R8" i="125"/>
  <c r="R54" i="125" s="1"/>
  <c r="T8" i="121"/>
  <c r="T8" i="111"/>
  <c r="T8" i="110"/>
  <c r="R25" i="125"/>
  <c r="R71" i="125" s="1"/>
  <c r="T25" i="121"/>
  <c r="T25" i="110"/>
  <c r="T25" i="111"/>
  <c r="T32" i="121"/>
  <c r="T32" i="111"/>
  <c r="T32" i="110"/>
  <c r="R32" i="125" s="1"/>
  <c r="R78" i="125" s="1"/>
  <c r="T35" i="121"/>
  <c r="T35" i="110"/>
  <c r="T35" i="111"/>
  <c r="L6" i="126"/>
  <c r="V10" i="126"/>
  <c r="Z39" i="121"/>
  <c r="AA39" i="121" s="1"/>
  <c r="AA39" i="109"/>
  <c r="Z39" i="110"/>
  <c r="AA39" i="110" s="1"/>
  <c r="Z39" i="111"/>
  <c r="AA39" i="111" s="1"/>
  <c r="V24" i="125"/>
  <c r="V70" i="125" s="1"/>
  <c r="Z24" i="121"/>
  <c r="AA24" i="121" s="1"/>
  <c r="AA24" i="109"/>
  <c r="Z24" i="110"/>
  <c r="AA24" i="110" s="1"/>
  <c r="Z24" i="111"/>
  <c r="AA24" i="111" s="1"/>
  <c r="V33" i="125"/>
  <c r="V79" i="125" s="1"/>
  <c r="Z33" i="121"/>
  <c r="AA33" i="121" s="1"/>
  <c r="Z33" i="110"/>
  <c r="AA33" i="110" s="1"/>
  <c r="Z33" i="111"/>
  <c r="AA33" i="111" s="1"/>
  <c r="AA33" i="109"/>
  <c r="V34" i="125"/>
  <c r="V80" i="125" s="1"/>
  <c r="Z34" i="121"/>
  <c r="AA34" i="121" s="1"/>
  <c r="Z34" i="110"/>
  <c r="AA34" i="110" s="1"/>
  <c r="Z34" i="111"/>
  <c r="AA34" i="111" s="1"/>
  <c r="AA34" i="109"/>
  <c r="Z19" i="121"/>
  <c r="AA19" i="121" s="1"/>
  <c r="AA19" i="109"/>
  <c r="Z19" i="110"/>
  <c r="AA19" i="110" s="1"/>
  <c r="Z19" i="111"/>
  <c r="AA19" i="111" s="1"/>
  <c r="W42" i="105"/>
  <c r="W19" i="105"/>
  <c r="W28" i="105"/>
  <c r="W18" i="105"/>
  <c r="W49" i="105"/>
  <c r="W20" i="105"/>
  <c r="W54" i="105"/>
  <c r="W16" i="105"/>
  <c r="W25" i="105"/>
  <c r="W40" i="105"/>
  <c r="W39" i="105"/>
  <c r="W14" i="105"/>
  <c r="W52" i="105"/>
  <c r="W13" i="105"/>
  <c r="W15" i="105"/>
  <c r="W33" i="105"/>
  <c r="W37" i="105"/>
  <c r="W23" i="105"/>
  <c r="W48" i="105"/>
  <c r="W47" i="105"/>
  <c r="W12" i="105"/>
  <c r="W30" i="105"/>
  <c r="W11" i="105"/>
  <c r="W22" i="105"/>
  <c r="W26" i="105"/>
  <c r="W44" i="105"/>
  <c r="W50" i="105"/>
  <c r="W27" i="105"/>
  <c r="W24" i="105"/>
  <c r="W6" i="105"/>
  <c r="W35" i="105"/>
  <c r="W41" i="105"/>
  <c r="W46" i="105"/>
  <c r="W21" i="105"/>
  <c r="W7" i="105"/>
  <c r="W10" i="105"/>
  <c r="W53" i="105"/>
  <c r="W32" i="105"/>
  <c r="W38" i="105"/>
  <c r="W43" i="105"/>
  <c r="W5" i="105"/>
  <c r="W51" i="105"/>
  <c r="W17" i="105"/>
  <c r="W45" i="105"/>
  <c r="W29" i="105"/>
  <c r="W31" i="105"/>
  <c r="W34" i="105"/>
  <c r="W8" i="105"/>
  <c r="W36" i="105"/>
  <c r="W9" i="105"/>
  <c r="O39" i="107"/>
  <c r="O25" i="107"/>
  <c r="O14" i="107"/>
  <c r="O16" i="107"/>
  <c r="O34" i="107"/>
  <c r="O12" i="107"/>
  <c r="W10" i="126"/>
  <c r="D8" i="126"/>
  <c r="J10" i="126"/>
  <c r="L6" i="111"/>
  <c r="L43" i="121"/>
  <c r="L20" i="121"/>
  <c r="L17" i="121"/>
  <c r="L11" i="121"/>
  <c r="N9" i="125"/>
  <c r="N55" i="125" s="1"/>
  <c r="N9" i="121"/>
  <c r="N9" i="110"/>
  <c r="N9" i="111"/>
  <c r="R22" i="121"/>
  <c r="S22" i="121" s="1"/>
  <c r="S22" i="109"/>
  <c r="R22" i="110"/>
  <c r="S22" i="110" s="1"/>
  <c r="R22" i="111"/>
  <c r="S22" i="111" s="1"/>
  <c r="R20" i="121"/>
  <c r="S20" i="121" s="1"/>
  <c r="S20" i="109"/>
  <c r="R20" i="111"/>
  <c r="S20" i="111" s="1"/>
  <c r="R20" i="110"/>
  <c r="S20" i="110" s="1"/>
  <c r="Q29" i="125"/>
  <c r="Q75" i="125" s="1"/>
  <c r="R29" i="121"/>
  <c r="S29" i="121" s="1"/>
  <c r="S29" i="109"/>
  <c r="R29" i="110"/>
  <c r="S29" i="110" s="1"/>
  <c r="R29" i="111"/>
  <c r="S29" i="111" s="1"/>
  <c r="R36" i="121"/>
  <c r="S36" i="121" s="1"/>
  <c r="S36" i="109"/>
  <c r="R36" i="110"/>
  <c r="S36" i="110" s="1"/>
  <c r="R36" i="111"/>
  <c r="S36" i="111" s="1"/>
  <c r="M8" i="105"/>
  <c r="T30" i="121"/>
  <c r="T30" i="110"/>
  <c r="T30" i="111"/>
  <c r="R42" i="125"/>
  <c r="R88" i="125" s="1"/>
  <c r="T42" i="121"/>
  <c r="T42" i="110"/>
  <c r="T42" i="111"/>
  <c r="T16" i="121"/>
  <c r="T16" i="111"/>
  <c r="T16" i="110"/>
  <c r="R16" i="125" s="1"/>
  <c r="R62" i="125" s="1"/>
  <c r="R23" i="125"/>
  <c r="R69" i="125" s="1"/>
  <c r="T23" i="121"/>
  <c r="T23" i="110"/>
  <c r="T23" i="111"/>
  <c r="AA41" i="120"/>
  <c r="AA6" i="120"/>
  <c r="AA38" i="120"/>
  <c r="AA12" i="120"/>
  <c r="AA11" i="120"/>
  <c r="AA13" i="120"/>
  <c r="AA32" i="120"/>
  <c r="AA50" i="120"/>
  <c r="AA30" i="120"/>
  <c r="AA33" i="120"/>
  <c r="AA52" i="120"/>
  <c r="AA15" i="120"/>
  <c r="AA16" i="120"/>
  <c r="AA19" i="120"/>
  <c r="AA21" i="120"/>
  <c r="AA27" i="120"/>
  <c r="AA43" i="120"/>
  <c r="AA35" i="120"/>
  <c r="AA51" i="120"/>
  <c r="AA26" i="120"/>
  <c r="AA28" i="120"/>
  <c r="AA17" i="120"/>
  <c r="AA49" i="120"/>
  <c r="AA25" i="120"/>
  <c r="AA22" i="120"/>
  <c r="AA54" i="120"/>
  <c r="AA20" i="120"/>
  <c r="AA48" i="120"/>
  <c r="AA18" i="120"/>
  <c r="AA44" i="120"/>
  <c r="AA23" i="120"/>
  <c r="AA46" i="120"/>
  <c r="AA7" i="120"/>
  <c r="AA9" i="120"/>
  <c r="AA36" i="120"/>
  <c r="AA31" i="120"/>
  <c r="AA24" i="120"/>
  <c r="AA8" i="120"/>
  <c r="AA40" i="120"/>
  <c r="AA5" i="120"/>
  <c r="AA37" i="120"/>
  <c r="AA53" i="120"/>
  <c r="AA34" i="120"/>
  <c r="AA47" i="120"/>
  <c r="AA29" i="120"/>
  <c r="AA45" i="120"/>
  <c r="AA10" i="120"/>
  <c r="AA42" i="120"/>
  <c r="AA39" i="120"/>
  <c r="AA14" i="120"/>
  <c r="AA38" i="106"/>
  <c r="Z38" i="124" s="1"/>
  <c r="Z93" i="124" s="1"/>
  <c r="AA42" i="106"/>
  <c r="Z42" i="124" s="1"/>
  <c r="Z97" i="124" s="1"/>
  <c r="AA13" i="106"/>
  <c r="Z13" i="124" s="1"/>
  <c r="Z68" i="124" s="1"/>
  <c r="AA50" i="106"/>
  <c r="Z50" i="124" s="1"/>
  <c r="Z105" i="124" s="1"/>
  <c r="AA20" i="106"/>
  <c r="Z20" i="124" s="1"/>
  <c r="Z75" i="124" s="1"/>
  <c r="AA41" i="106"/>
  <c r="Z41" i="124" s="1"/>
  <c r="Z96" i="124" s="1"/>
  <c r="AA30" i="106"/>
  <c r="Z30" i="124" s="1"/>
  <c r="Z85" i="124" s="1"/>
  <c r="AA34" i="106"/>
  <c r="Z34" i="124" s="1"/>
  <c r="Z89" i="124" s="1"/>
  <c r="AA37" i="106"/>
  <c r="Z37" i="124" s="1"/>
  <c r="Z92" i="124" s="1"/>
  <c r="AA33" i="106"/>
  <c r="Z33" i="124" s="1"/>
  <c r="Z88" i="124" s="1"/>
  <c r="AA17" i="106"/>
  <c r="Z17" i="124" s="1"/>
  <c r="Z72" i="124" s="1"/>
  <c r="AA44" i="106"/>
  <c r="Z44" i="124" s="1"/>
  <c r="Z99" i="124" s="1"/>
  <c r="AA51" i="106"/>
  <c r="Z51" i="124" s="1"/>
  <c r="Z106" i="124" s="1"/>
  <c r="AA22" i="106"/>
  <c r="Z22" i="124" s="1"/>
  <c r="Z77" i="124" s="1"/>
  <c r="AA26" i="106"/>
  <c r="Z26" i="124" s="1"/>
  <c r="Z81" i="124" s="1"/>
  <c r="AA31" i="106"/>
  <c r="Z31" i="124" s="1"/>
  <c r="Z86" i="124" s="1"/>
  <c r="AA24" i="106"/>
  <c r="Z24" i="124" s="1"/>
  <c r="Z79" i="124" s="1"/>
  <c r="AA10" i="106"/>
  <c r="Z10" i="124" s="1"/>
  <c r="Z65" i="124" s="1"/>
  <c r="AA16" i="106"/>
  <c r="Z16" i="124" s="1"/>
  <c r="Z71" i="124" s="1"/>
  <c r="AA49" i="106"/>
  <c r="Z49" i="124" s="1"/>
  <c r="Z104" i="124" s="1"/>
  <c r="AA43" i="106"/>
  <c r="Z43" i="124" s="1"/>
  <c r="Z98" i="124" s="1"/>
  <c r="AA40" i="106"/>
  <c r="Z40" i="124" s="1"/>
  <c r="Z95" i="124" s="1"/>
  <c r="AA28" i="106"/>
  <c r="Z28" i="124" s="1"/>
  <c r="Z83" i="124" s="1"/>
  <c r="AA19" i="106"/>
  <c r="Z19" i="124" s="1"/>
  <c r="Z74" i="124" s="1"/>
  <c r="AA5" i="106"/>
  <c r="AA21" i="106"/>
  <c r="Z21" i="124" s="1"/>
  <c r="Z76" i="124" s="1"/>
  <c r="AA54" i="106"/>
  <c r="Z54" i="124" s="1"/>
  <c r="Z109" i="124" s="1"/>
  <c r="AA35" i="106"/>
  <c r="Z35" i="124" s="1"/>
  <c r="Z90" i="124" s="1"/>
  <c r="AA14" i="106"/>
  <c r="Z14" i="124" s="1"/>
  <c r="Z69" i="124" s="1"/>
  <c r="AA12" i="106"/>
  <c r="Z12" i="124" s="1"/>
  <c r="Z67" i="124" s="1"/>
  <c r="AA18" i="106"/>
  <c r="Z18" i="124" s="1"/>
  <c r="Z73" i="124" s="1"/>
  <c r="AA32" i="106"/>
  <c r="Z32" i="124" s="1"/>
  <c r="Z87" i="124" s="1"/>
  <c r="AA47" i="106"/>
  <c r="Z47" i="124" s="1"/>
  <c r="Z102" i="124" s="1"/>
  <c r="AA27" i="106"/>
  <c r="Z27" i="124" s="1"/>
  <c r="Z82" i="124" s="1"/>
  <c r="AA8" i="106"/>
  <c r="Z8" i="124" s="1"/>
  <c r="Z63" i="124" s="1"/>
  <c r="AA7" i="106"/>
  <c r="Z7" i="124" s="1"/>
  <c r="Z62" i="124" s="1"/>
  <c r="AA6" i="106"/>
  <c r="Z6" i="124" s="1"/>
  <c r="Z61" i="124" s="1"/>
  <c r="AA29" i="106"/>
  <c r="Z29" i="124" s="1"/>
  <c r="Z84" i="124" s="1"/>
  <c r="AA39" i="106"/>
  <c r="Z39" i="124" s="1"/>
  <c r="Z94" i="124" s="1"/>
  <c r="AA53" i="106"/>
  <c r="Z53" i="124" s="1"/>
  <c r="Z108" i="124" s="1"/>
  <c r="AA25" i="106"/>
  <c r="Z25" i="124" s="1"/>
  <c r="Z80" i="124" s="1"/>
  <c r="AA52" i="106"/>
  <c r="Z52" i="124" s="1"/>
  <c r="Z107" i="124" s="1"/>
  <c r="AA45" i="106"/>
  <c r="Z45" i="124" s="1"/>
  <c r="Z100" i="124" s="1"/>
  <c r="AA15" i="106"/>
  <c r="Z15" i="124" s="1"/>
  <c r="Z70" i="124" s="1"/>
  <c r="AA46" i="106"/>
  <c r="Z46" i="124" s="1"/>
  <c r="Z101" i="124" s="1"/>
  <c r="AA48" i="106"/>
  <c r="Z48" i="124" s="1"/>
  <c r="Z103" i="124" s="1"/>
  <c r="AA23" i="106"/>
  <c r="Z23" i="124" s="1"/>
  <c r="Z78" i="124" s="1"/>
  <c r="AA11" i="106"/>
  <c r="Z11" i="124" s="1"/>
  <c r="Z66" i="124" s="1"/>
  <c r="AA36" i="106"/>
  <c r="Z36" i="124" s="1"/>
  <c r="Z91" i="124" s="1"/>
  <c r="AA9" i="106"/>
  <c r="Z9" i="124" s="1"/>
  <c r="Z64" i="124" s="1"/>
  <c r="L10" i="126"/>
  <c r="M17" i="105"/>
  <c r="V20" i="125"/>
  <c r="V66" i="125" s="1"/>
  <c r="Z20" i="121"/>
  <c r="AA20" i="121" s="1"/>
  <c r="Z20" i="110"/>
  <c r="AA20" i="110" s="1"/>
  <c r="AA20" i="109"/>
  <c r="Z20" i="111"/>
  <c r="AA20" i="111" s="1"/>
  <c r="Z11" i="121"/>
  <c r="AA11" i="121" s="1"/>
  <c r="AA11" i="109"/>
  <c r="Z11" i="110"/>
  <c r="AA11" i="110" s="1"/>
  <c r="Z11" i="111"/>
  <c r="AA11" i="111" s="1"/>
  <c r="Z43" i="121"/>
  <c r="AA43" i="121" s="1"/>
  <c r="AA43" i="109"/>
  <c r="Z43" i="110"/>
  <c r="AA43" i="110" s="1"/>
  <c r="Z43" i="111"/>
  <c r="AA43" i="111" s="1"/>
  <c r="Z25" i="121"/>
  <c r="AA25" i="121" s="1"/>
  <c r="AA25" i="109"/>
  <c r="Z25" i="110"/>
  <c r="AA25" i="110" s="1"/>
  <c r="Z25" i="111"/>
  <c r="AA25" i="111" s="1"/>
  <c r="Z18" i="121"/>
  <c r="AA18" i="121" s="1"/>
  <c r="AA18" i="109"/>
  <c r="Z18" i="110"/>
  <c r="AA18" i="110" s="1"/>
  <c r="Z18" i="111"/>
  <c r="AA18" i="111" s="1"/>
  <c r="S43" i="105"/>
  <c r="S14" i="105"/>
  <c r="S6" i="105"/>
  <c r="S7" i="105"/>
  <c r="S47" i="105"/>
  <c r="S36" i="105"/>
  <c r="S39" i="105"/>
  <c r="S23" i="105"/>
  <c r="S12" i="105"/>
  <c r="S22" i="105"/>
  <c r="S42" i="105"/>
  <c r="S45" i="105"/>
  <c r="S30" i="105"/>
  <c r="S19" i="105"/>
  <c r="S9" i="105"/>
  <c r="S31" i="105"/>
  <c r="S27" i="105"/>
  <c r="S48" i="105"/>
  <c r="S24" i="105"/>
  <c r="S46" i="105"/>
  <c r="S16" i="105"/>
  <c r="S5" i="105"/>
  <c r="S25" i="105"/>
  <c r="S37" i="105"/>
  <c r="S52" i="105"/>
  <c r="S35" i="105"/>
  <c r="S13" i="105"/>
  <c r="S18" i="105"/>
  <c r="S29" i="105"/>
  <c r="S40" i="105"/>
  <c r="S53" i="105"/>
  <c r="S33" i="105"/>
  <c r="S17" i="105"/>
  <c r="S15" i="105"/>
  <c r="S54" i="105"/>
  <c r="S44" i="105"/>
  <c r="S26" i="105"/>
  <c r="S41" i="105"/>
  <c r="S21" i="105"/>
  <c r="S28" i="105"/>
  <c r="S8" i="105"/>
  <c r="S32" i="105"/>
  <c r="S38" i="105"/>
  <c r="S34" i="105"/>
  <c r="S11" i="105"/>
  <c r="S10" i="105"/>
  <c r="S20" i="105"/>
  <c r="S49" i="105"/>
  <c r="S50" i="105"/>
  <c r="S51" i="105"/>
  <c r="P10" i="121"/>
  <c r="P10" i="110"/>
  <c r="P10" i="125" s="1"/>
  <c r="P56" i="125" s="1"/>
  <c r="P10" i="111"/>
  <c r="O32" i="120"/>
  <c r="O32" i="107"/>
  <c r="O32" i="106"/>
  <c r="O32" i="124" s="1"/>
  <c r="O87" i="124" s="1"/>
  <c r="O5" i="120"/>
  <c r="O5" i="106"/>
  <c r="O5" i="107"/>
  <c r="O56" i="105"/>
  <c r="O61" i="105" s="1"/>
  <c r="O42" i="106" s="1"/>
  <c r="O13" i="124"/>
  <c r="O68" i="124" s="1"/>
  <c r="O13" i="120"/>
  <c r="O13" i="106"/>
  <c r="O13" i="107"/>
  <c r="O41" i="120"/>
  <c r="O41" i="107"/>
  <c r="O29" i="124"/>
  <c r="O84" i="124" s="1"/>
  <c r="O29" i="120"/>
  <c r="O29" i="106"/>
  <c r="O29" i="107"/>
  <c r="O21" i="124"/>
  <c r="O76" i="124" s="1"/>
  <c r="O21" i="120"/>
  <c r="O21" i="107"/>
  <c r="O21" i="106"/>
  <c r="W6" i="126"/>
  <c r="D6" i="126"/>
  <c r="I10" i="126"/>
  <c r="J6" i="126"/>
  <c r="L36" i="121"/>
  <c r="L18" i="121"/>
  <c r="L34" i="121"/>
  <c r="L27" i="121"/>
  <c r="L6" i="121"/>
  <c r="R41" i="121"/>
  <c r="S41" i="121" s="1"/>
  <c r="S41" i="109"/>
  <c r="R41" i="110"/>
  <c r="S41" i="110" s="1"/>
  <c r="R41" i="111"/>
  <c r="S41" i="111" s="1"/>
  <c r="Q39" i="125"/>
  <c r="Q85" i="125" s="1"/>
  <c r="R39" i="121"/>
  <c r="S39" i="121" s="1"/>
  <c r="S39" i="109"/>
  <c r="R39" i="110"/>
  <c r="S39" i="110" s="1"/>
  <c r="R39" i="111"/>
  <c r="S39" i="111" s="1"/>
  <c r="R38" i="121"/>
  <c r="S38" i="121" s="1"/>
  <c r="R38" i="110"/>
  <c r="S38" i="110" s="1"/>
  <c r="S38" i="109"/>
  <c r="R38" i="111"/>
  <c r="S38" i="111" s="1"/>
  <c r="Q31" i="125"/>
  <c r="Q77" i="125" s="1"/>
  <c r="R31" i="121"/>
  <c r="S31" i="121" s="1"/>
  <c r="R31" i="111"/>
  <c r="S31" i="111" s="1"/>
  <c r="S31" i="109"/>
  <c r="R31" i="110"/>
  <c r="S31" i="110" s="1"/>
  <c r="R8" i="121"/>
  <c r="S8" i="121" s="1"/>
  <c r="R8" i="110"/>
  <c r="S8" i="110" s="1"/>
  <c r="R8" i="111"/>
  <c r="S8" i="111" s="1"/>
  <c r="S8" i="109"/>
  <c r="Q40" i="105"/>
  <c r="Q24" i="105"/>
  <c r="Q29" i="105"/>
  <c r="Q8" i="105"/>
  <c r="Q22" i="105"/>
  <c r="Q45" i="105"/>
  <c r="Q30" i="105"/>
  <c r="Q26" i="105"/>
  <c r="Q14" i="105"/>
  <c r="Q42" i="105"/>
  <c r="Q21" i="105"/>
  <c r="Q54" i="105"/>
  <c r="Q17" i="105"/>
  <c r="Q16" i="105"/>
  <c r="Q43" i="105"/>
  <c r="Q20" i="105"/>
  <c r="Q46" i="105"/>
  <c r="Q49" i="105"/>
  <c r="Q31" i="105"/>
  <c r="Q10" i="105"/>
  <c r="Q6" i="105"/>
  <c r="Q48" i="105"/>
  <c r="Q37" i="105"/>
  <c r="Q28" i="105"/>
  <c r="Q47" i="105"/>
  <c r="Q25" i="105"/>
  <c r="Q7" i="105"/>
  <c r="Q9" i="105"/>
  <c r="Q23" i="105"/>
  <c r="Q38" i="105"/>
  <c r="Q41" i="105"/>
  <c r="Q52" i="105"/>
  <c r="Q12" i="105"/>
  <c r="Q32" i="105"/>
  <c r="Q11" i="105"/>
  <c r="Q39" i="105"/>
  <c r="Q33" i="105"/>
  <c r="Q44" i="105"/>
  <c r="Q18" i="105"/>
  <c r="Q19" i="105"/>
  <c r="Q5" i="105"/>
  <c r="Q34" i="105"/>
  <c r="Q50" i="105"/>
  <c r="Q53" i="105"/>
  <c r="Q27" i="105"/>
  <c r="Q13" i="105"/>
  <c r="Q35" i="105"/>
  <c r="Q51" i="105"/>
  <c r="Q36" i="105"/>
  <c r="Q15" i="105"/>
  <c r="M16" i="105"/>
  <c r="M7" i="121"/>
  <c r="M7" i="110"/>
  <c r="M7" i="125" s="1"/>
  <c r="M53" i="125" s="1"/>
  <c r="M7" i="111"/>
  <c r="U19" i="109"/>
  <c r="W19" i="109" s="1"/>
  <c r="U35" i="109"/>
  <c r="U20" i="109"/>
  <c r="U43" i="109"/>
  <c r="U25" i="109"/>
  <c r="U12" i="109"/>
  <c r="W12" i="109" s="1"/>
  <c r="U29" i="109"/>
  <c r="W29" i="109" s="1"/>
  <c r="U39" i="109"/>
  <c r="U22" i="109"/>
  <c r="W22" i="109" s="1"/>
  <c r="U24" i="109"/>
  <c r="U5" i="109"/>
  <c r="U27" i="109"/>
  <c r="U34" i="109"/>
  <c r="U21" i="109"/>
  <c r="U44" i="109"/>
  <c r="U8" i="109"/>
  <c r="U14" i="109"/>
  <c r="U28" i="109"/>
  <c r="W28" i="109" s="1"/>
  <c r="U18" i="109"/>
  <c r="U17" i="109"/>
  <c r="U13" i="109"/>
  <c r="U31" i="109"/>
  <c r="U45" i="109"/>
  <c r="W45" i="109" s="1"/>
  <c r="U23" i="109"/>
  <c r="W23" i="109" s="1"/>
  <c r="U38" i="109"/>
  <c r="U11" i="109"/>
  <c r="U33" i="109"/>
  <c r="U41" i="109"/>
  <c r="U16" i="109"/>
  <c r="U32" i="109"/>
  <c r="W32" i="109" s="1"/>
  <c r="U6" i="109"/>
  <c r="W6" i="109" s="1"/>
  <c r="U40" i="109"/>
  <c r="W40" i="109" s="1"/>
  <c r="U42" i="109"/>
  <c r="U15" i="109"/>
  <c r="U37" i="109"/>
  <c r="U26" i="109"/>
  <c r="U36" i="109"/>
  <c r="U30" i="109"/>
  <c r="W30" i="109" s="1"/>
  <c r="O6" i="109"/>
  <c r="O41" i="109"/>
  <c r="O21" i="109"/>
  <c r="O20" i="109"/>
  <c r="O27" i="109"/>
  <c r="O11" i="109"/>
  <c r="O23" i="109"/>
  <c r="O17" i="109"/>
  <c r="O22" i="109"/>
  <c r="O25" i="109"/>
  <c r="O14" i="109"/>
  <c r="O28" i="109"/>
  <c r="O32" i="109"/>
  <c r="O44" i="109"/>
  <c r="O26" i="109"/>
  <c r="O5" i="109"/>
  <c r="O31" i="109"/>
  <c r="O40" i="109"/>
  <c r="O30" i="109"/>
  <c r="O35" i="109"/>
  <c r="O19" i="109"/>
  <c r="O15" i="109"/>
  <c r="O18" i="109"/>
  <c r="O16" i="109"/>
  <c r="O37" i="109"/>
  <c r="O12" i="109"/>
  <c r="O36" i="109"/>
  <c r="O29" i="109"/>
  <c r="O34" i="109"/>
  <c r="O8" i="109"/>
  <c r="O39" i="109"/>
  <c r="O42" i="109"/>
  <c r="O33" i="109"/>
  <c r="O13" i="109"/>
  <c r="O38" i="109"/>
  <c r="O24" i="109"/>
  <c r="O43" i="109"/>
  <c r="O45" i="109"/>
  <c r="T43" i="121"/>
  <c r="T43" i="110"/>
  <c r="R43" i="125" s="1"/>
  <c r="R89" i="125" s="1"/>
  <c r="T43" i="111"/>
  <c r="T17" i="121"/>
  <c r="W17" i="109"/>
  <c r="T17" i="110"/>
  <c r="T17" i="111"/>
  <c r="R12" i="125"/>
  <c r="R58" i="125" s="1"/>
  <c r="T12" i="121"/>
  <c r="T12" i="110"/>
  <c r="T12" i="111"/>
  <c r="T36" i="121"/>
  <c r="W36" i="109"/>
  <c r="T36" i="110"/>
  <c r="T36" i="111"/>
  <c r="R36" i="125" s="1"/>
  <c r="R82" i="125" s="1"/>
  <c r="F10" i="126"/>
  <c r="Z38" i="121"/>
  <c r="AA38" i="121" s="1"/>
  <c r="Z38" i="111"/>
  <c r="AA38" i="111" s="1"/>
  <c r="AA38" i="109"/>
  <c r="Z38" i="110"/>
  <c r="AA38" i="110" s="1"/>
  <c r="V21" i="125"/>
  <c r="V67" i="125" s="1"/>
  <c r="Z21" i="121"/>
  <c r="AA21" i="121" s="1"/>
  <c r="Z21" i="110"/>
  <c r="AA21" i="110" s="1"/>
  <c r="AA21" i="109"/>
  <c r="Z21" i="111"/>
  <c r="AA21" i="111" s="1"/>
  <c r="V36" i="125"/>
  <c r="V82" i="125" s="1"/>
  <c r="Z36" i="121"/>
  <c r="AA36" i="121" s="1"/>
  <c r="Z36" i="110"/>
  <c r="AA36" i="110" s="1"/>
  <c r="Z36" i="111"/>
  <c r="AA36" i="111" s="1"/>
  <c r="AA36" i="109"/>
  <c r="Z35" i="121"/>
  <c r="AA35" i="121" s="1"/>
  <c r="AA35" i="109"/>
  <c r="Z35" i="110"/>
  <c r="AA35" i="110" s="1"/>
  <c r="Z35" i="111"/>
  <c r="AA35" i="111" s="1"/>
  <c r="Z26" i="121"/>
  <c r="AA26" i="121" s="1"/>
  <c r="Z26" i="111"/>
  <c r="AA26" i="111" s="1"/>
  <c r="AA26" i="109"/>
  <c r="Z26" i="110"/>
  <c r="AA26" i="110" s="1"/>
  <c r="P7" i="125"/>
  <c r="P53" i="125" s="1"/>
  <c r="P7" i="121"/>
  <c r="P7" i="110"/>
  <c r="P7" i="111"/>
  <c r="O50" i="124"/>
  <c r="O105" i="124" s="1"/>
  <c r="O50" i="120"/>
  <c r="O50" i="107"/>
  <c r="O50" i="106"/>
  <c r="O31" i="124"/>
  <c r="O86" i="124" s="1"/>
  <c r="O31" i="120"/>
  <c r="O31" i="107"/>
  <c r="O31" i="106"/>
  <c r="O8" i="124"/>
  <c r="O63" i="124" s="1"/>
  <c r="O8" i="120"/>
  <c r="O8" i="107"/>
  <c r="O8" i="106"/>
  <c r="O46" i="124"/>
  <c r="O101" i="124" s="1"/>
  <c r="O46" i="120"/>
  <c r="O46" i="107"/>
  <c r="O46" i="106"/>
  <c r="O38" i="124"/>
  <c r="O93" i="124" s="1"/>
  <c r="O38" i="120"/>
  <c r="O38" i="106"/>
  <c r="O38" i="107"/>
  <c r="O10" i="124"/>
  <c r="O65" i="124" s="1"/>
  <c r="O10" i="120"/>
  <c r="O10" i="107"/>
  <c r="O10" i="106"/>
  <c r="O43" i="124"/>
  <c r="O98" i="124" s="1"/>
  <c r="O43" i="120"/>
  <c r="O43" i="107"/>
  <c r="O43" i="106"/>
  <c r="I6" i="126"/>
  <c r="G6" i="126"/>
  <c r="L31" i="121"/>
  <c r="Q23" i="125"/>
  <c r="Q69" i="125" s="1"/>
  <c r="R23" i="121"/>
  <c r="S23" i="121" s="1"/>
  <c r="R23" i="111"/>
  <c r="S23" i="111" s="1"/>
  <c r="S23" i="109"/>
  <c r="R23" i="110"/>
  <c r="S23" i="110" s="1"/>
  <c r="R19" i="121"/>
  <c r="S19" i="121" s="1"/>
  <c r="S19" i="109"/>
  <c r="R19" i="110"/>
  <c r="S19" i="110" s="1"/>
  <c r="R19" i="111"/>
  <c r="S19" i="111" s="1"/>
  <c r="R35" i="121"/>
  <c r="S35" i="121" s="1"/>
  <c r="R35" i="110"/>
  <c r="S35" i="110" s="1"/>
  <c r="R35" i="111"/>
  <c r="S35" i="111" s="1"/>
  <c r="S35" i="109"/>
  <c r="Q32" i="125"/>
  <c r="Q78" i="125" s="1"/>
  <c r="R32" i="121"/>
  <c r="S32" i="121" s="1"/>
  <c r="S32" i="109"/>
  <c r="R32" i="110"/>
  <c r="S32" i="110" s="1"/>
  <c r="R32" i="111"/>
  <c r="S32" i="111" s="1"/>
  <c r="R26" i="121"/>
  <c r="S26" i="121" s="1"/>
  <c r="S26" i="109"/>
  <c r="R26" i="110"/>
  <c r="S26" i="110" s="1"/>
  <c r="R26" i="111"/>
  <c r="S26" i="111" s="1"/>
  <c r="Y59" i="104"/>
  <c r="Y63" i="104" s="1"/>
  <c r="V59" i="104"/>
  <c r="V63" i="104"/>
  <c r="M9" i="125"/>
  <c r="M55" i="125" s="1"/>
  <c r="M9" i="121"/>
  <c r="M9" i="110"/>
  <c r="M9" i="111"/>
  <c r="R26" i="125"/>
  <c r="R72" i="125" s="1"/>
  <c r="T26" i="121"/>
  <c r="T26" i="110"/>
  <c r="T26" i="111"/>
  <c r="T13" i="121"/>
  <c r="W13" i="109"/>
  <c r="T13" i="110"/>
  <c r="T13" i="111"/>
  <c r="R13" i="125" s="1"/>
  <c r="R59" i="125" s="1"/>
  <c r="T44" i="121"/>
  <c r="T44" i="111"/>
  <c r="W44" i="109"/>
  <c r="T44" i="110"/>
  <c r="T31" i="121"/>
  <c r="W31" i="109"/>
  <c r="T31" i="110"/>
  <c r="T31" i="111"/>
  <c r="R27" i="125"/>
  <c r="R73" i="125" s="1"/>
  <c r="T27" i="121"/>
  <c r="T27" i="110"/>
  <c r="T27" i="111"/>
  <c r="W27" i="109"/>
  <c r="M14" i="105"/>
  <c r="N10" i="126"/>
  <c r="O10" i="121"/>
  <c r="O10" i="110"/>
  <c r="O10" i="125" s="1"/>
  <c r="O56" i="125" s="1"/>
  <c r="O10" i="111"/>
  <c r="Z28" i="121"/>
  <c r="AA28" i="121" s="1"/>
  <c r="AA28" i="109"/>
  <c r="Z28" i="110"/>
  <c r="AA28" i="110" s="1"/>
  <c r="Z28" i="111"/>
  <c r="AA28" i="111" s="1"/>
  <c r="Z41" i="121"/>
  <c r="AA41" i="121" s="1"/>
  <c r="AA41" i="109"/>
  <c r="Z41" i="110"/>
  <c r="AA41" i="110" s="1"/>
  <c r="Z41" i="111"/>
  <c r="AA41" i="111" s="1"/>
  <c r="V13" i="125"/>
  <c r="V59" i="125" s="1"/>
  <c r="Z13" i="121"/>
  <c r="AA13" i="121" s="1"/>
  <c r="Z13" i="110"/>
  <c r="AA13" i="110" s="1"/>
  <c r="AA13" i="109"/>
  <c r="Z13" i="111"/>
  <c r="AA13" i="111" s="1"/>
  <c r="Z8" i="121"/>
  <c r="AA8" i="121" s="1"/>
  <c r="Z8" i="110"/>
  <c r="AA8" i="110" s="1"/>
  <c r="AA8" i="109"/>
  <c r="Z8" i="111"/>
  <c r="AA8" i="111" s="1"/>
  <c r="Z45" i="121"/>
  <c r="AA45" i="121" s="1"/>
  <c r="AA45" i="109"/>
  <c r="Z45" i="110"/>
  <c r="AA45" i="110" s="1"/>
  <c r="Z45" i="111"/>
  <c r="AA45" i="111" s="1"/>
  <c r="P9" i="125"/>
  <c r="P55" i="125" s="1"/>
  <c r="P9" i="121"/>
  <c r="P9" i="110"/>
  <c r="P9" i="111"/>
  <c r="O24" i="124"/>
  <c r="O79" i="124" s="1"/>
  <c r="O24" i="120"/>
  <c r="O24" i="107"/>
  <c r="O24" i="106"/>
  <c r="O36" i="124"/>
  <c r="O91" i="124" s="1"/>
  <c r="O36" i="120"/>
  <c r="O36" i="107"/>
  <c r="O36" i="106"/>
  <c r="O22" i="124"/>
  <c r="O77" i="124" s="1"/>
  <c r="O22" i="120"/>
  <c r="O22" i="107"/>
  <c r="O22" i="106"/>
  <c r="O35" i="124"/>
  <c r="O90" i="124" s="1"/>
  <c r="O35" i="120"/>
  <c r="O35" i="106"/>
  <c r="O35" i="107"/>
  <c r="O44" i="124"/>
  <c r="O99" i="124" s="1"/>
  <c r="O44" i="120"/>
  <c r="O44" i="106"/>
  <c r="O44" i="107"/>
  <c r="O11" i="124"/>
  <c r="O66" i="124" s="1"/>
  <c r="O11" i="120"/>
  <c r="O11" i="107"/>
  <c r="O11" i="106"/>
  <c r="O42" i="124"/>
  <c r="O97" i="124" s="1"/>
  <c r="O42" i="120"/>
  <c r="O42" i="107"/>
  <c r="C10" i="126"/>
  <c r="G10" i="126"/>
  <c r="L22" i="121"/>
  <c r="L24" i="121"/>
  <c r="L13" i="121"/>
  <c r="L30" i="121"/>
  <c r="L45" i="121"/>
  <c r="L39" i="121"/>
  <c r="L29" i="121"/>
  <c r="L8" i="121"/>
  <c r="P14" i="109"/>
  <c r="P31" i="109"/>
  <c r="P32" i="109"/>
  <c r="P33" i="109"/>
  <c r="P42" i="109"/>
  <c r="P19" i="109"/>
  <c r="P15" i="109"/>
  <c r="P35" i="109"/>
  <c r="P26" i="109"/>
  <c r="P28" i="109"/>
  <c r="P12" i="109"/>
  <c r="P18" i="109"/>
  <c r="P45" i="109"/>
  <c r="P20" i="109"/>
  <c r="P23" i="109"/>
  <c r="P5" i="109"/>
  <c r="P29" i="109"/>
  <c r="P22" i="109"/>
  <c r="P30" i="109"/>
  <c r="P8" i="109"/>
  <c r="P39" i="109"/>
  <c r="P40" i="109"/>
  <c r="P41" i="109"/>
  <c r="P13" i="109"/>
  <c r="P36" i="109"/>
  <c r="P24" i="109"/>
  <c r="P16" i="109"/>
  <c r="P34" i="109"/>
  <c r="P6" i="109"/>
  <c r="P44" i="109"/>
  <c r="P27" i="109"/>
  <c r="P43" i="109"/>
  <c r="P17" i="109"/>
  <c r="P11" i="109"/>
  <c r="P21" i="109"/>
  <c r="P37" i="109"/>
  <c r="P25" i="109"/>
  <c r="P38" i="109"/>
  <c r="Q24" i="125"/>
  <c r="Q70" i="125" s="1"/>
  <c r="R24" i="121"/>
  <c r="S24" i="121" s="1"/>
  <c r="S24" i="109"/>
  <c r="R24" i="110"/>
  <c r="S24" i="110" s="1"/>
  <c r="R24" i="111"/>
  <c r="S24" i="111" s="1"/>
  <c r="Q34" i="125"/>
  <c r="Q80" i="125" s="1"/>
  <c r="R34" i="121"/>
  <c r="S34" i="121" s="1"/>
  <c r="R34" i="111"/>
  <c r="S34" i="111" s="1"/>
  <c r="R34" i="110"/>
  <c r="S34" i="110" s="1"/>
  <c r="S34" i="109"/>
  <c r="Q6" i="125"/>
  <c r="Q52" i="125" s="1"/>
  <c r="R6" i="121"/>
  <c r="S6" i="121" s="1"/>
  <c r="S6" i="109"/>
  <c r="R6" i="110"/>
  <c r="S6" i="110" s="1"/>
  <c r="R6" i="111"/>
  <c r="S6" i="111" s="1"/>
  <c r="R45" i="121"/>
  <c r="S45" i="121" s="1"/>
  <c r="S45" i="109"/>
  <c r="R45" i="110"/>
  <c r="S45" i="110" s="1"/>
  <c r="R45" i="111"/>
  <c r="S45" i="111" s="1"/>
  <c r="R33" i="121"/>
  <c r="S33" i="121" s="1"/>
  <c r="S33" i="109"/>
  <c r="R33" i="110"/>
  <c r="S33" i="110" s="1"/>
  <c r="R33" i="111"/>
  <c r="S33" i="111" s="1"/>
  <c r="U49" i="105"/>
  <c r="U39" i="105"/>
  <c r="U26" i="105"/>
  <c r="U44" i="105"/>
  <c r="U9" i="105"/>
  <c r="U50" i="105"/>
  <c r="U31" i="105"/>
  <c r="U40" i="105"/>
  <c r="U36" i="105"/>
  <c r="U35" i="105"/>
  <c r="U41" i="105"/>
  <c r="U27" i="105"/>
  <c r="U43" i="105"/>
  <c r="U30" i="105"/>
  <c r="U33" i="105"/>
  <c r="U32" i="105"/>
  <c r="U38" i="105"/>
  <c r="U21" i="105"/>
  <c r="U37" i="105"/>
  <c r="U14" i="105"/>
  <c r="U23" i="105"/>
  <c r="U29" i="105"/>
  <c r="U22" i="105"/>
  <c r="U5" i="105"/>
  <c r="U11" i="105"/>
  <c r="U53" i="105"/>
  <c r="U20" i="105"/>
  <c r="U19" i="105"/>
  <c r="U28" i="105"/>
  <c r="U25" i="105"/>
  <c r="U24" i="105"/>
  <c r="U52" i="105"/>
  <c r="U17" i="105"/>
  <c r="U16" i="105"/>
  <c r="U10" i="105"/>
  <c r="U18" i="105"/>
  <c r="U7" i="105"/>
  <c r="U45" i="105"/>
  <c r="U54" i="105"/>
  <c r="U13" i="105"/>
  <c r="U6" i="105"/>
  <c r="U15" i="105"/>
  <c r="U34" i="105"/>
  <c r="U51" i="105"/>
  <c r="U42" i="105"/>
  <c r="U48" i="105"/>
  <c r="U47" i="105"/>
  <c r="U12" i="105"/>
  <c r="U8" i="105"/>
  <c r="U46" i="105"/>
  <c r="T33" i="121"/>
  <c r="W33" i="109"/>
  <c r="T33" i="110"/>
  <c r="T33" i="111"/>
  <c r="R20" i="125"/>
  <c r="R66" i="125" s="1"/>
  <c r="T20" i="121"/>
  <c r="W20" i="109"/>
  <c r="T20" i="110"/>
  <c r="T20" i="111"/>
  <c r="T18" i="121"/>
  <c r="W18" i="109"/>
  <c r="T18" i="110"/>
  <c r="T18" i="111"/>
  <c r="R18" i="125" s="1"/>
  <c r="R64" i="125" s="1"/>
  <c r="R38" i="125"/>
  <c r="R84" i="125" s="1"/>
  <c r="T38" i="121"/>
  <c r="T38" i="111"/>
  <c r="W38" i="109"/>
  <c r="T38" i="110"/>
  <c r="T14" i="121"/>
  <c r="W14" i="109"/>
  <c r="T14" i="110"/>
  <c r="R14" i="125" s="1"/>
  <c r="R60" i="125" s="1"/>
  <c r="T14" i="111"/>
  <c r="AI27" i="105"/>
  <c r="AI37" i="105"/>
  <c r="AI51" i="105"/>
  <c r="AI41" i="105"/>
  <c r="AI38" i="105"/>
  <c r="AI43" i="105"/>
  <c r="AI39" i="105"/>
  <c r="AI18" i="105"/>
  <c r="AI7" i="105"/>
  <c r="AI14" i="105"/>
  <c r="AI42" i="105"/>
  <c r="AI26" i="105"/>
  <c r="AI15" i="105"/>
  <c r="AI11" i="105"/>
  <c r="AI49" i="105"/>
  <c r="AI12" i="105"/>
  <c r="AI6" i="105"/>
  <c r="AI47" i="105"/>
  <c r="AI13" i="105"/>
  <c r="AI21" i="105"/>
  <c r="AI24" i="105"/>
  <c r="AI54" i="105"/>
  <c r="AI48" i="105"/>
  <c r="AI34" i="105"/>
  <c r="AI22" i="105"/>
  <c r="AI23" i="105"/>
  <c r="AI20" i="105"/>
  <c r="AI33" i="105"/>
  <c r="AI29" i="105"/>
  <c r="AI44" i="105"/>
  <c r="AI19" i="105"/>
  <c r="AI10" i="105"/>
  <c r="AI36" i="105"/>
  <c r="AI31" i="105"/>
  <c r="AI40" i="105"/>
  <c r="AI25" i="105"/>
  <c r="AI32" i="105"/>
  <c r="AI16" i="105"/>
  <c r="AI5" i="105"/>
  <c r="AI17" i="105"/>
  <c r="AI45" i="105"/>
  <c r="AI46" i="105"/>
  <c r="AI30" i="105"/>
  <c r="AI53" i="105"/>
  <c r="AI35" i="105"/>
  <c r="AI28" i="105"/>
  <c r="AI8" i="105"/>
  <c r="AI9" i="105"/>
  <c r="AI50" i="105"/>
  <c r="AI52" i="105"/>
  <c r="P22" i="105"/>
  <c r="P21" i="105"/>
  <c r="P13" i="105"/>
  <c r="P5" i="105"/>
  <c r="P37" i="105"/>
  <c r="P38" i="105"/>
  <c r="P36" i="105"/>
  <c r="P31" i="105"/>
  <c r="P11" i="105"/>
  <c r="P29" i="105"/>
  <c r="P35" i="105"/>
  <c r="P34" i="105"/>
  <c r="P47" i="105"/>
  <c r="P41" i="105"/>
  <c r="P28" i="105"/>
  <c r="P30" i="105"/>
  <c r="P10" i="105"/>
  <c r="P20" i="105"/>
  <c r="P43" i="105"/>
  <c r="P46" i="105"/>
  <c r="P25" i="105"/>
  <c r="P14" i="105"/>
  <c r="P26" i="105"/>
  <c r="P8" i="105"/>
  <c r="P48" i="105"/>
  <c r="P49" i="105"/>
  <c r="P15" i="105"/>
  <c r="P17" i="105"/>
  <c r="P16" i="105"/>
  <c r="P23" i="105"/>
  <c r="P52" i="105"/>
  <c r="P40" i="105"/>
  <c r="P12" i="105"/>
  <c r="P7" i="105"/>
  <c r="P6" i="105"/>
  <c r="P54" i="105"/>
  <c r="P50" i="105"/>
  <c r="P39" i="105"/>
  <c r="P27" i="105"/>
  <c r="P32" i="105"/>
  <c r="P18" i="105"/>
  <c r="P42" i="105"/>
  <c r="P51" i="105"/>
  <c r="P53" i="105"/>
  <c r="P24" i="105"/>
  <c r="P19" i="105"/>
  <c r="P9" i="105"/>
  <c r="P44" i="105"/>
  <c r="P45" i="105"/>
  <c r="P33" i="105"/>
  <c r="O7" i="121"/>
  <c r="O7" i="110"/>
  <c r="O7" i="125" s="1"/>
  <c r="O53" i="125" s="1"/>
  <c r="O7" i="111"/>
  <c r="Z14" i="121"/>
  <c r="AA14" i="121" s="1"/>
  <c r="Z14" i="110"/>
  <c r="AA14" i="110" s="1"/>
  <c r="Z14" i="111"/>
  <c r="AA14" i="111" s="1"/>
  <c r="AA14" i="109"/>
  <c r="V37" i="125"/>
  <c r="V83" i="125" s="1"/>
  <c r="Z37" i="121"/>
  <c r="AA37" i="121" s="1"/>
  <c r="Z37" i="111"/>
  <c r="AA37" i="111" s="1"/>
  <c r="Z37" i="110"/>
  <c r="AA37" i="110" s="1"/>
  <c r="AA37" i="109"/>
  <c r="Z42" i="121"/>
  <c r="AA42" i="121" s="1"/>
  <c r="AA42" i="109"/>
  <c r="Z42" i="110"/>
  <c r="AA42" i="110" s="1"/>
  <c r="Z42" i="111"/>
  <c r="AA42" i="111" s="1"/>
  <c r="Z22" i="121"/>
  <c r="AA22" i="121" s="1"/>
  <c r="Z22" i="111"/>
  <c r="AA22" i="111" s="1"/>
  <c r="Z22" i="110"/>
  <c r="AA22" i="110" s="1"/>
  <c r="AA22" i="109"/>
  <c r="Z5" i="121"/>
  <c r="Z5" i="110"/>
  <c r="AA5" i="109"/>
  <c r="Z47" i="109"/>
  <c r="Z5" i="111"/>
  <c r="O45" i="120"/>
  <c r="O45" i="107"/>
  <c r="O45" i="106"/>
  <c r="O45" i="124" s="1"/>
  <c r="O100" i="124" s="1"/>
  <c r="O17" i="124"/>
  <c r="O72" i="124" s="1"/>
  <c r="O17" i="120"/>
  <c r="O17" i="107"/>
  <c r="O17" i="106"/>
  <c r="O48" i="120"/>
  <c r="O48" i="107"/>
  <c r="O48" i="106"/>
  <c r="O48" i="124" s="1"/>
  <c r="O103" i="124" s="1"/>
  <c r="O47" i="124"/>
  <c r="O102" i="124" s="1"/>
  <c r="O47" i="120"/>
  <c r="O47" i="107"/>
  <c r="O47" i="106"/>
  <c r="O6" i="120"/>
  <c r="O6" i="106"/>
  <c r="O6" i="107"/>
  <c r="O6" i="124" s="1"/>
  <c r="O61" i="124" s="1"/>
  <c r="O51" i="124"/>
  <c r="O106" i="124" s="1"/>
  <c r="O51" i="120"/>
  <c r="O51" i="107"/>
  <c r="O51" i="106"/>
  <c r="C6" i="126"/>
  <c r="AQ13" i="120"/>
  <c r="L30" i="110"/>
  <c r="Q30" i="109"/>
  <c r="L30" i="111"/>
  <c r="L45" i="110"/>
  <c r="Q45" i="109"/>
  <c r="L45" i="111"/>
  <c r="L45" i="125" s="1"/>
  <c r="L91" i="125" s="1"/>
  <c r="L39" i="110"/>
  <c r="L39" i="125" s="1"/>
  <c r="L85" i="125" s="1"/>
  <c r="Q39" i="109"/>
  <c r="L39" i="111"/>
  <c r="Q29" i="109"/>
  <c r="L29" i="110"/>
  <c r="L29" i="111"/>
  <c r="L8" i="110"/>
  <c r="Q8" i="109"/>
  <c r="L8" i="111"/>
  <c r="L38" i="110"/>
  <c r="Q38" i="109"/>
  <c r="AB38" i="109" s="1"/>
  <c r="L38" i="111"/>
  <c r="L28" i="110"/>
  <c r="L28" i="125" s="1"/>
  <c r="L74" i="125" s="1"/>
  <c r="Q28" i="109"/>
  <c r="L28" i="111"/>
  <c r="L26" i="110"/>
  <c r="L26" i="125" s="1"/>
  <c r="L72" i="125" s="1"/>
  <c r="Q26" i="109"/>
  <c r="L26" i="111"/>
  <c r="L41" i="110"/>
  <c r="Q41" i="109"/>
  <c r="L41" i="111"/>
  <c r="L5" i="110"/>
  <c r="L5" i="125" s="1"/>
  <c r="L51" i="125" s="1"/>
  <c r="L5" i="111"/>
  <c r="L47" i="109"/>
  <c r="Q5" i="109"/>
  <c r="T57" i="106"/>
  <c r="T57" i="107"/>
  <c r="T57" i="105"/>
  <c r="L7" i="110"/>
  <c r="L7" i="111"/>
  <c r="Q7" i="111" s="1"/>
  <c r="AB7" i="111" s="1"/>
  <c r="Q7" i="109"/>
  <c r="AB7" i="109" s="1"/>
  <c r="Q44" i="109"/>
  <c r="AB44" i="109" s="1"/>
  <c r="L44" i="110"/>
  <c r="L44" i="125" s="1"/>
  <c r="L90" i="125" s="1"/>
  <c r="L44" i="111"/>
  <c r="Q42" i="109"/>
  <c r="L42" i="110"/>
  <c r="L42" i="125" s="1"/>
  <c r="L88" i="125" s="1"/>
  <c r="L42" i="111"/>
  <c r="L35" i="110"/>
  <c r="Q35" i="109"/>
  <c r="L35" i="111"/>
  <c r="L23" i="110"/>
  <c r="L23" i="125" s="1"/>
  <c r="L69" i="125" s="1"/>
  <c r="Q23" i="109"/>
  <c r="L23" i="111"/>
  <c r="L12" i="110"/>
  <c r="L12" i="125" s="1"/>
  <c r="L58" i="125" s="1"/>
  <c r="Q12" i="109"/>
  <c r="L12" i="111"/>
  <c r="AB48" i="110"/>
  <c r="X52" i="110" s="1"/>
  <c r="AB48" i="108"/>
  <c r="AB48" i="111"/>
  <c r="AB48" i="109"/>
  <c r="L9" i="110"/>
  <c r="Q9" i="110" s="1"/>
  <c r="AB9" i="110" s="1"/>
  <c r="L9" i="111"/>
  <c r="Q9" i="111" s="1"/>
  <c r="AB9" i="111" s="1"/>
  <c r="Q9" i="109"/>
  <c r="AB9" i="109" s="1"/>
  <c r="Q40" i="109"/>
  <c r="L40" i="110"/>
  <c r="L40" i="125" s="1"/>
  <c r="L86" i="125" s="1"/>
  <c r="L40" i="111"/>
  <c r="L32" i="110"/>
  <c r="L32" i="125" s="1"/>
  <c r="L78" i="125" s="1"/>
  <c r="Q32" i="109"/>
  <c r="L32" i="111"/>
  <c r="L15" i="111"/>
  <c r="L15" i="110"/>
  <c r="L15" i="125" s="1"/>
  <c r="L61" i="125" s="1"/>
  <c r="Q15" i="109"/>
  <c r="Q16" i="109"/>
  <c r="L16" i="110"/>
  <c r="L16" i="111"/>
  <c r="L19" i="110"/>
  <c r="Q19" i="109"/>
  <c r="L19" i="111"/>
  <c r="L10" i="110"/>
  <c r="Q10" i="110" s="1"/>
  <c r="L10" i="111"/>
  <c r="Q10" i="111" s="1"/>
  <c r="Q10" i="109"/>
  <c r="AB10" i="109" s="1"/>
  <c r="Q25" i="109"/>
  <c r="L25" i="110"/>
  <c r="L25" i="111"/>
  <c r="L21" i="110"/>
  <c r="L21" i="125" s="1"/>
  <c r="L67" i="125" s="1"/>
  <c r="Q21" i="109"/>
  <c r="L21" i="111"/>
  <c r="L37" i="110"/>
  <c r="L37" i="125" s="1"/>
  <c r="L83" i="125" s="1"/>
  <c r="Q37" i="109"/>
  <c r="L37" i="111"/>
  <c r="Q14" i="109"/>
  <c r="AB14" i="109" s="1"/>
  <c r="L14" i="110"/>
  <c r="L14" i="111"/>
  <c r="L43" i="110"/>
  <c r="L43" i="125" s="1"/>
  <c r="L89" i="125" s="1"/>
  <c r="Q43" i="109"/>
  <c r="L43" i="111"/>
  <c r="Q20" i="109"/>
  <c r="AB20" i="109" s="1"/>
  <c r="L20" i="110"/>
  <c r="L20" i="111"/>
  <c r="L17" i="110"/>
  <c r="L17" i="125" s="1"/>
  <c r="L63" i="125" s="1"/>
  <c r="Q17" i="109"/>
  <c r="AB17" i="109" s="1"/>
  <c r="L17" i="111"/>
  <c r="L11" i="110"/>
  <c r="Q11" i="109"/>
  <c r="L11" i="111"/>
  <c r="L36" i="110"/>
  <c r="Q36" i="109"/>
  <c r="AB36" i="109" s="1"/>
  <c r="L36" i="111"/>
  <c r="L18" i="110"/>
  <c r="L18" i="125" s="1"/>
  <c r="L64" i="125" s="1"/>
  <c r="Q18" i="109"/>
  <c r="AB18" i="109" s="1"/>
  <c r="L18" i="111"/>
  <c r="L34" i="110"/>
  <c r="L34" i="125" s="1"/>
  <c r="L80" i="125" s="1"/>
  <c r="Q34" i="109"/>
  <c r="L34" i="111"/>
  <c r="Q27" i="109"/>
  <c r="AB27" i="109" s="1"/>
  <c r="L27" i="110"/>
  <c r="L27" i="125" s="1"/>
  <c r="L73" i="125" s="1"/>
  <c r="L27" i="111"/>
  <c r="L6" i="110"/>
  <c r="Q6" i="109"/>
  <c r="L33" i="110"/>
  <c r="L33" i="125" s="1"/>
  <c r="L79" i="125" s="1"/>
  <c r="Q33" i="109"/>
  <c r="AB33" i="109" s="1"/>
  <c r="L33" i="111"/>
  <c r="L22" i="110"/>
  <c r="Q22" i="109"/>
  <c r="L22" i="111"/>
  <c r="L24" i="110"/>
  <c r="Q24" i="109"/>
  <c r="L24" i="111"/>
  <c r="L31" i="110"/>
  <c r="L31" i="125" s="1"/>
  <c r="L77" i="125" s="1"/>
  <c r="Q31" i="109"/>
  <c r="AB31" i="109" s="1"/>
  <c r="L31" i="111"/>
  <c r="L13" i="110"/>
  <c r="L13" i="125" s="1"/>
  <c r="L59" i="125" s="1"/>
  <c r="Q13" i="109"/>
  <c r="AB13" i="109" s="1"/>
  <c r="L13" i="111"/>
  <c r="E35" i="5"/>
  <c r="Q49" i="121" s="1"/>
  <c r="F35" i="5"/>
  <c r="Q50" i="121" s="1"/>
  <c r="E10" i="5"/>
  <c r="T58" i="120" s="1"/>
  <c r="F10" i="5"/>
  <c r="T59" i="120" s="1"/>
  <c r="D47" i="5"/>
  <c r="D29" i="5"/>
  <c r="X8" i="126" l="1"/>
  <c r="Y28" i="105"/>
  <c r="Y7" i="105"/>
  <c r="Y19" i="105"/>
  <c r="Y35" i="105"/>
  <c r="Y48" i="105"/>
  <c r="Y46" i="105"/>
  <c r="Y38" i="105"/>
  <c r="Y15" i="105"/>
  <c r="Y20" i="105"/>
  <c r="Y21" i="105"/>
  <c r="Y6" i="105"/>
  <c r="Y8" i="105"/>
  <c r="Y40" i="105"/>
  <c r="Y36" i="105"/>
  <c r="Y44" i="105"/>
  <c r="Y11" i="105"/>
  <c r="Y17" i="105"/>
  <c r="Y32" i="105"/>
  <c r="Y43" i="105"/>
  <c r="Y30" i="105"/>
  <c r="Y24" i="105"/>
  <c r="Y53" i="105"/>
  <c r="Y41" i="105"/>
  <c r="Y39" i="105"/>
  <c r="Y10" i="105"/>
  <c r="Y37" i="105"/>
  <c r="Y34" i="105"/>
  <c r="Y9" i="105"/>
  <c r="Y49" i="105"/>
  <c r="Y26" i="105"/>
  <c r="Y54" i="105"/>
  <c r="Y22" i="105"/>
  <c r="Y33" i="105"/>
  <c r="Y29" i="105"/>
  <c r="Y45" i="105"/>
  <c r="Y12" i="105"/>
  <c r="Y13" i="105"/>
  <c r="Y42" i="105"/>
  <c r="Y14" i="105"/>
  <c r="Y5" i="105"/>
  <c r="Y51" i="105"/>
  <c r="Y50" i="105"/>
  <c r="Y31" i="105"/>
  <c r="Y16" i="105"/>
  <c r="Y52" i="105"/>
  <c r="Y27" i="105"/>
  <c r="Y47" i="105"/>
  <c r="Y18" i="105"/>
  <c r="Y25" i="105"/>
  <c r="Y23" i="105"/>
  <c r="AB23" i="109"/>
  <c r="V21" i="128"/>
  <c r="V26" i="128"/>
  <c r="V16" i="128"/>
  <c r="V15" i="128"/>
  <c r="V20" i="128"/>
  <c r="V25" i="128"/>
  <c r="AJ9" i="121"/>
  <c r="AA37" i="115"/>
  <c r="AA29" i="115"/>
  <c r="AA21" i="115"/>
  <c r="AA13" i="115"/>
  <c r="AA5" i="115"/>
  <c r="AA30" i="115"/>
  <c r="AA22" i="115"/>
  <c r="AA14" i="115"/>
  <c r="AA6" i="115"/>
  <c r="AA31" i="115"/>
  <c r="AA23" i="115"/>
  <c r="AA15" i="115"/>
  <c r="AA7" i="115"/>
  <c r="AA32" i="115"/>
  <c r="AA24" i="115"/>
  <c r="AA16" i="115"/>
  <c r="AA8" i="115"/>
  <c r="AA34" i="115"/>
  <c r="AA26" i="115"/>
  <c r="AA18" i="115"/>
  <c r="AA35" i="115"/>
  <c r="AA27" i="115"/>
  <c r="AA19" i="115"/>
  <c r="AA11" i="115"/>
  <c r="AA3" i="115"/>
  <c r="AA36" i="115"/>
  <c r="AA28" i="115"/>
  <c r="AA20" i="115"/>
  <c r="AA12" i="115"/>
  <c r="AA4" i="115"/>
  <c r="AA10" i="115"/>
  <c r="AA2" i="115"/>
  <c r="AA33" i="115"/>
  <c r="AA25" i="115"/>
  <c r="AA17" i="115"/>
  <c r="AA9" i="115"/>
  <c r="AA37" i="114"/>
  <c r="AA29" i="114"/>
  <c r="AA21" i="114"/>
  <c r="AA13" i="114"/>
  <c r="AA5" i="114"/>
  <c r="AA36" i="114"/>
  <c r="AA28" i="114"/>
  <c r="AA20" i="114"/>
  <c r="AA12" i="114"/>
  <c r="AA4" i="114"/>
  <c r="AA35" i="114"/>
  <c r="AA27" i="114"/>
  <c r="AA19" i="114"/>
  <c r="AA11" i="114"/>
  <c r="AA3" i="114"/>
  <c r="AA34" i="114"/>
  <c r="AA26" i="114"/>
  <c r="AA18" i="114"/>
  <c r="AA10" i="114"/>
  <c r="AA2" i="114"/>
  <c r="AA33" i="114"/>
  <c r="AA25" i="114"/>
  <c r="AA17" i="114"/>
  <c r="AA9" i="114"/>
  <c r="AA32" i="114"/>
  <c r="AA24" i="114"/>
  <c r="AA16" i="114"/>
  <c r="AA8" i="114"/>
  <c r="AA31" i="114"/>
  <c r="AA23" i="114"/>
  <c r="AA15" i="114"/>
  <c r="AA7" i="114"/>
  <c r="AA30" i="114"/>
  <c r="AA22" i="114"/>
  <c r="AA14" i="114"/>
  <c r="AA6" i="114"/>
  <c r="V32" i="128"/>
  <c r="P33" i="107"/>
  <c r="P42" i="107"/>
  <c r="P7" i="107"/>
  <c r="P49" i="107"/>
  <c r="P20" i="107"/>
  <c r="P29" i="107"/>
  <c r="P21" i="107"/>
  <c r="AI53" i="107"/>
  <c r="AI25" i="107"/>
  <c r="AI33" i="107"/>
  <c r="AI21" i="107"/>
  <c r="AI26" i="107"/>
  <c r="AI41" i="107"/>
  <c r="U47" i="107"/>
  <c r="U54" i="107"/>
  <c r="U24" i="107"/>
  <c r="U22" i="107"/>
  <c r="U33" i="107"/>
  <c r="U31" i="107"/>
  <c r="Q45" i="125"/>
  <c r="Q91" i="125" s="1"/>
  <c r="P38" i="125"/>
  <c r="P84" i="125" s="1"/>
  <c r="P38" i="121"/>
  <c r="P38" i="111"/>
  <c r="P38" i="110"/>
  <c r="P44" i="125"/>
  <c r="P90" i="125" s="1"/>
  <c r="P44" i="121"/>
  <c r="P44" i="110"/>
  <c r="P44" i="111"/>
  <c r="P40" i="125"/>
  <c r="P86" i="125" s="1"/>
  <c r="P40" i="121"/>
  <c r="P40" i="111"/>
  <c r="P40" i="110"/>
  <c r="P20" i="125"/>
  <c r="P66" i="125" s="1"/>
  <c r="P20" i="121"/>
  <c r="P20" i="110"/>
  <c r="P20" i="111"/>
  <c r="P19" i="125"/>
  <c r="P65" i="125" s="1"/>
  <c r="P19" i="121"/>
  <c r="P19" i="110"/>
  <c r="P19" i="111"/>
  <c r="V8" i="125"/>
  <c r="V54" i="125" s="1"/>
  <c r="O39" i="121"/>
  <c r="O39" i="111"/>
  <c r="O39" i="125" s="1"/>
  <c r="O85" i="125" s="1"/>
  <c r="O39" i="110"/>
  <c r="O18" i="121"/>
  <c r="O18" i="110"/>
  <c r="O18" i="125" s="1"/>
  <c r="O64" i="125" s="1"/>
  <c r="O18" i="111"/>
  <c r="O26" i="121"/>
  <c r="O26" i="110"/>
  <c r="O26" i="125" s="1"/>
  <c r="O72" i="125" s="1"/>
  <c r="O26" i="111"/>
  <c r="O23" i="121"/>
  <c r="O23" i="110"/>
  <c r="O23" i="125" s="1"/>
  <c r="O69" i="125" s="1"/>
  <c r="O23" i="111"/>
  <c r="U36" i="121"/>
  <c r="U36" i="110"/>
  <c r="S36" i="125" s="1"/>
  <c r="S82" i="125" s="1"/>
  <c r="U36" i="111"/>
  <c r="U16" i="121"/>
  <c r="U16" i="110"/>
  <c r="S16" i="125" s="1"/>
  <c r="S62" i="125" s="1"/>
  <c r="U16" i="111"/>
  <c r="U13" i="121"/>
  <c r="U13" i="110"/>
  <c r="S13" i="125" s="1"/>
  <c r="S59" i="125" s="1"/>
  <c r="U13" i="111"/>
  <c r="U34" i="121"/>
  <c r="U34" i="110"/>
  <c r="S34" i="125" s="1"/>
  <c r="S80" i="125" s="1"/>
  <c r="U34" i="111"/>
  <c r="U25" i="121"/>
  <c r="U25" i="110"/>
  <c r="S25" i="125" s="1"/>
  <c r="S71" i="125" s="1"/>
  <c r="U25" i="111"/>
  <c r="Q53" i="107"/>
  <c r="Q39" i="107"/>
  <c r="Q9" i="107"/>
  <c r="Q10" i="107"/>
  <c r="Q54" i="107"/>
  <c r="Q8" i="107"/>
  <c r="Q8" i="125"/>
  <c r="Q54" i="125" s="1"/>
  <c r="V43" i="125"/>
  <c r="V89" i="125" s="1"/>
  <c r="O34" i="120"/>
  <c r="O14" i="120"/>
  <c r="O39" i="120"/>
  <c r="W45" i="107"/>
  <c r="W10" i="107"/>
  <c r="W27" i="107"/>
  <c r="W47" i="107"/>
  <c r="W14" i="107"/>
  <c r="W18" i="107"/>
  <c r="V19" i="125"/>
  <c r="V65" i="125" s="1"/>
  <c r="V9" i="125"/>
  <c r="V55" i="125" s="1"/>
  <c r="O27" i="120"/>
  <c r="O20" i="120"/>
  <c r="O54" i="120"/>
  <c r="N35" i="121"/>
  <c r="N35" i="110"/>
  <c r="N35" i="111"/>
  <c r="N35" i="125" s="1"/>
  <c r="N81" i="125" s="1"/>
  <c r="N39" i="121"/>
  <c r="N39" i="110"/>
  <c r="N39" i="111"/>
  <c r="N39" i="125" s="1"/>
  <c r="N85" i="125" s="1"/>
  <c r="N11" i="121"/>
  <c r="N11" i="111"/>
  <c r="N11" i="110"/>
  <c r="N11" i="125" s="1"/>
  <c r="N57" i="125" s="1"/>
  <c r="N23" i="121"/>
  <c r="N23" i="110"/>
  <c r="N23" i="111"/>
  <c r="N23" i="125" s="1"/>
  <c r="N69" i="125" s="1"/>
  <c r="N44" i="121"/>
  <c r="N44" i="111"/>
  <c r="N44" i="110"/>
  <c r="N44" i="125" s="1"/>
  <c r="N90" i="125" s="1"/>
  <c r="V32" i="125"/>
  <c r="V78" i="125" s="1"/>
  <c r="R9" i="125"/>
  <c r="R55" i="125" s="1"/>
  <c r="S5" i="110"/>
  <c r="S47" i="110" s="1"/>
  <c r="R47" i="110"/>
  <c r="Q37" i="125"/>
  <c r="Q83" i="125" s="1"/>
  <c r="AH19" i="107"/>
  <c r="AH42" i="107"/>
  <c r="AH47" i="107"/>
  <c r="AH17" i="107"/>
  <c r="AH23" i="107"/>
  <c r="AH36" i="107"/>
  <c r="R46" i="107"/>
  <c r="R14" i="107"/>
  <c r="R32" i="107"/>
  <c r="R54" i="107"/>
  <c r="R48" i="107"/>
  <c r="R5" i="107"/>
  <c r="R56" i="105"/>
  <c r="R30" i="107"/>
  <c r="M35" i="121"/>
  <c r="M35" i="111"/>
  <c r="Q35" i="111" s="1"/>
  <c r="M35" i="110"/>
  <c r="M35" i="125" s="1"/>
  <c r="M81" i="125" s="1"/>
  <c r="M15" i="121"/>
  <c r="M15" i="110"/>
  <c r="M15" i="111"/>
  <c r="M44" i="121"/>
  <c r="M44" i="111"/>
  <c r="M44" i="110"/>
  <c r="M44" i="125" s="1"/>
  <c r="M90" i="125" s="1"/>
  <c r="M43" i="121"/>
  <c r="M43" i="110"/>
  <c r="M43" i="111"/>
  <c r="Q43" i="111" s="1"/>
  <c r="V29" i="125"/>
  <c r="V75" i="125" s="1"/>
  <c r="W7" i="110"/>
  <c r="X38" i="107"/>
  <c r="X17" i="107"/>
  <c r="X27" i="107"/>
  <c r="X13" i="120"/>
  <c r="X13" i="107"/>
  <c r="X51" i="107"/>
  <c r="W5" i="124"/>
  <c r="W60" i="124" s="1"/>
  <c r="X5" i="120"/>
  <c r="X5" i="107"/>
  <c r="X56" i="105"/>
  <c r="X61" i="105" s="1"/>
  <c r="X32" i="106" s="1"/>
  <c r="X5" i="106"/>
  <c r="Q16" i="125"/>
  <c r="Q62" i="125" s="1"/>
  <c r="L52" i="107"/>
  <c r="L6" i="107"/>
  <c r="L31" i="107"/>
  <c r="L44" i="107"/>
  <c r="L18" i="107"/>
  <c r="L56" i="105"/>
  <c r="L61" i="105" s="1"/>
  <c r="L29" i="106" s="1"/>
  <c r="L5" i="107"/>
  <c r="L40" i="107"/>
  <c r="O37" i="106"/>
  <c r="O37" i="124" s="1"/>
  <c r="O92" i="124" s="1"/>
  <c r="V40" i="125"/>
  <c r="V86" i="125" s="1"/>
  <c r="T47" i="110"/>
  <c r="W10" i="121"/>
  <c r="Q13" i="125"/>
  <c r="Q59" i="125" s="1"/>
  <c r="AC17" i="120"/>
  <c r="AD17" i="120" s="1"/>
  <c r="AC17" i="107"/>
  <c r="AD17" i="107" s="1"/>
  <c r="AD17" i="105"/>
  <c r="AD14" i="105"/>
  <c r="AC14" i="107"/>
  <c r="AD14" i="107" s="1"/>
  <c r="AC14" i="106"/>
  <c r="AD14" i="106" s="1"/>
  <c r="AD30" i="105"/>
  <c r="AC30" i="107"/>
  <c r="AD30" i="107" s="1"/>
  <c r="AD42" i="105"/>
  <c r="AC42" i="107"/>
  <c r="AD42" i="107" s="1"/>
  <c r="AC5" i="120"/>
  <c r="AD5" i="105"/>
  <c r="AC56" i="105"/>
  <c r="AC61" i="105" s="1"/>
  <c r="AC6" i="106" s="1"/>
  <c r="AD6" i="106" s="1"/>
  <c r="AC5" i="107"/>
  <c r="AC5" i="106"/>
  <c r="AA5" i="124" s="1"/>
  <c r="AA60" i="124" s="1"/>
  <c r="AD53" i="105"/>
  <c r="AC53" i="107"/>
  <c r="AD53" i="107" s="1"/>
  <c r="V39" i="121"/>
  <c r="V39" i="110"/>
  <c r="T39" i="125" s="1"/>
  <c r="T85" i="125" s="1"/>
  <c r="V39" i="111"/>
  <c r="V23" i="121"/>
  <c r="V23" i="110"/>
  <c r="T23" i="125" s="1"/>
  <c r="T69" i="125" s="1"/>
  <c r="V23" i="111"/>
  <c r="V21" i="121"/>
  <c r="V21" i="111"/>
  <c r="T21" i="125" s="1"/>
  <c r="T67" i="125" s="1"/>
  <c r="V21" i="110"/>
  <c r="V17" i="121"/>
  <c r="V17" i="111"/>
  <c r="V17" i="110"/>
  <c r="T17" i="125" s="1"/>
  <c r="T63" i="125" s="1"/>
  <c r="V28" i="121"/>
  <c r="V28" i="110"/>
  <c r="T28" i="125" s="1"/>
  <c r="T74" i="125" s="1"/>
  <c r="V28" i="111"/>
  <c r="M45" i="107"/>
  <c r="M42" i="107"/>
  <c r="M26" i="107"/>
  <c r="M35" i="107"/>
  <c r="M19" i="107"/>
  <c r="AB19" i="109"/>
  <c r="V42" i="125"/>
  <c r="V88" i="125" s="1"/>
  <c r="P45" i="107"/>
  <c r="P18" i="107"/>
  <c r="P12" i="107"/>
  <c r="P48" i="107"/>
  <c r="P10" i="107"/>
  <c r="P11" i="107"/>
  <c r="P22" i="107"/>
  <c r="AI30" i="107"/>
  <c r="AI40" i="107"/>
  <c r="AI20" i="107"/>
  <c r="AI13" i="107"/>
  <c r="AI42" i="107"/>
  <c r="AI51" i="107"/>
  <c r="U48" i="107"/>
  <c r="U45" i="107"/>
  <c r="U25" i="107"/>
  <c r="U29" i="107"/>
  <c r="U30" i="107"/>
  <c r="U50" i="107"/>
  <c r="P25" i="121"/>
  <c r="P25" i="110"/>
  <c r="P25" i="125" s="1"/>
  <c r="P71" i="125" s="1"/>
  <c r="P25" i="111"/>
  <c r="P6" i="121"/>
  <c r="P6" i="110"/>
  <c r="P6" i="125" s="1"/>
  <c r="P52" i="125" s="1"/>
  <c r="P6" i="111"/>
  <c r="P39" i="121"/>
  <c r="P39" i="110"/>
  <c r="P39" i="125" s="1"/>
  <c r="P85" i="125" s="1"/>
  <c r="P39" i="111"/>
  <c r="P45" i="121"/>
  <c r="P45" i="110"/>
  <c r="P45" i="125" s="1"/>
  <c r="P91" i="125" s="1"/>
  <c r="P45" i="111"/>
  <c r="P42" i="121"/>
  <c r="P42" i="110"/>
  <c r="P42" i="125" s="1"/>
  <c r="P88" i="125" s="1"/>
  <c r="P42" i="111"/>
  <c r="L29" i="125"/>
  <c r="L75" i="125" s="1"/>
  <c r="Q19" i="125"/>
  <c r="Q65" i="125" s="1"/>
  <c r="O45" i="121"/>
  <c r="O45" i="110"/>
  <c r="O45" i="125" s="1"/>
  <c r="O91" i="125" s="1"/>
  <c r="O45" i="111"/>
  <c r="O8" i="121"/>
  <c r="O8" i="110"/>
  <c r="O8" i="125" s="1"/>
  <c r="O54" i="125" s="1"/>
  <c r="O8" i="111"/>
  <c r="O15" i="121"/>
  <c r="O15" i="110"/>
  <c r="O15" i="125" s="1"/>
  <c r="O61" i="125" s="1"/>
  <c r="O15" i="111"/>
  <c r="O44" i="121"/>
  <c r="O44" i="110"/>
  <c r="O44" i="125" s="1"/>
  <c r="O90" i="125" s="1"/>
  <c r="O44" i="111"/>
  <c r="O11" i="121"/>
  <c r="O11" i="111"/>
  <c r="O11" i="110"/>
  <c r="O11" i="125" s="1"/>
  <c r="O57" i="125" s="1"/>
  <c r="U26" i="121"/>
  <c r="U26" i="111"/>
  <c r="U26" i="110"/>
  <c r="S26" i="125" s="1"/>
  <c r="S72" i="125" s="1"/>
  <c r="U41" i="121"/>
  <c r="U41" i="110"/>
  <c r="S41" i="125" s="1"/>
  <c r="S87" i="125" s="1"/>
  <c r="U41" i="111"/>
  <c r="U17" i="121"/>
  <c r="U17" i="110"/>
  <c r="W17" i="110" s="1"/>
  <c r="U17" i="111"/>
  <c r="U27" i="121"/>
  <c r="U27" i="110"/>
  <c r="U27" i="111"/>
  <c r="U43" i="121"/>
  <c r="U43" i="110"/>
  <c r="S43" i="125" s="1"/>
  <c r="S89" i="125" s="1"/>
  <c r="U43" i="111"/>
  <c r="M16" i="107"/>
  <c r="Q50" i="107"/>
  <c r="Q11" i="107"/>
  <c r="Q7" i="107"/>
  <c r="Q31" i="107"/>
  <c r="Q21" i="107"/>
  <c r="Q29" i="107"/>
  <c r="AA56" i="120"/>
  <c r="Q22" i="125"/>
  <c r="Q68" i="125" s="1"/>
  <c r="W17" i="107"/>
  <c r="W7" i="107"/>
  <c r="W50" i="107"/>
  <c r="W48" i="107"/>
  <c r="W39" i="107"/>
  <c r="W28" i="107"/>
  <c r="Q11" i="125"/>
  <c r="Q57" i="125" s="1"/>
  <c r="N19" i="121"/>
  <c r="N19" i="111"/>
  <c r="N19" i="110"/>
  <c r="N19" i="125" s="1"/>
  <c r="N65" i="125" s="1"/>
  <c r="N43" i="121"/>
  <c r="N43" i="110"/>
  <c r="N43" i="125" s="1"/>
  <c r="N89" i="125" s="1"/>
  <c r="N43" i="111"/>
  <c r="N40" i="121"/>
  <c r="N40" i="110"/>
  <c r="N40" i="125" s="1"/>
  <c r="N86" i="125" s="1"/>
  <c r="N40" i="111"/>
  <c r="N16" i="121"/>
  <c r="N16" i="111"/>
  <c r="N16" i="110"/>
  <c r="N16" i="125" s="1"/>
  <c r="N62" i="125" s="1"/>
  <c r="N31" i="121"/>
  <c r="N31" i="110"/>
  <c r="N31" i="125" s="1"/>
  <c r="N77" i="125" s="1"/>
  <c r="N31" i="111"/>
  <c r="S47" i="109"/>
  <c r="AH28" i="107"/>
  <c r="AH30" i="107"/>
  <c r="AH11" i="107"/>
  <c r="AH20" i="107"/>
  <c r="AH52" i="107"/>
  <c r="AH35" i="107"/>
  <c r="R36" i="107"/>
  <c r="R6" i="107"/>
  <c r="R24" i="107"/>
  <c r="R52" i="107"/>
  <c r="R33" i="107"/>
  <c r="R31" i="107"/>
  <c r="O26" i="106"/>
  <c r="O26" i="124" s="1"/>
  <c r="O81" i="124" s="1"/>
  <c r="O49" i="106"/>
  <c r="O49" i="124" s="1"/>
  <c r="O104" i="124" s="1"/>
  <c r="M31" i="125"/>
  <c r="M77" i="125" s="1"/>
  <c r="M31" i="121"/>
  <c r="M31" i="110"/>
  <c r="M31" i="111"/>
  <c r="Q31" i="111" s="1"/>
  <c r="M24" i="125"/>
  <c r="M70" i="125" s="1"/>
  <c r="M24" i="121"/>
  <c r="M24" i="110"/>
  <c r="M24" i="111"/>
  <c r="M36" i="125"/>
  <c r="M82" i="125" s="1"/>
  <c r="M36" i="121"/>
  <c r="M36" i="111"/>
  <c r="M36" i="110"/>
  <c r="M12" i="125"/>
  <c r="M58" i="125" s="1"/>
  <c r="M12" i="121"/>
  <c r="M12" i="110"/>
  <c r="M12" i="111"/>
  <c r="M45" i="125"/>
  <c r="M91" i="125" s="1"/>
  <c r="M45" i="121"/>
  <c r="M45" i="111"/>
  <c r="M45" i="110"/>
  <c r="Q45" i="110" s="1"/>
  <c r="W32" i="124"/>
  <c r="W87" i="124" s="1"/>
  <c r="X32" i="120"/>
  <c r="X32" i="107"/>
  <c r="W7" i="124"/>
  <c r="W62" i="124" s="1"/>
  <c r="X7" i="120"/>
  <c r="X7" i="107"/>
  <c r="X7" i="106"/>
  <c r="W50" i="124"/>
  <c r="W105" i="124" s="1"/>
  <c r="X50" i="120"/>
  <c r="X50" i="107"/>
  <c r="X50" i="106"/>
  <c r="W53" i="124"/>
  <c r="W108" i="124" s="1"/>
  <c r="X53" i="120"/>
  <c r="X53" i="107"/>
  <c r="X53" i="106"/>
  <c r="W33" i="124"/>
  <c r="W88" i="124" s="1"/>
  <c r="X33" i="120"/>
  <c r="X33" i="107"/>
  <c r="X33" i="106"/>
  <c r="W20" i="124"/>
  <c r="W75" i="124" s="1"/>
  <c r="X20" i="120"/>
  <c r="X20" i="107"/>
  <c r="X20" i="106"/>
  <c r="L39" i="124"/>
  <c r="L94" i="124" s="1"/>
  <c r="L39" i="120"/>
  <c r="L39" i="107"/>
  <c r="L39" i="106"/>
  <c r="L27" i="124"/>
  <c r="L82" i="124" s="1"/>
  <c r="L27" i="120"/>
  <c r="L27" i="107"/>
  <c r="L27" i="106"/>
  <c r="L49" i="124"/>
  <c r="L104" i="124" s="1"/>
  <c r="L49" i="120"/>
  <c r="L49" i="107"/>
  <c r="L49" i="106"/>
  <c r="L23" i="124"/>
  <c r="L78" i="124" s="1"/>
  <c r="L23" i="120"/>
  <c r="L23" i="107"/>
  <c r="L23" i="106"/>
  <c r="L8" i="124"/>
  <c r="L63" i="124" s="1"/>
  <c r="L8" i="120"/>
  <c r="L8" i="107"/>
  <c r="L8" i="106"/>
  <c r="L17" i="124"/>
  <c r="L72" i="124" s="1"/>
  <c r="L17" i="120"/>
  <c r="L17" i="107"/>
  <c r="L17" i="106"/>
  <c r="Q44" i="121"/>
  <c r="O52" i="120"/>
  <c r="O37" i="120"/>
  <c r="O28" i="120"/>
  <c r="V27" i="125"/>
  <c r="V73" i="125" s="1"/>
  <c r="T47" i="121"/>
  <c r="AC11" i="120"/>
  <c r="AD11" i="120" s="1"/>
  <c r="AD11" i="105"/>
  <c r="AC11" i="107"/>
  <c r="AD11" i="107" s="1"/>
  <c r="AC11" i="106"/>
  <c r="AD11" i="106" s="1"/>
  <c r="AC38" i="120"/>
  <c r="AD38" i="120" s="1"/>
  <c r="AD38" i="105"/>
  <c r="AC38" i="107"/>
  <c r="AD38" i="107" s="1"/>
  <c r="AC38" i="106"/>
  <c r="AD38" i="106" s="1"/>
  <c r="AC37" i="120"/>
  <c r="AD37" i="120" s="1"/>
  <c r="AD37" i="105"/>
  <c r="AC37" i="107"/>
  <c r="AD37" i="107" s="1"/>
  <c r="AC37" i="106"/>
  <c r="AD37" i="106" s="1"/>
  <c r="AC32" i="120"/>
  <c r="AD32" i="120" s="1"/>
  <c r="AC32" i="107"/>
  <c r="AD32" i="107" s="1"/>
  <c r="AD32" i="105"/>
  <c r="AC32" i="106"/>
  <c r="AD32" i="106" s="1"/>
  <c r="AC19" i="120"/>
  <c r="AD19" i="120" s="1"/>
  <c r="AD19" i="105"/>
  <c r="AC19" i="107"/>
  <c r="AD19" i="107" s="1"/>
  <c r="AC19" i="106"/>
  <c r="AD19" i="106" s="1"/>
  <c r="AA43" i="124"/>
  <c r="AA98" i="124" s="1"/>
  <c r="AC43" i="120"/>
  <c r="AD43" i="120" s="1"/>
  <c r="AD43" i="105"/>
  <c r="AC43" i="107"/>
  <c r="AD43" i="107" s="1"/>
  <c r="AC43" i="106"/>
  <c r="AD43" i="106" s="1"/>
  <c r="V29" i="121"/>
  <c r="V29" i="111"/>
  <c r="V29" i="110"/>
  <c r="T29" i="125" s="1"/>
  <c r="T75" i="125" s="1"/>
  <c r="V22" i="121"/>
  <c r="V22" i="110"/>
  <c r="V22" i="111"/>
  <c r="T22" i="125" s="1"/>
  <c r="T68" i="125" s="1"/>
  <c r="V15" i="121"/>
  <c r="V15" i="111"/>
  <c r="V15" i="110"/>
  <c r="T15" i="125" s="1"/>
  <c r="T61" i="125" s="1"/>
  <c r="V11" i="121"/>
  <c r="V11" i="110"/>
  <c r="V11" i="111"/>
  <c r="T11" i="125" s="1"/>
  <c r="T57" i="125" s="1"/>
  <c r="V40" i="121"/>
  <c r="V40" i="111"/>
  <c r="V40" i="110"/>
  <c r="T40" i="125" s="1"/>
  <c r="T86" i="125" s="1"/>
  <c r="M54" i="107"/>
  <c r="M41" i="107"/>
  <c r="M49" i="107"/>
  <c r="M48" i="107"/>
  <c r="M6" i="107"/>
  <c r="AB29" i="109"/>
  <c r="AB30" i="109"/>
  <c r="AA5" i="111"/>
  <c r="AA47" i="111" s="1"/>
  <c r="Z47" i="111"/>
  <c r="P44" i="107"/>
  <c r="P32" i="107"/>
  <c r="P40" i="107"/>
  <c r="P8" i="107"/>
  <c r="P30" i="107"/>
  <c r="P31" i="107"/>
  <c r="AI52" i="107"/>
  <c r="AI46" i="107"/>
  <c r="AI31" i="107"/>
  <c r="AI23" i="107"/>
  <c r="AI47" i="107"/>
  <c r="AI14" i="107"/>
  <c r="AI37" i="107"/>
  <c r="U42" i="107"/>
  <c r="U7" i="107"/>
  <c r="U28" i="107"/>
  <c r="U23" i="107"/>
  <c r="U43" i="107"/>
  <c r="U9" i="107"/>
  <c r="P37" i="125"/>
  <c r="P83" i="125" s="1"/>
  <c r="P37" i="121"/>
  <c r="P37" i="110"/>
  <c r="P37" i="111"/>
  <c r="P34" i="125"/>
  <c r="P80" i="125" s="1"/>
  <c r="P34" i="121"/>
  <c r="P34" i="110"/>
  <c r="P34" i="111"/>
  <c r="P8" i="125"/>
  <c r="P54" i="125" s="1"/>
  <c r="P8" i="121"/>
  <c r="P8" i="110"/>
  <c r="P8" i="111"/>
  <c r="P18" i="125"/>
  <c r="P64" i="125" s="1"/>
  <c r="P18" i="121"/>
  <c r="P18" i="110"/>
  <c r="P18" i="111"/>
  <c r="P33" i="125"/>
  <c r="P79" i="125" s="1"/>
  <c r="P33" i="121"/>
  <c r="P33" i="110"/>
  <c r="P33" i="111"/>
  <c r="V41" i="125"/>
  <c r="V87" i="125" s="1"/>
  <c r="Q26" i="125"/>
  <c r="Q72" i="125" s="1"/>
  <c r="W17" i="121"/>
  <c r="O43" i="125"/>
  <c r="O89" i="125" s="1"/>
  <c r="O43" i="121"/>
  <c r="O43" i="110"/>
  <c r="O43" i="111"/>
  <c r="O34" i="125"/>
  <c r="O80" i="125" s="1"/>
  <c r="O34" i="121"/>
  <c r="O34" i="110"/>
  <c r="O34" i="111"/>
  <c r="O19" i="125"/>
  <c r="O65" i="125" s="1"/>
  <c r="O19" i="121"/>
  <c r="O19" i="110"/>
  <c r="O19" i="111"/>
  <c r="O32" i="125"/>
  <c r="O78" i="125" s="1"/>
  <c r="O32" i="121"/>
  <c r="O32" i="110"/>
  <c r="O32" i="111"/>
  <c r="O27" i="125"/>
  <c r="O73" i="125" s="1"/>
  <c r="O27" i="121"/>
  <c r="O27" i="110"/>
  <c r="O27" i="111"/>
  <c r="S37" i="125"/>
  <c r="S83" i="125" s="1"/>
  <c r="U37" i="121"/>
  <c r="U37" i="111"/>
  <c r="U37" i="110"/>
  <c r="S33" i="125"/>
  <c r="S79" i="125" s="1"/>
  <c r="U33" i="121"/>
  <c r="U33" i="110"/>
  <c r="W33" i="110" s="1"/>
  <c r="U33" i="111"/>
  <c r="W33" i="111" s="1"/>
  <c r="S18" i="125"/>
  <c r="S64" i="125" s="1"/>
  <c r="U18" i="121"/>
  <c r="W18" i="121" s="1"/>
  <c r="U18" i="111"/>
  <c r="U18" i="110"/>
  <c r="S5" i="125"/>
  <c r="S51" i="125" s="1"/>
  <c r="U5" i="121"/>
  <c r="U5" i="111"/>
  <c r="U5" i="110"/>
  <c r="U47" i="109"/>
  <c r="U20" i="121"/>
  <c r="U20" i="110"/>
  <c r="U20" i="111"/>
  <c r="S20" i="125" s="1"/>
  <c r="S66" i="125" s="1"/>
  <c r="Q15" i="107"/>
  <c r="Q34" i="107"/>
  <c r="Q32" i="107"/>
  <c r="Q25" i="107"/>
  <c r="Q49" i="107"/>
  <c r="Q42" i="107"/>
  <c r="Q24" i="107"/>
  <c r="Q38" i="125"/>
  <c r="Q84" i="125" s="1"/>
  <c r="Q36" i="125"/>
  <c r="Q82" i="125" s="1"/>
  <c r="O12" i="106"/>
  <c r="O12" i="124" s="1"/>
  <c r="O67" i="124" s="1"/>
  <c r="O16" i="106"/>
  <c r="O16" i="124" s="1"/>
  <c r="O71" i="124" s="1"/>
  <c r="O25" i="106"/>
  <c r="O25" i="124" s="1"/>
  <c r="O80" i="124" s="1"/>
  <c r="W9" i="107"/>
  <c r="W51" i="107"/>
  <c r="W21" i="107"/>
  <c r="W44" i="107"/>
  <c r="W23" i="107"/>
  <c r="W40" i="107"/>
  <c r="W19" i="107"/>
  <c r="O40" i="106"/>
  <c r="O40" i="124" s="1"/>
  <c r="O95" i="124" s="1"/>
  <c r="O18" i="106"/>
  <c r="O18" i="124" s="1"/>
  <c r="O73" i="124" s="1"/>
  <c r="N18" i="121"/>
  <c r="N18" i="110"/>
  <c r="N18" i="125" s="1"/>
  <c r="N64" i="125" s="1"/>
  <c r="N18" i="111"/>
  <c r="N22" i="121"/>
  <c r="N22" i="110"/>
  <c r="N22" i="125" s="1"/>
  <c r="N68" i="125" s="1"/>
  <c r="N22" i="111"/>
  <c r="N26" i="121"/>
  <c r="N26" i="110"/>
  <c r="N26" i="125" s="1"/>
  <c r="N72" i="125" s="1"/>
  <c r="N26" i="111"/>
  <c r="N13" i="121"/>
  <c r="N13" i="110"/>
  <c r="N13" i="125" s="1"/>
  <c r="N59" i="125" s="1"/>
  <c r="N13" i="111"/>
  <c r="N20" i="121"/>
  <c r="N20" i="110"/>
  <c r="N20" i="125" s="1"/>
  <c r="N66" i="125" s="1"/>
  <c r="N20" i="111"/>
  <c r="V44" i="125"/>
  <c r="V90" i="125" s="1"/>
  <c r="S5" i="121"/>
  <c r="S47" i="121" s="1"/>
  <c r="R47" i="121"/>
  <c r="AH50" i="107"/>
  <c r="AH37" i="107"/>
  <c r="AH14" i="107"/>
  <c r="AH45" i="107"/>
  <c r="AH31" i="107"/>
  <c r="AH39" i="107"/>
  <c r="V7" i="125"/>
  <c r="V53" i="125" s="1"/>
  <c r="R7" i="107"/>
  <c r="R22" i="107"/>
  <c r="R35" i="107"/>
  <c r="R37" i="107"/>
  <c r="R25" i="107"/>
  <c r="R23" i="107"/>
  <c r="L19" i="125"/>
  <c r="L65" i="125" s="1"/>
  <c r="O15" i="106"/>
  <c r="O15" i="124" s="1"/>
  <c r="O70" i="124" s="1"/>
  <c r="M41" i="125"/>
  <c r="M87" i="125" s="1"/>
  <c r="M41" i="121"/>
  <c r="M41" i="110"/>
  <c r="M41" i="111"/>
  <c r="M13" i="121"/>
  <c r="M13" i="110"/>
  <c r="M13" i="111"/>
  <c r="Q13" i="111" s="1"/>
  <c r="M27" i="125"/>
  <c r="M73" i="125" s="1"/>
  <c r="M27" i="121"/>
  <c r="M27" i="110"/>
  <c r="M27" i="111"/>
  <c r="M17" i="121"/>
  <c r="M17" i="110"/>
  <c r="M17" i="111"/>
  <c r="M17" i="125" s="1"/>
  <c r="M63" i="125" s="1"/>
  <c r="M14" i="125"/>
  <c r="M60" i="125" s="1"/>
  <c r="M14" i="121"/>
  <c r="M14" i="110"/>
  <c r="M14" i="111"/>
  <c r="V17" i="125"/>
  <c r="V63" i="125" s="1"/>
  <c r="W34" i="109"/>
  <c r="W7" i="121"/>
  <c r="W10" i="124"/>
  <c r="W65" i="124" s="1"/>
  <c r="X10" i="120"/>
  <c r="X10" i="106"/>
  <c r="X10" i="107"/>
  <c r="X24" i="120"/>
  <c r="X24" i="106"/>
  <c r="X24" i="107"/>
  <c r="W24" i="124" s="1"/>
  <c r="W79" i="124" s="1"/>
  <c r="W47" i="124"/>
  <c r="W102" i="124" s="1"/>
  <c r="X47" i="120"/>
  <c r="X47" i="106"/>
  <c r="X47" i="107"/>
  <c r="X30" i="120"/>
  <c r="X30" i="107"/>
  <c r="X30" i="106"/>
  <c r="W30" i="124" s="1"/>
  <c r="W85" i="124" s="1"/>
  <c r="W14" i="124"/>
  <c r="W69" i="124" s="1"/>
  <c r="X14" i="120"/>
  <c r="X14" i="107"/>
  <c r="X14" i="106"/>
  <c r="X12" i="120"/>
  <c r="X12" i="107"/>
  <c r="X12" i="106"/>
  <c r="W12" i="124" s="1"/>
  <c r="W67" i="124" s="1"/>
  <c r="L20" i="124"/>
  <c r="L75" i="124" s="1"/>
  <c r="L20" i="120"/>
  <c r="L20" i="107"/>
  <c r="L20" i="106"/>
  <c r="L25" i="120"/>
  <c r="L25" i="107"/>
  <c r="L25" i="106"/>
  <c r="L25" i="124" s="1"/>
  <c r="L80" i="124" s="1"/>
  <c r="L47" i="124"/>
  <c r="L102" i="124" s="1"/>
  <c r="L47" i="120"/>
  <c r="L47" i="107"/>
  <c r="L47" i="106"/>
  <c r="L10" i="120"/>
  <c r="L10" i="107"/>
  <c r="L10" i="106"/>
  <c r="L10" i="124" s="1"/>
  <c r="L65" i="124" s="1"/>
  <c r="L26" i="124"/>
  <c r="L81" i="124" s="1"/>
  <c r="L26" i="120"/>
  <c r="L26" i="107"/>
  <c r="L26" i="106"/>
  <c r="L45" i="120"/>
  <c r="L45" i="107"/>
  <c r="L45" i="106"/>
  <c r="L45" i="124" s="1"/>
  <c r="L100" i="124" s="1"/>
  <c r="Q40" i="125"/>
  <c r="Q86" i="125" s="1"/>
  <c r="W9" i="121"/>
  <c r="AA45" i="124"/>
  <c r="AA100" i="124" s="1"/>
  <c r="AC45" i="120"/>
  <c r="AD45" i="120" s="1"/>
  <c r="AC45" i="107"/>
  <c r="AD45" i="107" s="1"/>
  <c r="AD45" i="105"/>
  <c r="AC45" i="106"/>
  <c r="AD45" i="106" s="1"/>
  <c r="AC47" i="120"/>
  <c r="AD47" i="120" s="1"/>
  <c r="AD47" i="105"/>
  <c r="AC47" i="107"/>
  <c r="AD47" i="107" s="1"/>
  <c r="AC47" i="106"/>
  <c r="AD47" i="106" s="1"/>
  <c r="AC35" i="120"/>
  <c r="AD35" i="120" s="1"/>
  <c r="AD35" i="105"/>
  <c r="AC35" i="107"/>
  <c r="AD35" i="107" s="1"/>
  <c r="AC35" i="106"/>
  <c r="AD35" i="106" s="1"/>
  <c r="AA8" i="124"/>
  <c r="AA63" i="124" s="1"/>
  <c r="AC8" i="120"/>
  <c r="AD8" i="120" s="1"/>
  <c r="AD8" i="105"/>
  <c r="AC8" i="107"/>
  <c r="AD8" i="107" s="1"/>
  <c r="AC8" i="106"/>
  <c r="AD8" i="106" s="1"/>
  <c r="AC34" i="120"/>
  <c r="AD34" i="120" s="1"/>
  <c r="AD34" i="105"/>
  <c r="AC34" i="107"/>
  <c r="AD34" i="107" s="1"/>
  <c r="AC34" i="106"/>
  <c r="AD34" i="106" s="1"/>
  <c r="AC40" i="120"/>
  <c r="AD40" i="120" s="1"/>
  <c r="AC40" i="107"/>
  <c r="AD40" i="107" s="1"/>
  <c r="AD40" i="105"/>
  <c r="AC40" i="106"/>
  <c r="AD40" i="106" s="1"/>
  <c r="V5" i="121"/>
  <c r="V5" i="110"/>
  <c r="V5" i="111"/>
  <c r="V47" i="109"/>
  <c r="T16" i="125"/>
  <c r="T62" i="125" s="1"/>
  <c r="V16" i="121"/>
  <c r="W16" i="121" s="1"/>
  <c r="V16" i="110"/>
  <c r="V16" i="111"/>
  <c r="W16" i="111" s="1"/>
  <c r="T18" i="125"/>
  <c r="T64" i="125" s="1"/>
  <c r="V18" i="121"/>
  <c r="V18" i="110"/>
  <c r="V18" i="111"/>
  <c r="T41" i="125"/>
  <c r="T87" i="125" s="1"/>
  <c r="V41" i="121"/>
  <c r="W41" i="121" s="1"/>
  <c r="V41" i="110"/>
  <c r="V41" i="111"/>
  <c r="T31" i="125"/>
  <c r="T77" i="125" s="1"/>
  <c r="V31" i="121"/>
  <c r="V31" i="110"/>
  <c r="V31" i="111"/>
  <c r="M23" i="107"/>
  <c r="M33" i="107"/>
  <c r="M29" i="107"/>
  <c r="M24" i="107"/>
  <c r="M40" i="107"/>
  <c r="M11" i="107"/>
  <c r="V23" i="128"/>
  <c r="AB32" i="109"/>
  <c r="AB12" i="109"/>
  <c r="Q7" i="110"/>
  <c r="AB7" i="110" s="1"/>
  <c r="AJ7" i="121" s="1"/>
  <c r="V14" i="125"/>
  <c r="V60" i="125" s="1"/>
  <c r="P9" i="107"/>
  <c r="P27" i="107"/>
  <c r="P52" i="107"/>
  <c r="P26" i="107"/>
  <c r="P28" i="107"/>
  <c r="P36" i="107"/>
  <c r="AI50" i="107"/>
  <c r="AI45" i="107"/>
  <c r="AI36" i="107"/>
  <c r="AI22" i="107"/>
  <c r="AI6" i="107"/>
  <c r="AI7" i="107"/>
  <c r="AI27" i="107"/>
  <c r="U51" i="107"/>
  <c r="U18" i="107"/>
  <c r="U19" i="107"/>
  <c r="U14" i="107"/>
  <c r="AB14" i="105"/>
  <c r="U27" i="107"/>
  <c r="U44" i="107"/>
  <c r="AB44" i="105"/>
  <c r="Q33" i="125"/>
  <c r="Q79" i="125" s="1"/>
  <c r="P21" i="121"/>
  <c r="P21" i="111"/>
  <c r="P21" i="110"/>
  <c r="P21" i="125" s="1"/>
  <c r="P67" i="125" s="1"/>
  <c r="P16" i="121"/>
  <c r="P16" i="110"/>
  <c r="P16" i="125" s="1"/>
  <c r="P62" i="125" s="1"/>
  <c r="P16" i="111"/>
  <c r="P30" i="121"/>
  <c r="P30" i="110"/>
  <c r="P30" i="125" s="1"/>
  <c r="P76" i="125" s="1"/>
  <c r="P30" i="111"/>
  <c r="P12" i="121"/>
  <c r="P12" i="111"/>
  <c r="P12" i="125" s="1"/>
  <c r="P58" i="125" s="1"/>
  <c r="P12" i="110"/>
  <c r="P32" i="121"/>
  <c r="P32" i="111"/>
  <c r="P32" i="110"/>
  <c r="P32" i="125" s="1"/>
  <c r="P78" i="125" s="1"/>
  <c r="L24" i="125"/>
  <c r="L70" i="125" s="1"/>
  <c r="V45" i="125"/>
  <c r="V91" i="125" s="1"/>
  <c r="V42" i="105"/>
  <c r="AB42" i="105" s="1"/>
  <c r="V54" i="105"/>
  <c r="V41" i="105"/>
  <c r="V9" i="105"/>
  <c r="V8" i="105"/>
  <c r="V34" i="105"/>
  <c r="V39" i="105"/>
  <c r="V48" i="105"/>
  <c r="AB48" i="105" s="1"/>
  <c r="V38" i="105"/>
  <c r="V40" i="105"/>
  <c r="V50" i="105"/>
  <c r="V51" i="105"/>
  <c r="V36" i="105"/>
  <c r="V26" i="105"/>
  <c r="V22" i="105"/>
  <c r="V30" i="105"/>
  <c r="V49" i="105"/>
  <c r="V46" i="105"/>
  <c r="V33" i="105"/>
  <c r="V35" i="105"/>
  <c r="V31" i="105"/>
  <c r="AB31" i="105" s="1"/>
  <c r="V27" i="105"/>
  <c r="AB27" i="105" s="1"/>
  <c r="V43" i="105"/>
  <c r="V14" i="105"/>
  <c r="V23" i="105"/>
  <c r="V32" i="105"/>
  <c r="V28" i="105"/>
  <c r="V21" i="105"/>
  <c r="V37" i="105"/>
  <c r="V6" i="105"/>
  <c r="V52" i="105"/>
  <c r="V20" i="105"/>
  <c r="V29" i="105"/>
  <c r="V25" i="105"/>
  <c r="V16" i="105"/>
  <c r="V11" i="105"/>
  <c r="V19" i="105"/>
  <c r="V53" i="105"/>
  <c r="V17" i="105"/>
  <c r="V47" i="105"/>
  <c r="AB47" i="105" s="1"/>
  <c r="V15" i="105"/>
  <c r="V5" i="105"/>
  <c r="V24" i="105"/>
  <c r="V13" i="105"/>
  <c r="V45" i="105"/>
  <c r="V10" i="105"/>
  <c r="V44" i="105"/>
  <c r="V12" i="105"/>
  <c r="V18" i="105"/>
  <c r="V7" i="105"/>
  <c r="V38" i="125"/>
  <c r="V84" i="125" s="1"/>
  <c r="R17" i="125"/>
  <c r="R63" i="125" s="1"/>
  <c r="O24" i="125"/>
  <c r="O70" i="125" s="1"/>
  <c r="O24" i="121"/>
  <c r="O24" i="110"/>
  <c r="O24" i="111"/>
  <c r="O29" i="125"/>
  <c r="O75" i="125" s="1"/>
  <c r="O29" i="121"/>
  <c r="O29" i="110"/>
  <c r="O29" i="111"/>
  <c r="O35" i="125"/>
  <c r="O81" i="125" s="1"/>
  <c r="O35" i="121"/>
  <c r="O35" i="110"/>
  <c r="O35" i="111"/>
  <c r="O28" i="125"/>
  <c r="O74" i="125" s="1"/>
  <c r="O28" i="121"/>
  <c r="O28" i="110"/>
  <c r="O28" i="111"/>
  <c r="O20" i="125"/>
  <c r="O66" i="125" s="1"/>
  <c r="O20" i="121"/>
  <c r="O20" i="110"/>
  <c r="O20" i="111"/>
  <c r="S15" i="125"/>
  <c r="S61" i="125" s="1"/>
  <c r="U15" i="121"/>
  <c r="W15" i="121" s="1"/>
  <c r="U15" i="110"/>
  <c r="U15" i="111"/>
  <c r="S11" i="125"/>
  <c r="S57" i="125" s="1"/>
  <c r="U11" i="121"/>
  <c r="U11" i="111"/>
  <c r="U11" i="110"/>
  <c r="W11" i="110" s="1"/>
  <c r="S28" i="125"/>
  <c r="S74" i="125" s="1"/>
  <c r="U28" i="121"/>
  <c r="W28" i="121" s="1"/>
  <c r="U28" i="110"/>
  <c r="W28" i="110" s="1"/>
  <c r="U28" i="111"/>
  <c r="W28" i="111" s="1"/>
  <c r="S24" i="125"/>
  <c r="S70" i="125" s="1"/>
  <c r="U24" i="121"/>
  <c r="U24" i="111"/>
  <c r="U24" i="110"/>
  <c r="S35" i="125"/>
  <c r="S81" i="125" s="1"/>
  <c r="U35" i="121"/>
  <c r="W35" i="121" s="1"/>
  <c r="U35" i="111"/>
  <c r="W35" i="111" s="1"/>
  <c r="U35" i="110"/>
  <c r="Q36" i="120"/>
  <c r="Q36" i="107"/>
  <c r="Q5" i="124"/>
  <c r="Q60" i="124" s="1"/>
  <c r="Q5" i="120"/>
  <c r="Q5" i="107"/>
  <c r="Q56" i="105"/>
  <c r="Q61" i="105" s="1"/>
  <c r="Q40" i="106" s="1"/>
  <c r="Q5" i="106"/>
  <c r="Q12" i="107"/>
  <c r="Q12" i="106"/>
  <c r="Q12" i="124" s="1"/>
  <c r="Q67" i="124" s="1"/>
  <c r="Q47" i="124"/>
  <c r="Q102" i="124" s="1"/>
  <c r="Q47" i="120"/>
  <c r="Q47" i="106"/>
  <c r="Q47" i="107"/>
  <c r="Q46" i="107"/>
  <c r="Q46" i="106"/>
  <c r="Q46" i="124" s="1"/>
  <c r="Q101" i="124" s="1"/>
  <c r="Q14" i="124"/>
  <c r="Q69" i="124" s="1"/>
  <c r="Q14" i="120"/>
  <c r="Q14" i="107"/>
  <c r="Q14" i="106"/>
  <c r="Q40" i="124"/>
  <c r="Q95" i="124" s="1"/>
  <c r="Q40" i="107"/>
  <c r="V25" i="125"/>
  <c r="V71" i="125" s="1"/>
  <c r="M17" i="107"/>
  <c r="L20" i="125"/>
  <c r="L66" i="125" s="1"/>
  <c r="W36" i="120"/>
  <c r="W36" i="107"/>
  <c r="W36" i="106"/>
  <c r="V36" i="124" s="1"/>
  <c r="V91" i="124" s="1"/>
  <c r="W5" i="120"/>
  <c r="W56" i="105"/>
  <c r="W61" i="105" s="1"/>
  <c r="W14" i="106" s="1"/>
  <c r="V14" i="124" s="1"/>
  <c r="V69" i="124" s="1"/>
  <c r="W5" i="107"/>
  <c r="V46" i="124"/>
  <c r="V101" i="124" s="1"/>
  <c r="W46" i="120"/>
  <c r="W46" i="106"/>
  <c r="W46" i="107"/>
  <c r="W26" i="120"/>
  <c r="W26" i="107"/>
  <c r="W37" i="120"/>
  <c r="W37" i="107"/>
  <c r="W25" i="120"/>
  <c r="W25" i="107"/>
  <c r="W42" i="120"/>
  <c r="W42" i="107"/>
  <c r="R35" i="125"/>
  <c r="R81" i="125" s="1"/>
  <c r="W25" i="109"/>
  <c r="W41" i="111"/>
  <c r="Q25" i="125"/>
  <c r="Q71" i="125" s="1"/>
  <c r="O9" i="106"/>
  <c r="O9" i="124" s="1"/>
  <c r="O64" i="124" s="1"/>
  <c r="N32" i="121"/>
  <c r="N32" i="110"/>
  <c r="N32" i="111"/>
  <c r="N32" i="125" s="1"/>
  <c r="N78" i="125" s="1"/>
  <c r="N14" i="121"/>
  <c r="N14" i="110"/>
  <c r="N14" i="111"/>
  <c r="N14" i="125" s="1"/>
  <c r="N60" i="125" s="1"/>
  <c r="N15" i="121"/>
  <c r="N15" i="110"/>
  <c r="N15" i="111"/>
  <c r="N15" i="125" s="1"/>
  <c r="N61" i="125" s="1"/>
  <c r="N21" i="121"/>
  <c r="N21" i="110"/>
  <c r="N21" i="111"/>
  <c r="N21" i="125" s="1"/>
  <c r="N67" i="125" s="1"/>
  <c r="N12" i="121"/>
  <c r="N12" i="110"/>
  <c r="N12" i="111"/>
  <c r="Q12" i="111" s="1"/>
  <c r="AH48" i="107"/>
  <c r="AH6" i="107"/>
  <c r="AH10" i="107"/>
  <c r="AH27" i="107"/>
  <c r="AH54" i="107"/>
  <c r="AH8" i="107"/>
  <c r="R12" i="107"/>
  <c r="R21" i="107"/>
  <c r="R49" i="107"/>
  <c r="R15" i="107"/>
  <c r="R29" i="107"/>
  <c r="R47" i="107"/>
  <c r="Q10" i="121"/>
  <c r="O26" i="120"/>
  <c r="O15" i="120"/>
  <c r="O49" i="120"/>
  <c r="M21" i="125"/>
  <c r="M67" i="125" s="1"/>
  <c r="M21" i="121"/>
  <c r="M21" i="110"/>
  <c r="Q21" i="110" s="1"/>
  <c r="M21" i="111"/>
  <c r="Q21" i="111" s="1"/>
  <c r="M26" i="125"/>
  <c r="M72" i="125" s="1"/>
  <c r="M26" i="121"/>
  <c r="M26" i="111"/>
  <c r="Q26" i="111" s="1"/>
  <c r="M26" i="110"/>
  <c r="Q26" i="110" s="1"/>
  <c r="M37" i="125"/>
  <c r="M83" i="125" s="1"/>
  <c r="M37" i="121"/>
  <c r="M37" i="111"/>
  <c r="M37" i="110"/>
  <c r="M25" i="125"/>
  <c r="M71" i="125" s="1"/>
  <c r="M25" i="121"/>
  <c r="M25" i="110"/>
  <c r="M25" i="111"/>
  <c r="Q25" i="111" s="1"/>
  <c r="M23" i="125"/>
  <c r="M69" i="125" s="1"/>
  <c r="M23" i="121"/>
  <c r="M23" i="110"/>
  <c r="M23" i="111"/>
  <c r="X6" i="126"/>
  <c r="W11" i="109"/>
  <c r="W42" i="124"/>
  <c r="W97" i="124" s="1"/>
  <c r="X42" i="120"/>
  <c r="X42" i="107"/>
  <c r="X42" i="106"/>
  <c r="W46" i="124"/>
  <c r="W101" i="124" s="1"/>
  <c r="X46" i="120"/>
  <c r="X46" i="106"/>
  <c r="X46" i="107"/>
  <c r="W52" i="124"/>
  <c r="W107" i="124" s="1"/>
  <c r="X52" i="120"/>
  <c r="X52" i="107"/>
  <c r="X52" i="106"/>
  <c r="W23" i="124"/>
  <c r="W78" i="124" s="1"/>
  <c r="X23" i="120"/>
  <c r="X23" i="107"/>
  <c r="X23" i="106"/>
  <c r="W8" i="124"/>
  <c r="W63" i="124" s="1"/>
  <c r="X8" i="120"/>
  <c r="X8" i="106"/>
  <c r="X8" i="107"/>
  <c r="W18" i="124"/>
  <c r="W73" i="124" s="1"/>
  <c r="X18" i="120"/>
  <c r="X18" i="107"/>
  <c r="X18" i="106"/>
  <c r="Q28" i="125"/>
  <c r="Q74" i="125" s="1"/>
  <c r="L7" i="120"/>
  <c r="L7" i="107"/>
  <c r="L7" i="106"/>
  <c r="L7" i="124" s="1"/>
  <c r="L62" i="124" s="1"/>
  <c r="L22" i="120"/>
  <c r="L22" i="107"/>
  <c r="L22" i="106"/>
  <c r="L22" i="124" s="1"/>
  <c r="L77" i="124" s="1"/>
  <c r="L28" i="120"/>
  <c r="L28" i="107"/>
  <c r="L28" i="106"/>
  <c r="L28" i="124" s="1"/>
  <c r="L83" i="124" s="1"/>
  <c r="L19" i="120"/>
  <c r="L19" i="107"/>
  <c r="L19" i="106"/>
  <c r="L19" i="124" s="1"/>
  <c r="L74" i="124" s="1"/>
  <c r="L54" i="120"/>
  <c r="L54" i="107"/>
  <c r="L54" i="106"/>
  <c r="L54" i="124" s="1"/>
  <c r="L109" i="124" s="1"/>
  <c r="L41" i="120"/>
  <c r="L41" i="107"/>
  <c r="L41" i="106"/>
  <c r="L41" i="124" s="1"/>
  <c r="L96" i="124" s="1"/>
  <c r="Q9" i="121"/>
  <c r="O30" i="106"/>
  <c r="O30" i="124" s="1"/>
  <c r="O85" i="124" s="1"/>
  <c r="V30" i="125"/>
  <c r="V76" i="125" s="1"/>
  <c r="W37" i="109"/>
  <c r="Q43" i="125"/>
  <c r="Q89" i="125" s="1"/>
  <c r="AC24" i="120"/>
  <c r="AD24" i="120" s="1"/>
  <c r="AD24" i="105"/>
  <c r="AC24" i="107"/>
  <c r="AD24" i="107" s="1"/>
  <c r="AC24" i="106"/>
  <c r="AD24" i="106" s="1"/>
  <c r="AC31" i="120"/>
  <c r="AD31" i="120" s="1"/>
  <c r="AD31" i="105"/>
  <c r="AC31" i="107"/>
  <c r="AD31" i="107" s="1"/>
  <c r="AC31" i="106"/>
  <c r="AD31" i="106" s="1"/>
  <c r="AC49" i="120"/>
  <c r="AD49" i="120" s="1"/>
  <c r="AD49" i="105"/>
  <c r="AC49" i="107"/>
  <c r="AD49" i="107" s="1"/>
  <c r="AC49" i="106"/>
  <c r="AD49" i="106" s="1"/>
  <c r="AA16" i="124"/>
  <c r="AA71" i="124" s="1"/>
  <c r="AC16" i="120"/>
  <c r="AD16" i="120" s="1"/>
  <c r="AD16" i="105"/>
  <c r="AC16" i="107"/>
  <c r="AD16" i="107" s="1"/>
  <c r="AC16" i="106"/>
  <c r="AD16" i="106" s="1"/>
  <c r="AC29" i="120"/>
  <c r="AD29" i="120" s="1"/>
  <c r="AD29" i="105"/>
  <c r="AC29" i="107"/>
  <c r="AD29" i="107" s="1"/>
  <c r="AC29" i="106"/>
  <c r="AD29" i="106" s="1"/>
  <c r="AC41" i="120"/>
  <c r="AD41" i="120" s="1"/>
  <c r="AC41" i="106"/>
  <c r="AD41" i="106" s="1"/>
  <c r="AD41" i="105"/>
  <c r="AC41" i="107"/>
  <c r="AD41" i="107" s="1"/>
  <c r="V43" i="121"/>
  <c r="V43" i="110"/>
  <c r="T43" i="125" s="1"/>
  <c r="T89" i="125" s="1"/>
  <c r="V43" i="111"/>
  <c r="V14" i="121"/>
  <c r="V14" i="111"/>
  <c r="V14" i="110"/>
  <c r="T14" i="125" s="1"/>
  <c r="T60" i="125" s="1"/>
  <c r="V37" i="121"/>
  <c r="V37" i="110"/>
  <c r="T37" i="125" s="1"/>
  <c r="T83" i="125" s="1"/>
  <c r="V37" i="111"/>
  <c r="V30" i="121"/>
  <c r="V30" i="110"/>
  <c r="T30" i="125" s="1"/>
  <c r="T76" i="125" s="1"/>
  <c r="V30" i="111"/>
  <c r="V8" i="121"/>
  <c r="V8" i="110"/>
  <c r="T8" i="125" s="1"/>
  <c r="T54" i="125" s="1"/>
  <c r="V8" i="111"/>
  <c r="M50" i="107"/>
  <c r="M22" i="107"/>
  <c r="M44" i="107"/>
  <c r="M32" i="107"/>
  <c r="M46" i="107"/>
  <c r="M10" i="107"/>
  <c r="AB34" i="109"/>
  <c r="AB6" i="109"/>
  <c r="V10" i="128"/>
  <c r="V9" i="128"/>
  <c r="AB10" i="110"/>
  <c r="AB28" i="109"/>
  <c r="AA47" i="109"/>
  <c r="V22" i="125"/>
  <c r="V68" i="125" s="1"/>
  <c r="P19" i="107"/>
  <c r="P39" i="107"/>
  <c r="P23" i="107"/>
  <c r="P14" i="107"/>
  <c r="P41" i="107"/>
  <c r="P38" i="107"/>
  <c r="AI9" i="107"/>
  <c r="AI9" i="106"/>
  <c r="AE9" i="124" s="1"/>
  <c r="AE64" i="124" s="1"/>
  <c r="AI17" i="107"/>
  <c r="AI17" i="106"/>
  <c r="AE17" i="124" s="1"/>
  <c r="AE72" i="124" s="1"/>
  <c r="AI10" i="107"/>
  <c r="AI10" i="106"/>
  <c r="AE10" i="124" s="1"/>
  <c r="AE65" i="124" s="1"/>
  <c r="AI34" i="107"/>
  <c r="AI34" i="106"/>
  <c r="AE34" i="124" s="1"/>
  <c r="AE89" i="124" s="1"/>
  <c r="AI12" i="107"/>
  <c r="AI12" i="106"/>
  <c r="AE12" i="124" s="1"/>
  <c r="AE67" i="124" s="1"/>
  <c r="AI18" i="107"/>
  <c r="AI18" i="106"/>
  <c r="AE18" i="124" s="1"/>
  <c r="AE73" i="124" s="1"/>
  <c r="R33" i="125"/>
  <c r="R79" i="125" s="1"/>
  <c r="U34" i="107"/>
  <c r="AB34" i="105"/>
  <c r="U10" i="107"/>
  <c r="AB10" i="105"/>
  <c r="U20" i="107"/>
  <c r="AB20" i="105"/>
  <c r="U37" i="107"/>
  <c r="AB37" i="105"/>
  <c r="U41" i="107"/>
  <c r="U26" i="107"/>
  <c r="AB26" i="105"/>
  <c r="P11" i="121"/>
  <c r="P11" i="110"/>
  <c r="P11" i="125" s="1"/>
  <c r="P57" i="125" s="1"/>
  <c r="P11" i="111"/>
  <c r="P24" i="121"/>
  <c r="P24" i="110"/>
  <c r="P24" i="125" s="1"/>
  <c r="P70" i="125" s="1"/>
  <c r="P24" i="111"/>
  <c r="P22" i="121"/>
  <c r="P22" i="110"/>
  <c r="P22" i="125" s="1"/>
  <c r="P68" i="125" s="1"/>
  <c r="P22" i="111"/>
  <c r="P28" i="121"/>
  <c r="P28" i="110"/>
  <c r="P28" i="125" s="1"/>
  <c r="P74" i="125" s="1"/>
  <c r="P28" i="111"/>
  <c r="P31" i="121"/>
  <c r="P31" i="110"/>
  <c r="P31" i="125" s="1"/>
  <c r="P77" i="125" s="1"/>
  <c r="P31" i="111"/>
  <c r="R44" i="125"/>
  <c r="R90" i="125" s="1"/>
  <c r="W26" i="109"/>
  <c r="AB26" i="109" s="1"/>
  <c r="V57" i="120"/>
  <c r="V61" i="120" s="1"/>
  <c r="V57" i="105"/>
  <c r="V57" i="106"/>
  <c r="V61" i="106" s="1"/>
  <c r="V57" i="107"/>
  <c r="Q35" i="125"/>
  <c r="Q81" i="125" s="1"/>
  <c r="V35" i="125"/>
  <c r="V81" i="125" s="1"/>
  <c r="W43" i="109"/>
  <c r="AB43" i="109" s="1"/>
  <c r="O38" i="121"/>
  <c r="O38" i="110"/>
  <c r="O38" i="111"/>
  <c r="O38" i="125" s="1"/>
  <c r="O84" i="125" s="1"/>
  <c r="O36" i="121"/>
  <c r="O36" i="111"/>
  <c r="O36" i="110"/>
  <c r="O36" i="125" s="1"/>
  <c r="O82" i="125" s="1"/>
  <c r="O30" i="121"/>
  <c r="O30" i="110"/>
  <c r="O30" i="111"/>
  <c r="O30" i="125" s="1"/>
  <c r="O76" i="125" s="1"/>
  <c r="O14" i="121"/>
  <c r="O14" i="110"/>
  <c r="Q14" i="110" s="1"/>
  <c r="O14" i="111"/>
  <c r="O14" i="125" s="1"/>
  <c r="O60" i="125" s="1"/>
  <c r="O21" i="121"/>
  <c r="O21" i="110"/>
  <c r="O21" i="111"/>
  <c r="O21" i="125" s="1"/>
  <c r="O67" i="125" s="1"/>
  <c r="U42" i="121"/>
  <c r="U42" i="110"/>
  <c r="U42" i="111"/>
  <c r="U38" i="121"/>
  <c r="U38" i="110"/>
  <c r="U38" i="111"/>
  <c r="U14" i="121"/>
  <c r="U14" i="110"/>
  <c r="U14" i="111"/>
  <c r="S14" i="125" s="1"/>
  <c r="S60" i="125" s="1"/>
  <c r="U22" i="121"/>
  <c r="W22" i="121" s="1"/>
  <c r="U22" i="110"/>
  <c r="W22" i="110" s="1"/>
  <c r="U22" i="111"/>
  <c r="W22" i="111" s="1"/>
  <c r="U19" i="121"/>
  <c r="W19" i="121" s="1"/>
  <c r="U19" i="110"/>
  <c r="W19" i="110" s="1"/>
  <c r="U19" i="111"/>
  <c r="S19" i="125" s="1"/>
  <c r="S65" i="125" s="1"/>
  <c r="Q51" i="120"/>
  <c r="Q51" i="106"/>
  <c r="Q51" i="107"/>
  <c r="Q51" i="124" s="1"/>
  <c r="Q106" i="124" s="1"/>
  <c r="Q19" i="120"/>
  <c r="Q19" i="107"/>
  <c r="Q19" i="106"/>
  <c r="Q19" i="124" s="1"/>
  <c r="Q74" i="124" s="1"/>
  <c r="Q52" i="120"/>
  <c r="Q52" i="107"/>
  <c r="Q52" i="106"/>
  <c r="Q52" i="124" s="1"/>
  <c r="Q107" i="124" s="1"/>
  <c r="Q28" i="120"/>
  <c r="Q28" i="106"/>
  <c r="Q28" i="107"/>
  <c r="Q28" i="124" s="1"/>
  <c r="Q83" i="124" s="1"/>
  <c r="Q20" i="120"/>
  <c r="Q20" i="107"/>
  <c r="Q20" i="106"/>
  <c r="Q20" i="124" s="1"/>
  <c r="Q75" i="124" s="1"/>
  <c r="Q26" i="120"/>
  <c r="Q26" i="107"/>
  <c r="Q26" i="106"/>
  <c r="Q26" i="124" s="1"/>
  <c r="Q81" i="124" s="1"/>
  <c r="Q41" i="125"/>
  <c r="Q87" i="125" s="1"/>
  <c r="O41" i="106"/>
  <c r="O41" i="124" s="1"/>
  <c r="O96" i="124" s="1"/>
  <c r="O56" i="107"/>
  <c r="S56" i="105"/>
  <c r="R30" i="125"/>
  <c r="R76" i="125" s="1"/>
  <c r="Q20" i="125"/>
  <c r="Q66" i="125" s="1"/>
  <c r="O12" i="120"/>
  <c r="O16" i="120"/>
  <c r="O25" i="120"/>
  <c r="W8" i="120"/>
  <c r="W8" i="107"/>
  <c r="W8" i="106"/>
  <c r="V8" i="124" s="1"/>
  <c r="V63" i="124" s="1"/>
  <c r="W43" i="120"/>
  <c r="W43" i="107"/>
  <c r="V43" i="124" s="1"/>
  <c r="V98" i="124" s="1"/>
  <c r="W43" i="106"/>
  <c r="W41" i="120"/>
  <c r="W41" i="107"/>
  <c r="W41" i="106"/>
  <c r="V41" i="124" s="1"/>
  <c r="V96" i="124" s="1"/>
  <c r="W22" i="120"/>
  <c r="W22" i="106"/>
  <c r="V22" i="124" s="1"/>
  <c r="V77" i="124" s="1"/>
  <c r="W22" i="107"/>
  <c r="W33" i="120"/>
  <c r="W33" i="106"/>
  <c r="V33" i="124" s="1"/>
  <c r="V88" i="124" s="1"/>
  <c r="W33" i="107"/>
  <c r="W16" i="120"/>
  <c r="W16" i="107"/>
  <c r="V16" i="124" s="1"/>
  <c r="V71" i="124" s="1"/>
  <c r="W16" i="106"/>
  <c r="V39" i="125"/>
  <c r="V85" i="125" s="1"/>
  <c r="W41" i="109"/>
  <c r="Q30" i="125"/>
  <c r="Q76" i="125" s="1"/>
  <c r="L25" i="125"/>
  <c r="L71" i="125" s="1"/>
  <c r="O40" i="120"/>
  <c r="O9" i="120"/>
  <c r="O18" i="120"/>
  <c r="N28" i="121"/>
  <c r="N28" i="110"/>
  <c r="N28" i="125" s="1"/>
  <c r="N74" i="125" s="1"/>
  <c r="N28" i="111"/>
  <c r="N42" i="121"/>
  <c r="N42" i="110"/>
  <c r="N42" i="125" s="1"/>
  <c r="N88" i="125" s="1"/>
  <c r="N42" i="111"/>
  <c r="N27" i="121"/>
  <c r="N27" i="111"/>
  <c r="N27" i="110"/>
  <c r="N27" i="125" s="1"/>
  <c r="N73" i="125" s="1"/>
  <c r="N24" i="121"/>
  <c r="Q24" i="121" s="1"/>
  <c r="N24" i="110"/>
  <c r="N24" i="125" s="1"/>
  <c r="N70" i="125" s="1"/>
  <c r="N24" i="111"/>
  <c r="Q24" i="111" s="1"/>
  <c r="R19" i="125"/>
  <c r="R65" i="125" s="1"/>
  <c r="AH44" i="107"/>
  <c r="AH32" i="107"/>
  <c r="AH9" i="107"/>
  <c r="AH46" i="107"/>
  <c r="AH40" i="107"/>
  <c r="AH49" i="107"/>
  <c r="AH18" i="107"/>
  <c r="R19" i="107"/>
  <c r="R34" i="107"/>
  <c r="R8" i="107"/>
  <c r="R28" i="107"/>
  <c r="R20" i="107"/>
  <c r="R53" i="107"/>
  <c r="L16" i="125"/>
  <c r="L62" i="125" s="1"/>
  <c r="L10" i="125"/>
  <c r="L56" i="125" s="1"/>
  <c r="M42" i="121"/>
  <c r="M42" i="110"/>
  <c r="M42" i="125" s="1"/>
  <c r="M88" i="125" s="1"/>
  <c r="M42" i="111"/>
  <c r="Q42" i="111" s="1"/>
  <c r="M33" i="121"/>
  <c r="M33" i="110"/>
  <c r="M33" i="125" s="1"/>
  <c r="M79" i="125" s="1"/>
  <c r="M33" i="111"/>
  <c r="Q33" i="111" s="1"/>
  <c r="M5" i="121"/>
  <c r="M5" i="110"/>
  <c r="M47" i="109"/>
  <c r="M5" i="111"/>
  <c r="M38" i="121"/>
  <c r="M38" i="110"/>
  <c r="M38" i="111"/>
  <c r="M16" i="121"/>
  <c r="M16" i="110"/>
  <c r="M16" i="111"/>
  <c r="R34" i="125"/>
  <c r="R80" i="125" s="1"/>
  <c r="W11" i="111"/>
  <c r="X9" i="120"/>
  <c r="X9" i="106"/>
  <c r="W9" i="124" s="1"/>
  <c r="W64" i="124" s="1"/>
  <c r="X9" i="107"/>
  <c r="X21" i="120"/>
  <c r="X21" i="106"/>
  <c r="W21" i="124" s="1"/>
  <c r="W76" i="124" s="1"/>
  <c r="X21" i="107"/>
  <c r="X44" i="120"/>
  <c r="X44" i="106"/>
  <c r="W44" i="124" s="1"/>
  <c r="W99" i="124" s="1"/>
  <c r="X44" i="107"/>
  <c r="X6" i="120"/>
  <c r="X6" i="107"/>
  <c r="X6" i="106"/>
  <c r="W6" i="124" s="1"/>
  <c r="W61" i="124" s="1"/>
  <c r="X39" i="120"/>
  <c r="X39" i="107"/>
  <c r="X39" i="106"/>
  <c r="W39" i="124" s="1"/>
  <c r="W94" i="124" s="1"/>
  <c r="X49" i="120"/>
  <c r="X49" i="107"/>
  <c r="X49" i="106"/>
  <c r="W49" i="124" s="1"/>
  <c r="W104" i="124" s="1"/>
  <c r="X22" i="120"/>
  <c r="X22" i="107"/>
  <c r="X22" i="106"/>
  <c r="W22" i="124" s="1"/>
  <c r="W77" i="124" s="1"/>
  <c r="W10" i="110"/>
  <c r="L12" i="124"/>
  <c r="L67" i="124" s="1"/>
  <c r="L12" i="120"/>
  <c r="L12" i="107"/>
  <c r="L12" i="106"/>
  <c r="L33" i="124"/>
  <c r="L88" i="124" s="1"/>
  <c r="L33" i="120"/>
  <c r="L33" i="107"/>
  <c r="L33" i="106"/>
  <c r="L24" i="124"/>
  <c r="L79" i="124" s="1"/>
  <c r="L24" i="120"/>
  <c r="L24" i="107"/>
  <c r="L24" i="106"/>
  <c r="L32" i="124"/>
  <c r="L87" i="124" s="1"/>
  <c r="L32" i="120"/>
  <c r="L32" i="107"/>
  <c r="L32" i="106"/>
  <c r="L50" i="124"/>
  <c r="L105" i="124" s="1"/>
  <c r="L50" i="120"/>
  <c r="L50" i="107"/>
  <c r="L50" i="106"/>
  <c r="L48" i="124"/>
  <c r="L103" i="124" s="1"/>
  <c r="L48" i="120"/>
  <c r="L48" i="107"/>
  <c r="L48" i="106"/>
  <c r="L9" i="125"/>
  <c r="L55" i="125" s="1"/>
  <c r="O23" i="106"/>
  <c r="O23" i="124" s="1"/>
  <c r="O78" i="124" s="1"/>
  <c r="O53" i="106"/>
  <c r="O53" i="124" s="1"/>
  <c r="O108" i="124" s="1"/>
  <c r="V15" i="125"/>
  <c r="V61" i="125" s="1"/>
  <c r="W37" i="110"/>
  <c r="R22" i="125"/>
  <c r="R68" i="125" s="1"/>
  <c r="R28" i="125"/>
  <c r="R74" i="125" s="1"/>
  <c r="AA27" i="124"/>
  <c r="AA82" i="124" s="1"/>
  <c r="AC27" i="120"/>
  <c r="AD27" i="120" s="1"/>
  <c r="AD27" i="105"/>
  <c r="AC27" i="107"/>
  <c r="AD27" i="107" s="1"/>
  <c r="AC27" i="106"/>
  <c r="AD27" i="106" s="1"/>
  <c r="AC44" i="120"/>
  <c r="AD44" i="120" s="1"/>
  <c r="AD44" i="105"/>
  <c r="AC44" i="107"/>
  <c r="AD44" i="107" s="1"/>
  <c r="AC44" i="106"/>
  <c r="AD44" i="106" s="1"/>
  <c r="AA52" i="124"/>
  <c r="AA107" i="124" s="1"/>
  <c r="AC52" i="120"/>
  <c r="AD52" i="120" s="1"/>
  <c r="AD52" i="105"/>
  <c r="AC52" i="107"/>
  <c r="AD52" i="107" s="1"/>
  <c r="AC52" i="106"/>
  <c r="AD52" i="106" s="1"/>
  <c r="AC28" i="120"/>
  <c r="AD28" i="120" s="1"/>
  <c r="AD28" i="105"/>
  <c r="AC28" i="107"/>
  <c r="AD28" i="107" s="1"/>
  <c r="AC28" i="106"/>
  <c r="AD28" i="106" s="1"/>
  <c r="AC33" i="120"/>
  <c r="AD33" i="120" s="1"/>
  <c r="AD33" i="105"/>
  <c r="AC33" i="107"/>
  <c r="AD33" i="107" s="1"/>
  <c r="AC33" i="106"/>
  <c r="AD33" i="106" s="1"/>
  <c r="AC26" i="120"/>
  <c r="AD26" i="120" s="1"/>
  <c r="AD26" i="105"/>
  <c r="AC26" i="107"/>
  <c r="AD26" i="107" s="1"/>
  <c r="AC26" i="106"/>
  <c r="AD26" i="106" s="1"/>
  <c r="AC10" i="120"/>
  <c r="AD10" i="120" s="1"/>
  <c r="AD10" i="105"/>
  <c r="AC10" i="107"/>
  <c r="AD10" i="107" s="1"/>
  <c r="AC10" i="106"/>
  <c r="AD10" i="106" s="1"/>
  <c r="V33" i="121"/>
  <c r="W33" i="121" s="1"/>
  <c r="V33" i="111"/>
  <c r="V33" i="110"/>
  <c r="T33" i="125" s="1"/>
  <c r="T79" i="125" s="1"/>
  <c r="V19" i="121"/>
  <c r="V19" i="110"/>
  <c r="T19" i="125" s="1"/>
  <c r="T65" i="125" s="1"/>
  <c r="V19" i="111"/>
  <c r="V6" i="121"/>
  <c r="V6" i="111"/>
  <c r="V6" i="110"/>
  <c r="T6" i="125" s="1"/>
  <c r="T52" i="125" s="1"/>
  <c r="V25" i="121"/>
  <c r="W25" i="121" s="1"/>
  <c r="V25" i="110"/>
  <c r="W25" i="110" s="1"/>
  <c r="V25" i="111"/>
  <c r="W25" i="111" s="1"/>
  <c r="L47" i="121"/>
  <c r="M39" i="107"/>
  <c r="M30" i="107"/>
  <c r="M51" i="107"/>
  <c r="M34" i="107"/>
  <c r="M52" i="107"/>
  <c r="M56" i="105"/>
  <c r="M61" i="105" s="1"/>
  <c r="M31" i="106" s="1"/>
  <c r="M5" i="107"/>
  <c r="AB25" i="109"/>
  <c r="AB42" i="109"/>
  <c r="Z47" i="110"/>
  <c r="AA5" i="110"/>
  <c r="AA47" i="110" s="1"/>
  <c r="P24" i="107"/>
  <c r="P50" i="107"/>
  <c r="P16" i="107"/>
  <c r="P25" i="107"/>
  <c r="P47" i="107"/>
  <c r="P37" i="107"/>
  <c r="AI8" i="120"/>
  <c r="AI8" i="107"/>
  <c r="AI8" i="106"/>
  <c r="AE8" i="124" s="1"/>
  <c r="AE63" i="124" s="1"/>
  <c r="AI5" i="120"/>
  <c r="AI56" i="105"/>
  <c r="AI61" i="105" s="1"/>
  <c r="AI50" i="106" s="1"/>
  <c r="AE50" i="124" s="1"/>
  <c r="AE105" i="124" s="1"/>
  <c r="AI5" i="107"/>
  <c r="AI5" i="106"/>
  <c r="AI19" i="106"/>
  <c r="AE19" i="124" s="1"/>
  <c r="AE74" i="124" s="1"/>
  <c r="AI19" i="107"/>
  <c r="AI48" i="120"/>
  <c r="AI48" i="107"/>
  <c r="AI48" i="106"/>
  <c r="AE48" i="124" s="1"/>
  <c r="AE103" i="124" s="1"/>
  <c r="AI49" i="107"/>
  <c r="AE49" i="124" s="1"/>
  <c r="AE104" i="124" s="1"/>
  <c r="AI49" i="106"/>
  <c r="AI39" i="120"/>
  <c r="AI39" i="107"/>
  <c r="AI39" i="106"/>
  <c r="AE39" i="124" s="1"/>
  <c r="AE94" i="124" s="1"/>
  <c r="W14" i="110"/>
  <c r="U46" i="107"/>
  <c r="U15" i="107"/>
  <c r="AB15" i="105"/>
  <c r="U16" i="107"/>
  <c r="AB16" i="105"/>
  <c r="U53" i="107"/>
  <c r="U21" i="107"/>
  <c r="AB21" i="105"/>
  <c r="U35" i="107"/>
  <c r="AB35" i="105"/>
  <c r="U39" i="107"/>
  <c r="AB39" i="105"/>
  <c r="P17" i="125"/>
  <c r="P63" i="125" s="1"/>
  <c r="P17" i="121"/>
  <c r="P17" i="110"/>
  <c r="P17" i="111"/>
  <c r="P36" i="125"/>
  <c r="P82" i="125" s="1"/>
  <c r="P36" i="121"/>
  <c r="P36" i="110"/>
  <c r="P36" i="111"/>
  <c r="P29" i="125"/>
  <c r="P75" i="125" s="1"/>
  <c r="P29" i="121"/>
  <c r="P29" i="110"/>
  <c r="P29" i="111"/>
  <c r="P26" i="125"/>
  <c r="P72" i="125" s="1"/>
  <c r="P26" i="121"/>
  <c r="Q26" i="121" s="1"/>
  <c r="P26" i="110"/>
  <c r="P26" i="111"/>
  <c r="P14" i="125"/>
  <c r="P60" i="125" s="1"/>
  <c r="P14" i="121"/>
  <c r="P14" i="110"/>
  <c r="P14" i="111"/>
  <c r="L22" i="125"/>
  <c r="L68" i="125" s="1"/>
  <c r="M14" i="107"/>
  <c r="M14" i="106"/>
  <c r="M14" i="124" s="1"/>
  <c r="M69" i="124" s="1"/>
  <c r="Y57" i="120"/>
  <c r="Y61" i="120" s="1"/>
  <c r="Y57" i="105"/>
  <c r="Y57" i="106"/>
  <c r="Y61" i="106" s="1"/>
  <c r="Y57" i="107"/>
  <c r="W43" i="111"/>
  <c r="O13" i="121"/>
  <c r="O13" i="110"/>
  <c r="O13" i="111"/>
  <c r="O12" i="121"/>
  <c r="Q12" i="121" s="1"/>
  <c r="O12" i="110"/>
  <c r="O12" i="125" s="1"/>
  <c r="O58" i="125" s="1"/>
  <c r="O12" i="111"/>
  <c r="O40" i="121"/>
  <c r="O40" i="110"/>
  <c r="O40" i="125" s="1"/>
  <c r="O86" i="125" s="1"/>
  <c r="O40" i="111"/>
  <c r="O25" i="121"/>
  <c r="O25" i="111"/>
  <c r="O25" i="125" s="1"/>
  <c r="O71" i="125" s="1"/>
  <c r="O25" i="110"/>
  <c r="O41" i="121"/>
  <c r="O41" i="110"/>
  <c r="O41" i="125" s="1"/>
  <c r="O87" i="125" s="1"/>
  <c r="O41" i="111"/>
  <c r="U40" i="121"/>
  <c r="W40" i="121" s="1"/>
  <c r="U40" i="110"/>
  <c r="S40" i="125" s="1"/>
  <c r="S86" i="125" s="1"/>
  <c r="U40" i="111"/>
  <c r="W40" i="111" s="1"/>
  <c r="U23" i="121"/>
  <c r="W23" i="121" s="1"/>
  <c r="U23" i="111"/>
  <c r="W23" i="111" s="1"/>
  <c r="U23" i="110"/>
  <c r="W23" i="110" s="1"/>
  <c r="U8" i="121"/>
  <c r="W8" i="121" s="1"/>
  <c r="U8" i="110"/>
  <c r="S8" i="125" s="1"/>
  <c r="S54" i="125" s="1"/>
  <c r="U8" i="111"/>
  <c r="W8" i="111" s="1"/>
  <c r="U39" i="121"/>
  <c r="U39" i="111"/>
  <c r="W39" i="111" s="1"/>
  <c r="U39" i="110"/>
  <c r="W39" i="110" s="1"/>
  <c r="Q35" i="120"/>
  <c r="Q35" i="106"/>
  <c r="Q35" i="124" s="1"/>
  <c r="Q90" i="124" s="1"/>
  <c r="Q35" i="107"/>
  <c r="Q18" i="120"/>
  <c r="Q18" i="107"/>
  <c r="Q18" i="106"/>
  <c r="Q18" i="124" s="1"/>
  <c r="Q73" i="124" s="1"/>
  <c r="Q41" i="120"/>
  <c r="Q41" i="106"/>
  <c r="Q41" i="124" s="1"/>
  <c r="Q96" i="124" s="1"/>
  <c r="Q41" i="107"/>
  <c r="Q37" i="120"/>
  <c r="Q37" i="107"/>
  <c r="Q37" i="106"/>
  <c r="Q43" i="120"/>
  <c r="Q43" i="107"/>
  <c r="Q43" i="124" s="1"/>
  <c r="Q98" i="124" s="1"/>
  <c r="Q43" i="106"/>
  <c r="Q30" i="120"/>
  <c r="Q30" i="106"/>
  <c r="Q30" i="124" s="1"/>
  <c r="Q85" i="124" s="1"/>
  <c r="Q30" i="107"/>
  <c r="V11" i="125"/>
  <c r="V57" i="125" s="1"/>
  <c r="W42" i="109"/>
  <c r="M8" i="106"/>
  <c r="M8" i="124" s="1"/>
  <c r="M63" i="124" s="1"/>
  <c r="M8" i="107"/>
  <c r="W34" i="120"/>
  <c r="W34" i="107"/>
  <c r="V34" i="124" s="1"/>
  <c r="V89" i="124" s="1"/>
  <c r="W34" i="106"/>
  <c r="W38" i="120"/>
  <c r="W38" i="107"/>
  <c r="W38" i="106"/>
  <c r="W35" i="120"/>
  <c r="W35" i="107"/>
  <c r="V35" i="124" s="1"/>
  <c r="V90" i="124" s="1"/>
  <c r="W35" i="106"/>
  <c r="W11" i="120"/>
  <c r="W11" i="106"/>
  <c r="V11" i="124" s="1"/>
  <c r="V66" i="124" s="1"/>
  <c r="W11" i="107"/>
  <c r="W15" i="120"/>
  <c r="W15" i="106"/>
  <c r="V15" i="124" s="1"/>
  <c r="V70" i="124" s="1"/>
  <c r="W15" i="107"/>
  <c r="W54" i="120"/>
  <c r="W54" i="107"/>
  <c r="W54" i="106"/>
  <c r="V54" i="124" s="1"/>
  <c r="V109" i="124" s="1"/>
  <c r="W41" i="110"/>
  <c r="N25" i="125"/>
  <c r="N71" i="125" s="1"/>
  <c r="N25" i="121"/>
  <c r="N25" i="110"/>
  <c r="Q25" i="110" s="1"/>
  <c r="N25" i="111"/>
  <c r="N36" i="125"/>
  <c r="N82" i="125" s="1"/>
  <c r="N36" i="121"/>
  <c r="Q36" i="121" s="1"/>
  <c r="N36" i="111"/>
  <c r="N36" i="110"/>
  <c r="Q36" i="110" s="1"/>
  <c r="N6" i="125"/>
  <c r="N52" i="125" s="1"/>
  <c r="N6" i="121"/>
  <c r="N6" i="110"/>
  <c r="N6" i="111"/>
  <c r="N30" i="125"/>
  <c r="N76" i="125" s="1"/>
  <c r="N30" i="121"/>
  <c r="Q30" i="121" s="1"/>
  <c r="N30" i="110"/>
  <c r="N30" i="111"/>
  <c r="W39" i="109"/>
  <c r="AB39" i="109" s="1"/>
  <c r="W15" i="111"/>
  <c r="AH34" i="107"/>
  <c r="AH43" i="107"/>
  <c r="AH13" i="107"/>
  <c r="AH25" i="107"/>
  <c r="AH26" i="107"/>
  <c r="AH21" i="107"/>
  <c r="AH53" i="107"/>
  <c r="R11" i="107"/>
  <c r="R45" i="107"/>
  <c r="R16" i="107"/>
  <c r="R17" i="107"/>
  <c r="R42" i="107"/>
  <c r="R50" i="107"/>
  <c r="O7" i="106"/>
  <c r="O7" i="124" s="1"/>
  <c r="O62" i="124" s="1"/>
  <c r="M6" i="121"/>
  <c r="M6" i="110"/>
  <c r="M6" i="111"/>
  <c r="Q6" i="111" s="1"/>
  <c r="M40" i="121"/>
  <c r="Q40" i="121" s="1"/>
  <c r="M40" i="110"/>
  <c r="M40" i="111"/>
  <c r="Q40" i="111" s="1"/>
  <c r="M22" i="121"/>
  <c r="M22" i="110"/>
  <c r="M22" i="111"/>
  <c r="M34" i="121"/>
  <c r="M34" i="111"/>
  <c r="M34" i="110"/>
  <c r="M18" i="121"/>
  <c r="Q18" i="121" s="1"/>
  <c r="M18" i="110"/>
  <c r="M18" i="125" s="1"/>
  <c r="M64" i="125" s="1"/>
  <c r="M18" i="111"/>
  <c r="Q18" i="111" s="1"/>
  <c r="W11" i="121"/>
  <c r="X36" i="120"/>
  <c r="X36" i="106"/>
  <c r="X36" i="107"/>
  <c r="W36" i="124" s="1"/>
  <c r="W91" i="124" s="1"/>
  <c r="X43" i="120"/>
  <c r="X43" i="106"/>
  <c r="X43" i="107"/>
  <c r="W43" i="124" s="1"/>
  <c r="W98" i="124" s="1"/>
  <c r="X48" i="120"/>
  <c r="X48" i="107"/>
  <c r="X48" i="106"/>
  <c r="W48" i="124" s="1"/>
  <c r="W103" i="124" s="1"/>
  <c r="X26" i="120"/>
  <c r="X26" i="107"/>
  <c r="X26" i="106"/>
  <c r="W26" i="124" s="1"/>
  <c r="W81" i="124" s="1"/>
  <c r="X40" i="120"/>
  <c r="X40" i="107"/>
  <c r="X40" i="106"/>
  <c r="W40" i="124" s="1"/>
  <c r="W95" i="124" s="1"/>
  <c r="X31" i="120"/>
  <c r="X31" i="107"/>
  <c r="X31" i="106"/>
  <c r="W31" i="124" s="1"/>
  <c r="W86" i="124" s="1"/>
  <c r="X29" i="120"/>
  <c r="X29" i="107"/>
  <c r="X29" i="106"/>
  <c r="W29" i="124" s="1"/>
  <c r="W84" i="124" s="1"/>
  <c r="L38" i="120"/>
  <c r="L38" i="107"/>
  <c r="L38" i="106"/>
  <c r="L38" i="124" s="1"/>
  <c r="L93" i="124" s="1"/>
  <c r="L34" i="120"/>
  <c r="L34" i="107"/>
  <c r="L34" i="106"/>
  <c r="L34" i="124" s="1"/>
  <c r="L89" i="124" s="1"/>
  <c r="L13" i="120"/>
  <c r="L13" i="107"/>
  <c r="L13" i="106"/>
  <c r="L13" i="124" s="1"/>
  <c r="L68" i="124" s="1"/>
  <c r="L21" i="120"/>
  <c r="L21" i="107"/>
  <c r="L21" i="106"/>
  <c r="L21" i="124" s="1"/>
  <c r="L76" i="124" s="1"/>
  <c r="L46" i="120"/>
  <c r="L46" i="107"/>
  <c r="L46" i="106"/>
  <c r="L46" i="124" s="1"/>
  <c r="L101" i="124" s="1"/>
  <c r="L35" i="120"/>
  <c r="L35" i="107"/>
  <c r="L35" i="106"/>
  <c r="L35" i="124" s="1"/>
  <c r="L90" i="124" s="1"/>
  <c r="O23" i="120"/>
  <c r="O53" i="120"/>
  <c r="O30" i="120"/>
  <c r="X10" i="126"/>
  <c r="W37" i="111"/>
  <c r="T47" i="111"/>
  <c r="W5" i="111"/>
  <c r="W24" i="109"/>
  <c r="AB24" i="109" s="1"/>
  <c r="Q17" i="125"/>
  <c r="Q63" i="125" s="1"/>
  <c r="AC50" i="120"/>
  <c r="AD50" i="120" s="1"/>
  <c r="AD50" i="105"/>
  <c r="AC50" i="106"/>
  <c r="AD50" i="106" s="1"/>
  <c r="AC50" i="107"/>
  <c r="AD50" i="107" s="1"/>
  <c r="AC54" i="120"/>
  <c r="AD54" i="120" s="1"/>
  <c r="AD54" i="105"/>
  <c r="AC54" i="107"/>
  <c r="AD54" i="107" s="1"/>
  <c r="AC54" i="106"/>
  <c r="AD54" i="106" s="1"/>
  <c r="AC18" i="120"/>
  <c r="AD18" i="120" s="1"/>
  <c r="AD18" i="105"/>
  <c r="AC18" i="107"/>
  <c r="AD18" i="107" s="1"/>
  <c r="AC18" i="106"/>
  <c r="AA13" i="124"/>
  <c r="AA68" i="124" s="1"/>
  <c r="AC13" i="120"/>
  <c r="AD13" i="120" s="1"/>
  <c r="AD13" i="105"/>
  <c r="AC13" i="107"/>
  <c r="AD13" i="107" s="1"/>
  <c r="AC13" i="106"/>
  <c r="AD13" i="106" s="1"/>
  <c r="AC25" i="120"/>
  <c r="AD25" i="120" s="1"/>
  <c r="AD25" i="105"/>
  <c r="AC25" i="107"/>
  <c r="AD25" i="107" s="1"/>
  <c r="AC25" i="106"/>
  <c r="AD25" i="106" s="1"/>
  <c r="AA15" i="124"/>
  <c r="AA70" i="124" s="1"/>
  <c r="AC15" i="120"/>
  <c r="AD15" i="120" s="1"/>
  <c r="AD15" i="105"/>
  <c r="AC15" i="107"/>
  <c r="AD15" i="107" s="1"/>
  <c r="AC15" i="106"/>
  <c r="AD15" i="106" s="1"/>
  <c r="AC23" i="120"/>
  <c r="AD23" i="120" s="1"/>
  <c r="AD23" i="105"/>
  <c r="AC23" i="107"/>
  <c r="AD23" i="107" s="1"/>
  <c r="AC23" i="106"/>
  <c r="AD23" i="106" s="1"/>
  <c r="V26" i="121"/>
  <c r="W26" i="121" s="1"/>
  <c r="V26" i="110"/>
  <c r="V26" i="111"/>
  <c r="W26" i="111" s="1"/>
  <c r="V35" i="121"/>
  <c r="V35" i="110"/>
  <c r="T35" i="125" s="1"/>
  <c r="T81" i="125" s="1"/>
  <c r="V35" i="111"/>
  <c r="V44" i="121"/>
  <c r="V44" i="110"/>
  <c r="T44" i="125" s="1"/>
  <c r="T90" i="125" s="1"/>
  <c r="V44" i="111"/>
  <c r="V24" i="121"/>
  <c r="V24" i="110"/>
  <c r="V24" i="111"/>
  <c r="W24" i="111" s="1"/>
  <c r="L38" i="125"/>
  <c r="L84" i="125" s="1"/>
  <c r="M31" i="120"/>
  <c r="M31" i="107"/>
  <c r="M21" i="106"/>
  <c r="M21" i="124" s="1"/>
  <c r="M76" i="124" s="1"/>
  <c r="M21" i="107"/>
  <c r="M43" i="107"/>
  <c r="M43" i="106"/>
  <c r="M43" i="124" s="1"/>
  <c r="M98" i="124" s="1"/>
  <c r="M53" i="107"/>
  <c r="M12" i="107"/>
  <c r="M12" i="106"/>
  <c r="M12" i="124" s="1"/>
  <c r="M67" i="124" s="1"/>
  <c r="M18" i="106"/>
  <c r="M18" i="124" s="1"/>
  <c r="M73" i="124" s="1"/>
  <c r="M18" i="107"/>
  <c r="V7" i="128"/>
  <c r="Q18" i="110"/>
  <c r="AB40" i="109"/>
  <c r="AB41" i="109"/>
  <c r="AA5" i="121"/>
  <c r="AA47" i="121" s="1"/>
  <c r="Z47" i="121"/>
  <c r="P53" i="107"/>
  <c r="P54" i="107"/>
  <c r="P17" i="107"/>
  <c r="P46" i="107"/>
  <c r="P34" i="107"/>
  <c r="P5" i="107"/>
  <c r="P56" i="105"/>
  <c r="P61" i="105" s="1"/>
  <c r="P17" i="106" s="1"/>
  <c r="P17" i="124" s="1"/>
  <c r="P72" i="124" s="1"/>
  <c r="AI28" i="120"/>
  <c r="AI28" i="107"/>
  <c r="AE28" i="124" s="1"/>
  <c r="AE83" i="124" s="1"/>
  <c r="AI28" i="106"/>
  <c r="AI16" i="120"/>
  <c r="AI16" i="107"/>
  <c r="AI16" i="106"/>
  <c r="AI44" i="120"/>
  <c r="AI44" i="107"/>
  <c r="AE44" i="124" s="1"/>
  <c r="AE99" i="124" s="1"/>
  <c r="AI44" i="106"/>
  <c r="AI54" i="120"/>
  <c r="AI54" i="107"/>
  <c r="AI54" i="106"/>
  <c r="AE54" i="124" s="1"/>
  <c r="AE109" i="124" s="1"/>
  <c r="AI11" i="120"/>
  <c r="AI11" i="106"/>
  <c r="AE11" i="124" s="1"/>
  <c r="AE66" i="124" s="1"/>
  <c r="AI11" i="107"/>
  <c r="AI43" i="120"/>
  <c r="AI43" i="107"/>
  <c r="AI43" i="106"/>
  <c r="W18" i="111"/>
  <c r="U8" i="107"/>
  <c r="U6" i="107"/>
  <c r="AB6" i="105"/>
  <c r="U17" i="107"/>
  <c r="U11" i="107"/>
  <c r="AB11" i="105"/>
  <c r="U38" i="107"/>
  <c r="AB38" i="105"/>
  <c r="U36" i="107"/>
  <c r="AB36" i="105"/>
  <c r="U49" i="107"/>
  <c r="P43" i="121"/>
  <c r="Q43" i="121" s="1"/>
  <c r="P43" i="110"/>
  <c r="P43" i="125" s="1"/>
  <c r="P89" i="125" s="1"/>
  <c r="P43" i="111"/>
  <c r="P13" i="121"/>
  <c r="P13" i="110"/>
  <c r="P13" i="125" s="1"/>
  <c r="P59" i="125" s="1"/>
  <c r="P13" i="111"/>
  <c r="P5" i="121"/>
  <c r="P5" i="110"/>
  <c r="P5" i="111"/>
  <c r="P47" i="109"/>
  <c r="P35" i="125"/>
  <c r="P81" i="125" s="1"/>
  <c r="P35" i="121"/>
  <c r="Q35" i="121" s="1"/>
  <c r="P35" i="111"/>
  <c r="P35" i="110"/>
  <c r="Q35" i="110" s="1"/>
  <c r="W43" i="110"/>
  <c r="O33" i="121"/>
  <c r="O33" i="110"/>
  <c r="O33" i="125" s="1"/>
  <c r="O79" i="125" s="1"/>
  <c r="O33" i="111"/>
  <c r="O37" i="121"/>
  <c r="O37" i="110"/>
  <c r="O37" i="125" s="1"/>
  <c r="O83" i="125" s="1"/>
  <c r="O37" i="111"/>
  <c r="O31" i="121"/>
  <c r="O31" i="110"/>
  <c r="O31" i="111"/>
  <c r="O22" i="121"/>
  <c r="O22" i="110"/>
  <c r="O22" i="111"/>
  <c r="O6" i="121"/>
  <c r="Q6" i="121" s="1"/>
  <c r="O6" i="110"/>
  <c r="O6" i="125" s="1"/>
  <c r="O52" i="125" s="1"/>
  <c r="O6" i="111"/>
  <c r="U6" i="121"/>
  <c r="U6" i="110"/>
  <c r="U6" i="111"/>
  <c r="W6" i="111" s="1"/>
  <c r="U45" i="121"/>
  <c r="U45" i="110"/>
  <c r="S45" i="125" s="1"/>
  <c r="S91" i="125" s="1"/>
  <c r="U45" i="111"/>
  <c r="U44" i="121"/>
  <c r="W44" i="121" s="1"/>
  <c r="U44" i="110"/>
  <c r="U44" i="111"/>
  <c r="W44" i="111" s="1"/>
  <c r="U29" i="121"/>
  <c r="W29" i="121" s="1"/>
  <c r="U29" i="110"/>
  <c r="U29" i="111"/>
  <c r="Q13" i="120"/>
  <c r="Q13" i="106"/>
  <c r="Q13" i="124" s="1"/>
  <c r="Q68" i="124" s="1"/>
  <c r="Q13" i="107"/>
  <c r="Q44" i="120"/>
  <c r="Q44" i="107"/>
  <c r="Q44" i="124" s="1"/>
  <c r="Q99" i="124" s="1"/>
  <c r="Q44" i="106"/>
  <c r="Q38" i="120"/>
  <c r="Q38" i="107"/>
  <c r="Q38" i="106"/>
  <c r="Q38" i="124" s="1"/>
  <c r="Q93" i="124" s="1"/>
  <c r="Q48" i="120"/>
  <c r="Q48" i="107"/>
  <c r="Q48" i="124" s="1"/>
  <c r="Q103" i="124" s="1"/>
  <c r="Q48" i="106"/>
  <c r="Q16" i="120"/>
  <c r="Q16" i="107"/>
  <c r="Q16" i="106"/>
  <c r="Q45" i="120"/>
  <c r="Q45" i="106"/>
  <c r="Q45" i="124" s="1"/>
  <c r="Q100" i="124" s="1"/>
  <c r="Q45" i="107"/>
  <c r="L6" i="125"/>
  <c r="L52" i="125" s="1"/>
  <c r="L36" i="125"/>
  <c r="L82" i="125" s="1"/>
  <c r="V18" i="125"/>
  <c r="V64" i="125" s="1"/>
  <c r="Z5" i="124"/>
  <c r="Z60" i="124" s="1"/>
  <c r="AA56" i="106"/>
  <c r="W16" i="110"/>
  <c r="O34" i="106"/>
  <c r="O34" i="124" s="1"/>
  <c r="O89" i="124" s="1"/>
  <c r="O14" i="106"/>
  <c r="O14" i="124" s="1"/>
  <c r="O69" i="124" s="1"/>
  <c r="O39" i="106"/>
  <c r="O39" i="124" s="1"/>
  <c r="O94" i="124" s="1"/>
  <c r="W31" i="120"/>
  <c r="W31" i="107"/>
  <c r="W31" i="106"/>
  <c r="V31" i="124" s="1"/>
  <c r="V86" i="124" s="1"/>
  <c r="W32" i="120"/>
  <c r="W32" i="107"/>
  <c r="W32" i="106"/>
  <c r="V32" i="124" s="1"/>
  <c r="V87" i="124" s="1"/>
  <c r="W6" i="120"/>
  <c r="W6" i="106"/>
  <c r="V6" i="124" s="1"/>
  <c r="V61" i="124" s="1"/>
  <c r="W6" i="107"/>
  <c r="W30" i="120"/>
  <c r="W30" i="106"/>
  <c r="V30" i="124" s="1"/>
  <c r="V85" i="124" s="1"/>
  <c r="W30" i="107"/>
  <c r="W13" i="120"/>
  <c r="W13" i="106"/>
  <c r="V13" i="124" s="1"/>
  <c r="V68" i="124" s="1"/>
  <c r="W13" i="107"/>
  <c r="W20" i="120"/>
  <c r="W20" i="107"/>
  <c r="W20" i="106"/>
  <c r="V20" i="124" s="1"/>
  <c r="V75" i="124" s="1"/>
  <c r="W8" i="109"/>
  <c r="AB8" i="109" s="1"/>
  <c r="L14" i="125"/>
  <c r="L60" i="125" s="1"/>
  <c r="O27" i="106"/>
  <c r="O27" i="124" s="1"/>
  <c r="O82" i="124" s="1"/>
  <c r="N34" i="121"/>
  <c r="N34" i="110"/>
  <c r="N34" i="125" s="1"/>
  <c r="N80" i="125" s="1"/>
  <c r="N34" i="111"/>
  <c r="N5" i="121"/>
  <c r="N5" i="110"/>
  <c r="N47" i="109"/>
  <c r="N5" i="111"/>
  <c r="N33" i="125"/>
  <c r="N79" i="125" s="1"/>
  <c r="N33" i="121"/>
  <c r="Q33" i="121" s="1"/>
  <c r="N33" i="110"/>
  <c r="N33" i="111"/>
  <c r="N29" i="125"/>
  <c r="N75" i="125" s="1"/>
  <c r="N29" i="121"/>
  <c r="N29" i="110"/>
  <c r="N29" i="111"/>
  <c r="N45" i="125"/>
  <c r="N91" i="125" s="1"/>
  <c r="N45" i="121"/>
  <c r="Q45" i="121" s="1"/>
  <c r="N45" i="110"/>
  <c r="N45" i="111"/>
  <c r="Q45" i="111" s="1"/>
  <c r="W39" i="121"/>
  <c r="W15" i="110"/>
  <c r="R47" i="111"/>
  <c r="S5" i="111"/>
  <c r="S47" i="111" s="1"/>
  <c r="AH41" i="120"/>
  <c r="AH41" i="107"/>
  <c r="AH56" i="105"/>
  <c r="AH61" i="105" s="1"/>
  <c r="AH13" i="106" s="1"/>
  <c r="AD13" i="124" s="1"/>
  <c r="AD68" i="124" s="1"/>
  <c r="AH5" i="107"/>
  <c r="AH5" i="106"/>
  <c r="AH33" i="107"/>
  <c r="AH38" i="120"/>
  <c r="AH38" i="106"/>
  <c r="AD38" i="124" s="1"/>
  <c r="AD93" i="124" s="1"/>
  <c r="AH38" i="107"/>
  <c r="AH16" i="107"/>
  <c r="AH15" i="120"/>
  <c r="AH15" i="106"/>
  <c r="AD15" i="124" s="1"/>
  <c r="AD70" i="124" s="1"/>
  <c r="AH15" i="107"/>
  <c r="R43" i="107"/>
  <c r="R44" i="107"/>
  <c r="R26" i="107"/>
  <c r="R18" i="107"/>
  <c r="R40" i="107"/>
  <c r="R9" i="107"/>
  <c r="O19" i="106"/>
  <c r="O19" i="124" s="1"/>
  <c r="O74" i="124" s="1"/>
  <c r="O33" i="106"/>
  <c r="O33" i="124" s="1"/>
  <c r="O88" i="124" s="1"/>
  <c r="M20" i="121"/>
  <c r="Q20" i="121" s="1"/>
  <c r="M20" i="110"/>
  <c r="Q20" i="110" s="1"/>
  <c r="M20" i="111"/>
  <c r="Q20" i="111" s="1"/>
  <c r="M30" i="121"/>
  <c r="M30" i="110"/>
  <c r="M30" i="111"/>
  <c r="Q30" i="111" s="1"/>
  <c r="M28" i="121"/>
  <c r="Q28" i="121" s="1"/>
  <c r="M28" i="110"/>
  <c r="Q28" i="110" s="1"/>
  <c r="M28" i="111"/>
  <c r="Q28" i="111" s="1"/>
  <c r="M19" i="121"/>
  <c r="Q19" i="121" s="1"/>
  <c r="M19" i="110"/>
  <c r="M19" i="111"/>
  <c r="Q19" i="111" s="1"/>
  <c r="M11" i="125"/>
  <c r="M57" i="125" s="1"/>
  <c r="M11" i="121"/>
  <c r="Q11" i="121" s="1"/>
  <c r="M11" i="110"/>
  <c r="Q11" i="110" s="1"/>
  <c r="M11" i="111"/>
  <c r="Q11" i="111" s="1"/>
  <c r="W6" i="121"/>
  <c r="W11" i="124"/>
  <c r="W66" i="124" s="1"/>
  <c r="X11" i="120"/>
  <c r="X11" i="107"/>
  <c r="X11" i="106"/>
  <c r="W41" i="124"/>
  <c r="W96" i="124" s="1"/>
  <c r="X41" i="120"/>
  <c r="X41" i="106"/>
  <c r="X41" i="107"/>
  <c r="W45" i="124"/>
  <c r="W100" i="124" s="1"/>
  <c r="X45" i="120"/>
  <c r="X45" i="107"/>
  <c r="X45" i="106"/>
  <c r="W37" i="124"/>
  <c r="W92" i="124" s="1"/>
  <c r="X37" i="120"/>
  <c r="X37" i="107"/>
  <c r="X37" i="106"/>
  <c r="W28" i="124"/>
  <c r="W83" i="124" s="1"/>
  <c r="X28" i="120"/>
  <c r="X28" i="107"/>
  <c r="X28" i="106"/>
  <c r="W19" i="124"/>
  <c r="W74" i="124" s="1"/>
  <c r="X19" i="120"/>
  <c r="X19" i="107"/>
  <c r="X19" i="106"/>
  <c r="L42" i="124"/>
  <c r="L97" i="124" s="1"/>
  <c r="L42" i="120"/>
  <c r="L42" i="107"/>
  <c r="L42" i="106"/>
  <c r="L11" i="124"/>
  <c r="L66" i="124" s="1"/>
  <c r="L11" i="120"/>
  <c r="L11" i="107"/>
  <c r="L11" i="106"/>
  <c r="L29" i="124"/>
  <c r="L84" i="124" s="1"/>
  <c r="L29" i="120"/>
  <c r="L29" i="107"/>
  <c r="L36" i="124"/>
  <c r="L91" i="124" s="1"/>
  <c r="L36" i="120"/>
  <c r="L36" i="107"/>
  <c r="L36" i="106"/>
  <c r="L14" i="120"/>
  <c r="L14" i="107"/>
  <c r="L14" i="106"/>
  <c r="L16" i="124"/>
  <c r="L71" i="124" s="1"/>
  <c r="L16" i="120"/>
  <c r="L16" i="107"/>
  <c r="L16" i="106"/>
  <c r="L35" i="125"/>
  <c r="L81" i="125" s="1"/>
  <c r="Y5" i="124"/>
  <c r="Y60" i="124" s="1"/>
  <c r="Z56" i="106"/>
  <c r="Z56" i="120"/>
  <c r="W37" i="121"/>
  <c r="W24" i="121"/>
  <c r="W10" i="111"/>
  <c r="AB10" i="111" s="1"/>
  <c r="AC39" i="120"/>
  <c r="AD39" i="120" s="1"/>
  <c r="AD39" i="105"/>
  <c r="AC39" i="107"/>
  <c r="AD39" i="107" s="1"/>
  <c r="AC39" i="106"/>
  <c r="AD39" i="106" s="1"/>
  <c r="AA12" i="124"/>
  <c r="AA67" i="124" s="1"/>
  <c r="AC12" i="120"/>
  <c r="AD12" i="120" s="1"/>
  <c r="AC12" i="107"/>
  <c r="AD12" i="107" s="1"/>
  <c r="AD12" i="105"/>
  <c r="AC12" i="106"/>
  <c r="AD12" i="106" s="1"/>
  <c r="AC20" i="120"/>
  <c r="AD20" i="120" s="1"/>
  <c r="AD20" i="105"/>
  <c r="AC20" i="107"/>
  <c r="AD20" i="107" s="1"/>
  <c r="AC20" i="106"/>
  <c r="AD20" i="106" s="1"/>
  <c r="AC36" i="120"/>
  <c r="AD36" i="120" s="1"/>
  <c r="AD36" i="105"/>
  <c r="AC36" i="107"/>
  <c r="AD36" i="107" s="1"/>
  <c r="AC36" i="106"/>
  <c r="AD36" i="106" s="1"/>
  <c r="AC48" i="120"/>
  <c r="AD48" i="120" s="1"/>
  <c r="AD48" i="105"/>
  <c r="AC48" i="107"/>
  <c r="AD48" i="107" s="1"/>
  <c r="AC48" i="106"/>
  <c r="AD48" i="106" s="1"/>
  <c r="AC9" i="120"/>
  <c r="AD9" i="120" s="1"/>
  <c r="AD9" i="105"/>
  <c r="AC9" i="107"/>
  <c r="AD9" i="107" s="1"/>
  <c r="AC9" i="106"/>
  <c r="T36" i="125"/>
  <c r="T82" i="125" s="1"/>
  <c r="V36" i="121"/>
  <c r="V36" i="110"/>
  <c r="W36" i="110" s="1"/>
  <c r="V36" i="111"/>
  <c r="W36" i="111" s="1"/>
  <c r="V42" i="121"/>
  <c r="W42" i="121" s="1"/>
  <c r="V42" i="110"/>
  <c r="W42" i="110" s="1"/>
  <c r="V42" i="111"/>
  <c r="T20" i="125"/>
  <c r="T66" i="125" s="1"/>
  <c r="V20" i="121"/>
  <c r="W20" i="121" s="1"/>
  <c r="V20" i="110"/>
  <c r="W20" i="110" s="1"/>
  <c r="V20" i="111"/>
  <c r="W20" i="111" s="1"/>
  <c r="V45" i="121"/>
  <c r="V45" i="110"/>
  <c r="T45" i="125" s="1"/>
  <c r="T91" i="125" s="1"/>
  <c r="V45" i="111"/>
  <c r="T13" i="125"/>
  <c r="T59" i="125" s="1"/>
  <c r="V13" i="121"/>
  <c r="V13" i="110"/>
  <c r="W13" i="110" s="1"/>
  <c r="V13" i="111"/>
  <c r="W13" i="111" s="1"/>
  <c r="Q7" i="121"/>
  <c r="M28" i="120"/>
  <c r="M28" i="106"/>
  <c r="M28" i="107"/>
  <c r="M28" i="124" s="1"/>
  <c r="M83" i="124" s="1"/>
  <c r="M36" i="124"/>
  <c r="M91" i="124" s="1"/>
  <c r="M36" i="120"/>
  <c r="M36" i="107"/>
  <c r="M36" i="106"/>
  <c r="M27" i="120"/>
  <c r="M27" i="107"/>
  <c r="M27" i="106"/>
  <c r="M27" i="124" s="1"/>
  <c r="M82" i="124" s="1"/>
  <c r="M38" i="124"/>
  <c r="M93" i="124" s="1"/>
  <c r="M38" i="120"/>
  <c r="M38" i="107"/>
  <c r="M38" i="106"/>
  <c r="M13" i="120"/>
  <c r="M13" i="106"/>
  <c r="M13" i="107"/>
  <c r="M13" i="124" s="1"/>
  <c r="M68" i="124" s="1"/>
  <c r="M7" i="124"/>
  <c r="M62" i="124" s="1"/>
  <c r="M7" i="120"/>
  <c r="M7" i="107"/>
  <c r="M7" i="106"/>
  <c r="AB11" i="109"/>
  <c r="Q37" i="111"/>
  <c r="Q27" i="111"/>
  <c r="AB37" i="109"/>
  <c r="AB15" i="109"/>
  <c r="Q44" i="111"/>
  <c r="AB22" i="109"/>
  <c r="Q36" i="111"/>
  <c r="Q43" i="110"/>
  <c r="Q44" i="110"/>
  <c r="AB45" i="109"/>
  <c r="V5" i="125"/>
  <c r="V51" i="125" s="1"/>
  <c r="P51" i="124"/>
  <c r="P106" i="124" s="1"/>
  <c r="P51" i="106"/>
  <c r="P51" i="107"/>
  <c r="P6" i="107"/>
  <c r="P6" i="106"/>
  <c r="P6" i="124" s="1"/>
  <c r="P61" i="124" s="1"/>
  <c r="P15" i="107"/>
  <c r="P15" i="106"/>
  <c r="P15" i="124" s="1"/>
  <c r="P70" i="124" s="1"/>
  <c r="P43" i="107"/>
  <c r="P43" i="106"/>
  <c r="P43" i="124" s="1"/>
  <c r="P98" i="124" s="1"/>
  <c r="P35" i="124"/>
  <c r="P90" i="124" s="1"/>
  <c r="P35" i="106"/>
  <c r="P35" i="107"/>
  <c r="P13" i="124"/>
  <c r="P68" i="124" s="1"/>
  <c r="P13" i="120"/>
  <c r="P13" i="106"/>
  <c r="P13" i="107"/>
  <c r="AI35" i="120"/>
  <c r="AI35" i="107"/>
  <c r="AI35" i="106"/>
  <c r="AE35" i="124" s="1"/>
  <c r="AE90" i="124" s="1"/>
  <c r="AE32" i="124"/>
  <c r="AE87" i="124" s="1"/>
  <c r="AI32" i="120"/>
  <c r="AI32" i="106"/>
  <c r="AI32" i="107"/>
  <c r="AI29" i="120"/>
  <c r="AI29" i="107"/>
  <c r="AI29" i="106"/>
  <c r="AE29" i="124" s="1"/>
  <c r="AE84" i="124" s="1"/>
  <c r="AE24" i="124"/>
  <c r="AE79" i="124" s="1"/>
  <c r="AI24" i="120"/>
  <c r="AI24" i="107"/>
  <c r="AI24" i="106"/>
  <c r="AI15" i="120"/>
  <c r="AI15" i="107"/>
  <c r="AI15" i="106"/>
  <c r="AE15" i="124" s="1"/>
  <c r="AE70" i="124" s="1"/>
  <c r="AE38" i="124"/>
  <c r="AE93" i="124" s="1"/>
  <c r="AI38" i="120"/>
  <c r="AI38" i="107"/>
  <c r="AI38" i="106"/>
  <c r="W14" i="121"/>
  <c r="W18" i="110"/>
  <c r="U12" i="107"/>
  <c r="U13" i="107"/>
  <c r="AB13" i="105"/>
  <c r="U52" i="107"/>
  <c r="U5" i="107"/>
  <c r="U56" i="105"/>
  <c r="U61" i="105" s="1"/>
  <c r="U6" i="120" s="1"/>
  <c r="AB5" i="105"/>
  <c r="U32" i="107"/>
  <c r="AB32" i="105"/>
  <c r="U40" i="107"/>
  <c r="P27" i="125"/>
  <c r="P73" i="125" s="1"/>
  <c r="P27" i="121"/>
  <c r="P27" i="110"/>
  <c r="Q27" i="110" s="1"/>
  <c r="P27" i="111"/>
  <c r="P41" i="125"/>
  <c r="P87" i="125" s="1"/>
  <c r="P41" i="121"/>
  <c r="P41" i="110"/>
  <c r="P41" i="111"/>
  <c r="P23" i="125"/>
  <c r="P69" i="125" s="1"/>
  <c r="P23" i="121"/>
  <c r="P23" i="111"/>
  <c r="Q23" i="111" s="1"/>
  <c r="P23" i="110"/>
  <c r="Q23" i="110" s="1"/>
  <c r="P15" i="125"/>
  <c r="P61" i="125" s="1"/>
  <c r="P15" i="121"/>
  <c r="Q15" i="121" s="1"/>
  <c r="P15" i="110"/>
  <c r="Q15" i="110" s="1"/>
  <c r="P15" i="111"/>
  <c r="L8" i="125"/>
  <c r="L54" i="125" s="1"/>
  <c r="L30" i="125"/>
  <c r="L76" i="125" s="1"/>
  <c r="V28" i="125"/>
  <c r="V74" i="125" s="1"/>
  <c r="R31" i="125"/>
  <c r="R77" i="125" s="1"/>
  <c r="V26" i="125"/>
  <c r="V72" i="125" s="1"/>
  <c r="W17" i="111"/>
  <c r="W43" i="121"/>
  <c r="O42" i="125"/>
  <c r="O88" i="125" s="1"/>
  <c r="O42" i="121"/>
  <c r="O42" i="110"/>
  <c r="O42" i="111"/>
  <c r="O16" i="121"/>
  <c r="O16" i="111"/>
  <c r="O16" i="110"/>
  <c r="O16" i="125" s="1"/>
  <c r="O62" i="125" s="1"/>
  <c r="O5" i="125"/>
  <c r="O51" i="125" s="1"/>
  <c r="O5" i="121"/>
  <c r="O5" i="110"/>
  <c r="O5" i="111"/>
  <c r="O47" i="109"/>
  <c r="O17" i="125"/>
  <c r="O63" i="125" s="1"/>
  <c r="O17" i="121"/>
  <c r="O17" i="110"/>
  <c r="O17" i="111"/>
  <c r="U30" i="121"/>
  <c r="W30" i="121" s="1"/>
  <c r="U30" i="110"/>
  <c r="W30" i="110" s="1"/>
  <c r="U30" i="111"/>
  <c r="W30" i="111" s="1"/>
  <c r="S32" i="125"/>
  <c r="S78" i="125" s="1"/>
  <c r="U32" i="121"/>
  <c r="U32" i="111"/>
  <c r="W32" i="111" s="1"/>
  <c r="U32" i="110"/>
  <c r="W32" i="110" s="1"/>
  <c r="U31" i="121"/>
  <c r="W31" i="121" s="1"/>
  <c r="U31" i="110"/>
  <c r="W31" i="110" s="1"/>
  <c r="U31" i="111"/>
  <c r="W31" i="111" s="1"/>
  <c r="S21" i="125"/>
  <c r="S67" i="125" s="1"/>
  <c r="U21" i="121"/>
  <c r="W21" i="121" s="1"/>
  <c r="U21" i="111"/>
  <c r="W21" i="111" s="1"/>
  <c r="U21" i="110"/>
  <c r="U12" i="121"/>
  <c r="U12" i="110"/>
  <c r="U12" i="111"/>
  <c r="Q27" i="124"/>
  <c r="Q82" i="124" s="1"/>
  <c r="Q27" i="120"/>
  <c r="Q27" i="106"/>
  <c r="Q27" i="107"/>
  <c r="Q33" i="120"/>
  <c r="Q33" i="107"/>
  <c r="Q33" i="106"/>
  <c r="Q33" i="124" s="1"/>
  <c r="Q88" i="124" s="1"/>
  <c r="Q23" i="124"/>
  <c r="Q78" i="124" s="1"/>
  <c r="Q23" i="120"/>
  <c r="Q23" i="107"/>
  <c r="Q23" i="106"/>
  <c r="Q6" i="120"/>
  <c r="Q6" i="106"/>
  <c r="Q6" i="107"/>
  <c r="Q6" i="124" s="1"/>
  <c r="Q61" i="124" s="1"/>
  <c r="Q17" i="124"/>
  <c r="Q72" i="124" s="1"/>
  <c r="Q17" i="120"/>
  <c r="Q17" i="107"/>
  <c r="Q17" i="106"/>
  <c r="Q22" i="120"/>
  <c r="Q22" i="106"/>
  <c r="Q22" i="107"/>
  <c r="Q22" i="124" s="1"/>
  <c r="Q77" i="124" s="1"/>
  <c r="Q27" i="121"/>
  <c r="O5" i="124"/>
  <c r="O60" i="124" s="1"/>
  <c r="W16" i="109"/>
  <c r="AB16" i="109" s="1"/>
  <c r="L11" i="125"/>
  <c r="L57" i="125" s="1"/>
  <c r="V29" i="124"/>
  <c r="V84" i="124" s="1"/>
  <c r="W29" i="120"/>
  <c r="W29" i="107"/>
  <c r="W29" i="106"/>
  <c r="W53" i="120"/>
  <c r="W53" i="106"/>
  <c r="V53" i="124" s="1"/>
  <c r="V108" i="124" s="1"/>
  <c r="W53" i="107"/>
  <c r="V24" i="124"/>
  <c r="V79" i="124" s="1"/>
  <c r="W24" i="120"/>
  <c r="W24" i="106"/>
  <c r="W24" i="107"/>
  <c r="W12" i="120"/>
  <c r="W12" i="107"/>
  <c r="W12" i="106"/>
  <c r="V12" i="124" s="1"/>
  <c r="V67" i="124" s="1"/>
  <c r="V52" i="124"/>
  <c r="V107" i="124" s="1"/>
  <c r="W52" i="120"/>
  <c r="W52" i="107"/>
  <c r="W52" i="106"/>
  <c r="W49" i="120"/>
  <c r="W49" i="107"/>
  <c r="W49" i="106"/>
  <c r="V49" i="124" s="1"/>
  <c r="V104" i="124" s="1"/>
  <c r="W35" i="109"/>
  <c r="AB35" i="109" s="1"/>
  <c r="W8" i="110"/>
  <c r="R41" i="125"/>
  <c r="R87" i="125" s="1"/>
  <c r="O20" i="106"/>
  <c r="O20" i="124" s="1"/>
  <c r="O75" i="124" s="1"/>
  <c r="O54" i="106"/>
  <c r="O54" i="124" s="1"/>
  <c r="O109" i="124" s="1"/>
  <c r="N38" i="125"/>
  <c r="N84" i="125" s="1"/>
  <c r="N38" i="121"/>
  <c r="N38" i="110"/>
  <c r="N38" i="111"/>
  <c r="Q38" i="111" s="1"/>
  <c r="N37" i="121"/>
  <c r="N37" i="111"/>
  <c r="N37" i="110"/>
  <c r="Q37" i="110" s="1"/>
  <c r="N17" i="125"/>
  <c r="N63" i="125" s="1"/>
  <c r="N17" i="121"/>
  <c r="N17" i="110"/>
  <c r="N17" i="111"/>
  <c r="Q17" i="111" s="1"/>
  <c r="N41" i="121"/>
  <c r="Q41" i="121" s="1"/>
  <c r="N41" i="110"/>
  <c r="Q41" i="110" s="1"/>
  <c r="N41" i="111"/>
  <c r="Q41" i="111" s="1"/>
  <c r="N8" i="125"/>
  <c r="N54" i="125" s="1"/>
  <c r="N8" i="121"/>
  <c r="N8" i="110"/>
  <c r="N8" i="111"/>
  <c r="V16" i="125"/>
  <c r="V62" i="125" s="1"/>
  <c r="W15" i="109"/>
  <c r="Q21" i="125"/>
  <c r="Q67" i="125" s="1"/>
  <c r="AD24" i="124"/>
  <c r="AD79" i="124" s="1"/>
  <c r="AH24" i="120"/>
  <c r="AH24" i="106"/>
  <c r="AH24" i="107"/>
  <c r="AH22" i="120"/>
  <c r="AH22" i="107"/>
  <c r="AH22" i="106"/>
  <c r="AD22" i="124" s="1"/>
  <c r="AD77" i="124" s="1"/>
  <c r="AD51" i="124"/>
  <c r="AD106" i="124" s="1"/>
  <c r="AH51" i="120"/>
  <c r="AH51" i="106"/>
  <c r="AH51" i="107"/>
  <c r="AH7" i="120"/>
  <c r="AH7" i="106"/>
  <c r="AH7" i="107"/>
  <c r="AD7" i="124" s="1"/>
  <c r="AD62" i="124" s="1"/>
  <c r="AD12" i="124"/>
  <c r="AD67" i="124" s="1"/>
  <c r="AH12" i="120"/>
  <c r="AH12" i="106"/>
  <c r="AH12" i="107"/>
  <c r="AH29" i="120"/>
  <c r="AH29" i="106"/>
  <c r="AH29" i="107"/>
  <c r="AD29" i="124" s="1"/>
  <c r="AD84" i="124" s="1"/>
  <c r="R39" i="107"/>
  <c r="R41" i="107"/>
  <c r="R10" i="107"/>
  <c r="R27" i="107"/>
  <c r="R51" i="107"/>
  <c r="R38" i="107"/>
  <c r="R13" i="107"/>
  <c r="Q32" i="121"/>
  <c r="O19" i="120"/>
  <c r="O33" i="120"/>
  <c r="O7" i="120"/>
  <c r="O56" i="120" s="1"/>
  <c r="M29" i="121"/>
  <c r="Q29" i="121" s="1"/>
  <c r="M29" i="110"/>
  <c r="Q29" i="110" s="1"/>
  <c r="M29" i="111"/>
  <c r="Q29" i="111" s="1"/>
  <c r="M8" i="121"/>
  <c r="Q8" i="121" s="1"/>
  <c r="M8" i="111"/>
  <c r="Q8" i="111" s="1"/>
  <c r="M8" i="110"/>
  <c r="Q8" i="110" s="1"/>
  <c r="M32" i="121"/>
  <c r="M32" i="110"/>
  <c r="Q32" i="110" s="1"/>
  <c r="M32" i="111"/>
  <c r="Q32" i="111" s="1"/>
  <c r="M39" i="121"/>
  <c r="Q39" i="121" s="1"/>
  <c r="M39" i="110"/>
  <c r="Q39" i="110" s="1"/>
  <c r="M39" i="111"/>
  <c r="Q39" i="111" s="1"/>
  <c r="W29" i="111"/>
  <c r="R6" i="125"/>
  <c r="R52" i="125" s="1"/>
  <c r="W21" i="109"/>
  <c r="AB21" i="109" s="1"/>
  <c r="W34" i="124"/>
  <c r="W89" i="124" s="1"/>
  <c r="X34" i="120"/>
  <c r="X34" i="106"/>
  <c r="X34" i="107"/>
  <c r="X35" i="120"/>
  <c r="X35" i="107"/>
  <c r="X35" i="106"/>
  <c r="W35" i="124" s="1"/>
  <c r="W90" i="124" s="1"/>
  <c r="W15" i="124"/>
  <c r="W70" i="124" s="1"/>
  <c r="X15" i="120"/>
  <c r="X15" i="107"/>
  <c r="X15" i="106"/>
  <c r="X25" i="120"/>
  <c r="X25" i="107"/>
  <c r="X25" i="106"/>
  <c r="W25" i="124" s="1"/>
  <c r="W80" i="124" s="1"/>
  <c r="W16" i="124"/>
  <c r="W71" i="124" s="1"/>
  <c r="X16" i="120"/>
  <c r="X16" i="107"/>
  <c r="X16" i="106"/>
  <c r="X54" i="120"/>
  <c r="X54" i="107"/>
  <c r="X54" i="106"/>
  <c r="W54" i="124" s="1"/>
  <c r="W109" i="124" s="1"/>
  <c r="L15" i="124"/>
  <c r="L70" i="124" s="1"/>
  <c r="L15" i="120"/>
  <c r="L15" i="107"/>
  <c r="L15" i="106"/>
  <c r="L51" i="120"/>
  <c r="L51" i="107"/>
  <c r="L51" i="106"/>
  <c r="L51" i="124" s="1"/>
  <c r="L106" i="124" s="1"/>
  <c r="L30" i="124"/>
  <c r="L85" i="124" s="1"/>
  <c r="L30" i="120"/>
  <c r="L30" i="107"/>
  <c r="L30" i="106"/>
  <c r="L53" i="120"/>
  <c r="L53" i="107"/>
  <c r="L53" i="106"/>
  <c r="L53" i="124" s="1"/>
  <c r="L108" i="124" s="1"/>
  <c r="L43" i="124"/>
  <c r="L98" i="124" s="1"/>
  <c r="L43" i="120"/>
  <c r="L43" i="107"/>
  <c r="L43" i="106"/>
  <c r="L37" i="120"/>
  <c r="L37" i="107"/>
  <c r="L37" i="106"/>
  <c r="L37" i="124" s="1"/>
  <c r="L92" i="124" s="1"/>
  <c r="L9" i="124"/>
  <c r="L64" i="124" s="1"/>
  <c r="L9" i="120"/>
  <c r="L9" i="107"/>
  <c r="L9" i="106"/>
  <c r="O52" i="106"/>
  <c r="O52" i="124" s="1"/>
  <c r="O107" i="124" s="1"/>
  <c r="O28" i="106"/>
  <c r="O28" i="124" s="1"/>
  <c r="O83" i="124" s="1"/>
  <c r="M15" i="120"/>
  <c r="M15" i="107"/>
  <c r="M15" i="106"/>
  <c r="M15" i="124" s="1"/>
  <c r="M70" i="124" s="1"/>
  <c r="R37" i="125"/>
  <c r="R83" i="125" s="1"/>
  <c r="W5" i="109"/>
  <c r="AB5" i="109" s="1"/>
  <c r="R24" i="125"/>
  <c r="R70" i="125" s="1"/>
  <c r="Q42" i="125"/>
  <c r="Q88" i="125" s="1"/>
  <c r="AC7" i="120"/>
  <c r="AD7" i="120" s="1"/>
  <c r="AC7" i="107"/>
  <c r="AD7" i="107" s="1"/>
  <c r="AD7" i="105"/>
  <c r="AC7" i="106"/>
  <c r="AD7" i="106" s="1"/>
  <c r="AA6" i="124"/>
  <c r="AA61" i="124" s="1"/>
  <c r="AC6" i="120"/>
  <c r="AD6" i="120" s="1"/>
  <c r="AD6" i="105"/>
  <c r="AC6" i="107"/>
  <c r="AD6" i="107" s="1"/>
  <c r="AC21" i="120"/>
  <c r="AD21" i="120" s="1"/>
  <c r="AD21" i="105"/>
  <c r="AC21" i="107"/>
  <c r="AD21" i="107" s="1"/>
  <c r="AC21" i="106"/>
  <c r="AD21" i="106" s="1"/>
  <c r="AC51" i="120"/>
  <c r="AD51" i="120" s="1"/>
  <c r="AD51" i="105"/>
  <c r="AC51" i="107"/>
  <c r="AD51" i="107" s="1"/>
  <c r="AC51" i="106"/>
  <c r="AD51" i="106" s="1"/>
  <c r="AC46" i="120"/>
  <c r="AD46" i="120" s="1"/>
  <c r="AD46" i="105"/>
  <c r="AC46" i="107"/>
  <c r="AD46" i="107" s="1"/>
  <c r="AC46" i="106"/>
  <c r="AD46" i="106" s="1"/>
  <c r="AC22" i="120"/>
  <c r="AD22" i="120" s="1"/>
  <c r="AD22" i="105"/>
  <c r="AC22" i="107"/>
  <c r="AD22" i="107" s="1"/>
  <c r="AC22" i="106"/>
  <c r="AD22" i="106" s="1"/>
  <c r="T27" i="125"/>
  <c r="T73" i="125" s="1"/>
  <c r="V27" i="121"/>
  <c r="W27" i="121" s="1"/>
  <c r="V27" i="110"/>
  <c r="V27" i="111"/>
  <c r="W27" i="111" s="1"/>
  <c r="V12" i="121"/>
  <c r="V12" i="110"/>
  <c r="V12" i="111"/>
  <c r="T12" i="125" s="1"/>
  <c r="T58" i="125" s="1"/>
  <c r="T32" i="125"/>
  <c r="T78" i="125" s="1"/>
  <c r="V32" i="121"/>
  <c r="W32" i="121" s="1"/>
  <c r="V32" i="110"/>
  <c r="V32" i="111"/>
  <c r="V34" i="121"/>
  <c r="W34" i="121" s="1"/>
  <c r="V34" i="110"/>
  <c r="W34" i="110" s="1"/>
  <c r="V34" i="111"/>
  <c r="W34" i="111" s="1"/>
  <c r="T38" i="125"/>
  <c r="T84" i="125" s="1"/>
  <c r="V38" i="121"/>
  <c r="V38" i="110"/>
  <c r="V38" i="111"/>
  <c r="L41" i="125"/>
  <c r="L87" i="125" s="1"/>
  <c r="L7" i="125"/>
  <c r="L53" i="125" s="1"/>
  <c r="M25" i="120"/>
  <c r="M25" i="107"/>
  <c r="M25" i="106"/>
  <c r="M25" i="124" s="1"/>
  <c r="M80" i="124" s="1"/>
  <c r="M47" i="120"/>
  <c r="M47" i="106"/>
  <c r="M47" i="124" s="1"/>
  <c r="M102" i="124" s="1"/>
  <c r="M47" i="107"/>
  <c r="M37" i="120"/>
  <c r="M37" i="106"/>
  <c r="M37" i="124" s="1"/>
  <c r="M92" i="124" s="1"/>
  <c r="M37" i="107"/>
  <c r="M20" i="120"/>
  <c r="M20" i="107"/>
  <c r="M20" i="106"/>
  <c r="M20" i="124" s="1"/>
  <c r="M75" i="124" s="1"/>
  <c r="M9" i="120"/>
  <c r="M9" i="106"/>
  <c r="M9" i="124" s="1"/>
  <c r="M64" i="124" s="1"/>
  <c r="M9" i="107"/>
  <c r="AQ14" i="120"/>
  <c r="X13" i="111"/>
  <c r="X43" i="111"/>
  <c r="X14" i="111"/>
  <c r="X12" i="111"/>
  <c r="Q5" i="111"/>
  <c r="L47" i="111"/>
  <c r="Q49" i="111"/>
  <c r="Q49" i="110"/>
  <c r="Q49" i="108"/>
  <c r="Q49" i="109"/>
  <c r="X22" i="111"/>
  <c r="X25" i="111"/>
  <c r="Q5" i="110"/>
  <c r="L47" i="110"/>
  <c r="X28" i="111"/>
  <c r="X29" i="111"/>
  <c r="X30" i="111"/>
  <c r="X27" i="111"/>
  <c r="X36" i="111"/>
  <c r="X17" i="111"/>
  <c r="X37" i="111"/>
  <c r="X15" i="111"/>
  <c r="X40" i="111"/>
  <c r="X42" i="111"/>
  <c r="Q50" i="110"/>
  <c r="Q50" i="108"/>
  <c r="Q50" i="111"/>
  <c r="Q50" i="109"/>
  <c r="T59" i="107"/>
  <c r="T59" i="106"/>
  <c r="T59" i="105"/>
  <c r="X31" i="111"/>
  <c r="X23" i="111"/>
  <c r="X41" i="111"/>
  <c r="X39" i="111"/>
  <c r="AM59" i="104"/>
  <c r="AM57" i="107"/>
  <c r="AM57" i="105"/>
  <c r="T58" i="107"/>
  <c r="T58" i="106"/>
  <c r="T58" i="105"/>
  <c r="X33" i="111"/>
  <c r="X34" i="111"/>
  <c r="X38" i="111"/>
  <c r="X21" i="111"/>
  <c r="X19" i="111"/>
  <c r="X11" i="111"/>
  <c r="X44" i="111"/>
  <c r="X8" i="111"/>
  <c r="X24" i="111"/>
  <c r="X6" i="111"/>
  <c r="X20" i="111"/>
  <c r="X32" i="111"/>
  <c r="X35" i="111"/>
  <c r="Q47" i="109"/>
  <c r="X26" i="111"/>
  <c r="X45" i="111"/>
  <c r="X18" i="111"/>
  <c r="T60" i="104"/>
  <c r="T61" i="104"/>
  <c r="E42" i="5"/>
  <c r="X49" i="121" s="1"/>
  <c r="E21" i="5"/>
  <c r="AE58" i="120" s="1"/>
  <c r="AO57" i="120" s="1"/>
  <c r="F46" i="5"/>
  <c r="AB50" i="121" s="1"/>
  <c r="F47" i="5"/>
  <c r="F29" i="5"/>
  <c r="AM59" i="120" s="1"/>
  <c r="J5" i="128" l="1"/>
  <c r="J10" i="128"/>
  <c r="AA46" i="124"/>
  <c r="AA101" i="124" s="1"/>
  <c r="M39" i="125"/>
  <c r="M85" i="125" s="1"/>
  <c r="M8" i="125"/>
  <c r="M54" i="125" s="1"/>
  <c r="E9" i="126"/>
  <c r="E15" i="126" s="1"/>
  <c r="E11" i="126"/>
  <c r="E7" i="126"/>
  <c r="U40" i="120"/>
  <c r="U5" i="106"/>
  <c r="L7" i="127"/>
  <c r="L13" i="127" s="1"/>
  <c r="L11" i="127"/>
  <c r="L9" i="127"/>
  <c r="AD9" i="106"/>
  <c r="AA9" i="124"/>
  <c r="AA64" i="124" s="1"/>
  <c r="AA48" i="124"/>
  <c r="AA103" i="124" s="1"/>
  <c r="L14" i="124"/>
  <c r="L69" i="124" s="1"/>
  <c r="M19" i="125"/>
  <c r="M65" i="125" s="1"/>
  <c r="Q19" i="110"/>
  <c r="B11" i="127"/>
  <c r="P47" i="121"/>
  <c r="U49" i="106"/>
  <c r="T49" i="124" s="1"/>
  <c r="T104" i="124" s="1"/>
  <c r="AE16" i="124"/>
  <c r="AE71" i="124" s="1"/>
  <c r="AD18" i="106"/>
  <c r="AA18" i="124"/>
  <c r="AA73" i="124" s="1"/>
  <c r="AA54" i="124"/>
  <c r="AA109" i="124" s="1"/>
  <c r="Q37" i="124"/>
  <c r="Q92" i="124" s="1"/>
  <c r="Q38" i="110"/>
  <c r="W42" i="111"/>
  <c r="W36" i="121"/>
  <c r="U8" i="106"/>
  <c r="T8" i="124" s="1"/>
  <c r="T63" i="124" s="1"/>
  <c r="U22" i="120"/>
  <c r="U45" i="120"/>
  <c r="U29" i="120"/>
  <c r="U43" i="106"/>
  <c r="T43" i="124" s="1"/>
  <c r="T98" i="124" s="1"/>
  <c r="U44" i="106"/>
  <c r="T44" i="124" s="1"/>
  <c r="T99" i="124" s="1"/>
  <c r="U20" i="106"/>
  <c r="T20" i="124" s="1"/>
  <c r="T75" i="124" s="1"/>
  <c r="U41" i="120"/>
  <c r="U15" i="106"/>
  <c r="T15" i="124" s="1"/>
  <c r="T70" i="124" s="1"/>
  <c r="U53" i="120"/>
  <c r="U6" i="106"/>
  <c r="U54" i="106"/>
  <c r="T54" i="124" s="1"/>
  <c r="T109" i="124" s="1"/>
  <c r="U31" i="120"/>
  <c r="U50" i="120"/>
  <c r="U7" i="120"/>
  <c r="U51" i="120"/>
  <c r="U19" i="120"/>
  <c r="U10" i="120"/>
  <c r="U41" i="106"/>
  <c r="T41" i="124" s="1"/>
  <c r="T96" i="124" s="1"/>
  <c r="U35" i="120"/>
  <c r="U11" i="106"/>
  <c r="T11" i="124" s="1"/>
  <c r="T66" i="124" s="1"/>
  <c r="U36" i="120"/>
  <c r="U13" i="106"/>
  <c r="T13" i="124" s="1"/>
  <c r="T68" i="124" s="1"/>
  <c r="U47" i="120"/>
  <c r="U22" i="106"/>
  <c r="T22" i="124" s="1"/>
  <c r="T77" i="124" s="1"/>
  <c r="U31" i="106"/>
  <c r="T31" i="124" s="1"/>
  <c r="T86" i="124" s="1"/>
  <c r="U45" i="106"/>
  <c r="U29" i="106"/>
  <c r="T29" i="124" s="1"/>
  <c r="T84" i="124" s="1"/>
  <c r="U50" i="106"/>
  <c r="T50" i="124" s="1"/>
  <c r="T105" i="124" s="1"/>
  <c r="U23" i="120"/>
  <c r="U27" i="120"/>
  <c r="U46" i="120"/>
  <c r="U53" i="106"/>
  <c r="T53" i="124" s="1"/>
  <c r="T108" i="124" s="1"/>
  <c r="U24" i="120"/>
  <c r="U48" i="120"/>
  <c r="U7" i="106"/>
  <c r="T7" i="124" s="1"/>
  <c r="T62" i="124" s="1"/>
  <c r="U9" i="120"/>
  <c r="U51" i="106"/>
  <c r="T51" i="124" s="1"/>
  <c r="T106" i="124" s="1"/>
  <c r="U19" i="106"/>
  <c r="T19" i="124" s="1"/>
  <c r="T74" i="124" s="1"/>
  <c r="U27" i="106"/>
  <c r="T27" i="124" s="1"/>
  <c r="T82" i="124" s="1"/>
  <c r="U10" i="106"/>
  <c r="T10" i="124" s="1"/>
  <c r="T65" i="124" s="1"/>
  <c r="U37" i="120"/>
  <c r="U16" i="120"/>
  <c r="U35" i="106"/>
  <c r="T35" i="124" s="1"/>
  <c r="T90" i="124" s="1"/>
  <c r="U8" i="120"/>
  <c r="U17" i="120"/>
  <c r="U47" i="106"/>
  <c r="T47" i="124" s="1"/>
  <c r="T102" i="124" s="1"/>
  <c r="U33" i="120"/>
  <c r="U25" i="120"/>
  <c r="U42" i="120"/>
  <c r="U23" i="106"/>
  <c r="T23" i="124" s="1"/>
  <c r="T78" i="124" s="1"/>
  <c r="U9" i="106"/>
  <c r="T9" i="124" s="1"/>
  <c r="T64" i="124" s="1"/>
  <c r="U34" i="120"/>
  <c r="U37" i="106"/>
  <c r="T37" i="124" s="1"/>
  <c r="T92" i="124" s="1"/>
  <c r="U26" i="120"/>
  <c r="U46" i="106"/>
  <c r="T46" i="124" s="1"/>
  <c r="T101" i="124" s="1"/>
  <c r="U21" i="120"/>
  <c r="U38" i="120"/>
  <c r="U24" i="106"/>
  <c r="T24" i="124" s="1"/>
  <c r="T79" i="124" s="1"/>
  <c r="U33" i="106"/>
  <c r="U48" i="106"/>
  <c r="T48" i="124" s="1"/>
  <c r="T103" i="124" s="1"/>
  <c r="U30" i="120"/>
  <c r="U28" i="120"/>
  <c r="U18" i="120"/>
  <c r="U14" i="120"/>
  <c r="U26" i="106"/>
  <c r="U16" i="106"/>
  <c r="T16" i="124" s="1"/>
  <c r="T71" i="124" s="1"/>
  <c r="U21" i="106"/>
  <c r="T21" i="124" s="1"/>
  <c r="T76" i="124" s="1"/>
  <c r="U17" i="106"/>
  <c r="T17" i="124" s="1"/>
  <c r="T72" i="124" s="1"/>
  <c r="U25" i="106"/>
  <c r="T25" i="124" s="1"/>
  <c r="T80" i="124" s="1"/>
  <c r="U30" i="106"/>
  <c r="U42" i="106"/>
  <c r="T42" i="124" s="1"/>
  <c r="T97" i="124" s="1"/>
  <c r="U43" i="120"/>
  <c r="U14" i="106"/>
  <c r="T14" i="124" s="1"/>
  <c r="T69" i="124" s="1"/>
  <c r="U34" i="106"/>
  <c r="T34" i="124" s="1"/>
  <c r="T89" i="124" s="1"/>
  <c r="U20" i="120"/>
  <c r="U15" i="120"/>
  <c r="U39" i="120"/>
  <c r="U54" i="120"/>
  <c r="U28" i="106"/>
  <c r="T28" i="124" s="1"/>
  <c r="T83" i="124" s="1"/>
  <c r="U18" i="106"/>
  <c r="T18" i="124" s="1"/>
  <c r="T73" i="124" s="1"/>
  <c r="U44" i="120"/>
  <c r="U39" i="106"/>
  <c r="V33" i="128"/>
  <c r="W45" i="111"/>
  <c r="U49" i="120"/>
  <c r="P34" i="106"/>
  <c r="P34" i="124" s="1"/>
  <c r="P89" i="124" s="1"/>
  <c r="P54" i="106"/>
  <c r="P54" i="124" s="1"/>
  <c r="P109" i="124" s="1"/>
  <c r="AA23" i="124"/>
  <c r="AA78" i="124" s="1"/>
  <c r="Q40" i="110"/>
  <c r="M40" i="125"/>
  <c r="M86" i="125" s="1"/>
  <c r="AH25" i="106"/>
  <c r="AD25" i="124" s="1"/>
  <c r="AD80" i="124" s="1"/>
  <c r="O56" i="106"/>
  <c r="Q38" i="121"/>
  <c r="V14" i="128"/>
  <c r="AM57" i="106"/>
  <c r="AM57" i="120"/>
  <c r="AA21" i="124"/>
  <c r="AA76" i="124" s="1"/>
  <c r="W12" i="111"/>
  <c r="V5" i="128"/>
  <c r="AA20" i="124"/>
  <c r="AA75" i="124" s="1"/>
  <c r="O7" i="126"/>
  <c r="O11" i="126"/>
  <c r="O9" i="126"/>
  <c r="O15" i="126" s="1"/>
  <c r="P11" i="126"/>
  <c r="P7" i="126"/>
  <c r="P13" i="126" s="1"/>
  <c r="P9" i="126"/>
  <c r="P15" i="126" s="1"/>
  <c r="U11" i="120"/>
  <c r="T24" i="125"/>
  <c r="T70" i="125" s="1"/>
  <c r="W24" i="110"/>
  <c r="Q34" i="110"/>
  <c r="V30" i="128"/>
  <c r="W13" i="121"/>
  <c r="AA22" i="124"/>
  <c r="AA77" i="124" s="1"/>
  <c r="AA7" i="124"/>
  <c r="AA62" i="124" s="1"/>
  <c r="H7" i="127"/>
  <c r="H13" i="127" s="1"/>
  <c r="H11" i="127"/>
  <c r="H9" i="127"/>
  <c r="W45" i="110"/>
  <c r="W12" i="110"/>
  <c r="U5" i="120"/>
  <c r="U13" i="120"/>
  <c r="P6" i="120"/>
  <c r="T42" i="125"/>
  <c r="T88" i="125" s="1"/>
  <c r="O22" i="125"/>
  <c r="O68" i="125" s="1"/>
  <c r="W26" i="110"/>
  <c r="T26" i="125"/>
  <c r="T72" i="125" s="1"/>
  <c r="M34" i="125"/>
  <c r="M80" i="125" s="1"/>
  <c r="Q34" i="111"/>
  <c r="AJ10" i="121"/>
  <c r="G7" i="127"/>
  <c r="G13" i="127" s="1"/>
  <c r="T34" i="125"/>
  <c r="T80" i="125" s="1"/>
  <c r="M32" i="125"/>
  <c r="M78" i="125" s="1"/>
  <c r="M29" i="125"/>
  <c r="M75" i="125" s="1"/>
  <c r="W12" i="121"/>
  <c r="O47" i="110"/>
  <c r="U32" i="106"/>
  <c r="T32" i="124" s="1"/>
  <c r="T87" i="124" s="1"/>
  <c r="P43" i="120"/>
  <c r="AA39" i="124"/>
  <c r="AA94" i="124" s="1"/>
  <c r="M20" i="125"/>
  <c r="M66" i="125" s="1"/>
  <c r="AH53" i="106"/>
  <c r="AD53" i="124" s="1"/>
  <c r="AD108" i="124" s="1"/>
  <c r="AH47" i="106"/>
  <c r="AD47" i="124" s="1"/>
  <c r="AD102" i="124" s="1"/>
  <c r="AH37" i="106"/>
  <c r="AD37" i="124" s="1"/>
  <c r="AD92" i="124" s="1"/>
  <c r="AH10" i="106"/>
  <c r="AD10" i="124" s="1"/>
  <c r="AD65" i="124" s="1"/>
  <c r="AH54" i="106"/>
  <c r="AD54" i="124" s="1"/>
  <c r="AD109" i="124" s="1"/>
  <c r="AH18" i="106"/>
  <c r="AD18" i="124" s="1"/>
  <c r="AD73" i="124" s="1"/>
  <c r="AH33" i="120"/>
  <c r="AH16" i="120"/>
  <c r="AH19" i="106"/>
  <c r="AD19" i="124" s="1"/>
  <c r="AD74" i="124" s="1"/>
  <c r="AH23" i="106"/>
  <c r="AD23" i="124" s="1"/>
  <c r="AD78" i="124" s="1"/>
  <c r="AH28" i="120"/>
  <c r="AH11" i="120"/>
  <c r="AH52" i="120"/>
  <c r="AH48" i="106"/>
  <c r="AD48" i="124" s="1"/>
  <c r="AD103" i="124" s="1"/>
  <c r="AH44" i="106"/>
  <c r="AD44" i="124" s="1"/>
  <c r="AD99" i="124" s="1"/>
  <c r="AH9" i="106"/>
  <c r="AD9" i="124" s="1"/>
  <c r="AD64" i="124" s="1"/>
  <c r="AH40" i="106"/>
  <c r="AD40" i="124" s="1"/>
  <c r="AD95" i="124" s="1"/>
  <c r="AH43" i="120"/>
  <c r="AH25" i="120"/>
  <c r="AH21" i="120"/>
  <c r="AH41" i="106"/>
  <c r="AD41" i="124" s="1"/>
  <c r="AD96" i="124" s="1"/>
  <c r="AH33" i="106"/>
  <c r="AD33" i="124" s="1"/>
  <c r="AD88" i="124" s="1"/>
  <c r="AH16" i="106"/>
  <c r="AD16" i="124" s="1"/>
  <c r="AD71" i="124" s="1"/>
  <c r="AH11" i="106"/>
  <c r="AD11" i="124" s="1"/>
  <c r="AD66" i="124" s="1"/>
  <c r="AH52" i="106"/>
  <c r="AD52" i="124" s="1"/>
  <c r="AD107" i="124" s="1"/>
  <c r="AH50" i="120"/>
  <c r="AH14" i="120"/>
  <c r="AH31" i="120"/>
  <c r="AH42" i="120"/>
  <c r="AH17" i="120"/>
  <c r="AH36" i="120"/>
  <c r="AH28" i="106"/>
  <c r="AD28" i="124" s="1"/>
  <c r="AD83" i="124" s="1"/>
  <c r="AH14" i="106"/>
  <c r="AD14" i="124" s="1"/>
  <c r="AD69" i="124" s="1"/>
  <c r="AH31" i="106"/>
  <c r="AD31" i="124" s="1"/>
  <c r="AD86" i="124" s="1"/>
  <c r="AH6" i="120"/>
  <c r="AH27" i="120"/>
  <c r="AH8" i="120"/>
  <c r="AH32" i="120"/>
  <c r="AH46" i="120"/>
  <c r="AH49" i="120"/>
  <c r="AH43" i="106"/>
  <c r="AD43" i="124" s="1"/>
  <c r="AD98" i="124" s="1"/>
  <c r="AH5" i="120"/>
  <c r="AH36" i="106"/>
  <c r="AD36" i="124" s="1"/>
  <c r="AD91" i="124" s="1"/>
  <c r="AH50" i="106"/>
  <c r="AD50" i="124" s="1"/>
  <c r="AD105" i="124" s="1"/>
  <c r="AH27" i="106"/>
  <c r="AD27" i="124" s="1"/>
  <c r="AD82" i="124" s="1"/>
  <c r="AH8" i="106"/>
  <c r="AD8" i="124" s="1"/>
  <c r="AD63" i="124" s="1"/>
  <c r="AH49" i="106"/>
  <c r="AD49" i="124" s="1"/>
  <c r="AD104" i="124" s="1"/>
  <c r="AH42" i="106"/>
  <c r="AD42" i="124" s="1"/>
  <c r="AD97" i="124" s="1"/>
  <c r="AH17" i="106"/>
  <c r="AD17" i="124" s="1"/>
  <c r="AD72" i="124" s="1"/>
  <c r="AH30" i="120"/>
  <c r="AH20" i="120"/>
  <c r="AH35" i="120"/>
  <c r="AH6" i="106"/>
  <c r="AD6" i="124" s="1"/>
  <c r="AD61" i="124" s="1"/>
  <c r="AH32" i="106"/>
  <c r="AD32" i="124" s="1"/>
  <c r="AD87" i="124" s="1"/>
  <c r="AH46" i="106"/>
  <c r="AD46" i="124" s="1"/>
  <c r="AD101" i="124" s="1"/>
  <c r="AH34" i="120"/>
  <c r="AH13" i="120"/>
  <c r="AH26" i="120"/>
  <c r="AH53" i="120"/>
  <c r="AH30" i="106"/>
  <c r="AD30" i="124" s="1"/>
  <c r="AD85" i="124" s="1"/>
  <c r="AH20" i="106"/>
  <c r="AD20" i="124" s="1"/>
  <c r="AD75" i="124" s="1"/>
  <c r="AH35" i="106"/>
  <c r="AD35" i="124" s="1"/>
  <c r="AD90" i="124" s="1"/>
  <c r="AH37" i="120"/>
  <c r="AH45" i="120"/>
  <c r="AH39" i="120"/>
  <c r="AH19" i="120"/>
  <c r="AH47" i="120"/>
  <c r="AH23" i="120"/>
  <c r="AH45" i="106"/>
  <c r="AD45" i="124" s="1"/>
  <c r="AD100" i="124" s="1"/>
  <c r="AH39" i="106"/>
  <c r="AD39" i="124" s="1"/>
  <c r="AD94" i="124" s="1"/>
  <c r="AH48" i="120"/>
  <c r="AH10" i="120"/>
  <c r="AH54" i="120"/>
  <c r="AH44" i="120"/>
  <c r="AH9" i="120"/>
  <c r="AH40" i="120"/>
  <c r="AH18" i="120"/>
  <c r="AH34" i="106"/>
  <c r="AD34" i="124" s="1"/>
  <c r="AD89" i="124" s="1"/>
  <c r="N47" i="121"/>
  <c r="Q5" i="121"/>
  <c r="Q16" i="124"/>
  <c r="Q71" i="124" s="1"/>
  <c r="S29" i="125"/>
  <c r="S75" i="125" s="1"/>
  <c r="W29" i="110"/>
  <c r="U36" i="106"/>
  <c r="AE43" i="124"/>
  <c r="AE98" i="124" s="1"/>
  <c r="P46" i="106"/>
  <c r="P46" i="124" s="1"/>
  <c r="P101" i="124" s="1"/>
  <c r="Q6" i="110"/>
  <c r="M6" i="125"/>
  <c r="M52" i="125" s="1"/>
  <c r="M31" i="124"/>
  <c r="M86" i="124" s="1"/>
  <c r="Q16" i="111"/>
  <c r="W35" i="110"/>
  <c r="Q15" i="111"/>
  <c r="X16" i="111"/>
  <c r="Y16" i="111" s="1"/>
  <c r="AB16" i="111" s="1"/>
  <c r="AA51" i="124"/>
  <c r="AA106" i="124" s="1"/>
  <c r="N41" i="125"/>
  <c r="N87" i="125" s="1"/>
  <c r="N37" i="125"/>
  <c r="N83" i="125" s="1"/>
  <c r="S12" i="125"/>
  <c r="S58" i="125" s="1"/>
  <c r="S31" i="125"/>
  <c r="S77" i="125" s="1"/>
  <c r="S30" i="125"/>
  <c r="S76" i="125" s="1"/>
  <c r="O47" i="121"/>
  <c r="U32" i="120"/>
  <c r="U52" i="106"/>
  <c r="T52" i="124" s="1"/>
  <c r="T107" i="124" s="1"/>
  <c r="U12" i="106"/>
  <c r="T12" i="124" s="1"/>
  <c r="T67" i="124" s="1"/>
  <c r="AA36" i="124"/>
  <c r="AA91" i="124" s="1"/>
  <c r="M28" i="125"/>
  <c r="M74" i="125" s="1"/>
  <c r="AD5" i="124"/>
  <c r="AD60" i="124" s="1"/>
  <c r="W6" i="110"/>
  <c r="S6" i="125"/>
  <c r="S52" i="125" s="1"/>
  <c r="I9" i="127" s="1"/>
  <c r="Q22" i="111"/>
  <c r="AH21" i="106"/>
  <c r="AD21" i="124" s="1"/>
  <c r="AD76" i="124" s="1"/>
  <c r="V38" i="124"/>
  <c r="V93" i="124" s="1"/>
  <c r="Q13" i="110"/>
  <c r="O13" i="125"/>
  <c r="O59" i="125" s="1"/>
  <c r="Q16" i="110"/>
  <c r="W38" i="111"/>
  <c r="Q17" i="110"/>
  <c r="W47" i="109"/>
  <c r="E9" i="127"/>
  <c r="E11" i="127"/>
  <c r="V11" i="128"/>
  <c r="O31" i="125"/>
  <c r="O77" i="125" s="1"/>
  <c r="E7" i="127" s="1"/>
  <c r="E13" i="127" s="1"/>
  <c r="Q31" i="110"/>
  <c r="U38" i="106"/>
  <c r="T38" i="124" s="1"/>
  <c r="T93" i="124" s="1"/>
  <c r="P5" i="106"/>
  <c r="V12" i="128"/>
  <c r="Q22" i="110"/>
  <c r="M22" i="125"/>
  <c r="M68" i="125" s="1"/>
  <c r="Q16" i="121"/>
  <c r="W38" i="110"/>
  <c r="Q17" i="121"/>
  <c r="W27" i="110"/>
  <c r="U40" i="106"/>
  <c r="U52" i="120"/>
  <c r="U12" i="120"/>
  <c r="M30" i="125"/>
  <c r="M76" i="125" s="1"/>
  <c r="Q30" i="110"/>
  <c r="S44" i="125"/>
  <c r="S90" i="125" s="1"/>
  <c r="W44" i="110"/>
  <c r="P23" i="106"/>
  <c r="P23" i="124" s="1"/>
  <c r="P78" i="124" s="1"/>
  <c r="P7" i="106"/>
  <c r="P7" i="124" s="1"/>
  <c r="P62" i="124" s="1"/>
  <c r="P20" i="106"/>
  <c r="P20" i="124" s="1"/>
  <c r="P75" i="124" s="1"/>
  <c r="P18" i="120"/>
  <c r="P48" i="120"/>
  <c r="P11" i="120"/>
  <c r="P8" i="106"/>
  <c r="P8" i="124" s="1"/>
  <c r="P63" i="124" s="1"/>
  <c r="P27" i="120"/>
  <c r="P41" i="120"/>
  <c r="P47" i="120"/>
  <c r="P53" i="120"/>
  <c r="P17" i="120"/>
  <c r="P34" i="120"/>
  <c r="P29" i="120"/>
  <c r="P30" i="120"/>
  <c r="P27" i="106"/>
  <c r="P26" i="106"/>
  <c r="P36" i="106"/>
  <c r="P36" i="124" s="1"/>
  <c r="P91" i="124" s="1"/>
  <c r="P19" i="120"/>
  <c r="P23" i="120"/>
  <c r="P24" i="120"/>
  <c r="P16" i="120"/>
  <c r="P53" i="106"/>
  <c r="P53" i="124" s="1"/>
  <c r="P108" i="124" s="1"/>
  <c r="P51" i="120"/>
  <c r="P15" i="120"/>
  <c r="P35" i="120"/>
  <c r="P42" i="120"/>
  <c r="P49" i="120"/>
  <c r="P18" i="106"/>
  <c r="P18" i="124" s="1"/>
  <c r="P73" i="124" s="1"/>
  <c r="P48" i="106"/>
  <c r="P48" i="124" s="1"/>
  <c r="P103" i="124" s="1"/>
  <c r="P11" i="106"/>
  <c r="P11" i="124" s="1"/>
  <c r="P66" i="124" s="1"/>
  <c r="P40" i="120"/>
  <c r="P19" i="106"/>
  <c r="P19" i="124" s="1"/>
  <c r="P74" i="124" s="1"/>
  <c r="P41" i="106"/>
  <c r="P41" i="124" s="1"/>
  <c r="P96" i="124" s="1"/>
  <c r="P47" i="106"/>
  <c r="P47" i="124" s="1"/>
  <c r="P102" i="124" s="1"/>
  <c r="P42" i="106"/>
  <c r="P42" i="124" s="1"/>
  <c r="P97" i="124" s="1"/>
  <c r="P29" i="106"/>
  <c r="P44" i="120"/>
  <c r="P30" i="106"/>
  <c r="P28" i="120"/>
  <c r="P24" i="106"/>
  <c r="P16" i="106"/>
  <c r="P16" i="124" s="1"/>
  <c r="P71" i="124" s="1"/>
  <c r="P49" i="106"/>
  <c r="P49" i="124" s="1"/>
  <c r="P104" i="124" s="1"/>
  <c r="P45" i="120"/>
  <c r="P12" i="120"/>
  <c r="P10" i="120"/>
  <c r="P22" i="120"/>
  <c r="P44" i="106"/>
  <c r="P44" i="124" s="1"/>
  <c r="P99" i="124" s="1"/>
  <c r="P40" i="106"/>
  <c r="P40" i="124" s="1"/>
  <c r="P95" i="124" s="1"/>
  <c r="P31" i="120"/>
  <c r="P52" i="120"/>
  <c r="P14" i="120"/>
  <c r="P38" i="120"/>
  <c r="P25" i="120"/>
  <c r="P37" i="120"/>
  <c r="P54" i="120"/>
  <c r="P46" i="120"/>
  <c r="P5" i="120"/>
  <c r="P21" i="120"/>
  <c r="P9" i="120"/>
  <c r="P28" i="106"/>
  <c r="P28" i="124" s="1"/>
  <c r="P83" i="124" s="1"/>
  <c r="P39" i="120"/>
  <c r="P50" i="120"/>
  <c r="P37" i="106"/>
  <c r="P37" i="124" s="1"/>
  <c r="P92" i="124" s="1"/>
  <c r="P33" i="120"/>
  <c r="P7" i="120"/>
  <c r="P20" i="120"/>
  <c r="P45" i="106"/>
  <c r="P45" i="124" s="1"/>
  <c r="P100" i="124" s="1"/>
  <c r="P12" i="106"/>
  <c r="P12" i="124" s="1"/>
  <c r="P67" i="124" s="1"/>
  <c r="P10" i="106"/>
  <c r="P10" i="124" s="1"/>
  <c r="P65" i="124" s="1"/>
  <c r="P22" i="106"/>
  <c r="P22" i="124" s="1"/>
  <c r="P77" i="124" s="1"/>
  <c r="P32" i="120"/>
  <c r="P8" i="120"/>
  <c r="P31" i="106"/>
  <c r="P9" i="106"/>
  <c r="P9" i="124" s="1"/>
  <c r="P64" i="124" s="1"/>
  <c r="P52" i="106"/>
  <c r="P52" i="124" s="1"/>
  <c r="P107" i="124" s="1"/>
  <c r="P14" i="106"/>
  <c r="P14" i="124" s="1"/>
  <c r="P69" i="124" s="1"/>
  <c r="P38" i="106"/>
  <c r="P38" i="124" s="1"/>
  <c r="P93" i="124" s="1"/>
  <c r="P25" i="106"/>
  <c r="P33" i="106"/>
  <c r="P33" i="124" s="1"/>
  <c r="P88" i="124" s="1"/>
  <c r="P21" i="106"/>
  <c r="P21" i="124" s="1"/>
  <c r="P76" i="124" s="1"/>
  <c r="P32" i="106"/>
  <c r="P26" i="120"/>
  <c r="P36" i="120"/>
  <c r="P39" i="106"/>
  <c r="P39" i="124" s="1"/>
  <c r="P94" i="124" s="1"/>
  <c r="P50" i="106"/>
  <c r="P50" i="124" s="1"/>
  <c r="P105" i="124" s="1"/>
  <c r="V29" i="128"/>
  <c r="AH26" i="106"/>
  <c r="AD26" i="124" s="1"/>
  <c r="AD81" i="124" s="1"/>
  <c r="V27" i="128"/>
  <c r="W38" i="121"/>
  <c r="M52" i="106"/>
  <c r="M52" i="124" s="1"/>
  <c r="M107" i="124" s="1"/>
  <c r="M39" i="106"/>
  <c r="M39" i="124" s="1"/>
  <c r="M94" i="124" s="1"/>
  <c r="AA26" i="124"/>
  <c r="AA81" i="124" s="1"/>
  <c r="S22" i="125"/>
  <c r="S68" i="125" s="1"/>
  <c r="S38" i="125"/>
  <c r="S84" i="125" s="1"/>
  <c r="W14" i="111"/>
  <c r="M10" i="106"/>
  <c r="M10" i="124" s="1"/>
  <c r="M65" i="124" s="1"/>
  <c r="M32" i="106"/>
  <c r="M32" i="124" s="1"/>
  <c r="M87" i="124" s="1"/>
  <c r="AA24" i="124"/>
  <c r="AA79" i="124" s="1"/>
  <c r="Q37" i="121"/>
  <c r="Q21" i="121"/>
  <c r="N12" i="125"/>
  <c r="N58" i="125" s="1"/>
  <c r="M17" i="120"/>
  <c r="V24" i="107"/>
  <c r="V16" i="107"/>
  <c r="V28" i="107"/>
  <c r="V33" i="107"/>
  <c r="V50" i="107"/>
  <c r="V41" i="107"/>
  <c r="V47" i="110"/>
  <c r="W40" i="106"/>
  <c r="V40" i="124" s="1"/>
  <c r="V95" i="124" s="1"/>
  <c r="W51" i="106"/>
  <c r="V51" i="124" s="1"/>
  <c r="V106" i="124" s="1"/>
  <c r="V19" i="128"/>
  <c r="Q24" i="110"/>
  <c r="W39" i="106"/>
  <c r="V39" i="124" s="1"/>
  <c r="V94" i="124" s="1"/>
  <c r="Q29" i="106"/>
  <c r="Q29" i="124" s="1"/>
  <c r="Q84" i="124" s="1"/>
  <c r="Q31" i="106"/>
  <c r="Q31" i="124" s="1"/>
  <c r="Q86" i="124" s="1"/>
  <c r="Q11" i="106"/>
  <c r="Q11" i="124" s="1"/>
  <c r="Q66" i="124" s="1"/>
  <c r="M26" i="106"/>
  <c r="M26" i="124" s="1"/>
  <c r="M81" i="124" s="1"/>
  <c r="M45" i="106"/>
  <c r="M45" i="124" s="1"/>
  <c r="M100" i="124" s="1"/>
  <c r="AD56" i="105"/>
  <c r="AC30" i="106"/>
  <c r="AC14" i="120"/>
  <c r="AD14" i="120" s="1"/>
  <c r="L18" i="106"/>
  <c r="L18" i="124" s="1"/>
  <c r="L73" i="124" s="1"/>
  <c r="L31" i="106"/>
  <c r="L31" i="124" s="1"/>
  <c r="L86" i="124" s="1"/>
  <c r="L52" i="106"/>
  <c r="L52" i="124" s="1"/>
  <c r="L107" i="124" s="1"/>
  <c r="X17" i="120"/>
  <c r="S61" i="105"/>
  <c r="R61" i="105"/>
  <c r="W27" i="106"/>
  <c r="V27" i="124" s="1"/>
  <c r="V82" i="124" s="1"/>
  <c r="AB33" i="105"/>
  <c r="AI41" i="106"/>
  <c r="AE41" i="124" s="1"/>
  <c r="AE96" i="124" s="1"/>
  <c r="AI21" i="106"/>
  <c r="AE21" i="124" s="1"/>
  <c r="AE76" i="124" s="1"/>
  <c r="AI25" i="106"/>
  <c r="AE25" i="124" s="1"/>
  <c r="AE80" i="124" s="1"/>
  <c r="L15" i="118"/>
  <c r="O15" i="118" s="1"/>
  <c r="AG15" i="114"/>
  <c r="L17" i="118"/>
  <c r="O17" i="118" s="1"/>
  <c r="AG17" i="114"/>
  <c r="L3" i="118"/>
  <c r="O3" i="118" s="1"/>
  <c r="AG3" i="114"/>
  <c r="L28" i="118"/>
  <c r="O28" i="118" s="1"/>
  <c r="AG28" i="114"/>
  <c r="G9" i="127"/>
  <c r="Y16" i="107"/>
  <c r="AB12" i="105"/>
  <c r="Y12" i="107"/>
  <c r="AB9" i="105"/>
  <c r="Y9" i="107"/>
  <c r="AB30" i="105"/>
  <c r="Y30" i="107"/>
  <c r="AB8" i="105"/>
  <c r="Y8" i="107"/>
  <c r="Y35" i="107"/>
  <c r="AI56" i="107"/>
  <c r="V13" i="128"/>
  <c r="M51" i="106"/>
  <c r="M51" i="124" s="1"/>
  <c r="M106" i="124" s="1"/>
  <c r="M10" i="120"/>
  <c r="M32" i="120"/>
  <c r="M22" i="120"/>
  <c r="V7" i="107"/>
  <c r="V56" i="105"/>
  <c r="V61" i="105" s="1"/>
  <c r="V49" i="106" s="1"/>
  <c r="U49" i="124" s="1"/>
  <c r="U104" i="124" s="1"/>
  <c r="V5" i="107"/>
  <c r="V5" i="106"/>
  <c r="U5" i="124" s="1"/>
  <c r="U60" i="124" s="1"/>
  <c r="V25" i="107"/>
  <c r="V32" i="120"/>
  <c r="V32" i="107"/>
  <c r="V32" i="106"/>
  <c r="U32" i="124" s="1"/>
  <c r="U87" i="124" s="1"/>
  <c r="V46" i="107"/>
  <c r="V40" i="120"/>
  <c r="V40" i="107"/>
  <c r="V40" i="106"/>
  <c r="U40" i="124" s="1"/>
  <c r="U95" i="124" s="1"/>
  <c r="V54" i="107"/>
  <c r="AI7" i="120"/>
  <c r="AI22" i="120"/>
  <c r="AI45" i="120"/>
  <c r="M40" i="106"/>
  <c r="M40" i="124" s="1"/>
  <c r="M95" i="124" s="1"/>
  <c r="M29" i="106"/>
  <c r="M29" i="124" s="1"/>
  <c r="M84" i="124" s="1"/>
  <c r="V47" i="121"/>
  <c r="W44" i="106"/>
  <c r="V44" i="124" s="1"/>
  <c r="V99" i="124" s="1"/>
  <c r="Q49" i="106"/>
  <c r="Q49" i="124" s="1"/>
  <c r="Q104" i="124" s="1"/>
  <c r="Q32" i="106"/>
  <c r="Q32" i="124" s="1"/>
  <c r="Q87" i="124" s="1"/>
  <c r="AI46" i="106"/>
  <c r="AE46" i="124" s="1"/>
  <c r="AE101" i="124" s="1"/>
  <c r="V18" i="128"/>
  <c r="M49" i="106"/>
  <c r="M49" i="124" s="1"/>
  <c r="M104" i="124" s="1"/>
  <c r="AA38" i="124"/>
  <c r="AA93" i="124" s="1"/>
  <c r="W19" i="111"/>
  <c r="W47" i="111" s="1"/>
  <c r="W50" i="106"/>
  <c r="V50" i="124" s="1"/>
  <c r="V105" i="124" s="1"/>
  <c r="W17" i="106"/>
  <c r="V17" i="124" s="1"/>
  <c r="V72" i="124" s="1"/>
  <c r="M16" i="106"/>
  <c r="M16" i="124" s="1"/>
  <c r="M71" i="124" s="1"/>
  <c r="AI51" i="106"/>
  <c r="AE51" i="124" s="1"/>
  <c r="AE106" i="124" s="1"/>
  <c r="AI40" i="106"/>
  <c r="AE40" i="124" s="1"/>
  <c r="AE95" i="124" s="1"/>
  <c r="M19" i="106"/>
  <c r="M19" i="124" s="1"/>
  <c r="M74" i="124" s="1"/>
  <c r="AD5" i="120"/>
  <c r="AA14" i="124"/>
  <c r="AA69" i="124" s="1"/>
  <c r="L40" i="120"/>
  <c r="R56" i="107"/>
  <c r="W14" i="120"/>
  <c r="W27" i="120"/>
  <c r="W45" i="120"/>
  <c r="Q54" i="120"/>
  <c r="Q9" i="120"/>
  <c r="Q53" i="120"/>
  <c r="AB24" i="105"/>
  <c r="L23" i="118"/>
  <c r="O23" i="118" s="1"/>
  <c r="AG23" i="114"/>
  <c r="L25" i="118"/>
  <c r="O25" i="118" s="1"/>
  <c r="AG25" i="114"/>
  <c r="L11" i="118"/>
  <c r="O11" i="118" s="1"/>
  <c r="AG11" i="114"/>
  <c r="L36" i="118"/>
  <c r="O36" i="118" s="1"/>
  <c r="AG36" i="114"/>
  <c r="Y31" i="107"/>
  <c r="AB45" i="105"/>
  <c r="Y45" i="107"/>
  <c r="Y34" i="107"/>
  <c r="Y43" i="107"/>
  <c r="Y6" i="107"/>
  <c r="AB6" i="107" s="1"/>
  <c r="AB19" i="105"/>
  <c r="Y19" i="107"/>
  <c r="AH56" i="107"/>
  <c r="N47" i="111"/>
  <c r="P56" i="107"/>
  <c r="M12" i="120"/>
  <c r="M43" i="120"/>
  <c r="AA25" i="124"/>
  <c r="AA80" i="124" s="1"/>
  <c r="Q22" i="121"/>
  <c r="M8" i="120"/>
  <c r="M52" i="120"/>
  <c r="M51" i="120"/>
  <c r="M39" i="120"/>
  <c r="T25" i="125"/>
  <c r="T71" i="125" s="1"/>
  <c r="AA28" i="124"/>
  <c r="AA83" i="124" s="1"/>
  <c r="M38" i="125"/>
  <c r="M84" i="125" s="1"/>
  <c r="J6" i="128"/>
  <c r="J11" i="128"/>
  <c r="W40" i="110"/>
  <c r="W25" i="106"/>
  <c r="V25" i="124" s="1"/>
  <c r="V80" i="124" s="1"/>
  <c r="W5" i="106"/>
  <c r="V18" i="120"/>
  <c r="V18" i="107"/>
  <c r="V18" i="106"/>
  <c r="U18" i="124" s="1"/>
  <c r="U73" i="124" s="1"/>
  <c r="V15" i="120"/>
  <c r="V15" i="107"/>
  <c r="V15" i="106"/>
  <c r="U15" i="124" s="1"/>
  <c r="U70" i="124" s="1"/>
  <c r="V29" i="120"/>
  <c r="V29" i="107"/>
  <c r="V29" i="106"/>
  <c r="U29" i="124" s="1"/>
  <c r="U84" i="124" s="1"/>
  <c r="V23" i="120"/>
  <c r="V23" i="107"/>
  <c r="V23" i="106"/>
  <c r="U23" i="124" s="1"/>
  <c r="U78" i="124" s="1"/>
  <c r="V49" i="120"/>
  <c r="V49" i="107"/>
  <c r="U38" i="124"/>
  <c r="U93" i="124" s="1"/>
  <c r="V38" i="107"/>
  <c r="V38" i="106"/>
  <c r="V42" i="120"/>
  <c r="V42" i="107"/>
  <c r="V42" i="106"/>
  <c r="U42" i="124" s="1"/>
  <c r="U97" i="124" s="1"/>
  <c r="V6" i="128"/>
  <c r="Q33" i="110"/>
  <c r="M23" i="106"/>
  <c r="M23" i="124" s="1"/>
  <c r="M78" i="124" s="1"/>
  <c r="T5" i="125"/>
  <c r="T51" i="125" s="1"/>
  <c r="W40" i="120"/>
  <c r="W44" i="120"/>
  <c r="W51" i="120"/>
  <c r="Q24" i="106"/>
  <c r="Q24" i="124" s="1"/>
  <c r="Q79" i="124" s="1"/>
  <c r="Q15" i="106"/>
  <c r="Q15" i="124" s="1"/>
  <c r="Q70" i="124" s="1"/>
  <c r="U47" i="110"/>
  <c r="AI14" i="106"/>
  <c r="AE14" i="124" s="1"/>
  <c r="AE69" i="124" s="1"/>
  <c r="AI23" i="106"/>
  <c r="AE23" i="124" s="1"/>
  <c r="AE78" i="124" s="1"/>
  <c r="M6" i="106"/>
  <c r="M6" i="124" s="1"/>
  <c r="M61" i="124" s="1"/>
  <c r="M54" i="106"/>
  <c r="M54" i="124" s="1"/>
  <c r="M109" i="124" s="1"/>
  <c r="AA19" i="124"/>
  <c r="AA74" i="124" s="1"/>
  <c r="W39" i="120"/>
  <c r="W50" i="120"/>
  <c r="W17" i="120"/>
  <c r="Q29" i="120"/>
  <c r="Q31" i="120"/>
  <c r="Q11" i="120"/>
  <c r="M16" i="120"/>
  <c r="AI13" i="106"/>
  <c r="AE13" i="124" s="1"/>
  <c r="AE68" i="124" s="1"/>
  <c r="M19" i="120"/>
  <c r="M26" i="120"/>
  <c r="M45" i="120"/>
  <c r="AC53" i="106"/>
  <c r="L18" i="120"/>
  <c r="L31" i="120"/>
  <c r="L52" i="120"/>
  <c r="X51" i="106"/>
  <c r="W51" i="124" s="1"/>
  <c r="W106" i="124" s="1"/>
  <c r="X27" i="106"/>
  <c r="W27" i="124" s="1"/>
  <c r="W82" i="124" s="1"/>
  <c r="AI41" i="120"/>
  <c r="AI21" i="120"/>
  <c r="AI25" i="120"/>
  <c r="L31" i="118"/>
  <c r="O31" i="118" s="1"/>
  <c r="AG31" i="114"/>
  <c r="L33" i="118"/>
  <c r="O33" i="118" s="1"/>
  <c r="AG33" i="114"/>
  <c r="L19" i="118"/>
  <c r="O19" i="118" s="1"/>
  <c r="AG19" i="114"/>
  <c r="L5" i="118"/>
  <c r="O5" i="118" s="1"/>
  <c r="AG5" i="114"/>
  <c r="AB23" i="105"/>
  <c r="Y23" i="120"/>
  <c r="Y23" i="107"/>
  <c r="AB23" i="107" s="1"/>
  <c r="Y50" i="107"/>
  <c r="AB50" i="107" s="1"/>
  <c r="Y29" i="120"/>
  <c r="Y29" i="107"/>
  <c r="AB29" i="107" s="1"/>
  <c r="Y37" i="107"/>
  <c r="Y32" i="120"/>
  <c r="Y32" i="107"/>
  <c r="AB32" i="107" s="1"/>
  <c r="Y21" i="107"/>
  <c r="AB7" i="105"/>
  <c r="Y7" i="120"/>
  <c r="Y7" i="107"/>
  <c r="AB7" i="107" s="1"/>
  <c r="P47" i="111"/>
  <c r="S39" i="125"/>
  <c r="S85" i="125" s="1"/>
  <c r="S23" i="125"/>
  <c r="S69" i="125" s="1"/>
  <c r="M5" i="106"/>
  <c r="AA10" i="124"/>
  <c r="AA65" i="124" s="1"/>
  <c r="M47" i="111"/>
  <c r="AI18" i="120"/>
  <c r="AI34" i="120"/>
  <c r="AI17" i="120"/>
  <c r="V17" i="128"/>
  <c r="M46" i="106"/>
  <c r="M46" i="124" s="1"/>
  <c r="M101" i="124" s="1"/>
  <c r="M44" i="106"/>
  <c r="M44" i="124" s="1"/>
  <c r="M99" i="124" s="1"/>
  <c r="M50" i="106"/>
  <c r="M50" i="124" s="1"/>
  <c r="M105" i="124" s="1"/>
  <c r="AA31" i="124"/>
  <c r="AA86" i="124" s="1"/>
  <c r="W26" i="106"/>
  <c r="V26" i="124" s="1"/>
  <c r="V81" i="124" s="1"/>
  <c r="W56" i="107"/>
  <c r="Q40" i="120"/>
  <c r="Q46" i="120"/>
  <c r="Q12" i="120"/>
  <c r="Q36" i="106"/>
  <c r="Q36" i="124" s="1"/>
  <c r="Q91" i="124" s="1"/>
  <c r="U12" i="124"/>
  <c r="U67" i="124" s="1"/>
  <c r="V12" i="120"/>
  <c r="V12" i="107"/>
  <c r="V12" i="106"/>
  <c r="U47" i="124"/>
  <c r="U102" i="124" s="1"/>
  <c r="V47" i="120"/>
  <c r="V47" i="107"/>
  <c r="V47" i="106"/>
  <c r="U20" i="124"/>
  <c r="U75" i="124" s="1"/>
  <c r="V20" i="120"/>
  <c r="V20" i="106"/>
  <c r="V20" i="107"/>
  <c r="U14" i="124"/>
  <c r="U69" i="124" s="1"/>
  <c r="V14" i="120"/>
  <c r="V14" i="107"/>
  <c r="V14" i="106"/>
  <c r="U30" i="124"/>
  <c r="U85" i="124" s="1"/>
  <c r="V30" i="120"/>
  <c r="V30" i="107"/>
  <c r="V30" i="106"/>
  <c r="U48" i="124"/>
  <c r="U103" i="124" s="1"/>
  <c r="V48" i="120"/>
  <c r="AB48" i="120" s="1"/>
  <c r="V48" i="107"/>
  <c r="V48" i="106"/>
  <c r="AI27" i="106"/>
  <c r="AE27" i="124" s="1"/>
  <c r="AE82" i="124" s="1"/>
  <c r="AI6" i="106"/>
  <c r="AE6" i="124" s="1"/>
  <c r="AE61" i="124" s="1"/>
  <c r="AI36" i="106"/>
  <c r="AE36" i="124" s="1"/>
  <c r="AE91" i="124" s="1"/>
  <c r="M40" i="120"/>
  <c r="M29" i="120"/>
  <c r="M23" i="120"/>
  <c r="AA47" i="124"/>
  <c r="AA102" i="124" s="1"/>
  <c r="Q13" i="121"/>
  <c r="Q24" i="120"/>
  <c r="Q49" i="120"/>
  <c r="Q32" i="120"/>
  <c r="Q15" i="120"/>
  <c r="U47" i="111"/>
  <c r="AI14" i="120"/>
  <c r="AI23" i="120"/>
  <c r="AI46" i="120"/>
  <c r="M6" i="120"/>
  <c r="M49" i="120"/>
  <c r="M54" i="120"/>
  <c r="S27" i="125"/>
  <c r="S73" i="125" s="1"/>
  <c r="AB50" i="105"/>
  <c r="AI51" i="120"/>
  <c r="AI13" i="120"/>
  <c r="AI40" i="120"/>
  <c r="AC53" i="120"/>
  <c r="AD53" i="120" s="1"/>
  <c r="AC42" i="106"/>
  <c r="AC30" i="120"/>
  <c r="AD30" i="120" s="1"/>
  <c r="AC17" i="106"/>
  <c r="W5" i="110"/>
  <c r="W47" i="110" s="1"/>
  <c r="L5" i="106"/>
  <c r="X38" i="106"/>
  <c r="W38" i="124" s="1"/>
  <c r="W93" i="124" s="1"/>
  <c r="W10" i="106"/>
  <c r="V10" i="124" s="1"/>
  <c r="V65" i="124" s="1"/>
  <c r="Q39" i="106"/>
  <c r="Q39" i="124" s="1"/>
  <c r="Q94" i="124" s="1"/>
  <c r="L6" i="118"/>
  <c r="O6" i="118" s="1"/>
  <c r="AG6" i="114"/>
  <c r="L8" i="118"/>
  <c r="O8" i="118" s="1"/>
  <c r="AG8" i="114"/>
  <c r="L2" i="118"/>
  <c r="O2" i="118" s="1"/>
  <c r="AG2" i="114"/>
  <c r="L27" i="118"/>
  <c r="O27" i="118" s="1"/>
  <c r="AG27" i="114"/>
  <c r="L13" i="118"/>
  <c r="O13" i="118" s="1"/>
  <c r="AG13" i="114"/>
  <c r="AB25" i="105"/>
  <c r="Y25" i="120"/>
  <c r="Y25" i="107"/>
  <c r="AB25" i="107" s="1"/>
  <c r="AB51" i="105"/>
  <c r="Y51" i="107"/>
  <c r="Y51" i="106"/>
  <c r="AB51" i="106" s="1"/>
  <c r="X33" i="124"/>
  <c r="X88" i="124" s="1"/>
  <c r="Y33" i="107"/>
  <c r="AB33" i="107" s="1"/>
  <c r="Y33" i="106"/>
  <c r="Y10" i="107"/>
  <c r="AB10" i="107" s="1"/>
  <c r="Y10" i="106"/>
  <c r="AB10" i="106" s="1"/>
  <c r="AB17" i="105"/>
  <c r="AB56" i="105" s="1"/>
  <c r="Y17" i="107"/>
  <c r="Y20" i="107"/>
  <c r="AB20" i="107" s="1"/>
  <c r="Y20" i="106"/>
  <c r="AB20" i="106" s="1"/>
  <c r="Y28" i="107"/>
  <c r="AB28" i="107" s="1"/>
  <c r="N47" i="110"/>
  <c r="P47" i="110"/>
  <c r="M53" i="106"/>
  <c r="M53" i="124" s="1"/>
  <c r="M108" i="124" s="1"/>
  <c r="E14" i="126"/>
  <c r="O14" i="126"/>
  <c r="AE5" i="124"/>
  <c r="AE60" i="124" s="1"/>
  <c r="M56" i="107"/>
  <c r="M34" i="106"/>
  <c r="M34" i="124" s="1"/>
  <c r="M89" i="124" s="1"/>
  <c r="M30" i="106"/>
  <c r="M30" i="124" s="1"/>
  <c r="M85" i="124" s="1"/>
  <c r="AA44" i="124"/>
  <c r="AA99" i="124" s="1"/>
  <c r="S42" i="125"/>
  <c r="S88" i="125" s="1"/>
  <c r="Q42" i="110"/>
  <c r="Q14" i="111"/>
  <c r="AA29" i="124"/>
  <c r="AA84" i="124" s="1"/>
  <c r="U44" i="124"/>
  <c r="U99" i="124" s="1"/>
  <c r="V44" i="120"/>
  <c r="V44" i="107"/>
  <c r="V44" i="106"/>
  <c r="V17" i="120"/>
  <c r="V17" i="107"/>
  <c r="U17" i="124" s="1"/>
  <c r="U72" i="124" s="1"/>
  <c r="V17" i="106"/>
  <c r="U52" i="124"/>
  <c r="U107" i="124" s="1"/>
  <c r="V52" i="120"/>
  <c r="V52" i="107"/>
  <c r="V52" i="106"/>
  <c r="V43" i="120"/>
  <c r="V43" i="107"/>
  <c r="U43" i="124" s="1"/>
  <c r="U98" i="124" s="1"/>
  <c r="V43" i="106"/>
  <c r="U22" i="124"/>
  <c r="U77" i="124" s="1"/>
  <c r="V22" i="120"/>
  <c r="V22" i="107"/>
  <c r="V22" i="106"/>
  <c r="V39" i="120"/>
  <c r="V39" i="107"/>
  <c r="U39" i="124" s="1"/>
  <c r="U94" i="124" s="1"/>
  <c r="V39" i="106"/>
  <c r="AI50" i="120"/>
  <c r="AA34" i="124"/>
  <c r="AA89" i="124" s="1"/>
  <c r="M13" i="125"/>
  <c r="M59" i="125" s="1"/>
  <c r="W19" i="106"/>
  <c r="V19" i="124" s="1"/>
  <c r="V74" i="124" s="1"/>
  <c r="W9" i="106"/>
  <c r="V9" i="124" s="1"/>
  <c r="V64" i="124" s="1"/>
  <c r="W5" i="121"/>
  <c r="W47" i="121" s="1"/>
  <c r="U47" i="121"/>
  <c r="Q34" i="121"/>
  <c r="AA37" i="124"/>
  <c r="AA92" i="124" s="1"/>
  <c r="W28" i="106"/>
  <c r="V28" i="124" s="1"/>
  <c r="V83" i="124" s="1"/>
  <c r="Q50" i="106"/>
  <c r="Q50" i="124" s="1"/>
  <c r="Q105" i="124" s="1"/>
  <c r="AB29" i="105"/>
  <c r="V8" i="128"/>
  <c r="M35" i="106"/>
  <c r="M35" i="124" s="1"/>
  <c r="M90" i="124" s="1"/>
  <c r="M42" i="106"/>
  <c r="M42" i="124" s="1"/>
  <c r="M97" i="124" s="1"/>
  <c r="W21" i="110"/>
  <c r="L56" i="107"/>
  <c r="L44" i="106"/>
  <c r="L44" i="124" s="1"/>
  <c r="L99" i="124" s="1"/>
  <c r="L6" i="106"/>
  <c r="L6" i="124" s="1"/>
  <c r="L61" i="124" s="1"/>
  <c r="X51" i="120"/>
  <c r="X27" i="120"/>
  <c r="X56" i="120" s="1"/>
  <c r="X38" i="120"/>
  <c r="M43" i="125"/>
  <c r="M89" i="125" s="1"/>
  <c r="M15" i="125"/>
  <c r="M61" i="125" s="1"/>
  <c r="W18" i="106"/>
  <c r="V18" i="124" s="1"/>
  <c r="V73" i="124" s="1"/>
  <c r="W47" i="106"/>
  <c r="V47" i="124" s="1"/>
  <c r="V102" i="124" s="1"/>
  <c r="Q8" i="106"/>
  <c r="Q8" i="124" s="1"/>
  <c r="Q63" i="124" s="1"/>
  <c r="Q10" i="106"/>
  <c r="Q10" i="124" s="1"/>
  <c r="Q65" i="124" s="1"/>
  <c r="AI26" i="106"/>
  <c r="AE26" i="124" s="1"/>
  <c r="AE81" i="124" s="1"/>
  <c r="AI33" i="106"/>
  <c r="AE33" i="124" s="1"/>
  <c r="AE88" i="124" s="1"/>
  <c r="AI53" i="106"/>
  <c r="AE53" i="124" s="1"/>
  <c r="AE108" i="124" s="1"/>
  <c r="L14" i="118"/>
  <c r="O14" i="118" s="1"/>
  <c r="AG14" i="114"/>
  <c r="L16" i="118"/>
  <c r="O16" i="118" s="1"/>
  <c r="AG16" i="114"/>
  <c r="L10" i="118"/>
  <c r="O10" i="118" s="1"/>
  <c r="AG10" i="114"/>
  <c r="L35" i="118"/>
  <c r="O35" i="118" s="1"/>
  <c r="AG35" i="114"/>
  <c r="L21" i="118"/>
  <c r="O21" i="118" s="1"/>
  <c r="AG21" i="114"/>
  <c r="AB18" i="105"/>
  <c r="Y18" i="120"/>
  <c r="Y18" i="107"/>
  <c r="AB18" i="107" s="1"/>
  <c r="Y5" i="107"/>
  <c r="Y56" i="105"/>
  <c r="Y61" i="105" s="1"/>
  <c r="Y45" i="106" s="1"/>
  <c r="X45" i="124" s="1"/>
  <c r="X100" i="124" s="1"/>
  <c r="Y5" i="106"/>
  <c r="X5" i="124" s="1"/>
  <c r="X60" i="124" s="1"/>
  <c r="AB22" i="105"/>
  <c r="X22" i="124"/>
  <c r="X77" i="124" s="1"/>
  <c r="Y22" i="107"/>
  <c r="AB22" i="107" s="1"/>
  <c r="Y22" i="106"/>
  <c r="AB22" i="106" s="1"/>
  <c r="Y39" i="120"/>
  <c r="Y39" i="107"/>
  <c r="AB39" i="107" s="1"/>
  <c r="Y39" i="106"/>
  <c r="X39" i="124" s="1"/>
  <c r="X94" i="124" s="1"/>
  <c r="X11" i="124"/>
  <c r="X66" i="124" s="1"/>
  <c r="Y11" i="107"/>
  <c r="Y11" i="106"/>
  <c r="Y15" i="120"/>
  <c r="Y15" i="107"/>
  <c r="AB15" i="107" s="1"/>
  <c r="Y15" i="106"/>
  <c r="AB15" i="106" s="1"/>
  <c r="V31" i="128"/>
  <c r="AA33" i="124"/>
  <c r="AA88" i="124" s="1"/>
  <c r="M47" i="110"/>
  <c r="Q12" i="110"/>
  <c r="V24" i="128"/>
  <c r="M46" i="120"/>
  <c r="M44" i="120"/>
  <c r="M50" i="120"/>
  <c r="O13" i="126"/>
  <c r="E13" i="126"/>
  <c r="U10" i="124"/>
  <c r="U65" i="124" s="1"/>
  <c r="V10" i="120"/>
  <c r="V10" i="107"/>
  <c r="V10" i="106"/>
  <c r="V53" i="120"/>
  <c r="V53" i="107"/>
  <c r="V53" i="106"/>
  <c r="U53" i="124" s="1"/>
  <c r="U108" i="124" s="1"/>
  <c r="U6" i="124"/>
  <c r="U61" i="124" s="1"/>
  <c r="V6" i="120"/>
  <c r="V6" i="107"/>
  <c r="V6" i="106"/>
  <c r="V27" i="120"/>
  <c r="V27" i="107"/>
  <c r="V27" i="106"/>
  <c r="U27" i="124" s="1"/>
  <c r="U82" i="124" s="1"/>
  <c r="U26" i="124"/>
  <c r="U81" i="124" s="1"/>
  <c r="V26" i="120"/>
  <c r="V26" i="107"/>
  <c r="V26" i="106"/>
  <c r="V34" i="120"/>
  <c r="V34" i="106"/>
  <c r="V34" i="107"/>
  <c r="U34" i="124" s="1"/>
  <c r="U89" i="124" s="1"/>
  <c r="AI27" i="120"/>
  <c r="AI6" i="120"/>
  <c r="AI56" i="120" s="1"/>
  <c r="AI36" i="120"/>
  <c r="M24" i="106"/>
  <c r="M24" i="124" s="1"/>
  <c r="M79" i="124" s="1"/>
  <c r="M33" i="106"/>
  <c r="M33" i="124" s="1"/>
  <c r="M88" i="124" s="1"/>
  <c r="W23" i="106"/>
  <c r="V23" i="124" s="1"/>
  <c r="V78" i="124" s="1"/>
  <c r="W21" i="106"/>
  <c r="V21" i="124" s="1"/>
  <c r="V76" i="124" s="1"/>
  <c r="Q42" i="106"/>
  <c r="Q42" i="124" s="1"/>
  <c r="Q97" i="124" s="1"/>
  <c r="Q25" i="106"/>
  <c r="Q25" i="124" s="1"/>
  <c r="Q80" i="124" s="1"/>
  <c r="Q34" i="106"/>
  <c r="Q34" i="124" s="1"/>
  <c r="Q89" i="124" s="1"/>
  <c r="I11" i="127"/>
  <c r="AI37" i="106"/>
  <c r="AE37" i="124" s="1"/>
  <c r="AE92" i="124" s="1"/>
  <c r="AI47" i="106"/>
  <c r="AE47" i="124" s="1"/>
  <c r="AE102" i="124" s="1"/>
  <c r="AI31" i="106"/>
  <c r="AE31" i="124" s="1"/>
  <c r="AE86" i="124" s="1"/>
  <c r="AI52" i="106"/>
  <c r="AE52" i="124" s="1"/>
  <c r="AE107" i="124" s="1"/>
  <c r="M41" i="106"/>
  <c r="M41" i="124" s="1"/>
  <c r="M96" i="124" s="1"/>
  <c r="W48" i="106"/>
  <c r="V48" i="124" s="1"/>
  <c r="V103" i="124" s="1"/>
  <c r="W7" i="106"/>
  <c r="V7" i="124" s="1"/>
  <c r="V62" i="124" s="1"/>
  <c r="Q21" i="106"/>
  <c r="Q21" i="124" s="1"/>
  <c r="Q76" i="124" s="1"/>
  <c r="Q7" i="106"/>
  <c r="Q7" i="124" s="1"/>
  <c r="Q62" i="124" s="1"/>
  <c r="G7" i="126" s="1"/>
  <c r="G13" i="126" s="1"/>
  <c r="AI42" i="106"/>
  <c r="AE42" i="124" s="1"/>
  <c r="AE97" i="124" s="1"/>
  <c r="AI30" i="106"/>
  <c r="AE30" i="124" s="1"/>
  <c r="AE85" i="124" s="1"/>
  <c r="AD5" i="106"/>
  <c r="AC56" i="106"/>
  <c r="W47" i="120"/>
  <c r="W10" i="120"/>
  <c r="Q8" i="120"/>
  <c r="Q10" i="120"/>
  <c r="Q39" i="120"/>
  <c r="L22" i="118"/>
  <c r="O22" i="118" s="1"/>
  <c r="AG22" i="114"/>
  <c r="L24" i="118"/>
  <c r="O24" i="118" s="1"/>
  <c r="AG24" i="114"/>
  <c r="L18" i="118"/>
  <c r="O18" i="118" s="1"/>
  <c r="AG18" i="114"/>
  <c r="L4" i="118"/>
  <c r="O4" i="118" s="1"/>
  <c r="AG4" i="114"/>
  <c r="L29" i="118"/>
  <c r="O29" i="118" s="1"/>
  <c r="AG29" i="114"/>
  <c r="X47" i="124"/>
  <c r="X102" i="124" s="1"/>
  <c r="Y47" i="120"/>
  <c r="Y47" i="107"/>
  <c r="AB47" i="107" s="1"/>
  <c r="Y47" i="106"/>
  <c r="AB47" i="106" s="1"/>
  <c r="Y14" i="120"/>
  <c r="Y14" i="107"/>
  <c r="AB14" i="107" s="1"/>
  <c r="Y14" i="106"/>
  <c r="AB14" i="106" s="1"/>
  <c r="AB54" i="105"/>
  <c r="Y54" i="120"/>
  <c r="Y54" i="107"/>
  <c r="AB54" i="107" s="1"/>
  <c r="Y54" i="106"/>
  <c r="AB41" i="105"/>
  <c r="X41" i="124"/>
  <c r="X96" i="124" s="1"/>
  <c r="Y41" i="120"/>
  <c r="Y41" i="107"/>
  <c r="AB41" i="107" s="1"/>
  <c r="Y41" i="106"/>
  <c r="X44" i="124"/>
  <c r="X99" i="124" s="1"/>
  <c r="Y44" i="120"/>
  <c r="Y44" i="107"/>
  <c r="AB44" i="107" s="1"/>
  <c r="Y44" i="106"/>
  <c r="AB44" i="106" s="1"/>
  <c r="X38" i="124"/>
  <c r="X93" i="124" s="1"/>
  <c r="Y38" i="120"/>
  <c r="Y38" i="107"/>
  <c r="AB38" i="107" s="1"/>
  <c r="Y38" i="106"/>
  <c r="AB38" i="106" s="1"/>
  <c r="B9" i="127"/>
  <c r="O47" i="111"/>
  <c r="U56" i="107"/>
  <c r="AB5" i="107"/>
  <c r="N5" i="125"/>
  <c r="N51" i="125" s="1"/>
  <c r="W45" i="121"/>
  <c r="P5" i="125"/>
  <c r="P51" i="125" s="1"/>
  <c r="V28" i="128"/>
  <c r="M18" i="120"/>
  <c r="M53" i="120"/>
  <c r="M21" i="120"/>
  <c r="AA50" i="124"/>
  <c r="AA105" i="124" s="1"/>
  <c r="Q25" i="121"/>
  <c r="AI49" i="120"/>
  <c r="AI19" i="120"/>
  <c r="M5" i="120"/>
  <c r="M34" i="120"/>
  <c r="M30" i="120"/>
  <c r="M16" i="125"/>
  <c r="M62" i="125" s="1"/>
  <c r="M47" i="121"/>
  <c r="Q42" i="121"/>
  <c r="AA49" i="124"/>
  <c r="AA104" i="124" s="1"/>
  <c r="W42" i="106"/>
  <c r="V42" i="124" s="1"/>
  <c r="V97" i="124" s="1"/>
  <c r="W37" i="106"/>
  <c r="V37" i="124" s="1"/>
  <c r="V92" i="124" s="1"/>
  <c r="V45" i="120"/>
  <c r="V45" i="107"/>
  <c r="U45" i="124" s="1"/>
  <c r="U100" i="124" s="1"/>
  <c r="V45" i="106"/>
  <c r="U19" i="124"/>
  <c r="U74" i="124" s="1"/>
  <c r="V19" i="120"/>
  <c r="V19" i="107"/>
  <c r="V19" i="106"/>
  <c r="V37" i="120"/>
  <c r="V37" i="107"/>
  <c r="U37" i="124" s="1"/>
  <c r="U92" i="124" s="1"/>
  <c r="V37" i="106"/>
  <c r="U31" i="124"/>
  <c r="U86" i="124" s="1"/>
  <c r="V31" i="120"/>
  <c r="V31" i="107"/>
  <c r="V31" i="106"/>
  <c r="V36" i="120"/>
  <c r="V36" i="107"/>
  <c r="U36" i="124" s="1"/>
  <c r="U91" i="124" s="1"/>
  <c r="V36" i="106"/>
  <c r="U8" i="124"/>
  <c r="U63" i="124" s="1"/>
  <c r="V8" i="120"/>
  <c r="V8" i="107"/>
  <c r="V8" i="106"/>
  <c r="V22" i="128"/>
  <c r="M11" i="106"/>
  <c r="M11" i="124" s="1"/>
  <c r="M66" i="124" s="1"/>
  <c r="AA35" i="124"/>
  <c r="AA90" i="124" s="1"/>
  <c r="W19" i="120"/>
  <c r="W23" i="120"/>
  <c r="W21" i="120"/>
  <c r="W9" i="120"/>
  <c r="AB43" i="105"/>
  <c r="M48" i="106"/>
  <c r="M48" i="124" s="1"/>
  <c r="M103" i="124" s="1"/>
  <c r="AA11" i="124"/>
  <c r="AA66" i="124" s="1"/>
  <c r="Q31" i="121"/>
  <c r="W28" i="120"/>
  <c r="W48" i="120"/>
  <c r="W7" i="120"/>
  <c r="W56" i="120" s="1"/>
  <c r="Q21" i="120"/>
  <c r="Q7" i="120"/>
  <c r="Q56" i="120" s="1"/>
  <c r="Q50" i="120"/>
  <c r="AI20" i="106"/>
  <c r="AE20" i="124" s="1"/>
  <c r="AE75" i="124" s="1"/>
  <c r="M35" i="120"/>
  <c r="M42" i="120"/>
  <c r="AD5" i="107"/>
  <c r="AD56" i="107" s="1"/>
  <c r="AC56" i="107"/>
  <c r="AC42" i="120"/>
  <c r="AD42" i="120" s="1"/>
  <c r="L5" i="120"/>
  <c r="L56" i="120" s="1"/>
  <c r="L44" i="120"/>
  <c r="L6" i="120"/>
  <c r="X13" i="106"/>
  <c r="W13" i="124" s="1"/>
  <c r="W68" i="124" s="1"/>
  <c r="M9" i="126" s="1"/>
  <c r="W18" i="120"/>
  <c r="AI26" i="120"/>
  <c r="AI33" i="120"/>
  <c r="AI53" i="120"/>
  <c r="L30" i="118"/>
  <c r="O30" i="118" s="1"/>
  <c r="AG30" i="114"/>
  <c r="L32" i="118"/>
  <c r="O32" i="118" s="1"/>
  <c r="AG32" i="114"/>
  <c r="L26" i="118"/>
  <c r="O26" i="118" s="1"/>
  <c r="AG26" i="114"/>
  <c r="L12" i="118"/>
  <c r="O12" i="118" s="1"/>
  <c r="AG12" i="114"/>
  <c r="L37" i="118"/>
  <c r="O37" i="118" s="1"/>
  <c r="AG37" i="114"/>
  <c r="G11" i="127"/>
  <c r="X27" i="124"/>
  <c r="X82" i="124" s="1"/>
  <c r="Y27" i="120"/>
  <c r="Y27" i="107"/>
  <c r="AB27" i="107" s="1"/>
  <c r="Y27" i="106"/>
  <c r="AB27" i="106" s="1"/>
  <c r="Y42" i="120"/>
  <c r="Y42" i="107"/>
  <c r="AB42" i="107" s="1"/>
  <c r="Y42" i="106"/>
  <c r="X26" i="124"/>
  <c r="X81" i="124" s="1"/>
  <c r="Y26" i="120"/>
  <c r="Y26" i="107"/>
  <c r="AB26" i="107" s="1"/>
  <c r="Y26" i="106"/>
  <c r="AB53" i="105"/>
  <c r="X53" i="124"/>
  <c r="X108" i="124" s="1"/>
  <c r="Y53" i="120"/>
  <c r="Y53" i="107"/>
  <c r="AB53" i="107" s="1"/>
  <c r="Y53" i="106"/>
  <c r="AB53" i="106" s="1"/>
  <c r="Y36" i="120"/>
  <c r="Y36" i="107"/>
  <c r="Y36" i="106"/>
  <c r="X36" i="124" s="1"/>
  <c r="X91" i="124" s="1"/>
  <c r="AB46" i="105"/>
  <c r="X46" i="124"/>
  <c r="X101" i="124" s="1"/>
  <c r="Y46" i="120"/>
  <c r="Y46" i="107"/>
  <c r="AB46" i="107" s="1"/>
  <c r="Y46" i="106"/>
  <c r="B7" i="127"/>
  <c r="B13" i="127" s="1"/>
  <c r="M14" i="120"/>
  <c r="M5" i="125"/>
  <c r="M51" i="125" s="1"/>
  <c r="AI12" i="120"/>
  <c r="AI10" i="120"/>
  <c r="AI9" i="120"/>
  <c r="M22" i="106"/>
  <c r="M22" i="124" s="1"/>
  <c r="M77" i="124" s="1"/>
  <c r="AA41" i="124"/>
  <c r="AA96" i="124" s="1"/>
  <c r="M17" i="106"/>
  <c r="M17" i="124" s="1"/>
  <c r="M72" i="124" s="1"/>
  <c r="Q56" i="107"/>
  <c r="V13" i="120"/>
  <c r="V13" i="107"/>
  <c r="U13" i="124" s="1"/>
  <c r="U68" i="124" s="1"/>
  <c r="V13" i="106"/>
  <c r="U11" i="124"/>
  <c r="U66" i="124" s="1"/>
  <c r="V11" i="120"/>
  <c r="V11" i="106"/>
  <c r="V11" i="107"/>
  <c r="V21" i="120"/>
  <c r="V21" i="107"/>
  <c r="U21" i="124" s="1"/>
  <c r="U76" i="124" s="1"/>
  <c r="V21" i="106"/>
  <c r="U35" i="124"/>
  <c r="U90" i="124" s="1"/>
  <c r="V35" i="120"/>
  <c r="V35" i="107"/>
  <c r="V35" i="106"/>
  <c r="V51" i="120"/>
  <c r="V51" i="107"/>
  <c r="U51" i="124" s="1"/>
  <c r="U106" i="124" s="1"/>
  <c r="V51" i="106"/>
  <c r="U9" i="124"/>
  <c r="U64" i="124" s="1"/>
  <c r="V9" i="120"/>
  <c r="V9" i="107"/>
  <c r="V9" i="106"/>
  <c r="AI7" i="106"/>
  <c r="AE7" i="124" s="1"/>
  <c r="AE62" i="124" s="1"/>
  <c r="AI22" i="106"/>
  <c r="AE22" i="124" s="1"/>
  <c r="AE77" i="124" s="1"/>
  <c r="AI45" i="106"/>
  <c r="AE45" i="124" s="1"/>
  <c r="AE100" i="124" s="1"/>
  <c r="M11" i="120"/>
  <c r="M24" i="120"/>
  <c r="M33" i="120"/>
  <c r="V47" i="111"/>
  <c r="AA40" i="124"/>
  <c r="AA95" i="124" s="1"/>
  <c r="Q14" i="121"/>
  <c r="Q42" i="120"/>
  <c r="Q25" i="120"/>
  <c r="Q34" i="120"/>
  <c r="AB28" i="105"/>
  <c r="AI37" i="120"/>
  <c r="AI47" i="120"/>
  <c r="AI31" i="120"/>
  <c r="AI52" i="120"/>
  <c r="M48" i="120"/>
  <c r="M41" i="120"/>
  <c r="AA32" i="124"/>
  <c r="AA87" i="124" s="1"/>
  <c r="S17" i="125"/>
  <c r="S63" i="125" s="1"/>
  <c r="I7" i="127" s="1"/>
  <c r="I13" i="127" s="1"/>
  <c r="AI42" i="120"/>
  <c r="AI20" i="120"/>
  <c r="AI30" i="120"/>
  <c r="L40" i="106"/>
  <c r="L40" i="124" s="1"/>
  <c r="L95" i="124" s="1"/>
  <c r="X56" i="107"/>
  <c r="X17" i="106"/>
  <c r="W17" i="124" s="1"/>
  <c r="W72" i="124" s="1"/>
  <c r="Q23" i="121"/>
  <c r="W45" i="106"/>
  <c r="V45" i="124" s="1"/>
  <c r="V100" i="124" s="1"/>
  <c r="Q54" i="106"/>
  <c r="Q54" i="124" s="1"/>
  <c r="Q109" i="124" s="1"/>
  <c r="Q9" i="106"/>
  <c r="Q9" i="124" s="1"/>
  <c r="Q64" i="124" s="1"/>
  <c r="Q53" i="106"/>
  <c r="Q53" i="124" s="1"/>
  <c r="Q108" i="124" s="1"/>
  <c r="L7" i="118"/>
  <c r="O7" i="118" s="1"/>
  <c r="AG7" i="114"/>
  <c r="L9" i="118"/>
  <c r="O9" i="118" s="1"/>
  <c r="AG9" i="114"/>
  <c r="L34" i="118"/>
  <c r="O34" i="118" s="1"/>
  <c r="AG34" i="114"/>
  <c r="L20" i="118"/>
  <c r="O20" i="118" s="1"/>
  <c r="AG20" i="114"/>
  <c r="AB52" i="105"/>
  <c r="X52" i="124"/>
  <c r="X107" i="124" s="1"/>
  <c r="Y52" i="120"/>
  <c r="Y52" i="107"/>
  <c r="AB52" i="107" s="1"/>
  <c r="Y52" i="106"/>
  <c r="AB52" i="106" s="1"/>
  <c r="Y13" i="120"/>
  <c r="Y13" i="107"/>
  <c r="Y13" i="106"/>
  <c r="AB13" i="106" s="1"/>
  <c r="AB49" i="105"/>
  <c r="X49" i="124"/>
  <c r="X104" i="124" s="1"/>
  <c r="Y49" i="120"/>
  <c r="Y49" i="107"/>
  <c r="AB49" i="107" s="1"/>
  <c r="Y49" i="106"/>
  <c r="AB49" i="106" s="1"/>
  <c r="Y24" i="120"/>
  <c r="Y24" i="107"/>
  <c r="AB24" i="107" s="1"/>
  <c r="Y24" i="106"/>
  <c r="X24" i="124" s="1"/>
  <c r="X79" i="124" s="1"/>
  <c r="AB40" i="105"/>
  <c r="Y40" i="120"/>
  <c r="Y40" i="107"/>
  <c r="AB40" i="107" s="1"/>
  <c r="Y40" i="106"/>
  <c r="X40" i="124" s="1"/>
  <c r="X95" i="124" s="1"/>
  <c r="Y48" i="120"/>
  <c r="Y48" i="107"/>
  <c r="AB48" i="107" s="1"/>
  <c r="Y48" i="106"/>
  <c r="AB48" i="106" s="1"/>
  <c r="Y45" i="111"/>
  <c r="AB45" i="111" s="1"/>
  <c r="S33" i="130" s="1"/>
  <c r="Y24" i="111"/>
  <c r="AB24" i="111" s="1"/>
  <c r="S12" i="130" s="1"/>
  <c r="Y33" i="111"/>
  <c r="AB33" i="111" s="1"/>
  <c r="S23" i="130" s="1"/>
  <c r="Y41" i="111"/>
  <c r="AB41" i="111" s="1"/>
  <c r="S29" i="130" s="1"/>
  <c r="Y17" i="111"/>
  <c r="AB17" i="111" s="1"/>
  <c r="Y26" i="111"/>
  <c r="AB26" i="111" s="1"/>
  <c r="S14" i="130" s="1"/>
  <c r="Y36" i="111"/>
  <c r="AB36" i="111" s="1"/>
  <c r="Y44" i="111"/>
  <c r="AB44" i="111" s="1"/>
  <c r="S32" i="130" s="1"/>
  <c r="Y31" i="111"/>
  <c r="AB31" i="111" s="1"/>
  <c r="Y27" i="111"/>
  <c r="AB27" i="111" s="1"/>
  <c r="Y8" i="111"/>
  <c r="AB8" i="111" s="1"/>
  <c r="Y25" i="111"/>
  <c r="AB25" i="111" s="1"/>
  <c r="S13" i="130" s="1"/>
  <c r="Y11" i="111"/>
  <c r="AB11" i="111" s="1"/>
  <c r="S5" i="130" s="1"/>
  <c r="Y30" i="111"/>
  <c r="AB30" i="111" s="1"/>
  <c r="S19" i="130" s="1"/>
  <c r="Y12" i="111"/>
  <c r="AB12" i="111" s="1"/>
  <c r="S6" i="130" s="1"/>
  <c r="Y35" i="111"/>
  <c r="AB35" i="111" s="1"/>
  <c r="Y19" i="111"/>
  <c r="AB19" i="111" s="1"/>
  <c r="S8" i="130" s="1"/>
  <c r="Y42" i="111"/>
  <c r="AB42" i="111" s="1"/>
  <c r="S31" i="130" s="1"/>
  <c r="Y29" i="111"/>
  <c r="AB29" i="111" s="1"/>
  <c r="S18" i="130" s="1"/>
  <c r="Y22" i="111"/>
  <c r="AB22" i="111" s="1"/>
  <c r="Y14" i="111"/>
  <c r="AB14" i="111" s="1"/>
  <c r="S9" i="130" s="1"/>
  <c r="Y32" i="111"/>
  <c r="AB32" i="111" s="1"/>
  <c r="S22" i="130" s="1"/>
  <c r="Y21" i="111"/>
  <c r="AB21" i="111" s="1"/>
  <c r="Y40" i="111"/>
  <c r="AB40" i="111" s="1"/>
  <c r="S28" i="130" s="1"/>
  <c r="Y28" i="111"/>
  <c r="AB28" i="111" s="1"/>
  <c r="S17" i="130" s="1"/>
  <c r="Y43" i="111"/>
  <c r="AB43" i="111" s="1"/>
  <c r="S30" i="130" s="1"/>
  <c r="Y23" i="111"/>
  <c r="AB23" i="111" s="1"/>
  <c r="Y18" i="111"/>
  <c r="AB18" i="111" s="1"/>
  <c r="Y20" i="111"/>
  <c r="AB20" i="111" s="1"/>
  <c r="S10" i="130" s="1"/>
  <c r="Y38" i="111"/>
  <c r="AB38" i="111" s="1"/>
  <c r="Y15" i="111"/>
  <c r="AB15" i="111" s="1"/>
  <c r="S11" i="130" s="1"/>
  <c r="Y13" i="111"/>
  <c r="AB13" i="111" s="1"/>
  <c r="S7" i="130" s="1"/>
  <c r="Y6" i="111"/>
  <c r="AB6" i="111" s="1"/>
  <c r="Y34" i="111"/>
  <c r="AB34" i="111" s="1"/>
  <c r="S24" i="130" s="1"/>
  <c r="Y39" i="111"/>
  <c r="AB39" i="111" s="1"/>
  <c r="S27" i="130" s="1"/>
  <c r="Y37" i="111"/>
  <c r="AB37" i="111" s="1"/>
  <c r="AQ15" i="120"/>
  <c r="AB50" i="110"/>
  <c r="AB50" i="111"/>
  <c r="AB50" i="109"/>
  <c r="AB50" i="108"/>
  <c r="Q47" i="110"/>
  <c r="AM59" i="107"/>
  <c r="AM59" i="106"/>
  <c r="AM59" i="105"/>
  <c r="AE58" i="107"/>
  <c r="AE58" i="106"/>
  <c r="AO57" i="106" s="1"/>
  <c r="AE58" i="105"/>
  <c r="X49" i="111"/>
  <c r="X49" i="110"/>
  <c r="X49" i="109"/>
  <c r="X52" i="109" s="1"/>
  <c r="X5" i="121" s="1"/>
  <c r="X49" i="108"/>
  <c r="X5" i="111"/>
  <c r="AB47" i="109"/>
  <c r="Q47" i="111"/>
  <c r="AE60" i="104"/>
  <c r="AM61" i="104"/>
  <c r="E43" i="5"/>
  <c r="Y49" i="121" s="1"/>
  <c r="E23" i="5"/>
  <c r="AG58" i="120" s="1"/>
  <c r="P14" i="126" l="1"/>
  <c r="G11" i="130"/>
  <c r="G6" i="130"/>
  <c r="S21" i="130"/>
  <c r="S16" i="130"/>
  <c r="S26" i="130"/>
  <c r="S15" i="130"/>
  <c r="S25" i="130"/>
  <c r="S20" i="130"/>
  <c r="Y5" i="121"/>
  <c r="I14" i="127"/>
  <c r="I15" i="127"/>
  <c r="M15" i="126"/>
  <c r="M14" i="126"/>
  <c r="X48" i="124"/>
  <c r="X103" i="124" s="1"/>
  <c r="AB13" i="107"/>
  <c r="AB36" i="107"/>
  <c r="X20" i="124"/>
  <c r="X75" i="124" s="1"/>
  <c r="Y10" i="120"/>
  <c r="Y51" i="120"/>
  <c r="Y21" i="106"/>
  <c r="Y37" i="106"/>
  <c r="Y50" i="106"/>
  <c r="J9" i="127"/>
  <c r="J11" i="127"/>
  <c r="J7" i="127"/>
  <c r="J13" i="127" s="1"/>
  <c r="AB19" i="107"/>
  <c r="Y43" i="106"/>
  <c r="AB45" i="107"/>
  <c r="X23" i="121"/>
  <c r="Y23" i="121" s="1"/>
  <c r="V5" i="120"/>
  <c r="Y35" i="106"/>
  <c r="Y9" i="120"/>
  <c r="AB9" i="120" s="1"/>
  <c r="Y16" i="106"/>
  <c r="X35" i="121"/>
  <c r="Y35" i="121" s="1"/>
  <c r="T11" i="126"/>
  <c r="T7" i="126"/>
  <c r="T13" i="126" s="1"/>
  <c r="AH56" i="120"/>
  <c r="X26" i="121"/>
  <c r="Y26" i="121" s="1"/>
  <c r="AB15" i="120"/>
  <c r="M56" i="120"/>
  <c r="X40" i="121"/>
  <c r="Y40" i="121" s="1"/>
  <c r="AB54" i="106"/>
  <c r="X14" i="124"/>
  <c r="X69" i="124" s="1"/>
  <c r="X15" i="124"/>
  <c r="X70" i="124" s="1"/>
  <c r="Y5" i="120"/>
  <c r="Y28" i="106"/>
  <c r="Y17" i="106"/>
  <c r="X10" i="124"/>
  <c r="X65" i="124" s="1"/>
  <c r="X51" i="124"/>
  <c r="X106" i="124" s="1"/>
  <c r="AD42" i="106"/>
  <c r="AA42" i="124"/>
  <c r="AA97" i="124" s="1"/>
  <c r="AB21" i="107"/>
  <c r="AB37" i="107"/>
  <c r="AD53" i="106"/>
  <c r="AA53" i="124"/>
  <c r="AA108" i="124" s="1"/>
  <c r="W56" i="106"/>
  <c r="V5" i="124"/>
  <c r="V60" i="124" s="1"/>
  <c r="Y19" i="120"/>
  <c r="AB43" i="107"/>
  <c r="Y45" i="120"/>
  <c r="M7" i="126"/>
  <c r="M13" i="126" s="1"/>
  <c r="X29" i="121"/>
  <c r="Y29" i="121" s="1"/>
  <c r="V54" i="106"/>
  <c r="U54" i="124" s="1"/>
  <c r="U109" i="124" s="1"/>
  <c r="V46" i="106"/>
  <c r="U46" i="124" s="1"/>
  <c r="U101" i="124" s="1"/>
  <c r="V25" i="106"/>
  <c r="U25" i="124" s="1"/>
  <c r="U80" i="124" s="1"/>
  <c r="AB35" i="107"/>
  <c r="Y30" i="106"/>
  <c r="X30" i="124" s="1"/>
  <c r="X85" i="124" s="1"/>
  <c r="AB16" i="107"/>
  <c r="V41" i="106"/>
  <c r="U41" i="124" s="1"/>
  <c r="U96" i="124" s="1"/>
  <c r="V33" i="106"/>
  <c r="U33" i="124" s="1"/>
  <c r="U88" i="124" s="1"/>
  <c r="V16" i="106"/>
  <c r="U16" i="124" s="1"/>
  <c r="U71" i="124" s="1"/>
  <c r="X43" i="121"/>
  <c r="Y43" i="121" s="1"/>
  <c r="X11" i="121"/>
  <c r="Y11" i="121" s="1"/>
  <c r="T33" i="124"/>
  <c r="T88" i="124" s="1"/>
  <c r="AB35" i="120"/>
  <c r="AB29" i="120"/>
  <c r="U56" i="106"/>
  <c r="T5" i="124"/>
  <c r="T60" i="124" s="1"/>
  <c r="AB5" i="106"/>
  <c r="X13" i="124"/>
  <c r="X68" i="124" s="1"/>
  <c r="AB46" i="106"/>
  <c r="AB11" i="106"/>
  <c r="AB17" i="107"/>
  <c r="Y21" i="120"/>
  <c r="Y37" i="120"/>
  <c r="AB37" i="120" s="1"/>
  <c r="Y50" i="120"/>
  <c r="Y43" i="120"/>
  <c r="AB43" i="120" s="1"/>
  <c r="M11" i="126"/>
  <c r="V7" i="106"/>
  <c r="U7" i="124" s="1"/>
  <c r="U62" i="124" s="1"/>
  <c r="K7" i="126" s="1"/>
  <c r="K13" i="126" s="1"/>
  <c r="Y35" i="120"/>
  <c r="AB30" i="107"/>
  <c r="Y16" i="120"/>
  <c r="R5" i="106"/>
  <c r="R6" i="120"/>
  <c r="R24" i="106"/>
  <c r="R33" i="120"/>
  <c r="R37" i="106"/>
  <c r="R37" i="124" s="1"/>
  <c r="R92" i="124" s="1"/>
  <c r="R12" i="120"/>
  <c r="R28" i="106"/>
  <c r="R28" i="124" s="1"/>
  <c r="R83" i="124" s="1"/>
  <c r="R43" i="120"/>
  <c r="R40" i="120"/>
  <c r="R9" i="106"/>
  <c r="R9" i="124" s="1"/>
  <c r="R64" i="124" s="1"/>
  <c r="R14" i="106"/>
  <c r="R14" i="124" s="1"/>
  <c r="R69" i="124" s="1"/>
  <c r="R54" i="120"/>
  <c r="R48" i="106"/>
  <c r="R48" i="124" s="1"/>
  <c r="R103" i="124" s="1"/>
  <c r="R36" i="120"/>
  <c r="R31" i="106"/>
  <c r="R22" i="120"/>
  <c r="R23" i="120"/>
  <c r="R21" i="106"/>
  <c r="R21" i="124" s="1"/>
  <c r="R76" i="124" s="1"/>
  <c r="R29" i="106"/>
  <c r="R11" i="120"/>
  <c r="R45" i="106"/>
  <c r="R45" i="124" s="1"/>
  <c r="R100" i="124" s="1"/>
  <c r="R42" i="120"/>
  <c r="R50" i="106"/>
  <c r="R50" i="124" s="1"/>
  <c r="R105" i="124" s="1"/>
  <c r="R44" i="106"/>
  <c r="R44" i="124" s="1"/>
  <c r="R99" i="124" s="1"/>
  <c r="R18" i="120"/>
  <c r="R6" i="106"/>
  <c r="R6" i="124" s="1"/>
  <c r="R61" i="124" s="1"/>
  <c r="R52" i="120"/>
  <c r="R35" i="106"/>
  <c r="R35" i="124" s="1"/>
  <c r="R90" i="124" s="1"/>
  <c r="R25" i="120"/>
  <c r="R15" i="120"/>
  <c r="R34" i="120"/>
  <c r="R8" i="106"/>
  <c r="R8" i="124" s="1"/>
  <c r="R63" i="124" s="1"/>
  <c r="R53" i="120"/>
  <c r="R46" i="106"/>
  <c r="R46" i="124" s="1"/>
  <c r="R101" i="124" s="1"/>
  <c r="R32" i="120"/>
  <c r="R54" i="106"/>
  <c r="R54" i="124" s="1"/>
  <c r="R109" i="124" s="1"/>
  <c r="R30" i="120"/>
  <c r="R33" i="106"/>
  <c r="R33" i="124" s="1"/>
  <c r="R88" i="124" s="1"/>
  <c r="R23" i="106"/>
  <c r="R23" i="124" s="1"/>
  <c r="R78" i="124" s="1"/>
  <c r="R12" i="106"/>
  <c r="R12" i="124" s="1"/>
  <c r="R67" i="124" s="1"/>
  <c r="R49" i="120"/>
  <c r="R11" i="106"/>
  <c r="R11" i="124" s="1"/>
  <c r="R66" i="124" s="1"/>
  <c r="R17" i="120"/>
  <c r="R42" i="106"/>
  <c r="R42" i="124" s="1"/>
  <c r="R97" i="124" s="1"/>
  <c r="R43" i="106"/>
  <c r="R43" i="124" s="1"/>
  <c r="R98" i="124" s="1"/>
  <c r="R26" i="120"/>
  <c r="R36" i="106"/>
  <c r="R36" i="124" s="1"/>
  <c r="R91" i="124" s="1"/>
  <c r="R7" i="120"/>
  <c r="R22" i="106"/>
  <c r="R22" i="124" s="1"/>
  <c r="R77" i="124" s="1"/>
  <c r="R47" i="120"/>
  <c r="R19" i="120"/>
  <c r="R34" i="106"/>
  <c r="R34" i="124" s="1"/>
  <c r="R89" i="124" s="1"/>
  <c r="R20" i="120"/>
  <c r="R14" i="120"/>
  <c r="R32" i="106"/>
  <c r="R5" i="120"/>
  <c r="R30" i="106"/>
  <c r="R24" i="120"/>
  <c r="R52" i="106"/>
  <c r="R52" i="124" s="1"/>
  <c r="R107" i="124" s="1"/>
  <c r="R37" i="120"/>
  <c r="R25" i="106"/>
  <c r="R15" i="106"/>
  <c r="R15" i="124" s="1"/>
  <c r="R70" i="124" s="1"/>
  <c r="R28" i="120"/>
  <c r="R53" i="106"/>
  <c r="R53" i="124" s="1"/>
  <c r="R108" i="124" s="1"/>
  <c r="R16" i="120"/>
  <c r="R17" i="106"/>
  <c r="R17" i="124" s="1"/>
  <c r="R72" i="124" s="1"/>
  <c r="R31" i="120"/>
  <c r="R21" i="120"/>
  <c r="R49" i="106"/>
  <c r="R49" i="124" s="1"/>
  <c r="R104" i="124" s="1"/>
  <c r="R19" i="106"/>
  <c r="R19" i="124" s="1"/>
  <c r="R74" i="124" s="1"/>
  <c r="R20" i="106"/>
  <c r="R20" i="124" s="1"/>
  <c r="R75" i="124" s="1"/>
  <c r="R46" i="120"/>
  <c r="R48" i="120"/>
  <c r="R7" i="106"/>
  <c r="R7" i="124" s="1"/>
  <c r="R62" i="124" s="1"/>
  <c r="R35" i="120"/>
  <c r="R29" i="120"/>
  <c r="R47" i="106"/>
  <c r="R47" i="124" s="1"/>
  <c r="R102" i="124" s="1"/>
  <c r="R8" i="120"/>
  <c r="R45" i="120"/>
  <c r="R16" i="106"/>
  <c r="R16" i="124" s="1"/>
  <c r="R71" i="124" s="1"/>
  <c r="R50" i="120"/>
  <c r="R38" i="106"/>
  <c r="R38" i="124" s="1"/>
  <c r="R93" i="124" s="1"/>
  <c r="R41" i="106"/>
  <c r="R41" i="124" s="1"/>
  <c r="R96" i="124" s="1"/>
  <c r="R27" i="120"/>
  <c r="R51" i="106"/>
  <c r="R51" i="124" s="1"/>
  <c r="R106" i="124" s="1"/>
  <c r="R26" i="106"/>
  <c r="R40" i="106"/>
  <c r="R40" i="124" s="1"/>
  <c r="R95" i="124" s="1"/>
  <c r="R39" i="106"/>
  <c r="R39" i="124" s="1"/>
  <c r="R94" i="124" s="1"/>
  <c r="R10" i="120"/>
  <c r="R27" i="106"/>
  <c r="R13" i="120"/>
  <c r="R13" i="106"/>
  <c r="R13" i="124" s="1"/>
  <c r="R68" i="124" s="1"/>
  <c r="R44" i="120"/>
  <c r="R41" i="120"/>
  <c r="R38" i="120"/>
  <c r="R18" i="106"/>
  <c r="R18" i="124" s="1"/>
  <c r="R73" i="124" s="1"/>
  <c r="R9" i="120"/>
  <c r="R39" i="120"/>
  <c r="R10" i="106"/>
  <c r="R10" i="124" s="1"/>
  <c r="R65" i="124" s="1"/>
  <c r="R51" i="120"/>
  <c r="AD30" i="106"/>
  <c r="AA30" i="124"/>
  <c r="AA85" i="124" s="1"/>
  <c r="X39" i="121"/>
  <c r="Y39" i="121" s="1"/>
  <c r="P56" i="106"/>
  <c r="P5" i="124"/>
  <c r="P60" i="124" s="1"/>
  <c r="Q47" i="121"/>
  <c r="H15" i="127"/>
  <c r="H14" i="127"/>
  <c r="AB39" i="106"/>
  <c r="T39" i="124"/>
  <c r="T94" i="124" s="1"/>
  <c r="AB45" i="106"/>
  <c r="T45" i="124"/>
  <c r="T100" i="124" s="1"/>
  <c r="T6" i="124"/>
  <c r="T61" i="124" s="1"/>
  <c r="AB45" i="120"/>
  <c r="AB40" i="120"/>
  <c r="X5" i="110"/>
  <c r="U5" i="125" s="1"/>
  <c r="U51" i="125" s="1"/>
  <c r="X27" i="121"/>
  <c r="Y27" i="121" s="1"/>
  <c r="X17" i="121"/>
  <c r="Y17" i="121" s="1"/>
  <c r="X44" i="121"/>
  <c r="Y44" i="121" s="1"/>
  <c r="X20" i="121"/>
  <c r="Y20" i="121" s="1"/>
  <c r="X31" i="121"/>
  <c r="Y31" i="121" s="1"/>
  <c r="X14" i="121"/>
  <c r="Y14" i="121" s="1"/>
  <c r="X18" i="121"/>
  <c r="Y18" i="121" s="1"/>
  <c r="X33" i="121"/>
  <c r="Y33" i="121" s="1"/>
  <c r="X36" i="121"/>
  <c r="Y36" i="121" s="1"/>
  <c r="X38" i="121"/>
  <c r="Y38" i="121" s="1"/>
  <c r="X13" i="121"/>
  <c r="Y13" i="121" s="1"/>
  <c r="B15" i="127"/>
  <c r="B14" i="127"/>
  <c r="X42" i="121"/>
  <c r="Y42" i="121" s="1"/>
  <c r="AB11" i="107"/>
  <c r="Y56" i="107"/>
  <c r="Y28" i="120"/>
  <c r="Y17" i="120"/>
  <c r="AB17" i="120" s="1"/>
  <c r="Y25" i="106"/>
  <c r="Y7" i="106"/>
  <c r="X12" i="121"/>
  <c r="Y12" i="121" s="1"/>
  <c r="V54" i="120"/>
  <c r="V46" i="120"/>
  <c r="V25" i="120"/>
  <c r="Y30" i="120"/>
  <c r="Y12" i="106"/>
  <c r="S46" i="120"/>
  <c r="S14" i="106"/>
  <c r="S54" i="120"/>
  <c r="S31" i="106"/>
  <c r="S35" i="120"/>
  <c r="S23" i="120"/>
  <c r="S21" i="106"/>
  <c r="S47" i="106"/>
  <c r="S8" i="120"/>
  <c r="S11" i="120"/>
  <c r="S16" i="106"/>
  <c r="S42" i="120"/>
  <c r="S5" i="106"/>
  <c r="S33" i="120"/>
  <c r="S37" i="106"/>
  <c r="S15" i="120"/>
  <c r="S34" i="120"/>
  <c r="S28" i="106"/>
  <c r="S53" i="120"/>
  <c r="S43" i="120"/>
  <c r="S9" i="106"/>
  <c r="S46" i="106"/>
  <c r="S32" i="120"/>
  <c r="S48" i="106"/>
  <c r="S30" i="120"/>
  <c r="S36" i="120"/>
  <c r="S22" i="120"/>
  <c r="S12" i="106"/>
  <c r="S29" i="106"/>
  <c r="S6" i="106"/>
  <c r="S52" i="120"/>
  <c r="S7" i="120"/>
  <c r="S35" i="106"/>
  <c r="S25" i="120"/>
  <c r="S19" i="120"/>
  <c r="S8" i="106"/>
  <c r="S20" i="120"/>
  <c r="S54" i="106"/>
  <c r="S5" i="120"/>
  <c r="S24" i="120"/>
  <c r="S33" i="106"/>
  <c r="S23" i="106"/>
  <c r="S49" i="120"/>
  <c r="S15" i="106"/>
  <c r="S53" i="106"/>
  <c r="S11" i="106"/>
  <c r="S16" i="120"/>
  <c r="S42" i="106"/>
  <c r="S36" i="106"/>
  <c r="S31" i="120"/>
  <c r="S22" i="106"/>
  <c r="S21" i="120"/>
  <c r="S47" i="120"/>
  <c r="S34" i="106"/>
  <c r="S14" i="120"/>
  <c r="S32" i="106"/>
  <c r="S48" i="120"/>
  <c r="S30" i="106"/>
  <c r="S52" i="106"/>
  <c r="S7" i="106"/>
  <c r="S37" i="120"/>
  <c r="S25" i="106"/>
  <c r="S29" i="120"/>
  <c r="S28" i="120"/>
  <c r="S6" i="120"/>
  <c r="S24" i="106"/>
  <c r="S12" i="120"/>
  <c r="S49" i="106"/>
  <c r="S19" i="106"/>
  <c r="S20" i="106"/>
  <c r="S45" i="106"/>
  <c r="S50" i="106"/>
  <c r="S26" i="120"/>
  <c r="S39" i="120"/>
  <c r="S41" i="106"/>
  <c r="S27" i="120"/>
  <c r="S40" i="120"/>
  <c r="S51" i="106"/>
  <c r="S17" i="120"/>
  <c r="S43" i="106"/>
  <c r="S26" i="106"/>
  <c r="S39" i="106"/>
  <c r="S13" i="120"/>
  <c r="S17" i="106"/>
  <c r="S44" i="120"/>
  <c r="S18" i="120"/>
  <c r="S40" i="106"/>
  <c r="S10" i="120"/>
  <c r="S27" i="106"/>
  <c r="S38" i="120"/>
  <c r="S41" i="120"/>
  <c r="S51" i="120"/>
  <c r="S13" i="106"/>
  <c r="S10" i="106"/>
  <c r="S45" i="120"/>
  <c r="S50" i="120"/>
  <c r="S9" i="120"/>
  <c r="S44" i="106"/>
  <c r="S18" i="106"/>
  <c r="S38" i="106"/>
  <c r="X30" i="121"/>
  <c r="Y30" i="121" s="1"/>
  <c r="V41" i="120"/>
  <c r="V33" i="120"/>
  <c r="V16" i="120"/>
  <c r="AB16" i="120" s="1"/>
  <c r="E15" i="127"/>
  <c r="E14" i="127"/>
  <c r="X8" i="121"/>
  <c r="Y8" i="121" s="1"/>
  <c r="AB49" i="120"/>
  <c r="AB44" i="120"/>
  <c r="AB26" i="106"/>
  <c r="T26" i="124"/>
  <c r="T81" i="124" s="1"/>
  <c r="AB42" i="120"/>
  <c r="AB10" i="120"/>
  <c r="AB53" i="120"/>
  <c r="AB42" i="106"/>
  <c r="X54" i="124"/>
  <c r="X109" i="124" s="1"/>
  <c r="Y11" i="120"/>
  <c r="AB11" i="120" s="1"/>
  <c r="Y22" i="120"/>
  <c r="AB22" i="120" s="1"/>
  <c r="Y18" i="106"/>
  <c r="U9" i="126"/>
  <c r="U11" i="126"/>
  <c r="U7" i="126"/>
  <c r="U13" i="126" s="1"/>
  <c r="Y33" i="120"/>
  <c r="Y32" i="106"/>
  <c r="Y29" i="106"/>
  <c r="Y23" i="106"/>
  <c r="V38" i="120"/>
  <c r="AB38" i="120" s="1"/>
  <c r="X6" i="121"/>
  <c r="Y6" i="121" s="1"/>
  <c r="Y6" i="106"/>
  <c r="X6" i="124" s="1"/>
  <c r="X61" i="124" s="1"/>
  <c r="Y34" i="106"/>
  <c r="Y31" i="106"/>
  <c r="V7" i="120"/>
  <c r="AB7" i="120" s="1"/>
  <c r="X25" i="121"/>
  <c r="Y25" i="121" s="1"/>
  <c r="Y8" i="106"/>
  <c r="AB12" i="107"/>
  <c r="G15" i="127"/>
  <c r="G14" i="127"/>
  <c r="X37" i="121"/>
  <c r="Y37" i="121" s="1"/>
  <c r="X22" i="121"/>
  <c r="Y22" i="121" s="1"/>
  <c r="X16" i="121"/>
  <c r="Y16" i="121" s="1"/>
  <c r="AH56" i="106"/>
  <c r="AB14" i="120"/>
  <c r="AB21" i="120"/>
  <c r="AB25" i="120"/>
  <c r="AB19" i="120"/>
  <c r="X32" i="121"/>
  <c r="Y32" i="121" s="1"/>
  <c r="F11" i="127"/>
  <c r="F7" i="127"/>
  <c r="F13" i="127" s="1"/>
  <c r="X56" i="106"/>
  <c r="X34" i="121"/>
  <c r="Y34" i="121" s="1"/>
  <c r="X19" i="121"/>
  <c r="Y19" i="121" s="1"/>
  <c r="L56" i="106"/>
  <c r="L5" i="124"/>
  <c r="L60" i="124" s="1"/>
  <c r="X28" i="121"/>
  <c r="Y28" i="121" s="1"/>
  <c r="M56" i="106"/>
  <c r="M5" i="124"/>
  <c r="M60" i="124" s="1"/>
  <c r="AB34" i="107"/>
  <c r="AB31" i="107"/>
  <c r="F9" i="127"/>
  <c r="V56" i="106"/>
  <c r="AB8" i="107"/>
  <c r="AB56" i="107" s="1"/>
  <c r="Y12" i="120"/>
  <c r="V50" i="106"/>
  <c r="U50" i="124" s="1"/>
  <c r="U105" i="124" s="1"/>
  <c r="V28" i="106"/>
  <c r="U28" i="124" s="1"/>
  <c r="U83" i="124" s="1"/>
  <c r="V24" i="106"/>
  <c r="U24" i="124" s="1"/>
  <c r="U79" i="124" s="1"/>
  <c r="AB12" i="120"/>
  <c r="AB32" i="120"/>
  <c r="G9" i="126"/>
  <c r="AB18" i="120"/>
  <c r="AB33" i="120"/>
  <c r="AB46" i="120"/>
  <c r="AB47" i="120"/>
  <c r="AB51" i="120"/>
  <c r="AB41" i="120"/>
  <c r="K9" i="126"/>
  <c r="Y6" i="120"/>
  <c r="AB6" i="120" s="1"/>
  <c r="Y34" i="120"/>
  <c r="AB34" i="120" s="1"/>
  <c r="Y31" i="120"/>
  <c r="AB31" i="120" s="1"/>
  <c r="AC56" i="120"/>
  <c r="V56" i="107"/>
  <c r="G11" i="126"/>
  <c r="Y8" i="120"/>
  <c r="AB8" i="120" s="1"/>
  <c r="Y9" i="106"/>
  <c r="P56" i="120"/>
  <c r="F11" i="126"/>
  <c r="AB52" i="120"/>
  <c r="X15" i="121"/>
  <c r="Y15" i="121" s="1"/>
  <c r="AB36" i="106"/>
  <c r="T36" i="124"/>
  <c r="T91" i="124" s="1"/>
  <c r="AB13" i="120"/>
  <c r="T9" i="126"/>
  <c r="AB54" i="120"/>
  <c r="AB30" i="106"/>
  <c r="T30" i="124"/>
  <c r="T85" i="124" s="1"/>
  <c r="AB28" i="120"/>
  <c r="AB26" i="120"/>
  <c r="AB27" i="120"/>
  <c r="L15" i="127"/>
  <c r="L14" i="127"/>
  <c r="C9" i="127"/>
  <c r="C7" i="127"/>
  <c r="C13" i="127" s="1"/>
  <c r="C11" i="127"/>
  <c r="X42" i="124"/>
  <c r="X97" i="124" s="1"/>
  <c r="D7" i="127"/>
  <c r="D13" i="127" s="1"/>
  <c r="D11" i="127"/>
  <c r="D9" i="127"/>
  <c r="AD56" i="106"/>
  <c r="Q56" i="106"/>
  <c r="L9" i="126"/>
  <c r="Y20" i="120"/>
  <c r="AB20" i="120" s="1"/>
  <c r="AB51" i="107"/>
  <c r="AD17" i="106"/>
  <c r="AA17" i="124"/>
  <c r="AA72" i="124" s="1"/>
  <c r="Q11" i="126" s="1"/>
  <c r="Y19" i="106"/>
  <c r="AD56" i="120"/>
  <c r="AB9" i="107"/>
  <c r="V50" i="120"/>
  <c r="AB50" i="120" s="1"/>
  <c r="V28" i="120"/>
  <c r="V24" i="120"/>
  <c r="AB24" i="120" s="1"/>
  <c r="AI56" i="106"/>
  <c r="X41" i="121"/>
  <c r="Y41" i="121" s="1"/>
  <c r="AB40" i="106"/>
  <c r="T40" i="124"/>
  <c r="T95" i="124" s="1"/>
  <c r="X24" i="121"/>
  <c r="Y24" i="121" s="1"/>
  <c r="AB5" i="120"/>
  <c r="U56" i="120"/>
  <c r="X21" i="121"/>
  <c r="Y21" i="121" s="1"/>
  <c r="X45" i="121"/>
  <c r="Y45" i="121" s="1"/>
  <c r="AB39" i="120"/>
  <c r="AB30" i="120"/>
  <c r="AB23" i="120"/>
  <c r="AB36" i="120"/>
  <c r="AQ16" i="120"/>
  <c r="Y5" i="110"/>
  <c r="AG58" i="107"/>
  <c r="AG58" i="106"/>
  <c r="AG58" i="105"/>
  <c r="Y5" i="111"/>
  <c r="X47" i="111"/>
  <c r="Y49" i="111"/>
  <c r="Y49" i="110"/>
  <c r="Y49" i="108"/>
  <c r="Y49" i="109"/>
  <c r="X43" i="110"/>
  <c r="X29" i="110"/>
  <c r="X36" i="110"/>
  <c r="X40" i="110"/>
  <c r="X39" i="110"/>
  <c r="X24" i="110"/>
  <c r="X13" i="110"/>
  <c r="X14" i="110"/>
  <c r="X30" i="110"/>
  <c r="X17" i="110"/>
  <c r="X33" i="110"/>
  <c r="X44" i="110"/>
  <c r="X42" i="110"/>
  <c r="X31" i="110"/>
  <c r="X23" i="110"/>
  <c r="X38" i="110"/>
  <c r="X21" i="110"/>
  <c r="X6" i="110"/>
  <c r="X26" i="110"/>
  <c r="X18" i="110"/>
  <c r="X22" i="110"/>
  <c r="X37" i="110"/>
  <c r="X34" i="110"/>
  <c r="X32" i="110"/>
  <c r="X25" i="110"/>
  <c r="X19" i="110"/>
  <c r="X11" i="110"/>
  <c r="X12" i="110"/>
  <c r="X28" i="110"/>
  <c r="X27" i="110"/>
  <c r="X15" i="110"/>
  <c r="X41" i="110"/>
  <c r="X8" i="110"/>
  <c r="X35" i="110"/>
  <c r="X45" i="110"/>
  <c r="X16" i="110"/>
  <c r="X20" i="110"/>
  <c r="AG60" i="104"/>
  <c r="E47" i="5"/>
  <c r="E29" i="5"/>
  <c r="AM58" i="120" s="1"/>
  <c r="E46" i="5"/>
  <c r="AB49" i="121" s="1"/>
  <c r="Y45" i="110" l="1"/>
  <c r="AB45" i="110" s="1"/>
  <c r="U45" i="125"/>
  <c r="U91" i="125" s="1"/>
  <c r="Y11" i="110"/>
  <c r="AB11" i="110" s="1"/>
  <c r="U11" i="125"/>
  <c r="U57" i="125" s="1"/>
  <c r="Y33" i="110"/>
  <c r="AB33" i="110" s="1"/>
  <c r="U33" i="125"/>
  <c r="U79" i="125" s="1"/>
  <c r="Y36" i="110"/>
  <c r="AB36" i="110" s="1"/>
  <c r="U36" i="125"/>
  <c r="U82" i="125" s="1"/>
  <c r="Y35" i="110"/>
  <c r="AB35" i="110" s="1"/>
  <c r="AJ35" i="121" s="1"/>
  <c r="U35" i="125"/>
  <c r="U81" i="125" s="1"/>
  <c r="Y19" i="110"/>
  <c r="AB19" i="110" s="1"/>
  <c r="U19" i="125"/>
  <c r="U65" i="125" s="1"/>
  <c r="Y6" i="110"/>
  <c r="AB6" i="110" s="1"/>
  <c r="U6" i="125"/>
  <c r="U52" i="125" s="1"/>
  <c r="Y17" i="110"/>
  <c r="AB17" i="110" s="1"/>
  <c r="U17" i="125"/>
  <c r="U63" i="125" s="1"/>
  <c r="Y29" i="110"/>
  <c r="AB29" i="110" s="1"/>
  <c r="U29" i="125"/>
  <c r="U75" i="125" s="1"/>
  <c r="Y56" i="106"/>
  <c r="AB34" i="106"/>
  <c r="X34" i="124"/>
  <c r="X89" i="124" s="1"/>
  <c r="AB41" i="106"/>
  <c r="AB7" i="106"/>
  <c r="X7" i="124"/>
  <c r="X62" i="124" s="1"/>
  <c r="N7" i="126" s="1"/>
  <c r="N13" i="126" s="1"/>
  <c r="AB33" i="106"/>
  <c r="AB16" i="106"/>
  <c r="X16" i="124"/>
  <c r="X71" i="124" s="1"/>
  <c r="K11" i="126"/>
  <c r="Y8" i="110"/>
  <c r="AB8" i="110" s="1"/>
  <c r="AJ8" i="121" s="1"/>
  <c r="U8" i="125"/>
  <c r="U54" i="125" s="1"/>
  <c r="Y25" i="110"/>
  <c r="AB25" i="110" s="1"/>
  <c r="U25" i="125"/>
  <c r="U71" i="125" s="1"/>
  <c r="Y21" i="110"/>
  <c r="AB21" i="110" s="1"/>
  <c r="AJ21" i="121" s="1"/>
  <c r="U21" i="125"/>
  <c r="U67" i="125" s="1"/>
  <c r="Y30" i="110"/>
  <c r="AB30" i="110" s="1"/>
  <c r="U30" i="125"/>
  <c r="U76" i="125" s="1"/>
  <c r="Y43" i="110"/>
  <c r="AB43" i="110" s="1"/>
  <c r="U43" i="125"/>
  <c r="U89" i="125" s="1"/>
  <c r="C14" i="127"/>
  <c r="C15" i="127"/>
  <c r="G15" i="126"/>
  <c r="G14" i="126"/>
  <c r="B9" i="126"/>
  <c r="B7" i="126"/>
  <c r="B13" i="126" s="1"/>
  <c r="B11" i="126"/>
  <c r="AB25" i="106"/>
  <c r="X25" i="124"/>
  <c r="X80" i="124" s="1"/>
  <c r="AB6" i="106"/>
  <c r="Y41" i="110"/>
  <c r="AB41" i="110" s="1"/>
  <c r="U41" i="125"/>
  <c r="U87" i="125" s="1"/>
  <c r="Y32" i="110"/>
  <c r="AB32" i="110" s="1"/>
  <c r="U32" i="125"/>
  <c r="U78" i="125" s="1"/>
  <c r="Y38" i="110"/>
  <c r="AB38" i="110" s="1"/>
  <c r="AJ38" i="121" s="1"/>
  <c r="U38" i="125"/>
  <c r="U84" i="125" s="1"/>
  <c r="Y14" i="110"/>
  <c r="AB14" i="110" s="1"/>
  <c r="U14" i="125"/>
  <c r="U60" i="125" s="1"/>
  <c r="AB19" i="106"/>
  <c r="X19" i="124"/>
  <c r="X74" i="124" s="1"/>
  <c r="AB12" i="106"/>
  <c r="X12" i="124"/>
  <c r="X67" i="124" s="1"/>
  <c r="F9" i="126"/>
  <c r="F7" i="126"/>
  <c r="F13" i="126" s="1"/>
  <c r="R56" i="106"/>
  <c r="S61" i="106" s="1"/>
  <c r="R5" i="124"/>
  <c r="R60" i="124" s="1"/>
  <c r="L11" i="126"/>
  <c r="L7" i="126"/>
  <c r="L13" i="126" s="1"/>
  <c r="AB35" i="106"/>
  <c r="X35" i="124"/>
  <c r="X90" i="124" s="1"/>
  <c r="J15" i="127"/>
  <c r="J14" i="127"/>
  <c r="Q9" i="126"/>
  <c r="D15" i="127"/>
  <c r="D14" i="127"/>
  <c r="T15" i="126"/>
  <c r="T14" i="126"/>
  <c r="AB9" i="106"/>
  <c r="X9" i="124"/>
  <c r="X64" i="124" s="1"/>
  <c r="K15" i="126"/>
  <c r="K14" i="126"/>
  <c r="Q7" i="126"/>
  <c r="Q13" i="126" s="1"/>
  <c r="F15" i="127"/>
  <c r="F14" i="127"/>
  <c r="U15" i="126"/>
  <c r="U14" i="126"/>
  <c r="S56" i="120"/>
  <c r="R56" i="120"/>
  <c r="S61" i="120" s="1"/>
  <c r="J9" i="126"/>
  <c r="J7" i="126"/>
  <c r="J13" i="126" s="1"/>
  <c r="J11" i="126"/>
  <c r="V56" i="120"/>
  <c r="AB50" i="106"/>
  <c r="X50" i="124"/>
  <c r="X105" i="124" s="1"/>
  <c r="Y23" i="110"/>
  <c r="AB23" i="110" s="1"/>
  <c r="AJ23" i="121" s="1"/>
  <c r="U23" i="125"/>
  <c r="U69" i="125" s="1"/>
  <c r="Y27" i="110"/>
  <c r="AB27" i="110" s="1"/>
  <c r="U27" i="125"/>
  <c r="U73" i="125" s="1"/>
  <c r="Y37" i="110"/>
  <c r="AB37" i="110" s="1"/>
  <c r="AJ37" i="121" s="1"/>
  <c r="U37" i="125"/>
  <c r="U83" i="125" s="1"/>
  <c r="Y31" i="110"/>
  <c r="AB31" i="110" s="1"/>
  <c r="AJ31" i="121" s="1"/>
  <c r="U31" i="125"/>
  <c r="U77" i="125" s="1"/>
  <c r="Y24" i="110"/>
  <c r="AB24" i="110" s="1"/>
  <c r="U24" i="125"/>
  <c r="U70" i="125" s="1"/>
  <c r="AB24" i="106"/>
  <c r="AB8" i="106"/>
  <c r="X8" i="124"/>
  <c r="X63" i="124" s="1"/>
  <c r="AB23" i="106"/>
  <c r="X23" i="124"/>
  <c r="X78" i="124" s="1"/>
  <c r="AB18" i="106"/>
  <c r="X18" i="124"/>
  <c r="X73" i="124" s="1"/>
  <c r="AB17" i="106"/>
  <c r="AB56" i="106" s="1"/>
  <c r="X17" i="124"/>
  <c r="X72" i="124" s="1"/>
  <c r="AB37" i="106"/>
  <c r="X37" i="124"/>
  <c r="X92" i="124" s="1"/>
  <c r="N11" i="126"/>
  <c r="Y15" i="110"/>
  <c r="AB15" i="110" s="1"/>
  <c r="U15" i="125"/>
  <c r="U61" i="125" s="1"/>
  <c r="Y20" i="110"/>
  <c r="AB20" i="110" s="1"/>
  <c r="U20" i="125"/>
  <c r="U66" i="125" s="1"/>
  <c r="Y28" i="110"/>
  <c r="AB28" i="110" s="1"/>
  <c r="U28" i="125"/>
  <c r="U74" i="125" s="1"/>
  <c r="Y22" i="110"/>
  <c r="AB22" i="110" s="1"/>
  <c r="AJ22" i="121" s="1"/>
  <c r="U22" i="125"/>
  <c r="U68" i="125" s="1"/>
  <c r="Y42" i="110"/>
  <c r="AB42" i="110" s="1"/>
  <c r="U42" i="125"/>
  <c r="U88" i="125" s="1"/>
  <c r="Y39" i="110"/>
  <c r="AB39" i="110" s="1"/>
  <c r="U39" i="125"/>
  <c r="U85" i="125" s="1"/>
  <c r="AB29" i="106"/>
  <c r="X29" i="124"/>
  <c r="X84" i="124" s="1"/>
  <c r="S56" i="106"/>
  <c r="AB28" i="106"/>
  <c r="X28" i="124"/>
  <c r="X83" i="124" s="1"/>
  <c r="AB21" i="106"/>
  <c r="X21" i="124"/>
  <c r="X76" i="124" s="1"/>
  <c r="Y13" i="110"/>
  <c r="AB13" i="110" s="1"/>
  <c r="U13" i="125"/>
  <c r="U59" i="125" s="1"/>
  <c r="Y16" i="110"/>
  <c r="AB16" i="110" s="1"/>
  <c r="U16" i="125"/>
  <c r="U62" i="125" s="1"/>
  <c r="Y12" i="110"/>
  <c r="AB12" i="110" s="1"/>
  <c r="U12" i="125"/>
  <c r="U58" i="125" s="1"/>
  <c r="Y18" i="110"/>
  <c r="AB18" i="110" s="1"/>
  <c r="U18" i="125"/>
  <c r="U64" i="125" s="1"/>
  <c r="Y44" i="110"/>
  <c r="AB44" i="110" s="1"/>
  <c r="U44" i="125"/>
  <c r="U90" i="125" s="1"/>
  <c r="Y40" i="110"/>
  <c r="AB40" i="110" s="1"/>
  <c r="U40" i="125"/>
  <c r="U86" i="125" s="1"/>
  <c r="C7" i="126"/>
  <c r="C13" i="126" s="1"/>
  <c r="C11" i="126"/>
  <c r="C9" i="126"/>
  <c r="AB32" i="106"/>
  <c r="X32" i="124"/>
  <c r="X87" i="124" s="1"/>
  <c r="Y56" i="120"/>
  <c r="AB43" i="106"/>
  <c r="X43" i="124"/>
  <c r="X98" i="124" s="1"/>
  <c r="X47" i="121"/>
  <c r="Y34" i="110"/>
  <c r="AB34" i="110" s="1"/>
  <c r="U34" i="125"/>
  <c r="U80" i="125" s="1"/>
  <c r="Y26" i="110"/>
  <c r="AB26" i="110" s="1"/>
  <c r="U26" i="125"/>
  <c r="U72" i="125" s="1"/>
  <c r="AB56" i="120"/>
  <c r="L15" i="126"/>
  <c r="L14" i="126"/>
  <c r="AB31" i="106"/>
  <c r="X31" i="124"/>
  <c r="X86" i="124" s="1"/>
  <c r="Y47" i="121"/>
  <c r="AQ17" i="120"/>
  <c r="AB49" i="110"/>
  <c r="AB49" i="111"/>
  <c r="AB49" i="108"/>
  <c r="AB49" i="109"/>
  <c r="AM58" i="107"/>
  <c r="AM58" i="106"/>
  <c r="AM58" i="105"/>
  <c r="Y47" i="111"/>
  <c r="AB5" i="111"/>
  <c r="X47" i="110"/>
  <c r="Y47" i="110"/>
  <c r="AB5" i="110"/>
  <c r="AB47" i="110" s="1"/>
  <c r="AM60" i="104"/>
  <c r="G5" i="130" l="1"/>
  <c r="G10" i="130"/>
  <c r="K9" i="127"/>
  <c r="M9" i="127" s="1"/>
  <c r="AA664" i="114"/>
  <c r="AA662" i="114"/>
  <c r="AA667" i="114"/>
  <c r="AA656" i="114"/>
  <c r="AA661" i="114"/>
  <c r="AA659" i="114"/>
  <c r="AJ44" i="121"/>
  <c r="AA658" i="114"/>
  <c r="AA657" i="114"/>
  <c r="AA663" i="114"/>
  <c r="AA655" i="114"/>
  <c r="AA666" i="114"/>
  <c r="AA660" i="114"/>
  <c r="AA665" i="114"/>
  <c r="AA266" i="114"/>
  <c r="AA268" i="114"/>
  <c r="AA265" i="114"/>
  <c r="AA264" i="114"/>
  <c r="AA270" i="114"/>
  <c r="AA262" i="114"/>
  <c r="AA267" i="114"/>
  <c r="AA260" i="114"/>
  <c r="AA259" i="114"/>
  <c r="AA269" i="114"/>
  <c r="AA263" i="114"/>
  <c r="AA261" i="114"/>
  <c r="AJ13" i="121"/>
  <c r="AA226" i="115"/>
  <c r="AA450" i="114"/>
  <c r="AA444" i="114"/>
  <c r="AA442" i="114"/>
  <c r="AA222" i="115"/>
  <c r="AA449" i="114"/>
  <c r="AA229" i="115"/>
  <c r="AA441" i="114"/>
  <c r="AA224" i="115"/>
  <c r="AA227" i="115"/>
  <c r="AA448" i="114"/>
  <c r="AA225" i="115"/>
  <c r="AA447" i="114"/>
  <c r="AA230" i="115"/>
  <c r="AA223" i="115"/>
  <c r="AA446" i="114"/>
  <c r="AJ24" i="121"/>
  <c r="AA228" i="115"/>
  <c r="AA221" i="115"/>
  <c r="AA445" i="114"/>
  <c r="AA443" i="114"/>
  <c r="AJ43" i="121"/>
  <c r="AA202" i="115"/>
  <c r="AA423" i="114"/>
  <c r="AA430" i="114"/>
  <c r="AA207" i="115"/>
  <c r="AA422" i="114"/>
  <c r="AA209" i="115"/>
  <c r="AA205" i="115"/>
  <c r="AA429" i="114"/>
  <c r="AA210" i="115"/>
  <c r="AA203" i="115"/>
  <c r="AA421" i="114"/>
  <c r="AA208" i="115"/>
  <c r="AA201" i="115"/>
  <c r="AA428" i="114"/>
  <c r="AJ26" i="121"/>
  <c r="AA206" i="115"/>
  <c r="AA426" i="114"/>
  <c r="AA424" i="114"/>
  <c r="AA204" i="115"/>
  <c r="AA425" i="114"/>
  <c r="AA427" i="114"/>
  <c r="AA303" i="115"/>
  <c r="AA634" i="114"/>
  <c r="AA570" i="114"/>
  <c r="AA593" i="114"/>
  <c r="AA616" i="114"/>
  <c r="AA639" i="114"/>
  <c r="AA575" i="114"/>
  <c r="AA598" i="114"/>
  <c r="AA621" i="114"/>
  <c r="AA636" i="114"/>
  <c r="AA572" i="114"/>
  <c r="AA587" i="114"/>
  <c r="AA590" i="114"/>
  <c r="AA585" i="114"/>
  <c r="AA635" i="114"/>
  <c r="AA299" i="115"/>
  <c r="AA293" i="115"/>
  <c r="AA618" i="114"/>
  <c r="AA641" i="114"/>
  <c r="AA577" i="114"/>
  <c r="AA600" i="114"/>
  <c r="AA623" i="114"/>
  <c r="AA559" i="114"/>
  <c r="AA582" i="114"/>
  <c r="AA605" i="114"/>
  <c r="AA620" i="114"/>
  <c r="AA627" i="114"/>
  <c r="AA579" i="114"/>
  <c r="AA652" i="114"/>
  <c r="AG652" i="114" s="1"/>
  <c r="AA626" i="114"/>
  <c r="AA628" i="114"/>
  <c r="AA651" i="114"/>
  <c r="AG651" i="114" s="1"/>
  <c r="AA610" i="114"/>
  <c r="AA633" i="114"/>
  <c r="AA569" i="114"/>
  <c r="AA592" i="114"/>
  <c r="AA615" i="114"/>
  <c r="AA638" i="114"/>
  <c r="AA574" i="114"/>
  <c r="AA597" i="114"/>
  <c r="AA612" i="114"/>
  <c r="AA563" i="114"/>
  <c r="AA571" i="114"/>
  <c r="AA296" i="115"/>
  <c r="AA562" i="114"/>
  <c r="AA567" i="114"/>
  <c r="AA294" i="115"/>
  <c r="AA602" i="114"/>
  <c r="AA625" i="114"/>
  <c r="AA561" i="114"/>
  <c r="AA584" i="114"/>
  <c r="AA607" i="114"/>
  <c r="AA630" i="114"/>
  <c r="AA566" i="114"/>
  <c r="AA589" i="114"/>
  <c r="AA604" i="114"/>
  <c r="AA595" i="114"/>
  <c r="AA613" i="114"/>
  <c r="AA647" i="114"/>
  <c r="AG647" i="114" s="1"/>
  <c r="AA594" i="114"/>
  <c r="AA617" i="114"/>
  <c r="AA640" i="114"/>
  <c r="AA576" i="114"/>
  <c r="AA599" i="114"/>
  <c r="AA622" i="114"/>
  <c r="AA558" i="114"/>
  <c r="AA581" i="114"/>
  <c r="AA596" i="114"/>
  <c r="AA619" i="114"/>
  <c r="AA631" i="114"/>
  <c r="AA645" i="114"/>
  <c r="AG645" i="114" s="1"/>
  <c r="AA586" i="114"/>
  <c r="AA609" i="114"/>
  <c r="AA632" i="114"/>
  <c r="AA568" i="114"/>
  <c r="AA591" i="114"/>
  <c r="AA614" i="114"/>
  <c r="AA637" i="114"/>
  <c r="AA573" i="114"/>
  <c r="AA588" i="114"/>
  <c r="AA611" i="114"/>
  <c r="AA298" i="115"/>
  <c r="AA578" i="114"/>
  <c r="AA601" i="114"/>
  <c r="AA624" i="114"/>
  <c r="AA560" i="114"/>
  <c r="AA583" i="114"/>
  <c r="AA606" i="114"/>
  <c r="AA629" i="114"/>
  <c r="AA565" i="114"/>
  <c r="AA580" i="114"/>
  <c r="AA603" i="114"/>
  <c r="AA608" i="114"/>
  <c r="AA564" i="114"/>
  <c r="AA646" i="114"/>
  <c r="AG646" i="114" s="1"/>
  <c r="AA653" i="114"/>
  <c r="AG653" i="114" s="1"/>
  <c r="AA643" i="114"/>
  <c r="AG643" i="114" s="1"/>
  <c r="AA642" i="114"/>
  <c r="AG642" i="114" s="1"/>
  <c r="AA654" i="114"/>
  <c r="AG654" i="114" s="1"/>
  <c r="AA650" i="114"/>
  <c r="AG650" i="114" s="1"/>
  <c r="AA297" i="115"/>
  <c r="AJ42" i="121"/>
  <c r="AA302" i="115"/>
  <c r="AA292" i="115"/>
  <c r="AA295" i="115"/>
  <c r="AA291" i="115"/>
  <c r="AA648" i="114"/>
  <c r="AG648" i="114" s="1"/>
  <c r="AA649" i="114"/>
  <c r="AG649" i="114" s="1"/>
  <c r="AA644" i="114"/>
  <c r="AG644" i="114" s="1"/>
  <c r="AA301" i="115"/>
  <c r="AA300" i="115"/>
  <c r="AA130" i="115"/>
  <c r="AA132" i="115"/>
  <c r="AA349" i="114"/>
  <c r="AG349" i="114" s="1"/>
  <c r="AA332" i="114"/>
  <c r="AG332" i="114" s="1"/>
  <c r="AA342" i="114"/>
  <c r="AG342" i="114" s="1"/>
  <c r="AA121" i="115"/>
  <c r="AA123" i="115"/>
  <c r="AA344" i="114"/>
  <c r="AG344" i="114" s="1"/>
  <c r="AA343" i="114"/>
  <c r="AG343" i="114" s="1"/>
  <c r="AA352" i="114"/>
  <c r="AG352" i="114" s="1"/>
  <c r="AA348" i="114"/>
  <c r="AG348" i="114" s="1"/>
  <c r="AA337" i="114"/>
  <c r="AG337" i="114" s="1"/>
  <c r="AA131" i="115"/>
  <c r="AA119" i="115"/>
  <c r="AA345" i="114"/>
  <c r="AG345" i="114" s="1"/>
  <c r="AA354" i="114"/>
  <c r="AG354" i="114" s="1"/>
  <c r="AA111" i="115"/>
  <c r="AA120" i="115"/>
  <c r="AA335" i="114"/>
  <c r="AG335" i="114" s="1"/>
  <c r="AA124" i="115"/>
  <c r="AJ15" i="121"/>
  <c r="AA350" i="114"/>
  <c r="AG350" i="114" s="1"/>
  <c r="AA112" i="115"/>
  <c r="AA334" i="114"/>
  <c r="AG334" i="114" s="1"/>
  <c r="AA347" i="114"/>
  <c r="AG347" i="114" s="1"/>
  <c r="AA118" i="115"/>
  <c r="AA127" i="115"/>
  <c r="AA331" i="114"/>
  <c r="AG331" i="114" s="1"/>
  <c r="AA339" i="114"/>
  <c r="AG339" i="114" s="1"/>
  <c r="AA126" i="115"/>
  <c r="AA333" i="114"/>
  <c r="AG333" i="114" s="1"/>
  <c r="AA341" i="114"/>
  <c r="AG341" i="114" s="1"/>
  <c r="AA134" i="115"/>
  <c r="AA122" i="115"/>
  <c r="AA340" i="114"/>
  <c r="AG340" i="114" s="1"/>
  <c r="AA115" i="115"/>
  <c r="AA117" i="115"/>
  <c r="AA351" i="114"/>
  <c r="AG351" i="114" s="1"/>
  <c r="AA116" i="115"/>
  <c r="AA125" i="115"/>
  <c r="AA113" i="115"/>
  <c r="AA128" i="115"/>
  <c r="AA133" i="115"/>
  <c r="AA338" i="114"/>
  <c r="AG338" i="114" s="1"/>
  <c r="AA336" i="114"/>
  <c r="AG336" i="114" s="1"/>
  <c r="AA129" i="115"/>
  <c r="AA353" i="114"/>
  <c r="AG353" i="114" s="1"/>
  <c r="AA114" i="115"/>
  <c r="AA346" i="114"/>
  <c r="AG346" i="114" s="1"/>
  <c r="AA295" i="114"/>
  <c r="AA313" i="114"/>
  <c r="AA304" i="114"/>
  <c r="AA325" i="114"/>
  <c r="AA323" i="114"/>
  <c r="AA322" i="114"/>
  <c r="AA297" i="114"/>
  <c r="AA326" i="114"/>
  <c r="AA309" i="114"/>
  <c r="AA315" i="114"/>
  <c r="AA314" i="114"/>
  <c r="AA319" i="114"/>
  <c r="AA318" i="114"/>
  <c r="AA301" i="114"/>
  <c r="AA330" i="114"/>
  <c r="AA307" i="114"/>
  <c r="AA306" i="114"/>
  <c r="AA303" i="114"/>
  <c r="AA310" i="114"/>
  <c r="AA324" i="114"/>
  <c r="AA110" i="115"/>
  <c r="AA299" i="114"/>
  <c r="AA298" i="114"/>
  <c r="AA328" i="114"/>
  <c r="AA302" i="114"/>
  <c r="AA308" i="114"/>
  <c r="AA296" i="114"/>
  <c r="AA327" i="114"/>
  <c r="AA329" i="114"/>
  <c r="AA320" i="114"/>
  <c r="AA316" i="114"/>
  <c r="AA317" i="114"/>
  <c r="AA311" i="114"/>
  <c r="AA321" i="114"/>
  <c r="AA312" i="114"/>
  <c r="AA300" i="114"/>
  <c r="AA305" i="114"/>
  <c r="AJ14" i="121"/>
  <c r="AJ19" i="121"/>
  <c r="AA294" i="114"/>
  <c r="AA292" i="114"/>
  <c r="AA286" i="114"/>
  <c r="AA291" i="114"/>
  <c r="AA293" i="114"/>
  <c r="AA283" i="114"/>
  <c r="AA285" i="114"/>
  <c r="AA289" i="114"/>
  <c r="AA284" i="114"/>
  <c r="AA287" i="114"/>
  <c r="AA288" i="114"/>
  <c r="AJ11" i="121"/>
  <c r="AA290" i="114"/>
  <c r="C15" i="126"/>
  <c r="C14" i="126"/>
  <c r="AA192" i="115"/>
  <c r="AA193" i="115"/>
  <c r="AA409" i="114"/>
  <c r="AG409" i="114" s="1"/>
  <c r="AA408" i="114"/>
  <c r="AG408" i="114" s="1"/>
  <c r="AA420" i="114"/>
  <c r="AG420" i="114" s="1"/>
  <c r="AA188" i="115"/>
  <c r="AA189" i="115"/>
  <c r="AA407" i="114"/>
  <c r="AG407" i="114" s="1"/>
  <c r="AA405" i="114"/>
  <c r="AG405" i="114" s="1"/>
  <c r="AA186" i="115"/>
  <c r="AA187" i="115"/>
  <c r="AA414" i="114"/>
  <c r="AG414" i="114" s="1"/>
  <c r="AA416" i="114"/>
  <c r="AG416" i="114" s="1"/>
  <c r="AA415" i="114"/>
  <c r="AG415" i="114" s="1"/>
  <c r="AA200" i="115"/>
  <c r="AA184" i="115"/>
  <c r="AA185" i="115"/>
  <c r="AA413" i="114"/>
  <c r="AG413" i="114" s="1"/>
  <c r="AA419" i="114"/>
  <c r="AG419" i="114" s="1"/>
  <c r="AA198" i="115"/>
  <c r="AA199" i="115"/>
  <c r="AA418" i="114"/>
  <c r="AG418" i="114" s="1"/>
  <c r="AA406" i="114"/>
  <c r="AG406" i="114" s="1"/>
  <c r="AA404" i="114"/>
  <c r="AA191" i="115"/>
  <c r="AA196" i="115"/>
  <c r="AA197" i="115"/>
  <c r="AA410" i="114"/>
  <c r="AG410" i="114" s="1"/>
  <c r="AA412" i="114"/>
  <c r="AG412" i="114" s="1"/>
  <c r="AA190" i="115"/>
  <c r="AA194" i="115"/>
  <c r="AA195" i="115"/>
  <c r="AA417" i="114"/>
  <c r="AG417" i="114" s="1"/>
  <c r="AA411" i="114"/>
  <c r="AG411" i="114" s="1"/>
  <c r="AJ18" i="121"/>
  <c r="Q15" i="126"/>
  <c r="Q14" i="126"/>
  <c r="H9" i="126"/>
  <c r="H11" i="126"/>
  <c r="H7" i="126"/>
  <c r="H13" i="126" s="1"/>
  <c r="B15" i="126"/>
  <c r="B14" i="126"/>
  <c r="AJ30" i="121"/>
  <c r="AJ34" i="121"/>
  <c r="S10" i="107"/>
  <c r="S10" i="124" s="1"/>
  <c r="S65" i="124" s="1"/>
  <c r="S53" i="107"/>
  <c r="S53" i="124" s="1"/>
  <c r="S108" i="124" s="1"/>
  <c r="S44" i="107"/>
  <c r="S44" i="124" s="1"/>
  <c r="S99" i="124" s="1"/>
  <c r="S50" i="107"/>
  <c r="S50" i="124" s="1"/>
  <c r="S105" i="124" s="1"/>
  <c r="S8" i="107"/>
  <c r="S8" i="124" s="1"/>
  <c r="S63" i="124" s="1"/>
  <c r="S30" i="107"/>
  <c r="S30" i="124" s="1"/>
  <c r="S85" i="124" s="1"/>
  <c r="S17" i="107"/>
  <c r="S17" i="124" s="1"/>
  <c r="S72" i="124" s="1"/>
  <c r="S27" i="107"/>
  <c r="S27" i="124" s="1"/>
  <c r="S82" i="124" s="1"/>
  <c r="S40" i="107"/>
  <c r="S40" i="124" s="1"/>
  <c r="S95" i="124" s="1"/>
  <c r="S19" i="107"/>
  <c r="S19" i="124" s="1"/>
  <c r="S74" i="124" s="1"/>
  <c r="S38" i="107"/>
  <c r="S38" i="124" s="1"/>
  <c r="S93" i="124" s="1"/>
  <c r="S26" i="107"/>
  <c r="S26" i="124" s="1"/>
  <c r="S81" i="124" s="1"/>
  <c r="S21" i="107"/>
  <c r="S21" i="124" s="1"/>
  <c r="S76" i="124" s="1"/>
  <c r="S51" i="107"/>
  <c r="S51" i="124" s="1"/>
  <c r="S106" i="124" s="1"/>
  <c r="S13" i="107"/>
  <c r="S13" i="124" s="1"/>
  <c r="S68" i="124" s="1"/>
  <c r="S5" i="107"/>
  <c r="S46" i="107"/>
  <c r="S46" i="124" s="1"/>
  <c r="S101" i="124" s="1"/>
  <c r="S24" i="107"/>
  <c r="S24" i="124" s="1"/>
  <c r="S79" i="124" s="1"/>
  <c r="S49" i="107"/>
  <c r="S49" i="124" s="1"/>
  <c r="S104" i="124" s="1"/>
  <c r="S48" i="107"/>
  <c r="S48" i="124" s="1"/>
  <c r="S103" i="124" s="1"/>
  <c r="S41" i="107"/>
  <c r="S41" i="124" s="1"/>
  <c r="S96" i="124" s="1"/>
  <c r="S29" i="107"/>
  <c r="S29" i="124" s="1"/>
  <c r="S84" i="124" s="1"/>
  <c r="S33" i="107"/>
  <c r="S33" i="124" s="1"/>
  <c r="S88" i="124" s="1"/>
  <c r="S14" i="107"/>
  <c r="S14" i="124" s="1"/>
  <c r="S69" i="124" s="1"/>
  <c r="S23" i="107"/>
  <c r="S23" i="124" s="1"/>
  <c r="S78" i="124" s="1"/>
  <c r="S37" i="107"/>
  <c r="S37" i="124" s="1"/>
  <c r="S92" i="124" s="1"/>
  <c r="S54" i="107"/>
  <c r="S54" i="124" s="1"/>
  <c r="S109" i="124" s="1"/>
  <c r="S6" i="107"/>
  <c r="S6" i="124" s="1"/>
  <c r="S61" i="124" s="1"/>
  <c r="S36" i="107"/>
  <c r="S36" i="124" s="1"/>
  <c r="S91" i="124" s="1"/>
  <c r="S42" i="107"/>
  <c r="S42" i="124" s="1"/>
  <c r="S97" i="124" s="1"/>
  <c r="S47" i="107"/>
  <c r="S47" i="124" s="1"/>
  <c r="S102" i="124" s="1"/>
  <c r="S28" i="107"/>
  <c r="S28" i="124" s="1"/>
  <c r="S83" i="124" s="1"/>
  <c r="S16" i="107"/>
  <c r="S16" i="124" s="1"/>
  <c r="S71" i="124" s="1"/>
  <c r="S45" i="107"/>
  <c r="S45" i="124" s="1"/>
  <c r="S100" i="124" s="1"/>
  <c r="S43" i="107"/>
  <c r="S43" i="124" s="1"/>
  <c r="S98" i="124" s="1"/>
  <c r="S39" i="107"/>
  <c r="S39" i="124" s="1"/>
  <c r="S94" i="124" s="1"/>
  <c r="S34" i="107"/>
  <c r="S34" i="124" s="1"/>
  <c r="S89" i="124" s="1"/>
  <c r="S18" i="107"/>
  <c r="S18" i="124" s="1"/>
  <c r="S73" i="124" s="1"/>
  <c r="S22" i="107"/>
  <c r="S22" i="124" s="1"/>
  <c r="S77" i="124" s="1"/>
  <c r="S12" i="107"/>
  <c r="S12" i="124" s="1"/>
  <c r="S67" i="124" s="1"/>
  <c r="S52" i="107"/>
  <c r="S52" i="124" s="1"/>
  <c r="S107" i="124" s="1"/>
  <c r="S25" i="107"/>
  <c r="S25" i="124" s="1"/>
  <c r="S80" i="124" s="1"/>
  <c r="S31" i="107"/>
  <c r="S31" i="124" s="1"/>
  <c r="S86" i="124" s="1"/>
  <c r="S35" i="107"/>
  <c r="S35" i="124" s="1"/>
  <c r="S90" i="124" s="1"/>
  <c r="S9" i="107"/>
  <c r="S9" i="124" s="1"/>
  <c r="S64" i="124" s="1"/>
  <c r="S15" i="107"/>
  <c r="S15" i="124" s="1"/>
  <c r="S70" i="124" s="1"/>
  <c r="S32" i="107"/>
  <c r="S32" i="124" s="1"/>
  <c r="S87" i="124" s="1"/>
  <c r="S20" i="107"/>
  <c r="S20" i="124" s="1"/>
  <c r="S75" i="124" s="1"/>
  <c r="S7" i="107"/>
  <c r="S7" i="124" s="1"/>
  <c r="S62" i="124" s="1"/>
  <c r="S11" i="107"/>
  <c r="S11" i="124" s="1"/>
  <c r="S66" i="124" s="1"/>
  <c r="AJ29" i="121"/>
  <c r="AJ45" i="121"/>
  <c r="AA281" i="114"/>
  <c r="AA278" i="114"/>
  <c r="AA279" i="114"/>
  <c r="AA280" i="114"/>
  <c r="AA273" i="114"/>
  <c r="AJ12" i="121"/>
  <c r="AA276" i="114"/>
  <c r="AA272" i="114"/>
  <c r="AA277" i="114"/>
  <c r="AA282" i="114"/>
  <c r="AA275" i="114"/>
  <c r="AA274" i="114"/>
  <c r="AA271" i="114"/>
  <c r="AJ28" i="121"/>
  <c r="F15" i="126"/>
  <c r="F14" i="126"/>
  <c r="AJ32" i="121"/>
  <c r="AA182" i="115"/>
  <c r="AA166" i="115"/>
  <c r="AA173" i="115"/>
  <c r="AA394" i="114"/>
  <c r="AG394" i="114" s="1"/>
  <c r="AA400" i="114"/>
  <c r="AG400" i="114" s="1"/>
  <c r="AA396" i="114"/>
  <c r="AG396" i="114" s="1"/>
  <c r="AA382" i="114"/>
  <c r="AG382" i="114" s="1"/>
  <c r="AA388" i="114"/>
  <c r="AG388" i="114" s="1"/>
  <c r="AA178" i="115"/>
  <c r="AA162" i="115"/>
  <c r="AA169" i="115"/>
  <c r="AA401" i="114"/>
  <c r="AG401" i="114" s="1"/>
  <c r="AA381" i="114"/>
  <c r="AG381" i="114" s="1"/>
  <c r="AA392" i="114"/>
  <c r="AG392" i="114" s="1"/>
  <c r="AA176" i="115"/>
  <c r="AA183" i="115"/>
  <c r="AA167" i="115"/>
  <c r="AA393" i="114"/>
  <c r="AG393" i="114" s="1"/>
  <c r="AA398" i="114"/>
  <c r="AG398" i="114" s="1"/>
  <c r="AA389" i="114"/>
  <c r="AG389" i="114" s="1"/>
  <c r="AA171" i="115"/>
  <c r="AA174" i="115"/>
  <c r="AA181" i="115"/>
  <c r="AA165" i="115"/>
  <c r="AA385" i="114"/>
  <c r="AG385" i="114" s="1"/>
  <c r="AA387" i="114"/>
  <c r="AG387" i="114" s="1"/>
  <c r="AA390" i="114"/>
  <c r="AG390" i="114" s="1"/>
  <c r="AA164" i="115"/>
  <c r="AA172" i="115"/>
  <c r="AA179" i="115"/>
  <c r="AA163" i="115"/>
  <c r="AA399" i="114"/>
  <c r="AG399" i="114" s="1"/>
  <c r="AA397" i="114"/>
  <c r="AG397" i="114" s="1"/>
  <c r="AA403" i="114"/>
  <c r="AG403" i="114" s="1"/>
  <c r="AA180" i="115"/>
  <c r="AA170" i="115"/>
  <c r="AA177" i="115"/>
  <c r="AA161" i="115"/>
  <c r="AA391" i="114"/>
  <c r="AG391" i="114" s="1"/>
  <c r="AA384" i="114"/>
  <c r="AG384" i="114" s="1"/>
  <c r="AA168" i="115"/>
  <c r="AA175" i="115"/>
  <c r="AA402" i="114"/>
  <c r="AG402" i="114" s="1"/>
  <c r="AA383" i="114"/>
  <c r="AG383" i="114" s="1"/>
  <c r="AA395" i="114"/>
  <c r="AG395" i="114" s="1"/>
  <c r="AA386" i="114"/>
  <c r="AG386" i="114" s="1"/>
  <c r="AJ17" i="121"/>
  <c r="AJ36" i="121"/>
  <c r="K7" i="127"/>
  <c r="AA529" i="114"/>
  <c r="AA525" i="114"/>
  <c r="AA528" i="114"/>
  <c r="AA524" i="114"/>
  <c r="AA532" i="114"/>
  <c r="AA551" i="114"/>
  <c r="AA531" i="114"/>
  <c r="AA527" i="114"/>
  <c r="AA523" i="114"/>
  <c r="AA550" i="114"/>
  <c r="AA530" i="114"/>
  <c r="AA526" i="114"/>
  <c r="AA522" i="114"/>
  <c r="AA533" i="114"/>
  <c r="AA552" i="114"/>
  <c r="AJ40" i="121"/>
  <c r="AA158" i="115"/>
  <c r="AA142" i="115"/>
  <c r="AA145" i="115"/>
  <c r="AA362" i="114"/>
  <c r="AG362" i="114" s="1"/>
  <c r="AA355" i="114"/>
  <c r="AG355" i="114" s="1"/>
  <c r="AA360" i="114"/>
  <c r="AG360" i="114" s="1"/>
  <c r="AA357" i="114"/>
  <c r="AG357" i="114" s="1"/>
  <c r="AA159" i="115"/>
  <c r="AA156" i="115"/>
  <c r="AA143" i="115"/>
  <c r="AA377" i="114"/>
  <c r="AG377" i="114" s="1"/>
  <c r="AA380" i="114"/>
  <c r="AG380" i="114" s="1"/>
  <c r="AA376" i="114"/>
  <c r="AG376" i="114" s="1"/>
  <c r="AA154" i="115"/>
  <c r="AA157" i="115"/>
  <c r="AA141" i="115"/>
  <c r="AA135" i="115"/>
  <c r="AA373" i="114"/>
  <c r="AG373" i="114" s="1"/>
  <c r="AA368" i="114"/>
  <c r="AG368" i="114" s="1"/>
  <c r="AA356" i="114"/>
  <c r="AG356" i="114" s="1"/>
  <c r="AA152" i="115"/>
  <c r="AA155" i="115"/>
  <c r="AA139" i="115"/>
  <c r="AA375" i="114"/>
  <c r="AG375" i="114" s="1"/>
  <c r="AA363" i="114"/>
  <c r="AG363" i="114" s="1"/>
  <c r="AA358" i="114"/>
  <c r="AG358" i="114" s="1"/>
  <c r="AA150" i="115"/>
  <c r="AA153" i="115"/>
  <c r="AA137" i="115"/>
  <c r="AA367" i="114"/>
  <c r="AG367" i="114" s="1"/>
  <c r="AA372" i="114"/>
  <c r="AG372" i="114" s="1"/>
  <c r="AA365" i="114"/>
  <c r="AG365" i="114" s="1"/>
  <c r="AA148" i="115"/>
  <c r="AA151" i="115"/>
  <c r="AA140" i="115"/>
  <c r="AA136" i="115"/>
  <c r="AA361" i="114"/>
  <c r="AG361" i="114" s="1"/>
  <c r="AA138" i="115"/>
  <c r="AA369" i="114"/>
  <c r="AG369" i="114" s="1"/>
  <c r="AA146" i="115"/>
  <c r="AA149" i="115"/>
  <c r="AA378" i="114"/>
  <c r="AG378" i="114" s="1"/>
  <c r="AA374" i="114"/>
  <c r="AG374" i="114" s="1"/>
  <c r="AA359" i="114"/>
  <c r="AG359" i="114" s="1"/>
  <c r="AA379" i="114"/>
  <c r="AG379" i="114" s="1"/>
  <c r="AA160" i="115"/>
  <c r="AA144" i="115"/>
  <c r="AA147" i="115"/>
  <c r="AA370" i="114"/>
  <c r="AG370" i="114" s="1"/>
  <c r="AA364" i="114"/>
  <c r="AG364" i="114" s="1"/>
  <c r="AA371" i="114"/>
  <c r="AG371" i="114" s="1"/>
  <c r="AA366" i="114"/>
  <c r="AG366" i="114" s="1"/>
  <c r="AJ16" i="121"/>
  <c r="AA284" i="115"/>
  <c r="AA268" i="115"/>
  <c r="AA252" i="115"/>
  <c r="AA236" i="115"/>
  <c r="AA279" i="115"/>
  <c r="AA263" i="115"/>
  <c r="AA247" i="115"/>
  <c r="AA231" i="115"/>
  <c r="AA505" i="114"/>
  <c r="AG505" i="114" s="1"/>
  <c r="AA496" i="114"/>
  <c r="AG496" i="114" s="1"/>
  <c r="AA487" i="114"/>
  <c r="AG487" i="114" s="1"/>
  <c r="AA478" i="114"/>
  <c r="AG478" i="114" s="1"/>
  <c r="AA477" i="114"/>
  <c r="AG477" i="114" s="1"/>
  <c r="AA476" i="114"/>
  <c r="AG476" i="114" s="1"/>
  <c r="AA475" i="114"/>
  <c r="AG475" i="114" s="1"/>
  <c r="AA245" i="115"/>
  <c r="AA234" i="115"/>
  <c r="AA506" i="114"/>
  <c r="AG506" i="114" s="1"/>
  <c r="AA469" i="114"/>
  <c r="AG469" i="114" s="1"/>
  <c r="AA280" i="115"/>
  <c r="AA264" i="115"/>
  <c r="AA248" i="115"/>
  <c r="AA232" i="115"/>
  <c r="AA275" i="115"/>
  <c r="AA259" i="115"/>
  <c r="AA243" i="115"/>
  <c r="AA498" i="114"/>
  <c r="AG498" i="114" s="1"/>
  <c r="AA489" i="114"/>
  <c r="AG489" i="114" s="1"/>
  <c r="AA480" i="114"/>
  <c r="AG480" i="114" s="1"/>
  <c r="AA471" i="114"/>
  <c r="AG471" i="114" s="1"/>
  <c r="AA462" i="114"/>
  <c r="AG462" i="114" s="1"/>
  <c r="AA461" i="114"/>
  <c r="AG461" i="114" s="1"/>
  <c r="AA460" i="114"/>
  <c r="AG460" i="114" s="1"/>
  <c r="AA507" i="114"/>
  <c r="AG507" i="114" s="1"/>
  <c r="AA277" i="115"/>
  <c r="AA470" i="114"/>
  <c r="AG470" i="114" s="1"/>
  <c r="AA278" i="115"/>
  <c r="AA262" i="115"/>
  <c r="AA246" i="115"/>
  <c r="AA289" i="115"/>
  <c r="AA273" i="115"/>
  <c r="AA257" i="115"/>
  <c r="AA241" i="115"/>
  <c r="AA490" i="114"/>
  <c r="AG490" i="114" s="1"/>
  <c r="AA481" i="114"/>
  <c r="AG481" i="114" s="1"/>
  <c r="AA472" i="114"/>
  <c r="AG472" i="114" s="1"/>
  <c r="AA463" i="114"/>
  <c r="AG463" i="114" s="1"/>
  <c r="AA454" i="114"/>
  <c r="AG454" i="114" s="1"/>
  <c r="AA453" i="114"/>
  <c r="AG453" i="114" s="1"/>
  <c r="AA452" i="114"/>
  <c r="AG452" i="114" s="1"/>
  <c r="AA451" i="114"/>
  <c r="AG451" i="114" s="1"/>
  <c r="AA250" i="115"/>
  <c r="AA497" i="114"/>
  <c r="AG497" i="114" s="1"/>
  <c r="AA468" i="114"/>
  <c r="AG468" i="114" s="1"/>
  <c r="AA276" i="115"/>
  <c r="AA260" i="115"/>
  <c r="AA244" i="115"/>
  <c r="AA287" i="115"/>
  <c r="AA271" i="115"/>
  <c r="AA255" i="115"/>
  <c r="AA239" i="115"/>
  <c r="AA482" i="114"/>
  <c r="AG482" i="114" s="1"/>
  <c r="AA473" i="114"/>
  <c r="AG473" i="114" s="1"/>
  <c r="AA464" i="114"/>
  <c r="AG464" i="114" s="1"/>
  <c r="AA455" i="114"/>
  <c r="AG455" i="114" s="1"/>
  <c r="AA509" i="114"/>
  <c r="AG509" i="114" s="1"/>
  <c r="AA508" i="114"/>
  <c r="AG508" i="114" s="1"/>
  <c r="AA499" i="114"/>
  <c r="AG499" i="114" s="1"/>
  <c r="AA274" i="115"/>
  <c r="AA258" i="115"/>
  <c r="AA242" i="115"/>
  <c r="AA285" i="115"/>
  <c r="AA269" i="115"/>
  <c r="AA253" i="115"/>
  <c r="AA237" i="115"/>
  <c r="AA474" i="114"/>
  <c r="AG474" i="114" s="1"/>
  <c r="AA465" i="114"/>
  <c r="AG465" i="114" s="1"/>
  <c r="AA456" i="114"/>
  <c r="AG456" i="114" s="1"/>
  <c r="AA502" i="114"/>
  <c r="AG502" i="114" s="1"/>
  <c r="AA501" i="114"/>
  <c r="AG501" i="114" s="1"/>
  <c r="AA500" i="114"/>
  <c r="AG500" i="114" s="1"/>
  <c r="AA467" i="114"/>
  <c r="AG467" i="114" s="1"/>
  <c r="AA282" i="115"/>
  <c r="AA261" i="115"/>
  <c r="AA479" i="114"/>
  <c r="AG479" i="114" s="1"/>
  <c r="AA288" i="115"/>
  <c r="AA272" i="115"/>
  <c r="AA256" i="115"/>
  <c r="AA240" i="115"/>
  <c r="AA283" i="115"/>
  <c r="AA267" i="115"/>
  <c r="AA251" i="115"/>
  <c r="AA235" i="115"/>
  <c r="AA466" i="114"/>
  <c r="AG466" i="114" s="1"/>
  <c r="AA457" i="114"/>
  <c r="AG457" i="114" s="1"/>
  <c r="AA503" i="114"/>
  <c r="AG503" i="114" s="1"/>
  <c r="AA494" i="114"/>
  <c r="AG494" i="114" s="1"/>
  <c r="AA493" i="114"/>
  <c r="AG493" i="114" s="1"/>
  <c r="AA492" i="114"/>
  <c r="AG492" i="114" s="1"/>
  <c r="AA491" i="114"/>
  <c r="AG491" i="114" s="1"/>
  <c r="AA286" i="115"/>
  <c r="AA270" i="115"/>
  <c r="AA254" i="115"/>
  <c r="AA238" i="115"/>
  <c r="AA281" i="115"/>
  <c r="AA265" i="115"/>
  <c r="AA249" i="115"/>
  <c r="AA233" i="115"/>
  <c r="AA458" i="114"/>
  <c r="AG458" i="114" s="1"/>
  <c r="AA504" i="114"/>
  <c r="AG504" i="114" s="1"/>
  <c r="AA495" i="114"/>
  <c r="AG495" i="114" s="1"/>
  <c r="AA486" i="114"/>
  <c r="AG486" i="114" s="1"/>
  <c r="AA485" i="114"/>
  <c r="AG485" i="114" s="1"/>
  <c r="AA484" i="114"/>
  <c r="AG484" i="114" s="1"/>
  <c r="AA483" i="114"/>
  <c r="AG483" i="114" s="1"/>
  <c r="AA266" i="115"/>
  <c r="AA488" i="114"/>
  <c r="AG488" i="114" s="1"/>
  <c r="AA459" i="114"/>
  <c r="AG459" i="114" s="1"/>
  <c r="AJ27" i="121"/>
  <c r="J15" i="126"/>
  <c r="J14" i="126"/>
  <c r="N9" i="126"/>
  <c r="AA212" i="115"/>
  <c r="AA440" i="114"/>
  <c r="AA432" i="114"/>
  <c r="AA217" i="115"/>
  <c r="AA439" i="114"/>
  <c r="AA215" i="115"/>
  <c r="AA431" i="114"/>
  <c r="AA220" i="115"/>
  <c r="AA213" i="115"/>
  <c r="AA438" i="114"/>
  <c r="AA218" i="115"/>
  <c r="AA211" i="115"/>
  <c r="AA437" i="114"/>
  <c r="AA219" i="115"/>
  <c r="AA216" i="115"/>
  <c r="AA434" i="114"/>
  <c r="AA436" i="114"/>
  <c r="AA214" i="115"/>
  <c r="AA433" i="114"/>
  <c r="AA435" i="114"/>
  <c r="AJ25" i="121"/>
  <c r="K11" i="127"/>
  <c r="M11" i="127" s="1"/>
  <c r="AA546" i="114"/>
  <c r="AA553" i="114"/>
  <c r="AA555" i="114"/>
  <c r="AA540" i="114"/>
  <c r="AA539" i="114"/>
  <c r="AA536" i="114"/>
  <c r="AA544" i="114"/>
  <c r="AA545" i="114"/>
  <c r="AA290" i="115"/>
  <c r="AA557" i="114"/>
  <c r="AG557" i="114" s="1"/>
  <c r="AA543" i="114"/>
  <c r="AA541" i="114"/>
  <c r="AJ39" i="121"/>
  <c r="AA554" i="114"/>
  <c r="AA542" i="114"/>
  <c r="AA556" i="114"/>
  <c r="AA538" i="114"/>
  <c r="AA535" i="114"/>
  <c r="AA537" i="114"/>
  <c r="AA534" i="114"/>
  <c r="AJ20" i="121"/>
  <c r="AA514" i="114"/>
  <c r="AA515" i="114"/>
  <c r="AA518" i="114"/>
  <c r="AA549" i="114"/>
  <c r="AA521" i="114"/>
  <c r="AA517" i="114"/>
  <c r="AA547" i="114"/>
  <c r="AA519" i="114"/>
  <c r="AA513" i="114"/>
  <c r="AA516" i="114"/>
  <c r="AA511" i="114"/>
  <c r="AA512" i="114"/>
  <c r="AA510" i="114"/>
  <c r="AA548" i="114"/>
  <c r="AA520" i="114"/>
  <c r="AJ41" i="121"/>
  <c r="AA131" i="114"/>
  <c r="AA141" i="114"/>
  <c r="AA148" i="114"/>
  <c r="AA138" i="114"/>
  <c r="AA189" i="114"/>
  <c r="AA44" i="114"/>
  <c r="AA140" i="114"/>
  <c r="AA145" i="114"/>
  <c r="AA187" i="114"/>
  <c r="AA194" i="114"/>
  <c r="AA49" i="114"/>
  <c r="AA132" i="114"/>
  <c r="AA54" i="114"/>
  <c r="AA137" i="114"/>
  <c r="AA130" i="114"/>
  <c r="AA78" i="115"/>
  <c r="AA143" i="114"/>
  <c r="AA142" i="114"/>
  <c r="AA41" i="114"/>
  <c r="AA48" i="114"/>
  <c r="AA46" i="114"/>
  <c r="AA53" i="114"/>
  <c r="AA39" i="114"/>
  <c r="AA135" i="114"/>
  <c r="AA134" i="114"/>
  <c r="AA191" i="114"/>
  <c r="AA40" i="114"/>
  <c r="AA38" i="114"/>
  <c r="AA45" i="114"/>
  <c r="AA51" i="114"/>
  <c r="AA50" i="114"/>
  <c r="AA139" i="114"/>
  <c r="AA198" i="114"/>
  <c r="AA188" i="114"/>
  <c r="AA196" i="114"/>
  <c r="AA195" i="114"/>
  <c r="AA43" i="114"/>
  <c r="AA42" i="114"/>
  <c r="AA47" i="114"/>
  <c r="AA190" i="114"/>
  <c r="AA136" i="114"/>
  <c r="AA144" i="114"/>
  <c r="AA147" i="114"/>
  <c r="AA193" i="114"/>
  <c r="AA192" i="114"/>
  <c r="AA146" i="114"/>
  <c r="AA197" i="114"/>
  <c r="AA52" i="114"/>
  <c r="AA133" i="114"/>
  <c r="AA77" i="115"/>
  <c r="AA81" i="115"/>
  <c r="AA231" i="114"/>
  <c r="AG231" i="114" s="1"/>
  <c r="AA225" i="114"/>
  <c r="AG225" i="114" s="1"/>
  <c r="AA83" i="115"/>
  <c r="AA79" i="115"/>
  <c r="G14" i="119"/>
  <c r="I14" i="119" s="1"/>
  <c r="AA75" i="115"/>
  <c r="G9" i="119"/>
  <c r="I9" i="119" s="1"/>
  <c r="AA229" i="114"/>
  <c r="AG229" i="114" s="1"/>
  <c r="AA232" i="114"/>
  <c r="AG232" i="114" s="1"/>
  <c r="AA84" i="115"/>
  <c r="AA74" i="115"/>
  <c r="AA82" i="115"/>
  <c r="AA230" i="114"/>
  <c r="AG230" i="114" s="1"/>
  <c r="AA76" i="115"/>
  <c r="AA226" i="114"/>
  <c r="AG226" i="114" s="1"/>
  <c r="AA228" i="114"/>
  <c r="AG228" i="114" s="1"/>
  <c r="AA223" i="114"/>
  <c r="AG223" i="114" s="1"/>
  <c r="AA224" i="114"/>
  <c r="AG224" i="114" s="1"/>
  <c r="AJ6" i="121"/>
  <c r="AA80" i="115"/>
  <c r="AA234" i="114"/>
  <c r="AG234" i="114" s="1"/>
  <c r="AA227" i="114"/>
  <c r="AG227" i="114" s="1"/>
  <c r="AA85" i="115"/>
  <c r="AA233" i="114"/>
  <c r="AG233" i="114" s="1"/>
  <c r="AJ33" i="121"/>
  <c r="G13" i="119"/>
  <c r="I13" i="119" s="1"/>
  <c r="AJ5" i="121"/>
  <c r="G8" i="119"/>
  <c r="I8" i="119" s="1"/>
  <c r="AA253" i="114"/>
  <c r="AG253" i="114" s="1"/>
  <c r="AA104" i="115"/>
  <c r="AA98" i="115"/>
  <c r="AA258" i="114"/>
  <c r="AG258" i="114" s="1"/>
  <c r="AA250" i="114"/>
  <c r="AG250" i="114" s="1"/>
  <c r="AA107" i="115"/>
  <c r="AA99" i="115"/>
  <c r="AA255" i="114"/>
  <c r="AG255" i="114" s="1"/>
  <c r="AA247" i="114"/>
  <c r="AG247" i="114" s="1"/>
  <c r="AA102" i="115"/>
  <c r="AA252" i="114"/>
  <c r="AG252" i="114" s="1"/>
  <c r="AA105" i="115"/>
  <c r="AA106" i="115"/>
  <c r="AA257" i="114"/>
  <c r="AG257" i="114" s="1"/>
  <c r="AA249" i="114"/>
  <c r="AG249" i="114" s="1"/>
  <c r="AA108" i="115"/>
  <c r="AA100" i="115"/>
  <c r="AA254" i="114"/>
  <c r="AG254" i="114" s="1"/>
  <c r="AA103" i="115"/>
  <c r="AA251" i="114"/>
  <c r="AG251" i="114" s="1"/>
  <c r="AA256" i="114"/>
  <c r="AG256" i="114" s="1"/>
  <c r="AA248" i="114"/>
  <c r="AG248" i="114" s="1"/>
  <c r="AA109" i="115"/>
  <c r="AA101" i="115"/>
  <c r="AB47" i="111"/>
  <c r="AA215" i="114"/>
  <c r="AA179" i="114"/>
  <c r="AA171" i="114"/>
  <c r="AA91" i="114"/>
  <c r="AA83" i="114"/>
  <c r="AA211" i="114"/>
  <c r="AA183" i="114"/>
  <c r="AA79" i="114"/>
  <c r="AA222" i="114"/>
  <c r="AA214" i="114"/>
  <c r="AA186" i="114"/>
  <c r="AA178" i="114"/>
  <c r="AA170" i="114"/>
  <c r="AA90" i="114"/>
  <c r="AA82" i="114"/>
  <c r="AA219" i="114"/>
  <c r="AA221" i="114"/>
  <c r="AA213" i="114"/>
  <c r="AA185" i="114"/>
  <c r="AA177" i="114"/>
  <c r="AA169" i="114"/>
  <c r="AA89" i="114"/>
  <c r="AA81" i="114"/>
  <c r="AA175" i="114"/>
  <c r="AA87" i="114"/>
  <c r="AA220" i="114"/>
  <c r="AA212" i="114"/>
  <c r="AA184" i="114"/>
  <c r="AA176" i="114"/>
  <c r="AA88" i="114"/>
  <c r="AA80" i="114"/>
  <c r="AA218" i="114"/>
  <c r="AA182" i="114"/>
  <c r="AA174" i="114"/>
  <c r="AA86" i="114"/>
  <c r="AA216" i="114"/>
  <c r="AA172" i="114"/>
  <c r="AA84" i="114"/>
  <c r="AA217" i="114"/>
  <c r="AA181" i="114"/>
  <c r="AA173" i="114"/>
  <c r="AA93" i="114"/>
  <c r="AA85" i="114"/>
  <c r="AA180" i="114"/>
  <c r="AA92" i="114"/>
  <c r="D18" i="119" l="1"/>
  <c r="M15" i="127"/>
  <c r="M14" i="127"/>
  <c r="K14" i="127"/>
  <c r="K15" i="127"/>
  <c r="AG40" i="114"/>
  <c r="L40" i="118"/>
  <c r="O40" i="118" s="1"/>
  <c r="AG555" i="114"/>
  <c r="L555" i="118"/>
  <c r="O555" i="118" s="1"/>
  <c r="AG133" i="114"/>
  <c r="L133" i="118"/>
  <c r="O133" i="118" s="1"/>
  <c r="L136" i="118"/>
  <c r="O136" i="118" s="1"/>
  <c r="AG136" i="114"/>
  <c r="L231" i="118"/>
  <c r="O231" i="118" s="1"/>
  <c r="L228" i="118"/>
  <c r="O228" i="118" s="1"/>
  <c r="L223" i="118"/>
  <c r="O223" i="118" s="1"/>
  <c r="L198" i="118"/>
  <c r="O198" i="118" s="1"/>
  <c r="L225" i="118"/>
  <c r="O225" i="118" s="1"/>
  <c r="L230" i="118"/>
  <c r="O230" i="118" s="1"/>
  <c r="L234" i="118"/>
  <c r="O234" i="118" s="1"/>
  <c r="AG198" i="114"/>
  <c r="L232" i="118"/>
  <c r="O232" i="118" s="1"/>
  <c r="L227" i="118"/>
  <c r="O227" i="118" s="1"/>
  <c r="L224" i="118"/>
  <c r="O224" i="118" s="1"/>
  <c r="L226" i="118"/>
  <c r="O226" i="118" s="1"/>
  <c r="L229" i="118"/>
  <c r="O229" i="118" s="1"/>
  <c r="L233" i="118"/>
  <c r="O233" i="118" s="1"/>
  <c r="AG134" i="114"/>
  <c r="L134" i="118"/>
  <c r="O134" i="118" s="1"/>
  <c r="AG143" i="114"/>
  <c r="L143" i="118"/>
  <c r="O143" i="118" s="1"/>
  <c r="AG187" i="114"/>
  <c r="L187" i="118"/>
  <c r="O187" i="118" s="1"/>
  <c r="AG131" i="114"/>
  <c r="L131" i="118"/>
  <c r="O131" i="118" s="1"/>
  <c r="AG513" i="114"/>
  <c r="L513" i="118"/>
  <c r="O513" i="118" s="1"/>
  <c r="AG515" i="114"/>
  <c r="L515" i="118"/>
  <c r="O515" i="118" s="1"/>
  <c r="L546" i="118"/>
  <c r="O546" i="118" s="1"/>
  <c r="AG546" i="114"/>
  <c r="AG434" i="114"/>
  <c r="L434" i="118"/>
  <c r="O434" i="118" s="1"/>
  <c r="N15" i="126"/>
  <c r="N14" i="126"/>
  <c r="L530" i="118"/>
  <c r="O530" i="118" s="1"/>
  <c r="AG530" i="114"/>
  <c r="AG528" i="114"/>
  <c r="L528" i="118"/>
  <c r="O528" i="118" s="1"/>
  <c r="AG282" i="114"/>
  <c r="L282" i="118"/>
  <c r="O282" i="118" s="1"/>
  <c r="L279" i="118"/>
  <c r="O279" i="118" s="1"/>
  <c r="AG279" i="114"/>
  <c r="AG285" i="114"/>
  <c r="L285" i="118"/>
  <c r="O285" i="118" s="1"/>
  <c r="AG317" i="114"/>
  <c r="L317" i="118"/>
  <c r="O317" i="118" s="1"/>
  <c r="AG328" i="114"/>
  <c r="L328" i="118"/>
  <c r="O328" i="118" s="1"/>
  <c r="AG307" i="114"/>
  <c r="L307" i="118"/>
  <c r="O307" i="118" s="1"/>
  <c r="AG326" i="114"/>
  <c r="L326" i="118"/>
  <c r="O326" i="118" s="1"/>
  <c r="AG629" i="114"/>
  <c r="L629" i="118"/>
  <c r="O629" i="118" s="1"/>
  <c r="AG611" i="114"/>
  <c r="L611" i="118"/>
  <c r="O611" i="118" s="1"/>
  <c r="L609" i="118"/>
  <c r="O609" i="118" s="1"/>
  <c r="AG609" i="114"/>
  <c r="AG622" i="114"/>
  <c r="L622" i="118"/>
  <c r="O622" i="118" s="1"/>
  <c r="L613" i="118"/>
  <c r="O613" i="118" s="1"/>
  <c r="AG613" i="114"/>
  <c r="L561" i="118"/>
  <c r="O561" i="118" s="1"/>
  <c r="AG561" i="114"/>
  <c r="AG563" i="114"/>
  <c r="L563" i="118"/>
  <c r="O563" i="118" s="1"/>
  <c r="L633" i="118"/>
  <c r="O633" i="118" s="1"/>
  <c r="AG633" i="114"/>
  <c r="AG620" i="114"/>
  <c r="L620" i="118"/>
  <c r="O620" i="118" s="1"/>
  <c r="AG618" i="114"/>
  <c r="L618" i="118"/>
  <c r="O618" i="118" s="1"/>
  <c r="AG636" i="114"/>
  <c r="L636" i="118"/>
  <c r="O636" i="118" s="1"/>
  <c r="AG634" i="114"/>
  <c r="L634" i="118"/>
  <c r="O634" i="118" s="1"/>
  <c r="L429" i="118"/>
  <c r="O429" i="118" s="1"/>
  <c r="AG429" i="114"/>
  <c r="AG446" i="114"/>
  <c r="L446" i="118"/>
  <c r="O446" i="118" s="1"/>
  <c r="AG441" i="114"/>
  <c r="L441" i="118"/>
  <c r="O441" i="118" s="1"/>
  <c r="AG262" i="114"/>
  <c r="L262" i="118"/>
  <c r="O262" i="118" s="1"/>
  <c r="AG666" i="114"/>
  <c r="L666" i="118"/>
  <c r="O666" i="118" s="1"/>
  <c r="AG661" i="114"/>
  <c r="L661" i="118"/>
  <c r="O661" i="118" s="1"/>
  <c r="L52" i="118"/>
  <c r="O52" i="118" s="1"/>
  <c r="AG52" i="114"/>
  <c r="L190" i="118"/>
  <c r="O190" i="118" s="1"/>
  <c r="AG190" i="114"/>
  <c r="AG139" i="114"/>
  <c r="L139" i="118"/>
  <c r="O139" i="118" s="1"/>
  <c r="AG135" i="114"/>
  <c r="L135" i="118"/>
  <c r="O135" i="118" s="1"/>
  <c r="L145" i="118"/>
  <c r="O145" i="118" s="1"/>
  <c r="AG145" i="114"/>
  <c r="AG519" i="114"/>
  <c r="L519" i="118"/>
  <c r="O519" i="118" s="1"/>
  <c r="AG514" i="114"/>
  <c r="L514" i="118"/>
  <c r="O514" i="118" s="1"/>
  <c r="AG556" i="114"/>
  <c r="L557" i="118"/>
  <c r="O557" i="118" s="1"/>
  <c r="L556" i="118"/>
  <c r="O556" i="118" s="1"/>
  <c r="L545" i="118"/>
  <c r="O545" i="118" s="1"/>
  <c r="AG545" i="114"/>
  <c r="AG431" i="114"/>
  <c r="L431" i="118"/>
  <c r="O431" i="118" s="1"/>
  <c r="AG550" i="114"/>
  <c r="L550" i="118"/>
  <c r="O550" i="118" s="1"/>
  <c r="L525" i="118"/>
  <c r="O525" i="118" s="1"/>
  <c r="AG525" i="114"/>
  <c r="AG278" i="114"/>
  <c r="L278" i="118"/>
  <c r="O278" i="118" s="1"/>
  <c r="S56" i="107"/>
  <c r="S5" i="124"/>
  <c r="S60" i="124" s="1"/>
  <c r="H15" i="126"/>
  <c r="H14" i="126"/>
  <c r="AG290" i="114"/>
  <c r="L290" i="118"/>
  <c r="O290" i="118" s="1"/>
  <c r="L283" i="118"/>
  <c r="O283" i="118" s="1"/>
  <c r="AG283" i="114"/>
  <c r="AG316" i="114"/>
  <c r="L316" i="118"/>
  <c r="O316" i="118" s="1"/>
  <c r="AG298" i="114"/>
  <c r="L298" i="118"/>
  <c r="O298" i="118" s="1"/>
  <c r="AG330" i="114"/>
  <c r="L330" i="118"/>
  <c r="O330" i="118" s="1"/>
  <c r="AG297" i="114"/>
  <c r="L297" i="118"/>
  <c r="O297" i="118" s="1"/>
  <c r="AG606" i="114"/>
  <c r="L606" i="118"/>
  <c r="O606" i="118" s="1"/>
  <c r="AG588" i="114"/>
  <c r="L588" i="118"/>
  <c r="O588" i="118" s="1"/>
  <c r="AG586" i="114"/>
  <c r="L586" i="118"/>
  <c r="O586" i="118" s="1"/>
  <c r="AG599" i="114"/>
  <c r="L599" i="118"/>
  <c r="O599" i="118" s="1"/>
  <c r="L595" i="118"/>
  <c r="O595" i="118" s="1"/>
  <c r="AG595" i="114"/>
  <c r="AG625" i="114"/>
  <c r="L625" i="118"/>
  <c r="O625" i="118" s="1"/>
  <c r="AG612" i="114"/>
  <c r="L612" i="118"/>
  <c r="O612" i="118" s="1"/>
  <c r="AG610" i="114"/>
  <c r="L610" i="118"/>
  <c r="O610" i="118" s="1"/>
  <c r="AG605" i="114"/>
  <c r="L605" i="118"/>
  <c r="O605" i="118" s="1"/>
  <c r="AG621" i="114"/>
  <c r="L621" i="118"/>
  <c r="O621" i="118" s="1"/>
  <c r="AG270" i="114"/>
  <c r="L270" i="118"/>
  <c r="O270" i="118" s="1"/>
  <c r="AG655" i="114"/>
  <c r="L655" i="118"/>
  <c r="L656" i="118"/>
  <c r="O656" i="118" s="1"/>
  <c r="AG656" i="114"/>
  <c r="L197" i="118"/>
  <c r="O197" i="118" s="1"/>
  <c r="AG197" i="114"/>
  <c r="L47" i="118"/>
  <c r="O47" i="118" s="1"/>
  <c r="AG47" i="114"/>
  <c r="AG50" i="114"/>
  <c r="L50" i="118"/>
  <c r="O50" i="118" s="1"/>
  <c r="AG39" i="114"/>
  <c r="L39" i="118"/>
  <c r="O39" i="118" s="1"/>
  <c r="AG130" i="114"/>
  <c r="L130" i="118"/>
  <c r="O130" i="118" s="1"/>
  <c r="L140" i="118"/>
  <c r="O140" i="118" s="1"/>
  <c r="AG140" i="114"/>
  <c r="AG520" i="114"/>
  <c r="L520" i="118"/>
  <c r="O520" i="118" s="1"/>
  <c r="AG547" i="114"/>
  <c r="L547" i="118"/>
  <c r="O547" i="118" s="1"/>
  <c r="AG542" i="114"/>
  <c r="L542" i="118"/>
  <c r="O542" i="118" s="1"/>
  <c r="AG544" i="114"/>
  <c r="L544" i="118"/>
  <c r="O544" i="118" s="1"/>
  <c r="L523" i="118"/>
  <c r="O523" i="118" s="1"/>
  <c r="AG523" i="114"/>
  <c r="AG529" i="114"/>
  <c r="L529" i="118"/>
  <c r="O529" i="118" s="1"/>
  <c r="AG277" i="114"/>
  <c r="L277" i="118"/>
  <c r="O277" i="118" s="1"/>
  <c r="AG281" i="114"/>
  <c r="L281" i="118"/>
  <c r="O281" i="118" s="1"/>
  <c r="AG293" i="114"/>
  <c r="L293" i="118"/>
  <c r="O293" i="118" s="1"/>
  <c r="AG320" i="114"/>
  <c r="L320" i="118"/>
  <c r="O320" i="118" s="1"/>
  <c r="AG299" i="114"/>
  <c r="L299" i="118"/>
  <c r="O299" i="118" s="1"/>
  <c r="AG301" i="114"/>
  <c r="L301" i="118"/>
  <c r="O301" i="118" s="1"/>
  <c r="L322" i="118"/>
  <c r="O322" i="118" s="1"/>
  <c r="AG322" i="114"/>
  <c r="AG583" i="114"/>
  <c r="L583" i="118"/>
  <c r="O583" i="118" s="1"/>
  <c r="L573" i="118"/>
  <c r="O573" i="118" s="1"/>
  <c r="AG573" i="114"/>
  <c r="L576" i="118"/>
  <c r="O576" i="118" s="1"/>
  <c r="AG576" i="114"/>
  <c r="AG604" i="114"/>
  <c r="L604" i="118"/>
  <c r="O604" i="118" s="1"/>
  <c r="AG602" i="114"/>
  <c r="L602" i="118"/>
  <c r="O602" i="118" s="1"/>
  <c r="AG597" i="114"/>
  <c r="L597" i="118"/>
  <c r="O597" i="118" s="1"/>
  <c r="AG582" i="114"/>
  <c r="L582" i="118"/>
  <c r="O582" i="118" s="1"/>
  <c r="AG598" i="114"/>
  <c r="L598" i="118"/>
  <c r="O598" i="118" s="1"/>
  <c r="L427" i="118"/>
  <c r="O427" i="118" s="1"/>
  <c r="AG427" i="114"/>
  <c r="AG428" i="114"/>
  <c r="L428" i="118"/>
  <c r="O428" i="118" s="1"/>
  <c r="AG449" i="114"/>
  <c r="L449" i="118"/>
  <c r="O449" i="118" s="1"/>
  <c r="L261" i="118"/>
  <c r="O261" i="118" s="1"/>
  <c r="AG261" i="114"/>
  <c r="AG264" i="114"/>
  <c r="L264" i="118"/>
  <c r="O264" i="118" s="1"/>
  <c r="L663" i="118"/>
  <c r="O663" i="118" s="1"/>
  <c r="AG663" i="114"/>
  <c r="AG667" i="114"/>
  <c r="L667" i="118"/>
  <c r="O667" i="118" s="1"/>
  <c r="AG147" i="114"/>
  <c r="L147" i="118"/>
  <c r="O147" i="118" s="1"/>
  <c r="AG148" i="114"/>
  <c r="L148" i="118"/>
  <c r="O148" i="118" s="1"/>
  <c r="AG532" i="114"/>
  <c r="L532" i="118"/>
  <c r="O532" i="118" s="1"/>
  <c r="L273" i="118"/>
  <c r="O273" i="118" s="1"/>
  <c r="AG273" i="114"/>
  <c r="AG146" i="114"/>
  <c r="L146" i="118"/>
  <c r="O146" i="118" s="1"/>
  <c r="AG42" i="114"/>
  <c r="L42" i="118"/>
  <c r="O42" i="118" s="1"/>
  <c r="AG51" i="114"/>
  <c r="L51" i="118"/>
  <c r="O51" i="118" s="1"/>
  <c r="AG53" i="114"/>
  <c r="L53" i="118"/>
  <c r="O53" i="118" s="1"/>
  <c r="AG137" i="114"/>
  <c r="L137" i="118"/>
  <c r="O137" i="118" s="1"/>
  <c r="AG44" i="114"/>
  <c r="L44" i="118"/>
  <c r="O44" i="118" s="1"/>
  <c r="AG548" i="114"/>
  <c r="L548" i="118"/>
  <c r="O548" i="118" s="1"/>
  <c r="AG517" i="114"/>
  <c r="L517" i="118"/>
  <c r="O517" i="118" s="1"/>
  <c r="L554" i="118"/>
  <c r="O554" i="118" s="1"/>
  <c r="AG554" i="114"/>
  <c r="AG536" i="114"/>
  <c r="L536" i="118"/>
  <c r="O536" i="118" s="1"/>
  <c r="AG437" i="114"/>
  <c r="L437" i="118"/>
  <c r="O437" i="118" s="1"/>
  <c r="AG439" i="114"/>
  <c r="L439" i="118"/>
  <c r="O439" i="118" s="1"/>
  <c r="AG527" i="114"/>
  <c r="L527" i="118"/>
  <c r="O527" i="118" s="1"/>
  <c r="M7" i="127"/>
  <c r="M13" i="127" s="1"/>
  <c r="K13" i="127"/>
  <c r="AG272" i="114"/>
  <c r="L272" i="118"/>
  <c r="O272" i="118" s="1"/>
  <c r="AG291" i="114"/>
  <c r="L291" i="118"/>
  <c r="O291" i="118" s="1"/>
  <c r="AG305" i="114"/>
  <c r="L305" i="118"/>
  <c r="O305" i="118" s="1"/>
  <c r="AG329" i="114"/>
  <c r="L329" i="118"/>
  <c r="O329" i="118" s="1"/>
  <c r="AG318" i="114"/>
  <c r="L318" i="118"/>
  <c r="O318" i="118" s="1"/>
  <c r="AG323" i="114"/>
  <c r="L323" i="118"/>
  <c r="O323" i="118" s="1"/>
  <c r="AG564" i="114"/>
  <c r="L564" i="118"/>
  <c r="O564" i="118" s="1"/>
  <c r="AG560" i="114"/>
  <c r="L560" i="118"/>
  <c r="O560" i="118" s="1"/>
  <c r="AG637" i="114"/>
  <c r="L637" i="118"/>
  <c r="O637" i="118" s="1"/>
  <c r="AG631" i="114"/>
  <c r="L631" i="118"/>
  <c r="O631" i="118" s="1"/>
  <c r="AG640" i="114"/>
  <c r="L640" i="118"/>
  <c r="O640" i="118" s="1"/>
  <c r="L589" i="118"/>
  <c r="O589" i="118" s="1"/>
  <c r="AG589" i="114"/>
  <c r="AG574" i="114"/>
  <c r="L574" i="118"/>
  <c r="O574" i="118" s="1"/>
  <c r="AG628" i="114"/>
  <c r="L628" i="118"/>
  <c r="O628" i="118" s="1"/>
  <c r="AG559" i="114"/>
  <c r="L559" i="118"/>
  <c r="O559" i="118" s="1"/>
  <c r="AG635" i="114"/>
  <c r="L635" i="118"/>
  <c r="O635" i="118" s="1"/>
  <c r="AG575" i="114"/>
  <c r="L575" i="118"/>
  <c r="O575" i="118" s="1"/>
  <c r="AG425" i="114"/>
  <c r="L425" i="118"/>
  <c r="O425" i="118" s="1"/>
  <c r="AG422" i="114"/>
  <c r="L422" i="118"/>
  <c r="O422" i="118" s="1"/>
  <c r="L443" i="118"/>
  <c r="O443" i="118" s="1"/>
  <c r="AG443" i="114"/>
  <c r="AG447" i="114"/>
  <c r="L447" i="118"/>
  <c r="O447" i="118" s="1"/>
  <c r="AG263" i="114"/>
  <c r="L263" i="118"/>
  <c r="O263" i="118" s="1"/>
  <c r="AG265" i="114"/>
  <c r="L265" i="118"/>
  <c r="O265" i="118" s="1"/>
  <c r="AG657" i="114"/>
  <c r="L657" i="118"/>
  <c r="O657" i="118" s="1"/>
  <c r="AG662" i="114"/>
  <c r="L662" i="118"/>
  <c r="O662" i="118" s="1"/>
  <c r="AG41" i="114"/>
  <c r="L41" i="118"/>
  <c r="O41" i="118" s="1"/>
  <c r="AG535" i="114"/>
  <c r="L535" i="118"/>
  <c r="O535" i="118" s="1"/>
  <c r="AG438" i="114"/>
  <c r="L438" i="118"/>
  <c r="O438" i="118" s="1"/>
  <c r="AG192" i="114"/>
  <c r="L192" i="118"/>
  <c r="O192" i="118" s="1"/>
  <c r="AG43" i="114"/>
  <c r="L43" i="118"/>
  <c r="O43" i="118" s="1"/>
  <c r="L45" i="118"/>
  <c r="O45" i="118" s="1"/>
  <c r="AG45" i="114"/>
  <c r="AG46" i="114"/>
  <c r="L46" i="118"/>
  <c r="O46" i="118" s="1"/>
  <c r="L54" i="118"/>
  <c r="O54" i="118" s="1"/>
  <c r="AG54" i="114"/>
  <c r="AG189" i="114"/>
  <c r="L189" i="118"/>
  <c r="O189" i="118" s="1"/>
  <c r="AG510" i="114"/>
  <c r="L510" i="118"/>
  <c r="AG521" i="114"/>
  <c r="L521" i="118"/>
  <c r="O521" i="118" s="1"/>
  <c r="AG534" i="114"/>
  <c r="L534" i="118"/>
  <c r="O534" i="118" s="1"/>
  <c r="AG539" i="114"/>
  <c r="L539" i="118"/>
  <c r="O539" i="118" s="1"/>
  <c r="AG435" i="114"/>
  <c r="L435" i="118"/>
  <c r="O435" i="118" s="1"/>
  <c r="L552" i="118"/>
  <c r="O552" i="118" s="1"/>
  <c r="AG552" i="114"/>
  <c r="AG531" i="114"/>
  <c r="L531" i="118"/>
  <c r="O531" i="118" s="1"/>
  <c r="AG276" i="114"/>
  <c r="L276" i="118"/>
  <c r="O276" i="118" s="1"/>
  <c r="AG288" i="114"/>
  <c r="L288" i="118"/>
  <c r="O288" i="118" s="1"/>
  <c r="AG286" i="114"/>
  <c r="L286" i="118"/>
  <c r="O286" i="118" s="1"/>
  <c r="AG300" i="114"/>
  <c r="L300" i="118"/>
  <c r="O300" i="118" s="1"/>
  <c r="AG327" i="114"/>
  <c r="L327" i="118"/>
  <c r="O327" i="118" s="1"/>
  <c r="L324" i="118"/>
  <c r="O324" i="118" s="1"/>
  <c r="AG324" i="114"/>
  <c r="AG319" i="114"/>
  <c r="L319" i="118"/>
  <c r="O319" i="118" s="1"/>
  <c r="AG325" i="114"/>
  <c r="L325" i="118"/>
  <c r="O325" i="118" s="1"/>
  <c r="AG608" i="114"/>
  <c r="L608" i="118"/>
  <c r="O608" i="118" s="1"/>
  <c r="AG624" i="114"/>
  <c r="L624" i="118"/>
  <c r="O624" i="118" s="1"/>
  <c r="AG614" i="114"/>
  <c r="L614" i="118"/>
  <c r="O614" i="118" s="1"/>
  <c r="AG619" i="114"/>
  <c r="L619" i="118"/>
  <c r="O619" i="118" s="1"/>
  <c r="AG617" i="114"/>
  <c r="L617" i="118"/>
  <c r="O617" i="118" s="1"/>
  <c r="AG566" i="114"/>
  <c r="L566" i="118"/>
  <c r="O566" i="118" s="1"/>
  <c r="AG567" i="114"/>
  <c r="L567" i="118"/>
  <c r="O567" i="118" s="1"/>
  <c r="AG638" i="114"/>
  <c r="L638" i="118"/>
  <c r="O638" i="118" s="1"/>
  <c r="AG626" i="114"/>
  <c r="L626" i="118"/>
  <c r="O626" i="118" s="1"/>
  <c r="L623" i="118"/>
  <c r="O623" i="118" s="1"/>
  <c r="AG623" i="114"/>
  <c r="AG585" i="114"/>
  <c r="L585" i="118"/>
  <c r="O585" i="118" s="1"/>
  <c r="AG639" i="114"/>
  <c r="L639" i="118"/>
  <c r="O639" i="118" s="1"/>
  <c r="L445" i="118"/>
  <c r="O445" i="118" s="1"/>
  <c r="AG445" i="114"/>
  <c r="AG442" i="114"/>
  <c r="L442" i="118"/>
  <c r="O442" i="118" s="1"/>
  <c r="AG269" i="114"/>
  <c r="L269" i="118"/>
  <c r="O269" i="118" s="1"/>
  <c r="AG268" i="114"/>
  <c r="L268" i="118"/>
  <c r="O268" i="118" s="1"/>
  <c r="AG658" i="114"/>
  <c r="L658" i="118"/>
  <c r="O658" i="118" s="1"/>
  <c r="AG664" i="114"/>
  <c r="L664" i="118"/>
  <c r="O664" i="118" s="1"/>
  <c r="AG193" i="114"/>
  <c r="L193" i="118"/>
  <c r="O193" i="118" s="1"/>
  <c r="AG195" i="114"/>
  <c r="L195" i="118"/>
  <c r="O195" i="118" s="1"/>
  <c r="L38" i="118"/>
  <c r="O38" i="118" s="1"/>
  <c r="AG38" i="114"/>
  <c r="AG48" i="114"/>
  <c r="L48" i="118"/>
  <c r="O48" i="118" s="1"/>
  <c r="AG132" i="114"/>
  <c r="L132" i="118"/>
  <c r="O132" i="118" s="1"/>
  <c r="AG138" i="114"/>
  <c r="L138" i="118"/>
  <c r="O138" i="118" s="1"/>
  <c r="AG512" i="114"/>
  <c r="L512" i="118"/>
  <c r="O512" i="118" s="1"/>
  <c r="AG549" i="114"/>
  <c r="L549" i="118"/>
  <c r="O549" i="118" s="1"/>
  <c r="AG537" i="114"/>
  <c r="L537" i="118"/>
  <c r="O537" i="118" s="1"/>
  <c r="AG541" i="114"/>
  <c r="L541" i="118"/>
  <c r="O541" i="118" s="1"/>
  <c r="AG540" i="114"/>
  <c r="L540" i="118"/>
  <c r="O540" i="118" s="1"/>
  <c r="AG433" i="114"/>
  <c r="L433" i="118"/>
  <c r="O433" i="118" s="1"/>
  <c r="AG432" i="114"/>
  <c r="L432" i="118"/>
  <c r="O432" i="118" s="1"/>
  <c r="AG533" i="114"/>
  <c r="L533" i="118"/>
  <c r="O533" i="118" s="1"/>
  <c r="AG551" i="114"/>
  <c r="L551" i="118"/>
  <c r="O551" i="118" s="1"/>
  <c r="AG271" i="114"/>
  <c r="L271" i="118"/>
  <c r="O271" i="118" s="1"/>
  <c r="AG287" i="114"/>
  <c r="L287" i="118"/>
  <c r="O287" i="118" s="1"/>
  <c r="AG292" i="114"/>
  <c r="L292" i="118"/>
  <c r="O292" i="118" s="1"/>
  <c r="AG312" i="114"/>
  <c r="L312" i="118"/>
  <c r="O312" i="118" s="1"/>
  <c r="AG296" i="114"/>
  <c r="L296" i="118"/>
  <c r="O296" i="118" s="1"/>
  <c r="AG310" i="114"/>
  <c r="L310" i="118"/>
  <c r="O310" i="118" s="1"/>
  <c r="AG314" i="114"/>
  <c r="L314" i="118"/>
  <c r="O314" i="118" s="1"/>
  <c r="AG304" i="114"/>
  <c r="L304" i="118"/>
  <c r="O304" i="118" s="1"/>
  <c r="AG603" i="114"/>
  <c r="L603" i="118"/>
  <c r="O603" i="118" s="1"/>
  <c r="L601" i="118"/>
  <c r="O601" i="118" s="1"/>
  <c r="AG601" i="114"/>
  <c r="L591" i="118"/>
  <c r="O591" i="118" s="1"/>
  <c r="AG591" i="114"/>
  <c r="AG596" i="114"/>
  <c r="L596" i="118"/>
  <c r="O596" i="118" s="1"/>
  <c r="AG594" i="114"/>
  <c r="L594" i="118"/>
  <c r="O594" i="118" s="1"/>
  <c r="AG630" i="114"/>
  <c r="L630" i="118"/>
  <c r="O630" i="118" s="1"/>
  <c r="AG562" i="114"/>
  <c r="L562" i="118"/>
  <c r="O562" i="118" s="1"/>
  <c r="AG615" i="114"/>
  <c r="L615" i="118"/>
  <c r="O615" i="118" s="1"/>
  <c r="AG600" i="114"/>
  <c r="L600" i="118"/>
  <c r="O600" i="118" s="1"/>
  <c r="AG590" i="114"/>
  <c r="L590" i="118"/>
  <c r="O590" i="118" s="1"/>
  <c r="L616" i="118"/>
  <c r="O616" i="118" s="1"/>
  <c r="AG616" i="114"/>
  <c r="AG421" i="114"/>
  <c r="L421" i="118"/>
  <c r="AG430" i="114"/>
  <c r="L430" i="118"/>
  <c r="O430" i="118" s="1"/>
  <c r="AG448" i="114"/>
  <c r="L448" i="118"/>
  <c r="O448" i="118" s="1"/>
  <c r="AG444" i="114"/>
  <c r="L444" i="118"/>
  <c r="O444" i="118" s="1"/>
  <c r="AG259" i="114"/>
  <c r="L259" i="118"/>
  <c r="AG266" i="114"/>
  <c r="L266" i="118"/>
  <c r="O266" i="118" s="1"/>
  <c r="L511" i="118"/>
  <c r="O511" i="118" s="1"/>
  <c r="AG511" i="114"/>
  <c r="AG522" i="114"/>
  <c r="L522" i="118"/>
  <c r="O522" i="118" s="1"/>
  <c r="AG274" i="114"/>
  <c r="L274" i="118"/>
  <c r="O274" i="118" s="1"/>
  <c r="AG284" i="114"/>
  <c r="L284" i="118"/>
  <c r="O284" i="118" s="1"/>
  <c r="L294" i="118"/>
  <c r="O294" i="118" s="1"/>
  <c r="AG294" i="114"/>
  <c r="AG321" i="114"/>
  <c r="L321" i="118"/>
  <c r="O321" i="118" s="1"/>
  <c r="L308" i="118"/>
  <c r="O308" i="118" s="1"/>
  <c r="AG308" i="114"/>
  <c r="AG303" i="114"/>
  <c r="L303" i="118"/>
  <c r="O303" i="118" s="1"/>
  <c r="AG315" i="114"/>
  <c r="L315" i="118"/>
  <c r="O315" i="118" s="1"/>
  <c r="L313" i="118"/>
  <c r="O313" i="118" s="1"/>
  <c r="AG313" i="114"/>
  <c r="AG580" i="114"/>
  <c r="L580" i="118"/>
  <c r="O580" i="118" s="1"/>
  <c r="AG578" i="114"/>
  <c r="L578" i="118"/>
  <c r="O578" i="118" s="1"/>
  <c r="AG568" i="114"/>
  <c r="L568" i="118"/>
  <c r="O568" i="118" s="1"/>
  <c r="L581" i="118"/>
  <c r="O581" i="118" s="1"/>
  <c r="AG581" i="114"/>
  <c r="AG607" i="114"/>
  <c r="L607" i="118"/>
  <c r="O607" i="118" s="1"/>
  <c r="AG592" i="114"/>
  <c r="L592" i="118"/>
  <c r="O592" i="118" s="1"/>
  <c r="AG579" i="114"/>
  <c r="L579" i="118"/>
  <c r="O579" i="118" s="1"/>
  <c r="AG577" i="114"/>
  <c r="L577" i="118"/>
  <c r="O577" i="118" s="1"/>
  <c r="AG587" i="114"/>
  <c r="L587" i="118"/>
  <c r="O587" i="118" s="1"/>
  <c r="AG593" i="114"/>
  <c r="L593" i="118"/>
  <c r="O593" i="118" s="1"/>
  <c r="AG424" i="114"/>
  <c r="L424" i="118"/>
  <c r="O424" i="118" s="1"/>
  <c r="AG423" i="114"/>
  <c r="L423" i="118"/>
  <c r="O423" i="118" s="1"/>
  <c r="AG450" i="114"/>
  <c r="L450" i="118"/>
  <c r="O450" i="118" s="1"/>
  <c r="AG260" i="114"/>
  <c r="L260" i="118"/>
  <c r="O260" i="118" s="1"/>
  <c r="AG665" i="114"/>
  <c r="L665" i="118"/>
  <c r="O665" i="118" s="1"/>
  <c r="AG659" i="114"/>
  <c r="L659" i="118"/>
  <c r="O659" i="118" s="1"/>
  <c r="AG196" i="114"/>
  <c r="L196" i="118"/>
  <c r="O196" i="118" s="1"/>
  <c r="L49" i="118"/>
  <c r="O49" i="118" s="1"/>
  <c r="AG49" i="114"/>
  <c r="AG543" i="114"/>
  <c r="L543" i="118"/>
  <c r="O543" i="118" s="1"/>
  <c r="AG440" i="114"/>
  <c r="L440" i="118"/>
  <c r="O440" i="118" s="1"/>
  <c r="AG144" i="114"/>
  <c r="L144" i="118"/>
  <c r="O144" i="118" s="1"/>
  <c r="AG188" i="114"/>
  <c r="L188" i="118"/>
  <c r="O188" i="118" s="1"/>
  <c r="AG191" i="114"/>
  <c r="L191" i="118"/>
  <c r="O191" i="118" s="1"/>
  <c r="AG142" i="114"/>
  <c r="L142" i="118"/>
  <c r="O142" i="118" s="1"/>
  <c r="AG194" i="114"/>
  <c r="L194" i="118"/>
  <c r="O194" i="118" s="1"/>
  <c r="AG141" i="114"/>
  <c r="L141" i="118"/>
  <c r="O141" i="118" s="1"/>
  <c r="AG516" i="114"/>
  <c r="L516" i="118"/>
  <c r="O516" i="118" s="1"/>
  <c r="AG518" i="114"/>
  <c r="L518" i="118"/>
  <c r="O518" i="118" s="1"/>
  <c r="AG538" i="114"/>
  <c r="L538" i="118"/>
  <c r="O538" i="118" s="1"/>
  <c r="AG553" i="114"/>
  <c r="L553" i="118"/>
  <c r="O553" i="118" s="1"/>
  <c r="AG436" i="114"/>
  <c r="L436" i="118"/>
  <c r="O436" i="118" s="1"/>
  <c r="AG526" i="114"/>
  <c r="L526" i="118"/>
  <c r="O526" i="118" s="1"/>
  <c r="AG524" i="114"/>
  <c r="L524" i="118"/>
  <c r="O524" i="118" s="1"/>
  <c r="AG275" i="114"/>
  <c r="L275" i="118"/>
  <c r="O275" i="118" s="1"/>
  <c r="L280" i="118"/>
  <c r="O280" i="118" s="1"/>
  <c r="AG280" i="114"/>
  <c r="AG404" i="114"/>
  <c r="L391" i="118"/>
  <c r="O391" i="118" s="1"/>
  <c r="L359" i="118"/>
  <c r="O359" i="118" s="1"/>
  <c r="L418" i="118"/>
  <c r="O418" i="118" s="1"/>
  <c r="L341" i="118"/>
  <c r="O341" i="118" s="1"/>
  <c r="L332" i="118"/>
  <c r="O332" i="118" s="1"/>
  <c r="L394" i="118"/>
  <c r="O394" i="118" s="1"/>
  <c r="L393" i="118"/>
  <c r="O393" i="118" s="1"/>
  <c r="L392" i="118"/>
  <c r="O392" i="118" s="1"/>
  <c r="L374" i="118"/>
  <c r="O374" i="118" s="1"/>
  <c r="L397" i="118"/>
  <c r="O397" i="118" s="1"/>
  <c r="L372" i="118"/>
  <c r="O372" i="118" s="1"/>
  <c r="L419" i="118"/>
  <c r="O419" i="118" s="1"/>
  <c r="L387" i="118"/>
  <c r="O387" i="118" s="1"/>
  <c r="L355" i="118"/>
  <c r="O355" i="118" s="1"/>
  <c r="L412" i="118"/>
  <c r="O412" i="118" s="1"/>
  <c r="L402" i="118"/>
  <c r="O402" i="118" s="1"/>
  <c r="L404" i="118"/>
  <c r="O404" i="118" s="1"/>
  <c r="L385" i="118"/>
  <c r="O385" i="118" s="1"/>
  <c r="L376" i="118"/>
  <c r="O376" i="118" s="1"/>
  <c r="L384" i="118"/>
  <c r="O384" i="118" s="1"/>
  <c r="L365" i="118"/>
  <c r="O365" i="118" s="1"/>
  <c r="L362" i="118"/>
  <c r="O362" i="118" s="1"/>
  <c r="L337" i="118"/>
  <c r="O337" i="118" s="1"/>
  <c r="L415" i="118"/>
  <c r="O415" i="118" s="1"/>
  <c r="L383" i="118"/>
  <c r="O383" i="118" s="1"/>
  <c r="L351" i="118"/>
  <c r="O351" i="118" s="1"/>
  <c r="L405" i="118"/>
  <c r="O405" i="118" s="1"/>
  <c r="L396" i="118"/>
  <c r="O396" i="118" s="1"/>
  <c r="L378" i="118"/>
  <c r="O378" i="118" s="1"/>
  <c r="L377" i="118"/>
  <c r="O377" i="118" s="1"/>
  <c r="L368" i="118"/>
  <c r="O368" i="118" s="1"/>
  <c r="L366" i="118"/>
  <c r="O366" i="118" s="1"/>
  <c r="L340" i="118"/>
  <c r="O340" i="118" s="1"/>
  <c r="L388" i="118"/>
  <c r="O388" i="118" s="1"/>
  <c r="L406" i="118"/>
  <c r="O406" i="118" s="1"/>
  <c r="L411" i="118"/>
  <c r="O411" i="118" s="1"/>
  <c r="L379" i="118"/>
  <c r="O379" i="118" s="1"/>
  <c r="L347" i="118"/>
  <c r="O347" i="118" s="1"/>
  <c r="L386" i="118"/>
  <c r="O386" i="118" s="1"/>
  <c r="L389" i="118"/>
  <c r="O389" i="118" s="1"/>
  <c r="L369" i="118"/>
  <c r="O369" i="118" s="1"/>
  <c r="L360" i="118"/>
  <c r="O360" i="118" s="1"/>
  <c r="L350" i="118"/>
  <c r="O350" i="118" s="1"/>
  <c r="L358" i="118"/>
  <c r="O358" i="118" s="1"/>
  <c r="L416" i="118"/>
  <c r="O416" i="118" s="1"/>
  <c r="L353" i="118"/>
  <c r="O353" i="118" s="1"/>
  <c r="L375" i="118"/>
  <c r="O375" i="118" s="1"/>
  <c r="L343" i="118"/>
  <c r="O343" i="118" s="1"/>
  <c r="L370" i="118"/>
  <c r="O370" i="118" s="1"/>
  <c r="L352" i="118"/>
  <c r="O352" i="118" s="1"/>
  <c r="L349" i="118"/>
  <c r="O349" i="118" s="1"/>
  <c r="L414" i="118"/>
  <c r="O414" i="118" s="1"/>
  <c r="L407" i="118"/>
  <c r="O407" i="118" s="1"/>
  <c r="L380" i="118"/>
  <c r="O380" i="118" s="1"/>
  <c r="L361" i="118"/>
  <c r="O361" i="118" s="1"/>
  <c r="L342" i="118"/>
  <c r="O342" i="118" s="1"/>
  <c r="L398" i="118"/>
  <c r="O398" i="118" s="1"/>
  <c r="L403" i="118"/>
  <c r="O403" i="118" s="1"/>
  <c r="L371" i="118"/>
  <c r="O371" i="118" s="1"/>
  <c r="L339" i="118"/>
  <c r="O339" i="118" s="1"/>
  <c r="L373" i="118"/>
  <c r="O373" i="118" s="1"/>
  <c r="L364" i="118"/>
  <c r="O364" i="118" s="1"/>
  <c r="L344" i="118"/>
  <c r="O344" i="118" s="1"/>
  <c r="L334" i="118"/>
  <c r="O334" i="118" s="1"/>
  <c r="L333" i="118"/>
  <c r="O333" i="118" s="1"/>
  <c r="L408" i="118"/>
  <c r="O408" i="118" s="1"/>
  <c r="L390" i="118"/>
  <c r="O390" i="118" s="1"/>
  <c r="L346" i="118"/>
  <c r="O346" i="118" s="1"/>
  <c r="L399" i="118"/>
  <c r="O399" i="118" s="1"/>
  <c r="L367" i="118"/>
  <c r="O367" i="118" s="1"/>
  <c r="L335" i="118"/>
  <c r="O335" i="118" s="1"/>
  <c r="L354" i="118"/>
  <c r="O354" i="118" s="1"/>
  <c r="L357" i="118"/>
  <c r="O357" i="118" s="1"/>
  <c r="L336" i="118"/>
  <c r="O336" i="118" s="1"/>
  <c r="L410" i="118"/>
  <c r="O410" i="118" s="1"/>
  <c r="L417" i="118"/>
  <c r="O417" i="118" s="1"/>
  <c r="L400" i="118"/>
  <c r="O400" i="118" s="1"/>
  <c r="L381" i="118"/>
  <c r="O381" i="118" s="1"/>
  <c r="L413" i="118"/>
  <c r="O413" i="118" s="1"/>
  <c r="L395" i="118"/>
  <c r="O395" i="118" s="1"/>
  <c r="L363" i="118"/>
  <c r="O363" i="118" s="1"/>
  <c r="L331" i="118"/>
  <c r="O331" i="118" s="1"/>
  <c r="L348" i="118"/>
  <c r="O348" i="118" s="1"/>
  <c r="L338" i="118"/>
  <c r="O338" i="118" s="1"/>
  <c r="L420" i="118"/>
  <c r="O420" i="118" s="1"/>
  <c r="L401" i="118"/>
  <c r="O401" i="118" s="1"/>
  <c r="L409" i="118"/>
  <c r="O409" i="118" s="1"/>
  <c r="L382" i="118"/>
  <c r="O382" i="118" s="1"/>
  <c r="L356" i="118"/>
  <c r="O356" i="118" s="1"/>
  <c r="L345" i="118"/>
  <c r="O345" i="118" s="1"/>
  <c r="L289" i="118"/>
  <c r="O289" i="118" s="1"/>
  <c r="AG289" i="114"/>
  <c r="L311" i="118"/>
  <c r="O311" i="118" s="1"/>
  <c r="AG311" i="114"/>
  <c r="AG302" i="114"/>
  <c r="L302" i="118"/>
  <c r="O302" i="118" s="1"/>
  <c r="AG306" i="114"/>
  <c r="L306" i="118"/>
  <c r="O306" i="118" s="1"/>
  <c r="AG309" i="114"/>
  <c r="L309" i="118"/>
  <c r="O309" i="118" s="1"/>
  <c r="L473" i="118"/>
  <c r="O473" i="118" s="1"/>
  <c r="L501" i="118"/>
  <c r="O501" i="118" s="1"/>
  <c r="L470" i="118"/>
  <c r="O470" i="118" s="1"/>
  <c r="L499" i="118"/>
  <c r="O499" i="118" s="1"/>
  <c r="L467" i="118"/>
  <c r="O467" i="118" s="1"/>
  <c r="L480" i="118"/>
  <c r="O480" i="118" s="1"/>
  <c r="L464" i="118"/>
  <c r="O464" i="118" s="1"/>
  <c r="AG295" i="114"/>
  <c r="L469" i="118"/>
  <c r="O469" i="118" s="1"/>
  <c r="L498" i="118"/>
  <c r="O498" i="118" s="1"/>
  <c r="L466" i="118"/>
  <c r="O466" i="118" s="1"/>
  <c r="L495" i="118"/>
  <c r="O495" i="118" s="1"/>
  <c r="L463" i="118"/>
  <c r="O463" i="118" s="1"/>
  <c r="L456" i="118"/>
  <c r="O456" i="118" s="1"/>
  <c r="L506" i="118"/>
  <c r="O506" i="118" s="1"/>
  <c r="L497" i="118"/>
  <c r="O497" i="118" s="1"/>
  <c r="L465" i="118"/>
  <c r="O465" i="118" s="1"/>
  <c r="L494" i="118"/>
  <c r="O494" i="118" s="1"/>
  <c r="L462" i="118"/>
  <c r="O462" i="118" s="1"/>
  <c r="L491" i="118"/>
  <c r="O491" i="118" s="1"/>
  <c r="L459" i="118"/>
  <c r="O459" i="118" s="1"/>
  <c r="L492" i="118"/>
  <c r="O492" i="118" s="1"/>
  <c r="L496" i="118"/>
  <c r="O496" i="118" s="1"/>
  <c r="L493" i="118"/>
  <c r="O493" i="118" s="1"/>
  <c r="L461" i="118"/>
  <c r="O461" i="118" s="1"/>
  <c r="L490" i="118"/>
  <c r="O490" i="118" s="1"/>
  <c r="L458" i="118"/>
  <c r="O458" i="118" s="1"/>
  <c r="L487" i="118"/>
  <c r="O487" i="118" s="1"/>
  <c r="L455" i="118"/>
  <c r="O455" i="118" s="1"/>
  <c r="L460" i="118"/>
  <c r="O460" i="118" s="1"/>
  <c r="L488" i="118"/>
  <c r="O488" i="118" s="1"/>
  <c r="L454" i="118"/>
  <c r="O454" i="118" s="1"/>
  <c r="L472" i="118"/>
  <c r="O472" i="118" s="1"/>
  <c r="L489" i="118"/>
  <c r="O489" i="118" s="1"/>
  <c r="L457" i="118"/>
  <c r="O457" i="118" s="1"/>
  <c r="L486" i="118"/>
  <c r="O486" i="118" s="1"/>
  <c r="L483" i="118"/>
  <c r="O483" i="118" s="1"/>
  <c r="L451" i="118"/>
  <c r="O451" i="118" s="1"/>
  <c r="L295" i="118"/>
  <c r="O295" i="118" s="1"/>
  <c r="L485" i="118"/>
  <c r="O485" i="118" s="1"/>
  <c r="L453" i="118"/>
  <c r="O453" i="118" s="1"/>
  <c r="L482" i="118"/>
  <c r="O482" i="118" s="1"/>
  <c r="L508" i="118"/>
  <c r="O508" i="118" s="1"/>
  <c r="L479" i="118"/>
  <c r="O479" i="118" s="1"/>
  <c r="L468" i="118"/>
  <c r="O468" i="118" s="1"/>
  <c r="L503" i="118"/>
  <c r="O503" i="118" s="1"/>
  <c r="L476" i="118"/>
  <c r="O476" i="118" s="1"/>
  <c r="L481" i="118"/>
  <c r="O481" i="118" s="1"/>
  <c r="L507" i="118"/>
  <c r="O507" i="118" s="1"/>
  <c r="L478" i="118"/>
  <c r="O478" i="118" s="1"/>
  <c r="L505" i="118"/>
  <c r="O505" i="118" s="1"/>
  <c r="L475" i="118"/>
  <c r="O475" i="118" s="1"/>
  <c r="L452" i="118"/>
  <c r="O452" i="118" s="1"/>
  <c r="L484" i="118"/>
  <c r="O484" i="118" s="1"/>
  <c r="L477" i="118"/>
  <c r="O477" i="118" s="1"/>
  <c r="L504" i="118"/>
  <c r="O504" i="118" s="1"/>
  <c r="L474" i="118"/>
  <c r="O474" i="118" s="1"/>
  <c r="L502" i="118"/>
  <c r="O502" i="118" s="1"/>
  <c r="L471" i="118"/>
  <c r="O471" i="118" s="1"/>
  <c r="L509" i="118"/>
  <c r="O509" i="118" s="1"/>
  <c r="L500" i="118"/>
  <c r="O500" i="118" s="1"/>
  <c r="AG565" i="114"/>
  <c r="L565" i="118"/>
  <c r="O565" i="118" s="1"/>
  <c r="AG632" i="114"/>
  <c r="L632" i="118"/>
  <c r="O632" i="118" s="1"/>
  <c r="AG558" i="114"/>
  <c r="L558" i="118"/>
  <c r="O558" i="118" s="1"/>
  <c r="L584" i="118"/>
  <c r="O584" i="118" s="1"/>
  <c r="AG584" i="114"/>
  <c r="AG571" i="114"/>
  <c r="L571" i="118"/>
  <c r="O571" i="118" s="1"/>
  <c r="AG569" i="114"/>
  <c r="L569" i="118"/>
  <c r="O569" i="118" s="1"/>
  <c r="AG627" i="114"/>
  <c r="L627" i="118"/>
  <c r="O627" i="118" s="1"/>
  <c r="L648" i="118"/>
  <c r="O648" i="118" s="1"/>
  <c r="L645" i="118"/>
  <c r="O645" i="118" s="1"/>
  <c r="L642" i="118"/>
  <c r="O642" i="118" s="1"/>
  <c r="L652" i="118"/>
  <c r="O652" i="118" s="1"/>
  <c r="L647" i="118"/>
  <c r="O647" i="118" s="1"/>
  <c r="AG641" i="114"/>
  <c r="L649" i="118"/>
  <c r="O649" i="118" s="1"/>
  <c r="L654" i="118"/>
  <c r="O654" i="118" s="1"/>
  <c r="L646" i="118"/>
  <c r="O646" i="118" s="1"/>
  <c r="L650" i="118"/>
  <c r="O650" i="118" s="1"/>
  <c r="L651" i="118"/>
  <c r="O651" i="118" s="1"/>
  <c r="L641" i="118"/>
  <c r="O641" i="118" s="1"/>
  <c r="L643" i="118"/>
  <c r="O643" i="118" s="1"/>
  <c r="L644" i="118"/>
  <c r="O644" i="118" s="1"/>
  <c r="L653" i="118"/>
  <c r="O653" i="118" s="1"/>
  <c r="AG572" i="114"/>
  <c r="L572" i="118"/>
  <c r="O572" i="118" s="1"/>
  <c r="AG570" i="114"/>
  <c r="L570" i="118"/>
  <c r="O570" i="118" s="1"/>
  <c r="L426" i="118"/>
  <c r="O426" i="118" s="1"/>
  <c r="AG426" i="114"/>
  <c r="AG267" i="114"/>
  <c r="L267" i="118"/>
  <c r="O267" i="118" s="1"/>
  <c r="AG660" i="114"/>
  <c r="L660" i="118"/>
  <c r="O660" i="118" s="1"/>
  <c r="AG93" i="114"/>
  <c r="L93" i="118"/>
  <c r="O93" i="118" s="1"/>
  <c r="AG86" i="114"/>
  <c r="L86" i="118"/>
  <c r="O86" i="118" s="1"/>
  <c r="AG184" i="114"/>
  <c r="L184" i="118"/>
  <c r="O184" i="118" s="1"/>
  <c r="AG169" i="114"/>
  <c r="L169" i="118"/>
  <c r="O169" i="118" s="1"/>
  <c r="AG82" i="114"/>
  <c r="L82" i="118"/>
  <c r="O82" i="118" s="1"/>
  <c r="AG179" i="114"/>
  <c r="L179" i="118"/>
  <c r="O179" i="118" s="1"/>
  <c r="AG176" i="114"/>
  <c r="L176" i="118"/>
  <c r="O176" i="118" s="1"/>
  <c r="AG173" i="114"/>
  <c r="L173" i="118"/>
  <c r="O173" i="118" s="1"/>
  <c r="AG174" i="114"/>
  <c r="L174" i="118"/>
  <c r="O174" i="118" s="1"/>
  <c r="AG212" i="114"/>
  <c r="L212" i="118"/>
  <c r="O212" i="118" s="1"/>
  <c r="AG177" i="114"/>
  <c r="L177" i="118"/>
  <c r="O177" i="118" s="1"/>
  <c r="AG90" i="114"/>
  <c r="L90" i="118"/>
  <c r="O90" i="118" s="1"/>
  <c r="AG79" i="114"/>
  <c r="L79" i="118"/>
  <c r="AG215" i="114"/>
  <c r="L215" i="118"/>
  <c r="O215" i="118" s="1"/>
  <c r="AG87" i="114"/>
  <c r="L87" i="118"/>
  <c r="O87" i="118" s="1"/>
  <c r="AG85" i="114"/>
  <c r="L85" i="118"/>
  <c r="O85" i="118" s="1"/>
  <c r="AG216" i="114"/>
  <c r="L216" i="118"/>
  <c r="O216" i="118" s="1"/>
  <c r="AG89" i="114"/>
  <c r="L89" i="118"/>
  <c r="O89" i="118" s="1"/>
  <c r="AG171" i="114"/>
  <c r="L171" i="118"/>
  <c r="O171" i="118" s="1"/>
  <c r="AG181" i="114"/>
  <c r="L181" i="118"/>
  <c r="O181" i="118" s="1"/>
  <c r="AG182" i="114"/>
  <c r="L182" i="118"/>
  <c r="O182" i="118" s="1"/>
  <c r="AG220" i="114"/>
  <c r="L220" i="118"/>
  <c r="O220" i="118" s="1"/>
  <c r="AG185" i="114"/>
  <c r="L185" i="118"/>
  <c r="O185" i="118" s="1"/>
  <c r="AG170" i="114"/>
  <c r="L170" i="118"/>
  <c r="O170" i="118" s="1"/>
  <c r="AG183" i="114"/>
  <c r="L183" i="118"/>
  <c r="O183" i="118" s="1"/>
  <c r="AG217" i="114"/>
  <c r="L217" i="118"/>
  <c r="O217" i="118" s="1"/>
  <c r="AG218" i="114"/>
  <c r="L218" i="118"/>
  <c r="O218" i="118" s="1"/>
  <c r="AG213" i="114"/>
  <c r="L213" i="118"/>
  <c r="O213" i="118" s="1"/>
  <c r="AG178" i="114"/>
  <c r="L178" i="118"/>
  <c r="O178" i="118" s="1"/>
  <c r="AG211" i="114"/>
  <c r="L211" i="118"/>
  <c r="O211" i="118" s="1"/>
  <c r="AG221" i="114"/>
  <c r="L221" i="118"/>
  <c r="O221" i="118" s="1"/>
  <c r="AG80" i="114"/>
  <c r="L80" i="118"/>
  <c r="O80" i="118" s="1"/>
  <c r="AG92" i="114"/>
  <c r="L92" i="118"/>
  <c r="O92" i="118" s="1"/>
  <c r="AG186" i="114"/>
  <c r="L186" i="118"/>
  <c r="O186" i="118" s="1"/>
  <c r="AG180" i="114"/>
  <c r="L180" i="118"/>
  <c r="O180" i="118" s="1"/>
  <c r="AG84" i="114"/>
  <c r="L84" i="118"/>
  <c r="O84" i="118" s="1"/>
  <c r="AG175" i="114"/>
  <c r="L175" i="118"/>
  <c r="O175" i="118" s="1"/>
  <c r="AG214" i="114"/>
  <c r="L214" i="118"/>
  <c r="O214" i="118" s="1"/>
  <c r="AG83" i="114"/>
  <c r="L83" i="118"/>
  <c r="O83" i="118" s="1"/>
  <c r="AG172" i="114"/>
  <c r="L172" i="118"/>
  <c r="O172" i="118" s="1"/>
  <c r="AG88" i="114"/>
  <c r="L88" i="118"/>
  <c r="O88" i="118" s="1"/>
  <c r="AG81" i="114"/>
  <c r="L81" i="118"/>
  <c r="O81" i="118" s="1"/>
  <c r="AG222" i="114"/>
  <c r="L256" i="118"/>
  <c r="O256" i="118" s="1"/>
  <c r="L248" i="118"/>
  <c r="O248" i="118" s="1"/>
  <c r="L253" i="118"/>
  <c r="O253" i="118" s="1"/>
  <c r="L255" i="118"/>
  <c r="O255" i="118" s="1"/>
  <c r="L247" i="118"/>
  <c r="O247" i="118" s="1"/>
  <c r="L249" i="118"/>
  <c r="O249" i="118" s="1"/>
  <c r="L258" i="118"/>
  <c r="O258" i="118" s="1"/>
  <c r="L254" i="118"/>
  <c r="O254" i="118" s="1"/>
  <c r="L251" i="118"/>
  <c r="O251" i="118" s="1"/>
  <c r="L250" i="118"/>
  <c r="O250" i="118" s="1"/>
  <c r="L257" i="118"/>
  <c r="O257" i="118" s="1"/>
  <c r="L252" i="118"/>
  <c r="O252" i="118" s="1"/>
  <c r="L222" i="118"/>
  <c r="O222" i="118" s="1"/>
  <c r="AG91" i="114"/>
  <c r="L91" i="118"/>
  <c r="O91" i="118" s="1"/>
  <c r="AG219" i="114"/>
  <c r="L219" i="118"/>
  <c r="O219" i="118" s="1"/>
  <c r="AP2" i="114"/>
  <c r="AP7" i="114" s="1"/>
  <c r="AP5" i="114" l="1"/>
  <c r="AQ5" i="114" s="1"/>
  <c r="AC12" i="118"/>
  <c r="AP6" i="114"/>
  <c r="AQ6" i="114" s="1"/>
  <c r="T9" i="118"/>
  <c r="O259" i="118"/>
  <c r="W9" i="118" s="1"/>
  <c r="T10" i="118"/>
  <c r="O421" i="118"/>
  <c r="W10" i="118" s="1"/>
  <c r="AC9" i="118"/>
  <c r="AP3" i="114"/>
  <c r="AC10" i="118"/>
  <c r="AP4" i="114"/>
  <c r="AQ4" i="114" s="1"/>
  <c r="AC11" i="118"/>
  <c r="I9" i="126"/>
  <c r="I11" i="126"/>
  <c r="I7" i="126"/>
  <c r="I13" i="126" s="1"/>
  <c r="O510" i="118"/>
  <c r="W11" i="118" s="1"/>
  <c r="T11" i="118"/>
  <c r="O655" i="118"/>
  <c r="W12" i="118" s="1"/>
  <c r="T12" i="118"/>
  <c r="Z12" i="118" s="1"/>
  <c r="AH12" i="118" s="1"/>
  <c r="AC7" i="118"/>
  <c r="O79" i="118"/>
  <c r="W7" i="118" s="1"/>
  <c r="T7" i="118"/>
  <c r="AQ2" i="114"/>
  <c r="AQ7" i="114"/>
  <c r="Z9" i="118" l="1"/>
  <c r="AH9" i="118"/>
  <c r="Z11" i="118"/>
  <c r="AH11" i="118" s="1"/>
  <c r="Z10" i="118"/>
  <c r="AH10" i="118" s="1"/>
  <c r="I15" i="126"/>
  <c r="I14" i="126"/>
  <c r="AQ3" i="114"/>
  <c r="AP8" i="114"/>
  <c r="Z7" i="118"/>
  <c r="AH7" i="118" s="1"/>
  <c r="AQ8" i="114" l="1"/>
  <c r="AP9" i="114"/>
  <c r="AQ9" i="114" s="1"/>
  <c r="J2" i="118" l="1"/>
  <c r="K2" i="118"/>
  <c r="M2" i="118"/>
  <c r="N2" i="118"/>
  <c r="J3" i="118"/>
  <c r="K3" i="118"/>
  <c r="M3" i="118"/>
  <c r="N3" i="118"/>
  <c r="J4" i="118"/>
  <c r="K4" i="118"/>
  <c r="M4" i="118"/>
  <c r="N4" i="118"/>
  <c r="J5" i="118"/>
  <c r="K5" i="118"/>
  <c r="M5" i="118"/>
  <c r="N5" i="118"/>
  <c r="J6" i="118"/>
  <c r="K6" i="118"/>
  <c r="M6" i="118"/>
  <c r="N6" i="118"/>
  <c r="J7" i="118"/>
  <c r="K7" i="118"/>
  <c r="M7" i="118"/>
  <c r="N7" i="118"/>
  <c r="R7" i="118"/>
  <c r="S7" i="118"/>
  <c r="U7" i="118"/>
  <c r="V7" i="118"/>
  <c r="X7" i="118"/>
  <c r="Y7" i="118"/>
  <c r="AA7" i="118"/>
  <c r="AB7" i="118"/>
  <c r="AD7" i="118"/>
  <c r="AE7" i="118"/>
  <c r="AF7" i="118"/>
  <c r="AG7" i="118"/>
  <c r="AI7" i="118"/>
  <c r="AJ7" i="118"/>
  <c r="J8" i="118"/>
  <c r="K8" i="118"/>
  <c r="M8" i="118"/>
  <c r="N8" i="118"/>
  <c r="J9" i="118"/>
  <c r="K9" i="118"/>
  <c r="M9" i="118"/>
  <c r="N9" i="118"/>
  <c r="S9" i="118"/>
  <c r="V9" i="118"/>
  <c r="Y9" i="118"/>
  <c r="AB9" i="118"/>
  <c r="AE9" i="118"/>
  <c r="AG9" i="118"/>
  <c r="AJ9" i="118"/>
  <c r="J10" i="118"/>
  <c r="K10" i="118"/>
  <c r="M10" i="118"/>
  <c r="N10" i="118"/>
  <c r="S10" i="118"/>
  <c r="V10" i="118"/>
  <c r="Y10" i="118"/>
  <c r="AB10" i="118"/>
  <c r="AE10" i="118"/>
  <c r="AG10" i="118"/>
  <c r="AJ10" i="118"/>
  <c r="J11" i="118"/>
  <c r="K11" i="118"/>
  <c r="M11" i="118"/>
  <c r="N11" i="118"/>
  <c r="S11" i="118"/>
  <c r="V11" i="118"/>
  <c r="Y11" i="118"/>
  <c r="AB11" i="118"/>
  <c r="AE11" i="118"/>
  <c r="AG11" i="118"/>
  <c r="AJ11" i="118"/>
  <c r="J12" i="118"/>
  <c r="K12" i="118"/>
  <c r="M12" i="118"/>
  <c r="N12" i="118"/>
  <c r="S12" i="118"/>
  <c r="V12" i="118"/>
  <c r="Y12" i="118"/>
  <c r="AB12" i="118"/>
  <c r="AG12" i="118"/>
  <c r="AJ12" i="118"/>
  <c r="J13" i="118"/>
  <c r="K13" i="118"/>
  <c r="M13" i="118"/>
  <c r="N13" i="118"/>
  <c r="J14" i="118"/>
  <c r="K14" i="118"/>
  <c r="M14" i="118"/>
  <c r="N14" i="118"/>
  <c r="J15" i="118"/>
  <c r="K15" i="118"/>
  <c r="M15" i="118"/>
  <c r="N15" i="118"/>
  <c r="J16" i="118"/>
  <c r="K16" i="118"/>
  <c r="M16" i="118"/>
  <c r="N16" i="118"/>
  <c r="J17" i="118"/>
  <c r="K17" i="118"/>
  <c r="M17" i="118"/>
  <c r="N17" i="118"/>
  <c r="J18" i="118"/>
  <c r="K18" i="118"/>
  <c r="M18" i="118"/>
  <c r="N18" i="118"/>
  <c r="J19" i="118"/>
  <c r="K19" i="118"/>
  <c r="M19" i="118"/>
  <c r="N19" i="118"/>
  <c r="J20" i="118"/>
  <c r="K20" i="118"/>
  <c r="M20" i="118"/>
  <c r="N20" i="118"/>
  <c r="J21" i="118"/>
  <c r="K21" i="118"/>
  <c r="M21" i="118"/>
  <c r="N21" i="118"/>
  <c r="J22" i="118"/>
  <c r="K22" i="118"/>
  <c r="M22" i="118"/>
  <c r="N22" i="118"/>
  <c r="J23" i="118"/>
  <c r="K23" i="118"/>
  <c r="M23" i="118"/>
  <c r="N23" i="118"/>
  <c r="J24" i="118"/>
  <c r="K24" i="118"/>
  <c r="M24" i="118"/>
  <c r="N24" i="118"/>
  <c r="J25" i="118"/>
  <c r="K25" i="118"/>
  <c r="M25" i="118"/>
  <c r="N25" i="118"/>
  <c r="J26" i="118"/>
  <c r="K26" i="118"/>
  <c r="M26" i="118"/>
  <c r="N26" i="118"/>
  <c r="J27" i="118"/>
  <c r="K27" i="118"/>
  <c r="M27" i="118"/>
  <c r="N27" i="118"/>
  <c r="J28" i="118"/>
  <c r="K28" i="118"/>
  <c r="M28" i="118"/>
  <c r="N28" i="118"/>
  <c r="J29" i="118"/>
  <c r="K29" i="118"/>
  <c r="M29" i="118"/>
  <c r="N29" i="118"/>
  <c r="J30" i="118"/>
  <c r="K30" i="118"/>
  <c r="M30" i="118"/>
  <c r="N30" i="118"/>
  <c r="J31" i="118"/>
  <c r="K31" i="118"/>
  <c r="M31" i="118"/>
  <c r="N31" i="118"/>
  <c r="J32" i="118"/>
  <c r="K32" i="118"/>
  <c r="M32" i="118"/>
  <c r="N32" i="118"/>
  <c r="J33" i="118"/>
  <c r="K33" i="118"/>
  <c r="M33" i="118"/>
  <c r="N33" i="118"/>
  <c r="J34" i="118"/>
  <c r="K34" i="118"/>
  <c r="M34" i="118"/>
  <c r="N34" i="118"/>
  <c r="J35" i="118"/>
  <c r="K35" i="118"/>
  <c r="M35" i="118"/>
  <c r="N35" i="118"/>
  <c r="J36" i="118"/>
  <c r="K36" i="118"/>
  <c r="M36" i="118"/>
  <c r="N36" i="118"/>
  <c r="J37" i="118"/>
  <c r="K37" i="118"/>
  <c r="M37" i="118"/>
  <c r="N37" i="118"/>
  <c r="K38" i="118"/>
  <c r="N38" i="118"/>
  <c r="K39" i="118"/>
  <c r="N39" i="118"/>
  <c r="K40" i="118"/>
  <c r="N40" i="118"/>
  <c r="K41" i="118"/>
  <c r="N41" i="118"/>
  <c r="K42" i="118"/>
  <c r="N42" i="118"/>
  <c r="K43" i="118"/>
  <c r="N43" i="118"/>
  <c r="K44" i="118"/>
  <c r="N44" i="118"/>
  <c r="K45" i="118"/>
  <c r="N45" i="118"/>
  <c r="K46" i="118"/>
  <c r="N46" i="118"/>
  <c r="K47" i="118"/>
  <c r="N47" i="118"/>
  <c r="K48" i="118"/>
  <c r="N48" i="118"/>
  <c r="K49" i="118"/>
  <c r="N49" i="118"/>
  <c r="K50" i="118"/>
  <c r="N50" i="118"/>
  <c r="K51" i="118"/>
  <c r="N51" i="118"/>
  <c r="K52" i="118"/>
  <c r="N52" i="118"/>
  <c r="K53" i="118"/>
  <c r="N53" i="118"/>
  <c r="K54" i="118"/>
  <c r="N54" i="118"/>
  <c r="J55" i="118"/>
  <c r="M55" i="118"/>
  <c r="J56" i="118"/>
  <c r="M56" i="118"/>
  <c r="J57" i="118"/>
  <c r="M57" i="118"/>
  <c r="J58" i="118"/>
  <c r="M58" i="118"/>
  <c r="J59" i="118"/>
  <c r="M59" i="118"/>
  <c r="J60" i="118"/>
  <c r="M60" i="118"/>
  <c r="J61" i="118"/>
  <c r="M61" i="118"/>
  <c r="J62" i="118"/>
  <c r="M62" i="118"/>
  <c r="J63" i="118"/>
  <c r="M63" i="118"/>
  <c r="J64" i="118"/>
  <c r="M64" i="118"/>
  <c r="J65" i="118"/>
  <c r="M65" i="118"/>
  <c r="J66" i="118"/>
  <c r="M66" i="118"/>
  <c r="J67" i="118"/>
  <c r="M67" i="118"/>
  <c r="J68" i="118"/>
  <c r="M68" i="118"/>
  <c r="J69" i="118"/>
  <c r="M69" i="118"/>
  <c r="J70" i="118"/>
  <c r="M70" i="118"/>
  <c r="J71" i="118"/>
  <c r="M71" i="118"/>
  <c r="J72" i="118"/>
  <c r="M72" i="118"/>
  <c r="J73" i="118"/>
  <c r="M73" i="118"/>
  <c r="J74" i="118"/>
  <c r="M74" i="118"/>
  <c r="J75" i="118"/>
  <c r="M75" i="118"/>
  <c r="J76" i="118"/>
  <c r="M76" i="118"/>
  <c r="J77" i="118"/>
  <c r="M77" i="118"/>
  <c r="J78" i="118"/>
  <c r="M78" i="118"/>
  <c r="K79" i="118"/>
  <c r="N79" i="118"/>
  <c r="K80" i="118"/>
  <c r="N80" i="118"/>
  <c r="K81" i="118"/>
  <c r="N81" i="118"/>
  <c r="K82" i="118"/>
  <c r="N82" i="118"/>
  <c r="K83" i="118"/>
  <c r="N83" i="118"/>
  <c r="K84" i="118"/>
  <c r="N84" i="118"/>
  <c r="K85" i="118"/>
  <c r="N85" i="118"/>
  <c r="K86" i="118"/>
  <c r="N86" i="118"/>
  <c r="K87" i="118"/>
  <c r="N87" i="118"/>
  <c r="K88" i="118"/>
  <c r="N88" i="118"/>
  <c r="K89" i="118"/>
  <c r="N89" i="118"/>
  <c r="K90" i="118"/>
  <c r="N90" i="118"/>
  <c r="K91" i="118"/>
  <c r="N91" i="118"/>
  <c r="K92" i="118"/>
  <c r="N92" i="118"/>
  <c r="K93" i="118"/>
  <c r="N93" i="118"/>
  <c r="K94" i="118"/>
  <c r="N94" i="118"/>
  <c r="K95" i="118"/>
  <c r="N95" i="118"/>
  <c r="K96" i="118"/>
  <c r="N96" i="118"/>
  <c r="K97" i="118"/>
  <c r="N97" i="118"/>
  <c r="K98" i="118"/>
  <c r="N98" i="118"/>
  <c r="K99" i="118"/>
  <c r="N99" i="118"/>
  <c r="K100" i="118"/>
  <c r="N100" i="118"/>
  <c r="K101" i="118"/>
  <c r="N101" i="118"/>
  <c r="K102" i="118"/>
  <c r="N102" i="118"/>
  <c r="K103" i="118"/>
  <c r="N103" i="118"/>
  <c r="K104" i="118"/>
  <c r="N104" i="118"/>
  <c r="K105" i="118"/>
  <c r="N105" i="118"/>
  <c r="J106" i="118"/>
  <c r="M106" i="118"/>
  <c r="J107" i="118"/>
  <c r="M107" i="118"/>
  <c r="J108" i="118"/>
  <c r="M108" i="118"/>
  <c r="J109" i="118"/>
  <c r="M109" i="118"/>
  <c r="J110" i="118"/>
  <c r="M110" i="118"/>
  <c r="J111" i="118"/>
  <c r="M111" i="118"/>
  <c r="J112" i="118"/>
  <c r="M112" i="118"/>
  <c r="J113" i="118"/>
  <c r="M113" i="118"/>
  <c r="J114" i="118"/>
  <c r="M114" i="118"/>
  <c r="J115" i="118"/>
  <c r="M115" i="118"/>
  <c r="J116" i="118"/>
  <c r="M116" i="118"/>
  <c r="J117" i="118"/>
  <c r="M117" i="118"/>
  <c r="K118" i="118"/>
  <c r="N118" i="118"/>
  <c r="K119" i="118"/>
  <c r="N119" i="118"/>
  <c r="K120" i="118"/>
  <c r="N120" i="118"/>
  <c r="K121" i="118"/>
  <c r="N121" i="118"/>
  <c r="K122" i="118"/>
  <c r="N122" i="118"/>
  <c r="K123" i="118"/>
  <c r="N123" i="118"/>
  <c r="K124" i="118"/>
  <c r="N124" i="118"/>
  <c r="K125" i="118"/>
  <c r="N125" i="118"/>
  <c r="K126" i="118"/>
  <c r="N126" i="118"/>
  <c r="K127" i="118"/>
  <c r="N127" i="118"/>
  <c r="K128" i="118"/>
  <c r="N128" i="118"/>
  <c r="K129" i="118"/>
  <c r="N129" i="118"/>
  <c r="K130" i="118"/>
  <c r="N130" i="118"/>
  <c r="K131" i="118"/>
  <c r="N131" i="118"/>
  <c r="K132" i="118"/>
  <c r="N132" i="118"/>
  <c r="K133" i="118"/>
  <c r="N133" i="118"/>
  <c r="K134" i="118"/>
  <c r="N134" i="118"/>
  <c r="K135" i="118"/>
  <c r="N135" i="118"/>
  <c r="K136" i="118"/>
  <c r="N136" i="118"/>
  <c r="K137" i="118"/>
  <c r="N137" i="118"/>
  <c r="K138" i="118"/>
  <c r="N138" i="118"/>
  <c r="K139" i="118"/>
  <c r="N139" i="118"/>
  <c r="K140" i="118"/>
  <c r="N140" i="118"/>
  <c r="K141" i="118"/>
  <c r="N141" i="118"/>
  <c r="K142" i="118"/>
  <c r="N142" i="118"/>
  <c r="K143" i="118"/>
  <c r="N143" i="118"/>
  <c r="K144" i="118"/>
  <c r="N144" i="118"/>
  <c r="K145" i="118"/>
  <c r="N145" i="118"/>
  <c r="K146" i="118"/>
  <c r="N146" i="118"/>
  <c r="K147" i="118"/>
  <c r="N147" i="118"/>
  <c r="K148" i="118"/>
  <c r="N148" i="118"/>
  <c r="J149" i="118"/>
  <c r="M149" i="118"/>
  <c r="J150" i="118"/>
  <c r="M150" i="118"/>
  <c r="J151" i="118"/>
  <c r="M151" i="118"/>
  <c r="J152" i="118"/>
  <c r="M152" i="118"/>
  <c r="J153" i="118"/>
  <c r="M153" i="118"/>
  <c r="J154" i="118"/>
  <c r="M154" i="118"/>
  <c r="J155" i="118"/>
  <c r="M155" i="118"/>
  <c r="J156" i="118"/>
  <c r="M156" i="118"/>
  <c r="J157" i="118"/>
  <c r="M157" i="118"/>
  <c r="J158" i="118"/>
  <c r="M158" i="118"/>
  <c r="J159" i="118"/>
  <c r="M159" i="118"/>
  <c r="J160" i="118"/>
  <c r="M160" i="118"/>
  <c r="J161" i="118"/>
  <c r="M161" i="118"/>
  <c r="J162" i="118"/>
  <c r="M162" i="118"/>
  <c r="J163" i="118"/>
  <c r="M163" i="118"/>
  <c r="J164" i="118"/>
  <c r="M164" i="118"/>
  <c r="J165" i="118"/>
  <c r="M165" i="118"/>
  <c r="J166" i="118"/>
  <c r="M166" i="118"/>
  <c r="J167" i="118"/>
  <c r="M167" i="118"/>
  <c r="J168" i="118"/>
  <c r="M168" i="118"/>
  <c r="K169" i="118"/>
  <c r="N169" i="118"/>
  <c r="K170" i="118"/>
  <c r="N170" i="118"/>
  <c r="K171" i="118"/>
  <c r="N171" i="118"/>
  <c r="K172" i="118"/>
  <c r="N172" i="118"/>
  <c r="K173" i="118"/>
  <c r="N173" i="118"/>
  <c r="K174" i="118"/>
  <c r="N174" i="118"/>
  <c r="K175" i="118"/>
  <c r="N175" i="118"/>
  <c r="K176" i="118"/>
  <c r="N176" i="118"/>
  <c r="K177" i="118"/>
  <c r="N177" i="118"/>
  <c r="K178" i="118"/>
  <c r="N178" i="118"/>
  <c r="K179" i="118"/>
  <c r="N179" i="118"/>
  <c r="K180" i="118"/>
  <c r="N180" i="118"/>
  <c r="K181" i="118"/>
  <c r="N181" i="118"/>
  <c r="K182" i="118"/>
  <c r="N182" i="118"/>
  <c r="K183" i="118"/>
  <c r="N183" i="118"/>
  <c r="K184" i="118"/>
  <c r="N184" i="118"/>
  <c r="K185" i="118"/>
  <c r="N185" i="118"/>
  <c r="K186" i="118"/>
  <c r="N186" i="118"/>
  <c r="K187" i="118"/>
  <c r="N187" i="118"/>
  <c r="K188" i="118"/>
  <c r="N188" i="118"/>
  <c r="K189" i="118"/>
  <c r="N189" i="118"/>
  <c r="K190" i="118"/>
  <c r="N190" i="118"/>
  <c r="K191" i="118"/>
  <c r="N191" i="118"/>
  <c r="K192" i="118"/>
  <c r="N192" i="118"/>
  <c r="K193" i="118"/>
  <c r="N193" i="118"/>
  <c r="K194" i="118"/>
  <c r="N194" i="118"/>
  <c r="K195" i="118"/>
  <c r="N195" i="118"/>
  <c r="K196" i="118"/>
  <c r="N196" i="118"/>
  <c r="K197" i="118"/>
  <c r="N197" i="118"/>
  <c r="K198" i="118"/>
  <c r="N198" i="118"/>
  <c r="J199" i="118"/>
  <c r="M199" i="118"/>
  <c r="J200" i="118"/>
  <c r="M200" i="118"/>
  <c r="J201" i="118"/>
  <c r="M201" i="118"/>
  <c r="J202" i="118"/>
  <c r="M202" i="118"/>
  <c r="J203" i="118"/>
  <c r="M203" i="118"/>
  <c r="J204" i="118"/>
  <c r="M204" i="118"/>
  <c r="J205" i="118"/>
  <c r="M205" i="118"/>
  <c r="J206" i="118"/>
  <c r="M206" i="118"/>
  <c r="J207" i="118"/>
  <c r="M207" i="118"/>
  <c r="J208" i="118"/>
  <c r="M208" i="118"/>
  <c r="J209" i="118"/>
  <c r="M209" i="118"/>
  <c r="J210" i="118"/>
  <c r="M210" i="118"/>
  <c r="K211" i="118"/>
  <c r="N211" i="118"/>
  <c r="K212" i="118"/>
  <c r="N212" i="118"/>
  <c r="K213" i="118"/>
  <c r="N213" i="118"/>
  <c r="K214" i="118"/>
  <c r="N214" i="118"/>
  <c r="K215" i="118"/>
  <c r="N215" i="118"/>
  <c r="K216" i="118"/>
  <c r="N216" i="118"/>
  <c r="K217" i="118"/>
  <c r="N217" i="118"/>
  <c r="K218" i="118"/>
  <c r="N218" i="118"/>
  <c r="K219" i="118"/>
  <c r="N219" i="118"/>
  <c r="K220" i="118"/>
  <c r="N220" i="118"/>
  <c r="K221" i="118"/>
  <c r="N221" i="118"/>
  <c r="K222" i="118"/>
  <c r="N222" i="118"/>
  <c r="K223" i="118"/>
  <c r="N223" i="118"/>
  <c r="K224" i="118"/>
  <c r="N224" i="118"/>
  <c r="K225" i="118"/>
  <c r="N225" i="118"/>
  <c r="K226" i="118"/>
  <c r="N226" i="118"/>
  <c r="K227" i="118"/>
  <c r="N227" i="118"/>
  <c r="K228" i="118"/>
  <c r="N228" i="118"/>
  <c r="K229" i="118"/>
  <c r="N229" i="118"/>
  <c r="K230" i="118"/>
  <c r="N230" i="118"/>
  <c r="K231" i="118"/>
  <c r="N231" i="118"/>
  <c r="K232" i="118"/>
  <c r="N232" i="118"/>
  <c r="K233" i="118"/>
  <c r="N233" i="118"/>
  <c r="K234" i="118"/>
  <c r="N234" i="118"/>
  <c r="J235" i="118"/>
  <c r="M235" i="118"/>
  <c r="J236" i="118"/>
  <c r="M236" i="118"/>
  <c r="J237" i="118"/>
  <c r="M237" i="118"/>
  <c r="J238" i="118"/>
  <c r="M238" i="118"/>
  <c r="J239" i="118"/>
  <c r="M239" i="118"/>
  <c r="J240" i="118"/>
  <c r="M240" i="118"/>
  <c r="J241" i="118"/>
  <c r="M241" i="118"/>
  <c r="J242" i="118"/>
  <c r="M242" i="118"/>
  <c r="J243" i="118"/>
  <c r="M243" i="118"/>
  <c r="J244" i="118"/>
  <c r="M244" i="118"/>
  <c r="J245" i="118"/>
  <c r="M245" i="118"/>
  <c r="J246" i="118"/>
  <c r="M246" i="118"/>
  <c r="K247" i="118"/>
  <c r="N247" i="118"/>
  <c r="K248" i="118"/>
  <c r="N248" i="118"/>
  <c r="K249" i="118"/>
  <c r="N249" i="118"/>
  <c r="K250" i="118"/>
  <c r="N250" i="118"/>
  <c r="K251" i="118"/>
  <c r="N251" i="118"/>
  <c r="K252" i="118"/>
  <c r="N252" i="118"/>
  <c r="K253" i="118"/>
  <c r="N253" i="118"/>
  <c r="K254" i="118"/>
  <c r="N254" i="118"/>
  <c r="K255" i="118"/>
  <c r="N255" i="118"/>
  <c r="K256" i="118"/>
  <c r="N256" i="118"/>
  <c r="K257" i="118"/>
  <c r="N257" i="118"/>
  <c r="K258" i="118"/>
  <c r="N258" i="118"/>
  <c r="K259" i="118"/>
  <c r="N259" i="118"/>
  <c r="K260" i="118"/>
  <c r="N260" i="118"/>
  <c r="K261" i="118"/>
  <c r="N261" i="118"/>
  <c r="K262" i="118"/>
  <c r="N262" i="118"/>
  <c r="K263" i="118"/>
  <c r="N263" i="118"/>
  <c r="K264" i="118"/>
  <c r="N264" i="118"/>
  <c r="K265" i="118"/>
  <c r="N265" i="118"/>
  <c r="K266" i="118"/>
  <c r="N266" i="118"/>
  <c r="K267" i="118"/>
  <c r="N267" i="118"/>
  <c r="K268" i="118"/>
  <c r="N268" i="118"/>
  <c r="K269" i="118"/>
  <c r="N269" i="118"/>
  <c r="K270" i="118"/>
  <c r="N270" i="118"/>
  <c r="K271" i="118"/>
  <c r="N271" i="118"/>
  <c r="K272" i="118"/>
  <c r="N272" i="118"/>
  <c r="K273" i="118"/>
  <c r="N273" i="118"/>
  <c r="K274" i="118"/>
  <c r="N274" i="118"/>
  <c r="K275" i="118"/>
  <c r="N275" i="118"/>
  <c r="K276" i="118"/>
  <c r="N276" i="118"/>
  <c r="K277" i="118"/>
  <c r="N277" i="118"/>
  <c r="K278" i="118"/>
  <c r="N278" i="118"/>
  <c r="K279" i="118"/>
  <c r="N279" i="118"/>
  <c r="K280" i="118"/>
  <c r="N280" i="118"/>
  <c r="K281" i="118"/>
  <c r="N281" i="118"/>
  <c r="K282" i="118"/>
  <c r="N282" i="118"/>
  <c r="K283" i="118"/>
  <c r="N283" i="118"/>
  <c r="K284" i="118"/>
  <c r="N284" i="118"/>
  <c r="K285" i="118"/>
  <c r="N285" i="118"/>
  <c r="K286" i="118"/>
  <c r="N286" i="118"/>
  <c r="K287" i="118"/>
  <c r="N287" i="118"/>
  <c r="K288" i="118"/>
  <c r="N288" i="118"/>
  <c r="K289" i="118"/>
  <c r="N289" i="118"/>
  <c r="K290" i="118"/>
  <c r="N290" i="118"/>
  <c r="K291" i="118"/>
  <c r="N291" i="118"/>
  <c r="K292" i="118"/>
  <c r="N292" i="118"/>
  <c r="K293" i="118"/>
  <c r="N293" i="118"/>
  <c r="K294" i="118"/>
  <c r="N294" i="118"/>
  <c r="K295" i="118"/>
  <c r="N295" i="118"/>
  <c r="K296" i="118"/>
  <c r="N296" i="118"/>
  <c r="K297" i="118"/>
  <c r="N297" i="118"/>
  <c r="K298" i="118"/>
  <c r="N298" i="118"/>
  <c r="K299" i="118"/>
  <c r="N299" i="118"/>
  <c r="K300" i="118"/>
  <c r="N300" i="118"/>
  <c r="K301" i="118"/>
  <c r="N301" i="118"/>
  <c r="K302" i="118"/>
  <c r="N302" i="118"/>
  <c r="K303" i="118"/>
  <c r="N303" i="118"/>
  <c r="K304" i="118"/>
  <c r="N304" i="118"/>
  <c r="K305" i="118"/>
  <c r="N305" i="118"/>
  <c r="K306" i="118"/>
  <c r="N306" i="118"/>
  <c r="K307" i="118"/>
  <c r="N307" i="118"/>
  <c r="K308" i="118"/>
  <c r="N308" i="118"/>
  <c r="K309" i="118"/>
  <c r="N309" i="118"/>
  <c r="K310" i="118"/>
  <c r="N310" i="118"/>
  <c r="K311" i="118"/>
  <c r="N311" i="118"/>
  <c r="K312" i="118"/>
  <c r="N312" i="118"/>
  <c r="K313" i="118"/>
  <c r="N313" i="118"/>
  <c r="K314" i="118"/>
  <c r="N314" i="118"/>
  <c r="K315" i="118"/>
  <c r="N315" i="118"/>
  <c r="K316" i="118"/>
  <c r="N316" i="118"/>
  <c r="K317" i="118"/>
  <c r="N317" i="118"/>
  <c r="K318" i="118"/>
  <c r="N318" i="118"/>
  <c r="K319" i="118"/>
  <c r="N319" i="118"/>
  <c r="K320" i="118"/>
  <c r="N320" i="118"/>
  <c r="K321" i="118"/>
  <c r="N321" i="118"/>
  <c r="K322" i="118"/>
  <c r="N322" i="118"/>
  <c r="K323" i="118"/>
  <c r="N323" i="118"/>
  <c r="K324" i="118"/>
  <c r="N324" i="118"/>
  <c r="K325" i="118"/>
  <c r="N325" i="118"/>
  <c r="K326" i="118"/>
  <c r="N326" i="118"/>
  <c r="K327" i="118"/>
  <c r="N327" i="118"/>
  <c r="K328" i="118"/>
  <c r="N328" i="118"/>
  <c r="K329" i="118"/>
  <c r="N329" i="118"/>
  <c r="K330" i="118"/>
  <c r="N330" i="118"/>
  <c r="K331" i="118"/>
  <c r="N331" i="118"/>
  <c r="K332" i="118"/>
  <c r="N332" i="118"/>
  <c r="K333" i="118"/>
  <c r="N333" i="118"/>
  <c r="K334" i="118"/>
  <c r="N334" i="118"/>
  <c r="K335" i="118"/>
  <c r="N335" i="118"/>
  <c r="K336" i="118"/>
  <c r="N336" i="118"/>
  <c r="K337" i="118"/>
  <c r="N337" i="118"/>
  <c r="K338" i="118"/>
  <c r="N338" i="118"/>
  <c r="K339" i="118"/>
  <c r="N339" i="118"/>
  <c r="K340" i="118"/>
  <c r="N340" i="118"/>
  <c r="K341" i="118"/>
  <c r="N341" i="118"/>
  <c r="K342" i="118"/>
  <c r="N342" i="118"/>
  <c r="K343" i="118"/>
  <c r="N343" i="118"/>
  <c r="K344" i="118"/>
  <c r="N344" i="118"/>
  <c r="K345" i="118"/>
  <c r="N345" i="118"/>
  <c r="K346" i="118"/>
  <c r="N346" i="118"/>
  <c r="K347" i="118"/>
  <c r="N347" i="118"/>
  <c r="K348" i="118"/>
  <c r="N348" i="118"/>
  <c r="K349" i="118"/>
  <c r="N349" i="118"/>
  <c r="K350" i="118"/>
  <c r="N350" i="118"/>
  <c r="K351" i="118"/>
  <c r="N351" i="118"/>
  <c r="K352" i="118"/>
  <c r="N352" i="118"/>
  <c r="K353" i="118"/>
  <c r="N353" i="118"/>
  <c r="K354" i="118"/>
  <c r="N354" i="118"/>
  <c r="K355" i="118"/>
  <c r="N355" i="118"/>
  <c r="K356" i="118"/>
  <c r="N356" i="118"/>
  <c r="K357" i="118"/>
  <c r="N357" i="118"/>
  <c r="K358" i="118"/>
  <c r="N358" i="118"/>
  <c r="K359" i="118"/>
  <c r="N359" i="118"/>
  <c r="K360" i="118"/>
  <c r="N360" i="118"/>
  <c r="K361" i="118"/>
  <c r="N361" i="118"/>
  <c r="K362" i="118"/>
  <c r="N362" i="118"/>
  <c r="K363" i="118"/>
  <c r="N363" i="118"/>
  <c r="K364" i="118"/>
  <c r="N364" i="118"/>
  <c r="K365" i="118"/>
  <c r="N365" i="118"/>
  <c r="K366" i="118"/>
  <c r="N366" i="118"/>
  <c r="K367" i="118"/>
  <c r="N367" i="118"/>
  <c r="K368" i="118"/>
  <c r="N368" i="118"/>
  <c r="K369" i="118"/>
  <c r="N369" i="118"/>
  <c r="K370" i="118"/>
  <c r="N370" i="118"/>
  <c r="K371" i="118"/>
  <c r="N371" i="118"/>
  <c r="K372" i="118"/>
  <c r="N372" i="118"/>
  <c r="K373" i="118"/>
  <c r="N373" i="118"/>
  <c r="K374" i="118"/>
  <c r="N374" i="118"/>
  <c r="K375" i="118"/>
  <c r="N375" i="118"/>
  <c r="K376" i="118"/>
  <c r="N376" i="118"/>
  <c r="K377" i="118"/>
  <c r="N377" i="118"/>
  <c r="K378" i="118"/>
  <c r="N378" i="118"/>
  <c r="K379" i="118"/>
  <c r="N379" i="118"/>
  <c r="K380" i="118"/>
  <c r="N380" i="118"/>
  <c r="K381" i="118"/>
  <c r="N381" i="118"/>
  <c r="K382" i="118"/>
  <c r="N382" i="118"/>
  <c r="K383" i="118"/>
  <c r="N383" i="118"/>
  <c r="K384" i="118"/>
  <c r="N384" i="118"/>
  <c r="K385" i="118"/>
  <c r="N385" i="118"/>
  <c r="K386" i="118"/>
  <c r="N386" i="118"/>
  <c r="K387" i="118"/>
  <c r="N387" i="118"/>
  <c r="K388" i="118"/>
  <c r="N388" i="118"/>
  <c r="K389" i="118"/>
  <c r="N389" i="118"/>
  <c r="K390" i="118"/>
  <c r="N390" i="118"/>
  <c r="K391" i="118"/>
  <c r="N391" i="118"/>
  <c r="K392" i="118"/>
  <c r="N392" i="118"/>
  <c r="K393" i="118"/>
  <c r="N393" i="118"/>
  <c r="K394" i="118"/>
  <c r="N394" i="118"/>
  <c r="K395" i="118"/>
  <c r="N395" i="118"/>
  <c r="K396" i="118"/>
  <c r="N396" i="118"/>
  <c r="K397" i="118"/>
  <c r="N397" i="118"/>
  <c r="K398" i="118"/>
  <c r="N398" i="118"/>
  <c r="K399" i="118"/>
  <c r="N399" i="118"/>
  <c r="K400" i="118"/>
  <c r="N400" i="118"/>
  <c r="K401" i="118"/>
  <c r="N401" i="118"/>
  <c r="K402" i="118"/>
  <c r="N402" i="118"/>
  <c r="K403" i="118"/>
  <c r="N403" i="118"/>
  <c r="K404" i="118"/>
  <c r="N404" i="118"/>
  <c r="K405" i="118"/>
  <c r="N405" i="118"/>
  <c r="K406" i="118"/>
  <c r="N406" i="118"/>
  <c r="K407" i="118"/>
  <c r="N407" i="118"/>
  <c r="K408" i="118"/>
  <c r="N408" i="118"/>
  <c r="K409" i="118"/>
  <c r="N409" i="118"/>
  <c r="K410" i="118"/>
  <c r="N410" i="118"/>
  <c r="K411" i="118"/>
  <c r="N411" i="118"/>
  <c r="K412" i="118"/>
  <c r="N412" i="118"/>
  <c r="K413" i="118"/>
  <c r="N413" i="118"/>
  <c r="K414" i="118"/>
  <c r="N414" i="118"/>
  <c r="K415" i="118"/>
  <c r="N415" i="118"/>
  <c r="K416" i="118"/>
  <c r="N416" i="118"/>
  <c r="K417" i="118"/>
  <c r="N417" i="118"/>
  <c r="K418" i="118"/>
  <c r="N418" i="118"/>
  <c r="K419" i="118"/>
  <c r="N419" i="118"/>
  <c r="K420" i="118"/>
  <c r="N420" i="118"/>
  <c r="K421" i="118"/>
  <c r="N421" i="118"/>
  <c r="K422" i="118"/>
  <c r="N422" i="118"/>
  <c r="K423" i="118"/>
  <c r="N423" i="118"/>
  <c r="K424" i="118"/>
  <c r="N424" i="118"/>
  <c r="K425" i="118"/>
  <c r="N425" i="118"/>
  <c r="K426" i="118"/>
  <c r="N426" i="118"/>
  <c r="K427" i="118"/>
  <c r="N427" i="118"/>
  <c r="K428" i="118"/>
  <c r="N428" i="118"/>
  <c r="K429" i="118"/>
  <c r="N429" i="118"/>
  <c r="K430" i="118"/>
  <c r="N430" i="118"/>
  <c r="K431" i="118"/>
  <c r="N431" i="118"/>
  <c r="K432" i="118"/>
  <c r="N432" i="118"/>
  <c r="K433" i="118"/>
  <c r="N433" i="118"/>
  <c r="K434" i="118"/>
  <c r="N434" i="118"/>
  <c r="K435" i="118"/>
  <c r="N435" i="118"/>
  <c r="K436" i="118"/>
  <c r="N436" i="118"/>
  <c r="K437" i="118"/>
  <c r="N437" i="118"/>
  <c r="K438" i="118"/>
  <c r="N438" i="118"/>
  <c r="K439" i="118"/>
  <c r="N439" i="118"/>
  <c r="K440" i="118"/>
  <c r="N440" i="118"/>
  <c r="K441" i="118"/>
  <c r="N441" i="118"/>
  <c r="K442" i="118"/>
  <c r="N442" i="118"/>
  <c r="K443" i="118"/>
  <c r="N443" i="118"/>
  <c r="K444" i="118"/>
  <c r="N444" i="118"/>
  <c r="K445" i="118"/>
  <c r="N445" i="118"/>
  <c r="K446" i="118"/>
  <c r="N446" i="118"/>
  <c r="K447" i="118"/>
  <c r="N447" i="118"/>
  <c r="K448" i="118"/>
  <c r="N448" i="118"/>
  <c r="K449" i="118"/>
  <c r="N449" i="118"/>
  <c r="K450" i="118"/>
  <c r="N450" i="118"/>
  <c r="K451" i="118"/>
  <c r="N451" i="118"/>
  <c r="K452" i="118"/>
  <c r="N452" i="118"/>
  <c r="K453" i="118"/>
  <c r="N453" i="118"/>
  <c r="K454" i="118"/>
  <c r="N454" i="118"/>
  <c r="K455" i="118"/>
  <c r="N455" i="118"/>
  <c r="K456" i="118"/>
  <c r="N456" i="118"/>
  <c r="K457" i="118"/>
  <c r="N457" i="118"/>
  <c r="K458" i="118"/>
  <c r="N458" i="118"/>
  <c r="K459" i="118"/>
  <c r="N459" i="118"/>
  <c r="K460" i="118"/>
  <c r="N460" i="118"/>
  <c r="K461" i="118"/>
  <c r="N461" i="118"/>
  <c r="K462" i="118"/>
  <c r="N462" i="118"/>
  <c r="K463" i="118"/>
  <c r="N463" i="118"/>
  <c r="K464" i="118"/>
  <c r="N464" i="118"/>
  <c r="K465" i="118"/>
  <c r="N465" i="118"/>
  <c r="K466" i="118"/>
  <c r="N466" i="118"/>
  <c r="K467" i="118"/>
  <c r="N467" i="118"/>
  <c r="K468" i="118"/>
  <c r="N468" i="118"/>
  <c r="K469" i="118"/>
  <c r="N469" i="118"/>
  <c r="K470" i="118"/>
  <c r="N470" i="118"/>
  <c r="K471" i="118"/>
  <c r="N471" i="118"/>
  <c r="K472" i="118"/>
  <c r="N472" i="118"/>
  <c r="K473" i="118"/>
  <c r="N473" i="118"/>
  <c r="K474" i="118"/>
  <c r="N474" i="118"/>
  <c r="K475" i="118"/>
  <c r="N475" i="118"/>
  <c r="K476" i="118"/>
  <c r="N476" i="118"/>
  <c r="K477" i="118"/>
  <c r="N477" i="118"/>
  <c r="K478" i="118"/>
  <c r="N478" i="118"/>
  <c r="K479" i="118"/>
  <c r="N479" i="118"/>
  <c r="K480" i="118"/>
  <c r="N480" i="118"/>
  <c r="K481" i="118"/>
  <c r="N481" i="118"/>
  <c r="K482" i="118"/>
  <c r="N482" i="118"/>
  <c r="K483" i="118"/>
  <c r="N483" i="118"/>
  <c r="K484" i="118"/>
  <c r="N484" i="118"/>
  <c r="K485" i="118"/>
  <c r="N485" i="118"/>
  <c r="K486" i="118"/>
  <c r="N486" i="118"/>
  <c r="K487" i="118"/>
  <c r="N487" i="118"/>
  <c r="K488" i="118"/>
  <c r="N488" i="118"/>
  <c r="K489" i="118"/>
  <c r="N489" i="118"/>
  <c r="K490" i="118"/>
  <c r="N490" i="118"/>
  <c r="K491" i="118"/>
  <c r="N491" i="118"/>
  <c r="K492" i="118"/>
  <c r="N492" i="118"/>
  <c r="K493" i="118"/>
  <c r="N493" i="118"/>
  <c r="K494" i="118"/>
  <c r="N494" i="118"/>
  <c r="K495" i="118"/>
  <c r="N495" i="118"/>
  <c r="K496" i="118"/>
  <c r="N496" i="118"/>
  <c r="K497" i="118"/>
  <c r="N497" i="118"/>
  <c r="K498" i="118"/>
  <c r="N498" i="118"/>
  <c r="K499" i="118"/>
  <c r="N499" i="118"/>
  <c r="K500" i="118"/>
  <c r="N500" i="118"/>
  <c r="K501" i="118"/>
  <c r="N501" i="118"/>
  <c r="K502" i="118"/>
  <c r="N502" i="118"/>
  <c r="K503" i="118"/>
  <c r="N503" i="118"/>
  <c r="K504" i="118"/>
  <c r="N504" i="118"/>
  <c r="K505" i="118"/>
  <c r="N505" i="118"/>
  <c r="K506" i="118"/>
  <c r="N506" i="118"/>
  <c r="K507" i="118"/>
  <c r="N507" i="118"/>
  <c r="K508" i="118"/>
  <c r="N508" i="118"/>
  <c r="K509" i="118"/>
  <c r="N509" i="118"/>
  <c r="K510" i="118"/>
  <c r="N510" i="118"/>
  <c r="K511" i="118"/>
  <c r="N511" i="118"/>
  <c r="K512" i="118"/>
  <c r="N512" i="118"/>
  <c r="K513" i="118"/>
  <c r="N513" i="118"/>
  <c r="K514" i="118"/>
  <c r="N514" i="118"/>
  <c r="K515" i="118"/>
  <c r="N515" i="118"/>
  <c r="K516" i="118"/>
  <c r="N516" i="118"/>
  <c r="K517" i="118"/>
  <c r="N517" i="118"/>
  <c r="K518" i="118"/>
  <c r="N518" i="118"/>
  <c r="K519" i="118"/>
  <c r="N519" i="118"/>
  <c r="K520" i="118"/>
  <c r="N520" i="118"/>
  <c r="K521" i="118"/>
  <c r="N521" i="118"/>
  <c r="K522" i="118"/>
  <c r="N522" i="118"/>
  <c r="K523" i="118"/>
  <c r="N523" i="118"/>
  <c r="K524" i="118"/>
  <c r="N524" i="118"/>
  <c r="K525" i="118"/>
  <c r="N525" i="118"/>
  <c r="K526" i="118"/>
  <c r="N526" i="118"/>
  <c r="K527" i="118"/>
  <c r="N527" i="118"/>
  <c r="K528" i="118"/>
  <c r="N528" i="118"/>
  <c r="K529" i="118"/>
  <c r="N529" i="118"/>
  <c r="K530" i="118"/>
  <c r="N530" i="118"/>
  <c r="K531" i="118"/>
  <c r="N531" i="118"/>
  <c r="K532" i="118"/>
  <c r="N532" i="118"/>
  <c r="K533" i="118"/>
  <c r="N533" i="118"/>
  <c r="K534" i="118"/>
  <c r="N534" i="118"/>
  <c r="K535" i="118"/>
  <c r="N535" i="118"/>
  <c r="K536" i="118"/>
  <c r="N536" i="118"/>
  <c r="K537" i="118"/>
  <c r="N537" i="118"/>
  <c r="K538" i="118"/>
  <c r="N538" i="118"/>
  <c r="K539" i="118"/>
  <c r="N539" i="118"/>
  <c r="K540" i="118"/>
  <c r="N540" i="118"/>
  <c r="K541" i="118"/>
  <c r="N541" i="118"/>
  <c r="K542" i="118"/>
  <c r="N542" i="118"/>
  <c r="K543" i="118"/>
  <c r="N543" i="118"/>
  <c r="K544" i="118"/>
  <c r="N544" i="118"/>
  <c r="K545" i="118"/>
  <c r="N545" i="118"/>
  <c r="K546" i="118"/>
  <c r="N546" i="118"/>
  <c r="K547" i="118"/>
  <c r="N547" i="118"/>
  <c r="K548" i="118"/>
  <c r="N548" i="118"/>
  <c r="K549" i="118"/>
  <c r="N549" i="118"/>
  <c r="K550" i="118"/>
  <c r="N550" i="118"/>
  <c r="K551" i="118"/>
  <c r="N551" i="118"/>
  <c r="K552" i="118"/>
  <c r="N552" i="118"/>
  <c r="K553" i="118"/>
  <c r="N553" i="118"/>
  <c r="K554" i="118"/>
  <c r="N554" i="118"/>
  <c r="K555" i="118"/>
  <c r="N555" i="118"/>
  <c r="K556" i="118"/>
  <c r="N556" i="118"/>
  <c r="K557" i="118"/>
  <c r="N557" i="118"/>
  <c r="K558" i="118"/>
  <c r="N558" i="118"/>
  <c r="K559" i="118"/>
  <c r="N559" i="118"/>
  <c r="K560" i="118"/>
  <c r="N560" i="118"/>
  <c r="K561" i="118"/>
  <c r="N561" i="118"/>
  <c r="K562" i="118"/>
  <c r="N562" i="118"/>
  <c r="K563" i="118"/>
  <c r="N563" i="118"/>
  <c r="K564" i="118"/>
  <c r="N564" i="118"/>
  <c r="K565" i="118"/>
  <c r="N565" i="118"/>
  <c r="K566" i="118"/>
  <c r="N566" i="118"/>
  <c r="K567" i="118"/>
  <c r="N567" i="118"/>
  <c r="K568" i="118"/>
  <c r="N568" i="118"/>
  <c r="K569" i="118"/>
  <c r="N569" i="118"/>
  <c r="K570" i="118"/>
  <c r="N570" i="118"/>
  <c r="K571" i="118"/>
  <c r="N571" i="118"/>
  <c r="K572" i="118"/>
  <c r="N572" i="118"/>
  <c r="K573" i="118"/>
  <c r="N573" i="118"/>
  <c r="K574" i="118"/>
  <c r="N574" i="118"/>
  <c r="K575" i="118"/>
  <c r="N575" i="118"/>
  <c r="K576" i="118"/>
  <c r="N576" i="118"/>
  <c r="K577" i="118"/>
  <c r="N577" i="118"/>
  <c r="K578" i="118"/>
  <c r="N578" i="118"/>
  <c r="K579" i="118"/>
  <c r="N579" i="118"/>
  <c r="K580" i="118"/>
  <c r="N580" i="118"/>
  <c r="K581" i="118"/>
  <c r="N581" i="118"/>
  <c r="K582" i="118"/>
  <c r="N582" i="118"/>
  <c r="K583" i="118"/>
  <c r="N583" i="118"/>
  <c r="K584" i="118"/>
  <c r="N584" i="118"/>
  <c r="K585" i="118"/>
  <c r="N585" i="118"/>
  <c r="K586" i="118"/>
  <c r="N586" i="118"/>
  <c r="K587" i="118"/>
  <c r="N587" i="118"/>
  <c r="K588" i="118"/>
  <c r="N588" i="118"/>
  <c r="K589" i="118"/>
  <c r="N589" i="118"/>
  <c r="K590" i="118"/>
  <c r="N590" i="118"/>
  <c r="K591" i="118"/>
  <c r="N591" i="118"/>
  <c r="K592" i="118"/>
  <c r="N592" i="118"/>
  <c r="K593" i="118"/>
  <c r="N593" i="118"/>
  <c r="K594" i="118"/>
  <c r="N594" i="118"/>
  <c r="K595" i="118"/>
  <c r="N595" i="118"/>
  <c r="K596" i="118"/>
  <c r="N596" i="118"/>
  <c r="K597" i="118"/>
  <c r="N597" i="118"/>
  <c r="K598" i="118"/>
  <c r="N598" i="118"/>
  <c r="K599" i="118"/>
  <c r="N599" i="118"/>
  <c r="K600" i="118"/>
  <c r="N600" i="118"/>
  <c r="K601" i="118"/>
  <c r="N601" i="118"/>
  <c r="K602" i="118"/>
  <c r="N602" i="118"/>
  <c r="K603" i="118"/>
  <c r="N603" i="118"/>
  <c r="K604" i="118"/>
  <c r="N604" i="118"/>
  <c r="K605" i="118"/>
  <c r="N605" i="118"/>
  <c r="K606" i="118"/>
  <c r="N606" i="118"/>
  <c r="K607" i="118"/>
  <c r="N607" i="118"/>
  <c r="K608" i="118"/>
  <c r="N608" i="118"/>
  <c r="K609" i="118"/>
  <c r="N609" i="118"/>
  <c r="K610" i="118"/>
  <c r="N610" i="118"/>
  <c r="K611" i="118"/>
  <c r="N611" i="118"/>
  <c r="K612" i="118"/>
  <c r="N612" i="118"/>
  <c r="K613" i="118"/>
  <c r="N613" i="118"/>
  <c r="K614" i="118"/>
  <c r="N614" i="118"/>
  <c r="K615" i="118"/>
  <c r="N615" i="118"/>
  <c r="K616" i="118"/>
  <c r="N616" i="118"/>
  <c r="K617" i="118"/>
  <c r="N617" i="118"/>
  <c r="K618" i="118"/>
  <c r="N618" i="118"/>
  <c r="K619" i="118"/>
  <c r="N619" i="118"/>
  <c r="K620" i="118"/>
  <c r="N620" i="118"/>
  <c r="K621" i="118"/>
  <c r="N621" i="118"/>
  <c r="K622" i="118"/>
  <c r="N622" i="118"/>
  <c r="K623" i="118"/>
  <c r="N623" i="118"/>
  <c r="K624" i="118"/>
  <c r="N624" i="118"/>
  <c r="K625" i="118"/>
  <c r="N625" i="118"/>
  <c r="K626" i="118"/>
  <c r="N626" i="118"/>
  <c r="K627" i="118"/>
  <c r="N627" i="118"/>
  <c r="K628" i="118"/>
  <c r="N628" i="118"/>
  <c r="K629" i="118"/>
  <c r="N629" i="118"/>
  <c r="K630" i="118"/>
  <c r="N630" i="118"/>
  <c r="K631" i="118"/>
  <c r="N631" i="118"/>
  <c r="K632" i="118"/>
  <c r="N632" i="118"/>
  <c r="K633" i="118"/>
  <c r="N633" i="118"/>
  <c r="K634" i="118"/>
  <c r="N634" i="118"/>
  <c r="K635" i="118"/>
  <c r="N635" i="118"/>
  <c r="K636" i="118"/>
  <c r="N636" i="118"/>
  <c r="K637" i="118"/>
  <c r="N637" i="118"/>
  <c r="K638" i="118"/>
  <c r="N638" i="118"/>
  <c r="K639" i="118"/>
  <c r="N639" i="118"/>
  <c r="K640" i="118"/>
  <c r="N640" i="118"/>
  <c r="K641" i="118"/>
  <c r="N641" i="118"/>
  <c r="K642" i="118"/>
  <c r="N642" i="118"/>
  <c r="K643" i="118"/>
  <c r="N643" i="118"/>
  <c r="K644" i="118"/>
  <c r="N644" i="118"/>
  <c r="K645" i="118"/>
  <c r="N645" i="118"/>
  <c r="K646" i="118"/>
  <c r="N646" i="118"/>
  <c r="K647" i="118"/>
  <c r="N647" i="118"/>
  <c r="K648" i="118"/>
  <c r="N648" i="118"/>
  <c r="K649" i="118"/>
  <c r="N649" i="118"/>
  <c r="K650" i="118"/>
  <c r="N650" i="118"/>
  <c r="K651" i="118"/>
  <c r="N651" i="118"/>
  <c r="K652" i="118"/>
  <c r="N652" i="118"/>
  <c r="K653" i="118"/>
  <c r="N653" i="118"/>
  <c r="K654" i="118"/>
  <c r="N654" i="118"/>
  <c r="K655" i="118"/>
  <c r="N655" i="118"/>
  <c r="K656" i="118"/>
  <c r="N656" i="118"/>
  <c r="K657" i="118"/>
  <c r="N657" i="118"/>
  <c r="K658" i="118"/>
  <c r="N658" i="118"/>
  <c r="K659" i="118"/>
  <c r="N659" i="118"/>
  <c r="K660" i="118"/>
  <c r="N660" i="118"/>
  <c r="K661" i="118"/>
  <c r="N661" i="118"/>
  <c r="K662" i="118"/>
  <c r="N662" i="118"/>
  <c r="K663" i="118"/>
  <c r="N663" i="118"/>
  <c r="K664" i="118"/>
  <c r="N664" i="118"/>
  <c r="K665" i="118"/>
  <c r="N665" i="118"/>
  <c r="K666" i="118"/>
  <c r="N666" i="118"/>
  <c r="K667" i="118"/>
  <c r="N667" i="118"/>
  <c r="D48" i="5"/>
  <c r="E48" i="5"/>
  <c r="F48" i="5"/>
  <c r="G48" i="5"/>
  <c r="D49" i="5"/>
  <c r="E49" i="5"/>
  <c r="F49" i="5"/>
  <c r="G49" i="5"/>
  <c r="G51" i="5"/>
  <c r="G52" i="5"/>
  <c r="G53" i="5"/>
  <c r="G54" i="5"/>
  <c r="Y2" i="114"/>
  <c r="Z2" i="114"/>
  <c r="AE2" i="114"/>
  <c r="AF2" i="114"/>
  <c r="AK2" i="114"/>
  <c r="AL2" i="114"/>
  <c r="AU2" i="114"/>
  <c r="AV2" i="114"/>
  <c r="Y3" i="114"/>
  <c r="Z3" i="114"/>
  <c r="AE3" i="114"/>
  <c r="AF3" i="114"/>
  <c r="AK3" i="114"/>
  <c r="AL3" i="114"/>
  <c r="AU3" i="114"/>
  <c r="AV3" i="114"/>
  <c r="Y4" i="114"/>
  <c r="Z4" i="114"/>
  <c r="AE4" i="114"/>
  <c r="AF4" i="114"/>
  <c r="AK4" i="114"/>
  <c r="AL4" i="114"/>
  <c r="AU4" i="114"/>
  <c r="AV4" i="114"/>
  <c r="Y5" i="114"/>
  <c r="Z5" i="114"/>
  <c r="AE5" i="114"/>
  <c r="AF5" i="114"/>
  <c r="AK5" i="114"/>
  <c r="AL5" i="114"/>
  <c r="AU5" i="114"/>
  <c r="AV5" i="114"/>
  <c r="Y6" i="114"/>
  <c r="Z6" i="114"/>
  <c r="AE6" i="114"/>
  <c r="AF6" i="114"/>
  <c r="AK6" i="114"/>
  <c r="AL6" i="114"/>
  <c r="AU6" i="114"/>
  <c r="AV6" i="114"/>
  <c r="Y7" i="114"/>
  <c r="Z7" i="114"/>
  <c r="AE7" i="114"/>
  <c r="AF7" i="114"/>
  <c r="AK7" i="114"/>
  <c r="AL7" i="114"/>
  <c r="AU7" i="114"/>
  <c r="AV7" i="114"/>
  <c r="Y8" i="114"/>
  <c r="Z8" i="114"/>
  <c r="AE8" i="114"/>
  <c r="AF8" i="114"/>
  <c r="AK8" i="114"/>
  <c r="AL8" i="114"/>
  <c r="AU8" i="114"/>
  <c r="AV8" i="114"/>
  <c r="Y9" i="114"/>
  <c r="Z9" i="114"/>
  <c r="AE9" i="114"/>
  <c r="AF9" i="114"/>
  <c r="AK9" i="114"/>
  <c r="AL9" i="114"/>
  <c r="AU9" i="114"/>
  <c r="AV9" i="114"/>
  <c r="Y10" i="114"/>
  <c r="Z10" i="114"/>
  <c r="AE10" i="114"/>
  <c r="AF10" i="114"/>
  <c r="Y11" i="114"/>
  <c r="Z11" i="114"/>
  <c r="AE11" i="114"/>
  <c r="AF11" i="114"/>
  <c r="Y12" i="114"/>
  <c r="Z12" i="114"/>
  <c r="AE12" i="114"/>
  <c r="AF12" i="114"/>
  <c r="Y13" i="114"/>
  <c r="Z13" i="114"/>
  <c r="AE13" i="114"/>
  <c r="AF13" i="114"/>
  <c r="Y14" i="114"/>
  <c r="Z14" i="114"/>
  <c r="AE14" i="114"/>
  <c r="AF14" i="114"/>
  <c r="Y15" i="114"/>
  <c r="Z15" i="114"/>
  <c r="AE15" i="114"/>
  <c r="AF15" i="114"/>
  <c r="Y16" i="114"/>
  <c r="Z16" i="114"/>
  <c r="AE16" i="114"/>
  <c r="AF16" i="114"/>
  <c r="Y17" i="114"/>
  <c r="Z17" i="114"/>
  <c r="AE17" i="114"/>
  <c r="AF17" i="114"/>
  <c r="Y18" i="114"/>
  <c r="Z18" i="114"/>
  <c r="AE18" i="114"/>
  <c r="AF18" i="114"/>
  <c r="Y19" i="114"/>
  <c r="Z19" i="114"/>
  <c r="AE19" i="114"/>
  <c r="AF19" i="114"/>
  <c r="Y20" i="114"/>
  <c r="Z20" i="114"/>
  <c r="AE20" i="114"/>
  <c r="AF20" i="114"/>
  <c r="Y21" i="114"/>
  <c r="Z21" i="114"/>
  <c r="AE21" i="114"/>
  <c r="AF21" i="114"/>
  <c r="Y22" i="114"/>
  <c r="Z22" i="114"/>
  <c r="AE22" i="114"/>
  <c r="AF22" i="114"/>
  <c r="Y23" i="114"/>
  <c r="Z23" i="114"/>
  <c r="AE23" i="114"/>
  <c r="AF23" i="114"/>
  <c r="Y24" i="114"/>
  <c r="Z24" i="114"/>
  <c r="AE24" i="114"/>
  <c r="AF24" i="114"/>
  <c r="Y25" i="114"/>
  <c r="Z25" i="114"/>
  <c r="AE25" i="114"/>
  <c r="AF25" i="114"/>
  <c r="Y26" i="114"/>
  <c r="Z26" i="114"/>
  <c r="AE26" i="114"/>
  <c r="AF26" i="114"/>
  <c r="Y27" i="114"/>
  <c r="Z27" i="114"/>
  <c r="AE27" i="114"/>
  <c r="AF27" i="114"/>
  <c r="Y28" i="114"/>
  <c r="Z28" i="114"/>
  <c r="AE28" i="114"/>
  <c r="AF28" i="114"/>
  <c r="Y29" i="114"/>
  <c r="Z29" i="114"/>
  <c r="AE29" i="114"/>
  <c r="AF29" i="114"/>
  <c r="Y30" i="114"/>
  <c r="Z30" i="114"/>
  <c r="AE30" i="114"/>
  <c r="AF30" i="114"/>
  <c r="Y31" i="114"/>
  <c r="Z31" i="114"/>
  <c r="AE31" i="114"/>
  <c r="AF31" i="114"/>
  <c r="Y32" i="114"/>
  <c r="Z32" i="114"/>
  <c r="AE32" i="114"/>
  <c r="AF32" i="114"/>
  <c r="Y33" i="114"/>
  <c r="Z33" i="114"/>
  <c r="AE33" i="114"/>
  <c r="AF33" i="114"/>
  <c r="Y34" i="114"/>
  <c r="Z34" i="114"/>
  <c r="AE34" i="114"/>
  <c r="AF34" i="114"/>
  <c r="Y35" i="114"/>
  <c r="Z35" i="114"/>
  <c r="AE35" i="114"/>
  <c r="AF35" i="114"/>
  <c r="Y36" i="114"/>
  <c r="Z36" i="114"/>
  <c r="AE36" i="114"/>
  <c r="AF36" i="114"/>
  <c r="Y37" i="114"/>
  <c r="Z37" i="114"/>
  <c r="AE37" i="114"/>
  <c r="AF37" i="114"/>
  <c r="Z38" i="114"/>
  <c r="AF38" i="114"/>
  <c r="Z39" i="114"/>
  <c r="AF39" i="114"/>
  <c r="Z40" i="114"/>
  <c r="AF40" i="114"/>
  <c r="Z41" i="114"/>
  <c r="AF41" i="114"/>
  <c r="Z42" i="114"/>
  <c r="AF42" i="114"/>
  <c r="Z43" i="114"/>
  <c r="AF43" i="114"/>
  <c r="Z44" i="114"/>
  <c r="AF44" i="114"/>
  <c r="Z45" i="114"/>
  <c r="AF45" i="114"/>
  <c r="Z46" i="114"/>
  <c r="AF46" i="114"/>
  <c r="Z47" i="114"/>
  <c r="AF47" i="114"/>
  <c r="Z48" i="114"/>
  <c r="AF48" i="114"/>
  <c r="Z49" i="114"/>
  <c r="AF49" i="114"/>
  <c r="Z50" i="114"/>
  <c r="AF50" i="114"/>
  <c r="Z51" i="114"/>
  <c r="AF51" i="114"/>
  <c r="Z52" i="114"/>
  <c r="AF52" i="114"/>
  <c r="Z53" i="114"/>
  <c r="AF53" i="114"/>
  <c r="Z54" i="114"/>
  <c r="AF54" i="114"/>
  <c r="Y55" i="114"/>
  <c r="AE55" i="114"/>
  <c r="Y56" i="114"/>
  <c r="AE56" i="114"/>
  <c r="Y57" i="114"/>
  <c r="AE57" i="114"/>
  <c r="Y58" i="114"/>
  <c r="AE58" i="114"/>
  <c r="Y59" i="114"/>
  <c r="AE59" i="114"/>
  <c r="Y60" i="114"/>
  <c r="AE60" i="114"/>
  <c r="Y61" i="114"/>
  <c r="AE61" i="114"/>
  <c r="Y62" i="114"/>
  <c r="AE62" i="114"/>
  <c r="Y63" i="114"/>
  <c r="AE63" i="114"/>
  <c r="Y64" i="114"/>
  <c r="AE64" i="114"/>
  <c r="Y65" i="114"/>
  <c r="AE65" i="114"/>
  <c r="Y66" i="114"/>
  <c r="AE66" i="114"/>
  <c r="Y67" i="114"/>
  <c r="AE67" i="114"/>
  <c r="Y68" i="114"/>
  <c r="AE68" i="114"/>
  <c r="Y69" i="114"/>
  <c r="AE69" i="114"/>
  <c r="Y70" i="114"/>
  <c r="AE70" i="114"/>
  <c r="Y71" i="114"/>
  <c r="AE71" i="114"/>
  <c r="Y72" i="114"/>
  <c r="AE72" i="114"/>
  <c r="Y73" i="114"/>
  <c r="AE73" i="114"/>
  <c r="Y74" i="114"/>
  <c r="AE74" i="114"/>
  <c r="Y75" i="114"/>
  <c r="AE75" i="114"/>
  <c r="Y76" i="114"/>
  <c r="AE76" i="114"/>
  <c r="Y77" i="114"/>
  <c r="AE77" i="114"/>
  <c r="Y78" i="114"/>
  <c r="AE78" i="114"/>
  <c r="Z79" i="114"/>
  <c r="AF79" i="114"/>
  <c r="Z80" i="114"/>
  <c r="AF80" i="114"/>
  <c r="Z81" i="114"/>
  <c r="AF81" i="114"/>
  <c r="Z82" i="114"/>
  <c r="AF82" i="114"/>
  <c r="Z83" i="114"/>
  <c r="AF83" i="114"/>
  <c r="Z84" i="114"/>
  <c r="AF84" i="114"/>
  <c r="Z85" i="114"/>
  <c r="AF85" i="114"/>
  <c r="Z86" i="114"/>
  <c r="AF86" i="114"/>
  <c r="Z87" i="114"/>
  <c r="AF87" i="114"/>
  <c r="Z88" i="114"/>
  <c r="AF88" i="114"/>
  <c r="Z89" i="114"/>
  <c r="AF89" i="114"/>
  <c r="Z90" i="114"/>
  <c r="AF90" i="114"/>
  <c r="Z91" i="114"/>
  <c r="AF91" i="114"/>
  <c r="Z92" i="114"/>
  <c r="AF92" i="114"/>
  <c r="Z93" i="114"/>
  <c r="AF93" i="114"/>
  <c r="Z94" i="114"/>
  <c r="AF94" i="114"/>
  <c r="Z95" i="114"/>
  <c r="AF95" i="114"/>
  <c r="Z96" i="114"/>
  <c r="AF96" i="114"/>
  <c r="Z97" i="114"/>
  <c r="AF97" i="114"/>
  <c r="Z98" i="114"/>
  <c r="AF98" i="114"/>
  <c r="Z99" i="114"/>
  <c r="AF99" i="114"/>
  <c r="Z100" i="114"/>
  <c r="AF100" i="114"/>
  <c r="Z101" i="114"/>
  <c r="AF101" i="114"/>
  <c r="Z102" i="114"/>
  <c r="AF102" i="114"/>
  <c r="Z103" i="114"/>
  <c r="AF103" i="114"/>
  <c r="Z104" i="114"/>
  <c r="AF104" i="114"/>
  <c r="Z105" i="114"/>
  <c r="AF105" i="114"/>
  <c r="Y106" i="114"/>
  <c r="AE106" i="114"/>
  <c r="Y107" i="114"/>
  <c r="AE107" i="114"/>
  <c r="Y108" i="114"/>
  <c r="AE108" i="114"/>
  <c r="Y109" i="114"/>
  <c r="AE109" i="114"/>
  <c r="Y110" i="114"/>
  <c r="AE110" i="114"/>
  <c r="Y111" i="114"/>
  <c r="AE111" i="114"/>
  <c r="Y112" i="114"/>
  <c r="AE112" i="114"/>
  <c r="Y113" i="114"/>
  <c r="AE113" i="114"/>
  <c r="Y114" i="114"/>
  <c r="AE114" i="114"/>
  <c r="Y115" i="114"/>
  <c r="AE115" i="114"/>
  <c r="Y116" i="114"/>
  <c r="AE116" i="114"/>
  <c r="Y117" i="114"/>
  <c r="AE117" i="114"/>
  <c r="Z118" i="114"/>
  <c r="AF118" i="114"/>
  <c r="Z119" i="114"/>
  <c r="AF119" i="114"/>
  <c r="Z120" i="114"/>
  <c r="AF120" i="114"/>
  <c r="Z121" i="114"/>
  <c r="AF121" i="114"/>
  <c r="Z122" i="114"/>
  <c r="AF122" i="114"/>
  <c r="Z123" i="114"/>
  <c r="AF123" i="114"/>
  <c r="Z124" i="114"/>
  <c r="AF124" i="114"/>
  <c r="Z125" i="114"/>
  <c r="AF125" i="114"/>
  <c r="Z126" i="114"/>
  <c r="AF126" i="114"/>
  <c r="Z127" i="114"/>
  <c r="AF127" i="114"/>
  <c r="Z128" i="114"/>
  <c r="AF128" i="114"/>
  <c r="Z129" i="114"/>
  <c r="AF129" i="114"/>
  <c r="Z130" i="114"/>
  <c r="AF130" i="114"/>
  <c r="Z131" i="114"/>
  <c r="AF131" i="114"/>
  <c r="Z132" i="114"/>
  <c r="AF132" i="114"/>
  <c r="Z133" i="114"/>
  <c r="AF133" i="114"/>
  <c r="Z134" i="114"/>
  <c r="AF134" i="114"/>
  <c r="Z135" i="114"/>
  <c r="AF135" i="114"/>
  <c r="Z136" i="114"/>
  <c r="AF136" i="114"/>
  <c r="Z137" i="114"/>
  <c r="AF137" i="114"/>
  <c r="Z138" i="114"/>
  <c r="AF138" i="114"/>
  <c r="Z139" i="114"/>
  <c r="AF139" i="114"/>
  <c r="Z140" i="114"/>
  <c r="AF140" i="114"/>
  <c r="Z141" i="114"/>
  <c r="AF141" i="114"/>
  <c r="Z142" i="114"/>
  <c r="AF142" i="114"/>
  <c r="Z143" i="114"/>
  <c r="AF143" i="114"/>
  <c r="Z144" i="114"/>
  <c r="AF144" i="114"/>
  <c r="Z145" i="114"/>
  <c r="AF145" i="114"/>
  <c r="Z146" i="114"/>
  <c r="AF146" i="114"/>
  <c r="Z147" i="114"/>
  <c r="AF147" i="114"/>
  <c r="Z148" i="114"/>
  <c r="AF148" i="114"/>
  <c r="Y149" i="114"/>
  <c r="AE149" i="114"/>
  <c r="Y150" i="114"/>
  <c r="AE150" i="114"/>
  <c r="Y151" i="114"/>
  <c r="AE151" i="114"/>
  <c r="Y152" i="114"/>
  <c r="AE152" i="114"/>
  <c r="Y153" i="114"/>
  <c r="AE153" i="114"/>
  <c r="Y154" i="114"/>
  <c r="AE154" i="114"/>
  <c r="Y155" i="114"/>
  <c r="AE155" i="114"/>
  <c r="Y156" i="114"/>
  <c r="AE156" i="114"/>
  <c r="Y157" i="114"/>
  <c r="AE157" i="114"/>
  <c r="Y158" i="114"/>
  <c r="AE158" i="114"/>
  <c r="Y159" i="114"/>
  <c r="AE159" i="114"/>
  <c r="Y160" i="114"/>
  <c r="AE160" i="114"/>
  <c r="Y161" i="114"/>
  <c r="AE161" i="114"/>
  <c r="Y162" i="114"/>
  <c r="AE162" i="114"/>
  <c r="Y163" i="114"/>
  <c r="AE163" i="114"/>
  <c r="Y164" i="114"/>
  <c r="AE164" i="114"/>
  <c r="Y165" i="114"/>
  <c r="AE165" i="114"/>
  <c r="Y166" i="114"/>
  <c r="AE166" i="114"/>
  <c r="Y167" i="114"/>
  <c r="AE167" i="114"/>
  <c r="Y168" i="114"/>
  <c r="AE168" i="114"/>
  <c r="Z169" i="114"/>
  <c r="AF169" i="114"/>
  <c r="Z170" i="114"/>
  <c r="AF170" i="114"/>
  <c r="Z171" i="114"/>
  <c r="AF171" i="114"/>
  <c r="Z172" i="114"/>
  <c r="AF172" i="114"/>
  <c r="Z173" i="114"/>
  <c r="AF173" i="114"/>
  <c r="Z174" i="114"/>
  <c r="AF174" i="114"/>
  <c r="Z175" i="114"/>
  <c r="AF175" i="114"/>
  <c r="Z176" i="114"/>
  <c r="AF176" i="114"/>
  <c r="Z177" i="114"/>
  <c r="AF177" i="114"/>
  <c r="Z178" i="114"/>
  <c r="AF178" i="114"/>
  <c r="Z179" i="114"/>
  <c r="AF179" i="114"/>
  <c r="Z180" i="114"/>
  <c r="AF180" i="114"/>
  <c r="Z181" i="114"/>
  <c r="AF181" i="114"/>
  <c r="Z182" i="114"/>
  <c r="AF182" i="114"/>
  <c r="Z183" i="114"/>
  <c r="AF183" i="114"/>
  <c r="Z184" i="114"/>
  <c r="AF184" i="114"/>
  <c r="Z185" i="114"/>
  <c r="AF185" i="114"/>
  <c r="Z186" i="114"/>
  <c r="AF186" i="114"/>
  <c r="Z187" i="114"/>
  <c r="AF187" i="114"/>
  <c r="Z188" i="114"/>
  <c r="AF188" i="114"/>
  <c r="Z189" i="114"/>
  <c r="AF189" i="114"/>
  <c r="Z190" i="114"/>
  <c r="AF190" i="114"/>
  <c r="Z191" i="114"/>
  <c r="AF191" i="114"/>
  <c r="Z192" i="114"/>
  <c r="AF192" i="114"/>
  <c r="Z193" i="114"/>
  <c r="AF193" i="114"/>
  <c r="Z194" i="114"/>
  <c r="AF194" i="114"/>
  <c r="Z195" i="114"/>
  <c r="AF195" i="114"/>
  <c r="Z196" i="114"/>
  <c r="AF196" i="114"/>
  <c r="Z197" i="114"/>
  <c r="AF197" i="114"/>
  <c r="Z198" i="114"/>
  <c r="AF198" i="114"/>
  <c r="Y199" i="114"/>
  <c r="AE199" i="114"/>
  <c r="Y200" i="114"/>
  <c r="AE200" i="114"/>
  <c r="Y201" i="114"/>
  <c r="AE201" i="114"/>
  <c r="Y202" i="114"/>
  <c r="AE202" i="114"/>
  <c r="Y203" i="114"/>
  <c r="AE203" i="114"/>
  <c r="Y204" i="114"/>
  <c r="AE204" i="114"/>
  <c r="Y205" i="114"/>
  <c r="AE205" i="114"/>
  <c r="Y206" i="114"/>
  <c r="AE206" i="114"/>
  <c r="Y207" i="114"/>
  <c r="AE207" i="114"/>
  <c r="Y208" i="114"/>
  <c r="AE208" i="114"/>
  <c r="Y209" i="114"/>
  <c r="AE209" i="114"/>
  <c r="Y210" i="114"/>
  <c r="AE210" i="114"/>
  <c r="Z211" i="114"/>
  <c r="AF211" i="114"/>
  <c r="Z212" i="114"/>
  <c r="AF212" i="114"/>
  <c r="Z213" i="114"/>
  <c r="AF213" i="114"/>
  <c r="Z214" i="114"/>
  <c r="AF214" i="114"/>
  <c r="Z215" i="114"/>
  <c r="AF215" i="114"/>
  <c r="Z216" i="114"/>
  <c r="AF216" i="114"/>
  <c r="Z217" i="114"/>
  <c r="AF217" i="114"/>
  <c r="Z218" i="114"/>
  <c r="AF218" i="114"/>
  <c r="Z219" i="114"/>
  <c r="AF219" i="114"/>
  <c r="Z220" i="114"/>
  <c r="AF220" i="114"/>
  <c r="Z221" i="114"/>
  <c r="AF221" i="114"/>
  <c r="Z222" i="114"/>
  <c r="AF222" i="114"/>
  <c r="Z223" i="114"/>
  <c r="AF223" i="114"/>
  <c r="Z224" i="114"/>
  <c r="AF224" i="114"/>
  <c r="Z225" i="114"/>
  <c r="AF225" i="114"/>
  <c r="Z226" i="114"/>
  <c r="AF226" i="114"/>
  <c r="Z227" i="114"/>
  <c r="AF227" i="114"/>
  <c r="Z228" i="114"/>
  <c r="AF228" i="114"/>
  <c r="Z229" i="114"/>
  <c r="AF229" i="114"/>
  <c r="Z230" i="114"/>
  <c r="AF230" i="114"/>
  <c r="Z231" i="114"/>
  <c r="AF231" i="114"/>
  <c r="Z232" i="114"/>
  <c r="AF232" i="114"/>
  <c r="Z233" i="114"/>
  <c r="AF233" i="114"/>
  <c r="Z234" i="114"/>
  <c r="AF234" i="114"/>
  <c r="Y235" i="114"/>
  <c r="AE235" i="114"/>
  <c r="Y236" i="114"/>
  <c r="AE236" i="114"/>
  <c r="Y237" i="114"/>
  <c r="AE237" i="114"/>
  <c r="Y238" i="114"/>
  <c r="AE238" i="114"/>
  <c r="Y239" i="114"/>
  <c r="AE239" i="114"/>
  <c r="Y240" i="114"/>
  <c r="AE240" i="114"/>
  <c r="Y241" i="114"/>
  <c r="AE241" i="114"/>
  <c r="Y242" i="114"/>
  <c r="AE242" i="114"/>
  <c r="Y243" i="114"/>
  <c r="AE243" i="114"/>
  <c r="Y244" i="114"/>
  <c r="AE244" i="114"/>
  <c r="Y245" i="114"/>
  <c r="AE245" i="114"/>
  <c r="Y246" i="114"/>
  <c r="AE246" i="114"/>
  <c r="Z247" i="114"/>
  <c r="AF247" i="114"/>
  <c r="Z248" i="114"/>
  <c r="AF248" i="114"/>
  <c r="Z249" i="114"/>
  <c r="AF249" i="114"/>
  <c r="Z250" i="114"/>
  <c r="AF250" i="114"/>
  <c r="Z251" i="114"/>
  <c r="AF251" i="114"/>
  <c r="Z252" i="114"/>
  <c r="AF252" i="114"/>
  <c r="Z253" i="114"/>
  <c r="AF253" i="114"/>
  <c r="Z254" i="114"/>
  <c r="AF254" i="114"/>
  <c r="Z255" i="114"/>
  <c r="AF255" i="114"/>
  <c r="Z256" i="114"/>
  <c r="AF256" i="114"/>
  <c r="Z257" i="114"/>
  <c r="AF257" i="114"/>
  <c r="Z258" i="114"/>
  <c r="AF258" i="114"/>
  <c r="Z259" i="114"/>
  <c r="AF259" i="114"/>
  <c r="Z260" i="114"/>
  <c r="AF260" i="114"/>
  <c r="Z261" i="114"/>
  <c r="AF261" i="114"/>
  <c r="Z262" i="114"/>
  <c r="AF262" i="114"/>
  <c r="Z263" i="114"/>
  <c r="AF263" i="114"/>
  <c r="Z264" i="114"/>
  <c r="AF264" i="114"/>
  <c r="Z265" i="114"/>
  <c r="AF265" i="114"/>
  <c r="Z266" i="114"/>
  <c r="AF266" i="114"/>
  <c r="Z267" i="114"/>
  <c r="AF267" i="114"/>
  <c r="Z268" i="114"/>
  <c r="AF268" i="114"/>
  <c r="Z269" i="114"/>
  <c r="AF269" i="114"/>
  <c r="Z270" i="114"/>
  <c r="AF270" i="114"/>
  <c r="Z271" i="114"/>
  <c r="AF271" i="114"/>
  <c r="Z272" i="114"/>
  <c r="AF272" i="114"/>
  <c r="Z273" i="114"/>
  <c r="AF273" i="114"/>
  <c r="Z274" i="114"/>
  <c r="AF274" i="114"/>
  <c r="Z275" i="114"/>
  <c r="AF275" i="114"/>
  <c r="Z276" i="114"/>
  <c r="AF276" i="114"/>
  <c r="Z277" i="114"/>
  <c r="AF277" i="114"/>
  <c r="Z278" i="114"/>
  <c r="AF278" i="114"/>
  <c r="Z279" i="114"/>
  <c r="AF279" i="114"/>
  <c r="Z280" i="114"/>
  <c r="AF280" i="114"/>
  <c r="Z281" i="114"/>
  <c r="AF281" i="114"/>
  <c r="Z282" i="114"/>
  <c r="AF282" i="114"/>
  <c r="Z283" i="114"/>
  <c r="AF283" i="114"/>
  <c r="Z284" i="114"/>
  <c r="AF284" i="114"/>
  <c r="Z285" i="114"/>
  <c r="AF285" i="114"/>
  <c r="Z286" i="114"/>
  <c r="AF286" i="114"/>
  <c r="Z287" i="114"/>
  <c r="AF287" i="114"/>
  <c r="Z288" i="114"/>
  <c r="AF288" i="114"/>
  <c r="Z289" i="114"/>
  <c r="AF289" i="114"/>
  <c r="Z290" i="114"/>
  <c r="AF290" i="114"/>
  <c r="Z291" i="114"/>
  <c r="AF291" i="114"/>
  <c r="Z292" i="114"/>
  <c r="AF292" i="114"/>
  <c r="Z293" i="114"/>
  <c r="AF293" i="114"/>
  <c r="Z294" i="114"/>
  <c r="AF294" i="114"/>
  <c r="Z295" i="114"/>
  <c r="AF295" i="114"/>
  <c r="Z296" i="114"/>
  <c r="AF296" i="114"/>
  <c r="Z297" i="114"/>
  <c r="AF297" i="114"/>
  <c r="Z298" i="114"/>
  <c r="AF298" i="114"/>
  <c r="Z299" i="114"/>
  <c r="AF299" i="114"/>
  <c r="Z300" i="114"/>
  <c r="AF300" i="114"/>
  <c r="Z301" i="114"/>
  <c r="AF301" i="114"/>
  <c r="Z302" i="114"/>
  <c r="AF302" i="114"/>
  <c r="Z303" i="114"/>
  <c r="AF303" i="114"/>
  <c r="Z304" i="114"/>
  <c r="AF304" i="114"/>
  <c r="Z305" i="114"/>
  <c r="AF305" i="114"/>
  <c r="Z306" i="114"/>
  <c r="AF306" i="114"/>
  <c r="Z307" i="114"/>
  <c r="AF307" i="114"/>
  <c r="Z308" i="114"/>
  <c r="AF308" i="114"/>
  <c r="Z309" i="114"/>
  <c r="AF309" i="114"/>
  <c r="Z310" i="114"/>
  <c r="AF310" i="114"/>
  <c r="Z311" i="114"/>
  <c r="AF311" i="114"/>
  <c r="Z312" i="114"/>
  <c r="AF312" i="114"/>
  <c r="Z313" i="114"/>
  <c r="AF313" i="114"/>
  <c r="Z314" i="114"/>
  <c r="AF314" i="114"/>
  <c r="Z315" i="114"/>
  <c r="AF315" i="114"/>
  <c r="Z316" i="114"/>
  <c r="AF316" i="114"/>
  <c r="Z317" i="114"/>
  <c r="AF317" i="114"/>
  <c r="Z318" i="114"/>
  <c r="AF318" i="114"/>
  <c r="Z319" i="114"/>
  <c r="AF319" i="114"/>
  <c r="Z320" i="114"/>
  <c r="AF320" i="114"/>
  <c r="Z321" i="114"/>
  <c r="AF321" i="114"/>
  <c r="Z322" i="114"/>
  <c r="AF322" i="114"/>
  <c r="Z323" i="114"/>
  <c r="AF323" i="114"/>
  <c r="Z324" i="114"/>
  <c r="AF324" i="114"/>
  <c r="Z325" i="114"/>
  <c r="AF325" i="114"/>
  <c r="Z326" i="114"/>
  <c r="AF326" i="114"/>
  <c r="Z327" i="114"/>
  <c r="AF327" i="114"/>
  <c r="Z328" i="114"/>
  <c r="AF328" i="114"/>
  <c r="Z329" i="114"/>
  <c r="AF329" i="114"/>
  <c r="Z330" i="114"/>
  <c r="AF330" i="114"/>
  <c r="Z331" i="114"/>
  <c r="AF331" i="114"/>
  <c r="Z332" i="114"/>
  <c r="AF332" i="114"/>
  <c r="Z333" i="114"/>
  <c r="AF333" i="114"/>
  <c r="Z334" i="114"/>
  <c r="AF334" i="114"/>
  <c r="Z335" i="114"/>
  <c r="AF335" i="114"/>
  <c r="Z336" i="114"/>
  <c r="AF336" i="114"/>
  <c r="Z337" i="114"/>
  <c r="AF337" i="114"/>
  <c r="Z338" i="114"/>
  <c r="AF338" i="114"/>
  <c r="Z339" i="114"/>
  <c r="AF339" i="114"/>
  <c r="Z340" i="114"/>
  <c r="AF340" i="114"/>
  <c r="Z341" i="114"/>
  <c r="AF341" i="114"/>
  <c r="Z342" i="114"/>
  <c r="AF342" i="114"/>
  <c r="Z343" i="114"/>
  <c r="AF343" i="114"/>
  <c r="Z344" i="114"/>
  <c r="AF344" i="114"/>
  <c r="Z345" i="114"/>
  <c r="AF345" i="114"/>
  <c r="Z346" i="114"/>
  <c r="AF346" i="114"/>
  <c r="Z347" i="114"/>
  <c r="AF347" i="114"/>
  <c r="Z348" i="114"/>
  <c r="AF348" i="114"/>
  <c r="Z349" i="114"/>
  <c r="AF349" i="114"/>
  <c r="Z350" i="114"/>
  <c r="AF350" i="114"/>
  <c r="Z351" i="114"/>
  <c r="AF351" i="114"/>
  <c r="Z352" i="114"/>
  <c r="AF352" i="114"/>
  <c r="Z353" i="114"/>
  <c r="AF353" i="114"/>
  <c r="Z354" i="114"/>
  <c r="AF354" i="114"/>
  <c r="Z355" i="114"/>
  <c r="AF355" i="114"/>
  <c r="Z356" i="114"/>
  <c r="AF356" i="114"/>
  <c r="Z357" i="114"/>
  <c r="AF357" i="114"/>
  <c r="Z358" i="114"/>
  <c r="AF358" i="114"/>
  <c r="Z359" i="114"/>
  <c r="AF359" i="114"/>
  <c r="Z360" i="114"/>
  <c r="AF360" i="114"/>
  <c r="Z361" i="114"/>
  <c r="AF361" i="114"/>
  <c r="Z362" i="114"/>
  <c r="AF362" i="114"/>
  <c r="Z363" i="114"/>
  <c r="AF363" i="114"/>
  <c r="Z364" i="114"/>
  <c r="AF364" i="114"/>
  <c r="Z365" i="114"/>
  <c r="AF365" i="114"/>
  <c r="Z366" i="114"/>
  <c r="AF366" i="114"/>
  <c r="Z367" i="114"/>
  <c r="AF367" i="114"/>
  <c r="Z368" i="114"/>
  <c r="AF368" i="114"/>
  <c r="Z369" i="114"/>
  <c r="AF369" i="114"/>
  <c r="Z370" i="114"/>
  <c r="AF370" i="114"/>
  <c r="Z371" i="114"/>
  <c r="AF371" i="114"/>
  <c r="Z372" i="114"/>
  <c r="AF372" i="114"/>
  <c r="Z373" i="114"/>
  <c r="AF373" i="114"/>
  <c r="Z374" i="114"/>
  <c r="AF374" i="114"/>
  <c r="Z375" i="114"/>
  <c r="AF375" i="114"/>
  <c r="Z376" i="114"/>
  <c r="AF376" i="114"/>
  <c r="Z377" i="114"/>
  <c r="AF377" i="114"/>
  <c r="Z378" i="114"/>
  <c r="AF378" i="114"/>
  <c r="Z379" i="114"/>
  <c r="AF379" i="114"/>
  <c r="Z380" i="114"/>
  <c r="AF380" i="114"/>
  <c r="Z381" i="114"/>
  <c r="AF381" i="114"/>
  <c r="Z382" i="114"/>
  <c r="AF382" i="114"/>
  <c r="Z383" i="114"/>
  <c r="AF383" i="114"/>
  <c r="Z384" i="114"/>
  <c r="AF384" i="114"/>
  <c r="Z385" i="114"/>
  <c r="AF385" i="114"/>
  <c r="Z386" i="114"/>
  <c r="AF386" i="114"/>
  <c r="Z387" i="114"/>
  <c r="AF387" i="114"/>
  <c r="Z388" i="114"/>
  <c r="AF388" i="114"/>
  <c r="Z389" i="114"/>
  <c r="AF389" i="114"/>
  <c r="Z390" i="114"/>
  <c r="AF390" i="114"/>
  <c r="Z391" i="114"/>
  <c r="AF391" i="114"/>
  <c r="Z392" i="114"/>
  <c r="AF392" i="114"/>
  <c r="Z393" i="114"/>
  <c r="AF393" i="114"/>
  <c r="Z394" i="114"/>
  <c r="AF394" i="114"/>
  <c r="Z395" i="114"/>
  <c r="AF395" i="114"/>
  <c r="Z396" i="114"/>
  <c r="AF396" i="114"/>
  <c r="Z397" i="114"/>
  <c r="AF397" i="114"/>
  <c r="Z398" i="114"/>
  <c r="AF398" i="114"/>
  <c r="Z399" i="114"/>
  <c r="AF399" i="114"/>
  <c r="Z400" i="114"/>
  <c r="AF400" i="114"/>
  <c r="Z401" i="114"/>
  <c r="AF401" i="114"/>
  <c r="Z402" i="114"/>
  <c r="AF402" i="114"/>
  <c r="Z403" i="114"/>
  <c r="AF403" i="114"/>
  <c r="Z404" i="114"/>
  <c r="AF404" i="114"/>
  <c r="Z405" i="114"/>
  <c r="AF405" i="114"/>
  <c r="Z406" i="114"/>
  <c r="AF406" i="114"/>
  <c r="Z407" i="114"/>
  <c r="AF407" i="114"/>
  <c r="Z408" i="114"/>
  <c r="AF408" i="114"/>
  <c r="Z409" i="114"/>
  <c r="AF409" i="114"/>
  <c r="Z410" i="114"/>
  <c r="AF410" i="114"/>
  <c r="Z411" i="114"/>
  <c r="AF411" i="114"/>
  <c r="Z412" i="114"/>
  <c r="AF412" i="114"/>
  <c r="Z413" i="114"/>
  <c r="AF413" i="114"/>
  <c r="Z414" i="114"/>
  <c r="AF414" i="114"/>
  <c r="Z415" i="114"/>
  <c r="AF415" i="114"/>
  <c r="Z416" i="114"/>
  <c r="AF416" i="114"/>
  <c r="Z417" i="114"/>
  <c r="AF417" i="114"/>
  <c r="Z418" i="114"/>
  <c r="AF418" i="114"/>
  <c r="Z419" i="114"/>
  <c r="AF419" i="114"/>
  <c r="Z420" i="114"/>
  <c r="AF420" i="114"/>
  <c r="Z421" i="114"/>
  <c r="AF421" i="114"/>
  <c r="Z422" i="114"/>
  <c r="AF422" i="114"/>
  <c r="Z423" i="114"/>
  <c r="AF423" i="114"/>
  <c r="Z424" i="114"/>
  <c r="AF424" i="114"/>
  <c r="Z425" i="114"/>
  <c r="AF425" i="114"/>
  <c r="Z426" i="114"/>
  <c r="AF426" i="114"/>
  <c r="Z427" i="114"/>
  <c r="AF427" i="114"/>
  <c r="Z428" i="114"/>
  <c r="AF428" i="114"/>
  <c r="Z429" i="114"/>
  <c r="AF429" i="114"/>
  <c r="Z430" i="114"/>
  <c r="AF430" i="114"/>
  <c r="Z431" i="114"/>
  <c r="AF431" i="114"/>
  <c r="Z432" i="114"/>
  <c r="AF432" i="114"/>
  <c r="Z433" i="114"/>
  <c r="AF433" i="114"/>
  <c r="Z434" i="114"/>
  <c r="AF434" i="114"/>
  <c r="Z435" i="114"/>
  <c r="AF435" i="114"/>
  <c r="Z436" i="114"/>
  <c r="AF436" i="114"/>
  <c r="Z437" i="114"/>
  <c r="AF437" i="114"/>
  <c r="Z438" i="114"/>
  <c r="AF438" i="114"/>
  <c r="Z439" i="114"/>
  <c r="AF439" i="114"/>
  <c r="Z440" i="114"/>
  <c r="AF440" i="114"/>
  <c r="Z441" i="114"/>
  <c r="AF441" i="114"/>
  <c r="Z442" i="114"/>
  <c r="AF442" i="114"/>
  <c r="Z443" i="114"/>
  <c r="AF443" i="114"/>
  <c r="Z444" i="114"/>
  <c r="AF444" i="114"/>
  <c r="Z445" i="114"/>
  <c r="AF445" i="114"/>
  <c r="Z446" i="114"/>
  <c r="AF446" i="114"/>
  <c r="Z447" i="114"/>
  <c r="AF447" i="114"/>
  <c r="Z448" i="114"/>
  <c r="AF448" i="114"/>
  <c r="Z449" i="114"/>
  <c r="AF449" i="114"/>
  <c r="Z450" i="114"/>
  <c r="AF450" i="114"/>
  <c r="Z451" i="114"/>
  <c r="AF451" i="114"/>
  <c r="Z452" i="114"/>
  <c r="AF452" i="114"/>
  <c r="Z453" i="114"/>
  <c r="AF453" i="114"/>
  <c r="Z454" i="114"/>
  <c r="AF454" i="114"/>
  <c r="Z455" i="114"/>
  <c r="AF455" i="114"/>
  <c r="Z456" i="114"/>
  <c r="AF456" i="114"/>
  <c r="Z457" i="114"/>
  <c r="AF457" i="114"/>
  <c r="Z458" i="114"/>
  <c r="AF458" i="114"/>
  <c r="Z459" i="114"/>
  <c r="AF459" i="114"/>
  <c r="Z460" i="114"/>
  <c r="AF460" i="114"/>
  <c r="Z461" i="114"/>
  <c r="AF461" i="114"/>
  <c r="Z462" i="114"/>
  <c r="AF462" i="114"/>
  <c r="Z463" i="114"/>
  <c r="AF463" i="114"/>
  <c r="Z464" i="114"/>
  <c r="AF464" i="114"/>
  <c r="Z465" i="114"/>
  <c r="AF465" i="114"/>
  <c r="Z466" i="114"/>
  <c r="AF466" i="114"/>
  <c r="Z467" i="114"/>
  <c r="AF467" i="114"/>
  <c r="Z468" i="114"/>
  <c r="AF468" i="114"/>
  <c r="Z469" i="114"/>
  <c r="AF469" i="114"/>
  <c r="Z470" i="114"/>
  <c r="AF470" i="114"/>
  <c r="Z471" i="114"/>
  <c r="AF471" i="114"/>
  <c r="Z472" i="114"/>
  <c r="AF472" i="114"/>
  <c r="Z473" i="114"/>
  <c r="AF473" i="114"/>
  <c r="Z474" i="114"/>
  <c r="AF474" i="114"/>
  <c r="Z475" i="114"/>
  <c r="AF475" i="114"/>
  <c r="Z476" i="114"/>
  <c r="AF476" i="114"/>
  <c r="Z477" i="114"/>
  <c r="AF477" i="114"/>
  <c r="Z478" i="114"/>
  <c r="AF478" i="114"/>
  <c r="Z479" i="114"/>
  <c r="AF479" i="114"/>
  <c r="Z480" i="114"/>
  <c r="AF480" i="114"/>
  <c r="Z481" i="114"/>
  <c r="AF481" i="114"/>
  <c r="Z482" i="114"/>
  <c r="AF482" i="114"/>
  <c r="Z483" i="114"/>
  <c r="AF483" i="114"/>
  <c r="Z484" i="114"/>
  <c r="AF484" i="114"/>
  <c r="Z485" i="114"/>
  <c r="AF485" i="114"/>
  <c r="Z486" i="114"/>
  <c r="AF486" i="114"/>
  <c r="Z487" i="114"/>
  <c r="AF487" i="114"/>
  <c r="Z488" i="114"/>
  <c r="AF488" i="114"/>
  <c r="Z489" i="114"/>
  <c r="AF489" i="114"/>
  <c r="Z490" i="114"/>
  <c r="AF490" i="114"/>
  <c r="Z491" i="114"/>
  <c r="AF491" i="114"/>
  <c r="Z492" i="114"/>
  <c r="AF492" i="114"/>
  <c r="Z493" i="114"/>
  <c r="AF493" i="114"/>
  <c r="Z494" i="114"/>
  <c r="AF494" i="114"/>
  <c r="Z495" i="114"/>
  <c r="AF495" i="114"/>
  <c r="Z496" i="114"/>
  <c r="AF496" i="114"/>
  <c r="Z497" i="114"/>
  <c r="AF497" i="114"/>
  <c r="Z498" i="114"/>
  <c r="AF498" i="114"/>
  <c r="Z499" i="114"/>
  <c r="AF499" i="114"/>
  <c r="Z500" i="114"/>
  <c r="AF500" i="114"/>
  <c r="Z501" i="114"/>
  <c r="AF501" i="114"/>
  <c r="Z502" i="114"/>
  <c r="AF502" i="114"/>
  <c r="Z503" i="114"/>
  <c r="AF503" i="114"/>
  <c r="Z504" i="114"/>
  <c r="AF504" i="114"/>
  <c r="Z505" i="114"/>
  <c r="AF505" i="114"/>
  <c r="Z506" i="114"/>
  <c r="AF506" i="114"/>
  <c r="Z507" i="114"/>
  <c r="AF507" i="114"/>
  <c r="Z508" i="114"/>
  <c r="AF508" i="114"/>
  <c r="Z509" i="114"/>
  <c r="AF509" i="114"/>
  <c r="Z510" i="114"/>
  <c r="AF510" i="114"/>
  <c r="Z511" i="114"/>
  <c r="AF511" i="114"/>
  <c r="Z512" i="114"/>
  <c r="AF512" i="114"/>
  <c r="Z513" i="114"/>
  <c r="AF513" i="114"/>
  <c r="Z514" i="114"/>
  <c r="AF514" i="114"/>
  <c r="Z515" i="114"/>
  <c r="AF515" i="114"/>
  <c r="Z516" i="114"/>
  <c r="AF516" i="114"/>
  <c r="Z517" i="114"/>
  <c r="AF517" i="114"/>
  <c r="Z518" i="114"/>
  <c r="AF518" i="114"/>
  <c r="Z519" i="114"/>
  <c r="AF519" i="114"/>
  <c r="Z520" i="114"/>
  <c r="AF520" i="114"/>
  <c r="Z521" i="114"/>
  <c r="AF521" i="114"/>
  <c r="Z522" i="114"/>
  <c r="AF522" i="114"/>
  <c r="Z523" i="114"/>
  <c r="AF523" i="114"/>
  <c r="Z524" i="114"/>
  <c r="AF524" i="114"/>
  <c r="Z525" i="114"/>
  <c r="AF525" i="114"/>
  <c r="Z526" i="114"/>
  <c r="AF526" i="114"/>
  <c r="Z527" i="114"/>
  <c r="AF527" i="114"/>
  <c r="Z528" i="114"/>
  <c r="AF528" i="114"/>
  <c r="Z529" i="114"/>
  <c r="AF529" i="114"/>
  <c r="Z530" i="114"/>
  <c r="AF530" i="114"/>
  <c r="Z531" i="114"/>
  <c r="AF531" i="114"/>
  <c r="Z532" i="114"/>
  <c r="AF532" i="114"/>
  <c r="Z533" i="114"/>
  <c r="AF533" i="114"/>
  <c r="Z534" i="114"/>
  <c r="AF534" i="114"/>
  <c r="Z535" i="114"/>
  <c r="AF535" i="114"/>
  <c r="Z536" i="114"/>
  <c r="AF536" i="114"/>
  <c r="Z537" i="114"/>
  <c r="AF537" i="114"/>
  <c r="Z538" i="114"/>
  <c r="AF538" i="114"/>
  <c r="Z539" i="114"/>
  <c r="AF539" i="114"/>
  <c r="Z540" i="114"/>
  <c r="AF540" i="114"/>
  <c r="Z541" i="114"/>
  <c r="AF541" i="114"/>
  <c r="Z542" i="114"/>
  <c r="AF542" i="114"/>
  <c r="Z543" i="114"/>
  <c r="AF543" i="114"/>
  <c r="Z544" i="114"/>
  <c r="AF544" i="114"/>
  <c r="Z545" i="114"/>
  <c r="AF545" i="114"/>
  <c r="Z546" i="114"/>
  <c r="AF546" i="114"/>
  <c r="Z547" i="114"/>
  <c r="AF547" i="114"/>
  <c r="Z548" i="114"/>
  <c r="AF548" i="114"/>
  <c r="Z549" i="114"/>
  <c r="AF549" i="114"/>
  <c r="Z550" i="114"/>
  <c r="AF550" i="114"/>
  <c r="Z551" i="114"/>
  <c r="AF551" i="114"/>
  <c r="Z552" i="114"/>
  <c r="AF552" i="114"/>
  <c r="Z553" i="114"/>
  <c r="AF553" i="114"/>
  <c r="Z554" i="114"/>
  <c r="AF554" i="114"/>
  <c r="Z555" i="114"/>
  <c r="AF555" i="114"/>
  <c r="Z556" i="114"/>
  <c r="AF556" i="114"/>
  <c r="Z557" i="114"/>
  <c r="AF557" i="114"/>
  <c r="Z558" i="114"/>
  <c r="AF558" i="114"/>
  <c r="Z559" i="114"/>
  <c r="AF559" i="114"/>
  <c r="Z560" i="114"/>
  <c r="AF560" i="114"/>
  <c r="Z561" i="114"/>
  <c r="AF561" i="114"/>
  <c r="Z562" i="114"/>
  <c r="AF562" i="114"/>
  <c r="Z563" i="114"/>
  <c r="AF563" i="114"/>
  <c r="Z564" i="114"/>
  <c r="AF564" i="114"/>
  <c r="Z565" i="114"/>
  <c r="AF565" i="114"/>
  <c r="Z566" i="114"/>
  <c r="AF566" i="114"/>
  <c r="Z567" i="114"/>
  <c r="AF567" i="114"/>
  <c r="Z568" i="114"/>
  <c r="AF568" i="114"/>
  <c r="Z569" i="114"/>
  <c r="AF569" i="114"/>
  <c r="Z570" i="114"/>
  <c r="AF570" i="114"/>
  <c r="Z571" i="114"/>
  <c r="AF571" i="114"/>
  <c r="Z572" i="114"/>
  <c r="AF572" i="114"/>
  <c r="Z573" i="114"/>
  <c r="AF573" i="114"/>
  <c r="Z574" i="114"/>
  <c r="AF574" i="114"/>
  <c r="Z575" i="114"/>
  <c r="AF575" i="114"/>
  <c r="Z576" i="114"/>
  <c r="AF576" i="114"/>
  <c r="Z577" i="114"/>
  <c r="AF577" i="114"/>
  <c r="Z578" i="114"/>
  <c r="AF578" i="114"/>
  <c r="Z579" i="114"/>
  <c r="AF579" i="114"/>
  <c r="Z580" i="114"/>
  <c r="AF580" i="114"/>
  <c r="Z581" i="114"/>
  <c r="AF581" i="114"/>
  <c r="Z582" i="114"/>
  <c r="AF582" i="114"/>
  <c r="Z583" i="114"/>
  <c r="AF583" i="114"/>
  <c r="Z584" i="114"/>
  <c r="AF584" i="114"/>
  <c r="Z585" i="114"/>
  <c r="AF585" i="114"/>
  <c r="Z586" i="114"/>
  <c r="AF586" i="114"/>
  <c r="Z587" i="114"/>
  <c r="AF587" i="114"/>
  <c r="Z588" i="114"/>
  <c r="AF588" i="114"/>
  <c r="Z589" i="114"/>
  <c r="AF589" i="114"/>
  <c r="Z590" i="114"/>
  <c r="AF590" i="114"/>
  <c r="Z591" i="114"/>
  <c r="AF591" i="114"/>
  <c r="Z592" i="114"/>
  <c r="AF592" i="114"/>
  <c r="Z593" i="114"/>
  <c r="AF593" i="114"/>
  <c r="Z594" i="114"/>
  <c r="AF594" i="114"/>
  <c r="Z595" i="114"/>
  <c r="AF595" i="114"/>
  <c r="Z596" i="114"/>
  <c r="AF596" i="114"/>
  <c r="Z597" i="114"/>
  <c r="AF597" i="114"/>
  <c r="Z598" i="114"/>
  <c r="AF598" i="114"/>
  <c r="Z599" i="114"/>
  <c r="AF599" i="114"/>
  <c r="Z600" i="114"/>
  <c r="AF600" i="114"/>
  <c r="Z601" i="114"/>
  <c r="AF601" i="114"/>
  <c r="Z602" i="114"/>
  <c r="AF602" i="114"/>
  <c r="Z603" i="114"/>
  <c r="AF603" i="114"/>
  <c r="Z604" i="114"/>
  <c r="AF604" i="114"/>
  <c r="Z605" i="114"/>
  <c r="AF605" i="114"/>
  <c r="Z606" i="114"/>
  <c r="AF606" i="114"/>
  <c r="Z607" i="114"/>
  <c r="AF607" i="114"/>
  <c r="Z608" i="114"/>
  <c r="AF608" i="114"/>
  <c r="Z609" i="114"/>
  <c r="AF609" i="114"/>
  <c r="Z610" i="114"/>
  <c r="AF610" i="114"/>
  <c r="Z611" i="114"/>
  <c r="AF611" i="114"/>
  <c r="Z612" i="114"/>
  <c r="AF612" i="114"/>
  <c r="Z613" i="114"/>
  <c r="AF613" i="114"/>
  <c r="Z614" i="114"/>
  <c r="AF614" i="114"/>
  <c r="Z615" i="114"/>
  <c r="AF615" i="114"/>
  <c r="Z616" i="114"/>
  <c r="AF616" i="114"/>
  <c r="Z617" i="114"/>
  <c r="AF617" i="114"/>
  <c r="Z618" i="114"/>
  <c r="AF618" i="114"/>
  <c r="Z619" i="114"/>
  <c r="AF619" i="114"/>
  <c r="Z620" i="114"/>
  <c r="AF620" i="114"/>
  <c r="Z621" i="114"/>
  <c r="AF621" i="114"/>
  <c r="Z622" i="114"/>
  <c r="AF622" i="114"/>
  <c r="Z623" i="114"/>
  <c r="AF623" i="114"/>
  <c r="Z624" i="114"/>
  <c r="AF624" i="114"/>
  <c r="Z625" i="114"/>
  <c r="AF625" i="114"/>
  <c r="Z626" i="114"/>
  <c r="AF626" i="114"/>
  <c r="Z627" i="114"/>
  <c r="AF627" i="114"/>
  <c r="Z628" i="114"/>
  <c r="AF628" i="114"/>
  <c r="Z629" i="114"/>
  <c r="AF629" i="114"/>
  <c r="Z630" i="114"/>
  <c r="AF630" i="114"/>
  <c r="Z631" i="114"/>
  <c r="AF631" i="114"/>
  <c r="Z632" i="114"/>
  <c r="AF632" i="114"/>
  <c r="Z633" i="114"/>
  <c r="AF633" i="114"/>
  <c r="Z634" i="114"/>
  <c r="AF634" i="114"/>
  <c r="Z635" i="114"/>
  <c r="AF635" i="114"/>
  <c r="Z636" i="114"/>
  <c r="AF636" i="114"/>
  <c r="Z637" i="114"/>
  <c r="AF637" i="114"/>
  <c r="Z638" i="114"/>
  <c r="AF638" i="114"/>
  <c r="Z639" i="114"/>
  <c r="AF639" i="114"/>
  <c r="Z640" i="114"/>
  <c r="AF640" i="114"/>
  <c r="Z641" i="114"/>
  <c r="AF641" i="114"/>
  <c r="Z642" i="114"/>
  <c r="AF642" i="114"/>
  <c r="Z643" i="114"/>
  <c r="AF643" i="114"/>
  <c r="Z644" i="114"/>
  <c r="AF644" i="114"/>
  <c r="Z645" i="114"/>
  <c r="AF645" i="114"/>
  <c r="Z646" i="114"/>
  <c r="AF646" i="114"/>
  <c r="Z647" i="114"/>
  <c r="AF647" i="114"/>
  <c r="Z648" i="114"/>
  <c r="AF648" i="114"/>
  <c r="Z649" i="114"/>
  <c r="AF649" i="114"/>
  <c r="Z650" i="114"/>
  <c r="AF650" i="114"/>
  <c r="Z651" i="114"/>
  <c r="AF651" i="114"/>
  <c r="Z652" i="114"/>
  <c r="AF652" i="114"/>
  <c r="Z653" i="114"/>
  <c r="AF653" i="114"/>
  <c r="Z654" i="114"/>
  <c r="AF654" i="114"/>
  <c r="Z655" i="114"/>
  <c r="AF655" i="114"/>
  <c r="Z656" i="114"/>
  <c r="AF656" i="114"/>
  <c r="Z657" i="114"/>
  <c r="AF657" i="114"/>
  <c r="Z658" i="114"/>
  <c r="AF658" i="114"/>
  <c r="Z659" i="114"/>
  <c r="AF659" i="114"/>
  <c r="Z660" i="114"/>
  <c r="AF660" i="114"/>
  <c r="Z661" i="114"/>
  <c r="AF661" i="114"/>
  <c r="Z662" i="114"/>
  <c r="AF662" i="114"/>
  <c r="Z663" i="114"/>
  <c r="AF663" i="114"/>
  <c r="Z664" i="114"/>
  <c r="AF664" i="114"/>
  <c r="Z665" i="114"/>
  <c r="AF665" i="114"/>
  <c r="Z666" i="114"/>
  <c r="AF666" i="114"/>
  <c r="Z667" i="114"/>
  <c r="AF667" i="114"/>
  <c r="Y2" i="122"/>
  <c r="Z2" i="122"/>
  <c r="AA2" i="122"/>
  <c r="AE2" i="122"/>
  <c r="AF2" i="122"/>
  <c r="AG2" i="122"/>
  <c r="AK2" i="122"/>
  <c r="AL2" i="122"/>
  <c r="AP2" i="122"/>
  <c r="AQ2" i="122"/>
  <c r="AU2" i="122"/>
  <c r="AV2" i="122"/>
  <c r="Y3" i="122"/>
  <c r="Z3" i="122"/>
  <c r="AA3" i="122"/>
  <c r="AE3" i="122"/>
  <c r="AF3" i="122"/>
  <c r="AG3" i="122"/>
  <c r="AK3" i="122"/>
  <c r="AL3" i="122"/>
  <c r="AP3" i="122"/>
  <c r="AQ3" i="122"/>
  <c r="AU3" i="122"/>
  <c r="AV3" i="122"/>
  <c r="Y4" i="122"/>
  <c r="Z4" i="122"/>
  <c r="AA4" i="122"/>
  <c r="AE4" i="122"/>
  <c r="AF4" i="122"/>
  <c r="AG4" i="122"/>
  <c r="AK4" i="122"/>
  <c r="AL4" i="122"/>
  <c r="AP4" i="122"/>
  <c r="AQ4" i="122"/>
  <c r="AU4" i="122"/>
  <c r="AV4" i="122"/>
  <c r="Y5" i="122"/>
  <c r="Z5" i="122"/>
  <c r="AA5" i="122"/>
  <c r="AE5" i="122"/>
  <c r="AF5" i="122"/>
  <c r="AG5" i="122"/>
  <c r="AK5" i="122"/>
  <c r="AL5" i="122"/>
  <c r="AP5" i="122"/>
  <c r="AQ5" i="122"/>
  <c r="AU5" i="122"/>
  <c r="AV5" i="122"/>
  <c r="Y6" i="122"/>
  <c r="Z6" i="122"/>
  <c r="AA6" i="122"/>
  <c r="AE6" i="122"/>
  <c r="AF6" i="122"/>
  <c r="AG6" i="122"/>
  <c r="AK6" i="122"/>
  <c r="AL6" i="122"/>
  <c r="AP6" i="122"/>
  <c r="AQ6" i="122"/>
  <c r="AU6" i="122"/>
  <c r="AV6" i="122"/>
  <c r="Y7" i="122"/>
  <c r="Z7" i="122"/>
  <c r="AA7" i="122"/>
  <c r="AE7" i="122"/>
  <c r="AF7" i="122"/>
  <c r="AG7" i="122"/>
  <c r="AK7" i="122"/>
  <c r="AL7" i="122"/>
  <c r="AP7" i="122"/>
  <c r="AQ7" i="122"/>
  <c r="AU7" i="122"/>
  <c r="AV7" i="122"/>
  <c r="Y8" i="122"/>
  <c r="Z8" i="122"/>
  <c r="AA8" i="122"/>
  <c r="AE8" i="122"/>
  <c r="AF8" i="122"/>
  <c r="AG8" i="122"/>
  <c r="AK8" i="122"/>
  <c r="AL8" i="122"/>
  <c r="AP8" i="122"/>
  <c r="AQ8" i="122"/>
  <c r="AU8" i="122"/>
  <c r="AV8" i="122"/>
  <c r="Y9" i="122"/>
  <c r="Z9" i="122"/>
  <c r="AA9" i="122"/>
  <c r="AE9" i="122"/>
  <c r="AF9" i="122"/>
  <c r="AG9" i="122"/>
  <c r="AK9" i="122"/>
  <c r="AL9" i="122"/>
  <c r="AP9" i="122"/>
  <c r="AQ9" i="122"/>
  <c r="AU9" i="122"/>
  <c r="AV9" i="122"/>
  <c r="Y10" i="122"/>
  <c r="Z10" i="122"/>
  <c r="AA10" i="122"/>
  <c r="AE10" i="122"/>
  <c r="AF10" i="122"/>
  <c r="AG10" i="122"/>
  <c r="Y11" i="122"/>
  <c r="Z11" i="122"/>
  <c r="AA11" i="122"/>
  <c r="AE11" i="122"/>
  <c r="AF11" i="122"/>
  <c r="AG11" i="122"/>
  <c r="Y12" i="122"/>
  <c r="Z12" i="122"/>
  <c r="AA12" i="122"/>
  <c r="AE12" i="122"/>
  <c r="AF12" i="122"/>
  <c r="AG12" i="122"/>
  <c r="Y13" i="122"/>
  <c r="Z13" i="122"/>
  <c r="AA13" i="122"/>
  <c r="AE13" i="122"/>
  <c r="AF13" i="122"/>
  <c r="AG13" i="122"/>
  <c r="Y14" i="122"/>
  <c r="Z14" i="122"/>
  <c r="AA14" i="122"/>
  <c r="AE14" i="122"/>
  <c r="AF14" i="122"/>
  <c r="AG14" i="122"/>
  <c r="Y15" i="122"/>
  <c r="Z15" i="122"/>
  <c r="AA15" i="122"/>
  <c r="AE15" i="122"/>
  <c r="AF15" i="122"/>
  <c r="AG15" i="122"/>
  <c r="Y16" i="122"/>
  <c r="Z16" i="122"/>
  <c r="AA16" i="122"/>
  <c r="AE16" i="122"/>
  <c r="AF16" i="122"/>
  <c r="AG16" i="122"/>
  <c r="Y17" i="122"/>
  <c r="Z17" i="122"/>
  <c r="AA17" i="122"/>
  <c r="AE17" i="122"/>
  <c r="AF17" i="122"/>
  <c r="AG17" i="122"/>
  <c r="Y18" i="122"/>
  <c r="Z18" i="122"/>
  <c r="AA18" i="122"/>
  <c r="AE18" i="122"/>
  <c r="AF18" i="122"/>
  <c r="AG18" i="122"/>
  <c r="Y19" i="122"/>
  <c r="Z19" i="122"/>
  <c r="AA19" i="122"/>
  <c r="AE19" i="122"/>
  <c r="AF19" i="122"/>
  <c r="AG19" i="122"/>
  <c r="Y20" i="122"/>
  <c r="Z20" i="122"/>
  <c r="AA20" i="122"/>
  <c r="AE20" i="122"/>
  <c r="AF20" i="122"/>
  <c r="AG20" i="122"/>
  <c r="Y21" i="122"/>
  <c r="Z21" i="122"/>
  <c r="AA21" i="122"/>
  <c r="AE21" i="122"/>
  <c r="AF21" i="122"/>
  <c r="AG21" i="122"/>
  <c r="Y22" i="122"/>
  <c r="Z22" i="122"/>
  <c r="AA22" i="122"/>
  <c r="AE22" i="122"/>
  <c r="AF22" i="122"/>
  <c r="AG22" i="122"/>
  <c r="Y23" i="122"/>
  <c r="Z23" i="122"/>
  <c r="AA23" i="122"/>
  <c r="AE23" i="122"/>
  <c r="AF23" i="122"/>
  <c r="AG23" i="122"/>
  <c r="Y24" i="122"/>
  <c r="Z24" i="122"/>
  <c r="AA24" i="122"/>
  <c r="AE24" i="122"/>
  <c r="AF24" i="122"/>
  <c r="AG24" i="122"/>
  <c r="Y25" i="122"/>
  <c r="Z25" i="122"/>
  <c r="AA25" i="122"/>
  <c r="AE25" i="122"/>
  <c r="AF25" i="122"/>
  <c r="AG25" i="122"/>
  <c r="Y26" i="122"/>
  <c r="Z26" i="122"/>
  <c r="AA26" i="122"/>
  <c r="AE26" i="122"/>
  <c r="AF26" i="122"/>
  <c r="AG26" i="122"/>
  <c r="Y27" i="122"/>
  <c r="Z27" i="122"/>
  <c r="AA27" i="122"/>
  <c r="AE27" i="122"/>
  <c r="AF27" i="122"/>
  <c r="AG27" i="122"/>
  <c r="Y28" i="122"/>
  <c r="Z28" i="122"/>
  <c r="AA28" i="122"/>
  <c r="AE28" i="122"/>
  <c r="AF28" i="122"/>
  <c r="AG28" i="122"/>
  <c r="Y29" i="122"/>
  <c r="Z29" i="122"/>
  <c r="AA29" i="122"/>
  <c r="AE29" i="122"/>
  <c r="AF29" i="122"/>
  <c r="AG29" i="122"/>
  <c r="Y30" i="122"/>
  <c r="Z30" i="122"/>
  <c r="AA30" i="122"/>
  <c r="AE30" i="122"/>
  <c r="AF30" i="122"/>
  <c r="AG30" i="122"/>
  <c r="Y31" i="122"/>
  <c r="Z31" i="122"/>
  <c r="AA31" i="122"/>
  <c r="AE31" i="122"/>
  <c r="AF31" i="122"/>
  <c r="AG31" i="122"/>
  <c r="Y32" i="122"/>
  <c r="Z32" i="122"/>
  <c r="AA32" i="122"/>
  <c r="AE32" i="122"/>
  <c r="AF32" i="122"/>
  <c r="AG32" i="122"/>
  <c r="Y33" i="122"/>
  <c r="Z33" i="122"/>
  <c r="AA33" i="122"/>
  <c r="AE33" i="122"/>
  <c r="AF33" i="122"/>
  <c r="AG33" i="122"/>
  <c r="Y34" i="122"/>
  <c r="Z34" i="122"/>
  <c r="AA34" i="122"/>
  <c r="AE34" i="122"/>
  <c r="AF34" i="122"/>
  <c r="AG34" i="122"/>
  <c r="Y35" i="122"/>
  <c r="Z35" i="122"/>
  <c r="AA35" i="122"/>
  <c r="AE35" i="122"/>
  <c r="AF35" i="122"/>
  <c r="AG35" i="122"/>
  <c r="Y36" i="122"/>
  <c r="Z36" i="122"/>
  <c r="AA36" i="122"/>
  <c r="AE36" i="122"/>
  <c r="AF36" i="122"/>
  <c r="AG36" i="122"/>
  <c r="Y37" i="122"/>
  <c r="Z37" i="122"/>
  <c r="AA37" i="122"/>
  <c r="AE37" i="122"/>
  <c r="AF37" i="122"/>
  <c r="AG37" i="122"/>
  <c r="Z38" i="122"/>
  <c r="AA38" i="122"/>
  <c r="AF38" i="122"/>
  <c r="AG38" i="122"/>
  <c r="Z39" i="122"/>
  <c r="AA39" i="122"/>
  <c r="AF39" i="122"/>
  <c r="AG39" i="122"/>
  <c r="Z40" i="122"/>
  <c r="AA40" i="122"/>
  <c r="AF40" i="122"/>
  <c r="AG40" i="122"/>
  <c r="Z41" i="122"/>
  <c r="AA41" i="122"/>
  <c r="AF41" i="122"/>
  <c r="AG41" i="122"/>
  <c r="Z42" i="122"/>
  <c r="AA42" i="122"/>
  <c r="AF42" i="122"/>
  <c r="AG42" i="122"/>
  <c r="Z43" i="122"/>
  <c r="AA43" i="122"/>
  <c r="AF43" i="122"/>
  <c r="AG43" i="122"/>
  <c r="Z44" i="122"/>
  <c r="AA44" i="122"/>
  <c r="AF44" i="122"/>
  <c r="AG44" i="122"/>
  <c r="Z45" i="122"/>
  <c r="AA45" i="122"/>
  <c r="AF45" i="122"/>
  <c r="AG45" i="122"/>
  <c r="Z46" i="122"/>
  <c r="AA46" i="122"/>
  <c r="AF46" i="122"/>
  <c r="AG46" i="122"/>
  <c r="Z47" i="122"/>
  <c r="AA47" i="122"/>
  <c r="AF47" i="122"/>
  <c r="AG47" i="122"/>
  <c r="Z48" i="122"/>
  <c r="AA48" i="122"/>
  <c r="AF48" i="122"/>
  <c r="AG48" i="122"/>
  <c r="Z49" i="122"/>
  <c r="AA49" i="122"/>
  <c r="AF49" i="122"/>
  <c r="AG49" i="122"/>
  <c r="Z50" i="122"/>
  <c r="AA50" i="122"/>
  <c r="AF50" i="122"/>
  <c r="AG50" i="122"/>
  <c r="Z51" i="122"/>
  <c r="AA51" i="122"/>
  <c r="AF51" i="122"/>
  <c r="AG51" i="122"/>
  <c r="Z52" i="122"/>
  <c r="AA52" i="122"/>
  <c r="AF52" i="122"/>
  <c r="AG52" i="122"/>
  <c r="Z53" i="122"/>
  <c r="AA53" i="122"/>
  <c r="AF53" i="122"/>
  <c r="AG53" i="122"/>
  <c r="Z54" i="122"/>
  <c r="AA54" i="122"/>
  <c r="AF54" i="122"/>
  <c r="AG54" i="122"/>
  <c r="Y55" i="122"/>
  <c r="AE55" i="122"/>
  <c r="Y56" i="122"/>
  <c r="AE56" i="122"/>
  <c r="Y57" i="122"/>
  <c r="AE57" i="122"/>
  <c r="Y58" i="122"/>
  <c r="AE58" i="122"/>
  <c r="Y59" i="122"/>
  <c r="AE59" i="122"/>
  <c r="Y60" i="122"/>
  <c r="AE60" i="122"/>
  <c r="Y61" i="122"/>
  <c r="AE61" i="122"/>
  <c r="Y62" i="122"/>
  <c r="AE62" i="122"/>
  <c r="Y63" i="122"/>
  <c r="AE63" i="122"/>
  <c r="Y64" i="122"/>
  <c r="AE64" i="122"/>
  <c r="Y65" i="122"/>
  <c r="AE65" i="122"/>
  <c r="Y66" i="122"/>
  <c r="AE66" i="122"/>
  <c r="Y67" i="122"/>
  <c r="AE67" i="122"/>
  <c r="Y68" i="122"/>
  <c r="AE68" i="122"/>
  <c r="Y69" i="122"/>
  <c r="AE69" i="122"/>
  <c r="Y70" i="122"/>
  <c r="AE70" i="122"/>
  <c r="Y71" i="122"/>
  <c r="AE71" i="122"/>
  <c r="Y72" i="122"/>
  <c r="AE72" i="122"/>
  <c r="Y73" i="122"/>
  <c r="AE73" i="122"/>
  <c r="Y74" i="122"/>
  <c r="AE74" i="122"/>
  <c r="Y75" i="122"/>
  <c r="AE75" i="122"/>
  <c r="Y76" i="122"/>
  <c r="AE76" i="122"/>
  <c r="Y77" i="122"/>
  <c r="AE77" i="122"/>
  <c r="Y78" i="122"/>
  <c r="AE78" i="122"/>
  <c r="Z79" i="122"/>
  <c r="AA79" i="122"/>
  <c r="AF79" i="122"/>
  <c r="AG79" i="122"/>
  <c r="Z80" i="122"/>
  <c r="AA80" i="122"/>
  <c r="AF80" i="122"/>
  <c r="AG80" i="122"/>
  <c r="Z81" i="122"/>
  <c r="AA81" i="122"/>
  <c r="AF81" i="122"/>
  <c r="AG81" i="122"/>
  <c r="Z82" i="122"/>
  <c r="AA82" i="122"/>
  <c r="AF82" i="122"/>
  <c r="AG82" i="122"/>
  <c r="Z83" i="122"/>
  <c r="AA83" i="122"/>
  <c r="AF83" i="122"/>
  <c r="AG83" i="122"/>
  <c r="Z84" i="122"/>
  <c r="AA84" i="122"/>
  <c r="AF84" i="122"/>
  <c r="AG84" i="122"/>
  <c r="Z85" i="122"/>
  <c r="AA85" i="122"/>
  <c r="AF85" i="122"/>
  <c r="AG85" i="122"/>
  <c r="Z86" i="122"/>
  <c r="AA86" i="122"/>
  <c r="AF86" i="122"/>
  <c r="AG86" i="122"/>
  <c r="Z87" i="122"/>
  <c r="AA87" i="122"/>
  <c r="AF87" i="122"/>
  <c r="AG87" i="122"/>
  <c r="Z88" i="122"/>
  <c r="AA88" i="122"/>
  <c r="AF88" i="122"/>
  <c r="AG88" i="122"/>
  <c r="Z89" i="122"/>
  <c r="AA89" i="122"/>
  <c r="AF89" i="122"/>
  <c r="AG89" i="122"/>
  <c r="Z90" i="122"/>
  <c r="AA90" i="122"/>
  <c r="AF90" i="122"/>
  <c r="AG90" i="122"/>
  <c r="Z91" i="122"/>
  <c r="AA91" i="122"/>
  <c r="AF91" i="122"/>
  <c r="AG91" i="122"/>
  <c r="Z92" i="122"/>
  <c r="AA92" i="122"/>
  <c r="AF92" i="122"/>
  <c r="AG92" i="122"/>
  <c r="Z93" i="122"/>
  <c r="AA93" i="122"/>
  <c r="AF93" i="122"/>
  <c r="AG93" i="122"/>
  <c r="Z94" i="122"/>
  <c r="AF94" i="122"/>
  <c r="Z95" i="122"/>
  <c r="AF95" i="122"/>
  <c r="Z96" i="122"/>
  <c r="AF96" i="122"/>
  <c r="Z97" i="122"/>
  <c r="AF97" i="122"/>
  <c r="Z98" i="122"/>
  <c r="AF98" i="122"/>
  <c r="Z99" i="122"/>
  <c r="AF99" i="122"/>
  <c r="Z100" i="122"/>
  <c r="AF100" i="122"/>
  <c r="Z101" i="122"/>
  <c r="AF101" i="122"/>
  <c r="Z102" i="122"/>
  <c r="AF102" i="122"/>
  <c r="Z103" i="122"/>
  <c r="AF103" i="122"/>
  <c r="Z104" i="122"/>
  <c r="AF104" i="122"/>
  <c r="Z105" i="122"/>
  <c r="AF105" i="122"/>
  <c r="Y106" i="122"/>
  <c r="AE106" i="122"/>
  <c r="Y107" i="122"/>
  <c r="AE107" i="122"/>
  <c r="Y108" i="122"/>
  <c r="AE108" i="122"/>
  <c r="Y109" i="122"/>
  <c r="AE109" i="122"/>
  <c r="Y110" i="122"/>
  <c r="AE110" i="122"/>
  <c r="Y111" i="122"/>
  <c r="AE111" i="122"/>
  <c r="Y112" i="122"/>
  <c r="AE112" i="122"/>
  <c r="Y113" i="122"/>
  <c r="AE113" i="122"/>
  <c r="Y114" i="122"/>
  <c r="AE114" i="122"/>
  <c r="Y115" i="122"/>
  <c r="AE115" i="122"/>
  <c r="Y116" i="122"/>
  <c r="AE116" i="122"/>
  <c r="Y117" i="122"/>
  <c r="AE117" i="122"/>
  <c r="Z118" i="122"/>
  <c r="AF118" i="122"/>
  <c r="Z119" i="122"/>
  <c r="AF119" i="122"/>
  <c r="Z120" i="122"/>
  <c r="AF120" i="122"/>
  <c r="Z121" i="122"/>
  <c r="AF121" i="122"/>
  <c r="Z122" i="122"/>
  <c r="AF122" i="122"/>
  <c r="Z123" i="122"/>
  <c r="AF123" i="122"/>
  <c r="Z124" i="122"/>
  <c r="AF124" i="122"/>
  <c r="Z125" i="122"/>
  <c r="AF125" i="122"/>
  <c r="Z126" i="122"/>
  <c r="AF126" i="122"/>
  <c r="Z127" i="122"/>
  <c r="AF127" i="122"/>
  <c r="Z128" i="122"/>
  <c r="AF128" i="122"/>
  <c r="Z129" i="122"/>
  <c r="AF129" i="122"/>
  <c r="Z130" i="122"/>
  <c r="AA130" i="122"/>
  <c r="AF130" i="122"/>
  <c r="AG130" i="122"/>
  <c r="Z131" i="122"/>
  <c r="AA131" i="122"/>
  <c r="AF131" i="122"/>
  <c r="AG131" i="122"/>
  <c r="Z132" i="122"/>
  <c r="AA132" i="122"/>
  <c r="AF132" i="122"/>
  <c r="AG132" i="122"/>
  <c r="Z133" i="122"/>
  <c r="AA133" i="122"/>
  <c r="AF133" i="122"/>
  <c r="AG133" i="122"/>
  <c r="Z134" i="122"/>
  <c r="AA134" i="122"/>
  <c r="AF134" i="122"/>
  <c r="AG134" i="122"/>
  <c r="Z135" i="122"/>
  <c r="AA135" i="122"/>
  <c r="AF135" i="122"/>
  <c r="AG135" i="122"/>
  <c r="Z136" i="122"/>
  <c r="AA136" i="122"/>
  <c r="AF136" i="122"/>
  <c r="AG136" i="122"/>
  <c r="Z137" i="122"/>
  <c r="AA137" i="122"/>
  <c r="AF137" i="122"/>
  <c r="AG137" i="122"/>
  <c r="Z138" i="122"/>
  <c r="AA138" i="122"/>
  <c r="AF138" i="122"/>
  <c r="AG138" i="122"/>
  <c r="Z139" i="122"/>
  <c r="AA139" i="122"/>
  <c r="AF139" i="122"/>
  <c r="AG139" i="122"/>
  <c r="Z140" i="122"/>
  <c r="AA140" i="122"/>
  <c r="AF140" i="122"/>
  <c r="AG140" i="122"/>
  <c r="Z141" i="122"/>
  <c r="AA141" i="122"/>
  <c r="AF141" i="122"/>
  <c r="AG141" i="122"/>
  <c r="Z142" i="122"/>
  <c r="AA142" i="122"/>
  <c r="AF142" i="122"/>
  <c r="AG142" i="122"/>
  <c r="Z143" i="122"/>
  <c r="AA143" i="122"/>
  <c r="AF143" i="122"/>
  <c r="AG143" i="122"/>
  <c r="Z144" i="122"/>
  <c r="AA144" i="122"/>
  <c r="AF144" i="122"/>
  <c r="AG144" i="122"/>
  <c r="Z145" i="122"/>
  <c r="AA145" i="122"/>
  <c r="AF145" i="122"/>
  <c r="AG145" i="122"/>
  <c r="Z146" i="122"/>
  <c r="AA146" i="122"/>
  <c r="AF146" i="122"/>
  <c r="AG146" i="122"/>
  <c r="Z147" i="122"/>
  <c r="AA147" i="122"/>
  <c r="AF147" i="122"/>
  <c r="AG147" i="122"/>
  <c r="Z148" i="122"/>
  <c r="AA148" i="122"/>
  <c r="AF148" i="122"/>
  <c r="AG148" i="122"/>
  <c r="Y149" i="122"/>
  <c r="AE149" i="122"/>
  <c r="Y150" i="122"/>
  <c r="AE150" i="122"/>
  <c r="Y151" i="122"/>
  <c r="AE151" i="122"/>
  <c r="Y152" i="122"/>
  <c r="AE152" i="122"/>
  <c r="Y153" i="122"/>
  <c r="AE153" i="122"/>
  <c r="Y154" i="122"/>
  <c r="AE154" i="122"/>
  <c r="Y155" i="122"/>
  <c r="AE155" i="122"/>
  <c r="Y156" i="122"/>
  <c r="AE156" i="122"/>
  <c r="Y157" i="122"/>
  <c r="AE157" i="122"/>
  <c r="Y158" i="122"/>
  <c r="AE158" i="122"/>
  <c r="Y159" i="122"/>
  <c r="AE159" i="122"/>
  <c r="Y160" i="122"/>
  <c r="AE160" i="122"/>
  <c r="Y161" i="122"/>
  <c r="AE161" i="122"/>
  <c r="Y162" i="122"/>
  <c r="AE162" i="122"/>
  <c r="Y163" i="122"/>
  <c r="AE163" i="122"/>
  <c r="Y164" i="122"/>
  <c r="AE164" i="122"/>
  <c r="Y165" i="122"/>
  <c r="AE165" i="122"/>
  <c r="Y166" i="122"/>
  <c r="AE166" i="122"/>
  <c r="Y167" i="122"/>
  <c r="AE167" i="122"/>
  <c r="Y168" i="122"/>
  <c r="AE168" i="122"/>
  <c r="Z169" i="122"/>
  <c r="AA169" i="122"/>
  <c r="AF169" i="122"/>
  <c r="AG169" i="122"/>
  <c r="Z170" i="122"/>
  <c r="AA170" i="122"/>
  <c r="AF170" i="122"/>
  <c r="AG170" i="122"/>
  <c r="Z171" i="122"/>
  <c r="AA171" i="122"/>
  <c r="AF171" i="122"/>
  <c r="AG171" i="122"/>
  <c r="Z172" i="122"/>
  <c r="AA172" i="122"/>
  <c r="AF172" i="122"/>
  <c r="AG172" i="122"/>
  <c r="Z173" i="122"/>
  <c r="AA173" i="122"/>
  <c r="AF173" i="122"/>
  <c r="AG173" i="122"/>
  <c r="Z174" i="122"/>
  <c r="AA174" i="122"/>
  <c r="AF174" i="122"/>
  <c r="AG174" i="122"/>
  <c r="Z175" i="122"/>
  <c r="AA175" i="122"/>
  <c r="AF175" i="122"/>
  <c r="AG175" i="122"/>
  <c r="Z176" i="122"/>
  <c r="AA176" i="122"/>
  <c r="AF176" i="122"/>
  <c r="AG176" i="122"/>
  <c r="Z177" i="122"/>
  <c r="AA177" i="122"/>
  <c r="AF177" i="122"/>
  <c r="AG177" i="122"/>
  <c r="Z178" i="122"/>
  <c r="AA178" i="122"/>
  <c r="AF178" i="122"/>
  <c r="AG178" i="122"/>
  <c r="Z179" i="122"/>
  <c r="AA179" i="122"/>
  <c r="AF179" i="122"/>
  <c r="AG179" i="122"/>
  <c r="Z180" i="122"/>
  <c r="AA180" i="122"/>
  <c r="AF180" i="122"/>
  <c r="AG180" i="122"/>
  <c r="Z181" i="122"/>
  <c r="AA181" i="122"/>
  <c r="AF181" i="122"/>
  <c r="AG181" i="122"/>
  <c r="Z182" i="122"/>
  <c r="AA182" i="122"/>
  <c r="AF182" i="122"/>
  <c r="AG182" i="122"/>
  <c r="Z183" i="122"/>
  <c r="AA183" i="122"/>
  <c r="AF183" i="122"/>
  <c r="AG183" i="122"/>
  <c r="Z184" i="122"/>
  <c r="AA184" i="122"/>
  <c r="AF184" i="122"/>
  <c r="AG184" i="122"/>
  <c r="Z185" i="122"/>
  <c r="AA185" i="122"/>
  <c r="AF185" i="122"/>
  <c r="AG185" i="122"/>
  <c r="Z186" i="122"/>
  <c r="AA186" i="122"/>
  <c r="AF186" i="122"/>
  <c r="AG186" i="122"/>
  <c r="Z187" i="122"/>
  <c r="AA187" i="122"/>
  <c r="AF187" i="122"/>
  <c r="AG187" i="122"/>
  <c r="Z188" i="122"/>
  <c r="AA188" i="122"/>
  <c r="AF188" i="122"/>
  <c r="AG188" i="122"/>
  <c r="Z189" i="122"/>
  <c r="AA189" i="122"/>
  <c r="AF189" i="122"/>
  <c r="AG189" i="122"/>
  <c r="Z190" i="122"/>
  <c r="AA190" i="122"/>
  <c r="AF190" i="122"/>
  <c r="AG190" i="122"/>
  <c r="Z191" i="122"/>
  <c r="AA191" i="122"/>
  <c r="AF191" i="122"/>
  <c r="AG191" i="122"/>
  <c r="Z192" i="122"/>
  <c r="AA192" i="122"/>
  <c r="AF192" i="122"/>
  <c r="AG192" i="122"/>
  <c r="Z193" i="122"/>
  <c r="AA193" i="122"/>
  <c r="AF193" i="122"/>
  <c r="AG193" i="122"/>
  <c r="Z194" i="122"/>
  <c r="AA194" i="122"/>
  <c r="AF194" i="122"/>
  <c r="AG194" i="122"/>
  <c r="Z195" i="122"/>
  <c r="AA195" i="122"/>
  <c r="AF195" i="122"/>
  <c r="AG195" i="122"/>
  <c r="Z196" i="122"/>
  <c r="AA196" i="122"/>
  <c r="AF196" i="122"/>
  <c r="AG196" i="122"/>
  <c r="Z197" i="122"/>
  <c r="AA197" i="122"/>
  <c r="AF197" i="122"/>
  <c r="AG197" i="122"/>
  <c r="Z198" i="122"/>
  <c r="AA198" i="122"/>
  <c r="AF198" i="122"/>
  <c r="AG198" i="122"/>
  <c r="Y199" i="122"/>
  <c r="AE199" i="122"/>
  <c r="Y200" i="122"/>
  <c r="AE200" i="122"/>
  <c r="Y201" i="122"/>
  <c r="AE201" i="122"/>
  <c r="Y202" i="122"/>
  <c r="AE202" i="122"/>
  <c r="Y203" i="122"/>
  <c r="AE203" i="122"/>
  <c r="Y204" i="122"/>
  <c r="AE204" i="122"/>
  <c r="Y205" i="122"/>
  <c r="AE205" i="122"/>
  <c r="Y206" i="122"/>
  <c r="AE206" i="122"/>
  <c r="Y207" i="122"/>
  <c r="AE207" i="122"/>
  <c r="Y208" i="122"/>
  <c r="AE208" i="122"/>
  <c r="Y209" i="122"/>
  <c r="AE209" i="122"/>
  <c r="Y210" i="122"/>
  <c r="AE210" i="122"/>
  <c r="Z211" i="122"/>
  <c r="AA211" i="122"/>
  <c r="AF211" i="122"/>
  <c r="AG211" i="122"/>
  <c r="Z212" i="122"/>
  <c r="AA212" i="122"/>
  <c r="AF212" i="122"/>
  <c r="AG212" i="122"/>
  <c r="Z213" i="122"/>
  <c r="AA213" i="122"/>
  <c r="AF213" i="122"/>
  <c r="AG213" i="122"/>
  <c r="Z214" i="122"/>
  <c r="AA214" i="122"/>
  <c r="AF214" i="122"/>
  <c r="AG214" i="122"/>
  <c r="Z215" i="122"/>
  <c r="AA215" i="122"/>
  <c r="AF215" i="122"/>
  <c r="AG215" i="122"/>
  <c r="Z216" i="122"/>
  <c r="AA216" i="122"/>
  <c r="AF216" i="122"/>
  <c r="AG216" i="122"/>
  <c r="Z217" i="122"/>
  <c r="AA217" i="122"/>
  <c r="AF217" i="122"/>
  <c r="AG217" i="122"/>
  <c r="Z218" i="122"/>
  <c r="AA218" i="122"/>
  <c r="AF218" i="122"/>
  <c r="AG218" i="122"/>
  <c r="Z219" i="122"/>
  <c r="AA219" i="122"/>
  <c r="AF219" i="122"/>
  <c r="AG219" i="122"/>
  <c r="Z220" i="122"/>
  <c r="AA220" i="122"/>
  <c r="AF220" i="122"/>
  <c r="AG220" i="122"/>
  <c r="Z221" i="122"/>
  <c r="AA221" i="122"/>
  <c r="AF221" i="122"/>
  <c r="AG221" i="122"/>
  <c r="Z222" i="122"/>
  <c r="AA222" i="122"/>
  <c r="AF222" i="122"/>
  <c r="AG222" i="122"/>
  <c r="Z223" i="122"/>
  <c r="AA223" i="122"/>
  <c r="AF223" i="122"/>
  <c r="AG223" i="122"/>
  <c r="Z224" i="122"/>
  <c r="AA224" i="122"/>
  <c r="AF224" i="122"/>
  <c r="AG224" i="122"/>
  <c r="Z225" i="122"/>
  <c r="AA225" i="122"/>
  <c r="AF225" i="122"/>
  <c r="AG225" i="122"/>
  <c r="Z226" i="122"/>
  <c r="AA226" i="122"/>
  <c r="AF226" i="122"/>
  <c r="AG226" i="122"/>
  <c r="Z227" i="122"/>
  <c r="AA227" i="122"/>
  <c r="AF227" i="122"/>
  <c r="AG227" i="122"/>
  <c r="Z228" i="122"/>
  <c r="AA228" i="122"/>
  <c r="AF228" i="122"/>
  <c r="AG228" i="122"/>
  <c r="Z229" i="122"/>
  <c r="AA229" i="122"/>
  <c r="AF229" i="122"/>
  <c r="AG229" i="122"/>
  <c r="Z230" i="122"/>
  <c r="AA230" i="122"/>
  <c r="AF230" i="122"/>
  <c r="AG230" i="122"/>
  <c r="Z231" i="122"/>
  <c r="AA231" i="122"/>
  <c r="AF231" i="122"/>
  <c r="AG231" i="122"/>
  <c r="Z232" i="122"/>
  <c r="AA232" i="122"/>
  <c r="AF232" i="122"/>
  <c r="AG232" i="122"/>
  <c r="Z233" i="122"/>
  <c r="AA233" i="122"/>
  <c r="AF233" i="122"/>
  <c r="AG233" i="122"/>
  <c r="Z234" i="122"/>
  <c r="AA234" i="122"/>
  <c r="AF234" i="122"/>
  <c r="AG234" i="122"/>
  <c r="Y235" i="122"/>
  <c r="AE235" i="122"/>
  <c r="Y236" i="122"/>
  <c r="AE236" i="122"/>
  <c r="Y237" i="122"/>
  <c r="AE237" i="122"/>
  <c r="Y238" i="122"/>
  <c r="AE238" i="122"/>
  <c r="Y239" i="122"/>
  <c r="AE239" i="122"/>
  <c r="Y240" i="122"/>
  <c r="AE240" i="122"/>
  <c r="Y241" i="122"/>
  <c r="AE241" i="122"/>
  <c r="Y242" i="122"/>
  <c r="AE242" i="122"/>
  <c r="Y243" i="122"/>
  <c r="AE243" i="122"/>
  <c r="Y244" i="122"/>
  <c r="AE244" i="122"/>
  <c r="Y245" i="122"/>
  <c r="AE245" i="122"/>
  <c r="Y246" i="122"/>
  <c r="AE246" i="122"/>
  <c r="Z247" i="122"/>
  <c r="AA247" i="122"/>
  <c r="AF247" i="122"/>
  <c r="AG247" i="122"/>
  <c r="Z248" i="122"/>
  <c r="AA248" i="122"/>
  <c r="AF248" i="122"/>
  <c r="AG248" i="122"/>
  <c r="Z249" i="122"/>
  <c r="AA249" i="122"/>
  <c r="AF249" i="122"/>
  <c r="AG249" i="122"/>
  <c r="Z250" i="122"/>
  <c r="AA250" i="122"/>
  <c r="AF250" i="122"/>
  <c r="AG250" i="122"/>
  <c r="Z251" i="122"/>
  <c r="AA251" i="122"/>
  <c r="AF251" i="122"/>
  <c r="AG251" i="122"/>
  <c r="Z252" i="122"/>
  <c r="AA252" i="122"/>
  <c r="AF252" i="122"/>
  <c r="AG252" i="122"/>
  <c r="Z253" i="122"/>
  <c r="AA253" i="122"/>
  <c r="AF253" i="122"/>
  <c r="AG253" i="122"/>
  <c r="Z254" i="122"/>
  <c r="AA254" i="122"/>
  <c r="AF254" i="122"/>
  <c r="AG254" i="122"/>
  <c r="Z255" i="122"/>
  <c r="AA255" i="122"/>
  <c r="AF255" i="122"/>
  <c r="AG255" i="122"/>
  <c r="Z256" i="122"/>
  <c r="AA256" i="122"/>
  <c r="AF256" i="122"/>
  <c r="AG256" i="122"/>
  <c r="Z257" i="122"/>
  <c r="AA257" i="122"/>
  <c r="AF257" i="122"/>
  <c r="AG257" i="122"/>
  <c r="Z258" i="122"/>
  <c r="AA258" i="122"/>
  <c r="AF258" i="122"/>
  <c r="AG258" i="122"/>
  <c r="Z259" i="122"/>
  <c r="AA259" i="122"/>
  <c r="AF259" i="122"/>
  <c r="AG259" i="122"/>
  <c r="Z260" i="122"/>
  <c r="AA260" i="122"/>
  <c r="AF260" i="122"/>
  <c r="AG260" i="122"/>
  <c r="Z261" i="122"/>
  <c r="AA261" i="122"/>
  <c r="AF261" i="122"/>
  <c r="AG261" i="122"/>
  <c r="Z262" i="122"/>
  <c r="AA262" i="122"/>
  <c r="AF262" i="122"/>
  <c r="AG262" i="122"/>
  <c r="Z263" i="122"/>
  <c r="AA263" i="122"/>
  <c r="AF263" i="122"/>
  <c r="AG263" i="122"/>
  <c r="Z264" i="122"/>
  <c r="AA264" i="122"/>
  <c r="AF264" i="122"/>
  <c r="AG264" i="122"/>
  <c r="Z265" i="122"/>
  <c r="AA265" i="122"/>
  <c r="AF265" i="122"/>
  <c r="AG265" i="122"/>
  <c r="Z266" i="122"/>
  <c r="AA266" i="122"/>
  <c r="AF266" i="122"/>
  <c r="AG266" i="122"/>
  <c r="Z267" i="122"/>
  <c r="AA267" i="122"/>
  <c r="AF267" i="122"/>
  <c r="AG267" i="122"/>
  <c r="Z268" i="122"/>
  <c r="AA268" i="122"/>
  <c r="AF268" i="122"/>
  <c r="AG268" i="122"/>
  <c r="Z269" i="122"/>
  <c r="AA269" i="122"/>
  <c r="AF269" i="122"/>
  <c r="AG269" i="122"/>
  <c r="Z270" i="122"/>
  <c r="AA270" i="122"/>
  <c r="AF270" i="122"/>
  <c r="AG270" i="122"/>
  <c r="Z271" i="122"/>
  <c r="AA271" i="122"/>
  <c r="AF271" i="122"/>
  <c r="AG271" i="122"/>
  <c r="Z272" i="122"/>
  <c r="AA272" i="122"/>
  <c r="AF272" i="122"/>
  <c r="AG272" i="122"/>
  <c r="Z273" i="122"/>
  <c r="AA273" i="122"/>
  <c r="AF273" i="122"/>
  <c r="AG273" i="122"/>
  <c r="Z274" i="122"/>
  <c r="AA274" i="122"/>
  <c r="AF274" i="122"/>
  <c r="AG274" i="122"/>
  <c r="Z275" i="122"/>
  <c r="AA275" i="122"/>
  <c r="AF275" i="122"/>
  <c r="AG275" i="122"/>
  <c r="Z276" i="122"/>
  <c r="AA276" i="122"/>
  <c r="AF276" i="122"/>
  <c r="AG276" i="122"/>
  <c r="Z277" i="122"/>
  <c r="AA277" i="122"/>
  <c r="AF277" i="122"/>
  <c r="AG277" i="122"/>
  <c r="Z278" i="122"/>
  <c r="AA278" i="122"/>
  <c r="AF278" i="122"/>
  <c r="AG278" i="122"/>
  <c r="Z279" i="122"/>
  <c r="AA279" i="122"/>
  <c r="AF279" i="122"/>
  <c r="AG279" i="122"/>
  <c r="Z280" i="122"/>
  <c r="AA280" i="122"/>
  <c r="AF280" i="122"/>
  <c r="AG280" i="122"/>
  <c r="Z281" i="122"/>
  <c r="AA281" i="122"/>
  <c r="AF281" i="122"/>
  <c r="AG281" i="122"/>
  <c r="Z282" i="122"/>
  <c r="AA282" i="122"/>
  <c r="AF282" i="122"/>
  <c r="AG282" i="122"/>
  <c r="Z283" i="122"/>
  <c r="AA283" i="122"/>
  <c r="AF283" i="122"/>
  <c r="AG283" i="122"/>
  <c r="Z284" i="122"/>
  <c r="AA284" i="122"/>
  <c r="AF284" i="122"/>
  <c r="AG284" i="122"/>
  <c r="Z285" i="122"/>
  <c r="AA285" i="122"/>
  <c r="AF285" i="122"/>
  <c r="AG285" i="122"/>
  <c r="Z286" i="122"/>
  <c r="AA286" i="122"/>
  <c r="AF286" i="122"/>
  <c r="AG286" i="122"/>
  <c r="Z287" i="122"/>
  <c r="AA287" i="122"/>
  <c r="AF287" i="122"/>
  <c r="AG287" i="122"/>
  <c r="Z288" i="122"/>
  <c r="AA288" i="122"/>
  <c r="AF288" i="122"/>
  <c r="AG288" i="122"/>
  <c r="Z289" i="122"/>
  <c r="AA289" i="122"/>
  <c r="AF289" i="122"/>
  <c r="AG289" i="122"/>
  <c r="Z290" i="122"/>
  <c r="AA290" i="122"/>
  <c r="AF290" i="122"/>
  <c r="AG290" i="122"/>
  <c r="Z291" i="122"/>
  <c r="AA291" i="122"/>
  <c r="AF291" i="122"/>
  <c r="AG291" i="122"/>
  <c r="Z292" i="122"/>
  <c r="AA292" i="122"/>
  <c r="AF292" i="122"/>
  <c r="AG292" i="122"/>
  <c r="Z293" i="122"/>
  <c r="AA293" i="122"/>
  <c r="AF293" i="122"/>
  <c r="AG293" i="122"/>
  <c r="Z294" i="122"/>
  <c r="AA294" i="122"/>
  <c r="AF294" i="122"/>
  <c r="AG294" i="122"/>
  <c r="Z295" i="122"/>
  <c r="AA295" i="122"/>
  <c r="AF295" i="122"/>
  <c r="AG295" i="122"/>
  <c r="Z296" i="122"/>
  <c r="AA296" i="122"/>
  <c r="AF296" i="122"/>
  <c r="AG296" i="122"/>
  <c r="Z297" i="122"/>
  <c r="AA297" i="122"/>
  <c r="AF297" i="122"/>
  <c r="AG297" i="122"/>
  <c r="Z298" i="122"/>
  <c r="AA298" i="122"/>
  <c r="AF298" i="122"/>
  <c r="AG298" i="122"/>
  <c r="Z299" i="122"/>
  <c r="AA299" i="122"/>
  <c r="AF299" i="122"/>
  <c r="AG299" i="122"/>
  <c r="Z300" i="122"/>
  <c r="AA300" i="122"/>
  <c r="AF300" i="122"/>
  <c r="AG300" i="122"/>
  <c r="Z301" i="122"/>
  <c r="AA301" i="122"/>
  <c r="AF301" i="122"/>
  <c r="AG301" i="122"/>
  <c r="Z302" i="122"/>
  <c r="AA302" i="122"/>
  <c r="AF302" i="122"/>
  <c r="AG302" i="122"/>
  <c r="Z303" i="122"/>
  <c r="AA303" i="122"/>
  <c r="AF303" i="122"/>
  <c r="AG303" i="122"/>
  <c r="Z304" i="122"/>
  <c r="AA304" i="122"/>
  <c r="AF304" i="122"/>
  <c r="AG304" i="122"/>
  <c r="Z305" i="122"/>
  <c r="AA305" i="122"/>
  <c r="AF305" i="122"/>
  <c r="AG305" i="122"/>
  <c r="Z306" i="122"/>
  <c r="AA306" i="122"/>
  <c r="AF306" i="122"/>
  <c r="AG306" i="122"/>
  <c r="Z307" i="122"/>
  <c r="AA307" i="122"/>
  <c r="AF307" i="122"/>
  <c r="AG307" i="122"/>
  <c r="Z308" i="122"/>
  <c r="AA308" i="122"/>
  <c r="AF308" i="122"/>
  <c r="AG308" i="122"/>
  <c r="Z309" i="122"/>
  <c r="AA309" i="122"/>
  <c r="AF309" i="122"/>
  <c r="AG309" i="122"/>
  <c r="Z310" i="122"/>
  <c r="AA310" i="122"/>
  <c r="AF310" i="122"/>
  <c r="AG310" i="122"/>
  <c r="Z311" i="122"/>
  <c r="AA311" i="122"/>
  <c r="AF311" i="122"/>
  <c r="AG311" i="122"/>
  <c r="Z312" i="122"/>
  <c r="AA312" i="122"/>
  <c r="AF312" i="122"/>
  <c r="AG312" i="122"/>
  <c r="Z313" i="122"/>
  <c r="AA313" i="122"/>
  <c r="AF313" i="122"/>
  <c r="AG313" i="122"/>
  <c r="Z314" i="122"/>
  <c r="AA314" i="122"/>
  <c r="AF314" i="122"/>
  <c r="AG314" i="122"/>
  <c r="Z315" i="122"/>
  <c r="AA315" i="122"/>
  <c r="AF315" i="122"/>
  <c r="AG315" i="122"/>
  <c r="Z316" i="122"/>
  <c r="AA316" i="122"/>
  <c r="AF316" i="122"/>
  <c r="AG316" i="122"/>
  <c r="Z317" i="122"/>
  <c r="AA317" i="122"/>
  <c r="AF317" i="122"/>
  <c r="AG317" i="122"/>
  <c r="Z318" i="122"/>
  <c r="AA318" i="122"/>
  <c r="AF318" i="122"/>
  <c r="AG318" i="122"/>
  <c r="Z319" i="122"/>
  <c r="AA319" i="122"/>
  <c r="AF319" i="122"/>
  <c r="AG319" i="122"/>
  <c r="Z320" i="122"/>
  <c r="AA320" i="122"/>
  <c r="AF320" i="122"/>
  <c r="AG320" i="122"/>
  <c r="Z321" i="122"/>
  <c r="AA321" i="122"/>
  <c r="AF321" i="122"/>
  <c r="AG321" i="122"/>
  <c r="Z322" i="122"/>
  <c r="AA322" i="122"/>
  <c r="AF322" i="122"/>
  <c r="AG322" i="122"/>
  <c r="Z323" i="122"/>
  <c r="AA323" i="122"/>
  <c r="AF323" i="122"/>
  <c r="AG323" i="122"/>
  <c r="Z324" i="122"/>
  <c r="AA324" i="122"/>
  <c r="AF324" i="122"/>
  <c r="AG324" i="122"/>
  <c r="Z325" i="122"/>
  <c r="AA325" i="122"/>
  <c r="AF325" i="122"/>
  <c r="AG325" i="122"/>
  <c r="Z326" i="122"/>
  <c r="AA326" i="122"/>
  <c r="AF326" i="122"/>
  <c r="AG326" i="122"/>
  <c r="Z327" i="122"/>
  <c r="AA327" i="122"/>
  <c r="AF327" i="122"/>
  <c r="AG327" i="122"/>
  <c r="Z328" i="122"/>
  <c r="AA328" i="122"/>
  <c r="AF328" i="122"/>
  <c r="AG328" i="122"/>
  <c r="Z329" i="122"/>
  <c r="AA329" i="122"/>
  <c r="AF329" i="122"/>
  <c r="AG329" i="122"/>
  <c r="Z330" i="122"/>
  <c r="AA330" i="122"/>
  <c r="AF330" i="122"/>
  <c r="AG330" i="122"/>
  <c r="Z331" i="122"/>
  <c r="AA331" i="122"/>
  <c r="AF331" i="122"/>
  <c r="AG331" i="122"/>
  <c r="Z332" i="122"/>
  <c r="AA332" i="122"/>
  <c r="AF332" i="122"/>
  <c r="AG332" i="122"/>
  <c r="Z333" i="122"/>
  <c r="AA333" i="122"/>
  <c r="AF333" i="122"/>
  <c r="AG333" i="122"/>
  <c r="Z334" i="122"/>
  <c r="AA334" i="122"/>
  <c r="AF334" i="122"/>
  <c r="AG334" i="122"/>
  <c r="Z335" i="122"/>
  <c r="AA335" i="122"/>
  <c r="AF335" i="122"/>
  <c r="AG335" i="122"/>
  <c r="Z336" i="122"/>
  <c r="AA336" i="122"/>
  <c r="AF336" i="122"/>
  <c r="AG336" i="122"/>
  <c r="Z337" i="122"/>
  <c r="AA337" i="122"/>
  <c r="AF337" i="122"/>
  <c r="AG337" i="122"/>
  <c r="Z338" i="122"/>
  <c r="AA338" i="122"/>
  <c r="AF338" i="122"/>
  <c r="AG338" i="122"/>
  <c r="Z339" i="122"/>
  <c r="AA339" i="122"/>
  <c r="AF339" i="122"/>
  <c r="AG339" i="122"/>
  <c r="Z340" i="122"/>
  <c r="AA340" i="122"/>
  <c r="AF340" i="122"/>
  <c r="AG340" i="122"/>
  <c r="Z341" i="122"/>
  <c r="AA341" i="122"/>
  <c r="AF341" i="122"/>
  <c r="AG341" i="122"/>
  <c r="Z342" i="122"/>
  <c r="AA342" i="122"/>
  <c r="AF342" i="122"/>
  <c r="AG342" i="122"/>
  <c r="Z343" i="122"/>
  <c r="AA343" i="122"/>
  <c r="AF343" i="122"/>
  <c r="AG343" i="122"/>
  <c r="Z344" i="122"/>
  <c r="AA344" i="122"/>
  <c r="AF344" i="122"/>
  <c r="AG344" i="122"/>
  <c r="Z345" i="122"/>
  <c r="AA345" i="122"/>
  <c r="AF345" i="122"/>
  <c r="AG345" i="122"/>
  <c r="Z346" i="122"/>
  <c r="AA346" i="122"/>
  <c r="AF346" i="122"/>
  <c r="AG346" i="122"/>
  <c r="Z347" i="122"/>
  <c r="AA347" i="122"/>
  <c r="AF347" i="122"/>
  <c r="AG347" i="122"/>
  <c r="Z348" i="122"/>
  <c r="AA348" i="122"/>
  <c r="AF348" i="122"/>
  <c r="AG348" i="122"/>
  <c r="Z349" i="122"/>
  <c r="AA349" i="122"/>
  <c r="AF349" i="122"/>
  <c r="AG349" i="122"/>
  <c r="Z350" i="122"/>
  <c r="AA350" i="122"/>
  <c r="AF350" i="122"/>
  <c r="AG350" i="122"/>
  <c r="Z351" i="122"/>
  <c r="AA351" i="122"/>
  <c r="AF351" i="122"/>
  <c r="AG351" i="122"/>
  <c r="Z352" i="122"/>
  <c r="AA352" i="122"/>
  <c r="AF352" i="122"/>
  <c r="AG352" i="122"/>
  <c r="Z353" i="122"/>
  <c r="AA353" i="122"/>
  <c r="AF353" i="122"/>
  <c r="AG353" i="122"/>
  <c r="Z354" i="122"/>
  <c r="AA354" i="122"/>
  <c r="AF354" i="122"/>
  <c r="AG354" i="122"/>
  <c r="Z355" i="122"/>
  <c r="AA355" i="122"/>
  <c r="AF355" i="122"/>
  <c r="AG355" i="122"/>
  <c r="Z356" i="122"/>
  <c r="AA356" i="122"/>
  <c r="AF356" i="122"/>
  <c r="AG356" i="122"/>
  <c r="Z357" i="122"/>
  <c r="AA357" i="122"/>
  <c r="AF357" i="122"/>
  <c r="AG357" i="122"/>
  <c r="Z358" i="122"/>
  <c r="AA358" i="122"/>
  <c r="AF358" i="122"/>
  <c r="AG358" i="122"/>
  <c r="Z359" i="122"/>
  <c r="AA359" i="122"/>
  <c r="AF359" i="122"/>
  <c r="AG359" i="122"/>
  <c r="Z360" i="122"/>
  <c r="AA360" i="122"/>
  <c r="AF360" i="122"/>
  <c r="AG360" i="122"/>
  <c r="Z361" i="122"/>
  <c r="AA361" i="122"/>
  <c r="AF361" i="122"/>
  <c r="AG361" i="122"/>
  <c r="Z362" i="122"/>
  <c r="AA362" i="122"/>
  <c r="AF362" i="122"/>
  <c r="AG362" i="122"/>
  <c r="Z363" i="122"/>
  <c r="AA363" i="122"/>
  <c r="AF363" i="122"/>
  <c r="AG363" i="122"/>
  <c r="Z364" i="122"/>
  <c r="AA364" i="122"/>
  <c r="AF364" i="122"/>
  <c r="AG364" i="122"/>
  <c r="Z365" i="122"/>
  <c r="AA365" i="122"/>
  <c r="AF365" i="122"/>
  <c r="AG365" i="122"/>
  <c r="Z366" i="122"/>
  <c r="AA366" i="122"/>
  <c r="AF366" i="122"/>
  <c r="AG366" i="122"/>
  <c r="Z367" i="122"/>
  <c r="AA367" i="122"/>
  <c r="AF367" i="122"/>
  <c r="AG367" i="122"/>
  <c r="Z368" i="122"/>
  <c r="AA368" i="122"/>
  <c r="AF368" i="122"/>
  <c r="AG368" i="122"/>
  <c r="Z369" i="122"/>
  <c r="AA369" i="122"/>
  <c r="AF369" i="122"/>
  <c r="AG369" i="122"/>
  <c r="Z370" i="122"/>
  <c r="AA370" i="122"/>
  <c r="AF370" i="122"/>
  <c r="AG370" i="122"/>
  <c r="Z371" i="122"/>
  <c r="AA371" i="122"/>
  <c r="AF371" i="122"/>
  <c r="AG371" i="122"/>
  <c r="Z372" i="122"/>
  <c r="AA372" i="122"/>
  <c r="AF372" i="122"/>
  <c r="AG372" i="122"/>
  <c r="Z373" i="122"/>
  <c r="AA373" i="122"/>
  <c r="AF373" i="122"/>
  <c r="AG373" i="122"/>
  <c r="Z374" i="122"/>
  <c r="AA374" i="122"/>
  <c r="AF374" i="122"/>
  <c r="AG374" i="122"/>
  <c r="Z375" i="122"/>
  <c r="AA375" i="122"/>
  <c r="AF375" i="122"/>
  <c r="AG375" i="122"/>
  <c r="Z376" i="122"/>
  <c r="AA376" i="122"/>
  <c r="AF376" i="122"/>
  <c r="AG376" i="122"/>
  <c r="Z377" i="122"/>
  <c r="AA377" i="122"/>
  <c r="AF377" i="122"/>
  <c r="AG377" i="122"/>
  <c r="Z378" i="122"/>
  <c r="AA378" i="122"/>
  <c r="AF378" i="122"/>
  <c r="AG378" i="122"/>
  <c r="Z379" i="122"/>
  <c r="AA379" i="122"/>
  <c r="AF379" i="122"/>
  <c r="AG379" i="122"/>
  <c r="Z380" i="122"/>
  <c r="AA380" i="122"/>
  <c r="AF380" i="122"/>
  <c r="AG380" i="122"/>
  <c r="Z381" i="122"/>
  <c r="AA381" i="122"/>
  <c r="AF381" i="122"/>
  <c r="AG381" i="122"/>
  <c r="Z382" i="122"/>
  <c r="AA382" i="122"/>
  <c r="AF382" i="122"/>
  <c r="AG382" i="122"/>
  <c r="Z383" i="122"/>
  <c r="AA383" i="122"/>
  <c r="AF383" i="122"/>
  <c r="AG383" i="122"/>
  <c r="Z384" i="122"/>
  <c r="AA384" i="122"/>
  <c r="AF384" i="122"/>
  <c r="AG384" i="122"/>
  <c r="Z385" i="122"/>
  <c r="AA385" i="122"/>
  <c r="AF385" i="122"/>
  <c r="AG385" i="122"/>
  <c r="Z386" i="122"/>
  <c r="AA386" i="122"/>
  <c r="AF386" i="122"/>
  <c r="AG386" i="122"/>
  <c r="Z387" i="122"/>
  <c r="AA387" i="122"/>
  <c r="AF387" i="122"/>
  <c r="AG387" i="122"/>
  <c r="Z388" i="122"/>
  <c r="AA388" i="122"/>
  <c r="AF388" i="122"/>
  <c r="AG388" i="122"/>
  <c r="Z389" i="122"/>
  <c r="AA389" i="122"/>
  <c r="AF389" i="122"/>
  <c r="AG389" i="122"/>
  <c r="Z390" i="122"/>
  <c r="AA390" i="122"/>
  <c r="AF390" i="122"/>
  <c r="AG390" i="122"/>
  <c r="Z391" i="122"/>
  <c r="AA391" i="122"/>
  <c r="AF391" i="122"/>
  <c r="AG391" i="122"/>
  <c r="Z392" i="122"/>
  <c r="AA392" i="122"/>
  <c r="AF392" i="122"/>
  <c r="AG392" i="122"/>
  <c r="Z393" i="122"/>
  <c r="AA393" i="122"/>
  <c r="AF393" i="122"/>
  <c r="AG393" i="122"/>
  <c r="Z394" i="122"/>
  <c r="AA394" i="122"/>
  <c r="AF394" i="122"/>
  <c r="AG394" i="122"/>
  <c r="Z395" i="122"/>
  <c r="AA395" i="122"/>
  <c r="AF395" i="122"/>
  <c r="AG395" i="122"/>
  <c r="Z396" i="122"/>
  <c r="AA396" i="122"/>
  <c r="AF396" i="122"/>
  <c r="AG396" i="122"/>
  <c r="Z397" i="122"/>
  <c r="AA397" i="122"/>
  <c r="AF397" i="122"/>
  <c r="AG397" i="122"/>
  <c r="Z398" i="122"/>
  <c r="AA398" i="122"/>
  <c r="AF398" i="122"/>
  <c r="AG398" i="122"/>
  <c r="Z399" i="122"/>
  <c r="AA399" i="122"/>
  <c r="AF399" i="122"/>
  <c r="AG399" i="122"/>
  <c r="Z400" i="122"/>
  <c r="AA400" i="122"/>
  <c r="AF400" i="122"/>
  <c r="AG400" i="122"/>
  <c r="Z401" i="122"/>
  <c r="AA401" i="122"/>
  <c r="AF401" i="122"/>
  <c r="AG401" i="122"/>
  <c r="Z402" i="122"/>
  <c r="AA402" i="122"/>
  <c r="AF402" i="122"/>
  <c r="AG402" i="122"/>
  <c r="Z403" i="122"/>
  <c r="AA403" i="122"/>
  <c r="AF403" i="122"/>
  <c r="AG403" i="122"/>
  <c r="Z404" i="122"/>
  <c r="AA404" i="122"/>
  <c r="AF404" i="122"/>
  <c r="AG404" i="122"/>
  <c r="Z405" i="122"/>
  <c r="AA405" i="122"/>
  <c r="AF405" i="122"/>
  <c r="AG405" i="122"/>
  <c r="Z406" i="122"/>
  <c r="AA406" i="122"/>
  <c r="AF406" i="122"/>
  <c r="AG406" i="122"/>
  <c r="Z407" i="122"/>
  <c r="AA407" i="122"/>
  <c r="AF407" i="122"/>
  <c r="AG407" i="122"/>
  <c r="Z408" i="122"/>
  <c r="AA408" i="122"/>
  <c r="AF408" i="122"/>
  <c r="AG408" i="122"/>
  <c r="Z409" i="122"/>
  <c r="AA409" i="122"/>
  <c r="AF409" i="122"/>
  <c r="AG409" i="122"/>
  <c r="Z410" i="122"/>
  <c r="AA410" i="122"/>
  <c r="AF410" i="122"/>
  <c r="AG410" i="122"/>
  <c r="Z411" i="122"/>
  <c r="AA411" i="122"/>
  <c r="AF411" i="122"/>
  <c r="AG411" i="122"/>
  <c r="Z412" i="122"/>
  <c r="AA412" i="122"/>
  <c r="AF412" i="122"/>
  <c r="AG412" i="122"/>
  <c r="Z413" i="122"/>
  <c r="AA413" i="122"/>
  <c r="AF413" i="122"/>
  <c r="AG413" i="122"/>
  <c r="Z414" i="122"/>
  <c r="AA414" i="122"/>
  <c r="AF414" i="122"/>
  <c r="AG414" i="122"/>
  <c r="Z415" i="122"/>
  <c r="AA415" i="122"/>
  <c r="AF415" i="122"/>
  <c r="AG415" i="122"/>
  <c r="Z416" i="122"/>
  <c r="AA416" i="122"/>
  <c r="AF416" i="122"/>
  <c r="AG416" i="122"/>
  <c r="Z417" i="122"/>
  <c r="AA417" i="122"/>
  <c r="AF417" i="122"/>
  <c r="AG417" i="122"/>
  <c r="Z418" i="122"/>
  <c r="AA418" i="122"/>
  <c r="AF418" i="122"/>
  <c r="AG418" i="122"/>
  <c r="Z419" i="122"/>
  <c r="AA419" i="122"/>
  <c r="AF419" i="122"/>
  <c r="AG419" i="122"/>
  <c r="Z420" i="122"/>
  <c r="AA420" i="122"/>
  <c r="AF420" i="122"/>
  <c r="AG420" i="122"/>
  <c r="Z421" i="122"/>
  <c r="AA421" i="122"/>
  <c r="AF421" i="122"/>
  <c r="AG421" i="122"/>
  <c r="Z422" i="122"/>
  <c r="AA422" i="122"/>
  <c r="AF422" i="122"/>
  <c r="AG422" i="122"/>
  <c r="Z423" i="122"/>
  <c r="AA423" i="122"/>
  <c r="AF423" i="122"/>
  <c r="AG423" i="122"/>
  <c r="Z424" i="122"/>
  <c r="AA424" i="122"/>
  <c r="AF424" i="122"/>
  <c r="AG424" i="122"/>
  <c r="Z425" i="122"/>
  <c r="AA425" i="122"/>
  <c r="AF425" i="122"/>
  <c r="AG425" i="122"/>
  <c r="Z426" i="122"/>
  <c r="AA426" i="122"/>
  <c r="AF426" i="122"/>
  <c r="AG426" i="122"/>
  <c r="Z427" i="122"/>
  <c r="AA427" i="122"/>
  <c r="AF427" i="122"/>
  <c r="AG427" i="122"/>
  <c r="Z428" i="122"/>
  <c r="AA428" i="122"/>
  <c r="AF428" i="122"/>
  <c r="AG428" i="122"/>
  <c r="Z429" i="122"/>
  <c r="AA429" i="122"/>
  <c r="AF429" i="122"/>
  <c r="AG429" i="122"/>
  <c r="Z430" i="122"/>
  <c r="AA430" i="122"/>
  <c r="AF430" i="122"/>
  <c r="AG430" i="122"/>
  <c r="Z431" i="122"/>
  <c r="AA431" i="122"/>
  <c r="AF431" i="122"/>
  <c r="AG431" i="122"/>
  <c r="Z432" i="122"/>
  <c r="AA432" i="122"/>
  <c r="AF432" i="122"/>
  <c r="AG432" i="122"/>
  <c r="Z433" i="122"/>
  <c r="AA433" i="122"/>
  <c r="AF433" i="122"/>
  <c r="AG433" i="122"/>
  <c r="Z434" i="122"/>
  <c r="AA434" i="122"/>
  <c r="AF434" i="122"/>
  <c r="AG434" i="122"/>
  <c r="Z435" i="122"/>
  <c r="AA435" i="122"/>
  <c r="AF435" i="122"/>
  <c r="AG435" i="122"/>
  <c r="Z436" i="122"/>
  <c r="AA436" i="122"/>
  <c r="AF436" i="122"/>
  <c r="AG436" i="122"/>
  <c r="Z437" i="122"/>
  <c r="AA437" i="122"/>
  <c r="AF437" i="122"/>
  <c r="AG437" i="122"/>
  <c r="Z438" i="122"/>
  <c r="AA438" i="122"/>
  <c r="AF438" i="122"/>
  <c r="AG438" i="122"/>
  <c r="Z439" i="122"/>
  <c r="AA439" i="122"/>
  <c r="AF439" i="122"/>
  <c r="AG439" i="122"/>
  <c r="Z440" i="122"/>
  <c r="AA440" i="122"/>
  <c r="AF440" i="122"/>
  <c r="AG440" i="122"/>
  <c r="Z441" i="122"/>
  <c r="AA441" i="122"/>
  <c r="AF441" i="122"/>
  <c r="AG441" i="122"/>
  <c r="Z442" i="122"/>
  <c r="AA442" i="122"/>
  <c r="AF442" i="122"/>
  <c r="AG442" i="122"/>
  <c r="Z443" i="122"/>
  <c r="AA443" i="122"/>
  <c r="AF443" i="122"/>
  <c r="AG443" i="122"/>
  <c r="Z444" i="122"/>
  <c r="AA444" i="122"/>
  <c r="AF444" i="122"/>
  <c r="AG444" i="122"/>
  <c r="Z445" i="122"/>
  <c r="AA445" i="122"/>
  <c r="AF445" i="122"/>
  <c r="AG445" i="122"/>
  <c r="Z446" i="122"/>
  <c r="AA446" i="122"/>
  <c r="AF446" i="122"/>
  <c r="AG446" i="122"/>
  <c r="Z447" i="122"/>
  <c r="AA447" i="122"/>
  <c r="AF447" i="122"/>
  <c r="AG447" i="122"/>
  <c r="Z448" i="122"/>
  <c r="AA448" i="122"/>
  <c r="AF448" i="122"/>
  <c r="AG448" i="122"/>
  <c r="Z449" i="122"/>
  <c r="AA449" i="122"/>
  <c r="AF449" i="122"/>
  <c r="AG449" i="122"/>
  <c r="Z450" i="122"/>
  <c r="AA450" i="122"/>
  <c r="AF450" i="122"/>
  <c r="AG450" i="122"/>
  <c r="Z451" i="122"/>
  <c r="AA451" i="122"/>
  <c r="AF451" i="122"/>
  <c r="AG451" i="122"/>
  <c r="Z452" i="122"/>
  <c r="AA452" i="122"/>
  <c r="AF452" i="122"/>
  <c r="AG452" i="122"/>
  <c r="Z453" i="122"/>
  <c r="AA453" i="122"/>
  <c r="AF453" i="122"/>
  <c r="AG453" i="122"/>
  <c r="Z454" i="122"/>
  <c r="AA454" i="122"/>
  <c r="AF454" i="122"/>
  <c r="AG454" i="122"/>
  <c r="Z455" i="122"/>
  <c r="AA455" i="122"/>
  <c r="AF455" i="122"/>
  <c r="AG455" i="122"/>
  <c r="Z456" i="122"/>
  <c r="AA456" i="122"/>
  <c r="AF456" i="122"/>
  <c r="AG456" i="122"/>
  <c r="Z457" i="122"/>
  <c r="AA457" i="122"/>
  <c r="AF457" i="122"/>
  <c r="AG457" i="122"/>
  <c r="Z458" i="122"/>
  <c r="AA458" i="122"/>
  <c r="AF458" i="122"/>
  <c r="AG458" i="122"/>
  <c r="Z459" i="122"/>
  <c r="AA459" i="122"/>
  <c r="AF459" i="122"/>
  <c r="AG459" i="122"/>
  <c r="Z460" i="122"/>
  <c r="AA460" i="122"/>
  <c r="AF460" i="122"/>
  <c r="AG460" i="122"/>
  <c r="Z461" i="122"/>
  <c r="AA461" i="122"/>
  <c r="AF461" i="122"/>
  <c r="AG461" i="122"/>
  <c r="Z462" i="122"/>
  <c r="AA462" i="122"/>
  <c r="AF462" i="122"/>
  <c r="AG462" i="122"/>
  <c r="Z463" i="122"/>
  <c r="AA463" i="122"/>
  <c r="AF463" i="122"/>
  <c r="AG463" i="122"/>
  <c r="Z464" i="122"/>
  <c r="AA464" i="122"/>
  <c r="AF464" i="122"/>
  <c r="AG464" i="122"/>
  <c r="Z465" i="122"/>
  <c r="AA465" i="122"/>
  <c r="AF465" i="122"/>
  <c r="AG465" i="122"/>
  <c r="Z466" i="122"/>
  <c r="AA466" i="122"/>
  <c r="AF466" i="122"/>
  <c r="AG466" i="122"/>
  <c r="Z467" i="122"/>
  <c r="AA467" i="122"/>
  <c r="AF467" i="122"/>
  <c r="AG467" i="122"/>
  <c r="Z468" i="122"/>
  <c r="AA468" i="122"/>
  <c r="AF468" i="122"/>
  <c r="AG468" i="122"/>
  <c r="Z469" i="122"/>
  <c r="AA469" i="122"/>
  <c r="AF469" i="122"/>
  <c r="AG469" i="122"/>
  <c r="Z470" i="122"/>
  <c r="AA470" i="122"/>
  <c r="AF470" i="122"/>
  <c r="AG470" i="122"/>
  <c r="Z471" i="122"/>
  <c r="AA471" i="122"/>
  <c r="AF471" i="122"/>
  <c r="AG471" i="122"/>
  <c r="Z472" i="122"/>
  <c r="AA472" i="122"/>
  <c r="AF472" i="122"/>
  <c r="AG472" i="122"/>
  <c r="Z473" i="122"/>
  <c r="AA473" i="122"/>
  <c r="AF473" i="122"/>
  <c r="AG473" i="122"/>
  <c r="Z474" i="122"/>
  <c r="AA474" i="122"/>
  <c r="AF474" i="122"/>
  <c r="AG474" i="122"/>
  <c r="Z475" i="122"/>
  <c r="AA475" i="122"/>
  <c r="AF475" i="122"/>
  <c r="AG475" i="122"/>
  <c r="Z476" i="122"/>
  <c r="AA476" i="122"/>
  <c r="AF476" i="122"/>
  <c r="AG476" i="122"/>
  <c r="Z477" i="122"/>
  <c r="AA477" i="122"/>
  <c r="AF477" i="122"/>
  <c r="AG477" i="122"/>
  <c r="Z478" i="122"/>
  <c r="AA478" i="122"/>
  <c r="AF478" i="122"/>
  <c r="AG478" i="122"/>
  <c r="Z479" i="122"/>
  <c r="AA479" i="122"/>
  <c r="AF479" i="122"/>
  <c r="AG479" i="122"/>
  <c r="Z480" i="122"/>
  <c r="AA480" i="122"/>
  <c r="AF480" i="122"/>
  <c r="AG480" i="122"/>
  <c r="Z481" i="122"/>
  <c r="AA481" i="122"/>
  <c r="AF481" i="122"/>
  <c r="AG481" i="122"/>
  <c r="Z482" i="122"/>
  <c r="AA482" i="122"/>
  <c r="AF482" i="122"/>
  <c r="AG482" i="122"/>
  <c r="Z483" i="122"/>
  <c r="AA483" i="122"/>
  <c r="AF483" i="122"/>
  <c r="AG483" i="122"/>
  <c r="Z484" i="122"/>
  <c r="AA484" i="122"/>
  <c r="AF484" i="122"/>
  <c r="AG484" i="122"/>
  <c r="Z485" i="122"/>
  <c r="AA485" i="122"/>
  <c r="AF485" i="122"/>
  <c r="AG485" i="122"/>
  <c r="Z486" i="122"/>
  <c r="AA486" i="122"/>
  <c r="AF486" i="122"/>
  <c r="AG486" i="122"/>
  <c r="Z487" i="122"/>
  <c r="AA487" i="122"/>
  <c r="AF487" i="122"/>
  <c r="AG487" i="122"/>
  <c r="Z488" i="122"/>
  <c r="AA488" i="122"/>
  <c r="AF488" i="122"/>
  <c r="AG488" i="122"/>
  <c r="Z489" i="122"/>
  <c r="AA489" i="122"/>
  <c r="AF489" i="122"/>
  <c r="AG489" i="122"/>
  <c r="Z490" i="122"/>
  <c r="AA490" i="122"/>
  <c r="AF490" i="122"/>
  <c r="AG490" i="122"/>
  <c r="Z491" i="122"/>
  <c r="AA491" i="122"/>
  <c r="AF491" i="122"/>
  <c r="AG491" i="122"/>
  <c r="Z492" i="122"/>
  <c r="AA492" i="122"/>
  <c r="AF492" i="122"/>
  <c r="AG492" i="122"/>
  <c r="Z493" i="122"/>
  <c r="AA493" i="122"/>
  <c r="AF493" i="122"/>
  <c r="AG493" i="122"/>
  <c r="Z494" i="122"/>
  <c r="AA494" i="122"/>
  <c r="AF494" i="122"/>
  <c r="AG494" i="122"/>
  <c r="Z495" i="122"/>
  <c r="AA495" i="122"/>
  <c r="AF495" i="122"/>
  <c r="AG495" i="122"/>
  <c r="Z496" i="122"/>
  <c r="AA496" i="122"/>
  <c r="AF496" i="122"/>
  <c r="AG496" i="122"/>
  <c r="Z497" i="122"/>
  <c r="AA497" i="122"/>
  <c r="AF497" i="122"/>
  <c r="AG497" i="122"/>
  <c r="Z498" i="122"/>
  <c r="AA498" i="122"/>
  <c r="AF498" i="122"/>
  <c r="AG498" i="122"/>
  <c r="Z499" i="122"/>
  <c r="AA499" i="122"/>
  <c r="AF499" i="122"/>
  <c r="AG499" i="122"/>
  <c r="Z500" i="122"/>
  <c r="AA500" i="122"/>
  <c r="AF500" i="122"/>
  <c r="AG500" i="122"/>
  <c r="Z501" i="122"/>
  <c r="AA501" i="122"/>
  <c r="AF501" i="122"/>
  <c r="AG501" i="122"/>
  <c r="Z502" i="122"/>
  <c r="AA502" i="122"/>
  <c r="AF502" i="122"/>
  <c r="AG502" i="122"/>
  <c r="Z503" i="122"/>
  <c r="AA503" i="122"/>
  <c r="AF503" i="122"/>
  <c r="AG503" i="122"/>
  <c r="Z504" i="122"/>
  <c r="AA504" i="122"/>
  <c r="AF504" i="122"/>
  <c r="AG504" i="122"/>
  <c r="Z505" i="122"/>
  <c r="AA505" i="122"/>
  <c r="AF505" i="122"/>
  <c r="AG505" i="122"/>
  <c r="Z506" i="122"/>
  <c r="AA506" i="122"/>
  <c r="AF506" i="122"/>
  <c r="AG506" i="122"/>
  <c r="Z507" i="122"/>
  <c r="AA507" i="122"/>
  <c r="AF507" i="122"/>
  <c r="AG507" i="122"/>
  <c r="Z508" i="122"/>
  <c r="AA508" i="122"/>
  <c r="AF508" i="122"/>
  <c r="AG508" i="122"/>
  <c r="Z509" i="122"/>
  <c r="AA509" i="122"/>
  <c r="AF509" i="122"/>
  <c r="AG509" i="122"/>
  <c r="Z510" i="122"/>
  <c r="AA510" i="122"/>
  <c r="AF510" i="122"/>
  <c r="AG510" i="122"/>
  <c r="Z511" i="122"/>
  <c r="AA511" i="122"/>
  <c r="AF511" i="122"/>
  <c r="AG511" i="122"/>
  <c r="Z512" i="122"/>
  <c r="AA512" i="122"/>
  <c r="AF512" i="122"/>
  <c r="AG512" i="122"/>
  <c r="Z513" i="122"/>
  <c r="AA513" i="122"/>
  <c r="AF513" i="122"/>
  <c r="AG513" i="122"/>
  <c r="Z514" i="122"/>
  <c r="AA514" i="122"/>
  <c r="AF514" i="122"/>
  <c r="AG514" i="122"/>
  <c r="Z515" i="122"/>
  <c r="AA515" i="122"/>
  <c r="AF515" i="122"/>
  <c r="AG515" i="122"/>
  <c r="Z516" i="122"/>
  <c r="AA516" i="122"/>
  <c r="AF516" i="122"/>
  <c r="AG516" i="122"/>
  <c r="Z517" i="122"/>
  <c r="AA517" i="122"/>
  <c r="AF517" i="122"/>
  <c r="AG517" i="122"/>
  <c r="Z518" i="122"/>
  <c r="AA518" i="122"/>
  <c r="AF518" i="122"/>
  <c r="AG518" i="122"/>
  <c r="Z519" i="122"/>
  <c r="AA519" i="122"/>
  <c r="AF519" i="122"/>
  <c r="AG519" i="122"/>
  <c r="Z520" i="122"/>
  <c r="AA520" i="122"/>
  <c r="AF520" i="122"/>
  <c r="AG520" i="122"/>
  <c r="Z521" i="122"/>
  <c r="AA521" i="122"/>
  <c r="AF521" i="122"/>
  <c r="AG521" i="122"/>
  <c r="Z522" i="122"/>
  <c r="AA522" i="122"/>
  <c r="AF522" i="122"/>
  <c r="AG522" i="122"/>
  <c r="Z523" i="122"/>
  <c r="AA523" i="122"/>
  <c r="AF523" i="122"/>
  <c r="AG523" i="122"/>
  <c r="Z524" i="122"/>
  <c r="AA524" i="122"/>
  <c r="AF524" i="122"/>
  <c r="AG524" i="122"/>
  <c r="Z525" i="122"/>
  <c r="AA525" i="122"/>
  <c r="AF525" i="122"/>
  <c r="AG525" i="122"/>
  <c r="Z526" i="122"/>
  <c r="AA526" i="122"/>
  <c r="AF526" i="122"/>
  <c r="AG526" i="122"/>
  <c r="Z527" i="122"/>
  <c r="AA527" i="122"/>
  <c r="AF527" i="122"/>
  <c r="AG527" i="122"/>
  <c r="Z528" i="122"/>
  <c r="AA528" i="122"/>
  <c r="AF528" i="122"/>
  <c r="AG528" i="122"/>
  <c r="Z529" i="122"/>
  <c r="AA529" i="122"/>
  <c r="AF529" i="122"/>
  <c r="AG529" i="122"/>
  <c r="Z530" i="122"/>
  <c r="AA530" i="122"/>
  <c r="AF530" i="122"/>
  <c r="AG530" i="122"/>
  <c r="Z531" i="122"/>
  <c r="AA531" i="122"/>
  <c r="AF531" i="122"/>
  <c r="AG531" i="122"/>
  <c r="Z532" i="122"/>
  <c r="AA532" i="122"/>
  <c r="AF532" i="122"/>
  <c r="AG532" i="122"/>
  <c r="Z533" i="122"/>
  <c r="AA533" i="122"/>
  <c r="AF533" i="122"/>
  <c r="AG533" i="122"/>
  <c r="Z534" i="122"/>
  <c r="AA534" i="122"/>
  <c r="AF534" i="122"/>
  <c r="AG534" i="122"/>
  <c r="Z535" i="122"/>
  <c r="AA535" i="122"/>
  <c r="AF535" i="122"/>
  <c r="AG535" i="122"/>
  <c r="Z536" i="122"/>
  <c r="AA536" i="122"/>
  <c r="AF536" i="122"/>
  <c r="AG536" i="122"/>
  <c r="Z537" i="122"/>
  <c r="AA537" i="122"/>
  <c r="AF537" i="122"/>
  <c r="AG537" i="122"/>
  <c r="Z538" i="122"/>
  <c r="AA538" i="122"/>
  <c r="AF538" i="122"/>
  <c r="AG538" i="122"/>
  <c r="Z539" i="122"/>
  <c r="AA539" i="122"/>
  <c r="AF539" i="122"/>
  <c r="AG539" i="122"/>
  <c r="Z540" i="122"/>
  <c r="AA540" i="122"/>
  <c r="AF540" i="122"/>
  <c r="AG540" i="122"/>
  <c r="Z541" i="122"/>
  <c r="AA541" i="122"/>
  <c r="AF541" i="122"/>
  <c r="AG541" i="122"/>
  <c r="Z542" i="122"/>
  <c r="AA542" i="122"/>
  <c r="AF542" i="122"/>
  <c r="AG542" i="122"/>
  <c r="Z543" i="122"/>
  <c r="AA543" i="122"/>
  <c r="AF543" i="122"/>
  <c r="AG543" i="122"/>
  <c r="Z544" i="122"/>
  <c r="AA544" i="122"/>
  <c r="AF544" i="122"/>
  <c r="AG544" i="122"/>
  <c r="Z545" i="122"/>
  <c r="AA545" i="122"/>
  <c r="AF545" i="122"/>
  <c r="AG545" i="122"/>
  <c r="Z546" i="122"/>
  <c r="AA546" i="122"/>
  <c r="AF546" i="122"/>
  <c r="AG546" i="122"/>
  <c r="Z547" i="122"/>
  <c r="AA547" i="122"/>
  <c r="AF547" i="122"/>
  <c r="AG547" i="122"/>
  <c r="Z548" i="122"/>
  <c r="AA548" i="122"/>
  <c r="AF548" i="122"/>
  <c r="AG548" i="122"/>
  <c r="Z549" i="122"/>
  <c r="AA549" i="122"/>
  <c r="AF549" i="122"/>
  <c r="AG549" i="122"/>
  <c r="Z550" i="122"/>
  <c r="AA550" i="122"/>
  <c r="AF550" i="122"/>
  <c r="AG550" i="122"/>
  <c r="Z551" i="122"/>
  <c r="AA551" i="122"/>
  <c r="AF551" i="122"/>
  <c r="AG551" i="122"/>
  <c r="Z552" i="122"/>
  <c r="AA552" i="122"/>
  <c r="AF552" i="122"/>
  <c r="AG552" i="122"/>
  <c r="Z553" i="122"/>
  <c r="AA553" i="122"/>
  <c r="AF553" i="122"/>
  <c r="AG553" i="122"/>
  <c r="Z554" i="122"/>
  <c r="AA554" i="122"/>
  <c r="AF554" i="122"/>
  <c r="AG554" i="122"/>
  <c r="Z555" i="122"/>
  <c r="AA555" i="122"/>
  <c r="AF555" i="122"/>
  <c r="AG555" i="122"/>
  <c r="Z556" i="122"/>
  <c r="AA556" i="122"/>
  <c r="AF556" i="122"/>
  <c r="AG556" i="122"/>
  <c r="Z557" i="122"/>
  <c r="AA557" i="122"/>
  <c r="AF557" i="122"/>
  <c r="AG557" i="122"/>
  <c r="Z558" i="122"/>
  <c r="AA558" i="122"/>
  <c r="AF558" i="122"/>
  <c r="AG558" i="122"/>
  <c r="Z559" i="122"/>
  <c r="AA559" i="122"/>
  <c r="AF559" i="122"/>
  <c r="AG559" i="122"/>
  <c r="Z560" i="122"/>
  <c r="AA560" i="122"/>
  <c r="AF560" i="122"/>
  <c r="AG560" i="122"/>
  <c r="Z561" i="122"/>
  <c r="AA561" i="122"/>
  <c r="AF561" i="122"/>
  <c r="AG561" i="122"/>
  <c r="Z562" i="122"/>
  <c r="AA562" i="122"/>
  <c r="AF562" i="122"/>
  <c r="AG562" i="122"/>
  <c r="Z563" i="122"/>
  <c r="AA563" i="122"/>
  <c r="AF563" i="122"/>
  <c r="AG563" i="122"/>
  <c r="Z564" i="122"/>
  <c r="AA564" i="122"/>
  <c r="AF564" i="122"/>
  <c r="AG564" i="122"/>
  <c r="Z565" i="122"/>
  <c r="AA565" i="122"/>
  <c r="AF565" i="122"/>
  <c r="AG565" i="122"/>
  <c r="Z566" i="122"/>
  <c r="AA566" i="122"/>
  <c r="AF566" i="122"/>
  <c r="AG566" i="122"/>
  <c r="Z567" i="122"/>
  <c r="AA567" i="122"/>
  <c r="AF567" i="122"/>
  <c r="AG567" i="122"/>
  <c r="Z568" i="122"/>
  <c r="AA568" i="122"/>
  <c r="AF568" i="122"/>
  <c r="AG568" i="122"/>
  <c r="Z569" i="122"/>
  <c r="AA569" i="122"/>
  <c r="AF569" i="122"/>
  <c r="AG569" i="122"/>
  <c r="Z570" i="122"/>
  <c r="AA570" i="122"/>
  <c r="AF570" i="122"/>
  <c r="AG570" i="122"/>
  <c r="Z571" i="122"/>
  <c r="AA571" i="122"/>
  <c r="AF571" i="122"/>
  <c r="AG571" i="122"/>
  <c r="Z572" i="122"/>
  <c r="AA572" i="122"/>
  <c r="AF572" i="122"/>
  <c r="AG572" i="122"/>
  <c r="Z573" i="122"/>
  <c r="AA573" i="122"/>
  <c r="AF573" i="122"/>
  <c r="AG573" i="122"/>
  <c r="Z574" i="122"/>
  <c r="AA574" i="122"/>
  <c r="AF574" i="122"/>
  <c r="AG574" i="122"/>
  <c r="Z575" i="122"/>
  <c r="AA575" i="122"/>
  <c r="AF575" i="122"/>
  <c r="AG575" i="122"/>
  <c r="Z576" i="122"/>
  <c r="AA576" i="122"/>
  <c r="AF576" i="122"/>
  <c r="AG576" i="122"/>
  <c r="Z577" i="122"/>
  <c r="AA577" i="122"/>
  <c r="AF577" i="122"/>
  <c r="AG577" i="122"/>
  <c r="Z578" i="122"/>
  <c r="AA578" i="122"/>
  <c r="AF578" i="122"/>
  <c r="AG578" i="122"/>
  <c r="Z579" i="122"/>
  <c r="AA579" i="122"/>
  <c r="AF579" i="122"/>
  <c r="AG579" i="122"/>
  <c r="Z580" i="122"/>
  <c r="AA580" i="122"/>
  <c r="AF580" i="122"/>
  <c r="AG580" i="122"/>
  <c r="Z581" i="122"/>
  <c r="AA581" i="122"/>
  <c r="AF581" i="122"/>
  <c r="AG581" i="122"/>
  <c r="Z582" i="122"/>
  <c r="AA582" i="122"/>
  <c r="AF582" i="122"/>
  <c r="AG582" i="122"/>
  <c r="Z583" i="122"/>
  <c r="AA583" i="122"/>
  <c r="AF583" i="122"/>
  <c r="AG583" i="122"/>
  <c r="Z584" i="122"/>
  <c r="AA584" i="122"/>
  <c r="AF584" i="122"/>
  <c r="AG584" i="122"/>
  <c r="Z585" i="122"/>
  <c r="AA585" i="122"/>
  <c r="AF585" i="122"/>
  <c r="AG585" i="122"/>
  <c r="Z586" i="122"/>
  <c r="AA586" i="122"/>
  <c r="AF586" i="122"/>
  <c r="AG586" i="122"/>
  <c r="Z587" i="122"/>
  <c r="AA587" i="122"/>
  <c r="AF587" i="122"/>
  <c r="AG587" i="122"/>
  <c r="Z588" i="122"/>
  <c r="AA588" i="122"/>
  <c r="AF588" i="122"/>
  <c r="AG588" i="122"/>
  <c r="Z589" i="122"/>
  <c r="AA589" i="122"/>
  <c r="AF589" i="122"/>
  <c r="AG589" i="122"/>
  <c r="Z590" i="122"/>
  <c r="AA590" i="122"/>
  <c r="AF590" i="122"/>
  <c r="AG590" i="122"/>
  <c r="Z591" i="122"/>
  <c r="AA591" i="122"/>
  <c r="AF591" i="122"/>
  <c r="AG591" i="122"/>
  <c r="Z592" i="122"/>
  <c r="AA592" i="122"/>
  <c r="AF592" i="122"/>
  <c r="AG592" i="122"/>
  <c r="Z593" i="122"/>
  <c r="AA593" i="122"/>
  <c r="AF593" i="122"/>
  <c r="AG593" i="122"/>
  <c r="Z594" i="122"/>
  <c r="AA594" i="122"/>
  <c r="AF594" i="122"/>
  <c r="AG594" i="122"/>
  <c r="Z595" i="122"/>
  <c r="AA595" i="122"/>
  <c r="AF595" i="122"/>
  <c r="AG595" i="122"/>
  <c r="Z596" i="122"/>
  <c r="AA596" i="122"/>
  <c r="AF596" i="122"/>
  <c r="AG596" i="122"/>
  <c r="Z597" i="122"/>
  <c r="AA597" i="122"/>
  <c r="AF597" i="122"/>
  <c r="AG597" i="122"/>
  <c r="Z598" i="122"/>
  <c r="AA598" i="122"/>
  <c r="AF598" i="122"/>
  <c r="AG598" i="122"/>
  <c r="Z599" i="122"/>
  <c r="AA599" i="122"/>
  <c r="AF599" i="122"/>
  <c r="AG599" i="122"/>
  <c r="Z600" i="122"/>
  <c r="AA600" i="122"/>
  <c r="AF600" i="122"/>
  <c r="AG600" i="122"/>
  <c r="Z601" i="122"/>
  <c r="AA601" i="122"/>
  <c r="AF601" i="122"/>
  <c r="AG601" i="122"/>
  <c r="Z602" i="122"/>
  <c r="AA602" i="122"/>
  <c r="AF602" i="122"/>
  <c r="AG602" i="122"/>
  <c r="Z603" i="122"/>
  <c r="AA603" i="122"/>
  <c r="AF603" i="122"/>
  <c r="AG603" i="122"/>
  <c r="Z604" i="122"/>
  <c r="AA604" i="122"/>
  <c r="AF604" i="122"/>
  <c r="AG604" i="122"/>
  <c r="Z605" i="122"/>
  <c r="AA605" i="122"/>
  <c r="AF605" i="122"/>
  <c r="AG605" i="122"/>
  <c r="Z606" i="122"/>
  <c r="AA606" i="122"/>
  <c r="AF606" i="122"/>
  <c r="AG606" i="122"/>
  <c r="Z607" i="122"/>
  <c r="AA607" i="122"/>
  <c r="AF607" i="122"/>
  <c r="AG607" i="122"/>
  <c r="Z608" i="122"/>
  <c r="AA608" i="122"/>
  <c r="AF608" i="122"/>
  <c r="AG608" i="122"/>
  <c r="Z609" i="122"/>
  <c r="AA609" i="122"/>
  <c r="AF609" i="122"/>
  <c r="AG609" i="122"/>
  <c r="Z610" i="122"/>
  <c r="AA610" i="122"/>
  <c r="AF610" i="122"/>
  <c r="AG610" i="122"/>
  <c r="Z611" i="122"/>
  <c r="AA611" i="122"/>
  <c r="AF611" i="122"/>
  <c r="AG611" i="122"/>
  <c r="Z612" i="122"/>
  <c r="AA612" i="122"/>
  <c r="AF612" i="122"/>
  <c r="AG612" i="122"/>
  <c r="Z613" i="122"/>
  <c r="AA613" i="122"/>
  <c r="AF613" i="122"/>
  <c r="AG613" i="122"/>
  <c r="Z614" i="122"/>
  <c r="AA614" i="122"/>
  <c r="AF614" i="122"/>
  <c r="AG614" i="122"/>
  <c r="Z615" i="122"/>
  <c r="AA615" i="122"/>
  <c r="AF615" i="122"/>
  <c r="AG615" i="122"/>
  <c r="Z616" i="122"/>
  <c r="AA616" i="122"/>
  <c r="AF616" i="122"/>
  <c r="AG616" i="122"/>
  <c r="Z617" i="122"/>
  <c r="AA617" i="122"/>
  <c r="AF617" i="122"/>
  <c r="AG617" i="122"/>
  <c r="Z618" i="122"/>
  <c r="AA618" i="122"/>
  <c r="AF618" i="122"/>
  <c r="AG618" i="122"/>
  <c r="Z619" i="122"/>
  <c r="AA619" i="122"/>
  <c r="AF619" i="122"/>
  <c r="AG619" i="122"/>
  <c r="Z620" i="122"/>
  <c r="AA620" i="122"/>
  <c r="AF620" i="122"/>
  <c r="AG620" i="122"/>
  <c r="Z621" i="122"/>
  <c r="AA621" i="122"/>
  <c r="AF621" i="122"/>
  <c r="AG621" i="122"/>
  <c r="Z622" i="122"/>
  <c r="AA622" i="122"/>
  <c r="AF622" i="122"/>
  <c r="AG622" i="122"/>
  <c r="Z623" i="122"/>
  <c r="AA623" i="122"/>
  <c r="AF623" i="122"/>
  <c r="AG623" i="122"/>
  <c r="Z624" i="122"/>
  <c r="AA624" i="122"/>
  <c r="AF624" i="122"/>
  <c r="AG624" i="122"/>
  <c r="Z625" i="122"/>
  <c r="AA625" i="122"/>
  <c r="AF625" i="122"/>
  <c r="AG625" i="122"/>
  <c r="Z626" i="122"/>
  <c r="AA626" i="122"/>
  <c r="AF626" i="122"/>
  <c r="AG626" i="122"/>
  <c r="Z627" i="122"/>
  <c r="AA627" i="122"/>
  <c r="AF627" i="122"/>
  <c r="AG627" i="122"/>
  <c r="Z628" i="122"/>
  <c r="AA628" i="122"/>
  <c r="AF628" i="122"/>
  <c r="AG628" i="122"/>
  <c r="Z629" i="122"/>
  <c r="AA629" i="122"/>
  <c r="AF629" i="122"/>
  <c r="AG629" i="122"/>
  <c r="Z630" i="122"/>
  <c r="AA630" i="122"/>
  <c r="AF630" i="122"/>
  <c r="AG630" i="122"/>
  <c r="Z631" i="122"/>
  <c r="AA631" i="122"/>
  <c r="AF631" i="122"/>
  <c r="AG631" i="122"/>
  <c r="Z632" i="122"/>
  <c r="AA632" i="122"/>
  <c r="AF632" i="122"/>
  <c r="AG632" i="122"/>
  <c r="Z633" i="122"/>
  <c r="AA633" i="122"/>
  <c r="AF633" i="122"/>
  <c r="AG633" i="122"/>
  <c r="Z634" i="122"/>
  <c r="AA634" i="122"/>
  <c r="AF634" i="122"/>
  <c r="AG634" i="122"/>
  <c r="Z635" i="122"/>
  <c r="AA635" i="122"/>
  <c r="AF635" i="122"/>
  <c r="AG635" i="122"/>
  <c r="Z636" i="122"/>
  <c r="AA636" i="122"/>
  <c r="AF636" i="122"/>
  <c r="AG636" i="122"/>
  <c r="Z637" i="122"/>
  <c r="AA637" i="122"/>
  <c r="AF637" i="122"/>
  <c r="AG637" i="122"/>
  <c r="Z638" i="122"/>
  <c r="AA638" i="122"/>
  <c r="AF638" i="122"/>
  <c r="AG638" i="122"/>
  <c r="Z639" i="122"/>
  <c r="AA639" i="122"/>
  <c r="AF639" i="122"/>
  <c r="AG639" i="122"/>
  <c r="Z640" i="122"/>
  <c r="AA640" i="122"/>
  <c r="AF640" i="122"/>
  <c r="AG640" i="122"/>
  <c r="Z641" i="122"/>
  <c r="AA641" i="122"/>
  <c r="AF641" i="122"/>
  <c r="AG641" i="122"/>
  <c r="Z642" i="122"/>
  <c r="AA642" i="122"/>
  <c r="AF642" i="122"/>
  <c r="AG642" i="122"/>
  <c r="Z643" i="122"/>
  <c r="AA643" i="122"/>
  <c r="AF643" i="122"/>
  <c r="AG643" i="122"/>
  <c r="Z644" i="122"/>
  <c r="AA644" i="122"/>
  <c r="AF644" i="122"/>
  <c r="AG644" i="122"/>
  <c r="Z645" i="122"/>
  <c r="AA645" i="122"/>
  <c r="AF645" i="122"/>
  <c r="AG645" i="122"/>
  <c r="Z646" i="122"/>
  <c r="AA646" i="122"/>
  <c r="AF646" i="122"/>
  <c r="AG646" i="122"/>
  <c r="Z647" i="122"/>
  <c r="AA647" i="122"/>
  <c r="AF647" i="122"/>
  <c r="AG647" i="122"/>
  <c r="Z648" i="122"/>
  <c r="AA648" i="122"/>
  <c r="AF648" i="122"/>
  <c r="AG648" i="122"/>
  <c r="Z649" i="122"/>
  <c r="AA649" i="122"/>
  <c r="AF649" i="122"/>
  <c r="AG649" i="122"/>
  <c r="Z650" i="122"/>
  <c r="AA650" i="122"/>
  <c r="AF650" i="122"/>
  <c r="AG650" i="122"/>
  <c r="Z651" i="122"/>
  <c r="AA651" i="122"/>
  <c r="AF651" i="122"/>
  <c r="AG651" i="122"/>
  <c r="Z652" i="122"/>
  <c r="AA652" i="122"/>
  <c r="AF652" i="122"/>
  <c r="AG652" i="122"/>
  <c r="Z653" i="122"/>
  <c r="AA653" i="122"/>
  <c r="AF653" i="122"/>
  <c r="AG653" i="122"/>
  <c r="Z654" i="122"/>
  <c r="AA654" i="122"/>
  <c r="AF654" i="122"/>
  <c r="AG654" i="122"/>
  <c r="Z655" i="122"/>
  <c r="AA655" i="122"/>
  <c r="AF655" i="122"/>
  <c r="AG655" i="122"/>
  <c r="Z656" i="122"/>
  <c r="AA656" i="122"/>
  <c r="AF656" i="122"/>
  <c r="AG656" i="122"/>
  <c r="Z657" i="122"/>
  <c r="AA657" i="122"/>
  <c r="AF657" i="122"/>
  <c r="AG657" i="122"/>
  <c r="Z658" i="122"/>
  <c r="AA658" i="122"/>
  <c r="AF658" i="122"/>
  <c r="AG658" i="122"/>
  <c r="Z659" i="122"/>
  <c r="AA659" i="122"/>
  <c r="AF659" i="122"/>
  <c r="AG659" i="122"/>
  <c r="Z660" i="122"/>
  <c r="AA660" i="122"/>
  <c r="AF660" i="122"/>
  <c r="AG660" i="122"/>
  <c r="Z661" i="122"/>
  <c r="AA661" i="122"/>
  <c r="AF661" i="122"/>
  <c r="AG661" i="122"/>
  <c r="Z662" i="122"/>
  <c r="AA662" i="122"/>
  <c r="AF662" i="122"/>
  <c r="AG662" i="122"/>
  <c r="Z663" i="122"/>
  <c r="AA663" i="122"/>
  <c r="AF663" i="122"/>
  <c r="AG663" i="122"/>
  <c r="Z664" i="122"/>
  <c r="AA664" i="122"/>
  <c r="AF664" i="122"/>
  <c r="AG664" i="122"/>
  <c r="Z665" i="122"/>
  <c r="AA665" i="122"/>
  <c r="AF665" i="122"/>
  <c r="AG665" i="122"/>
  <c r="Z666" i="122"/>
  <c r="AA666" i="122"/>
  <c r="AF666" i="122"/>
  <c r="AG666" i="122"/>
  <c r="Z667" i="122"/>
  <c r="AA667" i="122"/>
  <c r="AF667" i="122"/>
  <c r="AG667" i="122"/>
  <c r="D7" i="126"/>
  <c r="R7" i="126"/>
  <c r="S7" i="126"/>
  <c r="V7" i="126"/>
  <c r="W7" i="126"/>
  <c r="X7" i="126"/>
  <c r="D9" i="126"/>
  <c r="R9" i="126"/>
  <c r="S9" i="126"/>
  <c r="V9" i="126"/>
  <c r="W9" i="126"/>
  <c r="X9" i="126"/>
  <c r="D11" i="126"/>
  <c r="R11" i="126"/>
  <c r="S11" i="126"/>
  <c r="V11" i="126"/>
  <c r="W11" i="126"/>
  <c r="X11" i="126"/>
  <c r="D13" i="126"/>
  <c r="R13" i="126"/>
  <c r="S13" i="126"/>
  <c r="V13" i="126"/>
  <c r="W13" i="126"/>
  <c r="X13" i="126"/>
  <c r="D14" i="126"/>
  <c r="R14" i="126"/>
  <c r="S14" i="126"/>
  <c r="V14" i="126"/>
  <c r="W14" i="126"/>
  <c r="X14" i="126"/>
  <c r="D15" i="126"/>
  <c r="R15" i="126"/>
  <c r="S15" i="126"/>
  <c r="V15" i="126"/>
  <c r="W15" i="126"/>
  <c r="X15" i="126"/>
  <c r="Y2" i="115"/>
  <c r="Z2" i="115"/>
  <c r="AD2" i="115"/>
  <c r="AE2" i="115"/>
  <c r="AJ2" i="115"/>
  <c r="Y3" i="115"/>
  <c r="Z3" i="115"/>
  <c r="AD3" i="115"/>
  <c r="AE3" i="115"/>
  <c r="Y4" i="115"/>
  <c r="Z4" i="115"/>
  <c r="AD4" i="115"/>
  <c r="AE4" i="115"/>
  <c r="AJ4" i="115"/>
  <c r="Y5" i="115"/>
  <c r="Z5" i="115"/>
  <c r="AD5" i="115"/>
  <c r="AE5" i="115"/>
  <c r="AJ5" i="115"/>
  <c r="Y6" i="115"/>
  <c r="Z6" i="115"/>
  <c r="AD6" i="115"/>
  <c r="AE6" i="115"/>
  <c r="AJ6" i="115"/>
  <c r="Y7" i="115"/>
  <c r="Z7" i="115"/>
  <c r="AD7" i="115"/>
  <c r="AE7" i="115"/>
  <c r="AJ7" i="115"/>
  <c r="Y8" i="115"/>
  <c r="Z8" i="115"/>
  <c r="AD8" i="115"/>
  <c r="AE8" i="115"/>
  <c r="AJ8" i="115"/>
  <c r="Y9" i="115"/>
  <c r="Z9" i="115"/>
  <c r="AD9" i="115"/>
  <c r="AE9" i="115"/>
  <c r="Y10" i="115"/>
  <c r="Z10" i="115"/>
  <c r="AD10" i="115"/>
  <c r="AE10" i="115"/>
  <c r="Y11" i="115"/>
  <c r="Z11" i="115"/>
  <c r="AD11" i="115"/>
  <c r="AE11" i="115"/>
  <c r="Y12" i="115"/>
  <c r="Z12" i="115"/>
  <c r="AD12" i="115"/>
  <c r="AE12" i="115"/>
  <c r="Y13" i="115"/>
  <c r="Z13" i="115"/>
  <c r="AD13" i="115"/>
  <c r="AE13" i="115"/>
  <c r="Y14" i="115"/>
  <c r="Z14" i="115"/>
  <c r="AD14" i="115"/>
  <c r="AE14" i="115"/>
  <c r="Y15" i="115"/>
  <c r="Z15" i="115"/>
  <c r="AD15" i="115"/>
  <c r="AE15" i="115"/>
  <c r="Y16" i="115"/>
  <c r="Z16" i="115"/>
  <c r="AD16" i="115"/>
  <c r="AE16" i="115"/>
  <c r="Y17" i="115"/>
  <c r="Z17" i="115"/>
  <c r="AD17" i="115"/>
  <c r="AE17" i="115"/>
  <c r="Y18" i="115"/>
  <c r="Z18" i="115"/>
  <c r="AD18" i="115"/>
  <c r="AE18" i="115"/>
  <c r="Y19" i="115"/>
  <c r="Z19" i="115"/>
  <c r="AD19" i="115"/>
  <c r="AE19" i="115"/>
  <c r="Y20" i="115"/>
  <c r="Z20" i="115"/>
  <c r="AD20" i="115"/>
  <c r="AE20" i="115"/>
  <c r="Y21" i="115"/>
  <c r="Z21" i="115"/>
  <c r="AD21" i="115"/>
  <c r="AE21" i="115"/>
  <c r="Y22" i="115"/>
  <c r="Z22" i="115"/>
  <c r="AD22" i="115"/>
  <c r="AE22" i="115"/>
  <c r="Y23" i="115"/>
  <c r="Z23" i="115"/>
  <c r="AD23" i="115"/>
  <c r="AE23" i="115"/>
  <c r="Y24" i="115"/>
  <c r="Z24" i="115"/>
  <c r="AD24" i="115"/>
  <c r="AE24" i="115"/>
  <c r="Y25" i="115"/>
  <c r="Z25" i="115"/>
  <c r="AD25" i="115"/>
  <c r="AE25" i="115"/>
  <c r="Y26" i="115"/>
  <c r="Z26" i="115"/>
  <c r="AD26" i="115"/>
  <c r="AE26" i="115"/>
  <c r="Y27" i="115"/>
  <c r="Z27" i="115"/>
  <c r="AD27" i="115"/>
  <c r="AE27" i="115"/>
  <c r="Y28" i="115"/>
  <c r="Z28" i="115"/>
  <c r="AD28" i="115"/>
  <c r="AE28" i="115"/>
  <c r="Y29" i="115"/>
  <c r="Z29" i="115"/>
  <c r="AD29" i="115"/>
  <c r="AE29" i="115"/>
  <c r="Y30" i="115"/>
  <c r="Z30" i="115"/>
  <c r="AD30" i="115"/>
  <c r="AE30" i="115"/>
  <c r="Y31" i="115"/>
  <c r="Z31" i="115"/>
  <c r="AD31" i="115"/>
  <c r="AE31" i="115"/>
  <c r="Y32" i="115"/>
  <c r="Z32" i="115"/>
  <c r="AD32" i="115"/>
  <c r="AE32" i="115"/>
  <c r="Y33" i="115"/>
  <c r="Z33" i="115"/>
  <c r="AD33" i="115"/>
  <c r="AE33" i="115"/>
  <c r="Y34" i="115"/>
  <c r="Z34" i="115"/>
  <c r="AD34" i="115"/>
  <c r="AE34" i="115"/>
  <c r="Y35" i="115"/>
  <c r="Z35" i="115"/>
  <c r="AD35" i="115"/>
  <c r="AE35" i="115"/>
  <c r="Y36" i="115"/>
  <c r="Z36" i="115"/>
  <c r="AD36" i="115"/>
  <c r="AE36" i="115"/>
  <c r="Y37" i="115"/>
  <c r="Z37" i="115"/>
  <c r="AD37" i="115"/>
  <c r="AE37" i="115"/>
  <c r="Z38" i="115"/>
  <c r="AE38" i="115"/>
  <c r="Z39" i="115"/>
  <c r="AE39" i="115"/>
  <c r="Z40" i="115"/>
  <c r="AE40" i="115"/>
  <c r="Z41" i="115"/>
  <c r="AE41" i="115"/>
  <c r="Z42" i="115"/>
  <c r="AE42" i="115"/>
  <c r="Z43" i="115"/>
  <c r="AE43" i="115"/>
  <c r="Z44" i="115"/>
  <c r="AE44" i="115"/>
  <c r="Z45" i="115"/>
  <c r="AE45" i="115"/>
  <c r="Z46" i="115"/>
  <c r="AE46" i="115"/>
  <c r="Z47" i="115"/>
  <c r="AE47" i="115"/>
  <c r="Z48" i="115"/>
  <c r="AE48" i="115"/>
  <c r="Z49" i="115"/>
  <c r="AE49" i="115"/>
  <c r="Y50" i="115"/>
  <c r="AD50" i="115"/>
  <c r="Y51" i="115"/>
  <c r="AD51" i="115"/>
  <c r="Y52" i="115"/>
  <c r="AD52" i="115"/>
  <c r="Y53" i="115"/>
  <c r="AD53" i="115"/>
  <c r="Y54" i="115"/>
  <c r="AD54" i="115"/>
  <c r="Y55" i="115"/>
  <c r="AD55" i="115"/>
  <c r="Y56" i="115"/>
  <c r="AD56" i="115"/>
  <c r="Y57" i="115"/>
  <c r="AD57" i="115"/>
  <c r="Y58" i="115"/>
  <c r="AD58" i="115"/>
  <c r="Y59" i="115"/>
  <c r="AD59" i="115"/>
  <c r="Y60" i="115"/>
  <c r="AD60" i="115"/>
  <c r="Y61" i="115"/>
  <c r="AD61" i="115"/>
  <c r="Z62" i="115"/>
  <c r="AE62" i="115"/>
  <c r="Z63" i="115"/>
  <c r="AE63" i="115"/>
  <c r="Z64" i="115"/>
  <c r="AE64" i="115"/>
  <c r="Z65" i="115"/>
  <c r="AE65" i="115"/>
  <c r="Z66" i="115"/>
  <c r="AE66" i="115"/>
  <c r="Z67" i="115"/>
  <c r="AE67" i="115"/>
  <c r="Z68" i="115"/>
  <c r="AE68" i="115"/>
  <c r="Z69" i="115"/>
  <c r="AE69" i="115"/>
  <c r="Z70" i="115"/>
  <c r="AE70" i="115"/>
  <c r="Z71" i="115"/>
  <c r="AE71" i="115"/>
  <c r="Z72" i="115"/>
  <c r="AE72" i="115"/>
  <c r="Z73" i="115"/>
  <c r="AE73" i="115"/>
  <c r="Z74" i="115"/>
  <c r="AE74" i="115"/>
  <c r="Z75" i="115"/>
  <c r="AE75" i="115"/>
  <c r="Z76" i="115"/>
  <c r="AE76" i="115"/>
  <c r="Z77" i="115"/>
  <c r="AE77" i="115"/>
  <c r="Z78" i="115"/>
  <c r="AE78" i="115"/>
  <c r="Z79" i="115"/>
  <c r="AE79" i="115"/>
  <c r="Z80" i="115"/>
  <c r="AE80" i="115"/>
  <c r="Z81" i="115"/>
  <c r="AE81" i="115"/>
  <c r="Z82" i="115"/>
  <c r="AE82" i="115"/>
  <c r="Z83" i="115"/>
  <c r="AE83" i="115"/>
  <c r="Z84" i="115"/>
  <c r="AE84" i="115"/>
  <c r="Z85" i="115"/>
  <c r="AE85" i="115"/>
  <c r="Y86" i="115"/>
  <c r="AD86" i="115"/>
  <c r="Y87" i="115"/>
  <c r="AD87" i="115"/>
  <c r="Y88" i="115"/>
  <c r="AD88" i="115"/>
  <c r="Y89" i="115"/>
  <c r="AD89" i="115"/>
  <c r="Y90" i="115"/>
  <c r="AD90" i="115"/>
  <c r="Y91" i="115"/>
  <c r="AD91" i="115"/>
  <c r="Y92" i="115"/>
  <c r="AD92" i="115"/>
  <c r="Y93" i="115"/>
  <c r="AD93" i="115"/>
  <c r="Y94" i="115"/>
  <c r="AD94" i="115"/>
  <c r="Y95" i="115"/>
  <c r="AD95" i="115"/>
  <c r="Y96" i="115"/>
  <c r="AD96" i="115"/>
  <c r="Y97" i="115"/>
  <c r="AD97" i="115"/>
  <c r="Z98" i="115"/>
  <c r="AE98" i="115"/>
  <c r="Z99" i="115"/>
  <c r="AE99" i="115"/>
  <c r="Z100" i="115"/>
  <c r="AE100" i="115"/>
  <c r="Z101" i="115"/>
  <c r="AE101" i="115"/>
  <c r="Z102" i="115"/>
  <c r="AE102" i="115"/>
  <c r="Z103" i="115"/>
  <c r="AE103" i="115"/>
  <c r="Z104" i="115"/>
  <c r="AE104" i="115"/>
  <c r="Z105" i="115"/>
  <c r="AE105" i="115"/>
  <c r="Z106" i="115"/>
  <c r="AE106" i="115"/>
  <c r="Z107" i="115"/>
  <c r="AE107" i="115"/>
  <c r="Z108" i="115"/>
  <c r="AE108" i="115"/>
  <c r="Z109" i="115"/>
  <c r="AE109" i="115"/>
  <c r="Z110" i="115"/>
  <c r="AE110" i="115"/>
  <c r="Z111" i="115"/>
  <c r="AE111" i="115"/>
  <c r="Z112" i="115"/>
  <c r="AE112" i="115"/>
  <c r="Z113" i="115"/>
  <c r="AE113" i="115"/>
  <c r="Z114" i="115"/>
  <c r="AE114" i="115"/>
  <c r="Z115" i="115"/>
  <c r="AE115" i="115"/>
  <c r="Z116" i="115"/>
  <c r="AE116" i="115"/>
  <c r="Z117" i="115"/>
  <c r="AE117" i="115"/>
  <c r="Z118" i="115"/>
  <c r="AE118" i="115"/>
  <c r="Z119" i="115"/>
  <c r="AE119" i="115"/>
  <c r="Z120" i="115"/>
  <c r="AE120" i="115"/>
  <c r="Z121" i="115"/>
  <c r="AE121" i="115"/>
  <c r="Z122" i="115"/>
  <c r="AE122" i="115"/>
  <c r="Z123" i="115"/>
  <c r="AE123" i="115"/>
  <c r="Z124" i="115"/>
  <c r="AE124" i="115"/>
  <c r="Z125" i="115"/>
  <c r="AE125" i="115"/>
  <c r="Z126" i="115"/>
  <c r="AE126" i="115"/>
  <c r="Z127" i="115"/>
  <c r="AE127" i="115"/>
  <c r="Z128" i="115"/>
  <c r="AE128" i="115"/>
  <c r="Z129" i="115"/>
  <c r="AE129" i="115"/>
  <c r="Z130" i="115"/>
  <c r="AE130" i="115"/>
  <c r="Z131" i="115"/>
  <c r="AE131" i="115"/>
  <c r="Z132" i="115"/>
  <c r="AE132" i="115"/>
  <c r="Z133" i="115"/>
  <c r="AE133" i="115"/>
  <c r="Z134" i="115"/>
  <c r="AE134" i="115"/>
  <c r="Z135" i="115"/>
  <c r="AE135" i="115"/>
  <c r="Z136" i="115"/>
  <c r="AE136" i="115"/>
  <c r="Z137" i="115"/>
  <c r="AE137" i="115"/>
  <c r="Z138" i="115"/>
  <c r="AE138" i="115"/>
  <c r="Z139" i="115"/>
  <c r="AE139" i="115"/>
  <c r="Z140" i="115"/>
  <c r="AE140" i="115"/>
  <c r="Z141" i="115"/>
  <c r="AE141" i="115"/>
  <c r="Z142" i="115"/>
  <c r="AE142" i="115"/>
  <c r="Z143" i="115"/>
  <c r="AE143" i="115"/>
  <c r="Z144" i="115"/>
  <c r="AE144" i="115"/>
  <c r="Z145" i="115"/>
  <c r="AE145" i="115"/>
  <c r="Z146" i="115"/>
  <c r="AE146" i="115"/>
  <c r="Z147" i="115"/>
  <c r="AE147" i="115"/>
  <c r="Z148" i="115"/>
  <c r="AE148" i="115"/>
  <c r="Z149" i="115"/>
  <c r="AE149" i="115"/>
  <c r="Z150" i="115"/>
  <c r="AE150" i="115"/>
  <c r="Z151" i="115"/>
  <c r="AE151" i="115"/>
  <c r="Z152" i="115"/>
  <c r="AE152" i="115"/>
  <c r="Z153" i="115"/>
  <c r="AE153" i="115"/>
  <c r="Z154" i="115"/>
  <c r="AE154" i="115"/>
  <c r="Z155" i="115"/>
  <c r="AE155" i="115"/>
  <c r="Z156" i="115"/>
  <c r="AE156" i="115"/>
  <c r="Z157" i="115"/>
  <c r="AE157" i="115"/>
  <c r="Z158" i="115"/>
  <c r="AE158" i="115"/>
  <c r="Z159" i="115"/>
  <c r="AE159" i="115"/>
  <c r="Z160" i="115"/>
  <c r="AE160" i="115"/>
  <c r="Z161" i="115"/>
  <c r="AE161" i="115"/>
  <c r="Z162" i="115"/>
  <c r="AE162" i="115"/>
  <c r="Z163" i="115"/>
  <c r="AE163" i="115"/>
  <c r="Z164" i="115"/>
  <c r="AE164" i="115"/>
  <c r="Z165" i="115"/>
  <c r="AE165" i="115"/>
  <c r="Z166" i="115"/>
  <c r="AE166" i="115"/>
  <c r="Z167" i="115"/>
  <c r="AE167" i="115"/>
  <c r="Z168" i="115"/>
  <c r="AE168" i="115"/>
  <c r="Z169" i="115"/>
  <c r="AE169" i="115"/>
  <c r="Z170" i="115"/>
  <c r="AE170" i="115"/>
  <c r="Z171" i="115"/>
  <c r="AE171" i="115"/>
  <c r="Z172" i="115"/>
  <c r="AE172" i="115"/>
  <c r="Z173" i="115"/>
  <c r="AE173" i="115"/>
  <c r="Z174" i="115"/>
  <c r="AE174" i="115"/>
  <c r="Z175" i="115"/>
  <c r="AE175" i="115"/>
  <c r="Z176" i="115"/>
  <c r="AE176" i="115"/>
  <c r="Z177" i="115"/>
  <c r="AE177" i="115"/>
  <c r="Z178" i="115"/>
  <c r="AE178" i="115"/>
  <c r="Z179" i="115"/>
  <c r="AE179" i="115"/>
  <c r="Z180" i="115"/>
  <c r="AE180" i="115"/>
  <c r="Z181" i="115"/>
  <c r="AE181" i="115"/>
  <c r="Z182" i="115"/>
  <c r="AE182" i="115"/>
  <c r="Z183" i="115"/>
  <c r="AE183" i="115"/>
  <c r="Z184" i="115"/>
  <c r="AE184" i="115"/>
  <c r="Z185" i="115"/>
  <c r="AE185" i="115"/>
  <c r="Z186" i="115"/>
  <c r="AE186" i="115"/>
  <c r="Z187" i="115"/>
  <c r="AE187" i="115"/>
  <c r="Z188" i="115"/>
  <c r="AE188" i="115"/>
  <c r="Z189" i="115"/>
  <c r="AE189" i="115"/>
  <c r="Z190" i="115"/>
  <c r="AE190" i="115"/>
  <c r="Z191" i="115"/>
  <c r="AE191" i="115"/>
  <c r="Z192" i="115"/>
  <c r="AE192" i="115"/>
  <c r="Z193" i="115"/>
  <c r="AE193" i="115"/>
  <c r="Z194" i="115"/>
  <c r="AE194" i="115"/>
  <c r="Z195" i="115"/>
  <c r="AE195" i="115"/>
  <c r="Z196" i="115"/>
  <c r="AE196" i="115"/>
  <c r="Z197" i="115"/>
  <c r="AE197" i="115"/>
  <c r="Z198" i="115"/>
  <c r="AE198" i="115"/>
  <c r="Z199" i="115"/>
  <c r="AE199" i="115"/>
  <c r="Z200" i="115"/>
  <c r="AE200" i="115"/>
  <c r="Z201" i="115"/>
  <c r="AE201" i="115"/>
  <c r="Z202" i="115"/>
  <c r="AE202" i="115"/>
  <c r="Z203" i="115"/>
  <c r="AE203" i="115"/>
  <c r="Z204" i="115"/>
  <c r="AE204" i="115"/>
  <c r="Z205" i="115"/>
  <c r="AE205" i="115"/>
  <c r="Z206" i="115"/>
  <c r="AE206" i="115"/>
  <c r="Z207" i="115"/>
  <c r="AE207" i="115"/>
  <c r="Z208" i="115"/>
  <c r="AE208" i="115"/>
  <c r="Z209" i="115"/>
  <c r="AE209" i="115"/>
  <c r="Z210" i="115"/>
  <c r="AE210" i="115"/>
  <c r="Z211" i="115"/>
  <c r="AE211" i="115"/>
  <c r="Z212" i="115"/>
  <c r="AE212" i="115"/>
  <c r="Z213" i="115"/>
  <c r="AE213" i="115"/>
  <c r="Z214" i="115"/>
  <c r="AE214" i="115"/>
  <c r="Z215" i="115"/>
  <c r="AE215" i="115"/>
  <c r="Z216" i="115"/>
  <c r="AE216" i="115"/>
  <c r="Z217" i="115"/>
  <c r="AE217" i="115"/>
  <c r="Z218" i="115"/>
  <c r="AE218" i="115"/>
  <c r="Z219" i="115"/>
  <c r="AE219" i="115"/>
  <c r="Z220" i="115"/>
  <c r="AE220" i="115"/>
  <c r="Z221" i="115"/>
  <c r="AE221" i="115"/>
  <c r="Z222" i="115"/>
  <c r="AE222" i="115"/>
  <c r="Z223" i="115"/>
  <c r="AE223" i="115"/>
  <c r="Z224" i="115"/>
  <c r="AE224" i="115"/>
  <c r="Z225" i="115"/>
  <c r="AE225" i="115"/>
  <c r="Z226" i="115"/>
  <c r="AE226" i="115"/>
  <c r="Z227" i="115"/>
  <c r="AE227" i="115"/>
  <c r="Z228" i="115"/>
  <c r="AE228" i="115"/>
  <c r="Z229" i="115"/>
  <c r="AE229" i="115"/>
  <c r="Z230" i="115"/>
  <c r="AE230" i="115"/>
  <c r="Z231" i="115"/>
  <c r="AE231" i="115"/>
  <c r="Z232" i="115"/>
  <c r="AE232" i="115"/>
  <c r="Z233" i="115"/>
  <c r="AE233" i="115"/>
  <c r="Z234" i="115"/>
  <c r="AE234" i="115"/>
  <c r="Z235" i="115"/>
  <c r="AE235" i="115"/>
  <c r="Z236" i="115"/>
  <c r="AE236" i="115"/>
  <c r="Z237" i="115"/>
  <c r="AE237" i="115"/>
  <c r="Z238" i="115"/>
  <c r="AE238" i="115"/>
  <c r="Z239" i="115"/>
  <c r="AE239" i="115"/>
  <c r="Z240" i="115"/>
  <c r="AE240" i="115"/>
  <c r="Z241" i="115"/>
  <c r="AE241" i="115"/>
  <c r="Z242" i="115"/>
  <c r="AE242" i="115"/>
  <c r="Z243" i="115"/>
  <c r="AE243" i="115"/>
  <c r="Z244" i="115"/>
  <c r="AE244" i="115"/>
  <c r="Z245" i="115"/>
  <c r="AE245" i="115"/>
  <c r="Z246" i="115"/>
  <c r="AE246" i="115"/>
  <c r="Z247" i="115"/>
  <c r="AE247" i="115"/>
  <c r="Z248" i="115"/>
  <c r="AE248" i="115"/>
  <c r="Z249" i="115"/>
  <c r="AE249" i="115"/>
  <c r="Z250" i="115"/>
  <c r="AE250" i="115"/>
  <c r="Z251" i="115"/>
  <c r="AE251" i="115"/>
  <c r="Z252" i="115"/>
  <c r="AE252" i="115"/>
  <c r="Z253" i="115"/>
  <c r="AE253" i="115"/>
  <c r="Z254" i="115"/>
  <c r="AE254" i="115"/>
  <c r="Z255" i="115"/>
  <c r="AE255" i="115"/>
  <c r="Z256" i="115"/>
  <c r="AE256" i="115"/>
  <c r="Z257" i="115"/>
  <c r="AE257" i="115"/>
  <c r="Z258" i="115"/>
  <c r="AE258" i="115"/>
  <c r="Z259" i="115"/>
  <c r="AE259" i="115"/>
  <c r="Z260" i="115"/>
  <c r="AE260" i="115"/>
  <c r="Z261" i="115"/>
  <c r="AE261" i="115"/>
  <c r="Z262" i="115"/>
  <c r="AE262" i="115"/>
  <c r="Z263" i="115"/>
  <c r="AE263" i="115"/>
  <c r="Z264" i="115"/>
  <c r="AE264" i="115"/>
  <c r="Z265" i="115"/>
  <c r="AE265" i="115"/>
  <c r="Z266" i="115"/>
  <c r="AE266" i="115"/>
  <c r="Z267" i="115"/>
  <c r="AE267" i="115"/>
  <c r="Z268" i="115"/>
  <c r="AE268" i="115"/>
  <c r="Z269" i="115"/>
  <c r="AE269" i="115"/>
  <c r="Z270" i="115"/>
  <c r="AE270" i="115"/>
  <c r="Z271" i="115"/>
  <c r="AE271" i="115"/>
  <c r="Z272" i="115"/>
  <c r="AE272" i="115"/>
  <c r="Z273" i="115"/>
  <c r="AE273" i="115"/>
  <c r="Z274" i="115"/>
  <c r="AE274" i="115"/>
  <c r="Z275" i="115"/>
  <c r="AE275" i="115"/>
  <c r="Z276" i="115"/>
  <c r="AE276" i="115"/>
  <c r="Z277" i="115"/>
  <c r="AE277" i="115"/>
  <c r="Z278" i="115"/>
  <c r="AE278" i="115"/>
  <c r="Z279" i="115"/>
  <c r="AE279" i="115"/>
  <c r="Z280" i="115"/>
  <c r="AE280" i="115"/>
  <c r="Z281" i="115"/>
  <c r="AE281" i="115"/>
  <c r="Z282" i="115"/>
  <c r="AE282" i="115"/>
  <c r="Z283" i="115"/>
  <c r="AE283" i="115"/>
  <c r="Z284" i="115"/>
  <c r="AE284" i="115"/>
  <c r="Z285" i="115"/>
  <c r="AE285" i="115"/>
  <c r="Z286" i="115"/>
  <c r="AE286" i="115"/>
  <c r="Z287" i="115"/>
  <c r="AE287" i="115"/>
  <c r="Z288" i="115"/>
  <c r="AE288" i="115"/>
  <c r="Z289" i="115"/>
  <c r="AE289" i="115"/>
  <c r="Z290" i="115"/>
  <c r="AE290" i="115"/>
  <c r="Z291" i="115"/>
  <c r="AE291" i="115"/>
  <c r="Z292" i="115"/>
  <c r="AE292" i="115"/>
  <c r="Z293" i="115"/>
  <c r="AE293" i="115"/>
  <c r="Z294" i="115"/>
  <c r="AE294" i="115"/>
  <c r="Z295" i="115"/>
  <c r="AE295" i="115"/>
  <c r="Z296" i="115"/>
  <c r="AE296" i="115"/>
  <c r="Z297" i="115"/>
  <c r="AE297" i="115"/>
  <c r="Z298" i="115"/>
  <c r="AE298" i="115"/>
  <c r="Z299" i="115"/>
  <c r="AE299" i="115"/>
  <c r="Z300" i="115"/>
  <c r="AE300" i="115"/>
  <c r="Z301" i="115"/>
  <c r="AE301" i="115"/>
  <c r="Z302" i="115"/>
  <c r="AE302" i="115"/>
  <c r="Z303" i="115"/>
  <c r="AE303" i="115"/>
  <c r="E5" i="130"/>
  <c r="F5" i="130"/>
  <c r="H5" i="130"/>
  <c r="I5" i="130"/>
  <c r="R5" i="130"/>
  <c r="U5" i="130"/>
  <c r="E6" i="130"/>
  <c r="F6" i="130"/>
  <c r="H6" i="130"/>
  <c r="I6" i="130"/>
  <c r="R6" i="130"/>
  <c r="U6" i="130"/>
  <c r="E7" i="130"/>
  <c r="F7" i="130"/>
  <c r="H7" i="130"/>
  <c r="I7" i="130"/>
  <c r="R7" i="130"/>
  <c r="U7" i="130"/>
  <c r="E8" i="130"/>
  <c r="F8" i="130"/>
  <c r="H8" i="130"/>
  <c r="I8" i="130"/>
  <c r="R8" i="130"/>
  <c r="U8" i="130"/>
  <c r="E9" i="130"/>
  <c r="H9" i="130"/>
  <c r="R9" i="130"/>
  <c r="U9" i="130"/>
  <c r="F10" i="130"/>
  <c r="I10" i="130"/>
  <c r="R10" i="130"/>
  <c r="U10" i="130"/>
  <c r="F11" i="130"/>
  <c r="I11" i="130"/>
  <c r="R11" i="130"/>
  <c r="U11" i="130"/>
  <c r="E12" i="130"/>
  <c r="H12" i="130"/>
  <c r="R12" i="130"/>
  <c r="U12" i="130"/>
  <c r="F13" i="130"/>
  <c r="I13" i="130"/>
  <c r="R13" i="130"/>
  <c r="U13" i="130"/>
  <c r="F14" i="130"/>
  <c r="I14" i="130"/>
  <c r="R14" i="130"/>
  <c r="U14" i="130"/>
  <c r="E15" i="130"/>
  <c r="H15" i="130"/>
  <c r="R15" i="130"/>
  <c r="U15" i="130"/>
  <c r="R16" i="130"/>
  <c r="U16" i="130"/>
  <c r="R17" i="130"/>
  <c r="U17" i="130"/>
  <c r="R18" i="130"/>
  <c r="U18" i="130"/>
  <c r="R19" i="130"/>
  <c r="U19" i="130"/>
  <c r="R20" i="130"/>
  <c r="U20" i="130"/>
  <c r="R21" i="130"/>
  <c r="U21" i="130"/>
  <c r="R22" i="130"/>
  <c r="U22" i="130"/>
  <c r="R23" i="130"/>
  <c r="U23" i="130"/>
  <c r="R24" i="130"/>
  <c r="U24" i="130"/>
  <c r="R25" i="130"/>
  <c r="U25" i="130"/>
  <c r="R26" i="130"/>
  <c r="U26" i="130"/>
  <c r="R27" i="130"/>
  <c r="U27" i="130"/>
  <c r="R28" i="130"/>
  <c r="U28" i="130"/>
  <c r="R29" i="130"/>
  <c r="U29" i="130"/>
  <c r="R30" i="130"/>
  <c r="U30" i="130"/>
  <c r="R31" i="130"/>
  <c r="U31" i="130"/>
  <c r="R32" i="130"/>
  <c r="U32" i="130"/>
  <c r="R33" i="130"/>
  <c r="U33" i="130"/>
  <c r="Q34" i="130"/>
  <c r="T34" i="130"/>
  <c r="Q35" i="130"/>
  <c r="T35" i="130"/>
  <c r="E5" i="128"/>
  <c r="F5" i="128"/>
  <c r="G5" i="128"/>
  <c r="H5" i="128"/>
  <c r="I5" i="128"/>
  <c r="R5" i="128"/>
  <c r="S5" i="128"/>
  <c r="U5" i="128"/>
  <c r="E6" i="128"/>
  <c r="F6" i="128"/>
  <c r="G6" i="128"/>
  <c r="H6" i="128"/>
  <c r="I6" i="128"/>
  <c r="R6" i="128"/>
  <c r="S6" i="128"/>
  <c r="U6" i="128"/>
  <c r="E7" i="128"/>
  <c r="F7" i="128"/>
  <c r="H7" i="128"/>
  <c r="I7" i="128"/>
  <c r="R7" i="128"/>
  <c r="S7" i="128"/>
  <c r="U7" i="128"/>
  <c r="E8" i="128"/>
  <c r="F8" i="128"/>
  <c r="H8" i="128"/>
  <c r="I8" i="128"/>
  <c r="R8" i="128"/>
  <c r="S8" i="128"/>
  <c r="U8" i="128"/>
  <c r="E9" i="128"/>
  <c r="H9" i="128"/>
  <c r="R9" i="128"/>
  <c r="S9" i="128"/>
  <c r="U9" i="128"/>
  <c r="F10" i="128"/>
  <c r="G10" i="128"/>
  <c r="I10" i="128"/>
  <c r="R10" i="128"/>
  <c r="S10" i="128"/>
  <c r="U10" i="128"/>
  <c r="F11" i="128"/>
  <c r="G11" i="128"/>
  <c r="I11" i="128"/>
  <c r="R11" i="128"/>
  <c r="S11" i="128"/>
  <c r="U11" i="128"/>
  <c r="E12" i="128"/>
  <c r="H12" i="128"/>
  <c r="R12" i="128"/>
  <c r="S12" i="128"/>
  <c r="U12" i="128"/>
  <c r="F13" i="128"/>
  <c r="I13" i="128"/>
  <c r="R13" i="128"/>
  <c r="S13" i="128"/>
  <c r="U13" i="128"/>
  <c r="F14" i="128"/>
  <c r="I14" i="128"/>
  <c r="R14" i="128"/>
  <c r="S14" i="128"/>
  <c r="U14" i="128"/>
  <c r="E15" i="128"/>
  <c r="H15" i="128"/>
  <c r="R15" i="128"/>
  <c r="S15" i="128"/>
  <c r="U15" i="128"/>
  <c r="R16" i="128"/>
  <c r="S16" i="128"/>
  <c r="U16" i="128"/>
  <c r="R17" i="128"/>
  <c r="S17" i="128"/>
  <c r="U17" i="128"/>
  <c r="R18" i="128"/>
  <c r="S18" i="128"/>
  <c r="U18" i="128"/>
  <c r="R19" i="128"/>
  <c r="S19" i="128"/>
  <c r="U19" i="128"/>
  <c r="R20" i="128"/>
  <c r="S20" i="128"/>
  <c r="U20" i="128"/>
  <c r="R21" i="128"/>
  <c r="S21" i="128"/>
  <c r="U21" i="128"/>
  <c r="R22" i="128"/>
  <c r="S22" i="128"/>
  <c r="U22" i="128"/>
  <c r="R23" i="128"/>
  <c r="S23" i="128"/>
  <c r="U23" i="128"/>
  <c r="R24" i="128"/>
  <c r="S24" i="128"/>
  <c r="U24" i="128"/>
  <c r="R25" i="128"/>
  <c r="S25" i="128"/>
  <c r="U25" i="128"/>
  <c r="R26" i="128"/>
  <c r="S26" i="128"/>
  <c r="U26" i="128"/>
  <c r="R27" i="128"/>
  <c r="S27" i="128"/>
  <c r="U27" i="128"/>
  <c r="R28" i="128"/>
  <c r="S28" i="128"/>
  <c r="U28" i="128"/>
  <c r="R29" i="128"/>
  <c r="S29" i="128"/>
  <c r="U29" i="128"/>
  <c r="R30" i="128"/>
  <c r="S30" i="128"/>
  <c r="U30" i="128"/>
  <c r="R31" i="128"/>
  <c r="S31" i="128"/>
  <c r="U31" i="128"/>
  <c r="R32" i="128"/>
  <c r="S32" i="128"/>
  <c r="U32" i="128"/>
  <c r="R33" i="128"/>
  <c r="S33" i="128"/>
  <c r="U33" i="128"/>
  <c r="Q34" i="128"/>
  <c r="T34" i="128"/>
  <c r="Q35" i="128"/>
  <c r="T35" i="128"/>
  <c r="G5" i="119"/>
  <c r="I5" i="119"/>
  <c r="G6" i="119"/>
  <c r="I6" i="119"/>
  <c r="G7" i="119"/>
  <c r="I7" i="119"/>
  <c r="G10" i="119"/>
  <c r="I10" i="119"/>
  <c r="G11" i="119"/>
  <c r="I11" i="119"/>
  <c r="G12" i="119"/>
  <c r="I12" i="119"/>
  <c r="D17" i="119"/>
  <c r="F17" i="119"/>
  <c r="G17" i="119"/>
  <c r="F18" i="119"/>
  <c r="G18" i="119"/>
  <c r="D19" i="119"/>
  <c r="F19" i="119"/>
  <c r="G19" i="119"/>
  <c r="D20" i="119"/>
  <c r="F20" i="119"/>
  <c r="G20" i="119"/>
  <c r="AB5" i="121"/>
  <c r="AI5" i="121"/>
  <c r="AL5" i="121"/>
  <c r="AB6" i="121"/>
  <c r="AI6" i="121"/>
  <c r="AL6" i="121"/>
  <c r="AB7" i="121"/>
  <c r="AI7" i="121"/>
  <c r="AL7" i="121"/>
  <c r="AB8" i="121"/>
  <c r="AI8" i="121"/>
  <c r="AL8" i="121"/>
  <c r="AB9" i="121"/>
  <c r="AI9" i="121"/>
  <c r="AL9" i="121"/>
  <c r="AB10" i="121"/>
  <c r="AI10" i="121"/>
  <c r="AL10" i="121"/>
  <c r="AB11" i="121"/>
  <c r="AI11" i="121"/>
  <c r="AL11" i="121"/>
  <c r="AB12" i="121"/>
  <c r="AI12" i="121"/>
  <c r="AL12" i="121"/>
  <c r="AB13" i="121"/>
  <c r="AI13" i="121"/>
  <c r="AL13" i="121"/>
  <c r="AB14" i="121"/>
  <c r="AI14" i="121"/>
  <c r="AL14" i="121"/>
  <c r="AB15" i="121"/>
  <c r="AI15" i="121"/>
  <c r="AL15" i="121"/>
  <c r="AB16" i="121"/>
  <c r="AI16" i="121"/>
  <c r="AL16" i="121"/>
  <c r="AB17" i="121"/>
  <c r="AI17" i="121"/>
  <c r="AL17" i="121"/>
  <c r="AB18" i="121"/>
  <c r="AI18" i="121"/>
  <c r="AL18" i="121"/>
  <c r="AB19" i="121"/>
  <c r="AI19" i="121"/>
  <c r="AL19" i="121"/>
  <c r="AB20" i="121"/>
  <c r="AI20" i="121"/>
  <c r="AL20" i="121"/>
  <c r="AB21" i="121"/>
  <c r="AI21" i="121"/>
  <c r="AL21" i="121"/>
  <c r="AB22" i="121"/>
  <c r="AI22" i="121"/>
  <c r="AL22" i="121"/>
  <c r="AB23" i="121"/>
  <c r="AI23" i="121"/>
  <c r="AL23" i="121"/>
  <c r="AB24" i="121"/>
  <c r="AI24" i="121"/>
  <c r="AL24" i="121"/>
  <c r="AB25" i="121"/>
  <c r="AI25" i="121"/>
  <c r="AL25" i="121"/>
  <c r="AB26" i="121"/>
  <c r="AI26" i="121"/>
  <c r="AL26" i="121"/>
  <c r="AB27" i="121"/>
  <c r="AI27" i="121"/>
  <c r="AL27" i="121"/>
  <c r="AB28" i="121"/>
  <c r="AI28" i="121"/>
  <c r="AL28" i="121"/>
  <c r="AB29" i="121"/>
  <c r="AI29" i="121"/>
  <c r="AL29" i="121"/>
  <c r="AB30" i="121"/>
  <c r="AI30" i="121"/>
  <c r="AL30" i="121"/>
  <c r="AB31" i="121"/>
  <c r="AI31" i="121"/>
  <c r="AL31" i="121"/>
  <c r="AB32" i="121"/>
  <c r="AI32" i="121"/>
  <c r="AL32" i="121"/>
  <c r="AB33" i="121"/>
  <c r="AI33" i="121"/>
  <c r="AL33" i="121"/>
  <c r="AB34" i="121"/>
  <c r="AI34" i="121"/>
  <c r="AL34" i="121"/>
  <c r="AB35" i="121"/>
  <c r="AI35" i="121"/>
  <c r="AL35" i="121"/>
  <c r="AB36" i="121"/>
  <c r="AI36" i="121"/>
  <c r="AL36" i="121"/>
  <c r="AB37" i="121"/>
  <c r="AI37" i="121"/>
  <c r="AL37" i="121"/>
  <c r="AB38" i="121"/>
  <c r="AI38" i="121"/>
  <c r="AL38" i="121"/>
  <c r="AB39" i="121"/>
  <c r="AI39" i="121"/>
  <c r="AL39" i="121"/>
  <c r="AB40" i="121"/>
  <c r="AI40" i="121"/>
  <c r="AL40" i="121"/>
  <c r="AB41" i="121"/>
  <c r="AI41" i="121"/>
  <c r="AL41" i="121"/>
  <c r="AB42" i="121"/>
  <c r="AI42" i="121"/>
  <c r="AL42" i="121"/>
  <c r="AB43" i="121"/>
  <c r="AI43" i="121"/>
  <c r="AL43" i="121"/>
  <c r="AB44" i="121"/>
  <c r="AI44" i="121"/>
  <c r="AL44" i="121"/>
  <c r="AB45" i="121"/>
  <c r="AI45" i="121"/>
  <c r="AL45" i="121"/>
  <c r="AB47" i="121"/>
  <c r="N7" i="104"/>
  <c r="AJ7" i="104"/>
  <c r="AK7" i="104"/>
  <c r="N8" i="104"/>
  <c r="AJ8" i="104"/>
  <c r="AK8" i="104"/>
  <c r="N14" i="104"/>
  <c r="AJ14" i="104"/>
  <c r="AK14" i="104"/>
  <c r="N15" i="104"/>
  <c r="AJ15" i="104"/>
  <c r="AK15" i="104"/>
  <c r="N16" i="104"/>
  <c r="AJ16" i="104"/>
  <c r="AK16" i="104"/>
  <c r="N17" i="104"/>
  <c r="AJ17" i="104"/>
  <c r="AK17" i="104"/>
  <c r="N20" i="104"/>
  <c r="AJ20" i="104"/>
  <c r="AK20" i="104"/>
  <c r="N21" i="104"/>
  <c r="AJ21" i="104"/>
  <c r="AK21" i="104"/>
  <c r="N22" i="104"/>
  <c r="AJ22" i="104"/>
  <c r="AK22" i="104"/>
  <c r="N23" i="104"/>
  <c r="AJ23" i="104"/>
  <c r="AK23" i="104"/>
  <c r="N24" i="104"/>
  <c r="AJ24" i="104"/>
  <c r="AK24" i="104"/>
  <c r="N25" i="104"/>
  <c r="AJ25" i="104"/>
  <c r="AK25" i="104"/>
  <c r="N26" i="104"/>
  <c r="AJ26" i="104"/>
  <c r="AK26" i="104"/>
  <c r="N27" i="104"/>
  <c r="AJ27" i="104"/>
  <c r="AK27" i="104"/>
  <c r="N28" i="104"/>
  <c r="AJ28" i="104"/>
  <c r="AK28" i="104"/>
  <c r="N29" i="104"/>
  <c r="AJ29" i="104"/>
  <c r="AK29" i="104"/>
  <c r="N30" i="104"/>
  <c r="AJ30" i="104"/>
  <c r="AK30" i="104"/>
  <c r="N31" i="104"/>
  <c r="AJ31" i="104"/>
  <c r="AK31" i="104"/>
  <c r="N32" i="104"/>
  <c r="AJ32" i="104"/>
  <c r="AK32" i="104"/>
  <c r="N33" i="104"/>
  <c r="AJ33" i="104"/>
  <c r="AK33" i="104"/>
  <c r="N34" i="104"/>
  <c r="AJ34" i="104"/>
  <c r="AK34" i="104"/>
  <c r="N35" i="104"/>
  <c r="AJ35" i="104"/>
  <c r="AK35" i="104"/>
  <c r="N36" i="104"/>
  <c r="AJ36" i="104"/>
  <c r="AK36" i="104"/>
  <c r="N37" i="104"/>
  <c r="AJ37" i="104"/>
  <c r="AK37" i="104"/>
  <c r="N38" i="104"/>
  <c r="AJ38" i="104"/>
  <c r="AK38" i="104"/>
  <c r="N39" i="104"/>
  <c r="AJ39" i="104"/>
  <c r="AK39" i="104"/>
  <c r="N40" i="104"/>
  <c r="AJ40" i="104"/>
  <c r="AK40" i="104"/>
  <c r="N41" i="104"/>
  <c r="AJ41" i="104"/>
  <c r="AK41" i="104"/>
  <c r="N42" i="104"/>
  <c r="AJ42" i="104"/>
  <c r="AK42" i="104"/>
  <c r="N43" i="104"/>
  <c r="AJ43" i="104"/>
  <c r="AK43" i="104"/>
  <c r="N44" i="104"/>
  <c r="AJ44" i="104"/>
  <c r="AK44" i="104"/>
  <c r="N45" i="104"/>
  <c r="AJ45" i="104"/>
  <c r="AK45" i="104"/>
  <c r="N46" i="104"/>
  <c r="AJ46" i="104"/>
  <c r="AK46" i="104"/>
  <c r="N47" i="104"/>
  <c r="AJ47" i="104"/>
  <c r="AK47" i="104"/>
  <c r="N48" i="104"/>
  <c r="AJ48" i="104"/>
  <c r="AK48" i="104"/>
  <c r="N49" i="104"/>
  <c r="AJ49" i="104"/>
  <c r="AK49" i="104"/>
  <c r="N50" i="104"/>
  <c r="AJ50" i="104"/>
  <c r="AK50" i="104"/>
  <c r="N51" i="104"/>
  <c r="AJ51" i="104"/>
  <c r="AK51" i="104"/>
  <c r="N52" i="104"/>
  <c r="AJ52" i="104"/>
  <c r="AK52" i="104"/>
  <c r="N53" i="104"/>
  <c r="AJ53" i="104"/>
  <c r="AK53" i="104"/>
  <c r="N54" i="104"/>
  <c r="AJ54" i="104"/>
  <c r="AK54" i="104"/>
  <c r="N58" i="104"/>
  <c r="AJ58" i="104"/>
  <c r="AK58" i="104"/>
  <c r="N63" i="104"/>
  <c r="AJ63" i="104"/>
  <c r="AK63" i="104"/>
  <c r="L66" i="104"/>
  <c r="N66" i="104"/>
  <c r="L67" i="104"/>
  <c r="N67" i="104"/>
  <c r="N68" i="104"/>
  <c r="L69" i="104"/>
  <c r="L70" i="104"/>
  <c r="L71" i="104"/>
  <c r="L72" i="104"/>
  <c r="L73" i="104"/>
  <c r="N5" i="124"/>
  <c r="AB5" i="124"/>
  <c r="AC5" i="124"/>
  <c r="AF5" i="124"/>
  <c r="AG5" i="124"/>
  <c r="N6" i="124"/>
  <c r="AB6" i="124"/>
  <c r="AC6" i="124"/>
  <c r="AF6" i="124"/>
  <c r="AG6" i="124"/>
  <c r="N7" i="124"/>
  <c r="AB7" i="124"/>
  <c r="AC7" i="124"/>
  <c r="AF7" i="124"/>
  <c r="AG7" i="124"/>
  <c r="N8" i="124"/>
  <c r="AB8" i="124"/>
  <c r="AC8" i="124"/>
  <c r="AF8" i="124"/>
  <c r="AG8" i="124"/>
  <c r="N9" i="124"/>
  <c r="AC9" i="124"/>
  <c r="AF9" i="124"/>
  <c r="AG9" i="124"/>
  <c r="N10" i="124"/>
  <c r="AC10" i="124"/>
  <c r="AF10" i="124"/>
  <c r="AG10" i="124"/>
  <c r="N11" i="124"/>
  <c r="AC11" i="124"/>
  <c r="AF11" i="124"/>
  <c r="AG11" i="124"/>
  <c r="N12" i="124"/>
  <c r="AB12" i="124"/>
  <c r="AC12" i="124"/>
  <c r="AF12" i="124"/>
  <c r="AG12" i="124"/>
  <c r="N13" i="124"/>
  <c r="AB13" i="124"/>
  <c r="AC13" i="124"/>
  <c r="AF13" i="124"/>
  <c r="AG13" i="124"/>
  <c r="N14" i="124"/>
  <c r="AB14" i="124"/>
  <c r="AC14" i="124"/>
  <c r="AF14" i="124"/>
  <c r="AG14" i="124"/>
  <c r="N15" i="124"/>
  <c r="AB15" i="124"/>
  <c r="AC15" i="124"/>
  <c r="AF15" i="124"/>
  <c r="AG15" i="124"/>
  <c r="N16" i="124"/>
  <c r="AB16" i="124"/>
  <c r="AC16" i="124"/>
  <c r="AF16" i="124"/>
  <c r="AG16" i="124"/>
  <c r="N17" i="124"/>
  <c r="AB17" i="124"/>
  <c r="AC17" i="124"/>
  <c r="AF17" i="124"/>
  <c r="AG17" i="124"/>
  <c r="N18" i="124"/>
  <c r="AB18" i="124"/>
  <c r="AC18" i="124"/>
  <c r="AF18" i="124"/>
  <c r="AG18" i="124"/>
  <c r="N19" i="124"/>
  <c r="AB19" i="124"/>
  <c r="AC19" i="124"/>
  <c r="AF19" i="124"/>
  <c r="AG19" i="124"/>
  <c r="N20" i="124"/>
  <c r="AB20" i="124"/>
  <c r="AC20" i="124"/>
  <c r="AF20" i="124"/>
  <c r="AG20" i="124"/>
  <c r="N21" i="124"/>
  <c r="AB21" i="124"/>
  <c r="AC21" i="124"/>
  <c r="AF21" i="124"/>
  <c r="AG21" i="124"/>
  <c r="N22" i="124"/>
  <c r="AB22" i="124"/>
  <c r="AC22" i="124"/>
  <c r="AF22" i="124"/>
  <c r="AG22" i="124"/>
  <c r="N23" i="124"/>
  <c r="AB23" i="124"/>
  <c r="AC23" i="124"/>
  <c r="AF23" i="124"/>
  <c r="AG23" i="124"/>
  <c r="N24" i="124"/>
  <c r="AB24" i="124"/>
  <c r="AC24" i="124"/>
  <c r="AF24" i="124"/>
  <c r="AG24" i="124"/>
  <c r="N25" i="124"/>
  <c r="AB25" i="124"/>
  <c r="AC25" i="124"/>
  <c r="AF25" i="124"/>
  <c r="AG25" i="124"/>
  <c r="N26" i="124"/>
  <c r="AB26" i="124"/>
  <c r="AC26" i="124"/>
  <c r="AF26" i="124"/>
  <c r="AG26" i="124"/>
  <c r="N27" i="124"/>
  <c r="AB27" i="124"/>
  <c r="AC27" i="124"/>
  <c r="AF27" i="124"/>
  <c r="AG27" i="124"/>
  <c r="N28" i="124"/>
  <c r="AB28" i="124"/>
  <c r="AC28" i="124"/>
  <c r="AF28" i="124"/>
  <c r="AG28" i="124"/>
  <c r="N29" i="124"/>
  <c r="AB29" i="124"/>
  <c r="AC29" i="124"/>
  <c r="AF29" i="124"/>
  <c r="AG29" i="124"/>
  <c r="N30" i="124"/>
  <c r="AB30" i="124"/>
  <c r="AC30" i="124"/>
  <c r="AF30" i="124"/>
  <c r="AG30" i="124"/>
  <c r="N31" i="124"/>
  <c r="AB31" i="124"/>
  <c r="AC31" i="124"/>
  <c r="AF31" i="124"/>
  <c r="AG31" i="124"/>
  <c r="N32" i="124"/>
  <c r="AB32" i="124"/>
  <c r="AC32" i="124"/>
  <c r="AF32" i="124"/>
  <c r="AG32" i="124"/>
  <c r="N33" i="124"/>
  <c r="AB33" i="124"/>
  <c r="AC33" i="124"/>
  <c r="AF33" i="124"/>
  <c r="AG33" i="124"/>
  <c r="N34" i="124"/>
  <c r="AB34" i="124"/>
  <c r="AC34" i="124"/>
  <c r="AF34" i="124"/>
  <c r="AG34" i="124"/>
  <c r="N35" i="124"/>
  <c r="AB35" i="124"/>
  <c r="AC35" i="124"/>
  <c r="AF35" i="124"/>
  <c r="AG35" i="124"/>
  <c r="N36" i="124"/>
  <c r="AB36" i="124"/>
  <c r="AC36" i="124"/>
  <c r="AF36" i="124"/>
  <c r="AG36" i="124"/>
  <c r="N37" i="124"/>
  <c r="AB37" i="124"/>
  <c r="AC37" i="124"/>
  <c r="AF37" i="124"/>
  <c r="AG37" i="124"/>
  <c r="N38" i="124"/>
  <c r="AB38" i="124"/>
  <c r="AC38" i="124"/>
  <c r="AF38" i="124"/>
  <c r="AG38" i="124"/>
  <c r="N39" i="124"/>
  <c r="AB39" i="124"/>
  <c r="AC39" i="124"/>
  <c r="AF39" i="124"/>
  <c r="AG39" i="124"/>
  <c r="N40" i="124"/>
  <c r="AB40" i="124"/>
  <c r="AC40" i="124"/>
  <c r="AF40" i="124"/>
  <c r="AG40" i="124"/>
  <c r="N41" i="124"/>
  <c r="AB41" i="124"/>
  <c r="AC41" i="124"/>
  <c r="AF41" i="124"/>
  <c r="AG41" i="124"/>
  <c r="N42" i="124"/>
  <c r="AB42" i="124"/>
  <c r="AC42" i="124"/>
  <c r="AF42" i="124"/>
  <c r="AG42" i="124"/>
  <c r="N43" i="124"/>
  <c r="AB43" i="124"/>
  <c r="AC43" i="124"/>
  <c r="AF43" i="124"/>
  <c r="AG43" i="124"/>
  <c r="N44" i="124"/>
  <c r="AB44" i="124"/>
  <c r="AC44" i="124"/>
  <c r="AF44" i="124"/>
  <c r="AG44" i="124"/>
  <c r="N45" i="124"/>
  <c r="AB45" i="124"/>
  <c r="AC45" i="124"/>
  <c r="AF45" i="124"/>
  <c r="AG45" i="124"/>
  <c r="N46" i="124"/>
  <c r="AB46" i="124"/>
  <c r="AC46" i="124"/>
  <c r="AF46" i="124"/>
  <c r="AG46" i="124"/>
  <c r="N47" i="124"/>
  <c r="AB47" i="124"/>
  <c r="AC47" i="124"/>
  <c r="AF47" i="124"/>
  <c r="AG47" i="124"/>
  <c r="N48" i="124"/>
  <c r="AB48" i="124"/>
  <c r="AC48" i="124"/>
  <c r="AF48" i="124"/>
  <c r="AG48" i="124"/>
  <c r="N49" i="124"/>
  <c r="AB49" i="124"/>
  <c r="AC49" i="124"/>
  <c r="AF49" i="124"/>
  <c r="AG49" i="124"/>
  <c r="N50" i="124"/>
  <c r="AB50" i="124"/>
  <c r="AC50" i="124"/>
  <c r="AF50" i="124"/>
  <c r="AG50" i="124"/>
  <c r="N51" i="124"/>
  <c r="AB51" i="124"/>
  <c r="AC51" i="124"/>
  <c r="AF51" i="124"/>
  <c r="AG51" i="124"/>
  <c r="N52" i="124"/>
  <c r="AB52" i="124"/>
  <c r="AC52" i="124"/>
  <c r="AF52" i="124"/>
  <c r="AG52" i="124"/>
  <c r="N53" i="124"/>
  <c r="AB53" i="124"/>
  <c r="AC53" i="124"/>
  <c r="AF53" i="124"/>
  <c r="AG53" i="124"/>
  <c r="N54" i="124"/>
  <c r="AB54" i="124"/>
  <c r="AC54" i="124"/>
  <c r="AF54" i="124"/>
  <c r="AG54" i="124"/>
  <c r="N60" i="124"/>
  <c r="AB60" i="124"/>
  <c r="AC60" i="124"/>
  <c r="AF60" i="124"/>
  <c r="AG60" i="124"/>
  <c r="N61" i="124"/>
  <c r="AB61" i="124"/>
  <c r="AC61" i="124"/>
  <c r="AF61" i="124"/>
  <c r="AG61" i="124"/>
  <c r="N62" i="124"/>
  <c r="AB62" i="124"/>
  <c r="AC62" i="124"/>
  <c r="AF62" i="124"/>
  <c r="AG62" i="124"/>
  <c r="N63" i="124"/>
  <c r="AB63" i="124"/>
  <c r="AC63" i="124"/>
  <c r="AF63" i="124"/>
  <c r="AG63" i="124"/>
  <c r="N64" i="124"/>
  <c r="AC64" i="124"/>
  <c r="AF64" i="124"/>
  <c r="AG64" i="124"/>
  <c r="N65" i="124"/>
  <c r="AC65" i="124"/>
  <c r="AF65" i="124"/>
  <c r="AG65" i="124"/>
  <c r="N66" i="124"/>
  <c r="AC66" i="124"/>
  <c r="AF66" i="124"/>
  <c r="AG66" i="124"/>
  <c r="N67" i="124"/>
  <c r="AB67" i="124"/>
  <c r="AC67" i="124"/>
  <c r="AF67" i="124"/>
  <c r="AG67" i="124"/>
  <c r="N68" i="124"/>
  <c r="AB68" i="124"/>
  <c r="AC68" i="124"/>
  <c r="AF68" i="124"/>
  <c r="AG68" i="124"/>
  <c r="N69" i="124"/>
  <c r="AB69" i="124"/>
  <c r="AC69" i="124"/>
  <c r="AF69" i="124"/>
  <c r="AG69" i="124"/>
  <c r="N70" i="124"/>
  <c r="AB70" i="124"/>
  <c r="AC70" i="124"/>
  <c r="AF70" i="124"/>
  <c r="AG70" i="124"/>
  <c r="N71" i="124"/>
  <c r="AB71" i="124"/>
  <c r="AC71" i="124"/>
  <c r="AF71" i="124"/>
  <c r="AG71" i="124"/>
  <c r="N72" i="124"/>
  <c r="AB72" i="124"/>
  <c r="AC72" i="124"/>
  <c r="AF72" i="124"/>
  <c r="AG72" i="124"/>
  <c r="N73" i="124"/>
  <c r="AB73" i="124"/>
  <c r="AC73" i="124"/>
  <c r="AF73" i="124"/>
  <c r="AG73" i="124"/>
  <c r="N74" i="124"/>
  <c r="AB74" i="124"/>
  <c r="AC74" i="124"/>
  <c r="AF74" i="124"/>
  <c r="AG74" i="124"/>
  <c r="N75" i="124"/>
  <c r="AB75" i="124"/>
  <c r="AC75" i="124"/>
  <c r="AF75" i="124"/>
  <c r="AG75" i="124"/>
  <c r="N76" i="124"/>
  <c r="AB76" i="124"/>
  <c r="AC76" i="124"/>
  <c r="AF76" i="124"/>
  <c r="AG76" i="124"/>
  <c r="N77" i="124"/>
  <c r="AB77" i="124"/>
  <c r="AC77" i="124"/>
  <c r="AF77" i="124"/>
  <c r="AG77" i="124"/>
  <c r="N78" i="124"/>
  <c r="AB78" i="124"/>
  <c r="AC78" i="124"/>
  <c r="AF78" i="124"/>
  <c r="AG78" i="124"/>
  <c r="N79" i="124"/>
  <c r="AB79" i="124"/>
  <c r="AC79" i="124"/>
  <c r="AF79" i="124"/>
  <c r="AG79" i="124"/>
  <c r="N80" i="124"/>
  <c r="AB80" i="124"/>
  <c r="AC80" i="124"/>
  <c r="AF80" i="124"/>
  <c r="AG80" i="124"/>
  <c r="N81" i="124"/>
  <c r="AB81" i="124"/>
  <c r="AC81" i="124"/>
  <c r="AF81" i="124"/>
  <c r="AG81" i="124"/>
  <c r="N82" i="124"/>
  <c r="AB82" i="124"/>
  <c r="AC82" i="124"/>
  <c r="AF82" i="124"/>
  <c r="AG82" i="124"/>
  <c r="N83" i="124"/>
  <c r="AB83" i="124"/>
  <c r="AC83" i="124"/>
  <c r="AF83" i="124"/>
  <c r="AG83" i="124"/>
  <c r="N84" i="124"/>
  <c r="AB84" i="124"/>
  <c r="AC84" i="124"/>
  <c r="AF84" i="124"/>
  <c r="AG84" i="124"/>
  <c r="N85" i="124"/>
  <c r="AB85" i="124"/>
  <c r="AC85" i="124"/>
  <c r="AF85" i="124"/>
  <c r="AG85" i="124"/>
  <c r="N86" i="124"/>
  <c r="AB86" i="124"/>
  <c r="AC86" i="124"/>
  <c r="AF86" i="124"/>
  <c r="AG86" i="124"/>
  <c r="N87" i="124"/>
  <c r="AB87" i="124"/>
  <c r="AC87" i="124"/>
  <c r="AF87" i="124"/>
  <c r="AG87" i="124"/>
  <c r="N88" i="124"/>
  <c r="AB88" i="124"/>
  <c r="AC88" i="124"/>
  <c r="AF88" i="124"/>
  <c r="AG88" i="124"/>
  <c r="N89" i="124"/>
  <c r="AB89" i="124"/>
  <c r="AC89" i="124"/>
  <c r="AF89" i="124"/>
  <c r="AG89" i="124"/>
  <c r="N90" i="124"/>
  <c r="AB90" i="124"/>
  <c r="AC90" i="124"/>
  <c r="AF90" i="124"/>
  <c r="AG90" i="124"/>
  <c r="N91" i="124"/>
  <c r="AB91" i="124"/>
  <c r="AC91" i="124"/>
  <c r="AF91" i="124"/>
  <c r="AG91" i="124"/>
  <c r="N92" i="124"/>
  <c r="AB92" i="124"/>
  <c r="AC92" i="124"/>
  <c r="AF92" i="124"/>
  <c r="AG92" i="124"/>
  <c r="N93" i="124"/>
  <c r="AB93" i="124"/>
  <c r="AC93" i="124"/>
  <c r="AF93" i="124"/>
  <c r="AG93" i="124"/>
  <c r="N94" i="124"/>
  <c r="AB94" i="124"/>
  <c r="AC94" i="124"/>
  <c r="AF94" i="124"/>
  <c r="AG94" i="124"/>
  <c r="N95" i="124"/>
  <c r="AB95" i="124"/>
  <c r="AC95" i="124"/>
  <c r="AF95" i="124"/>
  <c r="AG95" i="124"/>
  <c r="N96" i="124"/>
  <c r="AB96" i="124"/>
  <c r="AC96" i="124"/>
  <c r="AF96" i="124"/>
  <c r="AG96" i="124"/>
  <c r="N97" i="124"/>
  <c r="AB97" i="124"/>
  <c r="AC97" i="124"/>
  <c r="AF97" i="124"/>
  <c r="AG97" i="124"/>
  <c r="N98" i="124"/>
  <c r="AB98" i="124"/>
  <c r="AC98" i="124"/>
  <c r="AF98" i="124"/>
  <c r="AG98" i="124"/>
  <c r="N99" i="124"/>
  <c r="AB99" i="124"/>
  <c r="AC99" i="124"/>
  <c r="AF99" i="124"/>
  <c r="AG99" i="124"/>
  <c r="N100" i="124"/>
  <c r="AB100" i="124"/>
  <c r="AC100" i="124"/>
  <c r="AF100" i="124"/>
  <c r="AG100" i="124"/>
  <c r="N101" i="124"/>
  <c r="AB101" i="124"/>
  <c r="AC101" i="124"/>
  <c r="AF101" i="124"/>
  <c r="AG101" i="124"/>
  <c r="N102" i="124"/>
  <c r="AB102" i="124"/>
  <c r="AC102" i="124"/>
  <c r="AF102" i="124"/>
  <c r="AG102" i="124"/>
  <c r="N103" i="124"/>
  <c r="AB103" i="124"/>
  <c r="AC103" i="124"/>
  <c r="AF103" i="124"/>
  <c r="AG103" i="124"/>
  <c r="N104" i="124"/>
  <c r="AB104" i="124"/>
  <c r="AC104" i="124"/>
  <c r="AF104" i="124"/>
  <c r="AG104" i="124"/>
  <c r="N105" i="124"/>
  <c r="AB105" i="124"/>
  <c r="AC105" i="124"/>
  <c r="AF105" i="124"/>
  <c r="AG105" i="124"/>
  <c r="N106" i="124"/>
  <c r="AB106" i="124"/>
  <c r="AC106" i="124"/>
  <c r="AF106" i="124"/>
  <c r="AG106" i="124"/>
  <c r="N107" i="124"/>
  <c r="AB107" i="124"/>
  <c r="AC107" i="124"/>
  <c r="AF107" i="124"/>
  <c r="AG107" i="124"/>
  <c r="N108" i="124"/>
  <c r="AB108" i="124"/>
  <c r="AC108" i="124"/>
  <c r="AF108" i="124"/>
  <c r="AG108" i="124"/>
  <c r="N109" i="124"/>
  <c r="AB109" i="124"/>
  <c r="AC109" i="124"/>
  <c r="AF109" i="124"/>
  <c r="AG109" i="124"/>
  <c r="N5" i="105"/>
  <c r="T5" i="105"/>
  <c r="AJ5" i="105"/>
  <c r="AK5" i="105"/>
  <c r="AL5" i="105"/>
  <c r="AM5" i="105"/>
  <c r="N6" i="105"/>
  <c r="T6" i="105"/>
  <c r="AJ6" i="105"/>
  <c r="AK6" i="105"/>
  <c r="AL6" i="105"/>
  <c r="AM6" i="105"/>
  <c r="N7" i="105"/>
  <c r="T7" i="105"/>
  <c r="AJ7" i="105"/>
  <c r="AK7" i="105"/>
  <c r="AL7" i="105"/>
  <c r="AM7" i="105"/>
  <c r="N8" i="105"/>
  <c r="T8" i="105"/>
  <c r="AJ8" i="105"/>
  <c r="AK8" i="105"/>
  <c r="AL8" i="105"/>
  <c r="AM8" i="105"/>
  <c r="N9" i="105"/>
  <c r="T9" i="105"/>
  <c r="AJ9" i="105"/>
  <c r="AK9" i="105"/>
  <c r="AL9" i="105"/>
  <c r="AM9" i="105"/>
  <c r="N10" i="105"/>
  <c r="T10" i="105"/>
  <c r="AJ10" i="105"/>
  <c r="AK10" i="105"/>
  <c r="AL10" i="105"/>
  <c r="AM10" i="105"/>
  <c r="N11" i="105"/>
  <c r="T11" i="105"/>
  <c r="AJ11" i="105"/>
  <c r="AK11" i="105"/>
  <c r="AL11" i="105"/>
  <c r="AM11" i="105"/>
  <c r="N12" i="105"/>
  <c r="T12" i="105"/>
  <c r="AJ12" i="105"/>
  <c r="AK12" i="105"/>
  <c r="AL12" i="105"/>
  <c r="AM12" i="105"/>
  <c r="N13" i="105"/>
  <c r="T13" i="105"/>
  <c r="AJ13" i="105"/>
  <c r="AK13" i="105"/>
  <c r="AL13" i="105"/>
  <c r="AM13" i="105"/>
  <c r="N14" i="105"/>
  <c r="T14" i="105"/>
  <c r="AJ14" i="105"/>
  <c r="AK14" i="105"/>
  <c r="AL14" i="105"/>
  <c r="AM14" i="105"/>
  <c r="N15" i="105"/>
  <c r="T15" i="105"/>
  <c r="AJ15" i="105"/>
  <c r="AK15" i="105"/>
  <c r="AL15" i="105"/>
  <c r="AM15" i="105"/>
  <c r="N16" i="105"/>
  <c r="T16" i="105"/>
  <c r="AJ16" i="105"/>
  <c r="AK16" i="105"/>
  <c r="AL16" i="105"/>
  <c r="AM16" i="105"/>
  <c r="N17" i="105"/>
  <c r="T17" i="105"/>
  <c r="AJ17" i="105"/>
  <c r="AK17" i="105"/>
  <c r="AL17" i="105"/>
  <c r="AM17" i="105"/>
  <c r="N18" i="105"/>
  <c r="T18" i="105"/>
  <c r="AJ18" i="105"/>
  <c r="AK18" i="105"/>
  <c r="AL18" i="105"/>
  <c r="AM18" i="105"/>
  <c r="N19" i="105"/>
  <c r="T19" i="105"/>
  <c r="AJ19" i="105"/>
  <c r="AK19" i="105"/>
  <c r="AL19" i="105"/>
  <c r="AM19" i="105"/>
  <c r="N20" i="105"/>
  <c r="T20" i="105"/>
  <c r="AJ20" i="105"/>
  <c r="AK20" i="105"/>
  <c r="AL20" i="105"/>
  <c r="AM20" i="105"/>
  <c r="N21" i="105"/>
  <c r="T21" i="105"/>
  <c r="AJ21" i="105"/>
  <c r="AK21" i="105"/>
  <c r="AL21" i="105"/>
  <c r="AM21" i="105"/>
  <c r="N22" i="105"/>
  <c r="T22" i="105"/>
  <c r="AJ22" i="105"/>
  <c r="AK22" i="105"/>
  <c r="AL22" i="105"/>
  <c r="AM22" i="105"/>
  <c r="N23" i="105"/>
  <c r="T23" i="105"/>
  <c r="AJ23" i="105"/>
  <c r="AK23" i="105"/>
  <c r="AL23" i="105"/>
  <c r="AM23" i="105"/>
  <c r="N24" i="105"/>
  <c r="T24" i="105"/>
  <c r="AJ24" i="105"/>
  <c r="AK24" i="105"/>
  <c r="AL24" i="105"/>
  <c r="AM24" i="105"/>
  <c r="N25" i="105"/>
  <c r="T25" i="105"/>
  <c r="AJ25" i="105"/>
  <c r="AK25" i="105"/>
  <c r="AL25" i="105"/>
  <c r="AM25" i="105"/>
  <c r="N26" i="105"/>
  <c r="T26" i="105"/>
  <c r="AJ26" i="105"/>
  <c r="AK26" i="105"/>
  <c r="AL26" i="105"/>
  <c r="AM26" i="105"/>
  <c r="N27" i="105"/>
  <c r="T27" i="105"/>
  <c r="AJ27" i="105"/>
  <c r="AK27" i="105"/>
  <c r="AL27" i="105"/>
  <c r="AM27" i="105"/>
  <c r="N28" i="105"/>
  <c r="T28" i="105"/>
  <c r="AJ28" i="105"/>
  <c r="AK28" i="105"/>
  <c r="AL28" i="105"/>
  <c r="AM28" i="105"/>
  <c r="N29" i="105"/>
  <c r="T29" i="105"/>
  <c r="AJ29" i="105"/>
  <c r="AK29" i="105"/>
  <c r="AL29" i="105"/>
  <c r="AM29" i="105"/>
  <c r="N30" i="105"/>
  <c r="T30" i="105"/>
  <c r="AJ30" i="105"/>
  <c r="AK30" i="105"/>
  <c r="AL30" i="105"/>
  <c r="AM30" i="105"/>
  <c r="N31" i="105"/>
  <c r="T31" i="105"/>
  <c r="AJ31" i="105"/>
  <c r="AK31" i="105"/>
  <c r="AL31" i="105"/>
  <c r="AM31" i="105"/>
  <c r="N32" i="105"/>
  <c r="T32" i="105"/>
  <c r="AJ32" i="105"/>
  <c r="AK32" i="105"/>
  <c r="AL32" i="105"/>
  <c r="AM32" i="105"/>
  <c r="N33" i="105"/>
  <c r="T33" i="105"/>
  <c r="AJ33" i="105"/>
  <c r="AK33" i="105"/>
  <c r="AL33" i="105"/>
  <c r="AM33" i="105"/>
  <c r="N34" i="105"/>
  <c r="T34" i="105"/>
  <c r="AJ34" i="105"/>
  <c r="AK34" i="105"/>
  <c r="AL34" i="105"/>
  <c r="AM34" i="105"/>
  <c r="N35" i="105"/>
  <c r="T35" i="105"/>
  <c r="AJ35" i="105"/>
  <c r="AK35" i="105"/>
  <c r="AL35" i="105"/>
  <c r="AM35" i="105"/>
  <c r="N36" i="105"/>
  <c r="T36" i="105"/>
  <c r="AJ36" i="105"/>
  <c r="AK36" i="105"/>
  <c r="AL36" i="105"/>
  <c r="AM36" i="105"/>
  <c r="N37" i="105"/>
  <c r="T37" i="105"/>
  <c r="AJ37" i="105"/>
  <c r="AK37" i="105"/>
  <c r="AL37" i="105"/>
  <c r="AM37" i="105"/>
  <c r="N38" i="105"/>
  <c r="T38" i="105"/>
  <c r="AJ38" i="105"/>
  <c r="AK38" i="105"/>
  <c r="AL38" i="105"/>
  <c r="AM38" i="105"/>
  <c r="N39" i="105"/>
  <c r="T39" i="105"/>
  <c r="AJ39" i="105"/>
  <c r="AK39" i="105"/>
  <c r="AL39" i="105"/>
  <c r="AM39" i="105"/>
  <c r="N40" i="105"/>
  <c r="T40" i="105"/>
  <c r="AJ40" i="105"/>
  <c r="AK40" i="105"/>
  <c r="AL40" i="105"/>
  <c r="AM40" i="105"/>
  <c r="N41" i="105"/>
  <c r="T41" i="105"/>
  <c r="AJ41" i="105"/>
  <c r="AK41" i="105"/>
  <c r="AL41" i="105"/>
  <c r="AM41" i="105"/>
  <c r="N42" i="105"/>
  <c r="T42" i="105"/>
  <c r="AJ42" i="105"/>
  <c r="AK42" i="105"/>
  <c r="AL42" i="105"/>
  <c r="AM42" i="105"/>
  <c r="N43" i="105"/>
  <c r="T43" i="105"/>
  <c r="AJ43" i="105"/>
  <c r="AK43" i="105"/>
  <c r="AL43" i="105"/>
  <c r="AM43" i="105"/>
  <c r="N44" i="105"/>
  <c r="T44" i="105"/>
  <c r="AJ44" i="105"/>
  <c r="AK44" i="105"/>
  <c r="AL44" i="105"/>
  <c r="AM44" i="105"/>
  <c r="N45" i="105"/>
  <c r="T45" i="105"/>
  <c r="AJ45" i="105"/>
  <c r="AK45" i="105"/>
  <c r="AL45" i="105"/>
  <c r="AM45" i="105"/>
  <c r="N46" i="105"/>
  <c r="T46" i="105"/>
  <c r="AJ46" i="105"/>
  <c r="AK46" i="105"/>
  <c r="AL46" i="105"/>
  <c r="AM46" i="105"/>
  <c r="N47" i="105"/>
  <c r="T47" i="105"/>
  <c r="AJ47" i="105"/>
  <c r="AK47" i="105"/>
  <c r="AL47" i="105"/>
  <c r="AM47" i="105"/>
  <c r="N48" i="105"/>
  <c r="T48" i="105"/>
  <c r="AJ48" i="105"/>
  <c r="AK48" i="105"/>
  <c r="AL48" i="105"/>
  <c r="AM48" i="105"/>
  <c r="N49" i="105"/>
  <c r="T49" i="105"/>
  <c r="AJ49" i="105"/>
  <c r="AK49" i="105"/>
  <c r="AL49" i="105"/>
  <c r="AM49" i="105"/>
  <c r="N50" i="105"/>
  <c r="T50" i="105"/>
  <c r="AJ50" i="105"/>
  <c r="AK50" i="105"/>
  <c r="AL50" i="105"/>
  <c r="AM50" i="105"/>
  <c r="N51" i="105"/>
  <c r="T51" i="105"/>
  <c r="AJ51" i="105"/>
  <c r="AK51" i="105"/>
  <c r="AL51" i="105"/>
  <c r="AM51" i="105"/>
  <c r="N52" i="105"/>
  <c r="T52" i="105"/>
  <c r="AJ52" i="105"/>
  <c r="AK52" i="105"/>
  <c r="AL52" i="105"/>
  <c r="AM52" i="105"/>
  <c r="N53" i="105"/>
  <c r="T53" i="105"/>
  <c r="AJ53" i="105"/>
  <c r="AK53" i="105"/>
  <c r="AL53" i="105"/>
  <c r="AM53" i="105"/>
  <c r="N54" i="105"/>
  <c r="T54" i="105"/>
  <c r="AJ54" i="105"/>
  <c r="AK54" i="105"/>
  <c r="AL54" i="105"/>
  <c r="AM54" i="105"/>
  <c r="N56" i="105"/>
  <c r="T56" i="105"/>
  <c r="AJ56" i="105"/>
  <c r="AK56" i="105"/>
  <c r="AL56" i="105"/>
  <c r="AM56" i="105"/>
  <c r="N61" i="105"/>
  <c r="AE61" i="105"/>
  <c r="AF61" i="105"/>
  <c r="AJ61" i="105"/>
  <c r="AK61" i="105"/>
  <c r="N5" i="106"/>
  <c r="T5" i="106"/>
  <c r="AE5" i="106"/>
  <c r="AF5" i="106"/>
  <c r="AG5" i="106"/>
  <c r="AJ5" i="106"/>
  <c r="AK5" i="106"/>
  <c r="AL5" i="106"/>
  <c r="AM5" i="106"/>
  <c r="AO5" i="106"/>
  <c r="AP5" i="106"/>
  <c r="N6" i="106"/>
  <c r="T6" i="106"/>
  <c r="AE6" i="106"/>
  <c r="AF6" i="106"/>
  <c r="AG6" i="106"/>
  <c r="AJ6" i="106"/>
  <c r="AK6" i="106"/>
  <c r="AL6" i="106"/>
  <c r="AM6" i="106"/>
  <c r="AO6" i="106"/>
  <c r="AP6" i="106"/>
  <c r="N7" i="106"/>
  <c r="T7" i="106"/>
  <c r="AE7" i="106"/>
  <c r="AF7" i="106"/>
  <c r="AG7" i="106"/>
  <c r="AJ7" i="106"/>
  <c r="AK7" i="106"/>
  <c r="AL7" i="106"/>
  <c r="AM7" i="106"/>
  <c r="AO7" i="106"/>
  <c r="AP7" i="106"/>
  <c r="N8" i="106"/>
  <c r="T8" i="106"/>
  <c r="AE8" i="106"/>
  <c r="AF8" i="106"/>
  <c r="AG8" i="106"/>
  <c r="AJ8" i="106"/>
  <c r="AK8" i="106"/>
  <c r="AL8" i="106"/>
  <c r="AM8" i="106"/>
  <c r="AO8" i="106"/>
  <c r="AP8" i="106"/>
  <c r="N9" i="106"/>
  <c r="T9" i="106"/>
  <c r="AF9" i="106"/>
  <c r="AG9" i="106"/>
  <c r="AJ9" i="106"/>
  <c r="AK9" i="106"/>
  <c r="AL9" i="106"/>
  <c r="AM9" i="106"/>
  <c r="AP9" i="106"/>
  <c r="N10" i="106"/>
  <c r="T10" i="106"/>
  <c r="AF10" i="106"/>
  <c r="AG10" i="106"/>
  <c r="AJ10" i="106"/>
  <c r="AK10" i="106"/>
  <c r="AL10" i="106"/>
  <c r="AM10" i="106"/>
  <c r="AP10" i="106"/>
  <c r="N11" i="106"/>
  <c r="T11" i="106"/>
  <c r="AF11" i="106"/>
  <c r="AG11" i="106"/>
  <c r="AJ11" i="106"/>
  <c r="AK11" i="106"/>
  <c r="AL11" i="106"/>
  <c r="AM11" i="106"/>
  <c r="AP11" i="106"/>
  <c r="N12" i="106"/>
  <c r="T12" i="106"/>
  <c r="AE12" i="106"/>
  <c r="AF12" i="106"/>
  <c r="AG12" i="106"/>
  <c r="AJ12" i="106"/>
  <c r="AK12" i="106"/>
  <c r="AL12" i="106"/>
  <c r="AM12" i="106"/>
  <c r="AO12" i="106"/>
  <c r="AP12" i="106"/>
  <c r="N13" i="106"/>
  <c r="T13" i="106"/>
  <c r="AE13" i="106"/>
  <c r="AF13" i="106"/>
  <c r="AG13" i="106"/>
  <c r="AJ13" i="106"/>
  <c r="AK13" i="106"/>
  <c r="AL13" i="106"/>
  <c r="AM13" i="106"/>
  <c r="AO13" i="106"/>
  <c r="AP13" i="106"/>
  <c r="N14" i="106"/>
  <c r="T14" i="106"/>
  <c r="AE14" i="106"/>
  <c r="AF14" i="106"/>
  <c r="AG14" i="106"/>
  <c r="AJ14" i="106"/>
  <c r="AK14" i="106"/>
  <c r="AL14" i="106"/>
  <c r="AM14" i="106"/>
  <c r="AO14" i="106"/>
  <c r="AP14" i="106"/>
  <c r="N15" i="106"/>
  <c r="T15" i="106"/>
  <c r="AE15" i="106"/>
  <c r="AF15" i="106"/>
  <c r="AG15" i="106"/>
  <c r="AJ15" i="106"/>
  <c r="AK15" i="106"/>
  <c r="AL15" i="106"/>
  <c r="AM15" i="106"/>
  <c r="AO15" i="106"/>
  <c r="AP15" i="106"/>
  <c r="N16" i="106"/>
  <c r="T16" i="106"/>
  <c r="AE16" i="106"/>
  <c r="AF16" i="106"/>
  <c r="AG16" i="106"/>
  <c r="AJ16" i="106"/>
  <c r="AK16" i="106"/>
  <c r="AL16" i="106"/>
  <c r="AM16" i="106"/>
  <c r="AO16" i="106"/>
  <c r="AP16" i="106"/>
  <c r="N17" i="106"/>
  <c r="T17" i="106"/>
  <c r="AE17" i="106"/>
  <c r="AF17" i="106"/>
  <c r="AG17" i="106"/>
  <c r="AJ17" i="106"/>
  <c r="AK17" i="106"/>
  <c r="AL17" i="106"/>
  <c r="AM17" i="106"/>
  <c r="AO17" i="106"/>
  <c r="AP17" i="106"/>
  <c r="N18" i="106"/>
  <c r="T18" i="106"/>
  <c r="AE18" i="106"/>
  <c r="AF18" i="106"/>
  <c r="AG18" i="106"/>
  <c r="AJ18" i="106"/>
  <c r="AK18" i="106"/>
  <c r="AL18" i="106"/>
  <c r="AM18" i="106"/>
  <c r="AO18" i="106"/>
  <c r="AP18" i="106"/>
  <c r="N19" i="106"/>
  <c r="T19" i="106"/>
  <c r="AE19" i="106"/>
  <c r="AF19" i="106"/>
  <c r="AG19" i="106"/>
  <c r="AJ19" i="106"/>
  <c r="AK19" i="106"/>
  <c r="AL19" i="106"/>
  <c r="AM19" i="106"/>
  <c r="AO19" i="106"/>
  <c r="AP19" i="106"/>
  <c r="N20" i="106"/>
  <c r="T20" i="106"/>
  <c r="AE20" i="106"/>
  <c r="AF20" i="106"/>
  <c r="AG20" i="106"/>
  <c r="AJ20" i="106"/>
  <c r="AK20" i="106"/>
  <c r="AL20" i="106"/>
  <c r="AM20" i="106"/>
  <c r="AO20" i="106"/>
  <c r="AP20" i="106"/>
  <c r="N21" i="106"/>
  <c r="T21" i="106"/>
  <c r="AE21" i="106"/>
  <c r="AF21" i="106"/>
  <c r="AG21" i="106"/>
  <c r="AJ21" i="106"/>
  <c r="AK21" i="106"/>
  <c r="AL21" i="106"/>
  <c r="AM21" i="106"/>
  <c r="AO21" i="106"/>
  <c r="AP21" i="106"/>
  <c r="N22" i="106"/>
  <c r="T22" i="106"/>
  <c r="AE22" i="106"/>
  <c r="AF22" i="106"/>
  <c r="AG22" i="106"/>
  <c r="AJ22" i="106"/>
  <c r="AK22" i="106"/>
  <c r="AL22" i="106"/>
  <c r="AM22" i="106"/>
  <c r="AO22" i="106"/>
  <c r="AP22" i="106"/>
  <c r="N23" i="106"/>
  <c r="T23" i="106"/>
  <c r="AE23" i="106"/>
  <c r="AF23" i="106"/>
  <c r="AG23" i="106"/>
  <c r="AJ23" i="106"/>
  <c r="AK23" i="106"/>
  <c r="AL23" i="106"/>
  <c r="AM23" i="106"/>
  <c r="AO23" i="106"/>
  <c r="AP23" i="106"/>
  <c r="N24" i="106"/>
  <c r="T24" i="106"/>
  <c r="AE24" i="106"/>
  <c r="AF24" i="106"/>
  <c r="AG24" i="106"/>
  <c r="AJ24" i="106"/>
  <c r="AK24" i="106"/>
  <c r="AL24" i="106"/>
  <c r="AM24" i="106"/>
  <c r="AO24" i="106"/>
  <c r="AP24" i="106"/>
  <c r="N25" i="106"/>
  <c r="T25" i="106"/>
  <c r="AE25" i="106"/>
  <c r="AF25" i="106"/>
  <c r="AG25" i="106"/>
  <c r="AJ25" i="106"/>
  <c r="AK25" i="106"/>
  <c r="AL25" i="106"/>
  <c r="AM25" i="106"/>
  <c r="AO25" i="106"/>
  <c r="AP25" i="106"/>
  <c r="N26" i="106"/>
  <c r="T26" i="106"/>
  <c r="AE26" i="106"/>
  <c r="AF26" i="106"/>
  <c r="AG26" i="106"/>
  <c r="AJ26" i="106"/>
  <c r="AK26" i="106"/>
  <c r="AL26" i="106"/>
  <c r="AM26" i="106"/>
  <c r="AO26" i="106"/>
  <c r="AP26" i="106"/>
  <c r="N27" i="106"/>
  <c r="T27" i="106"/>
  <c r="AE27" i="106"/>
  <c r="AF27" i="106"/>
  <c r="AG27" i="106"/>
  <c r="AJ27" i="106"/>
  <c r="AK27" i="106"/>
  <c r="AL27" i="106"/>
  <c r="AM27" i="106"/>
  <c r="AO27" i="106"/>
  <c r="AP27" i="106"/>
  <c r="N28" i="106"/>
  <c r="T28" i="106"/>
  <c r="AE28" i="106"/>
  <c r="AF28" i="106"/>
  <c r="AG28" i="106"/>
  <c r="AJ28" i="106"/>
  <c r="AK28" i="106"/>
  <c r="AL28" i="106"/>
  <c r="AM28" i="106"/>
  <c r="AO28" i="106"/>
  <c r="AP28" i="106"/>
  <c r="N29" i="106"/>
  <c r="T29" i="106"/>
  <c r="AE29" i="106"/>
  <c r="AF29" i="106"/>
  <c r="AG29" i="106"/>
  <c r="AJ29" i="106"/>
  <c r="AK29" i="106"/>
  <c r="AL29" i="106"/>
  <c r="AM29" i="106"/>
  <c r="AO29" i="106"/>
  <c r="AP29" i="106"/>
  <c r="N30" i="106"/>
  <c r="T30" i="106"/>
  <c r="AE30" i="106"/>
  <c r="AF30" i="106"/>
  <c r="AG30" i="106"/>
  <c r="AJ30" i="106"/>
  <c r="AK30" i="106"/>
  <c r="AL30" i="106"/>
  <c r="AM30" i="106"/>
  <c r="AO30" i="106"/>
  <c r="AP30" i="106"/>
  <c r="N31" i="106"/>
  <c r="T31" i="106"/>
  <c r="AE31" i="106"/>
  <c r="AF31" i="106"/>
  <c r="AG31" i="106"/>
  <c r="AJ31" i="106"/>
  <c r="AK31" i="106"/>
  <c r="AL31" i="106"/>
  <c r="AM31" i="106"/>
  <c r="AO31" i="106"/>
  <c r="AP31" i="106"/>
  <c r="N32" i="106"/>
  <c r="T32" i="106"/>
  <c r="AE32" i="106"/>
  <c r="AF32" i="106"/>
  <c r="AG32" i="106"/>
  <c r="AJ32" i="106"/>
  <c r="AK32" i="106"/>
  <c r="AL32" i="106"/>
  <c r="AM32" i="106"/>
  <c r="AO32" i="106"/>
  <c r="AP32" i="106"/>
  <c r="N33" i="106"/>
  <c r="T33" i="106"/>
  <c r="AE33" i="106"/>
  <c r="AF33" i="106"/>
  <c r="AG33" i="106"/>
  <c r="AJ33" i="106"/>
  <c r="AK33" i="106"/>
  <c r="AL33" i="106"/>
  <c r="AM33" i="106"/>
  <c r="AO33" i="106"/>
  <c r="AP33" i="106"/>
  <c r="N34" i="106"/>
  <c r="T34" i="106"/>
  <c r="AE34" i="106"/>
  <c r="AF34" i="106"/>
  <c r="AG34" i="106"/>
  <c r="AJ34" i="106"/>
  <c r="AK34" i="106"/>
  <c r="AL34" i="106"/>
  <c r="AM34" i="106"/>
  <c r="AO34" i="106"/>
  <c r="AP34" i="106"/>
  <c r="N35" i="106"/>
  <c r="T35" i="106"/>
  <c r="AE35" i="106"/>
  <c r="AF35" i="106"/>
  <c r="AG35" i="106"/>
  <c r="AJ35" i="106"/>
  <c r="AK35" i="106"/>
  <c r="AL35" i="106"/>
  <c r="AM35" i="106"/>
  <c r="AO35" i="106"/>
  <c r="AP35" i="106"/>
  <c r="N36" i="106"/>
  <c r="T36" i="106"/>
  <c r="AE36" i="106"/>
  <c r="AF36" i="106"/>
  <c r="AG36" i="106"/>
  <c r="AJ36" i="106"/>
  <c r="AK36" i="106"/>
  <c r="AL36" i="106"/>
  <c r="AM36" i="106"/>
  <c r="AO36" i="106"/>
  <c r="AP36" i="106"/>
  <c r="N37" i="106"/>
  <c r="T37" i="106"/>
  <c r="AE37" i="106"/>
  <c r="AF37" i="106"/>
  <c r="AG37" i="106"/>
  <c r="AJ37" i="106"/>
  <c r="AK37" i="106"/>
  <c r="AL37" i="106"/>
  <c r="AM37" i="106"/>
  <c r="AO37" i="106"/>
  <c r="AP37" i="106"/>
  <c r="N38" i="106"/>
  <c r="T38" i="106"/>
  <c r="AE38" i="106"/>
  <c r="AF38" i="106"/>
  <c r="AG38" i="106"/>
  <c r="AJ38" i="106"/>
  <c r="AK38" i="106"/>
  <c r="AL38" i="106"/>
  <c r="AM38" i="106"/>
  <c r="AO38" i="106"/>
  <c r="AP38" i="106"/>
  <c r="N39" i="106"/>
  <c r="T39" i="106"/>
  <c r="AE39" i="106"/>
  <c r="AF39" i="106"/>
  <c r="AG39" i="106"/>
  <c r="AJ39" i="106"/>
  <c r="AK39" i="106"/>
  <c r="AL39" i="106"/>
  <c r="AM39" i="106"/>
  <c r="AO39" i="106"/>
  <c r="AP39" i="106"/>
  <c r="N40" i="106"/>
  <c r="T40" i="106"/>
  <c r="AE40" i="106"/>
  <c r="AF40" i="106"/>
  <c r="AG40" i="106"/>
  <c r="AJ40" i="106"/>
  <c r="AK40" i="106"/>
  <c r="AL40" i="106"/>
  <c r="AM40" i="106"/>
  <c r="AO40" i="106"/>
  <c r="AP40" i="106"/>
  <c r="N41" i="106"/>
  <c r="T41" i="106"/>
  <c r="AE41" i="106"/>
  <c r="AF41" i="106"/>
  <c r="AG41" i="106"/>
  <c r="AJ41" i="106"/>
  <c r="AK41" i="106"/>
  <c r="AL41" i="106"/>
  <c r="AM41" i="106"/>
  <c r="AO41" i="106"/>
  <c r="AP41" i="106"/>
  <c r="N42" i="106"/>
  <c r="T42" i="106"/>
  <c r="AE42" i="106"/>
  <c r="AF42" i="106"/>
  <c r="AG42" i="106"/>
  <c r="AJ42" i="106"/>
  <c r="AK42" i="106"/>
  <c r="AL42" i="106"/>
  <c r="AM42" i="106"/>
  <c r="AO42" i="106"/>
  <c r="AP42" i="106"/>
  <c r="N43" i="106"/>
  <c r="T43" i="106"/>
  <c r="AE43" i="106"/>
  <c r="AF43" i="106"/>
  <c r="AG43" i="106"/>
  <c r="AJ43" i="106"/>
  <c r="AK43" i="106"/>
  <c r="AL43" i="106"/>
  <c r="AM43" i="106"/>
  <c r="AO43" i="106"/>
  <c r="AP43" i="106"/>
  <c r="N44" i="106"/>
  <c r="T44" i="106"/>
  <c r="AE44" i="106"/>
  <c r="AF44" i="106"/>
  <c r="AG44" i="106"/>
  <c r="AJ44" i="106"/>
  <c r="AK44" i="106"/>
  <c r="AL44" i="106"/>
  <c r="AM44" i="106"/>
  <c r="AO44" i="106"/>
  <c r="AP44" i="106"/>
  <c r="N45" i="106"/>
  <c r="T45" i="106"/>
  <c r="AE45" i="106"/>
  <c r="AF45" i="106"/>
  <c r="AG45" i="106"/>
  <c r="AJ45" i="106"/>
  <c r="AK45" i="106"/>
  <c r="AL45" i="106"/>
  <c r="AM45" i="106"/>
  <c r="AO45" i="106"/>
  <c r="AP45" i="106"/>
  <c r="N46" i="106"/>
  <c r="T46" i="106"/>
  <c r="AE46" i="106"/>
  <c r="AF46" i="106"/>
  <c r="AG46" i="106"/>
  <c r="AJ46" i="106"/>
  <c r="AK46" i="106"/>
  <c r="AL46" i="106"/>
  <c r="AM46" i="106"/>
  <c r="AO46" i="106"/>
  <c r="AP46" i="106"/>
  <c r="N47" i="106"/>
  <c r="T47" i="106"/>
  <c r="AE47" i="106"/>
  <c r="AF47" i="106"/>
  <c r="AG47" i="106"/>
  <c r="AJ47" i="106"/>
  <c r="AK47" i="106"/>
  <c r="AL47" i="106"/>
  <c r="AM47" i="106"/>
  <c r="AO47" i="106"/>
  <c r="AP47" i="106"/>
  <c r="N48" i="106"/>
  <c r="T48" i="106"/>
  <c r="AE48" i="106"/>
  <c r="AF48" i="106"/>
  <c r="AG48" i="106"/>
  <c r="AJ48" i="106"/>
  <c r="AK48" i="106"/>
  <c r="AL48" i="106"/>
  <c r="AM48" i="106"/>
  <c r="AO48" i="106"/>
  <c r="AP48" i="106"/>
  <c r="N49" i="106"/>
  <c r="T49" i="106"/>
  <c r="AE49" i="106"/>
  <c r="AF49" i="106"/>
  <c r="AG49" i="106"/>
  <c r="AJ49" i="106"/>
  <c r="AK49" i="106"/>
  <c r="AL49" i="106"/>
  <c r="AM49" i="106"/>
  <c r="AO49" i="106"/>
  <c r="AP49" i="106"/>
  <c r="N50" i="106"/>
  <c r="T50" i="106"/>
  <c r="AE50" i="106"/>
  <c r="AF50" i="106"/>
  <c r="AG50" i="106"/>
  <c r="AJ50" i="106"/>
  <c r="AK50" i="106"/>
  <c r="AL50" i="106"/>
  <c r="AM50" i="106"/>
  <c r="AO50" i="106"/>
  <c r="AP50" i="106"/>
  <c r="N51" i="106"/>
  <c r="T51" i="106"/>
  <c r="AE51" i="106"/>
  <c r="AF51" i="106"/>
  <c r="AG51" i="106"/>
  <c r="AJ51" i="106"/>
  <c r="AK51" i="106"/>
  <c r="AL51" i="106"/>
  <c r="AM51" i="106"/>
  <c r="AO51" i="106"/>
  <c r="AP51" i="106"/>
  <c r="N52" i="106"/>
  <c r="T52" i="106"/>
  <c r="AE52" i="106"/>
  <c r="AF52" i="106"/>
  <c r="AG52" i="106"/>
  <c r="AJ52" i="106"/>
  <c r="AK52" i="106"/>
  <c r="AL52" i="106"/>
  <c r="AM52" i="106"/>
  <c r="AO52" i="106"/>
  <c r="AP52" i="106"/>
  <c r="N53" i="106"/>
  <c r="T53" i="106"/>
  <c r="AE53" i="106"/>
  <c r="AF53" i="106"/>
  <c r="AG53" i="106"/>
  <c r="AJ53" i="106"/>
  <c r="AK53" i="106"/>
  <c r="AL53" i="106"/>
  <c r="AM53" i="106"/>
  <c r="AO53" i="106"/>
  <c r="AP53" i="106"/>
  <c r="N54" i="106"/>
  <c r="T54" i="106"/>
  <c r="AE54" i="106"/>
  <c r="AF54" i="106"/>
  <c r="AG54" i="106"/>
  <c r="AJ54" i="106"/>
  <c r="AK54" i="106"/>
  <c r="AL54" i="106"/>
  <c r="AM54" i="106"/>
  <c r="AO54" i="106"/>
  <c r="AP54" i="106"/>
  <c r="N56" i="106"/>
  <c r="T56" i="106"/>
  <c r="AE56" i="106"/>
  <c r="AF56" i="106"/>
  <c r="AG56" i="106"/>
  <c r="AJ56" i="106"/>
  <c r="AK56" i="106"/>
  <c r="AL56" i="106"/>
  <c r="AM56" i="106"/>
  <c r="AO56" i="106"/>
  <c r="AP56" i="106"/>
  <c r="AO58" i="106"/>
  <c r="AP58" i="106"/>
  <c r="AE61" i="106"/>
  <c r="AF61" i="106"/>
  <c r="N5" i="120"/>
  <c r="T5" i="120"/>
  <c r="AE5" i="120"/>
  <c r="AF5" i="120"/>
  <c r="AG5" i="120"/>
  <c r="AJ5" i="120"/>
  <c r="AK5" i="120"/>
  <c r="AL5" i="120"/>
  <c r="AM5" i="120"/>
  <c r="AO5" i="120"/>
  <c r="AP5" i="120"/>
  <c r="AW5" i="120"/>
  <c r="AX5" i="120"/>
  <c r="AZ5" i="120"/>
  <c r="N6" i="120"/>
  <c r="T6" i="120"/>
  <c r="AE6" i="120"/>
  <c r="AF6" i="120"/>
  <c r="AG6" i="120"/>
  <c r="AJ6" i="120"/>
  <c r="AK6" i="120"/>
  <c r="AL6" i="120"/>
  <c r="AM6" i="120"/>
  <c r="AO6" i="120"/>
  <c r="AP6" i="120"/>
  <c r="AW6" i="120"/>
  <c r="AX6" i="120"/>
  <c r="AZ6" i="120"/>
  <c r="N7" i="120"/>
  <c r="T7" i="120"/>
  <c r="AE7" i="120"/>
  <c r="AF7" i="120"/>
  <c r="AG7" i="120"/>
  <c r="AJ7" i="120"/>
  <c r="AK7" i="120"/>
  <c r="AL7" i="120"/>
  <c r="AM7" i="120"/>
  <c r="AO7" i="120"/>
  <c r="AP7" i="120"/>
  <c r="AW7" i="120"/>
  <c r="AX7" i="120"/>
  <c r="AZ7" i="120"/>
  <c r="N8" i="120"/>
  <c r="T8" i="120"/>
  <c r="AE8" i="120"/>
  <c r="AF8" i="120"/>
  <c r="AG8" i="120"/>
  <c r="AJ8" i="120"/>
  <c r="AK8" i="120"/>
  <c r="AL8" i="120"/>
  <c r="AM8" i="120"/>
  <c r="AO8" i="120"/>
  <c r="AP8" i="120"/>
  <c r="AW8" i="120"/>
  <c r="AX8" i="120"/>
  <c r="AZ8" i="120"/>
  <c r="N9" i="120"/>
  <c r="T9" i="120"/>
  <c r="AF9" i="120"/>
  <c r="AG9" i="120"/>
  <c r="AJ9" i="120"/>
  <c r="AK9" i="120"/>
  <c r="AL9" i="120"/>
  <c r="AM9" i="120"/>
  <c r="AP9" i="120"/>
  <c r="AW9" i="120"/>
  <c r="AX9" i="120"/>
  <c r="AZ9" i="120"/>
  <c r="N10" i="120"/>
  <c r="T10" i="120"/>
  <c r="AF10" i="120"/>
  <c r="AG10" i="120"/>
  <c r="AJ10" i="120"/>
  <c r="AK10" i="120"/>
  <c r="AL10" i="120"/>
  <c r="AM10" i="120"/>
  <c r="AP10" i="120"/>
  <c r="AW10" i="120"/>
  <c r="AX10" i="120"/>
  <c r="AZ10" i="120"/>
  <c r="N11" i="120"/>
  <c r="T11" i="120"/>
  <c r="AF11" i="120"/>
  <c r="AG11" i="120"/>
  <c r="AJ11" i="120"/>
  <c r="AK11" i="120"/>
  <c r="AL11" i="120"/>
  <c r="AM11" i="120"/>
  <c r="AP11" i="120"/>
  <c r="AW11" i="120"/>
  <c r="AX11" i="120"/>
  <c r="AZ11" i="120"/>
  <c r="N12" i="120"/>
  <c r="T12" i="120"/>
  <c r="AE12" i="120"/>
  <c r="AF12" i="120"/>
  <c r="AG12" i="120"/>
  <c r="AJ12" i="120"/>
  <c r="AK12" i="120"/>
  <c r="AL12" i="120"/>
  <c r="AM12" i="120"/>
  <c r="AO12" i="120"/>
  <c r="AP12" i="120"/>
  <c r="AW12" i="120"/>
  <c r="AX12" i="120"/>
  <c r="AZ12" i="120"/>
  <c r="N13" i="120"/>
  <c r="T13" i="120"/>
  <c r="AE13" i="120"/>
  <c r="AF13" i="120"/>
  <c r="AG13" i="120"/>
  <c r="AJ13" i="120"/>
  <c r="AK13" i="120"/>
  <c r="AL13" i="120"/>
  <c r="AM13" i="120"/>
  <c r="AO13" i="120"/>
  <c r="AP13" i="120"/>
  <c r="AW13" i="120"/>
  <c r="AX13" i="120"/>
  <c r="AZ13" i="120"/>
  <c r="N14" i="120"/>
  <c r="T14" i="120"/>
  <c r="AE14" i="120"/>
  <c r="AF14" i="120"/>
  <c r="AG14" i="120"/>
  <c r="AJ14" i="120"/>
  <c r="AK14" i="120"/>
  <c r="AL14" i="120"/>
  <c r="AM14" i="120"/>
  <c r="AO14" i="120"/>
  <c r="AP14" i="120"/>
  <c r="AW14" i="120"/>
  <c r="AX14" i="120"/>
  <c r="AZ14" i="120"/>
  <c r="N15" i="120"/>
  <c r="T15" i="120"/>
  <c r="AE15" i="120"/>
  <c r="AF15" i="120"/>
  <c r="AG15" i="120"/>
  <c r="AJ15" i="120"/>
  <c r="AK15" i="120"/>
  <c r="AL15" i="120"/>
  <c r="AM15" i="120"/>
  <c r="AO15" i="120"/>
  <c r="AP15" i="120"/>
  <c r="AW15" i="120"/>
  <c r="AX15" i="120"/>
  <c r="AZ15" i="120"/>
  <c r="N16" i="120"/>
  <c r="T16" i="120"/>
  <c r="AE16" i="120"/>
  <c r="AF16" i="120"/>
  <c r="AG16" i="120"/>
  <c r="AJ16" i="120"/>
  <c r="AK16" i="120"/>
  <c r="AL16" i="120"/>
  <c r="AM16" i="120"/>
  <c r="AO16" i="120"/>
  <c r="AP16" i="120"/>
  <c r="AW16" i="120"/>
  <c r="AX16" i="120"/>
  <c r="AZ16" i="120"/>
  <c r="N17" i="120"/>
  <c r="T17" i="120"/>
  <c r="AE17" i="120"/>
  <c r="AF17" i="120"/>
  <c r="AG17" i="120"/>
  <c r="AJ17" i="120"/>
  <c r="AK17" i="120"/>
  <c r="AL17" i="120"/>
  <c r="AM17" i="120"/>
  <c r="AO17" i="120"/>
  <c r="AP17" i="120"/>
  <c r="AW17" i="120"/>
  <c r="AX17" i="120"/>
  <c r="AZ17" i="120"/>
  <c r="N18" i="120"/>
  <c r="T18" i="120"/>
  <c r="AE18" i="120"/>
  <c r="AF18" i="120"/>
  <c r="AG18" i="120"/>
  <c r="AJ18" i="120"/>
  <c r="AK18" i="120"/>
  <c r="AL18" i="120"/>
  <c r="AM18" i="120"/>
  <c r="AO18" i="120"/>
  <c r="AP18" i="120"/>
  <c r="AW18" i="120"/>
  <c r="AX18" i="120"/>
  <c r="AZ18" i="120"/>
  <c r="N19" i="120"/>
  <c r="T19" i="120"/>
  <c r="AE19" i="120"/>
  <c r="AF19" i="120"/>
  <c r="AG19" i="120"/>
  <c r="AJ19" i="120"/>
  <c r="AK19" i="120"/>
  <c r="AL19" i="120"/>
  <c r="AM19" i="120"/>
  <c r="AO19" i="120"/>
  <c r="AP19" i="120"/>
  <c r="AW19" i="120"/>
  <c r="AX19" i="120"/>
  <c r="AZ19" i="120"/>
  <c r="N20" i="120"/>
  <c r="T20" i="120"/>
  <c r="AE20" i="120"/>
  <c r="AF20" i="120"/>
  <c r="AG20" i="120"/>
  <c r="AJ20" i="120"/>
  <c r="AK20" i="120"/>
  <c r="AL20" i="120"/>
  <c r="AM20" i="120"/>
  <c r="AO20" i="120"/>
  <c r="AP20" i="120"/>
  <c r="AW20" i="120"/>
  <c r="AX20" i="120"/>
  <c r="AZ20" i="120"/>
  <c r="N21" i="120"/>
  <c r="T21" i="120"/>
  <c r="AE21" i="120"/>
  <c r="AF21" i="120"/>
  <c r="AG21" i="120"/>
  <c r="AJ21" i="120"/>
  <c r="AK21" i="120"/>
  <c r="AL21" i="120"/>
  <c r="AM21" i="120"/>
  <c r="AO21" i="120"/>
  <c r="AP21" i="120"/>
  <c r="AW21" i="120"/>
  <c r="AX21" i="120"/>
  <c r="AZ21" i="120"/>
  <c r="N22" i="120"/>
  <c r="T22" i="120"/>
  <c r="AE22" i="120"/>
  <c r="AF22" i="120"/>
  <c r="AG22" i="120"/>
  <c r="AJ22" i="120"/>
  <c r="AK22" i="120"/>
  <c r="AL22" i="120"/>
  <c r="AM22" i="120"/>
  <c r="AO22" i="120"/>
  <c r="AP22" i="120"/>
  <c r="AW22" i="120"/>
  <c r="AX22" i="120"/>
  <c r="AZ22" i="120"/>
  <c r="N23" i="120"/>
  <c r="T23" i="120"/>
  <c r="AE23" i="120"/>
  <c r="AF23" i="120"/>
  <c r="AG23" i="120"/>
  <c r="AJ23" i="120"/>
  <c r="AK23" i="120"/>
  <c r="AL23" i="120"/>
  <c r="AM23" i="120"/>
  <c r="AO23" i="120"/>
  <c r="AP23" i="120"/>
  <c r="AW23" i="120"/>
  <c r="AX23" i="120"/>
  <c r="AZ23" i="120"/>
  <c r="N24" i="120"/>
  <c r="T24" i="120"/>
  <c r="AE24" i="120"/>
  <c r="AF24" i="120"/>
  <c r="AG24" i="120"/>
  <c r="AJ24" i="120"/>
  <c r="AK24" i="120"/>
  <c r="AL24" i="120"/>
  <c r="AM24" i="120"/>
  <c r="AO24" i="120"/>
  <c r="AP24" i="120"/>
  <c r="AW24" i="120"/>
  <c r="AX24" i="120"/>
  <c r="AZ24" i="120"/>
  <c r="N25" i="120"/>
  <c r="T25" i="120"/>
  <c r="AE25" i="120"/>
  <c r="AF25" i="120"/>
  <c r="AG25" i="120"/>
  <c r="AJ25" i="120"/>
  <c r="AK25" i="120"/>
  <c r="AL25" i="120"/>
  <c r="AM25" i="120"/>
  <c r="AO25" i="120"/>
  <c r="AP25" i="120"/>
  <c r="AW25" i="120"/>
  <c r="AX25" i="120"/>
  <c r="AZ25" i="120"/>
  <c r="N26" i="120"/>
  <c r="T26" i="120"/>
  <c r="AE26" i="120"/>
  <c r="AF26" i="120"/>
  <c r="AG26" i="120"/>
  <c r="AJ26" i="120"/>
  <c r="AK26" i="120"/>
  <c r="AL26" i="120"/>
  <c r="AM26" i="120"/>
  <c r="AO26" i="120"/>
  <c r="AP26" i="120"/>
  <c r="AW26" i="120"/>
  <c r="AX26" i="120"/>
  <c r="AZ26" i="120"/>
  <c r="N27" i="120"/>
  <c r="T27" i="120"/>
  <c r="AE27" i="120"/>
  <c r="AF27" i="120"/>
  <c r="AG27" i="120"/>
  <c r="AJ27" i="120"/>
  <c r="AK27" i="120"/>
  <c r="AL27" i="120"/>
  <c r="AM27" i="120"/>
  <c r="AO27" i="120"/>
  <c r="AP27" i="120"/>
  <c r="AW27" i="120"/>
  <c r="AX27" i="120"/>
  <c r="AZ27" i="120"/>
  <c r="N28" i="120"/>
  <c r="T28" i="120"/>
  <c r="AE28" i="120"/>
  <c r="AF28" i="120"/>
  <c r="AG28" i="120"/>
  <c r="AJ28" i="120"/>
  <c r="AK28" i="120"/>
  <c r="AL28" i="120"/>
  <c r="AM28" i="120"/>
  <c r="AO28" i="120"/>
  <c r="AP28" i="120"/>
  <c r="AW28" i="120"/>
  <c r="AX28" i="120"/>
  <c r="AZ28" i="120"/>
  <c r="N29" i="120"/>
  <c r="T29" i="120"/>
  <c r="AE29" i="120"/>
  <c r="AF29" i="120"/>
  <c r="AG29" i="120"/>
  <c r="AJ29" i="120"/>
  <c r="AK29" i="120"/>
  <c r="AL29" i="120"/>
  <c r="AM29" i="120"/>
  <c r="AO29" i="120"/>
  <c r="AP29" i="120"/>
  <c r="AW29" i="120"/>
  <c r="AX29" i="120"/>
  <c r="AZ29" i="120"/>
  <c r="N30" i="120"/>
  <c r="T30" i="120"/>
  <c r="AE30" i="120"/>
  <c r="AF30" i="120"/>
  <c r="AG30" i="120"/>
  <c r="AJ30" i="120"/>
  <c r="AK30" i="120"/>
  <c r="AL30" i="120"/>
  <c r="AM30" i="120"/>
  <c r="AO30" i="120"/>
  <c r="AP30" i="120"/>
  <c r="AW30" i="120"/>
  <c r="AX30" i="120"/>
  <c r="AZ30" i="120"/>
  <c r="N31" i="120"/>
  <c r="T31" i="120"/>
  <c r="AE31" i="120"/>
  <c r="AF31" i="120"/>
  <c r="AG31" i="120"/>
  <c r="AJ31" i="120"/>
  <c r="AK31" i="120"/>
  <c r="AL31" i="120"/>
  <c r="AM31" i="120"/>
  <c r="AO31" i="120"/>
  <c r="AP31" i="120"/>
  <c r="AW31" i="120"/>
  <c r="AX31" i="120"/>
  <c r="AZ31" i="120"/>
  <c r="N32" i="120"/>
  <c r="T32" i="120"/>
  <c r="AE32" i="120"/>
  <c r="AF32" i="120"/>
  <c r="AG32" i="120"/>
  <c r="AJ32" i="120"/>
  <c r="AK32" i="120"/>
  <c r="AL32" i="120"/>
  <c r="AM32" i="120"/>
  <c r="AO32" i="120"/>
  <c r="AP32" i="120"/>
  <c r="AW32" i="120"/>
  <c r="AX32" i="120"/>
  <c r="AZ32" i="120"/>
  <c r="N33" i="120"/>
  <c r="T33" i="120"/>
  <c r="AE33" i="120"/>
  <c r="AF33" i="120"/>
  <c r="AG33" i="120"/>
  <c r="AJ33" i="120"/>
  <c r="AK33" i="120"/>
  <c r="AL33" i="120"/>
  <c r="AM33" i="120"/>
  <c r="AO33" i="120"/>
  <c r="AP33" i="120"/>
  <c r="AW33" i="120"/>
  <c r="AX33" i="120"/>
  <c r="AZ33" i="120"/>
  <c r="N34" i="120"/>
  <c r="T34" i="120"/>
  <c r="AE34" i="120"/>
  <c r="AF34" i="120"/>
  <c r="AG34" i="120"/>
  <c r="AJ34" i="120"/>
  <c r="AK34" i="120"/>
  <c r="AL34" i="120"/>
  <c r="AM34" i="120"/>
  <c r="AO34" i="120"/>
  <c r="AP34" i="120"/>
  <c r="AW34" i="120"/>
  <c r="AX34" i="120"/>
  <c r="AZ34" i="120"/>
  <c r="N35" i="120"/>
  <c r="T35" i="120"/>
  <c r="AE35" i="120"/>
  <c r="AF35" i="120"/>
  <c r="AG35" i="120"/>
  <c r="AJ35" i="120"/>
  <c r="AK35" i="120"/>
  <c r="AL35" i="120"/>
  <c r="AM35" i="120"/>
  <c r="AO35" i="120"/>
  <c r="AP35" i="120"/>
  <c r="AW35" i="120"/>
  <c r="AX35" i="120"/>
  <c r="AZ35" i="120"/>
  <c r="N36" i="120"/>
  <c r="T36" i="120"/>
  <c r="AE36" i="120"/>
  <c r="AF36" i="120"/>
  <c r="AG36" i="120"/>
  <c r="AJ36" i="120"/>
  <c r="AK36" i="120"/>
  <c r="AL36" i="120"/>
  <c r="AM36" i="120"/>
  <c r="AO36" i="120"/>
  <c r="AP36" i="120"/>
  <c r="AW36" i="120"/>
  <c r="AX36" i="120"/>
  <c r="AZ36" i="120"/>
  <c r="N37" i="120"/>
  <c r="T37" i="120"/>
  <c r="AE37" i="120"/>
  <c r="AF37" i="120"/>
  <c r="AG37" i="120"/>
  <c r="AJ37" i="120"/>
  <c r="AK37" i="120"/>
  <c r="AL37" i="120"/>
  <c r="AM37" i="120"/>
  <c r="AO37" i="120"/>
  <c r="AP37" i="120"/>
  <c r="AW37" i="120"/>
  <c r="AX37" i="120"/>
  <c r="AZ37" i="120"/>
  <c r="N38" i="120"/>
  <c r="T38" i="120"/>
  <c r="AE38" i="120"/>
  <c r="AF38" i="120"/>
  <c r="AG38" i="120"/>
  <c r="AJ38" i="120"/>
  <c r="AK38" i="120"/>
  <c r="AL38" i="120"/>
  <c r="AM38" i="120"/>
  <c r="AO38" i="120"/>
  <c r="AP38" i="120"/>
  <c r="AW38" i="120"/>
  <c r="AX38" i="120"/>
  <c r="AZ38" i="120"/>
  <c r="N39" i="120"/>
  <c r="T39" i="120"/>
  <c r="AE39" i="120"/>
  <c r="AF39" i="120"/>
  <c r="AG39" i="120"/>
  <c r="AJ39" i="120"/>
  <c r="AK39" i="120"/>
  <c r="AL39" i="120"/>
  <c r="AM39" i="120"/>
  <c r="AO39" i="120"/>
  <c r="AP39" i="120"/>
  <c r="AW39" i="120"/>
  <c r="AX39" i="120"/>
  <c r="AZ39" i="120"/>
  <c r="N40" i="120"/>
  <c r="T40" i="120"/>
  <c r="AE40" i="120"/>
  <c r="AF40" i="120"/>
  <c r="AG40" i="120"/>
  <c r="AJ40" i="120"/>
  <c r="AK40" i="120"/>
  <c r="AL40" i="120"/>
  <c r="AM40" i="120"/>
  <c r="AO40" i="120"/>
  <c r="AP40" i="120"/>
  <c r="AW40" i="120"/>
  <c r="AX40" i="120"/>
  <c r="AZ40" i="120"/>
  <c r="N41" i="120"/>
  <c r="T41" i="120"/>
  <c r="AE41" i="120"/>
  <c r="AF41" i="120"/>
  <c r="AG41" i="120"/>
  <c r="AJ41" i="120"/>
  <c r="AK41" i="120"/>
  <c r="AL41" i="120"/>
  <c r="AM41" i="120"/>
  <c r="AO41" i="120"/>
  <c r="AP41" i="120"/>
  <c r="AW41" i="120"/>
  <c r="AX41" i="120"/>
  <c r="AZ41" i="120"/>
  <c r="N42" i="120"/>
  <c r="T42" i="120"/>
  <c r="AE42" i="120"/>
  <c r="AF42" i="120"/>
  <c r="AG42" i="120"/>
  <c r="AJ42" i="120"/>
  <c r="AK42" i="120"/>
  <c r="AL42" i="120"/>
  <c r="AM42" i="120"/>
  <c r="AO42" i="120"/>
  <c r="AP42" i="120"/>
  <c r="AW42" i="120"/>
  <c r="AX42" i="120"/>
  <c r="AZ42" i="120"/>
  <c r="N43" i="120"/>
  <c r="T43" i="120"/>
  <c r="AE43" i="120"/>
  <c r="AF43" i="120"/>
  <c r="AG43" i="120"/>
  <c r="AJ43" i="120"/>
  <c r="AK43" i="120"/>
  <c r="AL43" i="120"/>
  <c r="AM43" i="120"/>
  <c r="AO43" i="120"/>
  <c r="AP43" i="120"/>
  <c r="AW43" i="120"/>
  <c r="AX43" i="120"/>
  <c r="AZ43" i="120"/>
  <c r="N44" i="120"/>
  <c r="T44" i="120"/>
  <c r="AE44" i="120"/>
  <c r="AF44" i="120"/>
  <c r="AG44" i="120"/>
  <c r="AJ44" i="120"/>
  <c r="AK44" i="120"/>
  <c r="AL44" i="120"/>
  <c r="AM44" i="120"/>
  <c r="AO44" i="120"/>
  <c r="AP44" i="120"/>
  <c r="AW44" i="120"/>
  <c r="AX44" i="120"/>
  <c r="AZ44" i="120"/>
  <c r="N45" i="120"/>
  <c r="T45" i="120"/>
  <c r="AE45" i="120"/>
  <c r="AF45" i="120"/>
  <c r="AG45" i="120"/>
  <c r="AJ45" i="120"/>
  <c r="AK45" i="120"/>
  <c r="AL45" i="120"/>
  <c r="AM45" i="120"/>
  <c r="AO45" i="120"/>
  <c r="AP45" i="120"/>
  <c r="AW45" i="120"/>
  <c r="AX45" i="120"/>
  <c r="AZ45" i="120"/>
  <c r="N46" i="120"/>
  <c r="T46" i="120"/>
  <c r="AE46" i="120"/>
  <c r="AF46" i="120"/>
  <c r="AG46" i="120"/>
  <c r="AJ46" i="120"/>
  <c r="AK46" i="120"/>
  <c r="AL46" i="120"/>
  <c r="AM46" i="120"/>
  <c r="AO46" i="120"/>
  <c r="AP46" i="120"/>
  <c r="AW46" i="120"/>
  <c r="AX46" i="120"/>
  <c r="AZ46" i="120"/>
  <c r="N47" i="120"/>
  <c r="T47" i="120"/>
  <c r="AE47" i="120"/>
  <c r="AF47" i="120"/>
  <c r="AG47" i="120"/>
  <c r="AJ47" i="120"/>
  <c r="AK47" i="120"/>
  <c r="AL47" i="120"/>
  <c r="AM47" i="120"/>
  <c r="AO47" i="120"/>
  <c r="AP47" i="120"/>
  <c r="AW47" i="120"/>
  <c r="AX47" i="120"/>
  <c r="AZ47" i="120"/>
  <c r="N48" i="120"/>
  <c r="T48" i="120"/>
  <c r="AE48" i="120"/>
  <c r="AF48" i="120"/>
  <c r="AG48" i="120"/>
  <c r="AJ48" i="120"/>
  <c r="AK48" i="120"/>
  <c r="AL48" i="120"/>
  <c r="AM48" i="120"/>
  <c r="AO48" i="120"/>
  <c r="AP48" i="120"/>
  <c r="AW48" i="120"/>
  <c r="AX48" i="120"/>
  <c r="AZ48" i="120"/>
  <c r="N49" i="120"/>
  <c r="T49" i="120"/>
  <c r="AE49" i="120"/>
  <c r="AF49" i="120"/>
  <c r="AG49" i="120"/>
  <c r="AJ49" i="120"/>
  <c r="AK49" i="120"/>
  <c r="AL49" i="120"/>
  <c r="AM49" i="120"/>
  <c r="AO49" i="120"/>
  <c r="AP49" i="120"/>
  <c r="AW49" i="120"/>
  <c r="AX49" i="120"/>
  <c r="AZ49" i="120"/>
  <c r="N50" i="120"/>
  <c r="T50" i="120"/>
  <c r="AE50" i="120"/>
  <c r="AF50" i="120"/>
  <c r="AG50" i="120"/>
  <c r="AJ50" i="120"/>
  <c r="AK50" i="120"/>
  <c r="AL50" i="120"/>
  <c r="AM50" i="120"/>
  <c r="AO50" i="120"/>
  <c r="AP50" i="120"/>
  <c r="AW50" i="120"/>
  <c r="AX50" i="120"/>
  <c r="AZ50" i="120"/>
  <c r="N51" i="120"/>
  <c r="T51" i="120"/>
  <c r="AE51" i="120"/>
  <c r="AF51" i="120"/>
  <c r="AG51" i="120"/>
  <c r="AJ51" i="120"/>
  <c r="AK51" i="120"/>
  <c r="AL51" i="120"/>
  <c r="AM51" i="120"/>
  <c r="AO51" i="120"/>
  <c r="AP51" i="120"/>
  <c r="AW51" i="120"/>
  <c r="AX51" i="120"/>
  <c r="AZ51" i="120"/>
  <c r="N52" i="120"/>
  <c r="T52" i="120"/>
  <c r="AE52" i="120"/>
  <c r="AF52" i="120"/>
  <c r="AG52" i="120"/>
  <c r="AJ52" i="120"/>
  <c r="AK52" i="120"/>
  <c r="AL52" i="120"/>
  <c r="AM52" i="120"/>
  <c r="AO52" i="120"/>
  <c r="AP52" i="120"/>
  <c r="AW52" i="120"/>
  <c r="AX52" i="120"/>
  <c r="AZ52" i="120"/>
  <c r="N53" i="120"/>
  <c r="T53" i="120"/>
  <c r="AE53" i="120"/>
  <c r="AF53" i="120"/>
  <c r="AG53" i="120"/>
  <c r="AJ53" i="120"/>
  <c r="AK53" i="120"/>
  <c r="AL53" i="120"/>
  <c r="AM53" i="120"/>
  <c r="AO53" i="120"/>
  <c r="AP53" i="120"/>
  <c r="AW53" i="120"/>
  <c r="AX53" i="120"/>
  <c r="AZ53" i="120"/>
  <c r="N54" i="120"/>
  <c r="T54" i="120"/>
  <c r="AE54" i="120"/>
  <c r="AF54" i="120"/>
  <c r="AG54" i="120"/>
  <c r="AJ54" i="120"/>
  <c r="AK54" i="120"/>
  <c r="AL54" i="120"/>
  <c r="AM54" i="120"/>
  <c r="AO54" i="120"/>
  <c r="AP54" i="120"/>
  <c r="AW54" i="120"/>
  <c r="AX54" i="120"/>
  <c r="AZ54" i="120"/>
  <c r="N56" i="120"/>
  <c r="T56" i="120"/>
  <c r="AE56" i="120"/>
  <c r="AF56" i="120"/>
  <c r="AG56" i="120"/>
  <c r="AJ56" i="120"/>
  <c r="AK56" i="120"/>
  <c r="AL56" i="120"/>
  <c r="AM56" i="120"/>
  <c r="AO56" i="120"/>
  <c r="AP56" i="120"/>
  <c r="AO58" i="120"/>
  <c r="AP58" i="120"/>
  <c r="AE61" i="120"/>
  <c r="AF61" i="120"/>
  <c r="N5" i="107"/>
  <c r="T5" i="107"/>
  <c r="AE5" i="107"/>
  <c r="AF5" i="107"/>
  <c r="AG5" i="107"/>
  <c r="AJ5" i="107"/>
  <c r="AK5" i="107"/>
  <c r="AL5" i="107"/>
  <c r="AM5" i="107"/>
  <c r="AO5" i="107"/>
  <c r="AP5" i="107"/>
  <c r="N6" i="107"/>
  <c r="T6" i="107"/>
  <c r="AE6" i="107"/>
  <c r="AF6" i="107"/>
  <c r="AG6" i="107"/>
  <c r="AJ6" i="107"/>
  <c r="AK6" i="107"/>
  <c r="AL6" i="107"/>
  <c r="AM6" i="107"/>
  <c r="AO6" i="107"/>
  <c r="AP6" i="107"/>
  <c r="N7" i="107"/>
  <c r="T7" i="107"/>
  <c r="AE7" i="107"/>
  <c r="AF7" i="107"/>
  <c r="AG7" i="107"/>
  <c r="AJ7" i="107"/>
  <c r="AK7" i="107"/>
  <c r="AL7" i="107"/>
  <c r="AM7" i="107"/>
  <c r="AO7" i="107"/>
  <c r="AP7" i="107"/>
  <c r="N8" i="107"/>
  <c r="T8" i="107"/>
  <c r="AE8" i="107"/>
  <c r="AF8" i="107"/>
  <c r="AG8" i="107"/>
  <c r="AJ8" i="107"/>
  <c r="AK8" i="107"/>
  <c r="AL8" i="107"/>
  <c r="AM8" i="107"/>
  <c r="AO8" i="107"/>
  <c r="AP8" i="107"/>
  <c r="N9" i="107"/>
  <c r="T9" i="107"/>
  <c r="AF9" i="107"/>
  <c r="AG9" i="107"/>
  <c r="AJ9" i="107"/>
  <c r="AK9" i="107"/>
  <c r="AL9" i="107"/>
  <c r="AM9" i="107"/>
  <c r="AP9" i="107"/>
  <c r="N10" i="107"/>
  <c r="T10" i="107"/>
  <c r="AF10" i="107"/>
  <c r="AG10" i="107"/>
  <c r="AJ10" i="107"/>
  <c r="AK10" i="107"/>
  <c r="AL10" i="107"/>
  <c r="AM10" i="107"/>
  <c r="AP10" i="107"/>
  <c r="N11" i="107"/>
  <c r="T11" i="107"/>
  <c r="AF11" i="107"/>
  <c r="AG11" i="107"/>
  <c r="AJ11" i="107"/>
  <c r="AK11" i="107"/>
  <c r="AL11" i="107"/>
  <c r="AM11" i="107"/>
  <c r="AP11" i="107"/>
  <c r="N12" i="107"/>
  <c r="T12" i="107"/>
  <c r="AE12" i="107"/>
  <c r="AF12" i="107"/>
  <c r="AG12" i="107"/>
  <c r="AJ12" i="107"/>
  <c r="AK12" i="107"/>
  <c r="AL12" i="107"/>
  <c r="AM12" i="107"/>
  <c r="AO12" i="107"/>
  <c r="AP12" i="107"/>
  <c r="N13" i="107"/>
  <c r="T13" i="107"/>
  <c r="AE13" i="107"/>
  <c r="AF13" i="107"/>
  <c r="AG13" i="107"/>
  <c r="AJ13" i="107"/>
  <c r="AK13" i="107"/>
  <c r="AL13" i="107"/>
  <c r="AM13" i="107"/>
  <c r="AO13" i="107"/>
  <c r="AP13" i="107"/>
  <c r="N14" i="107"/>
  <c r="T14" i="107"/>
  <c r="AE14" i="107"/>
  <c r="AF14" i="107"/>
  <c r="AG14" i="107"/>
  <c r="AJ14" i="107"/>
  <c r="AK14" i="107"/>
  <c r="AL14" i="107"/>
  <c r="AM14" i="107"/>
  <c r="AO14" i="107"/>
  <c r="AP14" i="107"/>
  <c r="N15" i="107"/>
  <c r="T15" i="107"/>
  <c r="AE15" i="107"/>
  <c r="AF15" i="107"/>
  <c r="AG15" i="107"/>
  <c r="AJ15" i="107"/>
  <c r="AK15" i="107"/>
  <c r="AL15" i="107"/>
  <c r="AM15" i="107"/>
  <c r="AO15" i="107"/>
  <c r="AP15" i="107"/>
  <c r="N16" i="107"/>
  <c r="T16" i="107"/>
  <c r="AE16" i="107"/>
  <c r="AF16" i="107"/>
  <c r="AG16" i="107"/>
  <c r="AJ16" i="107"/>
  <c r="AK16" i="107"/>
  <c r="AL16" i="107"/>
  <c r="AM16" i="107"/>
  <c r="AO16" i="107"/>
  <c r="AP16" i="107"/>
  <c r="N17" i="107"/>
  <c r="T17" i="107"/>
  <c r="AE17" i="107"/>
  <c r="AF17" i="107"/>
  <c r="AG17" i="107"/>
  <c r="AJ17" i="107"/>
  <c r="AK17" i="107"/>
  <c r="AL17" i="107"/>
  <c r="AM17" i="107"/>
  <c r="AO17" i="107"/>
  <c r="AP17" i="107"/>
  <c r="N18" i="107"/>
  <c r="T18" i="107"/>
  <c r="AE18" i="107"/>
  <c r="AF18" i="107"/>
  <c r="AG18" i="107"/>
  <c r="AJ18" i="107"/>
  <c r="AK18" i="107"/>
  <c r="AL18" i="107"/>
  <c r="AM18" i="107"/>
  <c r="AO18" i="107"/>
  <c r="AP18" i="107"/>
  <c r="N19" i="107"/>
  <c r="T19" i="107"/>
  <c r="AE19" i="107"/>
  <c r="AF19" i="107"/>
  <c r="AG19" i="107"/>
  <c r="AJ19" i="107"/>
  <c r="AK19" i="107"/>
  <c r="AL19" i="107"/>
  <c r="AM19" i="107"/>
  <c r="AO19" i="107"/>
  <c r="AP19" i="107"/>
  <c r="N20" i="107"/>
  <c r="T20" i="107"/>
  <c r="AE20" i="107"/>
  <c r="AF20" i="107"/>
  <c r="AG20" i="107"/>
  <c r="AJ20" i="107"/>
  <c r="AK20" i="107"/>
  <c r="AL20" i="107"/>
  <c r="AM20" i="107"/>
  <c r="AO20" i="107"/>
  <c r="AP20" i="107"/>
  <c r="N21" i="107"/>
  <c r="T21" i="107"/>
  <c r="AE21" i="107"/>
  <c r="AF21" i="107"/>
  <c r="AG21" i="107"/>
  <c r="AJ21" i="107"/>
  <c r="AK21" i="107"/>
  <c r="AL21" i="107"/>
  <c r="AM21" i="107"/>
  <c r="AO21" i="107"/>
  <c r="AP21" i="107"/>
  <c r="N22" i="107"/>
  <c r="T22" i="107"/>
  <c r="AE22" i="107"/>
  <c r="AF22" i="107"/>
  <c r="AG22" i="107"/>
  <c r="AJ22" i="107"/>
  <c r="AK22" i="107"/>
  <c r="AL22" i="107"/>
  <c r="AM22" i="107"/>
  <c r="AO22" i="107"/>
  <c r="AP22" i="107"/>
  <c r="N23" i="107"/>
  <c r="T23" i="107"/>
  <c r="AE23" i="107"/>
  <c r="AF23" i="107"/>
  <c r="AG23" i="107"/>
  <c r="AJ23" i="107"/>
  <c r="AK23" i="107"/>
  <c r="AL23" i="107"/>
  <c r="AM23" i="107"/>
  <c r="AO23" i="107"/>
  <c r="AP23" i="107"/>
  <c r="N24" i="107"/>
  <c r="T24" i="107"/>
  <c r="AE24" i="107"/>
  <c r="AF24" i="107"/>
  <c r="AG24" i="107"/>
  <c r="AJ24" i="107"/>
  <c r="AK24" i="107"/>
  <c r="AL24" i="107"/>
  <c r="AM24" i="107"/>
  <c r="AO24" i="107"/>
  <c r="AP24" i="107"/>
  <c r="N25" i="107"/>
  <c r="T25" i="107"/>
  <c r="AE25" i="107"/>
  <c r="AF25" i="107"/>
  <c r="AG25" i="107"/>
  <c r="AJ25" i="107"/>
  <c r="AK25" i="107"/>
  <c r="AL25" i="107"/>
  <c r="AM25" i="107"/>
  <c r="AO25" i="107"/>
  <c r="AP25" i="107"/>
  <c r="N26" i="107"/>
  <c r="T26" i="107"/>
  <c r="AE26" i="107"/>
  <c r="AF26" i="107"/>
  <c r="AG26" i="107"/>
  <c r="AJ26" i="107"/>
  <c r="AK26" i="107"/>
  <c r="AL26" i="107"/>
  <c r="AM26" i="107"/>
  <c r="AO26" i="107"/>
  <c r="AP26" i="107"/>
  <c r="N27" i="107"/>
  <c r="T27" i="107"/>
  <c r="AE27" i="107"/>
  <c r="AF27" i="107"/>
  <c r="AG27" i="107"/>
  <c r="AJ27" i="107"/>
  <c r="AK27" i="107"/>
  <c r="AL27" i="107"/>
  <c r="AM27" i="107"/>
  <c r="AO27" i="107"/>
  <c r="AP27" i="107"/>
  <c r="N28" i="107"/>
  <c r="T28" i="107"/>
  <c r="AE28" i="107"/>
  <c r="AF28" i="107"/>
  <c r="AG28" i="107"/>
  <c r="AJ28" i="107"/>
  <c r="AK28" i="107"/>
  <c r="AL28" i="107"/>
  <c r="AM28" i="107"/>
  <c r="AO28" i="107"/>
  <c r="AP28" i="107"/>
  <c r="N29" i="107"/>
  <c r="T29" i="107"/>
  <c r="AE29" i="107"/>
  <c r="AF29" i="107"/>
  <c r="AG29" i="107"/>
  <c r="AJ29" i="107"/>
  <c r="AK29" i="107"/>
  <c r="AL29" i="107"/>
  <c r="AM29" i="107"/>
  <c r="AO29" i="107"/>
  <c r="AP29" i="107"/>
  <c r="N30" i="107"/>
  <c r="T30" i="107"/>
  <c r="AE30" i="107"/>
  <c r="AF30" i="107"/>
  <c r="AG30" i="107"/>
  <c r="AJ30" i="107"/>
  <c r="AK30" i="107"/>
  <c r="AL30" i="107"/>
  <c r="AM30" i="107"/>
  <c r="AO30" i="107"/>
  <c r="AP30" i="107"/>
  <c r="N31" i="107"/>
  <c r="T31" i="107"/>
  <c r="AE31" i="107"/>
  <c r="AF31" i="107"/>
  <c r="AG31" i="107"/>
  <c r="AJ31" i="107"/>
  <c r="AK31" i="107"/>
  <c r="AL31" i="107"/>
  <c r="AM31" i="107"/>
  <c r="AO31" i="107"/>
  <c r="AP31" i="107"/>
  <c r="N32" i="107"/>
  <c r="T32" i="107"/>
  <c r="AE32" i="107"/>
  <c r="AF32" i="107"/>
  <c r="AG32" i="107"/>
  <c r="AJ32" i="107"/>
  <c r="AK32" i="107"/>
  <c r="AL32" i="107"/>
  <c r="AM32" i="107"/>
  <c r="AO32" i="107"/>
  <c r="AP32" i="107"/>
  <c r="N33" i="107"/>
  <c r="T33" i="107"/>
  <c r="AE33" i="107"/>
  <c r="AF33" i="107"/>
  <c r="AG33" i="107"/>
  <c r="AJ33" i="107"/>
  <c r="AK33" i="107"/>
  <c r="AL33" i="107"/>
  <c r="AM33" i="107"/>
  <c r="AO33" i="107"/>
  <c r="AP33" i="107"/>
  <c r="N34" i="107"/>
  <c r="T34" i="107"/>
  <c r="AE34" i="107"/>
  <c r="AF34" i="107"/>
  <c r="AG34" i="107"/>
  <c r="AJ34" i="107"/>
  <c r="AK34" i="107"/>
  <c r="AL34" i="107"/>
  <c r="AM34" i="107"/>
  <c r="AO34" i="107"/>
  <c r="AP34" i="107"/>
  <c r="N35" i="107"/>
  <c r="T35" i="107"/>
  <c r="AE35" i="107"/>
  <c r="AF35" i="107"/>
  <c r="AG35" i="107"/>
  <c r="AJ35" i="107"/>
  <c r="AK35" i="107"/>
  <c r="AL35" i="107"/>
  <c r="AM35" i="107"/>
  <c r="AO35" i="107"/>
  <c r="AP35" i="107"/>
  <c r="N36" i="107"/>
  <c r="T36" i="107"/>
  <c r="AE36" i="107"/>
  <c r="AF36" i="107"/>
  <c r="AG36" i="107"/>
  <c r="AJ36" i="107"/>
  <c r="AK36" i="107"/>
  <c r="AL36" i="107"/>
  <c r="AM36" i="107"/>
  <c r="AO36" i="107"/>
  <c r="AP36" i="107"/>
  <c r="N37" i="107"/>
  <c r="T37" i="107"/>
  <c r="AE37" i="107"/>
  <c r="AF37" i="107"/>
  <c r="AG37" i="107"/>
  <c r="AJ37" i="107"/>
  <c r="AK37" i="107"/>
  <c r="AL37" i="107"/>
  <c r="AM37" i="107"/>
  <c r="AO37" i="107"/>
  <c r="AP37" i="107"/>
  <c r="N38" i="107"/>
  <c r="T38" i="107"/>
  <c r="AE38" i="107"/>
  <c r="AF38" i="107"/>
  <c r="AG38" i="107"/>
  <c r="AJ38" i="107"/>
  <c r="AK38" i="107"/>
  <c r="AL38" i="107"/>
  <c r="AM38" i="107"/>
  <c r="AO38" i="107"/>
  <c r="AP38" i="107"/>
  <c r="N39" i="107"/>
  <c r="T39" i="107"/>
  <c r="AE39" i="107"/>
  <c r="AF39" i="107"/>
  <c r="AG39" i="107"/>
  <c r="AJ39" i="107"/>
  <c r="AK39" i="107"/>
  <c r="AL39" i="107"/>
  <c r="AM39" i="107"/>
  <c r="AO39" i="107"/>
  <c r="AP39" i="107"/>
  <c r="N40" i="107"/>
  <c r="T40" i="107"/>
  <c r="AE40" i="107"/>
  <c r="AF40" i="107"/>
  <c r="AG40" i="107"/>
  <c r="AJ40" i="107"/>
  <c r="AK40" i="107"/>
  <c r="AL40" i="107"/>
  <c r="AM40" i="107"/>
  <c r="AO40" i="107"/>
  <c r="AP40" i="107"/>
  <c r="N41" i="107"/>
  <c r="T41" i="107"/>
  <c r="AE41" i="107"/>
  <c r="AF41" i="107"/>
  <c r="AG41" i="107"/>
  <c r="AJ41" i="107"/>
  <c r="AK41" i="107"/>
  <c r="AL41" i="107"/>
  <c r="AM41" i="107"/>
  <c r="AO41" i="107"/>
  <c r="AP41" i="107"/>
  <c r="N42" i="107"/>
  <c r="T42" i="107"/>
  <c r="AE42" i="107"/>
  <c r="AF42" i="107"/>
  <c r="AG42" i="107"/>
  <c r="AJ42" i="107"/>
  <c r="AK42" i="107"/>
  <c r="AL42" i="107"/>
  <c r="AM42" i="107"/>
  <c r="AO42" i="107"/>
  <c r="AP42" i="107"/>
  <c r="N43" i="107"/>
  <c r="T43" i="107"/>
  <c r="AE43" i="107"/>
  <c r="AF43" i="107"/>
  <c r="AG43" i="107"/>
  <c r="AJ43" i="107"/>
  <c r="AK43" i="107"/>
  <c r="AL43" i="107"/>
  <c r="AM43" i="107"/>
  <c r="AO43" i="107"/>
  <c r="AP43" i="107"/>
  <c r="N44" i="107"/>
  <c r="T44" i="107"/>
  <c r="AE44" i="107"/>
  <c r="AF44" i="107"/>
  <c r="AG44" i="107"/>
  <c r="AJ44" i="107"/>
  <c r="AK44" i="107"/>
  <c r="AL44" i="107"/>
  <c r="AM44" i="107"/>
  <c r="AO44" i="107"/>
  <c r="AP44" i="107"/>
  <c r="N45" i="107"/>
  <c r="T45" i="107"/>
  <c r="AE45" i="107"/>
  <c r="AF45" i="107"/>
  <c r="AG45" i="107"/>
  <c r="AJ45" i="107"/>
  <c r="AK45" i="107"/>
  <c r="AL45" i="107"/>
  <c r="AM45" i="107"/>
  <c r="AO45" i="107"/>
  <c r="AP45" i="107"/>
  <c r="N46" i="107"/>
  <c r="T46" i="107"/>
  <c r="AE46" i="107"/>
  <c r="AF46" i="107"/>
  <c r="AG46" i="107"/>
  <c r="AJ46" i="107"/>
  <c r="AK46" i="107"/>
  <c r="AL46" i="107"/>
  <c r="AM46" i="107"/>
  <c r="AO46" i="107"/>
  <c r="AP46" i="107"/>
  <c r="N47" i="107"/>
  <c r="T47" i="107"/>
  <c r="AE47" i="107"/>
  <c r="AF47" i="107"/>
  <c r="AG47" i="107"/>
  <c r="AJ47" i="107"/>
  <c r="AK47" i="107"/>
  <c r="AL47" i="107"/>
  <c r="AM47" i="107"/>
  <c r="AO47" i="107"/>
  <c r="AP47" i="107"/>
  <c r="N48" i="107"/>
  <c r="T48" i="107"/>
  <c r="AE48" i="107"/>
  <c r="AF48" i="107"/>
  <c r="AG48" i="107"/>
  <c r="AJ48" i="107"/>
  <c r="AK48" i="107"/>
  <c r="AL48" i="107"/>
  <c r="AM48" i="107"/>
  <c r="AO48" i="107"/>
  <c r="AP48" i="107"/>
  <c r="N49" i="107"/>
  <c r="T49" i="107"/>
  <c r="AE49" i="107"/>
  <c r="AF49" i="107"/>
  <c r="AG49" i="107"/>
  <c r="AJ49" i="107"/>
  <c r="AK49" i="107"/>
  <c r="AL49" i="107"/>
  <c r="AM49" i="107"/>
  <c r="AO49" i="107"/>
  <c r="AP49" i="107"/>
  <c r="N50" i="107"/>
  <c r="T50" i="107"/>
  <c r="AE50" i="107"/>
  <c r="AF50" i="107"/>
  <c r="AG50" i="107"/>
  <c r="AJ50" i="107"/>
  <c r="AK50" i="107"/>
  <c r="AL50" i="107"/>
  <c r="AM50" i="107"/>
  <c r="AO50" i="107"/>
  <c r="AP50" i="107"/>
  <c r="N51" i="107"/>
  <c r="T51" i="107"/>
  <c r="AE51" i="107"/>
  <c r="AF51" i="107"/>
  <c r="AG51" i="107"/>
  <c r="AJ51" i="107"/>
  <c r="AK51" i="107"/>
  <c r="AL51" i="107"/>
  <c r="AM51" i="107"/>
  <c r="AO51" i="107"/>
  <c r="AP51" i="107"/>
  <c r="N52" i="107"/>
  <c r="T52" i="107"/>
  <c r="AE52" i="107"/>
  <c r="AF52" i="107"/>
  <c r="AG52" i="107"/>
  <c r="AJ52" i="107"/>
  <c r="AK52" i="107"/>
  <c r="AL52" i="107"/>
  <c r="AM52" i="107"/>
  <c r="AO52" i="107"/>
  <c r="AP52" i="107"/>
  <c r="N53" i="107"/>
  <c r="T53" i="107"/>
  <c r="AE53" i="107"/>
  <c r="AF53" i="107"/>
  <c r="AG53" i="107"/>
  <c r="AJ53" i="107"/>
  <c r="AK53" i="107"/>
  <c r="AL53" i="107"/>
  <c r="AM53" i="107"/>
  <c r="AO53" i="107"/>
  <c r="AP53" i="107"/>
  <c r="N54" i="107"/>
  <c r="T54" i="107"/>
  <c r="AE54" i="107"/>
  <c r="AF54" i="107"/>
  <c r="AG54" i="107"/>
  <c r="AJ54" i="107"/>
  <c r="AK54" i="107"/>
  <c r="AL54" i="107"/>
  <c r="AM54" i="107"/>
  <c r="AO54" i="107"/>
  <c r="AP54" i="107"/>
  <c r="N56" i="107"/>
  <c r="T56" i="107"/>
  <c r="AE56" i="107"/>
  <c r="AF56" i="107"/>
  <c r="AG56" i="107"/>
  <c r="AJ56" i="107"/>
  <c r="AK56" i="107"/>
  <c r="AL56" i="107"/>
  <c r="AM56" i="107"/>
  <c r="AO56" i="107"/>
  <c r="AP56" i="107"/>
  <c r="AO58" i="107"/>
  <c r="AP58" i="10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1C7753B3-8F5C-4A7F-97C6-4BEEF77C1A31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0E1C71-ABE4-45B6-8946-3DFA96B8B09B}" name="Conexão" type="7" refreshedVersion="8" background="1" saveData="1"/>
  <connection id="2" xr16:uid="{7065B4DD-99C1-48B8-8CB4-853F24F1C462}" name="Conexão1" type="7" refreshedVersion="8" background="1" saveData="1"/>
  <connection id="3" xr16:uid="{596AF890-1B55-4899-97F1-01C3D1C35B1E}" name="Conexão2" type="7" refreshedVersion="8" background="1" saveData="1"/>
</connections>
</file>

<file path=xl/sharedStrings.xml><?xml version="1.0" encoding="utf-8"?>
<sst xmlns="http://schemas.openxmlformats.org/spreadsheetml/2006/main" count="36664" uniqueCount="1408">
  <si>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</si>
  <si>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</si>
  <si>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</si>
  <si>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</si>
  <si>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</si>
  <si>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</si>
  <si>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</si>
  <si>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</si>
  <si>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</si>
  <si>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</si>
  <si>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</si>
  <si>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</si>
  <si>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</si>
  <si>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</si>
  <si>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</si>
  <si>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</si>
  <si>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</si>
  <si>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</si>
  <si>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</si>
  <si>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</si>
  <si>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</si>
  <si>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</si>
  <si>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</si>
  <si>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</si>
  <si>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</si>
  <si>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</si>
  <si>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</si>
  <si>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</si>
  <si>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</si>
  <si>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</si>
  <si>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</si>
  <si>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</si>
  <si>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</si>
  <si>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</si>
  <si>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</si>
  <si>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</si>
  <si>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</si>
  <si>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</si>
  <si>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</si>
  <si>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</si>
  <si>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</si>
  <si>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</si>
  <si>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</si>
  <si>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</si>
  <si>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</si>
  <si>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</si>
  <si>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</si>
  <si>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</si>
  <si>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</si>
  <si>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</si>
  <si>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</si>
  <si>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</si>
  <si>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</si>
  <si>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</si>
  <si>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Fonte incentivada</t>
  </si>
  <si>
    <t>LIVRE</t>
  </si>
  <si>
    <t>Distribuição</t>
  </si>
  <si>
    <t>&lt;500</t>
  </si>
  <si>
    <t>CELETRO</t>
  </si>
  <si>
    <t>SUPRIMENTO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</si>
  <si>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</si>
  <si>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</si>
  <si>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</si>
  <si>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</si>
  <si>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</si>
  <si>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</si>
  <si>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</si>
  <si>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</si>
  <si>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</si>
  <si>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</si>
  <si>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</si>
  <si>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</si>
  <si>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</si>
  <si>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</si>
  <si>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</si>
  <si>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</si>
  <si>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</si>
  <si>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</si>
  <si>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</si>
  <si>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Energia suprimento concessionária</t>
  </si>
  <si>
    <t>&lt;500GWh</t>
  </si>
  <si>
    <t>E</t>
  </si>
  <si>
    <t>Energia convencional</t>
  </si>
  <si>
    <t>Azul</t>
  </si>
  <si>
    <t>kW</t>
  </si>
  <si>
    <t>DP</t>
  </si>
  <si>
    <t>DFP</t>
  </si>
  <si>
    <t>APE</t>
  </si>
  <si>
    <t>Geração</t>
  </si>
  <si>
    <t>Energia suprimento permissionária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</si>
  <si>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</si>
  <si>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</si>
  <si>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</si>
  <si>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</si>
  <si>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</si>
  <si>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</si>
  <si>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</si>
  <si>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</si>
  <si>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</si>
  <si>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</si>
  <si>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44378A4DistribuiçãoNão se aplicaNão se aplicaNão se aplicaCELETROFora ponta</t>
  </si>
  <si>
    <t>44409A4DistribuiçãoNão se aplicaNão se aplicaNão se aplicaCELETROFora ponta</t>
  </si>
  <si>
    <t>44440A4DistribuiçãoNão se aplicaNão se aplicaNão se aplicaCELETROFora ponta</t>
  </si>
  <si>
    <t>44470A4DistribuiçãoNão se aplicaNão se aplicaNão se aplicaCELETROFora ponta</t>
  </si>
  <si>
    <t>44501A4DistribuiçãoNão se aplicaNão se aplicaNão se aplicaCELETROFora ponta</t>
  </si>
  <si>
    <t>44531A4DistribuiçãoNão se aplicaNão se aplicaNão se aplicaCELETROFora ponta</t>
  </si>
  <si>
    <t>44562A4DistribuiçãoNão se aplicaNão se aplicaNão se aplicaCELETROFora ponta</t>
  </si>
  <si>
    <t>44593A4DistribuiçãoNão se aplicaNão se aplicaNão se aplicaCELETROFora ponta</t>
  </si>
  <si>
    <t>44621A4DistribuiçãoNão se aplicaNão se aplicaNão se aplicaCELETROFora ponta</t>
  </si>
  <si>
    <t>44652A4DistribuiçãoNão se aplicaNão se aplicaNão se aplicaCELETROFora ponta</t>
  </si>
  <si>
    <t>44682A4DistribuiçãoNão se aplicaNão se aplicaNão se aplicaCELETROFora ponta</t>
  </si>
  <si>
    <t>44713A4DistribuiçãoNão se aplicaNão se aplicaNão se aplicaCELETROFora ponta</t>
  </si>
  <si>
    <t>44378A4DistribuiçãoNão se aplicaNão se aplicaNão se aplicaCELETRONão se aplica</t>
  </si>
  <si>
    <t>44409A4DistribuiçãoNão se aplicaNão se aplicaNão se aplicaCELETRONão se aplica</t>
  </si>
  <si>
    <t>44440A4DistribuiçãoNão se aplicaNão se aplicaNão se aplicaCELETRONão se aplica</t>
  </si>
  <si>
    <t>44470A4DistribuiçãoNão se aplicaNão se aplicaNão se aplicaCELETRONão se aplica</t>
  </si>
  <si>
    <t>44501A4DistribuiçãoNão se aplicaNão se aplicaNão se aplicaCELETRONão se aplica</t>
  </si>
  <si>
    <t>44531A4DistribuiçãoNão se aplicaNão se aplicaNão se aplicaCELETRONão se aplica</t>
  </si>
  <si>
    <t>44562A4DistribuiçãoNão se aplicaNão se aplicaNão se aplicaCELETRONão se aplica</t>
  </si>
  <si>
    <t>44593A4DistribuiçãoNão se aplicaNão se aplicaNão se aplicaCELETRONão se aplica</t>
  </si>
  <si>
    <t>44621A4DistribuiçãoNão se aplicaNão se aplicaNão se aplicaCELETRONão se aplica</t>
  </si>
  <si>
    <t>44652A4DistribuiçãoNão se aplicaNão se aplicaNão se aplicaCELETRONão se aplica</t>
  </si>
  <si>
    <t>44682A4DistribuiçãoNão se aplicaNão se aplicaNão se aplicaCELETRONão se aplica</t>
  </si>
  <si>
    <t>44713A4DistribuiçãoNão se aplicaNão se aplicaNão se aplicaCELETRONão se aplica</t>
  </si>
  <si>
    <t>44378A4DistribuiçãoNão se aplicaNão se aplicaNão se aplicaCELETROPonta</t>
  </si>
  <si>
    <t>44409A4DistribuiçãoNão se aplicaNão se aplicaNão se aplicaCELETROPonta</t>
  </si>
  <si>
    <t>44440A4DistribuiçãoNão se aplicaNão se aplicaNão se aplicaCELETROPonta</t>
  </si>
  <si>
    <t>44470A4DistribuiçãoNão se aplicaNão se aplicaNão se aplicaCELETROPonta</t>
  </si>
  <si>
    <t>44501A4DistribuiçãoNão se aplicaNão se aplicaNão se aplicaCELETROPonta</t>
  </si>
  <si>
    <t>44531A4DistribuiçãoNão se aplicaNão se aplicaNão se aplicaCELETROPonta</t>
  </si>
  <si>
    <t>44562A4DistribuiçãoNão se aplicaNão se aplicaNão se aplicaCELETROPonta</t>
  </si>
  <si>
    <t>44593A4DistribuiçãoNão se aplicaNão se aplicaNão se aplicaCELETROPonta</t>
  </si>
  <si>
    <t>44621A4DistribuiçãoNão se aplicaNão se aplicaNão se aplicaCELETROPonta</t>
  </si>
  <si>
    <t>44652A4DistribuiçãoNão se aplicaNão se aplicaNão se aplicaCELETROPonta</t>
  </si>
  <si>
    <t>44682A4DistribuiçãoNão se aplicaNão se aplicaNão se aplicaCELETROPonta</t>
  </si>
  <si>
    <t>44713A4DistribuiçãoNão se aplicaNão se aplicaNão se aplicaCELETROPonta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</si>
  <si>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</si>
  <si>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</si>
  <si>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</si>
  <si>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</si>
  <si>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</si>
  <si>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</si>
  <si>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</si>
  <si>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</si>
  <si>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</si>
  <si>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</si>
  <si>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44682A4VerdeNão se aplicaNão se aplicaNão se aplicaNão se aplicaFora ponta</t>
  </si>
  <si>
    <t>44713A4VerdeNão se aplicaNão se aplicaNão se aplicaNão se aplicaFora ponta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</si>
  <si>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</si>
  <si>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</si>
  <si>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</si>
  <si>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</si>
  <si>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</si>
  <si>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</si>
  <si>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</si>
  <si>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</si>
  <si>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</si>
  <si>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</si>
  <si>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44682A4VerdeNão se aplicaNão se aplicaNão se aplicaNão se aplicaNão se aplica</t>
  </si>
  <si>
    <t>44713A4VerdeNão se aplicaNão se aplicaNão se aplicaNão se aplicaNão se aplica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</si>
  <si>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</si>
  <si>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</si>
  <si>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</si>
  <si>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</si>
  <si>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</si>
  <si>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</si>
  <si>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</si>
  <si>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</si>
  <si>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</si>
  <si>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</si>
  <si>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44682A4VerdeNão se aplicaNão se aplicaNão se aplicaNão se aplicaPonta</t>
  </si>
  <si>
    <t>44713A4VerdeNão se aplicaNão se aplicaNão se aplicaNão se aplicaPonta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</si>
  <si>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</si>
  <si>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</si>
  <si>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</si>
  <si>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</si>
  <si>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</si>
  <si>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</si>
  <si>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</si>
  <si>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</si>
  <si>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</si>
  <si>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</si>
  <si>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44682B1BrancaResidencialResidencialNão se aplicaNão se aplicaFora ponta</t>
  </si>
  <si>
    <t>44713B1BrancaResidencialResidencialNão se aplicaNão se aplicaFora ponta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</si>
  <si>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</si>
  <si>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</si>
  <si>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</si>
  <si>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</si>
  <si>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</si>
  <si>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</si>
  <si>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</si>
  <si>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</si>
  <si>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</si>
  <si>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</si>
  <si>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44682B1BrancaResidencialResidencialNão se aplicaNão se aplicaIntermediário</t>
  </si>
  <si>
    <t>44713B1BrancaResidencialResidencialNão se aplicaNão se aplicaIntermediário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</si>
  <si>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</si>
  <si>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</si>
  <si>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</si>
  <si>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</si>
  <si>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</si>
  <si>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</si>
  <si>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</si>
  <si>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</si>
  <si>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</si>
  <si>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</si>
  <si>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44682B1BrancaResidencialResidencialNão se aplicaNão se aplicaPonta</t>
  </si>
  <si>
    <t>44713B1BrancaResidencialResidencialNão se aplicaNão se aplicaPonta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</si>
  <si>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</si>
  <si>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</si>
  <si>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</si>
  <si>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</si>
  <si>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</si>
  <si>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</si>
  <si>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</si>
  <si>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</si>
  <si>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</si>
  <si>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</si>
  <si>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44682B1ConvencionalResidencialResidencialNão se aplicaNão se aplicaNão se aplica</t>
  </si>
  <si>
    <t>44713B1ConvencionalResidencialResidencialNão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</si>
  <si>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</si>
  <si>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</si>
  <si>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</si>
  <si>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</si>
  <si>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</si>
  <si>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</si>
  <si>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</si>
  <si>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</si>
  <si>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</si>
  <si>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</si>
  <si>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44682B1ConvencionalResidencialResidencial baixa renda – faixa 01Não se aplicaNão se aplicaNão se aplica</t>
  </si>
  <si>
    <t>44713B1ConvencionalResidencialResidencial baixa renda – faixa 01Não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</si>
  <si>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</si>
  <si>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</si>
  <si>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</si>
  <si>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</si>
  <si>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</si>
  <si>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</si>
  <si>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</si>
  <si>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</si>
  <si>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</si>
  <si>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</si>
  <si>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44682B1ConvencionalResidencialResidencial baixa renda – faixa 02Não se aplicaNão se aplicaNão se aplica</t>
  </si>
  <si>
    <t>44713B1ConvencionalResidencialResidencial baixa renda – faixa 02Não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</si>
  <si>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</si>
  <si>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</si>
  <si>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</si>
  <si>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</si>
  <si>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</si>
  <si>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</si>
  <si>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</si>
  <si>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</si>
  <si>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</si>
  <si>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</si>
  <si>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44682B1ConvencionalResidencialResidencial baixa renda – faixa 03Não se aplicaNão se aplicaNão se aplica</t>
  </si>
  <si>
    <t>44713B1ConvencionalResidencialResidencial baixa renda – faixa 03Não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</si>
  <si>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</si>
  <si>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</si>
  <si>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</si>
  <si>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</si>
  <si>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</si>
  <si>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</si>
  <si>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</si>
  <si>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</si>
  <si>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</si>
  <si>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</si>
  <si>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44682B1ConvencionalResidencialResidencial baixa renda – faixa 04Não se aplicaNão se aplicaNão se aplica</t>
  </si>
  <si>
    <t>44713B1ConvencionalResidencialResidencial baixa renda – faixa 04Não se aplicaNão se aplicaNão se aplica</t>
  </si>
  <si>
    <t>44409B2BrancaRuralNão se aplicaNão se aplicaNão se aplicaFora ponta</t>
  </si>
  <si>
    <t>44470B2BrancaRuralNão se aplicaNão se aplicaNão se aplicaFora ponta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</si>
  <si>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</si>
  <si>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</si>
  <si>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</si>
  <si>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</si>
  <si>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</si>
  <si>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</si>
  <si>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44682B2BrancaRuralNão se aplicaNão se aplicaNão se aplicaFora ponta</t>
  </si>
  <si>
    <t>44713B2BrancaRuralNão se aplicaNão se aplicaNão se aplicaFora ponta</t>
  </si>
  <si>
    <t>44409B2BrancaRuralNão se aplicaNão se aplicaNão se aplicaIntermediário</t>
  </si>
  <si>
    <t>44470B2BrancaRuralNão se aplicaNão se aplicaNão se aplicaIntermediário</t>
  </si>
  <si>
    <t>44501B2BrancaRuralNão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</si>
  <si>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</si>
  <si>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</si>
  <si>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44593B2BrancaRuralNão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</si>
  <si>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</si>
  <si>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</si>
  <si>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44682B2BrancaRuralNão se aplicaNão se aplicaNão se aplicaIntermediário</t>
  </si>
  <si>
    <t>44713B2BrancaRuralNão se aplicaNão se aplicaNão se aplicaIntermediário</t>
  </si>
  <si>
    <t>44409B2BrancaRuralNão se aplicaNão se aplicaNão se aplicaPonta</t>
  </si>
  <si>
    <t>44470B2BrancaRuralNão se aplicaNão se aplicaNão se aplicaPonta</t>
  </si>
  <si>
    <t>44501B2BrancaRuralNão se aplicaNão se aplicaNão se aplicaPonta</t>
  </si>
  <si>
    <t>44531B2BrancaRuralNão se aplicaNão se aplicaNão se aplicaPonta</t>
  </si>
  <si>
    <t>44562B2BrancaRuralNão se aplicaNão se aplicaNão se aplicaPonta</t>
  </si>
  <si>
    <t>44593B2BrancaRuralNão se aplicaNão se aplicaNão se aplicaPonta</t>
  </si>
  <si>
    <t>44621B2BrancaRuralNão se aplicaNão se aplicaNão se aplicaPonta</t>
  </si>
  <si>
    <t>44652B2BrancaRuralNão se aplicaNão se aplicaNão se aplicaPonta</t>
  </si>
  <si>
    <t>44682B2BrancaRuralNão se aplicaNão se aplicaNão se aplicaPonta</t>
  </si>
  <si>
    <t>44713B2BrancaRuralNão se aplicaNão se aplicaNão se aplicaPonta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</si>
  <si>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</si>
  <si>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</si>
  <si>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</si>
  <si>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</si>
  <si>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</si>
  <si>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</si>
  <si>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</si>
  <si>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</si>
  <si>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</si>
  <si>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</si>
  <si>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44682B2ConvencionalRuralNão se aplicaNão se aplicaNão se aplicaNão se aplica</t>
  </si>
  <si>
    <t>44713B2ConvencionalRuralNão se aplicaNão se aplicaNão se aplicaNão se aplica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</si>
  <si>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</si>
  <si>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</si>
  <si>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</si>
  <si>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</si>
  <si>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</si>
  <si>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</si>
  <si>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</si>
  <si>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</si>
  <si>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</si>
  <si>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</si>
  <si>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44682B3BrancaNão se aplicaNão se aplicaNão se aplicaNão se aplicaFora ponta</t>
  </si>
  <si>
    <t>44713B3BrancaNão se aplicaNão se aplicaNão se aplicaNão se aplicaFora ponta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</si>
  <si>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</si>
  <si>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</si>
  <si>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</si>
  <si>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</si>
  <si>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</si>
  <si>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</si>
  <si>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</si>
  <si>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</si>
  <si>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</si>
  <si>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</si>
  <si>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44682B3BrancaNão se aplicaNão se aplicaNão se aplicaNão se aplicaIntermediário</t>
  </si>
  <si>
    <t>44713B3BrancaNão se aplicaNão se aplicaNão se aplicaNão se aplicaIntermediário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</si>
  <si>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</si>
  <si>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</si>
  <si>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</si>
  <si>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</si>
  <si>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</si>
  <si>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</si>
  <si>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</si>
  <si>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</si>
  <si>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</si>
  <si>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</si>
  <si>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44682B3BrancaNão se aplicaNão se aplicaNão se aplicaNão se aplicaPonta</t>
  </si>
  <si>
    <t>44713B3BrancaNão se aplicaNão se aplicaNão se aplicaNão se aplicaPonta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</si>
  <si>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</si>
  <si>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</si>
  <si>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</si>
  <si>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</si>
  <si>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</si>
  <si>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</si>
  <si>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</si>
  <si>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</si>
  <si>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</si>
  <si>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</si>
  <si>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44682B3ConvencionalNão se aplicaNão se aplicaNão se aplicaNão se aplicaNão se aplica</t>
  </si>
  <si>
    <t>44713B3ConvencionalNão se aplicaNão se aplicaNão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</si>
  <si>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</si>
  <si>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</si>
  <si>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</si>
  <si>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</si>
  <si>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</si>
  <si>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</si>
  <si>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</si>
  <si>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</si>
  <si>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</si>
  <si>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</si>
  <si>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44682B4ConvencionalIluminação públicaIluminação pública – B4aNão se aplicaNão se aplicaNão se aplica</t>
  </si>
  <si>
    <t>44713B4ConvencionalIluminação públicaIluminação pública – B4aNão se aplicaNão se aplicaNão se aplica</t>
  </si>
  <si>
    <t>CHAVE TE</t>
  </si>
  <si>
    <t>44378A4Energia suprimento permissionáriaNão se aplicaNão se aplica&lt;500GWhNão se aplicaNão se aplica</t>
  </si>
  <si>
    <t>44409A4Energia suprimento permissionáriaNão se aplicaNão se aplica&lt;500GWhNão se aplicaNão se aplica</t>
  </si>
  <si>
    <t>44440A4Energia suprimento permissionáriaNão se aplicaNão se aplica&lt;500GWhNão se aplicaNão se aplica</t>
  </si>
  <si>
    <t>44470A4Energia suprimento permissionáriaNão se aplicaNão se aplica&lt;500GWhNão se aplicaNão se aplica</t>
  </si>
  <si>
    <t>44501A4Energia suprimento permissionáriaNão se aplicaNão se aplica&lt;500GWhNão se aplicaNão se aplica</t>
  </si>
  <si>
    <t>44531A4Energia suprimento permissionáriaNão se aplicaNão se aplica&lt;500GWhNão se aplicaNão se aplica</t>
  </si>
  <si>
    <t>44562A4Energia suprimento permissionáriaNão se aplicaNão se aplica&lt;500GWhNão se aplicaNão se aplica</t>
  </si>
  <si>
    <t>44593A4Energia suprimento permissionáriaNão se aplicaNão se aplica&lt;500GWhNão se aplicaNão se aplica</t>
  </si>
  <si>
    <t>44621A4Energia suprimento permissionáriaNão se aplicaNão se aplica&lt;500GWhNão se aplicaNão se aplica</t>
  </si>
  <si>
    <t>44652A4Energia suprimento permissionáriaNão se aplicaNão se aplica&lt;500GWhNão se aplicaNão se aplica</t>
  </si>
  <si>
    <t>44682A4Energia suprimento permissionáriaNão se aplicaNão se aplica&lt;500GWhNão se aplicaNão se aplica</t>
  </si>
  <si>
    <t>44713A4Energia suprimento permissionáriaNão se aplicaNão se aplica&lt;500GWhNão se aplicaNão se aplica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</si>
  <si>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</si>
  <si>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</si>
  <si>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</si>
  <si>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</si>
  <si>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</si>
  <si>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</si>
  <si>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</si>
  <si>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</si>
  <si>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</si>
  <si>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</si>
  <si>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44682A4Energia horáriaNão se aplicaNão se aplicaNão se aplicaNão se aplicaFora ponta</t>
  </si>
  <si>
    <t>44713A4Energia horáriaNão se aplicaNão se aplicaNão se aplicaNão se aplicaFora 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</si>
  <si>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</si>
  <si>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</si>
  <si>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</si>
  <si>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</si>
  <si>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</si>
  <si>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</si>
  <si>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</si>
  <si>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</si>
  <si>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</si>
  <si>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</si>
  <si>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</si>
  <si>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</si>
  <si>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</si>
  <si>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</si>
  <si>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44682A4Energia horáriaNão se aplicaNão se aplicaNão se aplicaNão se aplicaPonta</t>
  </si>
  <si>
    <t>44713A4Energia horáriaNão se aplicaNão se aplicaNão se aplicaNão se aplicaPonta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</si>
  <si>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</si>
  <si>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</si>
  <si>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</si>
  <si>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</si>
  <si>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</si>
  <si>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</si>
  <si>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</si>
  <si>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</si>
  <si>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</si>
  <si>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</si>
  <si>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44682B1Energia horáriaResidencialResidencialNão se aplicaNão se aplicaFora ponta</t>
  </si>
  <si>
    <t>44713B1Energia horáriaResidencialResidencialNão se aplicaNão se aplicaFora ponta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</si>
  <si>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</si>
  <si>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</si>
  <si>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</si>
  <si>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</si>
  <si>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</si>
  <si>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</si>
  <si>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</si>
  <si>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</si>
  <si>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</si>
  <si>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</si>
  <si>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44682B1Energia horáriaResidencialResidencialNão se aplicaNão se aplicaIntermediário</t>
  </si>
  <si>
    <t>44713B1Energia horáriaResidencialResidencialNão se aplicaNão se aplicaIntermediário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</si>
  <si>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</si>
  <si>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</si>
  <si>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</si>
  <si>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</si>
  <si>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</si>
  <si>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</si>
  <si>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</si>
  <si>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</si>
  <si>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</si>
  <si>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</si>
  <si>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44682B1Energia horáriaResidencialResidencialNão se aplicaNão se aplicaPonta</t>
  </si>
  <si>
    <t>44713B1Energia horáriaResidencialResidencialNão se aplicaNão se aplicaPonta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</si>
  <si>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</si>
  <si>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</si>
  <si>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</si>
  <si>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</si>
  <si>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</si>
  <si>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</si>
  <si>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</si>
  <si>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</si>
  <si>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</si>
  <si>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</si>
  <si>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44682B1Energia convencionalResidencialResidencialNão se aplicaNão se aplicaNão se aplica</t>
  </si>
  <si>
    <t>44713B1Energia convencionalResidencialResidencialNão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</si>
  <si>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</si>
  <si>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</si>
  <si>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</si>
  <si>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</si>
  <si>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</si>
  <si>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</si>
  <si>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</si>
  <si>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</si>
  <si>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</si>
  <si>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</si>
  <si>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44682B1Energia convencionalResidencialResidencial baixa renda – faixa 01Não se aplicaNão se aplicaNão se aplica</t>
  </si>
  <si>
    <t>44713B1Energia convencionalResidencialResidencial baixa renda – faixa 01Não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</si>
  <si>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</si>
  <si>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</si>
  <si>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</si>
  <si>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</si>
  <si>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</si>
  <si>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</si>
  <si>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</si>
  <si>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</si>
  <si>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</si>
  <si>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</si>
  <si>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44682B1Energia convencionalResidencialResidencial baixa renda – faixa 02Não se aplicaNão se aplicaNão se aplica</t>
  </si>
  <si>
    <t>44713B1Energia convencionalResidencialResidencial baixa renda – faixa 02Não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</si>
  <si>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</si>
  <si>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</si>
  <si>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</si>
  <si>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</si>
  <si>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</si>
  <si>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</si>
  <si>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</si>
  <si>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</si>
  <si>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</si>
  <si>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</si>
  <si>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44682B1Energia convencionalResidencialResidencial baixa renda – faixa 03Não se aplicaNão se aplicaNão se aplica</t>
  </si>
  <si>
    <t>44713B1Energia convencionalResidencialResidencial baixa renda – faixa 03Não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</si>
  <si>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</si>
  <si>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</si>
  <si>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</si>
  <si>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</si>
  <si>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</si>
  <si>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</si>
  <si>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</si>
  <si>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</si>
  <si>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</si>
  <si>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</si>
  <si>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44682B1Energia convencionalResidencialResidencial baixa renda – faixa 04Não se aplicaNão se aplicaNão se aplica</t>
  </si>
  <si>
    <t>44713B1Energia convencionalResidencialResidencial baixa renda – faixa 04Não se aplicaNão se aplicaNão se aplica</t>
  </si>
  <si>
    <t>44409B2Energia horáriaRuralNão se aplicaNão se aplicaNão se aplicaFora ponta</t>
  </si>
  <si>
    <t>44470B2Energia horáriaRuralNão se aplicaNão se aplicaNão se aplicaFora ponta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</si>
  <si>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</si>
  <si>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</si>
  <si>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</si>
  <si>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</si>
  <si>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</si>
  <si>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</si>
  <si>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44682B2Energia horáriaRuralNão se aplicaNão se aplicaNão se aplicaFora ponta</t>
  </si>
  <si>
    <t>44713B2Energia horáriaRuralNão se aplicaNão se aplicaNão se aplicaFora ponta</t>
  </si>
  <si>
    <t>44409B2Energia horáriaRuralNão se aplicaNão se aplicaNão se aplicaIntermediário</t>
  </si>
  <si>
    <t>44470B2Energia horáriaRuralNão se aplicaNão se aplicaNão se aplicaIntermediário</t>
  </si>
  <si>
    <t>44501B2Energia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</si>
  <si>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</si>
  <si>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</si>
  <si>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44593B2Energia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</si>
  <si>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</si>
  <si>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</si>
  <si>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44682B2Energia horáriaRuralNão se aplicaNão se aplicaNão se aplicaIntermediário</t>
  </si>
  <si>
    <t>44713B2Energia horáriaRuralNão se aplicaNão se aplicaNão se aplicaIntermediário</t>
  </si>
  <si>
    <t>44409B2Energia horáriaRuralNão se aplicaNão se aplicaNão se aplicaPonta</t>
  </si>
  <si>
    <t>44470B2Energia horáriaRuralNão se aplicaNão se aplicaNão se aplicaPonta</t>
  </si>
  <si>
    <t>44501B2Energia horáriaRuralNão se aplicaNão se aplicaNão se aplicaPonta</t>
  </si>
  <si>
    <t>44531B2Energia horáriaRuralNão se aplicaNão se aplicaNão se aplicaPonta</t>
  </si>
  <si>
    <t>44562B2Energia horáriaRuralNão se aplicaNão se aplicaNão se aplicaPonta</t>
  </si>
  <si>
    <t>44593B2Energia horáriaRuralNão se aplicaNão se aplicaNão se aplicaPonta</t>
  </si>
  <si>
    <t>44621B2Energia horáriaRuralNão se aplicaNão se aplicaNão se aplicaPonta</t>
  </si>
  <si>
    <t>44652B2Energia horáriaRuralNão se aplicaNão se aplicaNão se aplicaPonta</t>
  </si>
  <si>
    <t>44682B2Energia horáriaRuralNão se aplicaNão se aplicaNão se aplicaPonta</t>
  </si>
  <si>
    <t>44713B2Energia horáriaRuralNão se aplicaNão se aplicaNão se aplicaPonta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</si>
  <si>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</si>
  <si>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</si>
  <si>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</si>
  <si>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</si>
  <si>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</si>
  <si>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</si>
  <si>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</si>
  <si>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</si>
  <si>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</si>
  <si>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</si>
  <si>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44682B2Energia convencionalRuralNão se aplicaNão se aplicaNão se aplicaNão se aplica</t>
  </si>
  <si>
    <t>44713B2Energia convencionalRuralNão se aplicaNão se aplicaNão se aplicaNão se aplica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</si>
  <si>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</si>
  <si>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</si>
  <si>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</si>
  <si>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</si>
  <si>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</si>
  <si>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</si>
  <si>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</si>
  <si>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</si>
  <si>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</si>
  <si>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</si>
  <si>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44682B3Energia horáriaNão se aplicaNão se aplicaNão se aplicaNão se aplicaFora ponta</t>
  </si>
  <si>
    <t>44713B3Energia horáriaNão se aplicaNão se aplicaNão se aplicaNão se aplicaFora ponta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</si>
  <si>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</si>
  <si>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</si>
  <si>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</si>
  <si>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</si>
  <si>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</si>
  <si>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</si>
  <si>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</si>
  <si>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</si>
  <si>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</si>
  <si>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</si>
  <si>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44682B3Energia horáriaNão se aplicaNão se aplicaNão se aplicaNão se aplicaIntermediário</t>
  </si>
  <si>
    <t>44713B3Energia horáriaNão se aplicaNão se aplicaNão se aplicaNão se aplicaIntermediário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</si>
  <si>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</si>
  <si>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</si>
  <si>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</si>
  <si>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</si>
  <si>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</si>
  <si>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</si>
  <si>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</si>
  <si>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</si>
  <si>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</si>
  <si>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</si>
  <si>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44682B3Energia horáriaNão se aplicaNão se aplicaNão se aplicaNão se aplicaPonta</t>
  </si>
  <si>
    <t>44713B3Energia horáriaNão se aplicaNão se aplicaNão se aplicaNão se aplicaPonta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</si>
  <si>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</si>
  <si>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</si>
  <si>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</si>
  <si>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</si>
  <si>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</si>
  <si>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</si>
  <si>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</si>
  <si>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</si>
  <si>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</si>
  <si>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</si>
  <si>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44682B3Energia convencionalNão se aplicaNão se aplicaNão se aplicaNão se aplicaNão se aplica</t>
  </si>
  <si>
    <t>44713B3Energia convencionalNão se aplicaNão se aplicaNão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</si>
  <si>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</si>
  <si>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</si>
  <si>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</si>
  <si>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</si>
  <si>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</si>
  <si>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</si>
  <si>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</si>
  <si>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</si>
  <si>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</si>
  <si>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</si>
  <si>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44682B4Energia convencionalIluminação públicaIluminação pública – B4aNão se aplicaNão se aplicaNão se aplica</t>
  </si>
  <si>
    <t>44713B4Energia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</si>
  <si>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</si>
  <si>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</si>
  <si>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</si>
  <si>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</si>
  <si>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</si>
  <si>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</si>
  <si>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</si>
  <si>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</si>
  <si>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</si>
  <si>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</si>
  <si>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</si>
  <si>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</si>
  <si>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</si>
  <si>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</si>
  <si>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</si>
  <si>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</si>
  <si>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</si>
  <si>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</si>
  <si>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</si>
  <si>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</si>
  <si>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</si>
  <si>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</si>
  <si>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</si>
  <si>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</si>
  <si>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</si>
  <si>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</si>
  <si>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</si>
  <si>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</si>
  <si>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</si>
  <si>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</si>
  <si>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</si>
  <si>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</si>
  <si>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ELET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</si>
  <si>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</si>
  <si>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</si>
  <si>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</si>
  <si>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</si>
  <si>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</si>
  <si>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</si>
  <si>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</si>
  <si>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</si>
  <si>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</si>
  <si>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</si>
  <si>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</si>
  <si>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</si>
  <si>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</si>
  <si>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</si>
  <si>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</si>
  <si>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</si>
  <si>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</si>
  <si>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</si>
  <si>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</si>
  <si>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</si>
  <si>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</si>
  <si>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</si>
  <si>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</si>
  <si>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</si>
  <si>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</si>
  <si>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</si>
  <si>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</si>
  <si>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</si>
  <si>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</si>
  <si>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</si>
  <si>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</si>
  <si>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</si>
  <si>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</si>
  <si>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</si>
  <si>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</si>
  <si>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</si>
  <si>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</si>
  <si>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</si>
  <si>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</si>
  <si>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</si>
  <si>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</si>
  <si>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</si>
  <si>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</si>
  <si>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</si>
  <si>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</si>
  <si>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</si>
  <si>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</si>
  <si>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</si>
  <si>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</si>
  <si>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</si>
  <si>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</si>
  <si>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</si>
  <si>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</si>
  <si>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</si>
  <si>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</si>
  <si>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</si>
  <si>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</si>
  <si>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</si>
  <si>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</si>
  <si>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</si>
  <si>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</si>
  <si>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</si>
  <si>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</si>
  <si>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</si>
  <si>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</si>
  <si>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</si>
  <si>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</si>
  <si>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</si>
  <si>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</si>
  <si>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</si>
  <si>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</si>
  <si>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</si>
  <si>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</si>
  <si>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</si>
  <si>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</si>
  <si>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</si>
  <si>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</si>
  <si>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</si>
  <si>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</si>
  <si>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</si>
  <si>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</si>
  <si>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A2</t>
  </si>
  <si>
    <t>A3</t>
  </si>
  <si>
    <t>A3a</t>
  </si>
  <si>
    <t>AS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</si>
  <si>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</si>
  <si>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</si>
  <si>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</si>
  <si>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</si>
  <si>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</si>
  <si>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</si>
  <si>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</si>
  <si>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</si>
  <si>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</si>
  <si>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</si>
  <si>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</si>
  <si>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</si>
  <si>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</si>
  <si>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</si>
  <si>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</si>
  <si>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</si>
  <si>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Planilha CUSTO</t>
  </si>
  <si>
    <t>Planilha Custo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</si>
  <si>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</si>
  <si>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</si>
  <si>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</si>
  <si>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</si>
  <si>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</si>
  <si>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</si>
  <si>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</si>
  <si>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</si>
  <si>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</si>
  <si>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</si>
  <si>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</si>
  <si>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</si>
  <si>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</si>
  <si>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</si>
  <si>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</si>
  <si>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</si>
  <si>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</si>
  <si>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</si>
  <si>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</si>
  <si>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</si>
  <si>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</si>
  <si>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</si>
  <si>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</si>
  <si>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</si>
  <si>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</si>
  <si>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</si>
  <si>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</si>
  <si>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</si>
  <si>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</si>
  <si>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</si>
  <si>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DISTRIBUIÇÃO</t>
  </si>
  <si>
    <t>SUBSIDIO CARGA FONTE INCENTIVADA</t>
  </si>
  <si>
    <t>SUBSIDIO RURAL</t>
  </si>
  <si>
    <t>SUBSIDIO BAIXA RENDA</t>
  </si>
  <si>
    <t>SUBSIDIO IRRIGANTE/AQUICULTOR</t>
  </si>
  <si>
    <t>SUBSIDIO ÁGUA, ESGOTO E SANEAMENTO</t>
  </si>
  <si>
    <t>R$ (TV)</t>
  </si>
  <si>
    <t>R$ (TN)</t>
  </si>
  <si>
    <t>SUBSIDIO GERAÇÃO FONTE INCENTIVADA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</si>
  <si>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</si>
  <si>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</si>
  <si>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</si>
  <si>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</si>
  <si>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</si>
  <si>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</si>
  <si>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</si>
  <si>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</si>
  <si>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</si>
  <si>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</si>
  <si>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Branca1RuralNão se aplicaRuralB2</t>
  </si>
  <si>
    <t>Branca1RuralNão se aplicaPlanilha CUSTOB2</t>
  </si>
  <si>
    <t>Convencional1RuralServiço público de irrigação ruralPlanilha CUSTOB2</t>
  </si>
  <si>
    <t>Branca1RuralServiço público de irrigação ruralPlanilha CUSTOB2</t>
  </si>
  <si>
    <t>Azul1Serviço públicoÁgua, esgoto e saneamentoPlanilha CUSTOA4</t>
  </si>
  <si>
    <t>Verde1Serviço públicoÁgua, esgoto e saneamentoPlanilha CUSTOA4</t>
  </si>
  <si>
    <t>Convencional1Serviço públicoÁgua, esgoto e saneamentoPlanilha CUSTOA4</t>
  </si>
  <si>
    <t>Convencional1Serviço públicoÁgua, esgoto e saneamentoPlanilha CUSTOB3</t>
  </si>
  <si>
    <t>Branca1Serviço públicoÁgua, esgoto e saneamentoPlanilha CUSTOB3</t>
  </si>
  <si>
    <t>Convencional1RuralCooperativa de eletrificação ruralPlanilha CUSTOB2</t>
  </si>
  <si>
    <t>Branca1RuralCooperativa de eletrificação ruralPlanilha CUSTOB2</t>
  </si>
  <si>
    <t>Verde1RuralCooperativa de eletrificação ruralPlanilha CUSTOA4</t>
  </si>
  <si>
    <t>Azul1RuralCooperativa de eletrificação ruralPlanilha CUSTOA4</t>
  </si>
  <si>
    <t>Convencional1RuralCooperativa de eletrificação ruralPlanilha CUSTOA4</t>
  </si>
  <si>
    <t>Azul1RuralCooperativa de eletrificação ruralCooperativa de eletrificação ruralA4</t>
  </si>
  <si>
    <t>Convencional1RuralCooperativa de eletrificação ruralCooperativa de eletrificação ruralB2</t>
  </si>
  <si>
    <t>Convencional1RuralNão se aplicaPlanilha CUSTOB2</t>
  </si>
  <si>
    <t>Azul1RuralNão se aplicaPlanilha CustoA4</t>
  </si>
  <si>
    <t>Verde1RuralNão se aplicaPlanilha CustoA4</t>
  </si>
  <si>
    <t>Convencional1RuralNão se aplicaPlanilha CustoA4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</si>
  <si>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</si>
  <si>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</si>
  <si>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</si>
  <si>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</si>
  <si>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</si>
  <si>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</si>
  <si>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</si>
  <si>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</si>
  <si>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</si>
  <si>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</si>
  <si>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</si>
  <si>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</si>
  <si>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</si>
  <si>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</si>
  <si>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</si>
  <si>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</si>
  <si>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</si>
  <si>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</si>
  <si>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</si>
  <si>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</si>
  <si>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</si>
  <si>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</si>
  <si>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</si>
  <si>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</si>
  <si>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</si>
  <si>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</si>
  <si>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</si>
  <si>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</si>
  <si>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</si>
  <si>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</si>
  <si>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</si>
  <si>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</si>
  <si>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</si>
  <si>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</si>
  <si>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</si>
  <si>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</si>
  <si>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</si>
  <si>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</si>
  <si>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</si>
  <si>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</si>
  <si>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</si>
  <si>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</si>
  <si>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</si>
  <si>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</si>
  <si>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</si>
  <si>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</si>
  <si>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</si>
  <si>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</si>
  <si>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</si>
  <si>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</si>
  <si>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</si>
  <si>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</si>
  <si>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</si>
  <si>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</si>
  <si>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</si>
  <si>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</si>
  <si>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</si>
  <si>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</si>
  <si>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</si>
  <si>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</si>
  <si>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</si>
  <si>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</si>
  <si>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</si>
  <si>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</si>
  <si>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</si>
  <si>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</si>
  <si>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</si>
  <si>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</si>
  <si>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</si>
  <si>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</si>
  <si>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</si>
  <si>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</si>
  <si>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</si>
  <si>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</si>
  <si>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</si>
  <si>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</si>
  <si>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</si>
  <si>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</si>
  <si>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</si>
  <si>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</si>
  <si>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</si>
  <si>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</si>
  <si>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</si>
  <si>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</si>
  <si>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</si>
  <si>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</si>
  <si>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aplicaCELETRO</t>
  </si>
  <si>
    <t>A4DistribuiçãoNão se aplicaNão se aplicaNão se aplicaCELETRODP</t>
  </si>
  <si>
    <t>A4DistribuiçãoNão se aplicaNão se aplicaNão se aplicaCELETRODFP</t>
  </si>
  <si>
    <t>A4DistribuiçãoNão se aplicaNão se aplicaNão se aplicaCELETROE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</si>
  <si>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</si>
  <si>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</si>
  <si>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</si>
  <si>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</si>
  <si>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</si>
  <si>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</si>
  <si>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</si>
  <si>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</si>
  <si>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</si>
  <si>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</si>
  <si>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</si>
  <si>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</si>
  <si>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</si>
  <si>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</si>
  <si>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</si>
  <si>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</si>
  <si>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</si>
  <si>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</si>
  <si>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</si>
  <si>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</si>
  <si>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</si>
  <si>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</si>
  <si>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</si>
  <si>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</si>
  <si>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</si>
  <si>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</si>
  <si>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</si>
  <si>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</si>
  <si>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</si>
  <si>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</si>
  <si>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</si>
  <si>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</si>
  <si>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</si>
  <si>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</si>
  <si>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</si>
  <si>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</si>
  <si>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</si>
  <si>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</si>
  <si>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</si>
  <si>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</si>
  <si>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</si>
  <si>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</si>
  <si>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</si>
  <si>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</si>
  <si>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</si>
  <si>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</si>
  <si>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</si>
  <si>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</si>
  <si>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</si>
  <si>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</si>
  <si>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</si>
  <si>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</si>
  <si>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</si>
  <si>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</si>
  <si>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</si>
  <si>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</si>
  <si>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</si>
  <si>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</si>
  <si>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</si>
  <si>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</si>
  <si>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</si>
  <si>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</si>
  <si>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</si>
  <si>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</si>
  <si>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</si>
  <si>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</si>
  <si>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</si>
  <si>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</si>
  <si>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</si>
  <si>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</si>
  <si>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</si>
  <si>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</si>
  <si>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</si>
  <si>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</si>
  <si>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</si>
  <si>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</si>
  <si>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</si>
  <si>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</si>
  <si>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</si>
  <si>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</si>
  <si>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</si>
  <si>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</si>
  <si>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</si>
  <si>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</si>
  <si>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</si>
  <si>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</si>
  <si>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</si>
  <si>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</si>
  <si>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</si>
  <si>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</si>
  <si>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</si>
  <si>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</si>
  <si>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</si>
  <si>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</si>
  <si>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</si>
  <si>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</si>
  <si>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</si>
  <si>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</si>
  <si>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</si>
  <si>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</si>
  <si>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</si>
  <si>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</si>
  <si>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</si>
  <si>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</si>
  <si>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</si>
  <si>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</si>
  <si>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</si>
  <si>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</si>
  <si>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</si>
  <si>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</si>
  <si>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</si>
  <si>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</si>
  <si>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</si>
  <si>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</si>
  <si>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</si>
  <si>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</si>
  <si>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</si>
  <si>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</si>
  <si>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</si>
  <si>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</si>
  <si>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</si>
  <si>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</si>
  <si>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</si>
  <si>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</si>
  <si>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</si>
  <si>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</si>
  <si>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</si>
  <si>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</si>
  <si>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</si>
  <si>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</si>
  <si>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</si>
  <si>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</si>
  <si>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</si>
  <si>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</si>
  <si>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</si>
  <si>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</si>
  <si>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</si>
  <si>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</si>
  <si>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</si>
  <si>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</si>
  <si>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</si>
  <si>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</si>
  <si>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</si>
  <si>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</si>
  <si>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</si>
  <si>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</si>
  <si>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</si>
  <si>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</si>
  <si>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</si>
  <si>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</si>
  <si>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</si>
  <si>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</si>
  <si>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</si>
  <si>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</si>
  <si>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</si>
  <si>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</si>
  <si>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</si>
  <si>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</si>
  <si>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</si>
  <si>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</si>
  <si>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</si>
  <si>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</si>
  <si>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</si>
  <si>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</si>
  <si>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</si>
  <si>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</si>
  <si>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suprimento concessionária</t>
  </si>
  <si>
    <t>A4Energia suprimento concessionáriaNão se aplica</t>
  </si>
  <si>
    <t>A4Energia suprimento concessionáriaNão se aplicaNão se aplica</t>
  </si>
  <si>
    <t>A4Energia suprimento concessionáriaNão se aplicaNão se aplica&lt;500GWh</t>
  </si>
  <si>
    <t>A4Energia suprimento concessionáriaNão se aplicaNão se aplica&lt;500GWhNão se aplica</t>
  </si>
  <si>
    <t>A4Energia suprimento concessionáriaNão se aplicaNão se aplica&lt;500GWhNão se aplicaE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</si>
  <si>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</si>
  <si>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</si>
  <si>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</si>
  <si>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</si>
  <si>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</si>
  <si>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</si>
  <si>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A4Energia suprimento permissionária</t>
  </si>
  <si>
    <t>A4Energia suprimento permissionáriaNão se aplica</t>
  </si>
  <si>
    <t>A4Energia suprimento permissionáriaNão se aplicaNão se aplica</t>
  </si>
  <si>
    <t>A4Energia suprimento permissionáriaNão se aplicaNão se aplica&lt;500GWh</t>
  </si>
  <si>
    <t>A4Energia suprimento permissionáriaNão se aplicaNão se aplica&lt;500GWhNão se aplica</t>
  </si>
  <si>
    <t>A4Energia suprimento permissionáriaNão se aplicaNão se aplica&lt;500GWhNão se aplicaE</t>
  </si>
  <si>
    <t>A4Energia suprimento concessionáriaNão se aplicaNão se aplicaNão se aplica</t>
  </si>
  <si>
    <t>A4Energia suprimento concessionáriaNão se aplicaNão se aplicaNão se aplicaNão se aplica</t>
  </si>
  <si>
    <t>A4Energia suprimento concessionáriaNão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</si>
  <si>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</si>
  <si>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</si>
  <si>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</si>
  <si>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</si>
  <si>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</si>
  <si>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</si>
  <si>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</si>
  <si>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</si>
  <si>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</si>
  <si>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</si>
  <si>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</si>
  <si>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</si>
  <si>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</si>
  <si>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</si>
  <si>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</si>
  <si>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</si>
  <si>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</si>
  <si>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</si>
  <si>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</si>
  <si>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</si>
  <si>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</si>
  <si>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</si>
  <si>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</si>
  <si>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</si>
  <si>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</si>
  <si>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</si>
  <si>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</si>
  <si>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</si>
  <si>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</si>
  <si>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</si>
  <si>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</si>
  <si>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</si>
  <si>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</si>
  <si>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</si>
  <si>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</si>
  <si>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</si>
  <si>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</si>
  <si>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</si>
  <si>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</si>
  <si>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</si>
  <si>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</si>
  <si>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</si>
  <si>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</si>
  <si>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</si>
  <si>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</si>
  <si>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</si>
  <si>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</si>
  <si>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</si>
  <si>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</si>
  <si>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</si>
  <si>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</si>
  <si>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</si>
  <si>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</si>
  <si>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</si>
  <si>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</si>
  <si>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</si>
  <si>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</si>
  <si>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</si>
  <si>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</si>
  <si>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</si>
  <si>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</si>
  <si>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</si>
  <si>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</si>
  <si>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</si>
  <si>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</si>
  <si>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</si>
  <si>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</si>
  <si>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</si>
  <si>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</si>
  <si>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</si>
  <si>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</si>
  <si>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</si>
  <si>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</si>
  <si>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</si>
  <si>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</si>
  <si>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</si>
  <si>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</si>
  <si>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</si>
  <si>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</si>
  <si>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</si>
  <si>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</si>
  <si>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</si>
  <si>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</si>
  <si>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</si>
  <si>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</si>
  <si>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</si>
  <si>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</si>
  <si>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</si>
  <si>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</si>
  <si>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</si>
  <si>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</si>
  <si>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</si>
  <si>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</si>
  <si>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</si>
  <si>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</si>
  <si>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</si>
  <si>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</si>
  <si>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</si>
  <si>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</si>
  <si>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</si>
  <si>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</si>
  <si>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</si>
  <si>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</si>
  <si>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</si>
  <si>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</si>
  <si>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</si>
  <si>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</si>
  <si>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</si>
  <si>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</si>
  <si>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</si>
  <si>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</si>
  <si>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</si>
  <si>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</si>
  <si>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</si>
  <si>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</si>
  <si>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</si>
  <si>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</si>
  <si>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</si>
  <si>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</si>
  <si>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</si>
  <si>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</si>
  <si>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</si>
  <si>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</si>
  <si>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</si>
  <si>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</si>
  <si>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</si>
  <si>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</si>
  <si>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</si>
  <si>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</si>
  <si>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</si>
  <si>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</si>
  <si>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</si>
  <si>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</si>
  <si>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</si>
  <si>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</si>
  <si>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</si>
  <si>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</si>
  <si>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</si>
  <si>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</si>
  <si>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</si>
  <si>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</si>
  <si>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IdAgente</t>
  </si>
  <si>
    <t>Ano</t>
  </si>
  <si>
    <t>MERCADO Uhenpal</t>
  </si>
  <si>
    <t>TARIFAS Uhenpal</t>
  </si>
  <si>
    <t>TARIFAS Adjacente (RGE (agrupada))</t>
  </si>
  <si>
    <t>RECEITA Uhenpal</t>
  </si>
  <si>
    <t>RECEITA Adjacente (RGE (agrupada))</t>
  </si>
  <si>
    <t>Dp</t>
  </si>
  <si>
    <t>Dfp</t>
  </si>
  <si>
    <t>TE P</t>
  </si>
  <si>
    <t>TE FP</t>
  </si>
  <si>
    <t>TUSD_E P</t>
  </si>
  <si>
    <t>TUSD_E FP</t>
  </si>
  <si>
    <t>ORIGINAL</t>
  </si>
  <si>
    <t>ADJACENTE</t>
  </si>
  <si>
    <t>DECISÃO</t>
  </si>
  <si>
    <t>CONTROLE</t>
  </si>
  <si>
    <t>TARIFAS TUSD</t>
  </si>
  <si>
    <t>TARIFAS TE</t>
  </si>
  <si>
    <t>TARIFAS TOTAIS</t>
  </si>
  <si>
    <t>TARIFA B1 Resid.</t>
  </si>
  <si>
    <t>B1 Convenc.</t>
  </si>
  <si>
    <t>Aplica Lei?</t>
  </si>
  <si>
    <t>Var. Controle TUSD</t>
  </si>
  <si>
    <t>Tarifa Distribuidora</t>
  </si>
  <si>
    <t>Tarifa Adjacente</t>
  </si>
  <si>
    <t>Nova Componente</t>
  </si>
  <si>
    <t>CodTar</t>
  </si>
  <si>
    <t>2060201001010000000000000004022025</t>
  </si>
  <si>
    <t>2060201001010000000000000002022025</t>
  </si>
  <si>
    <t>2060201001010000000000000001032035</t>
  </si>
  <si>
    <t>2060201001020000000000000001032035</t>
  </si>
  <si>
    <t>2060501001010000000000000004022025</t>
  </si>
  <si>
    <t>2060501001010000000000000002022025</t>
  </si>
  <si>
    <t>2060501001010000000000000001032035</t>
  </si>
  <si>
    <t>2060601001010000000000000001022025</t>
  </si>
  <si>
    <t>2060301001010000000000000001022025</t>
  </si>
  <si>
    <t>2060301001010000000000000004032035</t>
  </si>
  <si>
    <t>2060301001010000000000000002032035</t>
  </si>
  <si>
    <t>2060301001020000000000000004032035</t>
  </si>
  <si>
    <t>2060301001020000000000000002032035</t>
  </si>
  <si>
    <t>2130601001120000000000000001022025</t>
  </si>
  <si>
    <t>2130601001130000000000000001022025</t>
  </si>
  <si>
    <t>2080702002010000000000000004032035</t>
  </si>
  <si>
    <t>2080702002010000000000000003032035</t>
  </si>
  <si>
    <t>2080702002010000000000000002032035</t>
  </si>
  <si>
    <t>2080402002010000000000000001032035</t>
  </si>
  <si>
    <t>2080402006010000000000000001032035</t>
  </si>
  <si>
    <t>2081302002010000000000000001032035</t>
  </si>
  <si>
    <t>2081302006010000000000000001032035</t>
  </si>
  <si>
    <t>2090705001010000000000000004032035</t>
  </si>
  <si>
    <t>2090705001010000000000000003032035</t>
  </si>
  <si>
    <t>2090705001010000000000000002032035</t>
  </si>
  <si>
    <t>2100701001010000000000000004032035</t>
  </si>
  <si>
    <t>2100701001010000000000000003032035</t>
  </si>
  <si>
    <t>2100701001010000000000000002032035</t>
  </si>
  <si>
    <t>2100401001010000000000000001032035</t>
  </si>
  <si>
    <t>2101301001010000000000000001032035</t>
  </si>
  <si>
    <t>2110407041010000000000000001032035</t>
  </si>
  <si>
    <t>2110407042010000000000000001032035</t>
  </si>
  <si>
    <t>Var. Controle TE</t>
  </si>
  <si>
    <t>3060801001010000000000000004032035</t>
  </si>
  <si>
    <t>3060801001010000000000000002032035</t>
  </si>
  <si>
    <t>3061101001050000000000000001032035</t>
  </si>
  <si>
    <t>3060901001010000000000000001032035</t>
  </si>
  <si>
    <t>3061201001050000000000000001032035</t>
  </si>
  <si>
    <t>3061101001010000000000000001032035</t>
  </si>
  <si>
    <t>3080802002010000000000000004032035</t>
  </si>
  <si>
    <t>3080802002010000000000000003032035</t>
  </si>
  <si>
    <t>3080802002010000000000000002032035</t>
  </si>
  <si>
    <t>3080902002010000000000000001032035</t>
  </si>
  <si>
    <t>3080902006010000000000000001032035</t>
  </si>
  <si>
    <t>3081402002010000000000000001032035</t>
  </si>
  <si>
    <t>3081402006010000000000000001032035</t>
  </si>
  <si>
    <t>3090805001010000000000000004032035</t>
  </si>
  <si>
    <t>3090805001010000000000000003032035</t>
  </si>
  <si>
    <t>3090805001010000000000000002032035</t>
  </si>
  <si>
    <t>3100801001010000000000000004032035</t>
  </si>
  <si>
    <t>3100801001010000000000000003032035</t>
  </si>
  <si>
    <t>3100801001010000000000000002032035</t>
  </si>
  <si>
    <t>3100901001010000000000000001032035</t>
  </si>
  <si>
    <t>3101401001010000000000000001032035</t>
  </si>
  <si>
    <t>3110907041010000000000000001032035</t>
  </si>
  <si>
    <t>3110907042010000000000000001032035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</si>
  <si>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</si>
  <si>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</si>
  <si>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</si>
  <si>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</si>
  <si>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</si>
  <si>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</si>
  <si>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</si>
  <si>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</si>
  <si>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</si>
  <si>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</si>
  <si>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2.900, DE 20 DE JULHO DE 2021</t>
  </si>
  <si>
    <t>TOTAL ABAS</t>
  </si>
  <si>
    <t>AVALIAÇÃO</t>
  </si>
  <si>
    <t>Coeficientes de transição</t>
  </si>
  <si>
    <t>Carga</t>
  </si>
  <si>
    <t>Ajustado para o passo 4 da transição. Não altere.</t>
  </si>
  <si>
    <t>Empresa</t>
  </si>
  <si>
    <t>Ramo</t>
  </si>
  <si>
    <t>Tipo</t>
  </si>
  <si>
    <t>Unidade</t>
  </si>
  <si>
    <t>Percentual Desconto</t>
  </si>
  <si>
    <t>Diversos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</si>
  <si>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</si>
  <si>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</si>
  <si>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</si>
  <si>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</si>
  <si>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</si>
  <si>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</si>
  <si>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</si>
  <si>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tarifa</t>
  </si>
  <si>
    <t>subvenção</t>
  </si>
  <si>
    <t>Subsidio</t>
  </si>
  <si>
    <t>(SUB)GRUPO</t>
  </si>
  <si>
    <t>TUSD (R$)</t>
  </si>
  <si>
    <t>TUSD (MWh)</t>
  </si>
  <si>
    <t>PNT (R$/MWh)</t>
  </si>
  <si>
    <t>VAR. AX01</t>
  </si>
  <si>
    <t>VAR. AX02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</si>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</sst>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#,##0.00;[Red]#,##0.00"/>
    <numFmt numFmtId="170" formatCode="#,##0.00_);[Red]\(#,##0.00\)"/>
  </numFmts>
  <fonts count="1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 style="thin">
        <color indexed="64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8" fillId="0" borderId="0" applyFont="0" applyFill="0" applyBorder="0" applyAlignment="0" applyProtection="0"/>
  </cellStyleXfs>
  <cellXfs count="160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7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165" fontId="3" fillId="0" borderId="0" xfId="0" applyNumberFormat="1" applyFont="1"/>
    <xf numFmtId="0" fontId="6" fillId="0" borderId="0" xfId="0" applyFon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64" fontId="0" fillId="0" borderId="12" xfId="1" applyFont="1" applyBorder="1"/>
    <xf numFmtId="164" fontId="0" fillId="0" borderId="16" xfId="1" applyFont="1" applyBorder="1"/>
    <xf numFmtId="164" fontId="0" fillId="0" borderId="17" xfId="1" applyFont="1" applyBorder="1"/>
    <xf numFmtId="164" fontId="0" fillId="0" borderId="14" xfId="1" applyFont="1" applyBorder="1"/>
    <xf numFmtId="164" fontId="0" fillId="0" borderId="18" xfId="1" applyFont="1" applyBorder="1"/>
    <xf numFmtId="0" fontId="0" fillId="0" borderId="19" xfId="0" applyBorder="1"/>
    <xf numFmtId="164" fontId="0" fillId="0" borderId="20" xfId="1" applyFont="1" applyBorder="1"/>
    <xf numFmtId="0" fontId="0" fillId="0" borderId="21" xfId="0" applyBorder="1"/>
    <xf numFmtId="0" fontId="0" fillId="0" borderId="15" xfId="0" applyBorder="1"/>
    <xf numFmtId="0" fontId="0" fillId="0" borderId="22" xfId="0" applyBorder="1"/>
    <xf numFmtId="0" fontId="0" fillId="0" borderId="23" xfId="0" applyBorder="1"/>
    <xf numFmtId="164" fontId="0" fillId="0" borderId="22" xfId="1" applyFont="1" applyBorder="1"/>
    <xf numFmtId="164" fontId="0" fillId="0" borderId="19" xfId="1" applyFont="1" applyBorder="1"/>
    <xf numFmtId="0" fontId="0" fillId="0" borderId="24" xfId="0" applyBorder="1"/>
    <xf numFmtId="0" fontId="3" fillId="0" borderId="0" xfId="0" quotePrefix="1" applyFont="1" applyAlignment="1">
      <alignment vertical="center"/>
    </xf>
    <xf numFmtId="0" fontId="3" fillId="0" borderId="8" xfId="0" applyFont="1" applyBorder="1" applyAlignment="1">
      <alignment vertical="center"/>
    </xf>
    <xf numFmtId="168" fontId="3" fillId="0" borderId="0" xfId="0" applyNumberFormat="1" applyFont="1"/>
    <xf numFmtId="40" fontId="3" fillId="0" borderId="27" xfId="0" applyNumberFormat="1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3" fillId="0" borderId="27" xfId="0" applyFont="1" applyBorder="1"/>
    <xf numFmtId="40" fontId="3" fillId="0" borderId="27" xfId="0" applyNumberFormat="1" applyFont="1" applyBorder="1"/>
    <xf numFmtId="0" fontId="3" fillId="0" borderId="27" xfId="0" applyFont="1" applyBorder="1" applyAlignment="1">
      <alignment vertical="center"/>
    </xf>
    <xf numFmtId="40" fontId="3" fillId="0" borderId="27" xfId="0" applyNumberFormat="1" applyFont="1" applyBorder="1" applyAlignment="1">
      <alignment vertical="center"/>
    </xf>
    <xf numFmtId="165" fontId="3" fillId="0" borderId="27" xfId="0" applyNumberFormat="1" applyFont="1" applyBorder="1" applyAlignment="1">
      <alignment vertical="center"/>
    </xf>
    <xf numFmtId="40" fontId="3" fillId="0" borderId="27" xfId="0" applyNumberFormat="1" applyFont="1" applyBorder="1" applyAlignment="1">
      <alignment horizontal="left" vertical="center" indent="1"/>
    </xf>
    <xf numFmtId="40" fontId="3" fillId="0" borderId="27" xfId="0" quotePrefix="1" applyNumberFormat="1" applyFont="1" applyBorder="1" applyAlignment="1">
      <alignment horizontal="left" vertical="center" indent="1"/>
    </xf>
    <xf numFmtId="40" fontId="3" fillId="0" borderId="28" xfId="0" applyNumberFormat="1" applyFont="1" applyBorder="1" applyAlignment="1">
      <alignment horizontal="left" vertical="center"/>
    </xf>
    <xf numFmtId="40" fontId="3" fillId="0" borderId="28" xfId="0" applyNumberFormat="1" applyFont="1" applyBorder="1" applyAlignment="1">
      <alignment vertical="center"/>
    </xf>
    <xf numFmtId="40" fontId="4" fillId="0" borderId="28" xfId="0" applyNumberFormat="1" applyFont="1" applyBorder="1" applyAlignment="1">
      <alignment horizontal="center" vertical="center"/>
    </xf>
    <xf numFmtId="40" fontId="3" fillId="0" borderId="29" xfId="0" applyNumberFormat="1" applyFont="1" applyBorder="1" applyAlignment="1">
      <alignment vertical="center"/>
    </xf>
    <xf numFmtId="40" fontId="4" fillId="0" borderId="29" xfId="0" applyNumberFormat="1" applyFont="1" applyBorder="1" applyAlignment="1">
      <alignment horizontal="center" vertical="center"/>
    </xf>
    <xf numFmtId="40" fontId="3" fillId="0" borderId="33" xfId="0" applyNumberFormat="1" applyFont="1" applyBorder="1" applyAlignment="1">
      <alignment horizontal="left" vertical="center"/>
    </xf>
    <xf numFmtId="40" fontId="3" fillId="0" borderId="33" xfId="0" applyNumberFormat="1" applyFont="1" applyBorder="1" applyAlignment="1">
      <alignment vertical="center"/>
    </xf>
    <xf numFmtId="0" fontId="4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vertical="center"/>
    </xf>
    <xf numFmtId="40" fontId="3" fillId="0" borderId="33" xfId="0" applyNumberFormat="1" applyFont="1" applyBorder="1" applyAlignment="1">
      <alignment horizontal="center"/>
    </xf>
    <xf numFmtId="0" fontId="3" fillId="0" borderId="33" xfId="0" applyFont="1" applyBorder="1" applyAlignment="1">
      <alignment horizontal="center"/>
    </xf>
    <xf numFmtId="40" fontId="4" fillId="0" borderId="33" xfId="0" applyNumberFormat="1" applyFont="1" applyBorder="1" applyAlignment="1">
      <alignment horizontal="center" vertical="center"/>
    </xf>
    <xf numFmtId="40" fontId="3" fillId="0" borderId="33" xfId="0" applyNumberFormat="1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" fillId="0" borderId="3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40" fontId="1" fillId="0" borderId="33" xfId="0" applyNumberFormat="1" applyFont="1" applyBorder="1" applyAlignment="1">
      <alignment horizontal="center" vertical="center"/>
    </xf>
    <xf numFmtId="166" fontId="1" fillId="0" borderId="33" xfId="0" applyNumberFormat="1" applyFont="1" applyBorder="1" applyAlignment="1">
      <alignment horizontal="center" vertical="center"/>
    </xf>
    <xf numFmtId="0" fontId="3" fillId="0" borderId="33" xfId="0" applyFont="1" applyBorder="1"/>
    <xf numFmtId="0" fontId="4" fillId="0" borderId="33" xfId="0" applyFont="1" applyBorder="1"/>
    <xf numFmtId="40" fontId="1" fillId="3" borderId="0" xfId="0" applyNumberFormat="1" applyFont="1" applyFill="1" applyAlignment="1">
      <alignment horizontal="center" vertical="center"/>
    </xf>
    <xf numFmtId="14" fontId="2" fillId="0" borderId="33" xfId="0" applyNumberFormat="1" applyFont="1" applyBorder="1" applyAlignment="1">
      <alignment horizontal="center" vertical="center"/>
    </xf>
    <xf numFmtId="14" fontId="1" fillId="0" borderId="33" xfId="0" applyNumberFormat="1" applyFont="1" applyBorder="1" applyAlignment="1">
      <alignment horizontal="center" vertical="center"/>
    </xf>
    <xf numFmtId="40" fontId="3" fillId="0" borderId="33" xfId="0" applyNumberFormat="1" applyFont="1" applyBorder="1"/>
    <xf numFmtId="40" fontId="2" fillId="0" borderId="33" xfId="0" applyNumberFormat="1" applyFont="1" applyBorder="1" applyAlignment="1">
      <alignment horizontal="center" vertical="center"/>
    </xf>
    <xf numFmtId="164" fontId="0" fillId="0" borderId="33" xfId="1" applyFont="1" applyBorder="1"/>
    <xf numFmtId="164" fontId="0" fillId="0" borderId="30" xfId="1" applyFont="1" applyBorder="1"/>
    <xf numFmtId="10" fontId="3" fillId="0" borderId="0" xfId="0" applyNumberFormat="1" applyFont="1"/>
    <xf numFmtId="2" fontId="9" fillId="4" borderId="34" xfId="0" applyNumberFormat="1" applyFont="1" applyFill="1" applyBorder="1" applyAlignment="1">
      <alignment horizontal="center" vertical="center"/>
    </xf>
    <xf numFmtId="0" fontId="9" fillId="4" borderId="34" xfId="0" applyFont="1" applyFill="1" applyBorder="1" applyAlignment="1">
      <alignment horizontal="left" vertical="center" indent="1"/>
    </xf>
    <xf numFmtId="4" fontId="9" fillId="5" borderId="0" xfId="0" applyNumberFormat="1" applyFont="1" applyFill="1" applyAlignment="1">
      <alignment vertical="center"/>
    </xf>
    <xf numFmtId="0" fontId="9" fillId="5" borderId="0" xfId="0" applyFont="1" applyFill="1" applyAlignment="1">
      <alignment horizontal="left" vertical="center" indent="1"/>
    </xf>
    <xf numFmtId="10" fontId="9" fillId="4" borderId="0" xfId="0" applyNumberFormat="1" applyFont="1" applyFill="1" applyAlignment="1">
      <alignment vertical="center"/>
    </xf>
    <xf numFmtId="0" fontId="9" fillId="4" borderId="0" xfId="0" applyFont="1" applyFill="1" applyAlignment="1">
      <alignment horizontal="left" vertical="center" indent="1"/>
    </xf>
    <xf numFmtId="10" fontId="9" fillId="5" borderId="0" xfId="0" applyNumberFormat="1" applyFont="1" applyFill="1" applyAlignment="1">
      <alignment vertical="center"/>
    </xf>
    <xf numFmtId="0" fontId="10" fillId="6" borderId="35" xfId="0" applyFont="1" applyFill="1" applyBorder="1" applyAlignment="1">
      <alignment horizontal="center" vertical="center"/>
    </xf>
    <xf numFmtId="40" fontId="9" fillId="4" borderId="34" xfId="0" applyNumberFormat="1" applyFont="1" applyFill="1" applyBorder="1" applyAlignment="1">
      <alignment horizontal="center" vertical="center"/>
    </xf>
    <xf numFmtId="169" fontId="9" fillId="5" borderId="0" xfId="0" applyNumberFormat="1" applyFont="1" applyFill="1" applyAlignment="1">
      <alignment horizontal="center" vertical="center"/>
    </xf>
    <xf numFmtId="4" fontId="12" fillId="7" borderId="37" xfId="0" applyNumberFormat="1" applyFont="1" applyFill="1" applyBorder="1"/>
    <xf numFmtId="4" fontId="12" fillId="7" borderId="32" xfId="0" applyNumberFormat="1" applyFont="1" applyFill="1" applyBorder="1"/>
    <xf numFmtId="4" fontId="12" fillId="7" borderId="38" xfId="0" applyNumberFormat="1" applyFont="1" applyFill="1" applyBorder="1"/>
    <xf numFmtId="4" fontId="12" fillId="7" borderId="3" xfId="0" applyNumberFormat="1" applyFont="1" applyFill="1" applyBorder="1"/>
    <xf numFmtId="4" fontId="12" fillId="7" borderId="33" xfId="0" applyNumberFormat="1" applyFont="1" applyFill="1" applyBorder="1"/>
    <xf numFmtId="4" fontId="12" fillId="7" borderId="2" xfId="0" applyNumberFormat="1" applyFont="1" applyFill="1" applyBorder="1"/>
    <xf numFmtId="4" fontId="12" fillId="7" borderId="39" xfId="0" applyNumberFormat="1" applyFont="1" applyFill="1" applyBorder="1"/>
    <xf numFmtId="4" fontId="12" fillId="7" borderId="30" xfId="0" applyNumberFormat="1" applyFont="1" applyFill="1" applyBorder="1"/>
    <xf numFmtId="4" fontId="12" fillId="7" borderId="36" xfId="0" applyNumberFormat="1" applyFont="1" applyFill="1" applyBorder="1"/>
    <xf numFmtId="4" fontId="12" fillId="7" borderId="32" xfId="0" applyNumberFormat="1" applyFont="1" applyFill="1" applyBorder="1" applyAlignment="1">
      <alignment horizontal="center"/>
    </xf>
    <xf numFmtId="4" fontId="12" fillId="7" borderId="38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0" borderId="33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4" xfId="0" applyBorder="1" applyAlignment="1">
      <alignment vertical="center"/>
    </xf>
    <xf numFmtId="0" fontId="4" fillId="0" borderId="26" xfId="0" applyFont="1" applyBorder="1" applyAlignment="1">
      <alignment horizontal="center"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40" fontId="3" fillId="0" borderId="28" xfId="0" applyNumberFormat="1" applyFont="1" applyBorder="1" applyAlignment="1">
      <alignment horizontal="left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3" fillId="0" borderId="27" xfId="0" applyFont="1" applyBorder="1" applyAlignment="1">
      <alignment vertical="center"/>
    </xf>
    <xf numFmtId="40" fontId="4" fillId="0" borderId="30" xfId="0" applyNumberFormat="1" applyFont="1" applyBorder="1" applyAlignment="1">
      <alignment horizontal="center" vertical="center"/>
    </xf>
    <xf numFmtId="40" fontId="6" fillId="0" borderId="31" xfId="0" applyNumberFormat="1" applyFont="1" applyBorder="1" applyAlignment="1">
      <alignment horizontal="center" vertical="center"/>
    </xf>
    <xf numFmtId="40" fontId="6" fillId="0" borderId="32" xfId="0" applyNumberFormat="1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vertical="center"/>
    </xf>
    <xf numFmtId="0" fontId="4" fillId="0" borderId="33" xfId="0" applyFont="1" applyBorder="1" applyAlignment="1">
      <alignment horizontal="center" vertical="center"/>
    </xf>
    <xf numFmtId="40" fontId="3" fillId="0" borderId="33" xfId="0" applyNumberFormat="1" applyFont="1" applyBorder="1" applyAlignment="1">
      <alignment horizontal="left" vertical="center"/>
    </xf>
    <xf numFmtId="0" fontId="3" fillId="0" borderId="30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25" xfId="0" applyFont="1" applyBorder="1" applyAlignment="1">
      <alignment vertical="center"/>
    </xf>
    <xf numFmtId="0" fontId="0" fillId="0" borderId="25" xfId="0" applyBorder="1" applyAlignment="1">
      <alignment vertical="center"/>
    </xf>
    <xf numFmtId="4" fontId="12" fillId="7" borderId="33" xfId="0" applyNumberFormat="1" applyFont="1" applyFill="1" applyBorder="1" applyAlignment="1">
      <alignment horizontal="center"/>
    </xf>
    <xf numFmtId="4" fontId="12" fillId="7" borderId="2" xfId="0" applyNumberFormat="1" applyFont="1" applyFill="1" applyBorder="1" applyAlignment="1">
      <alignment horizontal="center"/>
    </xf>
    <xf numFmtId="4" fontId="12" fillId="7" borderId="32" xfId="0" applyNumberFormat="1" applyFont="1" applyFill="1" applyBorder="1" applyAlignment="1">
      <alignment horizontal="center"/>
    </xf>
    <xf numFmtId="4" fontId="12" fillId="7" borderId="38" xfId="0" applyNumberFormat="1" applyFont="1" applyFill="1" applyBorder="1" applyAlignment="1">
      <alignment horizontal="center"/>
    </xf>
    <xf numFmtId="170" fontId="3" fillId="0" borderId="0" xfId="0" applyNumberFormat="1" applyFont="1"/>
  </cellXfs>
  <cellStyles count="2">
    <cellStyle name="Normal" xfId="0" builtinId="0"/>
    <cellStyle name="Vírgula" xfId="1" builtinId="3"/>
  </cellStyles>
  <dxfs count="3879"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170" formatCode="#,##0.00_);[Red]\(#,##0.00\)"/>
    </dxf>
    <dxf>
      <numFmt numFmtId="170" formatCode="#,##0.00_);[Red]\(#,##0.00\)"/>
    </dxf>
    <dxf>
      <numFmt numFmtId="167" formatCode="0.00%_);[Red]\(0.00%\)"/>
    </dxf>
    <dxf>
      <numFmt numFmtId="167" formatCode="0.00%_);[Red]\(0.00%\)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3.252920001163797E-4</c:v>
                </c:pt>
                <c:pt idx="1">
                  <c:v>-1.8882497593834143E-4</c:v>
                </c:pt>
                <c:pt idx="2">
                  <c:v>1.0019144607092659E-3</c:v>
                </c:pt>
                <c:pt idx="3">
                  <c:v>0</c:v>
                </c:pt>
                <c:pt idx="4">
                  <c:v>0</c:v>
                </c:pt>
                <c:pt idx="5">
                  <c:v>5.2910375837087527E-2</c:v>
                </c:pt>
                <c:pt idx="6">
                  <c:v>1.3137138048624687E-2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-2.8499627797340409E-2</c:v>
                </c:pt>
                <c:pt idx="13">
                  <c:v>0</c:v>
                </c:pt>
                <c:pt idx="14">
                  <c:v>0</c:v>
                </c:pt>
                <c:pt idx="15">
                  <c:v>0.16651556441194146</c:v>
                </c:pt>
                <c:pt idx="16">
                  <c:v>-6.6846624367577934E-2</c:v>
                </c:pt>
                <c:pt idx="17">
                  <c:v>0</c:v>
                </c:pt>
                <c:pt idx="18">
                  <c:v>-7.2951709412115134E-3</c:v>
                </c:pt>
                <c:pt idx="19">
                  <c:v>7.6607581961889886E-5</c:v>
                </c:pt>
                <c:pt idx="20">
                  <c:v>-7.7431613159914005E-4</c:v>
                </c:pt>
                <c:pt idx="21">
                  <c:v>2.807623739191146E-5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3-42D2-9F63-F3A82A042D0C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-1.5723209946617425E-5</c:v>
                </c:pt>
                <c:pt idx="1">
                  <c:v>9.5437337768812758E-5</c:v>
                </c:pt>
                <c:pt idx="2">
                  <c:v>7.9081247613775103E-5</c:v>
                </c:pt>
                <c:pt idx="3">
                  <c:v>0</c:v>
                </c:pt>
                <c:pt idx="4">
                  <c:v>0</c:v>
                </c:pt>
                <c:pt idx="5">
                  <c:v>3.8972925415218816E-2</c:v>
                </c:pt>
                <c:pt idx="6">
                  <c:v>1.2489337045114705E-2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-1.8531429648399437E-2</c:v>
                </c:pt>
                <c:pt idx="13">
                  <c:v>0</c:v>
                </c:pt>
                <c:pt idx="14">
                  <c:v>0</c:v>
                </c:pt>
                <c:pt idx="15">
                  <c:v>0.1981361474589739</c:v>
                </c:pt>
                <c:pt idx="16">
                  <c:v>-6.6628085565456019E-2</c:v>
                </c:pt>
                <c:pt idx="17">
                  <c:v>0</c:v>
                </c:pt>
                <c:pt idx="18">
                  <c:v>-5.7158596797859916E-3</c:v>
                </c:pt>
                <c:pt idx="19">
                  <c:v>4.8193334372435757E-5</c:v>
                </c:pt>
                <c:pt idx="20">
                  <c:v>-6.2681974043182331E-4</c:v>
                </c:pt>
                <c:pt idx="21">
                  <c:v>6.4167837391970175E-5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3-42D2-9F63-F3A82A042D0C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-1.5723209946617425E-5</c:v>
                </c:pt>
                <c:pt idx="1">
                  <c:v>9.5437337768812758E-5</c:v>
                </c:pt>
                <c:pt idx="2">
                  <c:v>7.9081247613775103E-5</c:v>
                </c:pt>
                <c:pt idx="3">
                  <c:v>0</c:v>
                </c:pt>
                <c:pt idx="4">
                  <c:v>0</c:v>
                </c:pt>
                <c:pt idx="5">
                  <c:v>3.8972925415218816E-2</c:v>
                </c:pt>
                <c:pt idx="6">
                  <c:v>1.2489337045114705E-2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-1.8531429648399437E-2</c:v>
                </c:pt>
                <c:pt idx="13">
                  <c:v>0</c:v>
                </c:pt>
                <c:pt idx="14">
                  <c:v>0</c:v>
                </c:pt>
                <c:pt idx="15">
                  <c:v>0.1981361474589739</c:v>
                </c:pt>
                <c:pt idx="16">
                  <c:v>-6.6628085565456019E-2</c:v>
                </c:pt>
                <c:pt idx="17">
                  <c:v>0</c:v>
                </c:pt>
                <c:pt idx="18">
                  <c:v>-5.7158596797859916E-3</c:v>
                </c:pt>
                <c:pt idx="19">
                  <c:v>4.8193334372435757E-5</c:v>
                </c:pt>
                <c:pt idx="20">
                  <c:v>-6.2681974043182331E-4</c:v>
                </c:pt>
                <c:pt idx="21">
                  <c:v>6.4167837391970175E-5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3-42D2-9F63-F3A82A042D0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0943-42D2-9F63-F3A82A042D0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0943-42D2-9F63-F3A82A042D0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0943-42D2-9F63-F3A82A042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451952"/>
        <c:axId val="1524446128"/>
      </c:radarChart>
      <c:catAx>
        <c:axId val="15244519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524446128"/>
        <c:crosses val="autoZero"/>
        <c:auto val="1"/>
        <c:lblAlgn val="ctr"/>
        <c:lblOffset val="100"/>
        <c:noMultiLvlLbl val="0"/>
      </c:catAx>
      <c:valAx>
        <c:axId val="1524446128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52445195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TE'!$B$13:$L$13</c:f>
              <c:numCache>
                <c:formatCode>#,##0.00%_);[Red]\(#,##0.00%\)</c:formatCode>
                <c:ptCount val="11"/>
                <c:pt idx="0">
                  <c:v>8.0804572134976678E-4</c:v>
                </c:pt>
                <c:pt idx="1">
                  <c:v>5.5487787651180571E-2</c:v>
                </c:pt>
                <c:pt idx="2">
                  <c:v>0</c:v>
                </c:pt>
                <c:pt idx="3">
                  <c:v>5.9017745024892238E-2</c:v>
                </c:pt>
                <c:pt idx="4">
                  <c:v>-8.1592169267871606E-2</c:v>
                </c:pt>
                <c:pt idx="5">
                  <c:v>0.11975821832127602</c:v>
                </c:pt>
                <c:pt idx="6">
                  <c:v>1.0321447708250274E-2</c:v>
                </c:pt>
                <c:pt idx="7">
                  <c:v>-5.7990201726198013E-4</c:v>
                </c:pt>
                <c:pt idx="8">
                  <c:v>0</c:v>
                </c:pt>
                <c:pt idx="9">
                  <c:v>-5.7970639035713756E-2</c:v>
                </c:pt>
                <c:pt idx="10">
                  <c:v>3.6524701321235232E-3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0-41D3-81FC-DF8B1AD5A4FC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TE'!$B$14:$L$14</c:f>
              <c:numCache>
                <c:formatCode>#,##0.00%_);[Red]\(#,##0.00%\)</c:formatCode>
                <c:ptCount val="11"/>
                <c:pt idx="0">
                  <c:v>6.06506522322082E-4</c:v>
                </c:pt>
                <c:pt idx="1">
                  <c:v>5.244053196618851E-2</c:v>
                </c:pt>
                <c:pt idx="2">
                  <c:v>0</c:v>
                </c:pt>
                <c:pt idx="3">
                  <c:v>5.7459770938434941E-2</c:v>
                </c:pt>
                <c:pt idx="4">
                  <c:v>-7.9438266482809813E-2</c:v>
                </c:pt>
                <c:pt idx="5">
                  <c:v>0.10045046114209444</c:v>
                </c:pt>
                <c:pt idx="6">
                  <c:v>9.6707121458266578E-3</c:v>
                </c:pt>
                <c:pt idx="7">
                  <c:v>-8.9835981395500707E-4</c:v>
                </c:pt>
                <c:pt idx="8">
                  <c:v>0</c:v>
                </c:pt>
                <c:pt idx="9">
                  <c:v>-3.9488460899425516E-2</c:v>
                </c:pt>
                <c:pt idx="10">
                  <c:v>3.4524800716200263E-3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A0-41D3-81FC-DF8B1AD5A4FC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TE'!$B$5:$L$5</c:f>
              <c:strCache>
                <c:ptCount val="11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CDE ELET</c:v>
                </c:pt>
                <c:pt idx="5">
                  <c:v>ENERGIA REVENDA</c:v>
                </c:pt>
                <c:pt idx="6">
                  <c:v>ITAIPU</c:v>
                </c:pt>
                <c:pt idx="7">
                  <c:v>TUST ITAIPU</c:v>
                </c:pt>
                <c:pt idx="8">
                  <c:v>TUST CI</c:v>
                </c:pt>
                <c:pt idx="9">
                  <c:v>SUBSIDIO</c:v>
                </c:pt>
                <c:pt idx="10">
                  <c:v>PERDAS RB/C</c:v>
                </c:pt>
              </c:strCache>
            </c:strRef>
          </c:cat>
          <c:val>
            <c:numRef>
              <c:f>'RESUMO TE'!$B$15:$L$15</c:f>
              <c:numCache>
                <c:formatCode>#,##0.00%_);[Red]\(#,##0.00%\)</c:formatCode>
                <c:ptCount val="11"/>
                <c:pt idx="0">
                  <c:v>6.06506522322082E-4</c:v>
                </c:pt>
                <c:pt idx="1">
                  <c:v>5.244053196618851E-2</c:v>
                </c:pt>
                <c:pt idx="2">
                  <c:v>0</c:v>
                </c:pt>
                <c:pt idx="3">
                  <c:v>5.7459770938434941E-2</c:v>
                </c:pt>
                <c:pt idx="4">
                  <c:v>-7.9438266482809813E-2</c:v>
                </c:pt>
                <c:pt idx="5">
                  <c:v>0.10045046114209444</c:v>
                </c:pt>
                <c:pt idx="6">
                  <c:v>9.6707121458266578E-3</c:v>
                </c:pt>
                <c:pt idx="7">
                  <c:v>-8.9835981395500707E-4</c:v>
                </c:pt>
                <c:pt idx="8">
                  <c:v>0</c:v>
                </c:pt>
                <c:pt idx="9">
                  <c:v>-3.9488460899425516E-2</c:v>
                </c:pt>
                <c:pt idx="10">
                  <c:v>3.4524800716200263E-3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A0-41D3-81FC-DF8B1AD5A4FC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1CA0-41D3-81FC-DF8B1AD5A4FC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1CA0-41D3-81FC-DF8B1AD5A4FC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1CA0-41D3-81FC-DF8B1AD5A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6104464"/>
        <c:axId val="1516101552"/>
      </c:radarChart>
      <c:catAx>
        <c:axId val="151610446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516101552"/>
        <c:crosses val="autoZero"/>
        <c:auto val="1"/>
        <c:lblAlgn val="ctr"/>
        <c:lblOffset val="100"/>
        <c:noMultiLvlLbl val="0"/>
      </c:catAx>
      <c:valAx>
        <c:axId val="151610155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51610446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404813</xdr:colOff>
      <xdr:row>16</xdr:row>
      <xdr:rowOff>0</xdr:rowOff>
    </xdr:from>
    <xdr:to>
      <xdr:col>13</xdr:col>
      <xdr:colOff>338138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ACE79F-85D3-0D21-A6FB-A00156D88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528638</xdr:colOff>
      <xdr:row>16</xdr:row>
      <xdr:rowOff>0</xdr:rowOff>
    </xdr:from>
    <xdr:to>
      <xdr:col>12</xdr:col>
      <xdr:colOff>519113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F0D2AF6-E6AA-1635-7D50-B800E18CC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5.566207870368" createdVersion="5" refreshedVersion="8" minRefreshableVersion="3" recordCount="666" xr:uid="{4FE187C4-A0FE-41FC-B079-5011AA071708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Distribuição"/>
        <s v="Verde"/>
        <s v="Branca"/>
        <s v="Convencional"/>
      </sharedItems>
    </cacheField>
    <cacheField name="Classe" numFmtId="0">
      <sharedItems count="9">
        <s v="Não se aplica"/>
        <s v="Comercial"/>
        <s v="Industrial"/>
        <s v="Poder público"/>
        <s v="Rural"/>
        <s v="Residencial"/>
        <s v="Serviço público"/>
        <s v="Consumo próprio"/>
        <s v="Iluminação pública"/>
      </sharedItems>
    </cacheField>
    <cacheField name="Subclasse" numFmtId="0">
      <sharedItems count="9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Água, esgoto e saneamento"/>
        <s v="Iluminação pública – B4a"/>
      </sharedItems>
    </cacheField>
    <cacheField name="Detalhe" numFmtId="0">
      <sharedItems count="5">
        <s v="&lt;500"/>
        <s v="Não se aplica"/>
        <s v="Fonte incentivada"/>
        <s v="IRRIG./AQUIC."/>
        <s v="IRRIG./AQUIC. PR"/>
      </sharedItems>
    </cacheField>
    <cacheField name="Agente" numFmtId="0">
      <sharedItems count="2">
        <s v="CELETRO"/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40" maxValue="3585"/>
    </cacheField>
    <cacheField name="Daj" numFmtId="40">
      <sharedItems containsSemiMixedTypes="0" containsString="0" containsNumber="1" minValue="-40" maxValue="3473"/>
    </cacheField>
    <cacheField name="TUSD_E" numFmtId="40">
      <sharedItems containsSemiMixedTypes="0" containsString="0" containsNumber="1" minValue="-61.5" maxValue="2474.37"/>
    </cacheField>
    <cacheField name="TUSD_Eaj" numFmtId="40">
      <sharedItems containsSemiMixedTypes="0" containsString="0" containsNumber="1" minValue="-61.5" maxValue="2474.37"/>
    </cacheField>
    <cacheField name="TE_E" numFmtId="40">
      <sharedItems containsSemiMixedTypes="0" containsString="0" containsNumber="1" minValue="-61.5" maxValue="2474.37"/>
    </cacheField>
    <cacheField name="TE_Eaj" numFmtId="40">
      <sharedItems containsSemiMixedTypes="0" containsString="0" containsNumber="1" minValue="-61.5" maxValue="2474.37"/>
    </cacheField>
    <cacheField name="UC" numFmtId="40">
      <sharedItems containsSemiMixedTypes="0" containsString="0" containsNumber="1" containsInteger="1" minValue="0" maxValue="9152"/>
    </cacheField>
    <cacheField name="OPÇÃO" numFmtId="0">
      <sharedItems count="3">
        <s v="SUPRIMENTO"/>
        <s v="CATIVO"/>
        <s v="LIVRE"/>
      </sharedItems>
    </cacheField>
    <cacheField name="CóD. AUX." numFmtId="0">
      <sharedItems containsSemiMixedTypes="0" containsString="0" containsNumber="1" containsInteger="1" minValue="0" maxValue="5343"/>
    </cacheField>
    <cacheField name="CóD. AUX. TUSD R$/kW" numFmtId="40">
      <sharedItems containsSemiMixedTypes="0" containsString="0" containsNumber="1" containsInteger="1" minValue="0" maxValue="9"/>
    </cacheField>
    <cacheField name="CóD. AUX. TUSD R$/MWh" numFmtId="40">
      <sharedItems containsSemiMixedTypes="0" containsString="0" containsNumber="1" containsInteger="1" minValue="0" maxValue="49"/>
    </cacheField>
    <cacheField name="CóD. AUX. TE R$/MWh" numFmtId="40">
      <sharedItems containsSemiMixedTypes="0" containsString="0" containsNumber="1" containsInteger="1" minValue="0" maxValue="89"/>
    </cacheField>
    <cacheField name="TUSD (R$/kW)" numFmtId="40">
      <sharedItems containsSemiMixedTypes="0" containsString="0" containsNumber="1" minValue="0" maxValue="33.97"/>
    </cacheField>
    <cacheField name="TUSD (R$/MWh)" numFmtId="40">
      <sharedItems containsSemiMixedTypes="0" containsString="0" containsNumber="1" minValue="0" maxValue="1755.54"/>
    </cacheField>
    <cacheField name="TE (R$/MWh)" numFmtId="40">
      <sharedItems containsSemiMixedTypes="0" containsString="0" containsNumber="1" minValue="0" maxValue="298.83999999999997"/>
    </cacheField>
    <cacheField name="TUSD (R$/kW) NOVA" numFmtId="40">
      <sharedItems containsString="0" containsBlank="1" containsNumber="1" minValue="23.819711465050677" maxValue="54.216386816965695"/>
    </cacheField>
    <cacheField name="TUSD (R$/MWh) NOVA" numFmtId="40">
      <sharedItems containsString="0" containsBlank="1" containsNumber="1" minValue="11.103927165111529" maxValue="2161.4944324838229"/>
    </cacheField>
    <cacheField name="TE (R$/MWh) NOVA" numFmtId="40">
      <sharedItems containsString="0" containsBlank="1" containsNumber="1" minValue="71.933154536143064" maxValue="311.4117891483653"/>
    </cacheField>
    <cacheField name="RA0 ou RV - TUSD (kW)" numFmtId="40">
      <sharedItems containsSemiMixedTypes="0" containsString="0" containsNumber="1" minValue="-1358.8" maxValue="117977.81"/>
    </cacheField>
    <cacheField name="RA0 ou RV - TUSD (MWh)" numFmtId="40">
      <sharedItems containsSemiMixedTypes="0" containsString="0" containsNumber="1" minValue="-5568.21" maxValue="1005880.8923999999"/>
    </cacheField>
    <cacheField name="RA0 ou RV - TE (MWh)" numFmtId="40">
      <sharedItems containsSemiMixedTypes="0" containsString="0" containsNumber="1" minValue="-11682.54" maxValue="492473.86109999998"/>
    </cacheField>
    <cacheField name="RA1 ou RRD - TUSD (kW)" numFmtId="40">
      <sharedItems containsSemiMixedTypes="0" containsString="0" containsNumber="1" minValue="-1793.4280223048484" maxValue="155714.38803661845"/>
    </cacheField>
    <cacheField name="RA1 ou RRD - TUSD (MWh)" numFmtId="40">
      <sharedItems containsSemiMixedTypes="0" containsString="0" containsNumber="1" minValue="-7134.6335558863493" maxValue="1253099.5765528874"/>
    </cacheField>
    <cacheField name="RA1 ou RRD - TE (MWh)" numFmtId="40">
      <sharedItems containsSemiMixedTypes="0" containsString="0" containsNumber="1" minValue="-12047.669944481824" maxValue="508540.68454170373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55.56635335648" createdVersion="5" refreshedVersion="8" minRefreshableVersion="3" recordCount="302" xr:uid="{76050436-C7D9-4CC5-A4C5-A0192D189F01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Distribuição"/>
        <s v="Verde"/>
        <s v="Convencional"/>
        <s v="Branca"/>
      </sharedItems>
    </cacheField>
    <cacheField name="Classe" numFmtId="0">
      <sharedItems count="5">
        <s v="Não se aplica"/>
        <s v="Industrial"/>
        <s v="Rural"/>
        <s v="Residencial"/>
        <s v="Serviço público"/>
      </sharedItems>
    </cacheField>
    <cacheField name="Subclasse" numFmtId="0">
      <sharedItems count="8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Água, esgoto e saneamento"/>
      </sharedItems>
    </cacheField>
    <cacheField name="Detalhe" numFmtId="0">
      <sharedItems count="5">
        <s v="&lt;500"/>
        <s v="Fonte incentivada"/>
        <s v="Não se aplica"/>
        <s v="IRRIG./AQUIC."/>
        <s v="IRRIG./AQUIC. PR"/>
      </sharedItems>
    </cacheField>
    <cacheField name="Agente" numFmtId="0">
      <sharedItems count="2">
        <s v="CELETRO"/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0" maxValue="3585"/>
    </cacheField>
    <cacheField name="Daj" numFmtId="40">
      <sharedItems containsSemiMixedTypes="0" containsString="0" containsNumber="1" minValue="0" maxValue="2111"/>
    </cacheField>
    <cacheField name="TUSD_E" numFmtId="40">
      <sharedItems containsSemiMixedTypes="0" containsString="0" containsNumber="1" minValue="-8.7420000000000009" maxValue="2106.8679999999999"/>
    </cacheField>
    <cacheField name="TUSD_Eaj" numFmtId="40">
      <sharedItems containsSemiMixedTypes="0" containsString="0" containsNumber="1" minValue="-8.7420000000000009" maxValue="2106.8679999999999"/>
    </cacheField>
    <cacheField name="TE_E" numFmtId="40">
      <sharedItems containsSemiMixedTypes="0" containsString="0" containsNumber="1" minValue="-8.7420000000000009" maxValue="2106.8679999999999"/>
    </cacheField>
    <cacheField name="TE_Eaj" numFmtId="40">
      <sharedItems containsSemiMixedTypes="0" containsString="0" containsNumber="1" minValue="-8.7420000000000009" maxValue="2106.8679999999999"/>
    </cacheField>
    <cacheField name="UC" numFmtId="40">
      <sharedItems containsSemiMixedTypes="0" containsString="0" containsNumber="1" containsInteger="1" minValue="0" maxValue="9100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5343"/>
    </cacheField>
    <cacheField name="CóD. AUX. TUSD R$/kW" numFmtId="0">
      <sharedItems containsSemiMixedTypes="0" containsString="0" containsNumber="1" containsInteger="1" minValue="0" maxValue="9"/>
    </cacheField>
    <cacheField name="CóD. AUX. TUSD R$/MWh" numFmtId="0">
      <sharedItems containsSemiMixedTypes="0" containsString="0" containsNumber="1" containsInteger="1" minValue="0" maxValue="47"/>
    </cacheField>
    <cacheField name="CóD. AUX. TE R$/MWh" numFmtId="0">
      <sharedItems containsSemiMixedTypes="0" containsString="0" containsNumber="1" containsInteger="1" minValue="0" maxValue="87"/>
    </cacheField>
    <cacheField name="TUSD (R$/kW)" numFmtId="40">
      <sharedItems containsSemiMixedTypes="0" containsString="0" containsNumber="1" minValue="0" maxValue="33.97"/>
    </cacheField>
    <cacheField name="TUSD (R$/MWh)" numFmtId="40">
      <sharedItems containsSemiMixedTypes="0" containsString="0" containsNumber="1" minValue="0" maxValue="1755.54"/>
    </cacheField>
    <cacheField name="TE (R$/MWh)" numFmtId="40">
      <sharedItems containsSemiMixedTypes="0" containsString="0" containsNumber="1" minValue="0" maxValue="298.83999999999997"/>
    </cacheField>
    <cacheField name="TUSD (R$/kW) NOVA" numFmtId="40">
      <sharedItems containsString="0" containsBlank="1" containsNumber="1" minValue="23.819711465050677" maxValue="54.216386816965695"/>
    </cacheField>
    <cacheField name="TUSD (R$/MWh) NOVA" numFmtId="40">
      <sharedItems containsString="0" containsBlank="1" containsNumber="1" minValue="11.103927165111529" maxValue="2161.4944324838229"/>
    </cacheField>
    <cacheField name="TE (R$/MWh) NOVA" numFmtId="40">
      <sharedItems containsString="0" containsBlank="1" containsNumber="1" minValue="71.933154536143064" maxValue="311.4117891483653"/>
    </cacheField>
    <cacheField name="SUBSIDIO kW - TV" numFmtId="40">
      <sharedItems containsSemiMixedTypes="0" containsString="0" containsNumber="1" minValue="0" maxValue="88938.06179021101"/>
    </cacheField>
    <cacheField name="SUBSIDIO MWh - TV" numFmtId="40">
      <sharedItems containsSemiMixedTypes="0" containsString="0" containsNumber="1" minValue="-635.19371999999953" maxValue="153085.02887999988"/>
    </cacheField>
    <cacheField name="SUBSIDIO kW - TN" numFmtId="40">
      <sharedItems containsSemiMixedTypes="0" containsString="0" containsNumber="1" minValue="0" maxValue="117385.93778631478"/>
    </cacheField>
    <cacheField name="SUBSIDIO MWh - TN" numFmtId="40">
      <sharedItems containsSemiMixedTypes="0" containsString="0" containsNumber="1" minValue="-373.43467215870555" maxValue="106276.17894477383"/>
    </cacheField>
    <cacheField name="TIPO" numFmtId="0">
      <sharedItems containsBlank="1" count="7">
        <s v="SUBSIDIO DISTRIBUIÇÃO"/>
        <s v="SUBSIDIO CARGA FONTE INCENTIVADA"/>
        <s v="SUBSIDIO RURAL"/>
        <m/>
        <s v="SUBSIDIO BAIXA RENDA"/>
        <s v="SUBSIDIO IRRIGANTE/AQUICULTOR"/>
        <s v="SUBSIDIO ÁGUA, ESGOTO E SANEAMENTO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760.409262037036" createdVersion="8" refreshedVersion="8" minRefreshableVersion="3" recordCount="666" xr:uid="{5F27117B-604D-465F-8566-26E6F5A24DC7}">
  <cacheSource type="worksheet">
    <worksheetSource name="Efeito4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Distribuição"/>
        <s v="Verde"/>
        <s v="Branca"/>
        <s v="Convencional"/>
      </sharedItems>
    </cacheField>
    <cacheField name="Classe" numFmtId="0">
      <sharedItems count="9">
        <s v="Não se aplica"/>
        <s v="Comercial"/>
        <s v="Industrial"/>
        <s v="Poder público"/>
        <s v="Rural"/>
        <s v="Residencial"/>
        <s v="Serviço público"/>
        <s v="Consumo próprio"/>
        <s v="Iluminação pública"/>
      </sharedItems>
    </cacheField>
    <cacheField name="Subclasse" numFmtId="0">
      <sharedItems count="9"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Água, esgoto e saneamento"/>
        <s v="Iluminação pública – B4a"/>
      </sharedItems>
    </cacheField>
    <cacheField name="Detalhe" numFmtId="0">
      <sharedItems count="5">
        <s v="&lt;500"/>
        <s v="Não se aplica"/>
        <s v="Fonte incentivada"/>
        <s v="IRRIG./AQUIC."/>
        <s v="IRRIG./AQUIC. PR"/>
      </sharedItems>
    </cacheField>
    <cacheField name="Agente" numFmtId="0">
      <sharedItems count="2">
        <s v="CELETRO"/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7-01T00:00:00" maxDate="2022-06-02T00:00:00" count="12"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</sharedItems>
    </cacheField>
    <cacheField name="D" numFmtId="40">
      <sharedItems containsSemiMixedTypes="0" containsString="0" containsNumber="1" containsInteger="1" minValue="-40" maxValue="3585"/>
    </cacheField>
    <cacheField name="Daj" numFmtId="40">
      <sharedItems containsSemiMixedTypes="0" containsString="0" containsNumber="1" minValue="-40" maxValue="3473"/>
    </cacheField>
    <cacheField name="TUSD_E" numFmtId="40">
      <sharedItems containsSemiMixedTypes="0" containsString="0" containsNumber="1" minValue="-61.5" maxValue="2474.37"/>
    </cacheField>
    <cacheField name="TUSD_Eaj" numFmtId="40">
      <sharedItems containsSemiMixedTypes="0" containsString="0" containsNumber="1" minValue="-61.5" maxValue="2474.37"/>
    </cacheField>
    <cacheField name="TE_E" numFmtId="40">
      <sharedItems containsSemiMixedTypes="0" containsString="0" containsNumber="1" minValue="-61.5" maxValue="2474.37"/>
    </cacheField>
    <cacheField name="TE_Eaj" numFmtId="40">
      <sharedItems containsSemiMixedTypes="0" containsString="0" containsNumber="1" minValue="-61.5" maxValue="2474.37"/>
    </cacheField>
    <cacheField name="UC" numFmtId="40">
      <sharedItems containsSemiMixedTypes="0" containsString="0" containsNumber="1" containsInteger="1" minValue="0" maxValue="9152"/>
    </cacheField>
    <cacheField name="OPÇÃO" numFmtId="0">
      <sharedItems count="3">
        <s v="SUPRIMENTO"/>
        <s v="CATIVO"/>
        <s v="LIVRE"/>
      </sharedItems>
    </cacheField>
    <cacheField name="CóD. AUX." numFmtId="0">
      <sharedItems containsSemiMixedTypes="0" containsString="0" containsNumber="1" containsInteger="1" minValue="0" maxValue="5343"/>
    </cacheField>
    <cacheField name="CóD. AUX. TUSD R$/kW" numFmtId="40">
      <sharedItems containsSemiMixedTypes="0" containsString="0" containsNumber="1" containsInteger="1" minValue="0" maxValue="9"/>
    </cacheField>
    <cacheField name="CóD. AUX. TUSD R$/MWh" numFmtId="40">
      <sharedItems containsSemiMixedTypes="0" containsString="0" containsNumber="1" containsInteger="1" minValue="0" maxValue="49"/>
    </cacheField>
    <cacheField name="CóD. AUX. TE R$/MWh" numFmtId="40">
      <sharedItems containsSemiMixedTypes="0" containsString="0" containsNumber="1" containsInteger="1" minValue="0" maxValue="89"/>
    </cacheField>
    <cacheField name="TUSD (R$/kW)" numFmtId="40">
      <sharedItems containsSemiMixedTypes="0" containsString="0" containsNumber="1" minValue="0" maxValue="33.97"/>
    </cacheField>
    <cacheField name="TUSD (R$/MWh)" numFmtId="40">
      <sharedItems containsSemiMixedTypes="0" containsString="0" containsNumber="1" minValue="0" maxValue="1755.54"/>
    </cacheField>
    <cacheField name="TE (R$/MWh)" numFmtId="40">
      <sharedItems containsSemiMixedTypes="0" containsString="0" containsNumber="1" minValue="0" maxValue="298.83999999999997"/>
    </cacheField>
    <cacheField name="TUSD (R$/kW) NOVA" numFmtId="40">
      <sharedItems containsString="0" containsBlank="1" containsNumber="1" minValue="23.819711465050677" maxValue="54.216386816965695"/>
    </cacheField>
    <cacheField name="TUSD (R$/MWh) NOVA" numFmtId="40">
      <sharedItems containsString="0" containsBlank="1" containsNumber="1" minValue="11.103927165111529" maxValue="1283.23"/>
    </cacheField>
    <cacheField name="TE (R$/MWh) NOVA" numFmtId="40">
      <sharedItems containsString="0" containsBlank="1" containsNumber="1" minValue="71.933154536143064" maxValue="311.4117891483653"/>
    </cacheField>
    <cacheField name="RA0 ou RV - TUSD (kW)" numFmtId="40">
      <sharedItems containsSemiMixedTypes="0" containsString="0" containsNumber="1" minValue="-1358.8" maxValue="117977.81"/>
    </cacheField>
    <cacheField name="RA0 ou RV - TUSD (MWh)" numFmtId="40">
      <sharedItems containsSemiMixedTypes="0" containsString="0" containsNumber="1" minValue="-5568.21" maxValue="1005880.8923999999"/>
    </cacheField>
    <cacheField name="RA0 ou RV - TE (MWh)" numFmtId="40">
      <sharedItems containsSemiMixedTypes="0" containsString="0" containsNumber="1" minValue="-11682.54" maxValue="492473.86109999998"/>
    </cacheField>
    <cacheField name="RA1 ou RRD - TUSD (kW)" numFmtId="40">
      <sharedItems containsSemiMixedTypes="0" containsString="0" containsNumber="1" minValue="-1292.4000000000001" maxValue="112212.63"/>
    </cacheField>
    <cacheField name="RA1 ou RRD - TUSD (MWh)" numFmtId="40">
      <sharedItems containsSemiMixedTypes="0" containsString="0" containsNumber="1" minValue="-7182.5850000000009" maxValue="1103625.2082429994"/>
    </cacheField>
    <cacheField name="RA1 ou RRD - TE (MWh)" numFmtId="40">
      <sharedItems containsSemiMixedTypes="0" containsString="0" containsNumber="1" minValue="-12047.669944481824" maxValue="508540.68454170373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">
  <r>
    <s v="Regular"/>
    <x v="0"/>
    <x v="0"/>
    <x v="0"/>
    <x v="0"/>
    <x v="0"/>
    <x v="0"/>
    <x v="0"/>
    <x v="0"/>
    <n v="1083"/>
    <n v="1083"/>
    <n v="292.06900000000002"/>
    <n v="292.069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5309.710000000003"/>
    <n v="3785.2142400000002"/>
    <n v="0"/>
    <n v="25796.747516649884"/>
    <n v="3243.1129031869591"/>
    <n v="0"/>
  </r>
  <r>
    <s v="Regular"/>
    <x v="0"/>
    <x v="0"/>
    <x v="0"/>
    <x v="0"/>
    <x v="0"/>
    <x v="0"/>
    <x v="0"/>
    <x v="1"/>
    <n v="1058"/>
    <n v="1058"/>
    <n v="315.666"/>
    <n v="315.666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4725.460000000003"/>
    <n v="4091.0313600000004"/>
    <n v="0"/>
    <n v="25201.254730023615"/>
    <n v="3505.1322725020959"/>
    <n v="0"/>
  </r>
  <r>
    <s v="Regular"/>
    <x v="0"/>
    <x v="0"/>
    <x v="0"/>
    <x v="0"/>
    <x v="0"/>
    <x v="0"/>
    <x v="0"/>
    <x v="2"/>
    <n v="1067"/>
    <n v="1067"/>
    <n v="290.14600000000002"/>
    <n v="290.146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4935.79"/>
    <n v="3760.2921600000004"/>
    <n v="0"/>
    <n v="25415.632133209074"/>
    <n v="3221.7600512484496"/>
    <n v="0"/>
  </r>
  <r>
    <s v="Regular"/>
    <x v="0"/>
    <x v="0"/>
    <x v="0"/>
    <x v="0"/>
    <x v="0"/>
    <x v="0"/>
    <x v="0"/>
    <x v="3"/>
    <n v="1154"/>
    <n v="1154"/>
    <n v="296.44299999999998"/>
    <n v="296.44299999999998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6968.98"/>
    <n v="3841.90128"/>
    <n v="0"/>
    <n v="27487.947030668482"/>
    <n v="3291.6814806071566"/>
    <n v="0"/>
  </r>
  <r>
    <s v="Regular"/>
    <x v="0"/>
    <x v="0"/>
    <x v="0"/>
    <x v="0"/>
    <x v="0"/>
    <x v="0"/>
    <x v="0"/>
    <x v="4"/>
    <n v="1511"/>
    <n v="1511"/>
    <n v="431.755"/>
    <n v="431.755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5312.07"/>
    <n v="5595.5448000000006"/>
    <n v="0"/>
    <n v="35991.584023691576"/>
    <n v="4794.1760731727281"/>
    <n v="0"/>
  </r>
  <r>
    <s v="Regular"/>
    <x v="0"/>
    <x v="0"/>
    <x v="0"/>
    <x v="0"/>
    <x v="0"/>
    <x v="0"/>
    <x v="0"/>
    <x v="5"/>
    <n v="1813"/>
    <n v="1813"/>
    <n v="603.375"/>
    <n v="603.375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42369.810000000005"/>
    <n v="7819.7400000000007"/>
    <n v="0"/>
    <n v="43185.136886136876"/>
    <n v="6699.8320532491689"/>
    <n v="0"/>
  </r>
  <r>
    <s v="Regular"/>
    <x v="0"/>
    <x v="0"/>
    <x v="0"/>
    <x v="0"/>
    <x v="0"/>
    <x v="0"/>
    <x v="0"/>
    <x v="6"/>
    <n v="2086"/>
    <n v="2086"/>
    <n v="632.43200000000002"/>
    <n v="632.432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48749.82"/>
    <n v="8196.3187200000011"/>
    <n v="0"/>
    <n v="49687.918116095709"/>
    <n v="7022.4788648858148"/>
    <n v="0"/>
  </r>
  <r>
    <s v="Regular"/>
    <x v="0"/>
    <x v="0"/>
    <x v="0"/>
    <x v="0"/>
    <x v="0"/>
    <x v="0"/>
    <x v="0"/>
    <x v="7"/>
    <n v="1549"/>
    <n v="1549"/>
    <n v="438.084"/>
    <n v="438.084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6200.130000000005"/>
    <n v="5677.5686400000004"/>
    <n v="0"/>
    <n v="36896.733059363498"/>
    <n v="4864.4528282007186"/>
    <n v="0"/>
  </r>
  <r>
    <s v="Regular"/>
    <x v="0"/>
    <x v="0"/>
    <x v="0"/>
    <x v="0"/>
    <x v="0"/>
    <x v="0"/>
    <x v="0"/>
    <x v="8"/>
    <n v="1215"/>
    <n v="1215"/>
    <n v="410.32900000000001"/>
    <n v="410.32900000000001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8394.550000000003"/>
    <n v="5317.8638400000009"/>
    <n v="0"/>
    <n v="28940.949430036573"/>
    <n v="4556.2633297330485"/>
    <n v="0"/>
  </r>
  <r>
    <s v="Regular"/>
    <x v="0"/>
    <x v="0"/>
    <x v="0"/>
    <x v="0"/>
    <x v="0"/>
    <x v="0"/>
    <x v="0"/>
    <x v="9"/>
    <n v="1322"/>
    <n v="1322"/>
    <n v="395.52"/>
    <n v="395.5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0895.140000000003"/>
    <n v="5125.9391999999998"/>
    <n v="0"/>
    <n v="31489.658556796996"/>
    <n v="4391.8252723449114"/>
    <n v="0"/>
  </r>
  <r>
    <s v="Regular"/>
    <x v="0"/>
    <x v="0"/>
    <x v="0"/>
    <x v="0"/>
    <x v="0"/>
    <x v="0"/>
    <x v="0"/>
    <x v="10"/>
    <n v="1251"/>
    <n v="1251"/>
    <n v="348.14400000000001"/>
    <n v="348.14400000000001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9235.870000000003"/>
    <n v="4511.9462400000002"/>
    <n v="0"/>
    <n v="29798.459042778395"/>
    <n v="3865.7656189705881"/>
    <n v="0"/>
  </r>
  <r>
    <s v="Regular"/>
    <x v="0"/>
    <x v="0"/>
    <x v="0"/>
    <x v="0"/>
    <x v="0"/>
    <x v="0"/>
    <x v="0"/>
    <x v="11"/>
    <n v="1345"/>
    <n v="1345"/>
    <n v="354.02800000000002"/>
    <n v="354.028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1432.65"/>
    <n v="4588.2028800000007"/>
    <n v="0"/>
    <n v="32037.511920493162"/>
    <n v="3931.1011264101044"/>
    <n v="0"/>
  </r>
  <r>
    <s v="Regular"/>
    <x v="0"/>
    <x v="0"/>
    <x v="0"/>
    <x v="0"/>
    <x v="0"/>
    <x v="0"/>
    <x v="1"/>
    <x v="0"/>
    <n v="0"/>
    <n v="0"/>
    <n v="0"/>
    <n v="0"/>
    <n v="342.21800000000002"/>
    <n v="293.41771319999998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3366.489342672001"/>
    <n v="0"/>
    <n v="0"/>
    <n v="68571.955603721755"/>
  </r>
  <r>
    <s v="Regular"/>
    <x v="0"/>
    <x v="0"/>
    <x v="0"/>
    <x v="0"/>
    <x v="0"/>
    <x v="0"/>
    <x v="1"/>
    <x v="1"/>
    <n v="0"/>
    <n v="0"/>
    <n v="0"/>
    <n v="0"/>
    <n v="369.23899999999998"/>
    <n v="316.58551859999994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8369.80859685599"/>
    <n v="0"/>
    <n v="0"/>
    <n v="73986.290362174448"/>
  </r>
  <r>
    <s v="Regular"/>
    <x v="0"/>
    <x v="0"/>
    <x v="0"/>
    <x v="0"/>
    <x v="0"/>
    <x v="0"/>
    <x v="1"/>
    <x v="2"/>
    <n v="0"/>
    <n v="0"/>
    <n v="0"/>
    <n v="0"/>
    <n v="336.33800000000002"/>
    <n v="288.37620120000003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2277.724411152005"/>
    <n v="0"/>
    <n v="0"/>
    <n v="67393.750193866406"/>
  </r>
  <r>
    <s v="Regular"/>
    <x v="0"/>
    <x v="0"/>
    <x v="0"/>
    <x v="0"/>
    <x v="0"/>
    <x v="0"/>
    <x v="1"/>
    <x v="3"/>
    <n v="0"/>
    <n v="0"/>
    <n v="0"/>
    <n v="0"/>
    <n v="343.803"/>
    <n v="294.77669219999996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3659.974447511995"/>
    <n v="0"/>
    <n v="0"/>
    <n v="68889.550089201468"/>
  </r>
  <r>
    <s v="Regular"/>
    <x v="0"/>
    <x v="0"/>
    <x v="0"/>
    <x v="0"/>
    <x v="0"/>
    <x v="0"/>
    <x v="1"/>
    <x v="4"/>
    <n v="0"/>
    <n v="0"/>
    <n v="0"/>
    <n v="0"/>
    <n v="490.92599999999999"/>
    <n v="420.91995239999994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90901.872920303984"/>
    <n v="0"/>
    <n v="0"/>
    <n v="98369.331469159151"/>
  </r>
  <r>
    <s v="Regular"/>
    <x v="0"/>
    <x v="0"/>
    <x v="0"/>
    <x v="0"/>
    <x v="0"/>
    <x v="0"/>
    <x v="1"/>
    <x v="5"/>
    <n v="0"/>
    <n v="0"/>
    <n v="0"/>
    <n v="0"/>
    <n v="681.79300000000001"/>
    <n v="584.5693182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126243.589958472"/>
    <n v="0"/>
    <n v="0"/>
    <n v="136614.31989821771"/>
  </r>
  <r>
    <s v="Regular"/>
    <x v="0"/>
    <x v="0"/>
    <x v="0"/>
    <x v="0"/>
    <x v="0"/>
    <x v="0"/>
    <x v="1"/>
    <x v="6"/>
    <n v="0"/>
    <n v="0"/>
    <n v="0"/>
    <n v="0"/>
    <n v="709.2"/>
    <n v="608.06808000000001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131318.3825568"/>
    <n v="0"/>
    <n v="0"/>
    <n v="142105.9994335759"/>
  </r>
  <r>
    <s v="Regular"/>
    <x v="0"/>
    <x v="0"/>
    <x v="0"/>
    <x v="0"/>
    <x v="0"/>
    <x v="0"/>
    <x v="1"/>
    <x v="7"/>
    <n v="0"/>
    <n v="0"/>
    <n v="0"/>
    <n v="0"/>
    <n v="498.80799999999999"/>
    <n v="427.67797919999998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92361.336388031996"/>
    <n v="0"/>
    <n v="0"/>
    <n v="99948.687768560514"/>
  </r>
  <r>
    <s v="Regular"/>
    <x v="0"/>
    <x v="0"/>
    <x v="0"/>
    <x v="0"/>
    <x v="0"/>
    <x v="0"/>
    <x v="1"/>
    <x v="8"/>
    <n v="0"/>
    <n v="0"/>
    <n v="0"/>
    <n v="0"/>
    <n v="469.10599999999999"/>
    <n v="402.21148439999996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86861.592171023993"/>
    <n v="0"/>
    <n v="0"/>
    <n v="93997.147448233285"/>
  </r>
  <r>
    <s v="Regular"/>
    <x v="0"/>
    <x v="0"/>
    <x v="0"/>
    <x v="0"/>
    <x v="0"/>
    <x v="0"/>
    <x v="1"/>
    <x v="9"/>
    <n v="0"/>
    <n v="0"/>
    <n v="0"/>
    <n v="0"/>
    <n v="444.86500000000001"/>
    <n v="381.42725099999996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82373.029125959991"/>
    <n v="0"/>
    <n v="0"/>
    <n v="89139.85538355574"/>
  </r>
  <r>
    <s v="Regular"/>
    <x v="0"/>
    <x v="0"/>
    <x v="0"/>
    <x v="0"/>
    <x v="0"/>
    <x v="0"/>
    <x v="1"/>
    <x v="10"/>
    <n v="0"/>
    <n v="0"/>
    <n v="0"/>
    <n v="0"/>
    <n v="398.43"/>
    <n v="341.61388199999999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73774.933956720008"/>
    <n v="0"/>
    <n v="0"/>
    <n v="79835.4390218833"/>
  </r>
  <r>
    <s v="Regular"/>
    <x v="0"/>
    <x v="0"/>
    <x v="0"/>
    <x v="0"/>
    <x v="0"/>
    <x v="0"/>
    <x v="1"/>
    <x v="11"/>
    <n v="0"/>
    <n v="0"/>
    <n v="0"/>
    <n v="0"/>
    <n v="404.363"/>
    <n v="346.70083619999997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74873.512585752003"/>
    <n v="0"/>
    <n v="0"/>
    <n v="81024.264310432947"/>
  </r>
  <r>
    <s v="Regular"/>
    <x v="0"/>
    <x v="0"/>
    <x v="0"/>
    <x v="0"/>
    <x v="0"/>
    <x v="0"/>
    <x v="2"/>
    <x v="0"/>
    <n v="1074"/>
    <n v="1074"/>
    <n v="50.149000000000001"/>
    <n v="50.149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4949.02"/>
    <n v="649.93104000000005"/>
    <n v="0"/>
    <n v="45341.7073999399"/>
    <n v="556.85084340317803"/>
    <n v="0"/>
  </r>
  <r>
    <s v="Regular"/>
    <x v="0"/>
    <x v="0"/>
    <x v="0"/>
    <x v="0"/>
    <x v="0"/>
    <x v="0"/>
    <x v="2"/>
    <x v="1"/>
    <n v="1206"/>
    <n v="1206"/>
    <n v="53.573"/>
    <n v="53.573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8015.38"/>
    <n v="694.30608000000007"/>
    <n v="0"/>
    <n v="50914.431214457654"/>
    <n v="594.87069001651992"/>
    <n v="0"/>
  </r>
  <r>
    <s v="Regular"/>
    <x v="0"/>
    <x v="0"/>
    <x v="0"/>
    <x v="0"/>
    <x v="0"/>
    <x v="0"/>
    <x v="2"/>
    <x v="2"/>
    <n v="1022"/>
    <n v="1022"/>
    <n v="46.192"/>
    <n v="46.192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3741.06"/>
    <n v="598.64832000000001"/>
    <n v="0"/>
    <n v="43146.391957857151"/>
    <n v="512.91260361083175"/>
    <n v="0"/>
  </r>
  <r>
    <s v="Regular"/>
    <x v="0"/>
    <x v="0"/>
    <x v="0"/>
    <x v="0"/>
    <x v="0"/>
    <x v="0"/>
    <x v="2"/>
    <x v="3"/>
    <n v="1327"/>
    <n v="1327"/>
    <n v="47.36"/>
    <n v="47.36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0826.21"/>
    <n v="613.78560000000004"/>
    <n v="0"/>
    <n v="56022.761377765601"/>
    <n v="525.88199053968196"/>
    <n v="0"/>
  </r>
  <r>
    <s v="Regular"/>
    <x v="0"/>
    <x v="0"/>
    <x v="0"/>
    <x v="0"/>
    <x v="0"/>
    <x v="0"/>
    <x v="2"/>
    <x v="4"/>
    <n v="1479"/>
    <n v="1479"/>
    <n v="59.170999999999999"/>
    <n v="59.170999999999999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4357.17"/>
    <n v="766.85616000000005"/>
    <n v="0"/>
    <n v="62439.837285392103"/>
    <n v="657.0304742868143"/>
    <n v="0"/>
  </r>
  <r>
    <s v="Regular"/>
    <x v="0"/>
    <x v="0"/>
    <x v="0"/>
    <x v="0"/>
    <x v="0"/>
    <x v="0"/>
    <x v="2"/>
    <x v="5"/>
    <n v="1755"/>
    <n v="1755"/>
    <n v="78.418000000000006"/>
    <n v="78.418000000000006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40768.65"/>
    <n v="1016.2972800000001"/>
    <n v="0"/>
    <n v="74091.896170292865"/>
    <n v="870.74776043371594"/>
    <n v="0"/>
  </r>
  <r>
    <s v="Regular"/>
    <x v="0"/>
    <x v="0"/>
    <x v="0"/>
    <x v="0"/>
    <x v="0"/>
    <x v="0"/>
    <x v="2"/>
    <x v="6"/>
    <n v="2111"/>
    <n v="2111"/>
    <n v="76.768000000000001"/>
    <n v="76.768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49038.53"/>
    <n v="994.9132800000001"/>
    <n v="0"/>
    <n v="89121.363427628618"/>
    <n v="852.42628061128187"/>
    <n v="0"/>
  </r>
  <r>
    <s v="Regular"/>
    <x v="0"/>
    <x v="0"/>
    <x v="0"/>
    <x v="0"/>
    <x v="0"/>
    <x v="0"/>
    <x v="2"/>
    <x v="7"/>
    <n v="1529"/>
    <n v="1529"/>
    <n v="60.723999999999997"/>
    <n v="60.723999999999997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5518.67"/>
    <n v="786.98303999999996"/>
    <n v="0"/>
    <n v="64550.717518163976"/>
    <n v="674.27487317423243"/>
    <n v="0"/>
  </r>
  <r>
    <s v="Regular"/>
    <x v="0"/>
    <x v="0"/>
    <x v="0"/>
    <x v="0"/>
    <x v="0"/>
    <x v="0"/>
    <x v="2"/>
    <x v="8"/>
    <n v="1264"/>
    <n v="1264"/>
    <n v="58.777000000000001"/>
    <n v="58.777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9362.720000000001"/>
    <n v="761.74992000000009"/>
    <n v="0"/>
    <n v="53363.052284473029"/>
    <n v="652.6555269837603"/>
    <n v="0"/>
  </r>
  <r>
    <s v="Regular"/>
    <x v="0"/>
    <x v="0"/>
    <x v="0"/>
    <x v="0"/>
    <x v="0"/>
    <x v="0"/>
    <x v="2"/>
    <x v="9"/>
    <n v="1361"/>
    <n v="1361"/>
    <n v="49.344999999999999"/>
    <n v="49.344999999999999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1616.03"/>
    <n v="639.51120000000003"/>
    <n v="0"/>
    <n v="57458.15993605047"/>
    <n v="547.92328596242839"/>
    <n v="0"/>
  </r>
  <r>
    <s v="Regular"/>
    <x v="0"/>
    <x v="0"/>
    <x v="0"/>
    <x v="0"/>
    <x v="0"/>
    <x v="0"/>
    <x v="2"/>
    <x v="10"/>
    <n v="1251"/>
    <n v="1251"/>
    <n v="50.286000000000001"/>
    <n v="50.286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9060.73"/>
    <n v="651.70656000000008"/>
    <n v="0"/>
    <n v="52814.223423952346"/>
    <n v="558.37208142479835"/>
    <n v="0"/>
  </r>
  <r>
    <s v="Regular"/>
    <x v="0"/>
    <x v="0"/>
    <x v="0"/>
    <x v="0"/>
    <x v="0"/>
    <x v="0"/>
    <x v="2"/>
    <x v="11"/>
    <n v="1161"/>
    <n v="1161"/>
    <n v="50.335000000000001"/>
    <n v="50.335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6970.03"/>
    <n v="652.34160000000008"/>
    <n v="0"/>
    <n v="49014.63900496297"/>
    <n v="558.91617385588881"/>
    <n v="0"/>
  </r>
  <r>
    <s v="Regular"/>
    <x v="0"/>
    <x v="1"/>
    <x v="1"/>
    <x v="0"/>
    <x v="1"/>
    <x v="1"/>
    <x v="0"/>
    <x v="0"/>
    <n v="0"/>
    <n v="0"/>
    <n v="381.26100000000002"/>
    <n v="381.26100000000002"/>
    <n v="381.26100000000002"/>
    <n v="381.26100000000002"/>
    <n v="0"/>
    <x v="1"/>
    <n v="0"/>
    <n v="0"/>
    <n v="11"/>
    <n v="52"/>
    <n v="0"/>
    <n v="90.54"/>
    <n v="189.96"/>
    <m/>
    <n v="116.01030172172926"/>
    <n v="195.89707226799715"/>
    <n v="0"/>
    <n v="34519.370940000008"/>
    <n v="72424.339560000008"/>
    <n v="0"/>
    <n v="44230.203644728223"/>
    <n v="74687.913669968868"/>
  </r>
  <r>
    <s v="Refaturamento - Regular"/>
    <x v="0"/>
    <x v="1"/>
    <x v="1"/>
    <x v="0"/>
    <x v="1"/>
    <x v="1"/>
    <x v="0"/>
    <x v="0"/>
    <n v="0"/>
    <n v="0"/>
    <n v="-61.5"/>
    <n v="-61.5"/>
    <n v="-61.5"/>
    <n v="-61.5"/>
    <n v="0"/>
    <x v="1"/>
    <n v="0"/>
    <n v="0"/>
    <n v="11"/>
    <n v="52"/>
    <n v="0"/>
    <n v="90.54"/>
    <n v="189.96"/>
    <m/>
    <n v="116.01030172172926"/>
    <n v="195.89707226799715"/>
    <n v="0"/>
    <n v="-5568.21"/>
    <n v="-11682.54"/>
    <n v="0"/>
    <n v="-7134.6335558863493"/>
    <n v="-12047.669944481824"/>
  </r>
  <r>
    <s v="Sistema de Compensação"/>
    <x v="0"/>
    <x v="1"/>
    <x v="1"/>
    <x v="0"/>
    <x v="1"/>
    <x v="1"/>
    <x v="0"/>
    <x v="0"/>
    <n v="0"/>
    <n v="0"/>
    <n v="3.1920000000000002"/>
    <n v="3.1920000000000002"/>
    <n v="3.1920000000000002"/>
    <n v="3.1920000000000002"/>
    <n v="0"/>
    <x v="1"/>
    <n v="0"/>
    <n v="0"/>
    <n v="11"/>
    <n v="52"/>
    <n v="0"/>
    <n v="90.54"/>
    <n v="189.96"/>
    <m/>
    <n v="116.01030172172926"/>
    <n v="195.89707226799715"/>
    <n v="0"/>
    <n v="289.00368000000003"/>
    <n v="606.35232000000008"/>
    <n v="0"/>
    <n v="370.30488309575981"/>
    <n v="625.30345467944687"/>
  </r>
  <r>
    <s v="Regular"/>
    <x v="0"/>
    <x v="1"/>
    <x v="1"/>
    <x v="0"/>
    <x v="1"/>
    <x v="1"/>
    <x v="0"/>
    <x v="1"/>
    <n v="0"/>
    <n v="0"/>
    <n v="263.887"/>
    <n v="263.887"/>
    <n v="263.887"/>
    <n v="263.887"/>
    <n v="0"/>
    <x v="1"/>
    <n v="0"/>
    <n v="0"/>
    <n v="11"/>
    <n v="52"/>
    <n v="0"/>
    <n v="90.54"/>
    <n v="189.96"/>
    <m/>
    <n v="116.01030172172926"/>
    <n v="195.89707226799715"/>
    <n v="0"/>
    <n v="23892.328980000002"/>
    <n v="50127.974520000003"/>
    <n v="0"/>
    <n v="30613.61049044197"/>
    <n v="51694.69070958496"/>
  </r>
  <r>
    <s v="Refaturamento - Regular"/>
    <x v="0"/>
    <x v="1"/>
    <x v="1"/>
    <x v="0"/>
    <x v="1"/>
    <x v="1"/>
    <x v="0"/>
    <x v="1"/>
    <n v="0"/>
    <n v="0"/>
    <n v="-61.5"/>
    <n v="-61.5"/>
    <n v="-61.5"/>
    <n v="-61.5"/>
    <n v="0"/>
    <x v="1"/>
    <n v="0"/>
    <n v="0"/>
    <n v="11"/>
    <n v="52"/>
    <n v="0"/>
    <n v="90.54"/>
    <n v="189.96"/>
    <m/>
    <n v="116.01030172172926"/>
    <n v="195.89707226799715"/>
    <n v="0"/>
    <n v="-5568.21"/>
    <n v="-11682.54"/>
    <n v="0"/>
    <n v="-7134.6335558863493"/>
    <n v="-12047.669944481824"/>
  </r>
  <r>
    <s v="Sistema de Compensação"/>
    <x v="0"/>
    <x v="1"/>
    <x v="1"/>
    <x v="0"/>
    <x v="1"/>
    <x v="1"/>
    <x v="0"/>
    <x v="1"/>
    <n v="0"/>
    <n v="0"/>
    <n v="0.71099999999999997"/>
    <n v="0.71099999999999997"/>
    <n v="0.71099999999999997"/>
    <n v="0.71099999999999997"/>
    <n v="0"/>
    <x v="1"/>
    <n v="0"/>
    <n v="0"/>
    <n v="11"/>
    <n v="52"/>
    <n v="0"/>
    <n v="90.54"/>
    <n v="189.96"/>
    <m/>
    <n v="116.01030172172926"/>
    <n v="195.89707226799715"/>
    <n v="0"/>
    <n v="64.373940000000005"/>
    <n v="135.06155999999999"/>
    <n v="0"/>
    <n v="82.483324524149495"/>
    <n v="139.28281838254597"/>
  </r>
  <r>
    <s v="Regular"/>
    <x v="0"/>
    <x v="1"/>
    <x v="1"/>
    <x v="0"/>
    <x v="1"/>
    <x v="1"/>
    <x v="0"/>
    <x v="2"/>
    <n v="0"/>
    <n v="0"/>
    <n v="287.11900000000003"/>
    <n v="287.11900000000003"/>
    <n v="287.11900000000003"/>
    <n v="287.11900000000003"/>
    <n v="0"/>
    <x v="1"/>
    <n v="0"/>
    <n v="0"/>
    <n v="11"/>
    <n v="52"/>
    <n v="0"/>
    <n v="90.54"/>
    <n v="189.96"/>
    <m/>
    <n v="116.01030172172926"/>
    <n v="195.89707226799715"/>
    <n v="0"/>
    <n v="25995.754260000005"/>
    <n v="54541.125240000008"/>
    <n v="0"/>
    <n v="33308.761820041189"/>
    <n v="56245.771492515079"/>
  </r>
  <r>
    <s v="Regular"/>
    <x v="0"/>
    <x v="1"/>
    <x v="1"/>
    <x v="0"/>
    <x v="1"/>
    <x v="1"/>
    <x v="0"/>
    <x v="3"/>
    <n v="0"/>
    <n v="0"/>
    <n v="333.03199999999998"/>
    <n v="333.03199999999998"/>
    <n v="333.03199999999998"/>
    <n v="333.03199999999998"/>
    <n v="0"/>
    <x v="1"/>
    <n v="0"/>
    <n v="0"/>
    <n v="11"/>
    <n v="52"/>
    <n v="0"/>
    <n v="90.54"/>
    <n v="189.96"/>
    <m/>
    <n v="116.01030172172926"/>
    <n v="195.89707226799715"/>
    <n v="0"/>
    <n v="30152.717280000001"/>
    <n v="63262.758719999998"/>
    <n v="0"/>
    <n v="38635.142802990937"/>
    <n v="65239.993771555623"/>
  </r>
  <r>
    <s v="Regular"/>
    <x v="0"/>
    <x v="1"/>
    <x v="1"/>
    <x v="0"/>
    <x v="1"/>
    <x v="1"/>
    <x v="0"/>
    <x v="4"/>
    <n v="0"/>
    <n v="0"/>
    <n v="368.75799999999998"/>
    <n v="368.75799999999998"/>
    <n v="368.75799999999998"/>
    <n v="368.75799999999998"/>
    <n v="0"/>
    <x v="1"/>
    <n v="0"/>
    <n v="0"/>
    <n v="11"/>
    <n v="52"/>
    <n v="0"/>
    <n v="90.54"/>
    <n v="189.96"/>
    <m/>
    <n v="116.01030172172926"/>
    <n v="195.89707226799715"/>
    <n v="0"/>
    <n v="33387.349320000001"/>
    <n v="70049.269679999998"/>
    <n v="0"/>
    <n v="42779.726842301439"/>
    <n v="72238.61257540209"/>
  </r>
  <r>
    <s v="Regular"/>
    <x v="0"/>
    <x v="1"/>
    <x v="1"/>
    <x v="0"/>
    <x v="1"/>
    <x v="1"/>
    <x v="0"/>
    <x v="5"/>
    <n v="0"/>
    <n v="0"/>
    <n v="427.34500000000003"/>
    <n v="427.34500000000003"/>
    <n v="427.34500000000003"/>
    <n v="427.34500000000003"/>
    <n v="0"/>
    <x v="1"/>
    <n v="0"/>
    <n v="0"/>
    <n v="11"/>
    <n v="52"/>
    <n v="0"/>
    <n v="90.54"/>
    <n v="189.96"/>
    <m/>
    <n v="116.01030172172926"/>
    <n v="195.89707226799715"/>
    <n v="0"/>
    <n v="38691.816300000006"/>
    <n v="81178.456200000015"/>
    <n v="0"/>
    <n v="49576.422389272397"/>
    <n v="83715.634348367239"/>
  </r>
  <r>
    <s v="Regular"/>
    <x v="0"/>
    <x v="1"/>
    <x v="1"/>
    <x v="0"/>
    <x v="1"/>
    <x v="1"/>
    <x v="0"/>
    <x v="6"/>
    <n v="0"/>
    <n v="0"/>
    <n v="474.13299999999998"/>
    <n v="474.13299999999998"/>
    <n v="474.13299999999998"/>
    <n v="474.13299999999998"/>
    <n v="0"/>
    <x v="1"/>
    <n v="0"/>
    <n v="0"/>
    <n v="11"/>
    <n v="52"/>
    <n v="0"/>
    <n v="90.54"/>
    <n v="189.96"/>
    <m/>
    <n v="116.01030172172926"/>
    <n v="195.89707226799715"/>
    <n v="0"/>
    <n v="42928.001819999998"/>
    <n v="90066.304680000001"/>
    <n v="0"/>
    <n v="55004.312386228659"/>
    <n v="92881.266565642291"/>
  </r>
  <r>
    <s v="Regular"/>
    <x v="0"/>
    <x v="1"/>
    <x v="1"/>
    <x v="0"/>
    <x v="1"/>
    <x v="1"/>
    <x v="0"/>
    <x v="7"/>
    <n v="0"/>
    <n v="0"/>
    <n v="421.13200000000001"/>
    <n v="421.13200000000001"/>
    <n v="421.13200000000001"/>
    <n v="421.13200000000001"/>
    <n v="0"/>
    <x v="1"/>
    <n v="0"/>
    <n v="0"/>
    <n v="11"/>
    <n v="52"/>
    <n v="0"/>
    <n v="90.54"/>
    <n v="189.96"/>
    <m/>
    <n v="116.01030172172926"/>
    <n v="195.89707226799715"/>
    <n v="0"/>
    <n v="38129.291280000005"/>
    <n v="79998.234720000008"/>
    <n v="0"/>
    <n v="48855.650384675289"/>
    <n v="82498.525838366171"/>
  </r>
  <r>
    <s v="Regular"/>
    <x v="0"/>
    <x v="1"/>
    <x v="1"/>
    <x v="0"/>
    <x v="1"/>
    <x v="1"/>
    <x v="0"/>
    <x v="8"/>
    <n v="0"/>
    <n v="0"/>
    <n v="502.01299999999998"/>
    <n v="502.01299999999998"/>
    <n v="502.01299999999998"/>
    <n v="502.01299999999998"/>
    <n v="0"/>
    <x v="1"/>
    <n v="0"/>
    <n v="0"/>
    <n v="11"/>
    <n v="52"/>
    <n v="0"/>
    <n v="90.54"/>
    <n v="189.96"/>
    <m/>
    <n v="116.01030172172926"/>
    <n v="195.89707226799715"/>
    <n v="0"/>
    <n v="45452.257020000005"/>
    <n v="95362.389479999998"/>
    <n v="0"/>
    <n v="58238.679598230468"/>
    <n v="98342.876940474045"/>
  </r>
  <r>
    <s v="Regular"/>
    <x v="0"/>
    <x v="1"/>
    <x v="1"/>
    <x v="0"/>
    <x v="1"/>
    <x v="1"/>
    <x v="0"/>
    <x v="9"/>
    <n v="0"/>
    <n v="0"/>
    <n v="547.298"/>
    <n v="547.298"/>
    <n v="547.298"/>
    <n v="547.298"/>
    <n v="0"/>
    <x v="1"/>
    <n v="0"/>
    <n v="0"/>
    <n v="11"/>
    <n v="52"/>
    <n v="0"/>
    <n v="90.54"/>
    <n v="189.96"/>
    <m/>
    <n v="116.01030172172926"/>
    <n v="195.89707226799715"/>
    <n v="0"/>
    <n v="49552.360920000006"/>
    <n v="103964.72808"/>
    <n v="0"/>
    <n v="63492.206111698979"/>
    <n v="107214.07585813031"/>
  </r>
  <r>
    <s v="Regular"/>
    <x v="0"/>
    <x v="1"/>
    <x v="1"/>
    <x v="0"/>
    <x v="1"/>
    <x v="1"/>
    <x v="0"/>
    <x v="10"/>
    <n v="0"/>
    <n v="0"/>
    <n v="493.75799999999998"/>
    <n v="493.75799999999998"/>
    <n v="493.75799999999998"/>
    <n v="493.75799999999998"/>
    <n v="0"/>
    <x v="1"/>
    <n v="0"/>
    <n v="0"/>
    <n v="11"/>
    <n v="52"/>
    <n v="0"/>
    <n v="90.54"/>
    <n v="189.96"/>
    <m/>
    <n v="116.01030172172926"/>
    <n v="195.89707226799715"/>
    <n v="0"/>
    <n v="44704.849320000001"/>
    <n v="93794.269679999998"/>
    <n v="0"/>
    <n v="57281.014557517592"/>
    <n v="96725.746608901725"/>
  </r>
  <r>
    <s v="Regular"/>
    <x v="0"/>
    <x v="1"/>
    <x v="1"/>
    <x v="0"/>
    <x v="1"/>
    <x v="1"/>
    <x v="0"/>
    <x v="11"/>
    <n v="0"/>
    <n v="0"/>
    <n v="409.387"/>
    <n v="409.387"/>
    <n v="409.387"/>
    <n v="409.387"/>
    <n v="0"/>
    <x v="1"/>
    <n v="0"/>
    <n v="0"/>
    <n v="11"/>
    <n v="52"/>
    <n v="0"/>
    <n v="90.54"/>
    <n v="189.96"/>
    <m/>
    <n v="116.01030172172926"/>
    <n v="195.89707226799715"/>
    <n v="0"/>
    <n v="37065.898980000005"/>
    <n v="77767.154519999996"/>
    <n v="0"/>
    <n v="47493.109390953578"/>
    <n v="80197.714724578545"/>
  </r>
  <r>
    <s v="Sistema de Compensação"/>
    <x v="0"/>
    <x v="1"/>
    <x v="1"/>
    <x v="0"/>
    <x v="1"/>
    <x v="1"/>
    <x v="0"/>
    <x v="11"/>
    <n v="0"/>
    <n v="0"/>
    <n v="2.411"/>
    <n v="2.411"/>
    <n v="2.411"/>
    <n v="2.411"/>
    <n v="0"/>
    <x v="1"/>
    <n v="0"/>
    <n v="0"/>
    <n v="11"/>
    <n v="52"/>
    <n v="0"/>
    <n v="90.54"/>
    <n v="189.96"/>
    <m/>
    <n v="116.01030172172926"/>
    <n v="195.89707226799715"/>
    <n v="0"/>
    <n v="218.29194000000001"/>
    <n v="457.99356"/>
    <n v="0"/>
    <n v="279.70083745108928"/>
    <n v="472.30784123814112"/>
  </r>
  <r>
    <s v="Regular"/>
    <x v="0"/>
    <x v="1"/>
    <x v="1"/>
    <x v="0"/>
    <x v="1"/>
    <x v="1"/>
    <x v="1"/>
    <x v="0"/>
    <n v="2876"/>
    <n v="2876"/>
    <n v="0"/>
    <n v="0"/>
    <n v="0"/>
    <n v="0"/>
    <n v="23"/>
    <x v="1"/>
    <n v="0"/>
    <n v="9"/>
    <n v="0"/>
    <n v="0"/>
    <n v="33.97"/>
    <n v="0"/>
    <n v="0"/>
    <n v="44.835700557621209"/>
    <m/>
    <m/>
    <n v="97697.72"/>
    <n v="0"/>
    <n v="0"/>
    <n v="128947.47480371859"/>
    <n v="0"/>
    <n v="0"/>
  </r>
  <r>
    <s v="Sistema de Compensação"/>
    <x v="0"/>
    <x v="1"/>
    <x v="1"/>
    <x v="0"/>
    <x v="1"/>
    <x v="1"/>
    <x v="1"/>
    <x v="0"/>
    <n v="54"/>
    <n v="54"/>
    <n v="0"/>
    <n v="0"/>
    <n v="0"/>
    <n v="0"/>
    <n v="1"/>
    <x v="1"/>
    <n v="0"/>
    <n v="9"/>
    <n v="0"/>
    <n v="0"/>
    <n v="33.97"/>
    <n v="0"/>
    <n v="0"/>
    <n v="44.835700557621209"/>
    <m/>
    <m/>
    <n v="1834.3799999999999"/>
    <n v="0"/>
    <n v="0"/>
    <n v="2421.1278301115453"/>
    <n v="0"/>
    <n v="0"/>
  </r>
  <r>
    <s v="Regular"/>
    <x v="0"/>
    <x v="1"/>
    <x v="1"/>
    <x v="0"/>
    <x v="1"/>
    <x v="1"/>
    <x v="1"/>
    <x v="1"/>
    <n v="2539"/>
    <n v="2539"/>
    <n v="0"/>
    <n v="0"/>
    <n v="0"/>
    <n v="0"/>
    <n v="22"/>
    <x v="1"/>
    <n v="0"/>
    <n v="9"/>
    <n v="0"/>
    <n v="0"/>
    <n v="33.97"/>
    <n v="0"/>
    <n v="0"/>
    <n v="44.835700557621209"/>
    <m/>
    <m/>
    <n v="86249.83"/>
    <n v="0"/>
    <n v="0"/>
    <n v="113837.84371580025"/>
    <n v="0"/>
    <n v="0"/>
  </r>
  <r>
    <s v="Sistema de Compensação"/>
    <x v="0"/>
    <x v="1"/>
    <x v="1"/>
    <x v="0"/>
    <x v="1"/>
    <x v="1"/>
    <x v="1"/>
    <x v="1"/>
    <n v="53"/>
    <n v="53"/>
    <n v="0"/>
    <n v="0"/>
    <n v="0"/>
    <n v="0"/>
    <n v="1"/>
    <x v="1"/>
    <n v="0"/>
    <n v="9"/>
    <n v="0"/>
    <n v="0"/>
    <n v="33.97"/>
    <n v="0"/>
    <n v="0"/>
    <n v="44.835700557621209"/>
    <m/>
    <m/>
    <n v="1800.4099999999999"/>
    <n v="0"/>
    <n v="0"/>
    <n v="2376.292129553924"/>
    <n v="0"/>
    <n v="0"/>
  </r>
  <r>
    <s v="Regular"/>
    <x v="0"/>
    <x v="1"/>
    <x v="1"/>
    <x v="0"/>
    <x v="1"/>
    <x v="1"/>
    <x v="1"/>
    <x v="2"/>
    <n v="2605"/>
    <n v="2605"/>
    <n v="0"/>
    <n v="0"/>
    <n v="0"/>
    <n v="0"/>
    <n v="22"/>
    <x v="1"/>
    <n v="0"/>
    <n v="9"/>
    <n v="0"/>
    <n v="0"/>
    <n v="33.97"/>
    <n v="0"/>
    <n v="0"/>
    <n v="44.835700557621209"/>
    <m/>
    <m/>
    <n v="88491.849999999991"/>
    <n v="0"/>
    <n v="0"/>
    <n v="116796.99995260325"/>
    <n v="0"/>
    <n v="0"/>
  </r>
  <r>
    <s v="Sistema de Compensação"/>
    <x v="0"/>
    <x v="1"/>
    <x v="1"/>
    <x v="0"/>
    <x v="1"/>
    <x v="1"/>
    <x v="1"/>
    <x v="2"/>
    <n v="31"/>
    <n v="31"/>
    <n v="0"/>
    <n v="0"/>
    <n v="0"/>
    <n v="0"/>
    <n v="1"/>
    <x v="1"/>
    <n v="0"/>
    <n v="9"/>
    <n v="0"/>
    <n v="0"/>
    <n v="33.97"/>
    <n v="0"/>
    <n v="0"/>
    <n v="44.835700557621209"/>
    <m/>
    <m/>
    <n v="1053.07"/>
    <n v="0"/>
    <n v="0"/>
    <n v="1389.9067172862574"/>
    <n v="0"/>
    <n v="0"/>
  </r>
  <r>
    <s v="Regular"/>
    <x v="0"/>
    <x v="1"/>
    <x v="1"/>
    <x v="0"/>
    <x v="1"/>
    <x v="1"/>
    <x v="1"/>
    <x v="3"/>
    <n v="2778"/>
    <n v="2778"/>
    <n v="0"/>
    <n v="0"/>
    <n v="0"/>
    <n v="0"/>
    <n v="22"/>
    <x v="1"/>
    <n v="0"/>
    <n v="9"/>
    <n v="0"/>
    <n v="0"/>
    <n v="33.97"/>
    <n v="0"/>
    <n v="0"/>
    <n v="44.835700557621209"/>
    <m/>
    <m/>
    <n v="94368.66"/>
    <n v="0"/>
    <n v="0"/>
    <n v="124553.57614907171"/>
    <n v="0"/>
    <n v="0"/>
  </r>
  <r>
    <s v="Sistema de Compensação"/>
    <x v="0"/>
    <x v="1"/>
    <x v="1"/>
    <x v="0"/>
    <x v="1"/>
    <x v="1"/>
    <x v="1"/>
    <x v="3"/>
    <n v="30"/>
    <n v="30"/>
    <n v="0"/>
    <n v="0"/>
    <n v="0"/>
    <n v="0"/>
    <n v="1"/>
    <x v="1"/>
    <n v="0"/>
    <n v="9"/>
    <n v="0"/>
    <n v="0"/>
    <n v="33.97"/>
    <n v="0"/>
    <n v="0"/>
    <n v="44.835700557621209"/>
    <m/>
    <m/>
    <n v="1019.0999999999999"/>
    <n v="0"/>
    <n v="0"/>
    <n v="1345.0710167286363"/>
    <n v="0"/>
    <n v="0"/>
  </r>
  <r>
    <s v="Regular"/>
    <x v="0"/>
    <x v="1"/>
    <x v="1"/>
    <x v="0"/>
    <x v="1"/>
    <x v="1"/>
    <x v="1"/>
    <x v="4"/>
    <n v="2850"/>
    <n v="2850"/>
    <n v="0"/>
    <n v="0"/>
    <n v="0"/>
    <n v="0"/>
    <n v="22"/>
    <x v="1"/>
    <n v="0"/>
    <n v="9"/>
    <n v="0"/>
    <n v="0"/>
    <n v="33.97"/>
    <n v="0"/>
    <n v="0"/>
    <n v="44.835700557621209"/>
    <m/>
    <m/>
    <n v="96814.5"/>
    <n v="0"/>
    <n v="0"/>
    <n v="127781.74658922045"/>
    <n v="0"/>
    <n v="0"/>
  </r>
  <r>
    <s v="Sistema de Compensação"/>
    <x v="0"/>
    <x v="1"/>
    <x v="1"/>
    <x v="0"/>
    <x v="1"/>
    <x v="1"/>
    <x v="1"/>
    <x v="4"/>
    <n v="35"/>
    <n v="35"/>
    <n v="0"/>
    <n v="0"/>
    <n v="0"/>
    <n v="0"/>
    <n v="1"/>
    <x v="1"/>
    <n v="0"/>
    <n v="9"/>
    <n v="0"/>
    <n v="0"/>
    <n v="33.97"/>
    <n v="0"/>
    <n v="0"/>
    <n v="44.835700557621209"/>
    <m/>
    <m/>
    <n v="1188.95"/>
    <n v="0"/>
    <n v="0"/>
    <n v="1569.2495195167423"/>
    <n v="0"/>
    <n v="0"/>
  </r>
  <r>
    <s v="Regular"/>
    <x v="0"/>
    <x v="1"/>
    <x v="1"/>
    <x v="0"/>
    <x v="1"/>
    <x v="1"/>
    <x v="1"/>
    <x v="5"/>
    <n v="3018"/>
    <n v="3018"/>
    <n v="0"/>
    <n v="0"/>
    <n v="0"/>
    <n v="0"/>
    <n v="22"/>
    <x v="1"/>
    <n v="0"/>
    <n v="9"/>
    <n v="0"/>
    <n v="0"/>
    <n v="33.97"/>
    <n v="0"/>
    <n v="0"/>
    <n v="44.835700557621209"/>
    <m/>
    <m/>
    <n v="102521.45999999999"/>
    <n v="0"/>
    <n v="0"/>
    <n v="135314.14428290082"/>
    <n v="0"/>
    <n v="0"/>
  </r>
  <r>
    <s v="Sistema de Compensação"/>
    <x v="0"/>
    <x v="1"/>
    <x v="1"/>
    <x v="0"/>
    <x v="1"/>
    <x v="1"/>
    <x v="1"/>
    <x v="5"/>
    <n v="31"/>
    <n v="31"/>
    <n v="0"/>
    <n v="0"/>
    <n v="0"/>
    <n v="0"/>
    <n v="1"/>
    <x v="1"/>
    <n v="0"/>
    <n v="9"/>
    <n v="0"/>
    <n v="0"/>
    <n v="33.97"/>
    <n v="0"/>
    <n v="0"/>
    <n v="44.835700557621209"/>
    <m/>
    <m/>
    <n v="1053.07"/>
    <n v="0"/>
    <n v="0"/>
    <n v="1389.9067172862574"/>
    <n v="0"/>
    <n v="0"/>
  </r>
  <r>
    <s v="Regular"/>
    <x v="0"/>
    <x v="1"/>
    <x v="1"/>
    <x v="0"/>
    <x v="1"/>
    <x v="1"/>
    <x v="1"/>
    <x v="6"/>
    <n v="3076"/>
    <n v="3076"/>
    <n v="0"/>
    <n v="0"/>
    <n v="0"/>
    <n v="0"/>
    <n v="22"/>
    <x v="1"/>
    <n v="0"/>
    <n v="9"/>
    <n v="0"/>
    <n v="0"/>
    <n v="33.97"/>
    <n v="0"/>
    <n v="0"/>
    <n v="44.835700557621209"/>
    <m/>
    <m/>
    <n v="104491.72"/>
    <n v="0"/>
    <n v="0"/>
    <n v="137914.61491524283"/>
    <n v="0"/>
    <n v="0"/>
  </r>
  <r>
    <s v="Sistema de Compensação"/>
    <x v="0"/>
    <x v="1"/>
    <x v="1"/>
    <x v="0"/>
    <x v="1"/>
    <x v="1"/>
    <x v="1"/>
    <x v="6"/>
    <n v="40"/>
    <n v="40"/>
    <n v="0"/>
    <n v="0"/>
    <n v="0"/>
    <n v="0"/>
    <n v="1"/>
    <x v="1"/>
    <n v="0"/>
    <n v="9"/>
    <n v="0"/>
    <n v="0"/>
    <n v="33.97"/>
    <n v="0"/>
    <n v="0"/>
    <n v="44.835700557621209"/>
    <m/>
    <m/>
    <n v="1358.8"/>
    <n v="0"/>
    <n v="0"/>
    <n v="1793.4280223048484"/>
    <n v="0"/>
    <n v="0"/>
  </r>
  <r>
    <s v="Regular"/>
    <x v="0"/>
    <x v="1"/>
    <x v="1"/>
    <x v="0"/>
    <x v="1"/>
    <x v="1"/>
    <x v="1"/>
    <x v="7"/>
    <n v="3078"/>
    <n v="3078"/>
    <n v="0"/>
    <n v="0"/>
    <n v="0"/>
    <n v="0"/>
    <n v="21"/>
    <x v="1"/>
    <n v="0"/>
    <n v="9"/>
    <n v="0"/>
    <n v="0"/>
    <n v="33.97"/>
    <n v="0"/>
    <n v="0"/>
    <n v="44.835700557621209"/>
    <m/>
    <m/>
    <n v="104559.66"/>
    <n v="0"/>
    <n v="0"/>
    <n v="138004.28631635808"/>
    <n v="0"/>
    <n v="0"/>
  </r>
  <r>
    <s v="Sistema de Compensação"/>
    <x v="0"/>
    <x v="1"/>
    <x v="1"/>
    <x v="0"/>
    <x v="1"/>
    <x v="1"/>
    <x v="1"/>
    <x v="7"/>
    <n v="40"/>
    <n v="40"/>
    <n v="0"/>
    <n v="0"/>
    <n v="0"/>
    <n v="0"/>
    <n v="1"/>
    <x v="1"/>
    <n v="0"/>
    <n v="9"/>
    <n v="0"/>
    <n v="0"/>
    <n v="33.97"/>
    <n v="0"/>
    <n v="0"/>
    <n v="44.835700557621209"/>
    <m/>
    <m/>
    <n v="1358.8"/>
    <n v="0"/>
    <n v="0"/>
    <n v="1793.4280223048484"/>
    <n v="0"/>
    <n v="0"/>
  </r>
  <r>
    <s v="Regular"/>
    <x v="0"/>
    <x v="1"/>
    <x v="1"/>
    <x v="0"/>
    <x v="1"/>
    <x v="1"/>
    <x v="1"/>
    <x v="8"/>
    <n v="3372"/>
    <n v="3372"/>
    <n v="0"/>
    <n v="0"/>
    <n v="0"/>
    <n v="0"/>
    <n v="21"/>
    <x v="1"/>
    <n v="0"/>
    <n v="9"/>
    <n v="0"/>
    <n v="0"/>
    <n v="33.97"/>
    <n v="0"/>
    <n v="0"/>
    <n v="44.835700557621209"/>
    <m/>
    <m/>
    <n v="114546.84"/>
    <n v="0"/>
    <n v="0"/>
    <n v="151185.98228029872"/>
    <n v="0"/>
    <n v="0"/>
  </r>
  <r>
    <s v="Sistema de Compensação"/>
    <x v="0"/>
    <x v="1"/>
    <x v="1"/>
    <x v="0"/>
    <x v="1"/>
    <x v="1"/>
    <x v="1"/>
    <x v="8"/>
    <n v="36"/>
    <n v="36"/>
    <n v="0"/>
    <n v="0"/>
    <n v="0"/>
    <n v="0"/>
    <n v="1"/>
    <x v="1"/>
    <n v="0"/>
    <n v="9"/>
    <n v="0"/>
    <n v="0"/>
    <n v="33.97"/>
    <n v="0"/>
    <n v="0"/>
    <n v="44.835700557621209"/>
    <m/>
    <m/>
    <n v="1222.92"/>
    <n v="0"/>
    <n v="0"/>
    <n v="1614.0852200743634"/>
    <n v="0"/>
    <n v="0"/>
  </r>
  <r>
    <s v="Regular"/>
    <x v="0"/>
    <x v="1"/>
    <x v="1"/>
    <x v="0"/>
    <x v="1"/>
    <x v="1"/>
    <x v="1"/>
    <x v="9"/>
    <n v="3218"/>
    <n v="3218"/>
    <n v="0"/>
    <n v="0"/>
    <n v="0"/>
    <n v="0"/>
    <n v="21"/>
    <x v="1"/>
    <n v="0"/>
    <n v="9"/>
    <n v="0"/>
    <n v="0"/>
    <n v="33.97"/>
    <n v="0"/>
    <n v="0"/>
    <n v="44.835700557621209"/>
    <m/>
    <m/>
    <n v="109315.45999999999"/>
    <n v="0"/>
    <n v="0"/>
    <n v="144281.28439442505"/>
    <n v="0"/>
    <n v="0"/>
  </r>
  <r>
    <s v="Sistema de Compensação"/>
    <x v="0"/>
    <x v="1"/>
    <x v="1"/>
    <x v="0"/>
    <x v="1"/>
    <x v="1"/>
    <x v="1"/>
    <x v="9"/>
    <n v="68"/>
    <n v="68"/>
    <n v="0"/>
    <n v="0"/>
    <n v="0"/>
    <n v="0"/>
    <n v="1"/>
    <x v="1"/>
    <n v="0"/>
    <n v="9"/>
    <n v="0"/>
    <n v="0"/>
    <n v="33.97"/>
    <n v="0"/>
    <n v="0"/>
    <n v="44.835700557621209"/>
    <m/>
    <m/>
    <n v="2309.96"/>
    <n v="0"/>
    <n v="0"/>
    <n v="3048.8276379182421"/>
    <n v="0"/>
    <n v="0"/>
  </r>
  <r>
    <s v="Regular"/>
    <x v="0"/>
    <x v="1"/>
    <x v="1"/>
    <x v="0"/>
    <x v="1"/>
    <x v="1"/>
    <x v="1"/>
    <x v="10"/>
    <n v="3318"/>
    <n v="3318"/>
    <n v="0"/>
    <n v="0"/>
    <n v="0"/>
    <n v="0"/>
    <n v="21"/>
    <x v="1"/>
    <n v="0"/>
    <n v="9"/>
    <n v="0"/>
    <n v="0"/>
    <n v="33.97"/>
    <n v="0"/>
    <n v="0"/>
    <n v="44.835700557621209"/>
    <m/>
    <m/>
    <n v="112712.45999999999"/>
    <n v="0"/>
    <n v="0"/>
    <n v="148764.85445018718"/>
    <n v="0"/>
    <n v="0"/>
  </r>
  <r>
    <s v="Sistema de Compensação"/>
    <x v="0"/>
    <x v="1"/>
    <x v="1"/>
    <x v="0"/>
    <x v="1"/>
    <x v="1"/>
    <x v="1"/>
    <x v="10"/>
    <n v="50"/>
    <n v="50"/>
    <n v="0"/>
    <n v="0"/>
    <n v="0"/>
    <n v="0"/>
    <n v="1"/>
    <x v="1"/>
    <n v="0"/>
    <n v="9"/>
    <n v="0"/>
    <n v="0"/>
    <n v="33.97"/>
    <n v="0"/>
    <n v="0"/>
    <n v="44.835700557621209"/>
    <m/>
    <m/>
    <n v="1698.5"/>
    <n v="0"/>
    <n v="0"/>
    <n v="2241.7850278810606"/>
    <n v="0"/>
    <n v="0"/>
  </r>
  <r>
    <s v="Regular"/>
    <x v="0"/>
    <x v="1"/>
    <x v="1"/>
    <x v="0"/>
    <x v="1"/>
    <x v="1"/>
    <x v="1"/>
    <x v="11"/>
    <n v="3163"/>
    <n v="3163"/>
    <n v="0"/>
    <n v="0"/>
    <n v="0"/>
    <n v="0"/>
    <n v="21"/>
    <x v="1"/>
    <n v="0"/>
    <n v="9"/>
    <n v="0"/>
    <n v="0"/>
    <n v="33.97"/>
    <n v="0"/>
    <n v="0"/>
    <n v="44.835700557621209"/>
    <m/>
    <m/>
    <n v="107447.11"/>
    <n v="0"/>
    <n v="0"/>
    <n v="141815.32086375589"/>
    <n v="0"/>
    <n v="0"/>
  </r>
  <r>
    <s v="Sistema de Compensação"/>
    <x v="0"/>
    <x v="1"/>
    <x v="1"/>
    <x v="0"/>
    <x v="1"/>
    <x v="1"/>
    <x v="1"/>
    <x v="11"/>
    <n v="54"/>
    <n v="54"/>
    <n v="0"/>
    <n v="0"/>
    <n v="0"/>
    <n v="0"/>
    <n v="1"/>
    <x v="1"/>
    <n v="0"/>
    <n v="9"/>
    <n v="0"/>
    <n v="0"/>
    <n v="33.97"/>
    <n v="0"/>
    <n v="0"/>
    <n v="44.835700557621209"/>
    <m/>
    <m/>
    <n v="1834.3799999999999"/>
    <n v="0"/>
    <n v="0"/>
    <n v="2421.1278301115453"/>
    <n v="0"/>
    <n v="0"/>
  </r>
  <r>
    <s v="Regular"/>
    <x v="0"/>
    <x v="1"/>
    <x v="1"/>
    <x v="0"/>
    <x v="1"/>
    <x v="1"/>
    <x v="2"/>
    <x v="0"/>
    <n v="0"/>
    <n v="0"/>
    <n v="23.748999999999999"/>
    <n v="23.748999999999999"/>
    <n v="23.748999999999999"/>
    <n v="23.748999999999999"/>
    <n v="0"/>
    <x v="1"/>
    <n v="0"/>
    <n v="0"/>
    <n v="10"/>
    <n v="51"/>
    <n v="0"/>
    <n v="1755.54"/>
    <n v="298.83999999999997"/>
    <m/>
    <n v="2161.4944324838229"/>
    <n v="311.4117891483653"/>
    <n v="0"/>
    <n v="41692.319459999999"/>
    <n v="7097.1511599999994"/>
    <n v="0"/>
    <n v="51333.331277058307"/>
    <n v="7395.7185804845276"/>
  </r>
  <r>
    <s v="Sistema de Compensação"/>
    <x v="0"/>
    <x v="1"/>
    <x v="1"/>
    <x v="0"/>
    <x v="1"/>
    <x v="1"/>
    <x v="2"/>
    <x v="0"/>
    <n v="0"/>
    <n v="0"/>
    <n v="1.258"/>
    <n v="1.258"/>
    <n v="1.258"/>
    <n v="1.258"/>
    <n v="0"/>
    <x v="1"/>
    <n v="0"/>
    <n v="0"/>
    <n v="10"/>
    <n v="51"/>
    <n v="0"/>
    <n v="1755.54"/>
    <n v="298.83999999999997"/>
    <m/>
    <n v="2161.4944324838229"/>
    <n v="311.4117891483653"/>
    <n v="0"/>
    <n v="2208.4693200000002"/>
    <n v="375.94072"/>
    <n v="0"/>
    <n v="2719.1599960646495"/>
    <n v="391.75603074864352"/>
  </r>
  <r>
    <s v="Regular"/>
    <x v="0"/>
    <x v="1"/>
    <x v="1"/>
    <x v="0"/>
    <x v="1"/>
    <x v="1"/>
    <x v="2"/>
    <x v="1"/>
    <n v="0"/>
    <n v="0"/>
    <n v="19.725999999999999"/>
    <n v="19.725999999999999"/>
    <n v="19.725999999999999"/>
    <n v="19.725999999999999"/>
    <n v="0"/>
    <x v="1"/>
    <n v="0"/>
    <n v="0"/>
    <n v="10"/>
    <n v="51"/>
    <n v="0"/>
    <n v="1755.54"/>
    <n v="298.83999999999997"/>
    <m/>
    <n v="2161.4944324838229"/>
    <n v="311.4117891483653"/>
    <n v="0"/>
    <n v="34629.782039999998"/>
    <n v="5894.9178399999992"/>
    <n v="0"/>
    <n v="42637.639175175893"/>
    <n v="6142.9089527406541"/>
  </r>
  <r>
    <s v="Sistema de Compensação"/>
    <x v="0"/>
    <x v="1"/>
    <x v="1"/>
    <x v="0"/>
    <x v="1"/>
    <x v="1"/>
    <x v="2"/>
    <x v="1"/>
    <n v="0"/>
    <n v="0"/>
    <n v="1.046"/>
    <n v="1.046"/>
    <n v="1.046"/>
    <n v="1.046"/>
    <n v="0"/>
    <x v="1"/>
    <n v="0"/>
    <n v="0"/>
    <n v="10"/>
    <n v="51"/>
    <n v="0"/>
    <n v="1755.54"/>
    <n v="298.83999999999997"/>
    <m/>
    <n v="2161.4944324838229"/>
    <n v="311.4117891483653"/>
    <n v="0"/>
    <n v="1836.29484"/>
    <n v="312.58663999999999"/>
    <n v="0"/>
    <n v="2260.923176378079"/>
    <n v="325.73673144919013"/>
  </r>
  <r>
    <s v="Regular"/>
    <x v="0"/>
    <x v="1"/>
    <x v="1"/>
    <x v="0"/>
    <x v="1"/>
    <x v="1"/>
    <x v="2"/>
    <x v="2"/>
    <n v="0"/>
    <n v="0"/>
    <n v="21.129000000000001"/>
    <n v="21.129000000000001"/>
    <n v="21.129000000000001"/>
    <n v="21.129000000000001"/>
    <n v="0"/>
    <x v="1"/>
    <n v="0"/>
    <n v="0"/>
    <n v="10"/>
    <n v="51"/>
    <n v="0"/>
    <n v="1755.54"/>
    <n v="298.83999999999997"/>
    <m/>
    <n v="2161.4944324838229"/>
    <n v="311.4117891483653"/>
    <n v="0"/>
    <n v="37092.804660000002"/>
    <n v="6314.1903599999996"/>
    <n v="0"/>
    <n v="45670.215863950696"/>
    <n v="6579.8196929158112"/>
  </r>
  <r>
    <s v="Regular"/>
    <x v="0"/>
    <x v="1"/>
    <x v="1"/>
    <x v="0"/>
    <x v="1"/>
    <x v="1"/>
    <x v="2"/>
    <x v="3"/>
    <n v="0"/>
    <n v="0"/>
    <n v="23.539000000000001"/>
    <n v="23.539000000000001"/>
    <n v="23.539000000000001"/>
    <n v="23.539000000000001"/>
    <n v="0"/>
    <x v="1"/>
    <n v="0"/>
    <n v="0"/>
    <n v="10"/>
    <n v="51"/>
    <n v="0"/>
    <n v="1755.54"/>
    <n v="298.83999999999997"/>
    <m/>
    <n v="2161.4944324838229"/>
    <n v="311.4117891483653"/>
    <n v="0"/>
    <n v="41323.656060000001"/>
    <n v="7034.3947600000001"/>
    <n v="0"/>
    <n v="50879.417446236708"/>
    <n v="7330.3221047633715"/>
  </r>
  <r>
    <s v="Regular"/>
    <x v="0"/>
    <x v="1"/>
    <x v="1"/>
    <x v="0"/>
    <x v="1"/>
    <x v="1"/>
    <x v="2"/>
    <x v="4"/>
    <n v="0"/>
    <n v="0"/>
    <n v="28.260999999999999"/>
    <n v="28.260999999999999"/>
    <n v="28.260999999999999"/>
    <n v="28.260999999999999"/>
    <n v="0"/>
    <x v="1"/>
    <n v="0"/>
    <n v="0"/>
    <n v="10"/>
    <n v="51"/>
    <n v="0"/>
    <n v="1755.54"/>
    <n v="298.83999999999997"/>
    <m/>
    <n v="2161.4944324838229"/>
    <n v="311.4117891483653"/>
    <n v="0"/>
    <n v="49613.31594"/>
    <n v="8445.5172399999992"/>
    <n v="0"/>
    <n v="61085.994156425317"/>
    <n v="8800.8085731219508"/>
  </r>
  <r>
    <s v="Regular"/>
    <x v="0"/>
    <x v="1"/>
    <x v="1"/>
    <x v="0"/>
    <x v="1"/>
    <x v="1"/>
    <x v="2"/>
    <x v="5"/>
    <n v="0"/>
    <n v="0"/>
    <n v="35.386000000000003"/>
    <n v="35.386000000000003"/>
    <n v="35.386000000000003"/>
    <n v="35.386000000000003"/>
    <n v="0"/>
    <x v="1"/>
    <n v="0"/>
    <n v="0"/>
    <n v="10"/>
    <n v="51"/>
    <n v="0"/>
    <n v="1755.54"/>
    <n v="298.83999999999997"/>
    <m/>
    <n v="2161.4944324838229"/>
    <n v="311.4117891483653"/>
    <n v="0"/>
    <n v="62121.538440000004"/>
    <n v="10574.75224"/>
    <n v="0"/>
    <n v="76486.641987872572"/>
    <n v="11019.617570804056"/>
  </r>
  <r>
    <s v="Regular"/>
    <x v="0"/>
    <x v="1"/>
    <x v="1"/>
    <x v="0"/>
    <x v="1"/>
    <x v="1"/>
    <x v="2"/>
    <x v="6"/>
    <n v="0"/>
    <n v="0"/>
    <n v="30.181999999999999"/>
    <n v="30.181999999999999"/>
    <n v="30.181999999999999"/>
    <n v="30.181999999999999"/>
    <n v="0"/>
    <x v="1"/>
    <n v="0"/>
    <n v="0"/>
    <n v="10"/>
    <n v="51"/>
    <n v="0"/>
    <n v="1755.54"/>
    <n v="298.83999999999997"/>
    <m/>
    <n v="2161.4944324838229"/>
    <n v="311.4117891483653"/>
    <n v="0"/>
    <n v="52985.708279999999"/>
    <n v="9019.5888799999993"/>
    <n v="0"/>
    <n v="65238.224961226741"/>
    <n v="9399.0306200759605"/>
  </r>
  <r>
    <s v="Regular"/>
    <x v="0"/>
    <x v="1"/>
    <x v="1"/>
    <x v="0"/>
    <x v="1"/>
    <x v="1"/>
    <x v="2"/>
    <x v="7"/>
    <n v="0"/>
    <n v="0"/>
    <n v="30.413"/>
    <n v="30.413"/>
    <n v="30.413"/>
    <n v="30.413"/>
    <n v="0"/>
    <x v="1"/>
    <n v="0"/>
    <n v="0"/>
    <n v="10"/>
    <n v="51"/>
    <n v="0"/>
    <n v="1755.54"/>
    <n v="298.83999999999997"/>
    <m/>
    <n v="2161.4944324838229"/>
    <n v="311.4117891483653"/>
    <n v="0"/>
    <n v="53391.238019999997"/>
    <n v="9088.6209199999994"/>
    <n v="0"/>
    <n v="65737.530175130509"/>
    <n v="9470.9667433692339"/>
  </r>
  <r>
    <s v="Regular"/>
    <x v="0"/>
    <x v="1"/>
    <x v="1"/>
    <x v="0"/>
    <x v="1"/>
    <x v="1"/>
    <x v="2"/>
    <x v="8"/>
    <n v="0"/>
    <n v="0"/>
    <n v="43.679000000000002"/>
    <n v="43.679000000000002"/>
    <n v="43.679000000000002"/>
    <n v="43.679000000000002"/>
    <n v="0"/>
    <x v="1"/>
    <n v="0"/>
    <n v="0"/>
    <n v="10"/>
    <n v="51"/>
    <n v="0"/>
    <n v="1755.54"/>
    <n v="298.83999999999997"/>
    <m/>
    <n v="2161.4944324838229"/>
    <n v="311.4117891483653"/>
    <n v="0"/>
    <n v="76680.231660000005"/>
    <n v="13053.032359999999"/>
    <n v="0"/>
    <n v="94411.915316460902"/>
    <n v="13602.155538211449"/>
  </r>
  <r>
    <s v="Regular"/>
    <x v="0"/>
    <x v="1"/>
    <x v="1"/>
    <x v="0"/>
    <x v="1"/>
    <x v="1"/>
    <x v="2"/>
    <x v="9"/>
    <n v="0"/>
    <n v="0"/>
    <n v="39.534999999999997"/>
    <n v="39.534999999999997"/>
    <n v="39.534999999999997"/>
    <n v="39.534999999999997"/>
    <n v="0"/>
    <x v="1"/>
    <n v="0"/>
    <n v="0"/>
    <n v="10"/>
    <n v="51"/>
    <n v="0"/>
    <n v="1755.54"/>
    <n v="298.83999999999997"/>
    <m/>
    <n v="2161.4944324838229"/>
    <n v="311.4117891483653"/>
    <n v="0"/>
    <n v="69405.273899999986"/>
    <n v="11814.639399999998"/>
    <n v="0"/>
    <n v="85454.682388247937"/>
    <n v="12311.665083980621"/>
  </r>
  <r>
    <s v="Regular"/>
    <x v="0"/>
    <x v="1"/>
    <x v="1"/>
    <x v="0"/>
    <x v="1"/>
    <x v="1"/>
    <x v="2"/>
    <x v="10"/>
    <n v="0"/>
    <n v="0"/>
    <n v="40.744999999999997"/>
    <n v="40.744999999999997"/>
    <n v="40.744999999999997"/>
    <n v="40.744999999999997"/>
    <n v="0"/>
    <x v="1"/>
    <n v="0"/>
    <n v="0"/>
    <n v="10"/>
    <n v="51"/>
    <n v="0"/>
    <n v="1755.54"/>
    <n v="298.83999999999997"/>
    <m/>
    <n v="2161.4944324838229"/>
    <n v="311.4117891483653"/>
    <n v="0"/>
    <n v="71529.477299999999"/>
    <n v="12176.235799999999"/>
    <n v="0"/>
    <n v="88070.090651553357"/>
    <n v="12688.473348850144"/>
  </r>
  <r>
    <s v="Regular"/>
    <x v="0"/>
    <x v="1"/>
    <x v="1"/>
    <x v="0"/>
    <x v="1"/>
    <x v="1"/>
    <x v="2"/>
    <x v="11"/>
    <n v="0"/>
    <n v="0"/>
    <n v="33.603999999999999"/>
    <n v="33.603999999999999"/>
    <n v="33.603999999999999"/>
    <n v="33.603999999999999"/>
    <n v="0"/>
    <x v="1"/>
    <n v="0"/>
    <n v="0"/>
    <n v="10"/>
    <n v="51"/>
    <n v="0"/>
    <n v="1755.54"/>
    <n v="298.83999999999997"/>
    <m/>
    <n v="2161.4944324838229"/>
    <n v="311.4117891483653"/>
    <n v="0"/>
    <n v="58993.166160000001"/>
    <n v="10042.219359999999"/>
    <n v="0"/>
    <n v="72634.858909186383"/>
    <n v="10464.681762541668"/>
  </r>
  <r>
    <s v="Sistema de Compensação"/>
    <x v="0"/>
    <x v="1"/>
    <x v="1"/>
    <x v="0"/>
    <x v="1"/>
    <x v="1"/>
    <x v="2"/>
    <x v="11"/>
    <n v="0"/>
    <n v="0"/>
    <n v="1.1970000000000001"/>
    <n v="1.1970000000000001"/>
    <n v="1.1970000000000001"/>
    <n v="1.1970000000000001"/>
    <n v="0"/>
    <x v="1"/>
    <n v="0"/>
    <n v="0"/>
    <n v="10"/>
    <n v="51"/>
    <n v="0"/>
    <n v="1755.54"/>
    <n v="298.83999999999997"/>
    <m/>
    <n v="2161.4944324838229"/>
    <n v="311.4117891483653"/>
    <n v="0"/>
    <n v="2101.3813800000003"/>
    <n v="357.71147999999999"/>
    <n v="0"/>
    <n v="2587.3088356831363"/>
    <n v="372.75991161059329"/>
  </r>
  <r>
    <s v="Regular"/>
    <x v="0"/>
    <x v="1"/>
    <x v="2"/>
    <x v="0"/>
    <x v="2"/>
    <x v="1"/>
    <x v="0"/>
    <x v="0"/>
    <n v="0"/>
    <n v="0"/>
    <n v="576.83600000000001"/>
    <n v="576.83600000000001"/>
    <n v="0"/>
    <n v="0"/>
    <n v="0"/>
    <x v="2"/>
    <n v="0"/>
    <n v="0"/>
    <n v="11"/>
    <n v="0"/>
    <n v="0"/>
    <n v="90.54"/>
    <n v="0"/>
    <m/>
    <n v="116.01030172172926"/>
    <m/>
    <n v="0"/>
    <n v="52226.731440000003"/>
    <n v="0"/>
    <n v="0"/>
    <n v="66918.918403955424"/>
    <n v="0"/>
  </r>
  <r>
    <s v="Regular"/>
    <x v="0"/>
    <x v="1"/>
    <x v="2"/>
    <x v="0"/>
    <x v="2"/>
    <x v="1"/>
    <x v="0"/>
    <x v="1"/>
    <n v="0"/>
    <n v="0"/>
    <n v="659.55899999999997"/>
    <n v="659.55899999999997"/>
    <n v="0"/>
    <n v="0"/>
    <n v="0"/>
    <x v="2"/>
    <n v="0"/>
    <n v="0"/>
    <n v="11"/>
    <n v="0"/>
    <n v="0"/>
    <n v="90.54"/>
    <n v="0"/>
    <m/>
    <n v="116.01030172172926"/>
    <m/>
    <n v="0"/>
    <n v="59716.471859999998"/>
    <n v="0"/>
    <n v="0"/>
    <n v="76515.638593282027"/>
    <n v="0"/>
  </r>
  <r>
    <s v="Regular"/>
    <x v="0"/>
    <x v="1"/>
    <x v="2"/>
    <x v="0"/>
    <x v="2"/>
    <x v="1"/>
    <x v="0"/>
    <x v="2"/>
    <n v="0"/>
    <n v="0"/>
    <n v="566.03899999999999"/>
    <n v="566.03899999999999"/>
    <n v="0"/>
    <n v="0"/>
    <n v="0"/>
    <x v="2"/>
    <n v="0"/>
    <n v="0"/>
    <n v="11"/>
    <n v="0"/>
    <n v="0"/>
    <n v="90.54"/>
    <n v="0"/>
    <m/>
    <n v="116.01030172172926"/>
    <m/>
    <n v="0"/>
    <n v="51249.171060000001"/>
    <n v="0"/>
    <n v="0"/>
    <n v="65666.355176265904"/>
    <n v="0"/>
  </r>
  <r>
    <s v="Regular"/>
    <x v="0"/>
    <x v="1"/>
    <x v="2"/>
    <x v="0"/>
    <x v="2"/>
    <x v="1"/>
    <x v="0"/>
    <x v="3"/>
    <n v="0"/>
    <n v="0"/>
    <n v="480.84199999999998"/>
    <n v="480.84199999999998"/>
    <n v="0"/>
    <n v="0"/>
    <n v="0"/>
    <x v="2"/>
    <n v="0"/>
    <n v="0"/>
    <n v="11"/>
    <n v="0"/>
    <n v="0"/>
    <n v="90.54"/>
    <n v="0"/>
    <m/>
    <n v="116.01030172172926"/>
    <m/>
    <n v="0"/>
    <n v="43535.434679999998"/>
    <n v="0"/>
    <n v="0"/>
    <n v="55782.625500479742"/>
    <n v="0"/>
  </r>
  <r>
    <s v="Regular"/>
    <x v="0"/>
    <x v="1"/>
    <x v="2"/>
    <x v="0"/>
    <x v="2"/>
    <x v="1"/>
    <x v="0"/>
    <x v="4"/>
    <n v="0"/>
    <n v="0"/>
    <n v="584.78099999999995"/>
    <n v="584.78099999999995"/>
    <n v="0"/>
    <n v="0"/>
    <n v="0"/>
    <x v="2"/>
    <n v="0"/>
    <n v="0"/>
    <n v="11"/>
    <n v="0"/>
    <n v="0"/>
    <n v="90.54"/>
    <n v="0"/>
    <m/>
    <n v="116.01030172172926"/>
    <m/>
    <n v="0"/>
    <n v="52946.071739999999"/>
    <n v="0"/>
    <n v="0"/>
    <n v="67840.620251134547"/>
    <n v="0"/>
  </r>
  <r>
    <s v="Regular"/>
    <x v="0"/>
    <x v="1"/>
    <x v="2"/>
    <x v="0"/>
    <x v="2"/>
    <x v="1"/>
    <x v="0"/>
    <x v="5"/>
    <n v="0"/>
    <n v="0"/>
    <n v="625.28099999999995"/>
    <n v="625.28099999999995"/>
    <n v="0"/>
    <n v="0"/>
    <n v="0"/>
    <x v="2"/>
    <n v="0"/>
    <n v="0"/>
    <n v="11"/>
    <n v="0"/>
    <n v="0"/>
    <n v="90.54"/>
    <n v="0"/>
    <m/>
    <n v="116.01030172172926"/>
    <m/>
    <n v="0"/>
    <n v="56612.941740000002"/>
    <n v="0"/>
    <n v="0"/>
    <n v="72539.037470864583"/>
    <n v="0"/>
  </r>
  <r>
    <s v="Regular"/>
    <x v="0"/>
    <x v="1"/>
    <x v="2"/>
    <x v="0"/>
    <x v="2"/>
    <x v="1"/>
    <x v="0"/>
    <x v="6"/>
    <n v="0"/>
    <n v="0"/>
    <n v="608.40499999999997"/>
    <n v="608.40499999999997"/>
    <n v="0"/>
    <n v="0"/>
    <n v="0"/>
    <x v="2"/>
    <n v="0"/>
    <n v="0"/>
    <n v="11"/>
    <n v="0"/>
    <n v="0"/>
    <n v="90.54"/>
    <n v="0"/>
    <m/>
    <n v="116.01030172172926"/>
    <m/>
    <n v="0"/>
    <n v="55084.988700000002"/>
    <n v="0"/>
    <n v="0"/>
    <n v="70581.247619008689"/>
    <n v="0"/>
  </r>
  <r>
    <s v="Regular"/>
    <x v="0"/>
    <x v="1"/>
    <x v="2"/>
    <x v="0"/>
    <x v="2"/>
    <x v="1"/>
    <x v="0"/>
    <x v="7"/>
    <n v="0"/>
    <n v="0"/>
    <n v="526.81399999999996"/>
    <n v="526.81399999999996"/>
    <n v="0"/>
    <n v="0"/>
    <n v="0"/>
    <x v="2"/>
    <n v="0"/>
    <n v="0"/>
    <n v="11"/>
    <n v="0"/>
    <n v="0"/>
    <n v="90.54"/>
    <n v="0"/>
    <m/>
    <n v="116.01030172172926"/>
    <m/>
    <n v="0"/>
    <n v="47697.739560000002"/>
    <n v="0"/>
    <n v="0"/>
    <n v="61115.851091231074"/>
    <n v="0"/>
  </r>
  <r>
    <s v="Regular"/>
    <x v="0"/>
    <x v="1"/>
    <x v="2"/>
    <x v="0"/>
    <x v="2"/>
    <x v="1"/>
    <x v="0"/>
    <x v="8"/>
    <n v="0"/>
    <n v="0"/>
    <n v="1022.5549999999999"/>
    <n v="1022.5549999999999"/>
    <n v="0"/>
    <n v="0"/>
    <n v="0"/>
    <x v="2"/>
    <n v="0"/>
    <n v="0"/>
    <n v="11"/>
    <n v="0"/>
    <n v="0"/>
    <n v="90.54"/>
    <n v="0"/>
    <m/>
    <n v="116.01030172172926"/>
    <m/>
    <n v="0"/>
    <n v="92582.129700000005"/>
    <n v="0"/>
    <n v="0"/>
    <n v="118626.91407706286"/>
    <n v="0"/>
  </r>
  <r>
    <s v="Regular"/>
    <x v="0"/>
    <x v="1"/>
    <x v="2"/>
    <x v="0"/>
    <x v="2"/>
    <x v="1"/>
    <x v="0"/>
    <x v="9"/>
    <n v="0"/>
    <n v="0"/>
    <n v="677.24199999999996"/>
    <n v="677.24199999999996"/>
    <n v="0"/>
    <n v="0"/>
    <n v="0"/>
    <x v="2"/>
    <n v="0"/>
    <n v="0"/>
    <n v="11"/>
    <n v="0"/>
    <n v="0"/>
    <n v="90.54"/>
    <n v="0"/>
    <m/>
    <n v="116.01030172172926"/>
    <m/>
    <n v="0"/>
    <n v="61317.490680000003"/>
    <n v="0"/>
    <n v="0"/>
    <n v="78567.048758627367"/>
    <n v="0"/>
  </r>
  <r>
    <s v="Regular"/>
    <x v="0"/>
    <x v="1"/>
    <x v="2"/>
    <x v="0"/>
    <x v="2"/>
    <x v="1"/>
    <x v="0"/>
    <x v="10"/>
    <n v="0"/>
    <n v="0"/>
    <n v="790.68499999999995"/>
    <n v="790.68499999999995"/>
    <n v="0"/>
    <n v="0"/>
    <n v="0"/>
    <x v="2"/>
    <n v="0"/>
    <n v="0"/>
    <n v="11"/>
    <n v="0"/>
    <n v="0"/>
    <n v="90.54"/>
    <n v="0"/>
    <m/>
    <n v="116.01030172172926"/>
    <m/>
    <n v="0"/>
    <n v="71588.619900000005"/>
    <n v="0"/>
    <n v="0"/>
    <n v="91727.605416845501"/>
    <n v="0"/>
  </r>
  <r>
    <s v="Regular"/>
    <x v="0"/>
    <x v="1"/>
    <x v="2"/>
    <x v="0"/>
    <x v="2"/>
    <x v="1"/>
    <x v="0"/>
    <x v="11"/>
    <n v="0"/>
    <n v="0"/>
    <n v="784.33"/>
    <n v="784.33"/>
    <n v="0"/>
    <n v="0"/>
    <n v="0"/>
    <x v="2"/>
    <n v="0"/>
    <n v="0"/>
    <n v="11"/>
    <n v="0"/>
    <n v="0"/>
    <n v="90.54"/>
    <n v="0"/>
    <m/>
    <n v="116.01030172172926"/>
    <m/>
    <n v="0"/>
    <n v="71013.238200000007"/>
    <n v="0"/>
    <n v="0"/>
    <n v="90990.359949403923"/>
    <n v="0"/>
  </r>
  <r>
    <s v="Regular"/>
    <x v="0"/>
    <x v="1"/>
    <x v="2"/>
    <x v="0"/>
    <x v="2"/>
    <x v="1"/>
    <x v="1"/>
    <x v="0"/>
    <n v="3029"/>
    <n v="816.91287938000005"/>
    <n v="0"/>
    <n v="0"/>
    <n v="0"/>
    <n v="0"/>
    <n v="6"/>
    <x v="2"/>
    <n v="0"/>
    <n v="9"/>
    <n v="0"/>
    <n v="0"/>
    <n v="33.97"/>
    <n v="0"/>
    <n v="0"/>
    <n v="44.835700557621209"/>
    <m/>
    <m/>
    <n v="27750.5305125386"/>
    <n v="0"/>
    <n v="0"/>
    <n v="36626.861241545812"/>
    <n v="0"/>
    <n v="0"/>
  </r>
  <r>
    <s v="Regular"/>
    <x v="0"/>
    <x v="1"/>
    <x v="2"/>
    <x v="0"/>
    <x v="2"/>
    <x v="1"/>
    <x v="1"/>
    <x v="1"/>
    <n v="3396"/>
    <n v="915.89175911999996"/>
    <n v="0"/>
    <n v="0"/>
    <n v="0"/>
    <n v="0"/>
    <n v="8"/>
    <x v="2"/>
    <n v="0"/>
    <n v="9"/>
    <n v="0"/>
    <n v="0"/>
    <n v="33.97"/>
    <n v="0"/>
    <n v="0"/>
    <n v="44.835700557621209"/>
    <m/>
    <m/>
    <n v="31112.843057306396"/>
    <n v="0"/>
    <n v="0"/>
    <n v="41064.648655097255"/>
    <n v="0"/>
    <n v="0"/>
  </r>
  <r>
    <s v="Regular"/>
    <x v="0"/>
    <x v="1"/>
    <x v="2"/>
    <x v="0"/>
    <x v="2"/>
    <x v="1"/>
    <x v="1"/>
    <x v="2"/>
    <n v="3368"/>
    <n v="908.34023695999997"/>
    <n v="0"/>
    <n v="0"/>
    <n v="0"/>
    <n v="0"/>
    <n v="8"/>
    <x v="2"/>
    <n v="0"/>
    <n v="9"/>
    <n v="0"/>
    <n v="0"/>
    <n v="33.97"/>
    <n v="0"/>
    <n v="0"/>
    <n v="44.835700557621209"/>
    <m/>
    <m/>
    <n v="30856.317849531199"/>
    <n v="0"/>
    <n v="0"/>
    <n v="40726.070868777249"/>
    <n v="0"/>
    <n v="0"/>
  </r>
  <r>
    <s v="Regular"/>
    <x v="0"/>
    <x v="1"/>
    <x v="2"/>
    <x v="0"/>
    <x v="2"/>
    <x v="1"/>
    <x v="1"/>
    <x v="3"/>
    <n v="3368"/>
    <n v="908.34023695999997"/>
    <n v="0"/>
    <n v="0"/>
    <n v="0"/>
    <n v="0"/>
    <n v="8"/>
    <x v="2"/>
    <n v="0"/>
    <n v="9"/>
    <n v="0"/>
    <n v="0"/>
    <n v="33.97"/>
    <n v="0"/>
    <n v="0"/>
    <n v="44.835700557621209"/>
    <m/>
    <m/>
    <n v="30856.317849531199"/>
    <n v="0"/>
    <n v="0"/>
    <n v="40726.070868777249"/>
    <n v="0"/>
    <n v="0"/>
  </r>
  <r>
    <s v="Regular"/>
    <x v="0"/>
    <x v="1"/>
    <x v="2"/>
    <x v="0"/>
    <x v="2"/>
    <x v="1"/>
    <x v="1"/>
    <x v="4"/>
    <n v="3368"/>
    <n v="908.34023695999997"/>
    <n v="0"/>
    <n v="0"/>
    <n v="0"/>
    <n v="0"/>
    <n v="8"/>
    <x v="2"/>
    <n v="0"/>
    <n v="9"/>
    <n v="0"/>
    <n v="0"/>
    <n v="33.97"/>
    <n v="0"/>
    <n v="0"/>
    <n v="44.835700557621209"/>
    <m/>
    <m/>
    <n v="30856.317849531199"/>
    <n v="0"/>
    <n v="0"/>
    <n v="40726.070868777249"/>
    <n v="0"/>
    <n v="0"/>
  </r>
  <r>
    <s v="Regular"/>
    <x v="0"/>
    <x v="1"/>
    <x v="2"/>
    <x v="0"/>
    <x v="2"/>
    <x v="1"/>
    <x v="1"/>
    <x v="5"/>
    <n v="3368"/>
    <n v="908.34023695999997"/>
    <n v="0"/>
    <n v="0"/>
    <n v="0"/>
    <n v="0"/>
    <n v="8"/>
    <x v="2"/>
    <n v="0"/>
    <n v="9"/>
    <n v="0"/>
    <n v="0"/>
    <n v="33.97"/>
    <n v="0"/>
    <n v="0"/>
    <n v="44.835700557621209"/>
    <m/>
    <m/>
    <n v="30856.317849531199"/>
    <n v="0"/>
    <n v="0"/>
    <n v="40726.070868777249"/>
    <n v="0"/>
    <n v="0"/>
  </r>
  <r>
    <s v="Regular"/>
    <x v="0"/>
    <x v="1"/>
    <x v="2"/>
    <x v="0"/>
    <x v="2"/>
    <x v="1"/>
    <x v="1"/>
    <x v="6"/>
    <n v="3368"/>
    <n v="908.34023695999997"/>
    <n v="0"/>
    <n v="0"/>
    <n v="0"/>
    <n v="0"/>
    <n v="8"/>
    <x v="2"/>
    <n v="0"/>
    <n v="9"/>
    <n v="0"/>
    <n v="0"/>
    <n v="33.97"/>
    <n v="0"/>
    <n v="0"/>
    <n v="44.835700557621209"/>
    <m/>
    <m/>
    <n v="30856.317849531199"/>
    <n v="0"/>
    <n v="0"/>
    <n v="40726.070868777249"/>
    <n v="0"/>
    <n v="0"/>
  </r>
  <r>
    <s v="Regular"/>
    <x v="0"/>
    <x v="1"/>
    <x v="2"/>
    <x v="0"/>
    <x v="2"/>
    <x v="1"/>
    <x v="1"/>
    <x v="7"/>
    <n v="3168"/>
    <n v="854.40079295999999"/>
    <n v="0"/>
    <n v="0"/>
    <n v="0"/>
    <n v="0"/>
    <n v="8"/>
    <x v="2"/>
    <n v="0"/>
    <n v="9"/>
    <n v="0"/>
    <n v="0"/>
    <n v="33.97"/>
    <n v="0"/>
    <n v="0"/>
    <n v="44.835700557621209"/>
    <m/>
    <m/>
    <n v="29023.994936851199"/>
    <n v="0"/>
    <n v="0"/>
    <n v="38307.658109348675"/>
    <n v="0"/>
    <n v="0"/>
  </r>
  <r>
    <s v="Regular"/>
    <x v="0"/>
    <x v="1"/>
    <x v="2"/>
    <x v="0"/>
    <x v="2"/>
    <x v="1"/>
    <x v="1"/>
    <x v="8"/>
    <n v="3457"/>
    <n v="932.34328954"/>
    <n v="0"/>
    <n v="0"/>
    <n v="0"/>
    <n v="0"/>
    <n v="8"/>
    <x v="2"/>
    <n v="0"/>
    <n v="9"/>
    <n v="0"/>
    <n v="0"/>
    <n v="33.97"/>
    <n v="0"/>
    <n v="0"/>
    <n v="44.835700557621209"/>
    <m/>
    <m/>
    <n v="31671.701545673797"/>
    <n v="0"/>
    <n v="0"/>
    <n v="41802.264546722967"/>
    <n v="0"/>
    <n v="0"/>
  </r>
  <r>
    <s v="Regular"/>
    <x v="0"/>
    <x v="1"/>
    <x v="2"/>
    <x v="0"/>
    <x v="2"/>
    <x v="1"/>
    <x v="1"/>
    <x v="9"/>
    <n v="3507"/>
    <n v="945.82815054000002"/>
    <n v="0"/>
    <n v="0"/>
    <n v="0"/>
    <n v="0"/>
    <n v="8"/>
    <x v="2"/>
    <n v="0"/>
    <n v="9"/>
    <n v="0"/>
    <n v="0"/>
    <n v="33.97"/>
    <n v="0"/>
    <n v="0"/>
    <n v="44.835700557621209"/>
    <m/>
    <m/>
    <n v="32129.782273843801"/>
    <n v="0"/>
    <n v="0"/>
    <n v="42406.867736580112"/>
    <n v="0"/>
    <n v="0"/>
  </r>
  <r>
    <s v="Regular"/>
    <x v="0"/>
    <x v="1"/>
    <x v="2"/>
    <x v="0"/>
    <x v="2"/>
    <x v="1"/>
    <x v="1"/>
    <x v="10"/>
    <n v="3585"/>
    <n v="966.86453370000004"/>
    <n v="0"/>
    <n v="0"/>
    <n v="0"/>
    <n v="0"/>
    <n v="8"/>
    <x v="2"/>
    <n v="0"/>
    <n v="9"/>
    <n v="0"/>
    <n v="0"/>
    <n v="33.97"/>
    <n v="0"/>
    <n v="0"/>
    <n v="44.835700557621209"/>
    <m/>
    <m/>
    <n v="32844.388209789002"/>
    <n v="0"/>
    <n v="0"/>
    <n v="43350.048712757263"/>
    <n v="0"/>
    <n v="0"/>
  </r>
  <r>
    <s v="Regular"/>
    <x v="0"/>
    <x v="1"/>
    <x v="2"/>
    <x v="0"/>
    <x v="2"/>
    <x v="1"/>
    <x v="1"/>
    <x v="11"/>
    <n v="3577"/>
    <n v="964.70695593999994"/>
    <n v="0"/>
    <n v="0"/>
    <n v="0"/>
    <n v="0"/>
    <n v="8"/>
    <x v="2"/>
    <n v="0"/>
    <n v="9"/>
    <n v="0"/>
    <n v="0"/>
    <n v="33.97"/>
    <n v="0"/>
    <n v="0"/>
    <n v="44.835700557621209"/>
    <m/>
    <m/>
    <n v="32771.095293281796"/>
    <n v="0"/>
    <n v="0"/>
    <n v="43253.312202380112"/>
    <n v="0"/>
    <n v="0"/>
  </r>
  <r>
    <s v="Regular"/>
    <x v="0"/>
    <x v="1"/>
    <x v="2"/>
    <x v="0"/>
    <x v="2"/>
    <x v="1"/>
    <x v="2"/>
    <x v="0"/>
    <n v="0"/>
    <n v="0"/>
    <n v="31.003"/>
    <n v="9.8979709654699999"/>
    <n v="0"/>
    <n v="0"/>
    <n v="0"/>
    <x v="2"/>
    <n v="0"/>
    <n v="0"/>
    <n v="10"/>
    <n v="0"/>
    <n v="0"/>
    <n v="1755.54"/>
    <n v="0"/>
    <m/>
    <n v="2161.4944324838229"/>
    <m/>
    <n v="0"/>
    <n v="17376.283948721204"/>
    <n v="0"/>
    <n v="0"/>
    <n v="21394.409134749934"/>
    <n v="0"/>
  </r>
  <r>
    <s v="Regular"/>
    <x v="0"/>
    <x v="1"/>
    <x v="2"/>
    <x v="0"/>
    <x v="2"/>
    <x v="1"/>
    <x v="2"/>
    <x v="1"/>
    <n v="0"/>
    <n v="0"/>
    <n v="33.430999999999997"/>
    <n v="10.67313057919"/>
    <n v="0"/>
    <n v="0"/>
    <n v="0"/>
    <x v="2"/>
    <n v="0"/>
    <n v="0"/>
    <n v="10"/>
    <n v="0"/>
    <n v="0"/>
    <n v="1755.54"/>
    <n v="0"/>
    <m/>
    <n v="2161.4944324838229"/>
    <m/>
    <n v="0"/>
    <n v="18737.107656991211"/>
    <n v="0"/>
    <n v="0"/>
    <n v="23069.912324092023"/>
    <n v="0"/>
  </r>
  <r>
    <s v="Regular"/>
    <x v="0"/>
    <x v="1"/>
    <x v="2"/>
    <x v="0"/>
    <x v="2"/>
    <x v="1"/>
    <x v="2"/>
    <x v="2"/>
    <n v="0"/>
    <n v="0"/>
    <n v="19.898"/>
    <n v="6.35260543402"/>
    <n v="0"/>
    <n v="0"/>
    <n v="0"/>
    <x v="2"/>
    <n v="0"/>
    <n v="0"/>
    <n v="10"/>
    <n v="0"/>
    <n v="0"/>
    <n v="1755.54"/>
    <n v="0"/>
    <m/>
    <n v="2161.4944324838229"/>
    <m/>
    <n v="0"/>
    <n v="11152.252943639471"/>
    <n v="0"/>
    <n v="0"/>
    <n v="13731.121277400709"/>
    <n v="0"/>
  </r>
  <r>
    <s v="Regular"/>
    <x v="0"/>
    <x v="1"/>
    <x v="2"/>
    <x v="0"/>
    <x v="2"/>
    <x v="1"/>
    <x v="2"/>
    <x v="3"/>
    <n v="0"/>
    <n v="0"/>
    <n v="20.74"/>
    <n v="6.6214210826000004"/>
    <n v="0"/>
    <n v="0"/>
    <n v="0"/>
    <x v="2"/>
    <n v="0"/>
    <n v="0"/>
    <n v="10"/>
    <n v="0"/>
    <n v="0"/>
    <n v="1755.54"/>
    <n v="0"/>
    <m/>
    <n v="2161.4944324838229"/>
    <m/>
    <n v="0"/>
    <n v="11624.169567347604"/>
    <n v="0"/>
    <n v="0"/>
    <n v="14312.164805170909"/>
    <n v="0"/>
  </r>
  <r>
    <s v="Regular"/>
    <x v="0"/>
    <x v="1"/>
    <x v="2"/>
    <x v="0"/>
    <x v="2"/>
    <x v="1"/>
    <x v="2"/>
    <x v="4"/>
    <n v="0"/>
    <n v="0"/>
    <n v="23.716999999999999"/>
    <n v="7.5718536073299996"/>
    <n v="0"/>
    <n v="0"/>
    <n v="0"/>
    <x v="2"/>
    <n v="0"/>
    <n v="0"/>
    <n v="10"/>
    <n v="0"/>
    <n v="0"/>
    <n v="1755.54"/>
    <n v="0"/>
    <m/>
    <n v="2161.4944324838229"/>
    <m/>
    <n v="0"/>
    <n v="13292.691881812107"/>
    <n v="0"/>
    <n v="0"/>
    <n v="16366.519415826346"/>
    <n v="0"/>
  </r>
  <r>
    <s v="Regular"/>
    <x v="0"/>
    <x v="1"/>
    <x v="2"/>
    <x v="0"/>
    <x v="2"/>
    <x v="1"/>
    <x v="2"/>
    <x v="5"/>
    <n v="0"/>
    <n v="0"/>
    <n v="28.638999999999999"/>
    <n v="9.1432438951100004"/>
    <n v="0"/>
    <n v="0"/>
    <n v="0"/>
    <x v="2"/>
    <n v="0"/>
    <n v="0"/>
    <n v="10"/>
    <n v="0"/>
    <n v="0"/>
    <n v="1755.54"/>
    <n v="0"/>
    <m/>
    <n v="2161.4944324838229"/>
    <m/>
    <n v="0"/>
    <n v="16051.33038762141"/>
    <n v="0"/>
    <n v="0"/>
    <n v="19763.07077412197"/>
    <n v="0"/>
  </r>
  <r>
    <s v="Regular"/>
    <x v="0"/>
    <x v="1"/>
    <x v="2"/>
    <x v="0"/>
    <x v="2"/>
    <x v="1"/>
    <x v="2"/>
    <x v="6"/>
    <n v="0"/>
    <n v="0"/>
    <n v="29.315000000000001"/>
    <n v="9.3590626343499999"/>
    <n v="0"/>
    <n v="0"/>
    <n v="0"/>
    <x v="2"/>
    <n v="0"/>
    <n v="0"/>
    <n v="10"/>
    <n v="0"/>
    <n v="0"/>
    <n v="1755.54"/>
    <n v="0"/>
    <m/>
    <n v="2161.4944324838229"/>
    <m/>
    <n v="0"/>
    <n v="16430.208817106799"/>
    <n v="0"/>
    <n v="0"/>
    <n v="20229.561777414907"/>
    <n v="0"/>
  </r>
  <r>
    <s v="Regular"/>
    <x v="0"/>
    <x v="1"/>
    <x v="2"/>
    <x v="0"/>
    <x v="2"/>
    <x v="1"/>
    <x v="2"/>
    <x v="7"/>
    <n v="0"/>
    <n v="0"/>
    <n v="29"/>
    <n v="9.2584962100000006"/>
    <n v="0"/>
    <n v="0"/>
    <n v="0"/>
    <x v="2"/>
    <n v="0"/>
    <n v="0"/>
    <n v="10"/>
    <n v="0"/>
    <n v="0"/>
    <n v="1755.54"/>
    <n v="0"/>
    <m/>
    <n v="2161.4944324838229"/>
    <m/>
    <n v="0"/>
    <n v="16253.6604365034"/>
    <n v="0"/>
    <n v="0"/>
    <n v="20012.188011087575"/>
    <n v="0"/>
  </r>
  <r>
    <s v="Regular"/>
    <x v="0"/>
    <x v="1"/>
    <x v="2"/>
    <x v="0"/>
    <x v="2"/>
    <x v="1"/>
    <x v="2"/>
    <x v="8"/>
    <n v="0"/>
    <n v="0"/>
    <n v="72.227000000000004"/>
    <n v="23.05908295723"/>
    <n v="0"/>
    <n v="0"/>
    <n v="0"/>
    <x v="2"/>
    <n v="0"/>
    <n v="0"/>
    <n v="10"/>
    <n v="0"/>
    <n v="0"/>
    <n v="1755.54"/>
    <n v="0"/>
    <m/>
    <n v="2161.4944324838229"/>
    <m/>
    <n v="0"/>
    <n v="40481.142494735555"/>
    <n v="0"/>
    <n v="0"/>
    <n v="49842.079430235251"/>
    <n v="0"/>
  </r>
  <r>
    <s v="Regular"/>
    <x v="0"/>
    <x v="1"/>
    <x v="2"/>
    <x v="0"/>
    <x v="2"/>
    <x v="1"/>
    <x v="2"/>
    <x v="9"/>
    <n v="0"/>
    <n v="0"/>
    <n v="42.276000000000003"/>
    <n v="13.49697192324"/>
    <n v="0"/>
    <n v="0"/>
    <n v="0"/>
    <x v="2"/>
    <n v="0"/>
    <n v="0"/>
    <n v="10"/>
    <n v="0"/>
    <n v="0"/>
    <n v="1755.54"/>
    <n v="0"/>
    <m/>
    <n v="2161.4944324838229"/>
    <m/>
    <n v="0"/>
    <n v="23694.47409012475"/>
    <n v="0"/>
    <n v="0"/>
    <n v="29173.629667473735"/>
    <n v="0"/>
  </r>
  <r>
    <s v="Regular"/>
    <x v="0"/>
    <x v="1"/>
    <x v="2"/>
    <x v="0"/>
    <x v="2"/>
    <x v="1"/>
    <x v="2"/>
    <x v="10"/>
    <n v="0"/>
    <n v="0"/>
    <n v="53.362000000000002"/>
    <n v="17.03627154338"/>
    <n v="0"/>
    <n v="0"/>
    <n v="0"/>
    <x v="2"/>
    <n v="0"/>
    <n v="0"/>
    <n v="10"/>
    <n v="0"/>
    <n v="0"/>
    <n v="1755.54"/>
    <n v="0"/>
    <m/>
    <n v="2161.4944324838229"/>
    <m/>
    <n v="0"/>
    <n v="29907.856145265323"/>
    <n v="0"/>
    <n v="0"/>
    <n v="36823.806091298458"/>
    <n v="0"/>
  </r>
  <r>
    <s v="Regular"/>
    <x v="0"/>
    <x v="1"/>
    <x v="2"/>
    <x v="0"/>
    <x v="2"/>
    <x v="1"/>
    <x v="2"/>
    <x v="11"/>
    <n v="0"/>
    <n v="0"/>
    <n v="50.908999999999999"/>
    <n v="16.253130467409999"/>
    <n v="0"/>
    <n v="0"/>
    <n v="0"/>
    <x v="2"/>
    <n v="0"/>
    <n v="0"/>
    <n v="10"/>
    <n v="0"/>
    <n v="0"/>
    <n v="1755.54"/>
    <n v="0"/>
    <m/>
    <n v="2161.4944324838229"/>
    <m/>
    <n v="0"/>
    <n v="28533.020660756949"/>
    <n v="0"/>
    <n v="0"/>
    <n v="35131.051015739911"/>
    <n v="0"/>
  </r>
  <r>
    <s v="Regular"/>
    <x v="0"/>
    <x v="1"/>
    <x v="2"/>
    <x v="0"/>
    <x v="1"/>
    <x v="1"/>
    <x v="0"/>
    <x v="0"/>
    <n v="0"/>
    <n v="0"/>
    <n v="621.16399999999999"/>
    <n v="621.16399999999999"/>
    <n v="621.16399999999999"/>
    <n v="621.16399999999999"/>
    <n v="0"/>
    <x v="1"/>
    <n v="0"/>
    <n v="0"/>
    <n v="11"/>
    <n v="52"/>
    <n v="0"/>
    <n v="90.54"/>
    <n v="189.96"/>
    <m/>
    <n v="116.01030172172926"/>
    <n v="195.89707226799715"/>
    <n v="0"/>
    <n v="56240.188560000002"/>
    <n v="117996.31344"/>
    <n v="0"/>
    <n v="72061.423058676228"/>
    <n v="121684.20899827818"/>
  </r>
  <r>
    <s v="Regular"/>
    <x v="0"/>
    <x v="1"/>
    <x v="2"/>
    <x v="0"/>
    <x v="1"/>
    <x v="1"/>
    <x v="0"/>
    <x v="1"/>
    <n v="0"/>
    <n v="0"/>
    <n v="503.04599999999999"/>
    <n v="503.04599999999999"/>
    <n v="503.04599999999999"/>
    <n v="503.04599999999999"/>
    <n v="0"/>
    <x v="1"/>
    <n v="0"/>
    <n v="0"/>
    <n v="11"/>
    <n v="52"/>
    <n v="0"/>
    <n v="90.54"/>
    <n v="189.96"/>
    <m/>
    <n v="116.01030172172926"/>
    <n v="195.89707226799715"/>
    <n v="0"/>
    <n v="45545.78484"/>
    <n v="95558.618159999998"/>
    <n v="0"/>
    <n v="58358.518239909019"/>
    <n v="98545.238616126895"/>
  </r>
  <r>
    <s v="Regular"/>
    <x v="0"/>
    <x v="1"/>
    <x v="2"/>
    <x v="0"/>
    <x v="1"/>
    <x v="1"/>
    <x v="0"/>
    <x v="2"/>
    <n v="0"/>
    <n v="0"/>
    <n v="525.95500000000004"/>
    <n v="525.95500000000004"/>
    <n v="525.95500000000004"/>
    <n v="525.95500000000004"/>
    <n v="0"/>
    <x v="1"/>
    <n v="0"/>
    <n v="0"/>
    <n v="11"/>
    <n v="52"/>
    <n v="0"/>
    <n v="90.54"/>
    <n v="189.96"/>
    <m/>
    <n v="116.01030172172926"/>
    <n v="195.89707226799715"/>
    <n v="0"/>
    <n v="47619.965700000008"/>
    <n v="99910.411800000016"/>
    <n v="0"/>
    <n v="61016.198242052116"/>
    <n v="103033.04464471445"/>
  </r>
  <r>
    <s v="Regular"/>
    <x v="0"/>
    <x v="1"/>
    <x v="2"/>
    <x v="0"/>
    <x v="1"/>
    <x v="1"/>
    <x v="0"/>
    <x v="3"/>
    <n v="0"/>
    <n v="0"/>
    <n v="494.71499999999997"/>
    <n v="494.71499999999997"/>
    <n v="494.71499999999997"/>
    <n v="494.71499999999997"/>
    <n v="0"/>
    <x v="1"/>
    <n v="0"/>
    <n v="0"/>
    <n v="11"/>
    <n v="52"/>
    <n v="0"/>
    <n v="90.54"/>
    <n v="189.96"/>
    <m/>
    <n v="116.01030172172926"/>
    <n v="195.89707226799715"/>
    <n v="0"/>
    <n v="44791.496100000004"/>
    <n v="93976.061400000006"/>
    <n v="0"/>
    <n v="57392.036416265291"/>
    <n v="96913.220107062196"/>
  </r>
  <r>
    <s v="Regular"/>
    <x v="0"/>
    <x v="1"/>
    <x v="2"/>
    <x v="0"/>
    <x v="1"/>
    <x v="1"/>
    <x v="0"/>
    <x v="4"/>
    <n v="0"/>
    <n v="0"/>
    <n v="503.90899999999999"/>
    <n v="503.90899999999999"/>
    <n v="503.90899999999999"/>
    <n v="503.90899999999999"/>
    <n v="0"/>
    <x v="1"/>
    <n v="0"/>
    <n v="0"/>
    <n v="11"/>
    <n v="52"/>
    <n v="0"/>
    <n v="90.54"/>
    <n v="189.96"/>
    <m/>
    <n v="116.01030172172926"/>
    <n v="195.89707226799715"/>
    <n v="0"/>
    <n v="45623.920860000006"/>
    <n v="95722.553639999998"/>
    <n v="0"/>
    <n v="58458.635130294868"/>
    <n v="98714.297789494172"/>
  </r>
  <r>
    <s v="Regular"/>
    <x v="0"/>
    <x v="1"/>
    <x v="2"/>
    <x v="0"/>
    <x v="1"/>
    <x v="1"/>
    <x v="0"/>
    <x v="5"/>
    <n v="0"/>
    <n v="0"/>
    <n v="412.214"/>
    <n v="412.214"/>
    <n v="412.214"/>
    <n v="412.214"/>
    <n v="0"/>
    <x v="1"/>
    <n v="0"/>
    <n v="0"/>
    <n v="11"/>
    <n v="52"/>
    <n v="0"/>
    <n v="90.54"/>
    <n v="189.96"/>
    <m/>
    <n v="116.01030172172926"/>
    <n v="195.89707226799715"/>
    <n v="0"/>
    <n v="37321.855560000004"/>
    <n v="78304.171440000006"/>
    <n v="0"/>
    <n v="47821.070513920909"/>
    <n v="80751.51574788017"/>
  </r>
  <r>
    <s v="Sistema de Compensação"/>
    <x v="0"/>
    <x v="1"/>
    <x v="2"/>
    <x v="0"/>
    <x v="1"/>
    <x v="1"/>
    <x v="0"/>
    <x v="5"/>
    <n v="0"/>
    <n v="0"/>
    <n v="61.837000000000003"/>
    <n v="61.837000000000003"/>
    <n v="61.837000000000003"/>
    <n v="61.837000000000003"/>
    <n v="0"/>
    <x v="1"/>
    <n v="0"/>
    <n v="0"/>
    <n v="11"/>
    <n v="52"/>
    <n v="0"/>
    <n v="90.54"/>
    <n v="189.96"/>
    <m/>
    <n v="116.01030172172926"/>
    <n v="195.89707226799715"/>
    <n v="0"/>
    <n v="5598.7219800000003"/>
    <n v="11746.556520000002"/>
    <n v="0"/>
    <n v="7173.7290275665728"/>
    <n v="12113.68725783614"/>
  </r>
  <r>
    <s v="Regular"/>
    <x v="0"/>
    <x v="1"/>
    <x v="2"/>
    <x v="0"/>
    <x v="1"/>
    <x v="1"/>
    <x v="0"/>
    <x v="6"/>
    <n v="0"/>
    <n v="0"/>
    <n v="388.90199999999999"/>
    <n v="388.90199999999999"/>
    <n v="388.90199999999999"/>
    <n v="388.90199999999999"/>
    <n v="0"/>
    <x v="1"/>
    <n v="0"/>
    <n v="0"/>
    <n v="11"/>
    <n v="52"/>
    <n v="0"/>
    <n v="90.54"/>
    <n v="189.96"/>
    <m/>
    <n v="116.01030172172926"/>
    <n v="195.89707226799715"/>
    <n v="0"/>
    <n v="35211.187080000003"/>
    <n v="73875.823919999995"/>
    <n v="0"/>
    <n v="45116.638360183955"/>
    <n v="76184.763199168621"/>
  </r>
  <r>
    <s v="Sistema de Compensação"/>
    <x v="0"/>
    <x v="1"/>
    <x v="2"/>
    <x v="0"/>
    <x v="1"/>
    <x v="1"/>
    <x v="0"/>
    <x v="6"/>
    <n v="0"/>
    <n v="0"/>
    <n v="29.521000000000001"/>
    <n v="29.521000000000001"/>
    <n v="29.521000000000001"/>
    <n v="29.521000000000001"/>
    <n v="0"/>
    <x v="1"/>
    <n v="0"/>
    <n v="0"/>
    <n v="11"/>
    <n v="52"/>
    <n v="0"/>
    <n v="90.54"/>
    <n v="189.96"/>
    <m/>
    <n v="116.01030172172926"/>
    <n v="195.89707226799715"/>
    <n v="0"/>
    <n v="2672.8313400000002"/>
    <n v="5607.8091600000007"/>
    <n v="0"/>
    <n v="3424.7401171271695"/>
    <n v="5783.0774704235437"/>
  </r>
  <r>
    <s v="Regular"/>
    <x v="0"/>
    <x v="1"/>
    <x v="2"/>
    <x v="0"/>
    <x v="1"/>
    <x v="1"/>
    <x v="0"/>
    <x v="7"/>
    <n v="0"/>
    <n v="0"/>
    <n v="426.92399999999998"/>
    <n v="426.92399999999998"/>
    <n v="426.92399999999998"/>
    <n v="426.92399999999998"/>
    <n v="0"/>
    <x v="1"/>
    <n v="0"/>
    <n v="0"/>
    <n v="11"/>
    <n v="52"/>
    <n v="0"/>
    <n v="90.54"/>
    <n v="189.96"/>
    <m/>
    <n v="116.01030172172926"/>
    <n v="195.89707226799715"/>
    <n v="0"/>
    <n v="38653.698960000002"/>
    <n v="81098.483040000006"/>
    <n v="0"/>
    <n v="49527.582052247541"/>
    <n v="83633.161680942416"/>
  </r>
  <r>
    <s v="Sistema de Compensação"/>
    <x v="0"/>
    <x v="1"/>
    <x v="2"/>
    <x v="0"/>
    <x v="1"/>
    <x v="1"/>
    <x v="0"/>
    <x v="7"/>
    <n v="0"/>
    <n v="0"/>
    <n v="8.1969999999999992"/>
    <n v="8.1969999999999992"/>
    <n v="8.1969999999999992"/>
    <n v="8.1969999999999992"/>
    <n v="0"/>
    <x v="1"/>
    <n v="0"/>
    <n v="0"/>
    <n v="11"/>
    <n v="52"/>
    <n v="0"/>
    <n v="90.54"/>
    <n v="189.96"/>
    <m/>
    <n v="116.01030172172926"/>
    <n v="195.89707226799715"/>
    <n v="0"/>
    <n v="742.15638000000001"/>
    <n v="1557.10212"/>
    <n v="0"/>
    <n v="950.93644321301463"/>
    <n v="1605.7683013807725"/>
  </r>
  <r>
    <s v="Regular"/>
    <x v="0"/>
    <x v="1"/>
    <x v="2"/>
    <x v="0"/>
    <x v="1"/>
    <x v="1"/>
    <x v="0"/>
    <x v="8"/>
    <n v="0"/>
    <n v="0"/>
    <n v="462.54199999999997"/>
    <n v="462.54199999999997"/>
    <n v="462.54199999999997"/>
    <n v="462.54199999999997"/>
    <n v="0"/>
    <x v="1"/>
    <n v="0"/>
    <n v="0"/>
    <n v="11"/>
    <n v="52"/>
    <n v="0"/>
    <n v="90.54"/>
    <n v="189.96"/>
    <m/>
    <n v="116.01030172172926"/>
    <n v="195.89707226799715"/>
    <n v="0"/>
    <n v="41878.552680000001"/>
    <n v="87864.478319999995"/>
    <n v="0"/>
    <n v="53659.636978972092"/>
    <n v="90610.623600983934"/>
  </r>
  <r>
    <s v="Sistema de Compensação"/>
    <x v="0"/>
    <x v="1"/>
    <x v="2"/>
    <x v="0"/>
    <x v="1"/>
    <x v="1"/>
    <x v="0"/>
    <x v="8"/>
    <n v="0"/>
    <n v="0"/>
    <n v="46.783999999999999"/>
    <n v="46.783999999999999"/>
    <n v="46.783999999999999"/>
    <n v="46.783999999999999"/>
    <n v="0"/>
    <x v="1"/>
    <n v="0"/>
    <n v="0"/>
    <n v="11"/>
    <n v="52"/>
    <n v="0"/>
    <n v="90.54"/>
    <n v="189.96"/>
    <m/>
    <n v="116.01030172172926"/>
    <n v="195.89707226799715"/>
    <n v="0"/>
    <n v="4235.8233600000003"/>
    <n v="8887.0886399999999"/>
    <n v="0"/>
    <n v="5427.4259557493815"/>
    <n v="9164.8486289859775"/>
  </r>
  <r>
    <s v="Regular"/>
    <x v="0"/>
    <x v="1"/>
    <x v="2"/>
    <x v="0"/>
    <x v="1"/>
    <x v="1"/>
    <x v="0"/>
    <x v="9"/>
    <n v="0"/>
    <n v="0"/>
    <n v="412.99400000000003"/>
    <n v="412.99400000000003"/>
    <n v="412.99400000000003"/>
    <n v="412.99400000000003"/>
    <n v="0"/>
    <x v="1"/>
    <n v="0"/>
    <n v="0"/>
    <n v="11"/>
    <n v="52"/>
    <n v="0"/>
    <n v="90.54"/>
    <n v="189.96"/>
    <m/>
    <n v="116.01030172172926"/>
    <n v="195.89707226799715"/>
    <n v="0"/>
    <n v="37392.476760000005"/>
    <n v="78452.340240000005"/>
    <n v="0"/>
    <n v="47911.558549263857"/>
    <n v="80904.315464249215"/>
  </r>
  <r>
    <s v="Sistema de Compensação"/>
    <x v="0"/>
    <x v="1"/>
    <x v="2"/>
    <x v="0"/>
    <x v="1"/>
    <x v="1"/>
    <x v="0"/>
    <x v="9"/>
    <n v="0"/>
    <n v="0"/>
    <n v="69.320999999999998"/>
    <n v="69.320999999999998"/>
    <n v="69.320999999999998"/>
    <n v="69.320999999999998"/>
    <n v="0"/>
    <x v="1"/>
    <n v="0"/>
    <n v="0"/>
    <n v="11"/>
    <n v="52"/>
    <n v="0"/>
    <n v="90.54"/>
    <n v="189.96"/>
    <m/>
    <n v="116.01030172172926"/>
    <n v="195.89707226799715"/>
    <n v="0"/>
    <n v="6276.3233399999999"/>
    <n v="13168.21716"/>
    <n v="0"/>
    <n v="8041.9501256519943"/>
    <n v="13579.780946689829"/>
  </r>
  <r>
    <s v="Regular"/>
    <x v="0"/>
    <x v="1"/>
    <x v="2"/>
    <x v="0"/>
    <x v="1"/>
    <x v="1"/>
    <x v="0"/>
    <x v="10"/>
    <n v="0"/>
    <n v="0"/>
    <n v="494.01600000000002"/>
    <n v="494.01600000000002"/>
    <n v="494.01600000000002"/>
    <n v="494.01600000000002"/>
    <n v="0"/>
    <x v="1"/>
    <n v="0"/>
    <n v="0"/>
    <n v="11"/>
    <n v="52"/>
    <n v="0"/>
    <n v="90.54"/>
    <n v="189.96"/>
    <m/>
    <n v="116.01030172172926"/>
    <n v="195.89707226799715"/>
    <n v="0"/>
    <n v="44728.208640000004"/>
    <n v="93843.27936"/>
    <n v="0"/>
    <n v="57310.945215361804"/>
    <n v="96776.288053546887"/>
  </r>
  <r>
    <s v="Sistema de Compensação"/>
    <x v="0"/>
    <x v="1"/>
    <x v="2"/>
    <x v="0"/>
    <x v="1"/>
    <x v="1"/>
    <x v="0"/>
    <x v="10"/>
    <n v="0"/>
    <n v="0"/>
    <n v="64.748999999999995"/>
    <n v="64.748999999999995"/>
    <n v="64.748999999999995"/>
    <n v="64.748999999999995"/>
    <n v="0"/>
    <x v="1"/>
    <n v="0"/>
    <n v="0"/>
    <n v="11"/>
    <n v="52"/>
    <n v="0"/>
    <n v="90.54"/>
    <n v="189.96"/>
    <m/>
    <n v="116.01030172172926"/>
    <n v="195.89707226799715"/>
    <n v="0"/>
    <n v="5862.37446"/>
    <n v="12299.72004"/>
    <n v="0"/>
    <n v="7511.5510261802474"/>
    <n v="12684.139532280546"/>
  </r>
  <r>
    <s v="Regular"/>
    <x v="0"/>
    <x v="1"/>
    <x v="2"/>
    <x v="0"/>
    <x v="1"/>
    <x v="1"/>
    <x v="0"/>
    <x v="11"/>
    <n v="0"/>
    <n v="0"/>
    <n v="362.99599999999998"/>
    <n v="362.99599999999998"/>
    <n v="362.99599999999998"/>
    <n v="362.99599999999998"/>
    <n v="0"/>
    <x v="1"/>
    <n v="0"/>
    <n v="0"/>
    <n v="11"/>
    <n v="52"/>
    <n v="0"/>
    <n v="90.54"/>
    <n v="189.96"/>
    <m/>
    <n v="116.01030172172926"/>
    <n v="195.89707226799715"/>
    <n v="0"/>
    <n v="32865.65784"/>
    <n v="68954.720159999997"/>
    <n v="0"/>
    <n v="42111.275483780832"/>
    <n v="71109.853644993884"/>
  </r>
  <r>
    <s v="Sistema de Compensação"/>
    <x v="0"/>
    <x v="1"/>
    <x v="2"/>
    <x v="0"/>
    <x v="1"/>
    <x v="1"/>
    <x v="0"/>
    <x v="11"/>
    <n v="0"/>
    <n v="0"/>
    <n v="59.744"/>
    <n v="59.744"/>
    <n v="59.744"/>
    <n v="59.744"/>
    <n v="0"/>
    <x v="1"/>
    <n v="0"/>
    <n v="0"/>
    <n v="11"/>
    <n v="52"/>
    <n v="0"/>
    <n v="90.54"/>
    <n v="189.96"/>
    <m/>
    <n v="116.01030172172926"/>
    <n v="195.89707226799715"/>
    <n v="0"/>
    <n v="5409.2217600000004"/>
    <n v="11348.970240000001"/>
    <n v="0"/>
    <n v="6930.9194660629928"/>
    <n v="11703.674685579221"/>
  </r>
  <r>
    <s v="Regular"/>
    <x v="0"/>
    <x v="1"/>
    <x v="2"/>
    <x v="0"/>
    <x v="1"/>
    <x v="1"/>
    <x v="1"/>
    <x v="0"/>
    <n v="3473"/>
    <n v="3473"/>
    <n v="0"/>
    <n v="0"/>
    <n v="0"/>
    <n v="0"/>
    <n v="21"/>
    <x v="1"/>
    <n v="0"/>
    <n v="9"/>
    <n v="0"/>
    <n v="0"/>
    <n v="33.97"/>
    <n v="0"/>
    <n v="0"/>
    <n v="44.835700557621209"/>
    <m/>
    <m/>
    <n v="117977.81"/>
    <n v="0"/>
    <n v="0"/>
    <n v="155714.38803661845"/>
    <n v="0"/>
    <n v="0"/>
  </r>
  <r>
    <s v="Regular"/>
    <x v="0"/>
    <x v="1"/>
    <x v="2"/>
    <x v="0"/>
    <x v="1"/>
    <x v="1"/>
    <x v="1"/>
    <x v="1"/>
    <n v="3138"/>
    <n v="3138"/>
    <n v="0"/>
    <n v="0"/>
    <n v="0"/>
    <n v="0"/>
    <n v="20"/>
    <x v="1"/>
    <n v="0"/>
    <n v="9"/>
    <n v="0"/>
    <n v="0"/>
    <n v="33.97"/>
    <n v="0"/>
    <n v="0"/>
    <n v="44.835700557621209"/>
    <m/>
    <m/>
    <n v="106597.86"/>
    <n v="0"/>
    <n v="0"/>
    <n v="140694.42834981537"/>
    <n v="0"/>
    <n v="0"/>
  </r>
  <r>
    <s v="Regular"/>
    <x v="0"/>
    <x v="1"/>
    <x v="2"/>
    <x v="0"/>
    <x v="1"/>
    <x v="1"/>
    <x v="1"/>
    <x v="2"/>
    <n v="3201"/>
    <n v="3201"/>
    <n v="0"/>
    <n v="0"/>
    <n v="0"/>
    <n v="0"/>
    <n v="20"/>
    <x v="1"/>
    <n v="0"/>
    <n v="9"/>
    <n v="0"/>
    <n v="0"/>
    <n v="33.97"/>
    <n v="0"/>
    <n v="0"/>
    <n v="44.835700557621209"/>
    <m/>
    <m/>
    <n v="108737.97"/>
    <n v="0"/>
    <n v="0"/>
    <n v="143519.07748494548"/>
    <n v="0"/>
    <n v="0"/>
  </r>
  <r>
    <s v="Regular"/>
    <x v="0"/>
    <x v="1"/>
    <x v="2"/>
    <x v="0"/>
    <x v="1"/>
    <x v="1"/>
    <x v="1"/>
    <x v="3"/>
    <n v="3185"/>
    <n v="3185"/>
    <n v="0"/>
    <n v="0"/>
    <n v="0"/>
    <n v="0"/>
    <n v="20"/>
    <x v="1"/>
    <n v="0"/>
    <n v="9"/>
    <n v="0"/>
    <n v="0"/>
    <n v="33.97"/>
    <n v="0"/>
    <n v="0"/>
    <n v="44.835700557621209"/>
    <m/>
    <m/>
    <n v="108194.45"/>
    <n v="0"/>
    <n v="0"/>
    <n v="142801.70627602356"/>
    <n v="0"/>
    <n v="0"/>
  </r>
  <r>
    <s v="Regular"/>
    <x v="0"/>
    <x v="1"/>
    <x v="2"/>
    <x v="0"/>
    <x v="1"/>
    <x v="1"/>
    <x v="1"/>
    <x v="4"/>
    <n v="3171"/>
    <n v="3171"/>
    <n v="0"/>
    <n v="0"/>
    <n v="0"/>
    <n v="0"/>
    <n v="19"/>
    <x v="1"/>
    <n v="0"/>
    <n v="9"/>
    <n v="0"/>
    <n v="0"/>
    <n v="33.97"/>
    <n v="0"/>
    <n v="0"/>
    <n v="44.835700557621209"/>
    <m/>
    <m/>
    <n v="107718.87"/>
    <n v="0"/>
    <n v="0"/>
    <n v="142174.00646821686"/>
    <n v="0"/>
    <n v="0"/>
  </r>
  <r>
    <s v="Regular"/>
    <x v="0"/>
    <x v="1"/>
    <x v="2"/>
    <x v="0"/>
    <x v="1"/>
    <x v="1"/>
    <x v="1"/>
    <x v="5"/>
    <n v="2834"/>
    <n v="2834"/>
    <n v="0"/>
    <n v="0"/>
    <n v="0"/>
    <n v="0"/>
    <n v="18"/>
    <x v="1"/>
    <n v="0"/>
    <n v="9"/>
    <n v="0"/>
    <n v="0"/>
    <n v="33.97"/>
    <n v="0"/>
    <n v="0"/>
    <n v="44.835700557621209"/>
    <m/>
    <m/>
    <n v="96270.98"/>
    <n v="0"/>
    <n v="0"/>
    <n v="127064.3753802985"/>
    <n v="0"/>
    <n v="0"/>
  </r>
  <r>
    <s v="Sistema de Compensação"/>
    <x v="0"/>
    <x v="1"/>
    <x v="2"/>
    <x v="0"/>
    <x v="1"/>
    <x v="1"/>
    <x v="1"/>
    <x v="5"/>
    <n v="290"/>
    <n v="290"/>
    <n v="0"/>
    <n v="0"/>
    <n v="0"/>
    <n v="0"/>
    <n v="1"/>
    <x v="1"/>
    <n v="0"/>
    <n v="9"/>
    <n v="0"/>
    <n v="0"/>
    <n v="33.97"/>
    <n v="0"/>
    <n v="0"/>
    <n v="44.835700557621209"/>
    <m/>
    <m/>
    <n v="9851.2999999999993"/>
    <n v="0"/>
    <n v="0"/>
    <n v="13002.353161710151"/>
    <n v="0"/>
    <n v="0"/>
  </r>
  <r>
    <s v="Regular"/>
    <x v="0"/>
    <x v="1"/>
    <x v="2"/>
    <x v="0"/>
    <x v="1"/>
    <x v="1"/>
    <x v="1"/>
    <x v="6"/>
    <n v="2862"/>
    <n v="2862"/>
    <n v="0"/>
    <n v="0"/>
    <n v="0"/>
    <n v="0"/>
    <n v="18"/>
    <x v="1"/>
    <n v="0"/>
    <n v="9"/>
    <n v="0"/>
    <n v="0"/>
    <n v="33.97"/>
    <n v="0"/>
    <n v="0"/>
    <n v="44.835700557621209"/>
    <m/>
    <m/>
    <n v="97222.14"/>
    <n v="0"/>
    <n v="0"/>
    <n v="128319.7749959119"/>
    <n v="0"/>
    <n v="0"/>
  </r>
  <r>
    <s v="Refaturamento - Regular"/>
    <x v="0"/>
    <x v="1"/>
    <x v="2"/>
    <x v="0"/>
    <x v="1"/>
    <x v="1"/>
    <x v="1"/>
    <x v="6"/>
    <n v="-40"/>
    <n v="-40"/>
    <n v="0"/>
    <n v="0"/>
    <n v="0"/>
    <n v="0"/>
    <n v="0"/>
    <x v="1"/>
    <n v="0"/>
    <n v="9"/>
    <n v="0"/>
    <n v="0"/>
    <n v="33.97"/>
    <n v="0"/>
    <n v="0"/>
    <n v="44.835700557621209"/>
    <m/>
    <m/>
    <n v="-1358.8"/>
    <n v="0"/>
    <n v="0"/>
    <n v="-1793.4280223048484"/>
    <n v="0"/>
    <n v="0"/>
  </r>
  <r>
    <s v="Sistema de Compensação"/>
    <x v="0"/>
    <x v="1"/>
    <x v="2"/>
    <x v="0"/>
    <x v="1"/>
    <x v="1"/>
    <x v="1"/>
    <x v="6"/>
    <n v="268"/>
    <n v="268"/>
    <n v="0"/>
    <n v="0"/>
    <n v="0"/>
    <n v="0"/>
    <n v="1"/>
    <x v="1"/>
    <n v="0"/>
    <n v="9"/>
    <n v="0"/>
    <n v="0"/>
    <n v="33.97"/>
    <n v="0"/>
    <n v="0"/>
    <n v="44.835700557621209"/>
    <m/>
    <m/>
    <n v="9103.9599999999991"/>
    <n v="0"/>
    <n v="0"/>
    <n v="12015.967749442483"/>
    <n v="0"/>
    <n v="0"/>
  </r>
  <r>
    <s v="Regular"/>
    <x v="0"/>
    <x v="1"/>
    <x v="2"/>
    <x v="0"/>
    <x v="1"/>
    <x v="1"/>
    <x v="1"/>
    <x v="7"/>
    <n v="3012"/>
    <n v="3012"/>
    <n v="0"/>
    <n v="0"/>
    <n v="0"/>
    <n v="0"/>
    <n v="19"/>
    <x v="1"/>
    <n v="0"/>
    <n v="9"/>
    <n v="0"/>
    <n v="0"/>
    <n v="33.97"/>
    <n v="0"/>
    <n v="0"/>
    <n v="44.835700557621209"/>
    <m/>
    <m/>
    <n v="102317.64"/>
    <n v="0"/>
    <n v="0"/>
    <n v="135045.13007955509"/>
    <n v="0"/>
    <n v="0"/>
  </r>
  <r>
    <s v="Sistema de Compensação"/>
    <x v="0"/>
    <x v="1"/>
    <x v="2"/>
    <x v="0"/>
    <x v="1"/>
    <x v="1"/>
    <x v="1"/>
    <x v="7"/>
    <n v="262"/>
    <n v="262"/>
    <n v="0"/>
    <n v="0"/>
    <n v="0"/>
    <n v="0"/>
    <n v="1"/>
    <x v="1"/>
    <n v="0"/>
    <n v="9"/>
    <n v="0"/>
    <n v="0"/>
    <n v="33.97"/>
    <n v="0"/>
    <n v="0"/>
    <n v="44.835700557621209"/>
    <m/>
    <m/>
    <n v="8900.14"/>
    <n v="0"/>
    <n v="0"/>
    <n v="11746.953546096756"/>
    <n v="0"/>
    <n v="0"/>
  </r>
  <r>
    <s v="Regular"/>
    <x v="0"/>
    <x v="1"/>
    <x v="2"/>
    <x v="0"/>
    <x v="1"/>
    <x v="1"/>
    <x v="1"/>
    <x v="8"/>
    <n v="3139"/>
    <n v="3139"/>
    <n v="0"/>
    <n v="0"/>
    <n v="0"/>
    <n v="0"/>
    <n v="19"/>
    <x v="1"/>
    <n v="0"/>
    <n v="9"/>
    <n v="0"/>
    <n v="0"/>
    <n v="33.97"/>
    <n v="0"/>
    <n v="0"/>
    <n v="44.835700557621209"/>
    <m/>
    <m/>
    <n v="106631.83"/>
    <n v="0"/>
    <n v="0"/>
    <n v="140739.26405037296"/>
    <n v="0"/>
    <n v="0"/>
  </r>
  <r>
    <s v="Sistema de Compensação"/>
    <x v="0"/>
    <x v="1"/>
    <x v="2"/>
    <x v="0"/>
    <x v="1"/>
    <x v="1"/>
    <x v="1"/>
    <x v="8"/>
    <n v="282"/>
    <n v="282"/>
    <n v="0"/>
    <n v="0"/>
    <n v="0"/>
    <n v="0"/>
    <n v="1"/>
    <x v="1"/>
    <n v="0"/>
    <n v="9"/>
    <n v="0"/>
    <n v="0"/>
    <n v="33.97"/>
    <n v="0"/>
    <n v="0"/>
    <n v="44.835700557621209"/>
    <m/>
    <m/>
    <n v="9579.5399999999991"/>
    <n v="0"/>
    <n v="0"/>
    <n v="12643.66755724918"/>
    <n v="0"/>
    <n v="0"/>
  </r>
  <r>
    <s v="Regular"/>
    <x v="0"/>
    <x v="1"/>
    <x v="2"/>
    <x v="0"/>
    <x v="1"/>
    <x v="1"/>
    <x v="1"/>
    <x v="9"/>
    <n v="3130"/>
    <n v="3130"/>
    <n v="0"/>
    <n v="0"/>
    <n v="0"/>
    <n v="0"/>
    <n v="19"/>
    <x v="1"/>
    <n v="0"/>
    <n v="9"/>
    <n v="0"/>
    <n v="0"/>
    <n v="33.97"/>
    <n v="0"/>
    <n v="0"/>
    <n v="44.835700557621209"/>
    <m/>
    <m/>
    <n v="106326.09999999999"/>
    <n v="0"/>
    <n v="0"/>
    <n v="140335.74274535439"/>
    <n v="0"/>
    <n v="0"/>
  </r>
  <r>
    <s v="Sistema de Compensação"/>
    <x v="0"/>
    <x v="1"/>
    <x v="2"/>
    <x v="0"/>
    <x v="1"/>
    <x v="1"/>
    <x v="1"/>
    <x v="9"/>
    <n v="348"/>
    <n v="348"/>
    <n v="0"/>
    <n v="0"/>
    <n v="0"/>
    <n v="0"/>
    <n v="1"/>
    <x v="1"/>
    <n v="0"/>
    <n v="9"/>
    <n v="0"/>
    <n v="0"/>
    <n v="33.97"/>
    <n v="0"/>
    <n v="0"/>
    <n v="44.835700557621209"/>
    <m/>
    <m/>
    <n v="11821.56"/>
    <n v="0"/>
    <n v="0"/>
    <n v="15602.823794052181"/>
    <n v="0"/>
    <n v="0"/>
  </r>
  <r>
    <s v="Regular"/>
    <x v="0"/>
    <x v="1"/>
    <x v="2"/>
    <x v="0"/>
    <x v="1"/>
    <x v="1"/>
    <x v="1"/>
    <x v="10"/>
    <n v="3100"/>
    <n v="3100"/>
    <n v="0"/>
    <n v="0"/>
    <n v="0"/>
    <n v="0"/>
    <n v="19"/>
    <x v="1"/>
    <n v="0"/>
    <n v="9"/>
    <n v="0"/>
    <n v="0"/>
    <n v="33.97"/>
    <n v="0"/>
    <n v="0"/>
    <n v="44.835700557621209"/>
    <m/>
    <m/>
    <n v="105307"/>
    <n v="0"/>
    <n v="0"/>
    <n v="138990.67172862575"/>
    <n v="0"/>
    <n v="0"/>
  </r>
  <r>
    <s v="Sistema de Compensação"/>
    <x v="0"/>
    <x v="1"/>
    <x v="2"/>
    <x v="0"/>
    <x v="1"/>
    <x v="1"/>
    <x v="1"/>
    <x v="10"/>
    <n v="348"/>
    <n v="348"/>
    <n v="0"/>
    <n v="0"/>
    <n v="0"/>
    <n v="0"/>
    <n v="1"/>
    <x v="1"/>
    <n v="0"/>
    <n v="9"/>
    <n v="0"/>
    <n v="0"/>
    <n v="33.97"/>
    <n v="0"/>
    <n v="0"/>
    <n v="44.835700557621209"/>
    <m/>
    <m/>
    <n v="11821.56"/>
    <n v="0"/>
    <n v="0"/>
    <n v="15602.823794052181"/>
    <n v="0"/>
    <n v="0"/>
  </r>
  <r>
    <s v="Regular"/>
    <x v="0"/>
    <x v="1"/>
    <x v="2"/>
    <x v="0"/>
    <x v="1"/>
    <x v="1"/>
    <x v="1"/>
    <x v="11"/>
    <n v="3088"/>
    <n v="3088"/>
    <n v="0"/>
    <n v="0"/>
    <n v="0"/>
    <n v="0"/>
    <n v="18"/>
    <x v="1"/>
    <n v="0"/>
    <n v="9"/>
    <n v="0"/>
    <n v="0"/>
    <n v="33.97"/>
    <n v="0"/>
    <n v="0"/>
    <n v="44.835700557621209"/>
    <m/>
    <m/>
    <n v="104899.36"/>
    <n v="0"/>
    <n v="0"/>
    <n v="138452.6433219343"/>
    <n v="0"/>
    <n v="0"/>
  </r>
  <r>
    <s v="Sistema de Compensação"/>
    <x v="0"/>
    <x v="1"/>
    <x v="2"/>
    <x v="0"/>
    <x v="1"/>
    <x v="1"/>
    <x v="1"/>
    <x v="11"/>
    <n v="378"/>
    <n v="378"/>
    <n v="0"/>
    <n v="0"/>
    <n v="0"/>
    <n v="0"/>
    <n v="2"/>
    <x v="1"/>
    <n v="0"/>
    <n v="9"/>
    <n v="0"/>
    <n v="0"/>
    <n v="33.97"/>
    <n v="0"/>
    <n v="0"/>
    <n v="44.835700557621209"/>
    <m/>
    <m/>
    <n v="12840.66"/>
    <n v="0"/>
    <n v="0"/>
    <n v="16947.894810780817"/>
    <n v="0"/>
    <n v="0"/>
  </r>
  <r>
    <s v="Regular"/>
    <x v="0"/>
    <x v="1"/>
    <x v="2"/>
    <x v="0"/>
    <x v="1"/>
    <x v="1"/>
    <x v="2"/>
    <x v="0"/>
    <n v="0"/>
    <n v="0"/>
    <n v="12.768000000000001"/>
    <n v="12.768000000000001"/>
    <n v="12.768000000000001"/>
    <n v="12.768000000000001"/>
    <n v="0"/>
    <x v="1"/>
    <n v="0"/>
    <n v="0"/>
    <n v="10"/>
    <n v="51"/>
    <n v="0"/>
    <n v="1755.54"/>
    <n v="298.83999999999997"/>
    <m/>
    <n v="2161.4944324838229"/>
    <n v="311.4117891483653"/>
    <n v="0"/>
    <n v="22414.73472"/>
    <n v="3815.5891200000001"/>
    <n v="0"/>
    <n v="27597.960913953451"/>
    <n v="3976.1057238463286"/>
  </r>
  <r>
    <s v="Regular"/>
    <x v="0"/>
    <x v="1"/>
    <x v="2"/>
    <x v="0"/>
    <x v="1"/>
    <x v="1"/>
    <x v="2"/>
    <x v="1"/>
    <n v="0"/>
    <n v="0"/>
    <n v="10.007"/>
    <n v="10.007"/>
    <n v="10.007"/>
    <n v="10.007"/>
    <n v="0"/>
    <x v="1"/>
    <n v="0"/>
    <n v="0"/>
    <n v="10"/>
    <n v="51"/>
    <n v="0"/>
    <n v="1755.54"/>
    <n v="298.83999999999997"/>
    <m/>
    <n v="2161.4944324838229"/>
    <n v="311.4117891483653"/>
    <n v="0"/>
    <n v="17567.68878"/>
    <n v="2990.4918799999996"/>
    <n v="0"/>
    <n v="21630.074785865614"/>
    <n v="3116.2977740076913"/>
  </r>
  <r>
    <s v="Regular"/>
    <x v="0"/>
    <x v="1"/>
    <x v="2"/>
    <x v="0"/>
    <x v="1"/>
    <x v="1"/>
    <x v="2"/>
    <x v="2"/>
    <n v="0"/>
    <n v="0"/>
    <n v="10.247"/>
    <n v="10.247"/>
    <n v="10.247"/>
    <n v="10.247"/>
    <n v="0"/>
    <x v="1"/>
    <n v="0"/>
    <n v="0"/>
    <n v="10"/>
    <n v="51"/>
    <n v="0"/>
    <n v="1755.54"/>
    <n v="298.83999999999997"/>
    <m/>
    <n v="2161.4944324838229"/>
    <n v="311.4117891483653"/>
    <n v="0"/>
    <n v="17989.018379999998"/>
    <n v="3062.2134799999999"/>
    <n v="0"/>
    <n v="22148.833449661732"/>
    <n v="3191.0366034032991"/>
  </r>
  <r>
    <s v="Regular"/>
    <x v="0"/>
    <x v="1"/>
    <x v="2"/>
    <x v="0"/>
    <x v="1"/>
    <x v="1"/>
    <x v="2"/>
    <x v="3"/>
    <n v="0"/>
    <n v="0"/>
    <n v="8.77"/>
    <n v="8.77"/>
    <n v="8.77"/>
    <n v="8.77"/>
    <n v="0"/>
    <x v="1"/>
    <n v="0"/>
    <n v="0"/>
    <n v="10"/>
    <n v="51"/>
    <n v="0"/>
    <n v="1755.54"/>
    <n v="298.83999999999997"/>
    <m/>
    <n v="2161.4944324838229"/>
    <n v="311.4117891483653"/>
    <n v="0"/>
    <n v="15396.085799999999"/>
    <n v="2620.8267999999998"/>
    <n v="0"/>
    <n v="18956.306172883127"/>
    <n v="2731.0813908311634"/>
  </r>
  <r>
    <s v="Regular"/>
    <x v="0"/>
    <x v="1"/>
    <x v="2"/>
    <x v="0"/>
    <x v="1"/>
    <x v="1"/>
    <x v="2"/>
    <x v="4"/>
    <n v="0"/>
    <n v="0"/>
    <n v="10.711"/>
    <n v="10.711"/>
    <n v="10.711"/>
    <n v="10.711"/>
    <n v="0"/>
    <x v="1"/>
    <n v="0"/>
    <n v="0"/>
    <n v="10"/>
    <n v="51"/>
    <n v="0"/>
    <n v="1755.54"/>
    <n v="298.83999999999997"/>
    <m/>
    <n v="2161.4944324838229"/>
    <n v="311.4117891483653"/>
    <n v="0"/>
    <n v="18803.588940000001"/>
    <n v="3200.8752399999998"/>
    <n v="0"/>
    <n v="23151.766866334227"/>
    <n v="3335.5316735681408"/>
  </r>
  <r>
    <s v="Regular"/>
    <x v="0"/>
    <x v="1"/>
    <x v="2"/>
    <x v="0"/>
    <x v="1"/>
    <x v="1"/>
    <x v="2"/>
    <x v="5"/>
    <n v="0"/>
    <n v="0"/>
    <n v="11.702"/>
    <n v="11.702"/>
    <n v="11.702"/>
    <n v="11.702"/>
    <n v="0"/>
    <x v="1"/>
    <n v="0"/>
    <n v="0"/>
    <n v="10"/>
    <n v="51"/>
    <n v="0"/>
    <n v="1755.54"/>
    <n v="298.83999999999997"/>
    <m/>
    <n v="2161.4944324838229"/>
    <n v="311.4117891483653"/>
    <n v="0"/>
    <n v="20543.32908"/>
    <n v="3497.0256799999997"/>
    <n v="0"/>
    <n v="25293.807848925695"/>
    <n v="3644.1407566141706"/>
  </r>
  <r>
    <s v="Sistema de Compensação"/>
    <x v="0"/>
    <x v="1"/>
    <x v="2"/>
    <x v="0"/>
    <x v="1"/>
    <x v="1"/>
    <x v="2"/>
    <x v="5"/>
    <n v="0"/>
    <n v="0"/>
    <n v="5.7000000000000002E-2"/>
    <n v="5.7000000000000002E-2"/>
    <n v="5.7000000000000002E-2"/>
    <n v="5.7000000000000002E-2"/>
    <n v="0"/>
    <x v="1"/>
    <n v="0"/>
    <n v="0"/>
    <n v="10"/>
    <n v="51"/>
    <n v="0"/>
    <n v="1755.54"/>
    <n v="298.83999999999997"/>
    <m/>
    <n v="2161.4944324838229"/>
    <n v="311.4117891483653"/>
    <n v="0"/>
    <n v="100.06578"/>
    <n v="17.03388"/>
    <n v="0"/>
    <n v="123.20518265157791"/>
    <n v="17.750471981456823"/>
  </r>
  <r>
    <s v="Regular"/>
    <x v="0"/>
    <x v="1"/>
    <x v="2"/>
    <x v="0"/>
    <x v="1"/>
    <x v="1"/>
    <x v="2"/>
    <x v="6"/>
    <n v="0"/>
    <n v="0"/>
    <n v="10.856999999999999"/>
    <n v="10.856999999999999"/>
    <n v="10.856999999999999"/>
    <n v="10.856999999999999"/>
    <n v="0"/>
    <x v="1"/>
    <n v="0"/>
    <n v="0"/>
    <n v="10"/>
    <n v="51"/>
    <n v="0"/>
    <n v="1755.54"/>
    <n v="298.83999999999997"/>
    <m/>
    <n v="2161.4944324838229"/>
    <n v="311.4117891483653"/>
    <n v="0"/>
    <n v="19059.897779999999"/>
    <n v="3244.5058799999997"/>
    <n v="0"/>
    <n v="23467.345053476864"/>
    <n v="3380.997794783802"/>
  </r>
  <r>
    <s v="Regular"/>
    <x v="0"/>
    <x v="1"/>
    <x v="2"/>
    <x v="0"/>
    <x v="1"/>
    <x v="1"/>
    <x v="2"/>
    <x v="7"/>
    <n v="0"/>
    <n v="0"/>
    <n v="10.52"/>
    <n v="10.52"/>
    <n v="10.52"/>
    <n v="10.52"/>
    <n v="0"/>
    <x v="1"/>
    <n v="0"/>
    <n v="0"/>
    <n v="10"/>
    <n v="51"/>
    <n v="0"/>
    <n v="1755.54"/>
    <n v="298.83999999999997"/>
    <m/>
    <n v="2161.4944324838229"/>
    <n v="311.4117891483653"/>
    <n v="0"/>
    <n v="18468.2808"/>
    <n v="3143.7967999999996"/>
    <n v="0"/>
    <n v="22738.921429729817"/>
    <n v="3276.0520218408028"/>
  </r>
  <r>
    <s v="Sistema de Compensação"/>
    <x v="0"/>
    <x v="1"/>
    <x v="2"/>
    <x v="0"/>
    <x v="1"/>
    <x v="1"/>
    <x v="2"/>
    <x v="7"/>
    <n v="0"/>
    <n v="0"/>
    <n v="0.16200000000000001"/>
    <n v="0.16200000000000001"/>
    <n v="0.16200000000000001"/>
    <n v="0.16200000000000001"/>
    <n v="0"/>
    <x v="1"/>
    <n v="0"/>
    <n v="0"/>
    <n v="10"/>
    <n v="51"/>
    <n v="0"/>
    <n v="1755.54"/>
    <n v="298.83999999999997"/>
    <m/>
    <n v="2161.4944324838229"/>
    <n v="311.4117891483653"/>
    <n v="0"/>
    <n v="284.39748000000003"/>
    <n v="48.412079999999996"/>
    <n v="0"/>
    <n v="350.1620980623793"/>
    <n v="50.448709842035178"/>
  </r>
  <r>
    <s v="Regular"/>
    <x v="0"/>
    <x v="1"/>
    <x v="2"/>
    <x v="0"/>
    <x v="1"/>
    <x v="1"/>
    <x v="2"/>
    <x v="8"/>
    <n v="0"/>
    <n v="0"/>
    <n v="12.288"/>
    <n v="12.288"/>
    <n v="12.288"/>
    <n v="12.288"/>
    <n v="0"/>
    <x v="1"/>
    <n v="0"/>
    <n v="0"/>
    <n v="10"/>
    <n v="51"/>
    <n v="0"/>
    <n v="1755.54"/>
    <n v="298.83999999999997"/>
    <m/>
    <n v="2161.4944324838229"/>
    <n v="311.4117891483653"/>
    <n v="0"/>
    <n v="21572.075519999999"/>
    <n v="3672.1459199999999"/>
    <n v="0"/>
    <n v="26560.443586361216"/>
    <n v="3826.628065055113"/>
  </r>
  <r>
    <s v="Sistema de Compensação"/>
    <x v="0"/>
    <x v="1"/>
    <x v="2"/>
    <x v="0"/>
    <x v="1"/>
    <x v="1"/>
    <x v="2"/>
    <x v="8"/>
    <n v="0"/>
    <n v="0"/>
    <n v="1.0920000000000001"/>
    <n v="1.0920000000000001"/>
    <n v="1.0920000000000001"/>
    <n v="1.0920000000000001"/>
    <n v="0"/>
    <x v="1"/>
    <n v="0"/>
    <n v="0"/>
    <n v="10"/>
    <n v="51"/>
    <n v="0"/>
    <n v="1755.54"/>
    <n v="298.83999999999997"/>
    <m/>
    <n v="2161.4944324838229"/>
    <n v="311.4117891483653"/>
    <n v="0"/>
    <n v="1917.0496800000001"/>
    <n v="326.33328"/>
    <n v="0"/>
    <n v="2360.3519202723346"/>
    <n v="340.06167375001496"/>
  </r>
  <r>
    <s v="Regular"/>
    <x v="0"/>
    <x v="1"/>
    <x v="2"/>
    <x v="0"/>
    <x v="1"/>
    <x v="1"/>
    <x v="2"/>
    <x v="9"/>
    <n v="0"/>
    <n v="0"/>
    <n v="10.167"/>
    <n v="10.167"/>
    <n v="10.167"/>
    <n v="10.167"/>
    <n v="0"/>
    <x v="1"/>
    <n v="0"/>
    <n v="0"/>
    <n v="10"/>
    <n v="51"/>
    <n v="0"/>
    <n v="1755.54"/>
    <n v="298.83999999999997"/>
    <m/>
    <n v="2161.4944324838229"/>
    <n v="311.4117891483653"/>
    <n v="0"/>
    <n v="17848.57518"/>
    <n v="3038.3062799999998"/>
    <n v="0"/>
    <n v="21975.913895063026"/>
    <n v="3166.1236602714298"/>
  </r>
  <r>
    <s v="Sistema de Compensação"/>
    <x v="0"/>
    <x v="1"/>
    <x v="2"/>
    <x v="0"/>
    <x v="1"/>
    <x v="1"/>
    <x v="2"/>
    <x v="9"/>
    <n v="0"/>
    <n v="0"/>
    <n v="1.2410000000000001"/>
    <n v="1.2410000000000001"/>
    <n v="1.2410000000000001"/>
    <n v="1.2410000000000001"/>
    <n v="0"/>
    <x v="1"/>
    <n v="0"/>
    <n v="0"/>
    <n v="10"/>
    <n v="51"/>
    <n v="0"/>
    <n v="1755.54"/>
    <n v="298.83999999999997"/>
    <m/>
    <n v="2161.4944324838229"/>
    <n v="311.4117891483653"/>
    <n v="0"/>
    <n v="2178.6251400000001"/>
    <n v="370.86043999999998"/>
    <n v="0"/>
    <n v="2682.4145907124243"/>
    <n v="386.46203033312139"/>
  </r>
  <r>
    <s v="Regular"/>
    <x v="0"/>
    <x v="1"/>
    <x v="2"/>
    <x v="0"/>
    <x v="1"/>
    <x v="1"/>
    <x v="2"/>
    <x v="10"/>
    <n v="0"/>
    <n v="0"/>
    <n v="12.448"/>
    <n v="12.448"/>
    <n v="12.448"/>
    <n v="12.448"/>
    <n v="0"/>
    <x v="1"/>
    <n v="0"/>
    <n v="0"/>
    <n v="10"/>
    <n v="51"/>
    <n v="0"/>
    <n v="1755.54"/>
    <n v="298.83999999999997"/>
    <m/>
    <n v="2161.4944324838229"/>
    <n v="311.4117891483653"/>
    <n v="0"/>
    <n v="21852.961920000002"/>
    <n v="3719.9603199999997"/>
    <n v="0"/>
    <n v="26906.282695558628"/>
    <n v="3876.4539513188515"/>
  </r>
  <r>
    <s v="Sistema de Compensação"/>
    <x v="0"/>
    <x v="1"/>
    <x v="2"/>
    <x v="0"/>
    <x v="1"/>
    <x v="1"/>
    <x v="2"/>
    <x v="10"/>
    <n v="0"/>
    <n v="0"/>
    <n v="0.84899999999999998"/>
    <n v="0.84899999999999998"/>
    <n v="0.84899999999999998"/>
    <n v="0.84899999999999998"/>
    <n v="0"/>
    <x v="1"/>
    <n v="0"/>
    <n v="0"/>
    <n v="10"/>
    <n v="51"/>
    <n v="0"/>
    <n v="1755.54"/>
    <n v="298.83999999999997"/>
    <m/>
    <n v="2161.4944324838229"/>
    <n v="311.4117891483653"/>
    <n v="0"/>
    <n v="1490.45346"/>
    <n v="253.71515999999997"/>
    <n v="0"/>
    <n v="1835.1087731787657"/>
    <n v="264.38860898696214"/>
  </r>
  <r>
    <s v="Regular"/>
    <x v="0"/>
    <x v="1"/>
    <x v="2"/>
    <x v="0"/>
    <x v="1"/>
    <x v="1"/>
    <x v="2"/>
    <x v="11"/>
    <n v="0"/>
    <n v="0"/>
    <n v="11.606999999999999"/>
    <n v="11.606999999999999"/>
    <n v="11.606999999999999"/>
    <n v="11.606999999999999"/>
    <n v="0"/>
    <x v="1"/>
    <n v="0"/>
    <n v="0"/>
    <n v="10"/>
    <n v="51"/>
    <n v="0"/>
    <n v="1755.54"/>
    <n v="298.83999999999997"/>
    <m/>
    <n v="2161.4944324838229"/>
    <n v="311.4117891483653"/>
    <n v="0"/>
    <n v="20376.552779999998"/>
    <n v="3468.6358799999994"/>
    <n v="0"/>
    <n v="25088.465877839732"/>
    <n v="3614.5566366450757"/>
  </r>
  <r>
    <s v="Sistema de Compensação"/>
    <x v="0"/>
    <x v="1"/>
    <x v="2"/>
    <x v="0"/>
    <x v="1"/>
    <x v="1"/>
    <x v="2"/>
    <x v="11"/>
    <n v="0"/>
    <n v="0"/>
    <n v="0.255"/>
    <n v="0.255"/>
    <n v="0.255"/>
    <n v="0.255"/>
    <n v="0"/>
    <x v="1"/>
    <n v="0"/>
    <n v="0"/>
    <n v="10"/>
    <n v="51"/>
    <n v="0"/>
    <n v="1755.54"/>
    <n v="298.83999999999997"/>
    <m/>
    <n v="2161.4944324838229"/>
    <n v="311.4117891483653"/>
    <n v="0"/>
    <n v="447.66269999999997"/>
    <n v="76.2042"/>
    <n v="0"/>
    <n v="551.18108028337485"/>
    <n v="79.410006232833155"/>
  </r>
  <r>
    <s v="Regular"/>
    <x v="0"/>
    <x v="1"/>
    <x v="3"/>
    <x v="0"/>
    <x v="1"/>
    <x v="1"/>
    <x v="0"/>
    <x v="0"/>
    <n v="0"/>
    <n v="0"/>
    <n v="8.4309999999999992"/>
    <n v="8.4309999999999992"/>
    <n v="8.4309999999999992"/>
    <n v="8.4309999999999992"/>
    <n v="0"/>
    <x v="1"/>
    <n v="0"/>
    <n v="0"/>
    <n v="11"/>
    <n v="52"/>
    <n v="0"/>
    <n v="90.54"/>
    <n v="189.96"/>
    <m/>
    <n v="116.01030172172926"/>
    <n v="195.89707226799715"/>
    <n v="0"/>
    <n v="763.34273999999994"/>
    <n v="1601.5527599999998"/>
    <n v="0"/>
    <n v="978.08285381589928"/>
    <n v="1651.6082162914838"/>
  </r>
  <r>
    <s v="Regular"/>
    <x v="0"/>
    <x v="1"/>
    <x v="3"/>
    <x v="0"/>
    <x v="1"/>
    <x v="1"/>
    <x v="0"/>
    <x v="1"/>
    <n v="0"/>
    <n v="0"/>
    <n v="8.1370000000000005"/>
    <n v="8.1370000000000005"/>
    <n v="8.1370000000000005"/>
    <n v="8.1370000000000005"/>
    <n v="0"/>
    <x v="1"/>
    <n v="0"/>
    <n v="0"/>
    <n v="11"/>
    <n v="52"/>
    <n v="0"/>
    <n v="90.54"/>
    <n v="189.96"/>
    <m/>
    <n v="116.01030172172926"/>
    <n v="195.89707226799715"/>
    <n v="0"/>
    <n v="736.7239800000001"/>
    <n v="1545.7045200000002"/>
    <n v="0"/>
    <n v="943.97582510971108"/>
    <n v="1594.014477044693"/>
  </r>
  <r>
    <s v="Regular"/>
    <x v="0"/>
    <x v="1"/>
    <x v="3"/>
    <x v="0"/>
    <x v="1"/>
    <x v="1"/>
    <x v="0"/>
    <x v="2"/>
    <n v="0"/>
    <n v="0"/>
    <n v="7.1059999999999999"/>
    <n v="7.1059999999999999"/>
    <n v="7.1059999999999999"/>
    <n v="7.1059999999999999"/>
    <n v="0"/>
    <x v="1"/>
    <n v="0"/>
    <n v="0"/>
    <n v="11"/>
    <n v="52"/>
    <n v="0"/>
    <n v="90.54"/>
    <n v="189.96"/>
    <m/>
    <n v="116.01030172172926"/>
    <n v="195.89707226799715"/>
    <n v="0"/>
    <n v="643.37724000000003"/>
    <n v="1349.8557600000001"/>
    <n v="0"/>
    <n v="824.36920403460817"/>
    <n v="1392.0445955363878"/>
  </r>
  <r>
    <s v="Regular"/>
    <x v="0"/>
    <x v="1"/>
    <x v="3"/>
    <x v="0"/>
    <x v="1"/>
    <x v="1"/>
    <x v="0"/>
    <x v="3"/>
    <n v="0"/>
    <n v="0"/>
    <n v="7.2560000000000002"/>
    <n v="7.2560000000000002"/>
    <n v="7.2560000000000002"/>
    <n v="7.2560000000000002"/>
    <n v="0"/>
    <x v="1"/>
    <n v="0"/>
    <n v="0"/>
    <n v="11"/>
    <n v="52"/>
    <n v="0"/>
    <n v="90.54"/>
    <n v="189.96"/>
    <m/>
    <n v="116.01030172172926"/>
    <n v="195.89707226799715"/>
    <n v="0"/>
    <n v="656.95824000000005"/>
    <n v="1378.3497600000001"/>
    <n v="0"/>
    <n v="841.77074929286755"/>
    <n v="1421.4291563765873"/>
  </r>
  <r>
    <s v="Regular"/>
    <x v="0"/>
    <x v="1"/>
    <x v="3"/>
    <x v="0"/>
    <x v="1"/>
    <x v="1"/>
    <x v="0"/>
    <x v="4"/>
    <n v="0"/>
    <n v="0"/>
    <n v="8.3689999999999998"/>
    <n v="8.3689999999999998"/>
    <n v="8.3689999999999998"/>
    <n v="8.3689999999999998"/>
    <n v="0"/>
    <x v="1"/>
    <n v="0"/>
    <n v="0"/>
    <n v="11"/>
    <n v="52"/>
    <n v="0"/>
    <n v="90.54"/>
    <n v="189.96"/>
    <m/>
    <n v="116.01030172172926"/>
    <n v="195.89707226799715"/>
    <n v="0"/>
    <n v="757.72926000000007"/>
    <n v="1589.7752399999999"/>
    <n v="0"/>
    <n v="970.89021510915222"/>
    <n v="1639.4625978108681"/>
  </r>
  <r>
    <s v="Regular"/>
    <x v="0"/>
    <x v="1"/>
    <x v="3"/>
    <x v="0"/>
    <x v="1"/>
    <x v="1"/>
    <x v="0"/>
    <x v="5"/>
    <n v="0"/>
    <n v="0"/>
    <n v="8.6419999999999995"/>
    <n v="8.6419999999999995"/>
    <n v="8.6419999999999995"/>
    <n v="8.6419999999999995"/>
    <n v="0"/>
    <x v="1"/>
    <n v="0"/>
    <n v="0"/>
    <n v="11"/>
    <n v="52"/>
    <n v="0"/>
    <n v="90.54"/>
    <n v="189.96"/>
    <m/>
    <n v="116.01030172172926"/>
    <n v="195.89707226799715"/>
    <n v="0"/>
    <n v="782.44668000000001"/>
    <n v="1641.6343199999999"/>
    <n v="0"/>
    <n v="1002.5610274791842"/>
    <n v="1692.9424985400312"/>
  </r>
  <r>
    <s v="Regular"/>
    <x v="0"/>
    <x v="1"/>
    <x v="3"/>
    <x v="0"/>
    <x v="1"/>
    <x v="1"/>
    <x v="0"/>
    <x v="6"/>
    <n v="0"/>
    <n v="0"/>
    <n v="10.266999999999999"/>
    <n v="10.266999999999999"/>
    <n v="10.266999999999999"/>
    <n v="10.266999999999999"/>
    <n v="0"/>
    <x v="1"/>
    <n v="0"/>
    <n v="0"/>
    <n v="11"/>
    <n v="52"/>
    <n v="0"/>
    <n v="90.54"/>
    <n v="189.96"/>
    <m/>
    <n v="116.01030172172926"/>
    <n v="195.89707226799715"/>
    <n v="0"/>
    <n v="929.57418000000007"/>
    <n v="1950.3193200000001"/>
    <n v="0"/>
    <n v="1191.0777677769943"/>
    <n v="2011.2752409755267"/>
  </r>
  <r>
    <s v="Regular"/>
    <x v="0"/>
    <x v="1"/>
    <x v="3"/>
    <x v="0"/>
    <x v="1"/>
    <x v="1"/>
    <x v="0"/>
    <x v="7"/>
    <n v="0"/>
    <n v="0"/>
    <n v="9.8369999999999997"/>
    <n v="9.8369999999999997"/>
    <n v="9.8369999999999997"/>
    <n v="9.8369999999999997"/>
    <n v="0"/>
    <x v="1"/>
    <n v="0"/>
    <n v="0"/>
    <n v="11"/>
    <n v="52"/>
    <n v="0"/>
    <n v="90.54"/>
    <n v="189.96"/>
    <m/>
    <n v="116.01030172172926"/>
    <n v="195.89707226799715"/>
    <n v="0"/>
    <n v="890.64197999999999"/>
    <n v="1868.63652"/>
    <n v="0"/>
    <n v="1141.1933380366506"/>
    <n v="1927.0394999002879"/>
  </r>
  <r>
    <s v="Regular"/>
    <x v="0"/>
    <x v="1"/>
    <x v="3"/>
    <x v="0"/>
    <x v="1"/>
    <x v="1"/>
    <x v="0"/>
    <x v="8"/>
    <n v="0"/>
    <n v="0"/>
    <n v="10.686999999999999"/>
    <n v="10.686999999999999"/>
    <n v="10.686999999999999"/>
    <n v="10.686999999999999"/>
    <n v="0"/>
    <x v="1"/>
    <n v="0"/>
    <n v="0"/>
    <n v="11"/>
    <n v="52"/>
    <n v="0"/>
    <n v="90.54"/>
    <n v="189.96"/>
    <m/>
    <n v="116.01030172172926"/>
    <n v="195.89707226799715"/>
    <n v="0"/>
    <n v="967.60098000000005"/>
    <n v="2030.1025199999999"/>
    <n v="0"/>
    <n v="1239.8020945001206"/>
    <n v="2093.5520113280854"/>
  </r>
  <r>
    <s v="Regular"/>
    <x v="0"/>
    <x v="1"/>
    <x v="3"/>
    <x v="0"/>
    <x v="1"/>
    <x v="1"/>
    <x v="0"/>
    <x v="9"/>
    <n v="0"/>
    <n v="0"/>
    <n v="7.8630000000000004"/>
    <n v="7.8630000000000004"/>
    <n v="7.8630000000000004"/>
    <n v="7.8630000000000004"/>
    <n v="0"/>
    <x v="1"/>
    <n v="0"/>
    <n v="0"/>
    <n v="11"/>
    <n v="52"/>
    <n v="0"/>
    <n v="90.54"/>
    <n v="189.96"/>
    <m/>
    <n v="116.01030172172926"/>
    <n v="195.89707226799715"/>
    <n v="0"/>
    <n v="711.91602000000012"/>
    <n v="1493.6554800000001"/>
    <n v="0"/>
    <n v="912.18900243795724"/>
    <n v="1540.3386792432616"/>
  </r>
  <r>
    <s v="Regular"/>
    <x v="0"/>
    <x v="1"/>
    <x v="3"/>
    <x v="0"/>
    <x v="1"/>
    <x v="1"/>
    <x v="0"/>
    <x v="10"/>
    <n v="0"/>
    <n v="0"/>
    <n v="9.3170000000000002"/>
    <n v="9.3170000000000002"/>
    <n v="9.3170000000000002"/>
    <n v="9.3170000000000002"/>
    <n v="0"/>
    <x v="1"/>
    <n v="0"/>
    <n v="0"/>
    <n v="11"/>
    <n v="52"/>
    <n v="0"/>
    <n v="90.54"/>
    <n v="189.96"/>
    <m/>
    <n v="116.01030172172926"/>
    <n v="195.89707226799715"/>
    <n v="0"/>
    <n v="843.56118000000004"/>
    <n v="1769.8573200000001"/>
    <n v="0"/>
    <n v="1080.8679811413515"/>
    <n v="1825.1730223209295"/>
  </r>
  <r>
    <s v="Regular"/>
    <x v="0"/>
    <x v="1"/>
    <x v="3"/>
    <x v="0"/>
    <x v="1"/>
    <x v="1"/>
    <x v="0"/>
    <x v="11"/>
    <n v="0"/>
    <n v="0"/>
    <n v="10.135999999999999"/>
    <n v="10.135999999999999"/>
    <n v="10.135999999999999"/>
    <n v="10.135999999999999"/>
    <n v="0"/>
    <x v="1"/>
    <n v="0"/>
    <n v="0"/>
    <n v="11"/>
    <n v="52"/>
    <n v="0"/>
    <n v="90.54"/>
    <n v="189.96"/>
    <m/>
    <n v="116.01030172172926"/>
    <n v="195.89707226799715"/>
    <n v="0"/>
    <n v="917.71343999999999"/>
    <n v="1925.4345599999999"/>
    <n v="0"/>
    <n v="1175.8804182514477"/>
    <n v="1985.612724508419"/>
  </r>
  <r>
    <s v="Regular"/>
    <x v="0"/>
    <x v="1"/>
    <x v="3"/>
    <x v="0"/>
    <x v="1"/>
    <x v="1"/>
    <x v="1"/>
    <x v="0"/>
    <n v="133"/>
    <n v="133"/>
    <n v="0"/>
    <n v="0"/>
    <n v="0"/>
    <n v="0"/>
    <n v="4"/>
    <x v="1"/>
    <n v="0"/>
    <n v="9"/>
    <n v="0"/>
    <n v="0"/>
    <n v="33.97"/>
    <n v="0"/>
    <n v="0"/>
    <n v="44.835700557621209"/>
    <m/>
    <m/>
    <n v="4518.01"/>
    <n v="0"/>
    <n v="0"/>
    <n v="5963.1481741636208"/>
    <n v="0"/>
    <n v="0"/>
  </r>
  <r>
    <s v="Regular"/>
    <x v="0"/>
    <x v="1"/>
    <x v="3"/>
    <x v="0"/>
    <x v="1"/>
    <x v="1"/>
    <x v="1"/>
    <x v="1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2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3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4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5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6"/>
    <n v="138"/>
    <n v="138"/>
    <n v="0"/>
    <n v="0"/>
    <n v="0"/>
    <n v="0"/>
    <n v="4"/>
    <x v="1"/>
    <n v="0"/>
    <n v="9"/>
    <n v="0"/>
    <n v="0"/>
    <n v="33.97"/>
    <n v="0"/>
    <n v="0"/>
    <n v="44.835700557621209"/>
    <m/>
    <m/>
    <n v="4687.8599999999997"/>
    <n v="0"/>
    <n v="0"/>
    <n v="6187.3266769517268"/>
    <n v="0"/>
    <n v="0"/>
  </r>
  <r>
    <s v="Regular"/>
    <x v="0"/>
    <x v="1"/>
    <x v="3"/>
    <x v="0"/>
    <x v="1"/>
    <x v="1"/>
    <x v="1"/>
    <x v="7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8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9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10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1"/>
    <x v="11"/>
    <n v="130"/>
    <n v="130"/>
    <n v="0"/>
    <n v="0"/>
    <n v="0"/>
    <n v="0"/>
    <n v="4"/>
    <x v="1"/>
    <n v="0"/>
    <n v="9"/>
    <n v="0"/>
    <n v="0"/>
    <n v="33.97"/>
    <n v="0"/>
    <n v="0"/>
    <n v="44.835700557621209"/>
    <m/>
    <m/>
    <n v="4416.0999999999995"/>
    <n v="0"/>
    <n v="0"/>
    <n v="5828.6410724907573"/>
    <n v="0"/>
    <n v="0"/>
  </r>
  <r>
    <s v="Regular"/>
    <x v="0"/>
    <x v="1"/>
    <x v="3"/>
    <x v="0"/>
    <x v="1"/>
    <x v="1"/>
    <x v="2"/>
    <x v="0"/>
    <n v="0"/>
    <n v="0"/>
    <n v="0.82199999999999995"/>
    <n v="0.82199999999999995"/>
    <n v="0.82199999999999995"/>
    <n v="0.82199999999999995"/>
    <n v="0"/>
    <x v="1"/>
    <n v="0"/>
    <n v="0"/>
    <n v="10"/>
    <n v="51"/>
    <n v="0"/>
    <n v="1755.54"/>
    <n v="298.83999999999997"/>
    <m/>
    <n v="2161.4944324838229"/>
    <n v="311.4117891483653"/>
    <n v="0"/>
    <n v="1443.0538799999999"/>
    <n v="245.64647999999997"/>
    <n v="0"/>
    <n v="1776.7484235017023"/>
    <n v="255.98049067995626"/>
  </r>
  <r>
    <s v="Regular"/>
    <x v="0"/>
    <x v="1"/>
    <x v="3"/>
    <x v="0"/>
    <x v="1"/>
    <x v="1"/>
    <x v="2"/>
    <x v="1"/>
    <n v="0"/>
    <n v="0"/>
    <n v="0.78800000000000003"/>
    <n v="0.78800000000000003"/>
    <n v="0.78800000000000003"/>
    <n v="0.78800000000000003"/>
    <n v="0"/>
    <x v="1"/>
    <n v="0"/>
    <n v="0"/>
    <n v="10"/>
    <n v="51"/>
    <n v="0"/>
    <n v="1755.54"/>
    <n v="298.83999999999997"/>
    <m/>
    <n v="2161.4944324838229"/>
    <n v="311.4117891483653"/>
    <n v="0"/>
    <n v="1383.3655200000001"/>
    <n v="235.48591999999999"/>
    <n v="0"/>
    <n v="1703.2576127972525"/>
    <n v="245.39248984891188"/>
  </r>
  <r>
    <s v="Regular"/>
    <x v="0"/>
    <x v="1"/>
    <x v="3"/>
    <x v="0"/>
    <x v="1"/>
    <x v="1"/>
    <x v="2"/>
    <x v="2"/>
    <n v="0"/>
    <n v="0"/>
    <n v="0.69499999999999995"/>
    <n v="0.69499999999999995"/>
    <n v="0.69499999999999995"/>
    <n v="0.69499999999999995"/>
    <n v="0"/>
    <x v="1"/>
    <n v="0"/>
    <n v="0"/>
    <n v="10"/>
    <n v="51"/>
    <n v="0"/>
    <n v="1755.54"/>
    <n v="298.83999999999997"/>
    <m/>
    <n v="2161.4944324838229"/>
    <n v="311.4117891483653"/>
    <n v="0"/>
    <n v="1220.1002999999998"/>
    <n v="207.69379999999998"/>
    <n v="0"/>
    <n v="1502.2386305762568"/>
    <n v="216.43119345811388"/>
  </r>
  <r>
    <s v="Regular"/>
    <x v="0"/>
    <x v="1"/>
    <x v="3"/>
    <x v="0"/>
    <x v="1"/>
    <x v="1"/>
    <x v="2"/>
    <x v="3"/>
    <n v="0"/>
    <n v="0"/>
    <n v="0.625"/>
    <n v="0.625"/>
    <n v="0.625"/>
    <n v="0.625"/>
    <n v="0"/>
    <x v="1"/>
    <n v="0"/>
    <n v="0"/>
    <n v="10"/>
    <n v="51"/>
    <n v="0"/>
    <n v="1755.54"/>
    <n v="298.83999999999997"/>
    <m/>
    <n v="2161.4944324838229"/>
    <n v="311.4117891483653"/>
    <n v="0"/>
    <n v="1097.2125000000001"/>
    <n v="186.77499999999998"/>
    <n v="0"/>
    <n v="1350.9340203023894"/>
    <n v="194.6323682177283"/>
  </r>
  <r>
    <s v="Regular"/>
    <x v="0"/>
    <x v="1"/>
    <x v="3"/>
    <x v="0"/>
    <x v="1"/>
    <x v="1"/>
    <x v="2"/>
    <x v="4"/>
    <n v="0"/>
    <n v="0"/>
    <n v="0.66100000000000003"/>
    <n v="0.66100000000000003"/>
    <n v="0.66100000000000003"/>
    <n v="0.66100000000000003"/>
    <n v="0"/>
    <x v="1"/>
    <n v="0"/>
    <n v="0"/>
    <n v="10"/>
    <n v="51"/>
    <n v="0"/>
    <n v="1755.54"/>
    <n v="298.83999999999997"/>
    <m/>
    <n v="2161.4944324838229"/>
    <n v="311.4117891483653"/>
    <n v="0"/>
    <n v="1160.41194"/>
    <n v="197.53324000000001"/>
    <n v="0"/>
    <n v="1428.747819871807"/>
    <n v="205.84319262706947"/>
  </r>
  <r>
    <s v="Regular"/>
    <x v="0"/>
    <x v="1"/>
    <x v="3"/>
    <x v="0"/>
    <x v="1"/>
    <x v="1"/>
    <x v="2"/>
    <x v="5"/>
    <n v="0"/>
    <n v="0"/>
    <n v="0.71899999999999997"/>
    <n v="0.71899999999999997"/>
    <n v="0.71899999999999997"/>
    <n v="0.71899999999999997"/>
    <n v="0"/>
    <x v="1"/>
    <n v="0"/>
    <n v="0"/>
    <n v="10"/>
    <n v="51"/>
    <n v="0"/>
    <n v="1755.54"/>
    <n v="298.83999999999997"/>
    <m/>
    <n v="2161.4944324838229"/>
    <n v="311.4117891483653"/>
    <n v="0"/>
    <n v="1262.23326"/>
    <n v="214.86595999999997"/>
    <n v="0"/>
    <n v="1554.1144969558686"/>
    <n v="223.90507639767463"/>
  </r>
  <r>
    <s v="Regular"/>
    <x v="0"/>
    <x v="1"/>
    <x v="3"/>
    <x v="0"/>
    <x v="1"/>
    <x v="1"/>
    <x v="2"/>
    <x v="6"/>
    <n v="0"/>
    <n v="0"/>
    <n v="0.84599999999999997"/>
    <n v="0.84599999999999997"/>
    <n v="0.84599999999999997"/>
    <n v="0.84599999999999997"/>
    <n v="0"/>
    <x v="1"/>
    <n v="0"/>
    <n v="0"/>
    <n v="10"/>
    <n v="51"/>
    <n v="0"/>
    <n v="1755.54"/>
    <n v="298.83999999999997"/>
    <m/>
    <n v="2161.4944324838229"/>
    <n v="311.4117891483653"/>
    <n v="0"/>
    <n v="1485.1868399999998"/>
    <n v="252.81863999999996"/>
    <n v="0"/>
    <n v="1828.6242898813141"/>
    <n v="263.45437361951701"/>
  </r>
  <r>
    <s v="Regular"/>
    <x v="0"/>
    <x v="1"/>
    <x v="3"/>
    <x v="0"/>
    <x v="1"/>
    <x v="1"/>
    <x v="2"/>
    <x v="7"/>
    <n v="0"/>
    <n v="0"/>
    <n v="0.86299999999999999"/>
    <n v="0.86299999999999999"/>
    <n v="0.86299999999999999"/>
    <n v="0.86299999999999999"/>
    <n v="0"/>
    <x v="1"/>
    <n v="0"/>
    <n v="0"/>
    <n v="10"/>
    <n v="51"/>
    <n v="0"/>
    <n v="1755.54"/>
    <n v="298.83999999999997"/>
    <m/>
    <n v="2161.4944324838229"/>
    <n v="311.4117891483653"/>
    <n v="0"/>
    <n v="1515.0310199999999"/>
    <n v="257.89891999999998"/>
    <n v="0"/>
    <n v="1865.3696952335392"/>
    <n v="268.74837403503926"/>
  </r>
  <r>
    <s v="Regular"/>
    <x v="0"/>
    <x v="1"/>
    <x v="3"/>
    <x v="0"/>
    <x v="1"/>
    <x v="1"/>
    <x v="2"/>
    <x v="8"/>
    <n v="0"/>
    <n v="0"/>
    <n v="0.94699999999999995"/>
    <n v="0.94699999999999995"/>
    <n v="0.94699999999999995"/>
    <n v="0.94699999999999995"/>
    <n v="0"/>
    <x v="1"/>
    <n v="0"/>
    <n v="0"/>
    <n v="10"/>
    <n v="51"/>
    <n v="0"/>
    <n v="1755.54"/>
    <n v="298.83999999999997"/>
    <m/>
    <n v="2161.4944324838229"/>
    <n v="311.4117891483653"/>
    <n v="0"/>
    <n v="1662.4963799999998"/>
    <n v="283.00147999999996"/>
    <n v="0"/>
    <n v="2046.9352275621802"/>
    <n v="294.90696432350194"/>
  </r>
  <r>
    <s v="Regular"/>
    <x v="0"/>
    <x v="1"/>
    <x v="3"/>
    <x v="0"/>
    <x v="1"/>
    <x v="1"/>
    <x v="2"/>
    <x v="9"/>
    <n v="0"/>
    <n v="0"/>
    <n v="0.76200000000000001"/>
    <n v="0.76200000000000001"/>
    <n v="0.76200000000000001"/>
    <n v="0.76200000000000001"/>
    <n v="0"/>
    <x v="1"/>
    <n v="0"/>
    <n v="0"/>
    <n v="10"/>
    <n v="51"/>
    <n v="0"/>
    <n v="1755.54"/>
    <n v="298.83999999999997"/>
    <m/>
    <n v="2161.4944324838229"/>
    <n v="311.4117891483653"/>
    <n v="0"/>
    <n v="1337.7214799999999"/>
    <n v="227.71607999999998"/>
    <n v="0"/>
    <n v="1647.0587575526731"/>
    <n v="237.29578333105437"/>
  </r>
  <r>
    <s v="Regular"/>
    <x v="0"/>
    <x v="1"/>
    <x v="3"/>
    <x v="0"/>
    <x v="1"/>
    <x v="1"/>
    <x v="2"/>
    <x v="10"/>
    <n v="0"/>
    <n v="0"/>
    <n v="1.0860000000000001"/>
    <n v="1.0860000000000001"/>
    <n v="1.0860000000000001"/>
    <n v="1.0860000000000001"/>
    <n v="0"/>
    <x v="1"/>
    <n v="0"/>
    <n v="0"/>
    <n v="10"/>
    <n v="51"/>
    <n v="0"/>
    <n v="1755.54"/>
    <n v="298.83999999999997"/>
    <m/>
    <n v="2161.4944324838229"/>
    <n v="311.4117891483653"/>
    <n v="0"/>
    <n v="1906.5164400000001"/>
    <n v="324.54023999999998"/>
    <n v="0"/>
    <n v="2347.3829536774319"/>
    <n v="338.19320301512477"/>
  </r>
  <r>
    <s v="Regular"/>
    <x v="0"/>
    <x v="1"/>
    <x v="3"/>
    <x v="0"/>
    <x v="1"/>
    <x v="1"/>
    <x v="2"/>
    <x v="11"/>
    <n v="0"/>
    <n v="0"/>
    <n v="1.032"/>
    <n v="1.032"/>
    <n v="1.032"/>
    <n v="1.032"/>
    <n v="0"/>
    <x v="1"/>
    <n v="0"/>
    <n v="0"/>
    <n v="10"/>
    <n v="51"/>
    <n v="0"/>
    <n v="1755.54"/>
    <n v="298.83999999999997"/>
    <m/>
    <n v="2161.4944324838229"/>
    <n v="311.4117891483653"/>
    <n v="0"/>
    <n v="1811.7172800000001"/>
    <n v="308.40287999999998"/>
    <n v="0"/>
    <n v="2230.6622543233052"/>
    <n v="321.37696640111301"/>
  </r>
  <r>
    <s v="Regular"/>
    <x v="0"/>
    <x v="1"/>
    <x v="4"/>
    <x v="0"/>
    <x v="1"/>
    <x v="1"/>
    <x v="0"/>
    <x v="0"/>
    <n v="0"/>
    <n v="0"/>
    <n v="8.7330000000000005"/>
    <n v="8.38368"/>
    <n v="8.7330000000000005"/>
    <n v="8.38368"/>
    <n v="0"/>
    <x v="1"/>
    <n v="0"/>
    <n v="0"/>
    <n v="11"/>
    <n v="52"/>
    <n v="0"/>
    <n v="90.54"/>
    <n v="189.96"/>
    <m/>
    <n v="116.01030172172926"/>
    <n v="195.89707226799715"/>
    <n v="0"/>
    <n v="759.05838720000008"/>
    <n v="1592.5638528000002"/>
    <n v="0"/>
    <n v="972.59324633842721"/>
    <n v="1642.3383668317624"/>
  </r>
  <r>
    <s v="Regular"/>
    <x v="0"/>
    <x v="1"/>
    <x v="4"/>
    <x v="0"/>
    <x v="1"/>
    <x v="1"/>
    <x v="0"/>
    <x v="1"/>
    <n v="0"/>
    <n v="0"/>
    <n v="2.7029999999999998"/>
    <n v="2.5948799999999999"/>
    <n v="2.7029999999999998"/>
    <n v="2.5948799999999999"/>
    <n v="0"/>
    <x v="1"/>
    <n v="0"/>
    <n v="0"/>
    <n v="11"/>
    <n v="52"/>
    <n v="0"/>
    <n v="90.54"/>
    <n v="189.96"/>
    <m/>
    <n v="116.01030172172926"/>
    <n v="195.89707226799715"/>
    <n v="0"/>
    <n v="234.9404352"/>
    <n v="492.92340480000001"/>
    <n v="0"/>
    <n v="301.03281173168079"/>
    <n v="508.32939488678039"/>
  </r>
  <r>
    <s v="Regular"/>
    <x v="0"/>
    <x v="1"/>
    <x v="4"/>
    <x v="0"/>
    <x v="1"/>
    <x v="1"/>
    <x v="0"/>
    <x v="2"/>
    <n v="0"/>
    <n v="0"/>
    <n v="3.448"/>
    <n v="3.3100799999999997"/>
    <n v="3.448"/>
    <n v="3.3100799999999997"/>
    <n v="0"/>
    <x v="1"/>
    <n v="0"/>
    <n v="0"/>
    <n v="11"/>
    <n v="52"/>
    <n v="0"/>
    <n v="90.54"/>
    <n v="189.96"/>
    <m/>
    <n v="116.01030172172926"/>
    <n v="195.89707226799715"/>
    <n v="0"/>
    <n v="299.69464319999997"/>
    <n v="628.78279679999991"/>
    <n v="0"/>
    <n v="384.00337952306154"/>
    <n v="648.43498097285192"/>
  </r>
  <r>
    <s v="Regular"/>
    <x v="0"/>
    <x v="1"/>
    <x v="4"/>
    <x v="0"/>
    <x v="1"/>
    <x v="1"/>
    <x v="0"/>
    <x v="3"/>
    <n v="0"/>
    <n v="0"/>
    <n v="4.165"/>
    <n v="3.9983999999999997"/>
    <n v="4.165"/>
    <n v="3.9983999999999997"/>
    <n v="0"/>
    <x v="1"/>
    <n v="0"/>
    <n v="0"/>
    <n v="11"/>
    <n v="52"/>
    <n v="0"/>
    <n v="90.54"/>
    <n v="189.96"/>
    <m/>
    <n v="116.01030172172926"/>
    <n v="195.89707226799715"/>
    <n v="0"/>
    <n v="362.01513599999998"/>
    <n v="759.53606400000001"/>
    <n v="0"/>
    <n v="463.85559040416223"/>
    <n v="783.27485375635979"/>
  </r>
  <r>
    <s v="Regular"/>
    <x v="0"/>
    <x v="1"/>
    <x v="4"/>
    <x v="0"/>
    <x v="1"/>
    <x v="1"/>
    <x v="0"/>
    <x v="4"/>
    <n v="0"/>
    <n v="0"/>
    <n v="2.2269999999999999"/>
    <n v="2.1379199999999998"/>
    <n v="2.2269999999999999"/>
    <n v="2.1379199999999998"/>
    <n v="0"/>
    <x v="1"/>
    <n v="0"/>
    <n v="0"/>
    <n v="11"/>
    <n v="52"/>
    <n v="0"/>
    <n v="90.54"/>
    <n v="189.96"/>
    <m/>
    <n v="116.01030172172926"/>
    <n v="195.89707226799715"/>
    <n v="0"/>
    <n v="193.5672768"/>
    <n v="406.11928319999998"/>
    <n v="0"/>
    <n v="248.02074425691941"/>
    <n v="418.8122687431964"/>
  </r>
  <r>
    <s v="Regular"/>
    <x v="0"/>
    <x v="1"/>
    <x v="4"/>
    <x v="0"/>
    <x v="1"/>
    <x v="1"/>
    <x v="0"/>
    <x v="5"/>
    <n v="0"/>
    <n v="0"/>
    <n v="0.65800000000000003"/>
    <n v="0.63168000000000002"/>
    <n v="0.65800000000000003"/>
    <n v="0.63168000000000002"/>
    <n v="0"/>
    <x v="1"/>
    <n v="0"/>
    <n v="0"/>
    <n v="11"/>
    <n v="52"/>
    <n v="0"/>
    <n v="90.54"/>
    <n v="189.96"/>
    <m/>
    <n v="116.01030172172926"/>
    <n v="195.89707226799715"/>
    <n v="0"/>
    <n v="57.192307200000009"/>
    <n v="119.99393280000001"/>
    <n v="0"/>
    <n v="73.281387391581944"/>
    <n v="123.74426261024844"/>
  </r>
  <r>
    <s v="Regular"/>
    <x v="0"/>
    <x v="1"/>
    <x v="4"/>
    <x v="0"/>
    <x v="1"/>
    <x v="1"/>
    <x v="0"/>
    <x v="6"/>
    <n v="0"/>
    <n v="0"/>
    <n v="0.996"/>
    <n v="0.95616000000000001"/>
    <n v="0.996"/>
    <n v="0.95616000000000001"/>
    <n v="0"/>
    <x v="1"/>
    <n v="0"/>
    <n v="0"/>
    <n v="11"/>
    <n v="52"/>
    <n v="0"/>
    <n v="90.54"/>
    <n v="189.96"/>
    <m/>
    <n v="116.01030172172926"/>
    <n v="195.89707226799715"/>
    <n v="0"/>
    <n v="86.570726400000012"/>
    <n v="181.63215360000001"/>
    <n v="0"/>
    <n v="110.92441009424866"/>
    <n v="187.30894461976814"/>
  </r>
  <r>
    <s v="Regular"/>
    <x v="0"/>
    <x v="1"/>
    <x v="4"/>
    <x v="0"/>
    <x v="1"/>
    <x v="1"/>
    <x v="0"/>
    <x v="7"/>
    <n v="0"/>
    <n v="0"/>
    <n v="3.266"/>
    <n v="3.1353599999999999"/>
    <n v="3.266"/>
    <n v="3.1353599999999999"/>
    <n v="0"/>
    <x v="1"/>
    <n v="0"/>
    <n v="0"/>
    <n v="11"/>
    <n v="52"/>
    <n v="0"/>
    <n v="90.54"/>
    <n v="189.96"/>
    <m/>
    <n v="116.01030172172926"/>
    <n v="195.89707226799715"/>
    <n v="0"/>
    <n v="283.87549440000004"/>
    <n v="595.59298560000002"/>
    <n v="0"/>
    <n v="363.73405960624103"/>
    <n v="614.20784450618748"/>
  </r>
  <r>
    <s v="Regular"/>
    <x v="0"/>
    <x v="1"/>
    <x v="4"/>
    <x v="0"/>
    <x v="1"/>
    <x v="1"/>
    <x v="0"/>
    <x v="8"/>
    <n v="0"/>
    <n v="0"/>
    <n v="20.085000000000001"/>
    <n v="19.281600000000001"/>
    <n v="20.085000000000001"/>
    <n v="19.281600000000001"/>
    <n v="0"/>
    <x v="1"/>
    <n v="0"/>
    <n v="0"/>
    <n v="11"/>
    <n v="52"/>
    <n v="0"/>
    <n v="90.54"/>
    <n v="189.96"/>
    <m/>
    <n v="116.01030172172926"/>
    <n v="195.89707226799715"/>
    <n v="0"/>
    <n v="1745.7560640000002"/>
    <n v="3662.7327360000004"/>
    <n v="0"/>
    <n v="2236.8642336776952"/>
    <n v="3777.2089886426138"/>
  </r>
  <r>
    <s v="Regular"/>
    <x v="0"/>
    <x v="1"/>
    <x v="4"/>
    <x v="0"/>
    <x v="1"/>
    <x v="1"/>
    <x v="0"/>
    <x v="9"/>
    <n v="0"/>
    <n v="0"/>
    <n v="24.28"/>
    <n v="23.308800000000002"/>
    <n v="24.28"/>
    <n v="23.308800000000002"/>
    <n v="0"/>
    <x v="1"/>
    <n v="0"/>
    <n v="0"/>
    <n v="11"/>
    <n v="52"/>
    <n v="0"/>
    <n v="90.54"/>
    <n v="189.96"/>
    <m/>
    <n v="116.01030172172926"/>
    <n v="195.89707226799715"/>
    <n v="0"/>
    <n v="2110.3787520000001"/>
    <n v="4427.7396480000007"/>
    <n v="0"/>
    <n v="2704.0609207714433"/>
    <n v="4566.1256780802923"/>
  </r>
  <r>
    <s v="Regular"/>
    <x v="0"/>
    <x v="1"/>
    <x v="4"/>
    <x v="0"/>
    <x v="1"/>
    <x v="1"/>
    <x v="0"/>
    <x v="10"/>
    <n v="0"/>
    <n v="0"/>
    <n v="12.068"/>
    <n v="11.585279999999999"/>
    <n v="12.068"/>
    <n v="11.585279999999999"/>
    <n v="0"/>
    <x v="1"/>
    <n v="0"/>
    <n v="0"/>
    <n v="11"/>
    <n v="52"/>
    <n v="0"/>
    <n v="90.54"/>
    <n v="189.96"/>
    <m/>
    <n v="116.01030172172926"/>
    <n v="195.89707226799715"/>
    <n v="0"/>
    <n v="1048.9312511999999"/>
    <n v="2200.7397888"/>
    <n v="0"/>
    <n v="1344.0118283307154"/>
    <n v="2269.5224334049817"/>
  </r>
  <r>
    <s v="Regular"/>
    <x v="0"/>
    <x v="1"/>
    <x v="4"/>
    <x v="0"/>
    <x v="1"/>
    <x v="1"/>
    <x v="0"/>
    <x v="11"/>
    <n v="0"/>
    <n v="0"/>
    <n v="9.1359999999999992"/>
    <n v="8.7705599999999997"/>
    <n v="9.1359999999999992"/>
    <n v="8.7705599999999997"/>
    <n v="0"/>
    <x v="1"/>
    <n v="0"/>
    <n v="0"/>
    <n v="11"/>
    <n v="52"/>
    <n v="0"/>
    <n v="90.54"/>
    <n v="189.96"/>
    <m/>
    <n v="116.01030172172926"/>
    <n v="195.89707226799715"/>
    <n v="0"/>
    <n v="794.08650239999997"/>
    <n v="1666.0555776000001"/>
    <n v="0"/>
    <n v="1017.4753118685297"/>
    <n v="1718.127026150805"/>
  </r>
  <r>
    <s v="Regular"/>
    <x v="0"/>
    <x v="1"/>
    <x v="4"/>
    <x v="0"/>
    <x v="1"/>
    <x v="1"/>
    <x v="1"/>
    <x v="0"/>
    <n v="150"/>
    <n v="144"/>
    <n v="0"/>
    <n v="0"/>
    <n v="0"/>
    <n v="0"/>
    <n v="2"/>
    <x v="1"/>
    <n v="0"/>
    <n v="9"/>
    <n v="0"/>
    <n v="0"/>
    <n v="33.97"/>
    <n v="0"/>
    <n v="0"/>
    <n v="44.835700557621209"/>
    <m/>
    <m/>
    <n v="4891.68"/>
    <n v="0"/>
    <n v="0"/>
    <n v="6456.3408802974536"/>
    <n v="0"/>
    <n v="0"/>
  </r>
  <r>
    <s v="Regular"/>
    <x v="0"/>
    <x v="1"/>
    <x v="4"/>
    <x v="0"/>
    <x v="1"/>
    <x v="1"/>
    <x v="1"/>
    <x v="1"/>
    <n v="91"/>
    <n v="87.36"/>
    <n v="0"/>
    <n v="0"/>
    <n v="0"/>
    <n v="0"/>
    <n v="2"/>
    <x v="1"/>
    <n v="0"/>
    <n v="9"/>
    <n v="0"/>
    <n v="0"/>
    <n v="33.97"/>
    <n v="0"/>
    <n v="0"/>
    <n v="44.835700557621209"/>
    <m/>
    <m/>
    <n v="2967.6192000000001"/>
    <n v="0"/>
    <n v="0"/>
    <n v="3916.846800713789"/>
    <n v="0"/>
    <n v="0"/>
  </r>
  <r>
    <s v="Regular"/>
    <x v="0"/>
    <x v="1"/>
    <x v="4"/>
    <x v="0"/>
    <x v="1"/>
    <x v="1"/>
    <x v="1"/>
    <x v="2"/>
    <n v="84"/>
    <n v="80.64"/>
    <n v="0"/>
    <n v="0"/>
    <n v="0"/>
    <n v="0"/>
    <n v="2"/>
    <x v="1"/>
    <n v="0"/>
    <n v="9"/>
    <n v="0"/>
    <n v="0"/>
    <n v="33.97"/>
    <n v="0"/>
    <n v="0"/>
    <n v="44.835700557621209"/>
    <m/>
    <m/>
    <n v="2739.3407999999999"/>
    <n v="0"/>
    <n v="0"/>
    <n v="3615.5508929665743"/>
    <n v="0"/>
    <n v="0"/>
  </r>
  <r>
    <s v="Regular"/>
    <x v="0"/>
    <x v="1"/>
    <x v="4"/>
    <x v="0"/>
    <x v="1"/>
    <x v="1"/>
    <x v="1"/>
    <x v="3"/>
    <n v="83"/>
    <n v="79.679999999999993"/>
    <n v="0"/>
    <n v="0"/>
    <n v="0"/>
    <n v="0"/>
    <n v="2"/>
    <x v="1"/>
    <n v="0"/>
    <n v="9"/>
    <n v="0"/>
    <n v="0"/>
    <n v="33.97"/>
    <n v="0"/>
    <n v="0"/>
    <n v="44.835700557621209"/>
    <m/>
    <m/>
    <n v="2706.7295999999997"/>
    <n v="0"/>
    <n v="0"/>
    <n v="3572.5086204312574"/>
    <n v="0"/>
    <n v="0"/>
  </r>
  <r>
    <s v="Regular"/>
    <x v="0"/>
    <x v="1"/>
    <x v="4"/>
    <x v="0"/>
    <x v="1"/>
    <x v="1"/>
    <x v="1"/>
    <x v="4"/>
    <n v="89"/>
    <n v="85.44"/>
    <n v="0"/>
    <n v="0"/>
    <n v="0"/>
    <n v="0"/>
    <n v="2"/>
    <x v="1"/>
    <n v="0"/>
    <n v="9"/>
    <n v="0"/>
    <n v="0"/>
    <n v="33.97"/>
    <n v="0"/>
    <n v="0"/>
    <n v="44.835700557621209"/>
    <m/>
    <m/>
    <n v="2902.3968"/>
    <n v="0"/>
    <n v="0"/>
    <n v="3830.7622556431561"/>
    <n v="0"/>
    <n v="0"/>
  </r>
  <r>
    <s v="Regular"/>
    <x v="0"/>
    <x v="1"/>
    <x v="4"/>
    <x v="0"/>
    <x v="1"/>
    <x v="1"/>
    <x v="1"/>
    <x v="5"/>
    <n v="44"/>
    <n v="42.239999999999995"/>
    <n v="0"/>
    <n v="0"/>
    <n v="0"/>
    <n v="0"/>
    <n v="2"/>
    <x v="1"/>
    <n v="0"/>
    <n v="9"/>
    <n v="0"/>
    <n v="0"/>
    <n v="33.97"/>
    <n v="0"/>
    <n v="0"/>
    <n v="44.835700557621209"/>
    <m/>
    <m/>
    <n v="1434.8927999999999"/>
    <n v="0"/>
    <n v="0"/>
    <n v="1893.8599915539196"/>
    <n v="0"/>
    <n v="0"/>
  </r>
  <r>
    <s v="Regular"/>
    <x v="0"/>
    <x v="1"/>
    <x v="4"/>
    <x v="0"/>
    <x v="1"/>
    <x v="1"/>
    <x v="1"/>
    <x v="6"/>
    <n v="46"/>
    <n v="44.16"/>
    <n v="0"/>
    <n v="0"/>
    <n v="0"/>
    <n v="0"/>
    <n v="2"/>
    <x v="1"/>
    <n v="0"/>
    <n v="9"/>
    <n v="0"/>
    <n v="0"/>
    <n v="33.97"/>
    <n v="0"/>
    <n v="0"/>
    <n v="44.835700557621209"/>
    <m/>
    <m/>
    <n v="1500.1151999999997"/>
    <n v="0"/>
    <n v="0"/>
    <n v="1979.9445366245525"/>
    <n v="0"/>
    <n v="0"/>
  </r>
  <r>
    <s v="Regular"/>
    <x v="0"/>
    <x v="1"/>
    <x v="4"/>
    <x v="0"/>
    <x v="1"/>
    <x v="1"/>
    <x v="1"/>
    <x v="7"/>
    <n v="57"/>
    <n v="54.72"/>
    <n v="0"/>
    <n v="0"/>
    <n v="0"/>
    <n v="0"/>
    <n v="2"/>
    <x v="1"/>
    <n v="0"/>
    <n v="9"/>
    <n v="0"/>
    <n v="0"/>
    <n v="33.97"/>
    <n v="0"/>
    <n v="0"/>
    <n v="44.835700557621209"/>
    <m/>
    <m/>
    <n v="1858.8383999999999"/>
    <n v="0"/>
    <n v="0"/>
    <n v="2453.4095345130327"/>
    <n v="0"/>
    <n v="0"/>
  </r>
  <r>
    <s v="Regular"/>
    <x v="0"/>
    <x v="1"/>
    <x v="4"/>
    <x v="0"/>
    <x v="1"/>
    <x v="1"/>
    <x v="1"/>
    <x v="8"/>
    <n v="117"/>
    <n v="112.32"/>
    <n v="0"/>
    <n v="0"/>
    <n v="0"/>
    <n v="0"/>
    <n v="2"/>
    <x v="1"/>
    <n v="0"/>
    <n v="9"/>
    <n v="0"/>
    <n v="0"/>
    <n v="33.97"/>
    <n v="0"/>
    <n v="0"/>
    <n v="44.835700557621209"/>
    <m/>
    <m/>
    <n v="3815.5103999999997"/>
    <n v="0"/>
    <n v="0"/>
    <n v="5035.9458866320138"/>
    <n v="0"/>
    <n v="0"/>
  </r>
  <r>
    <s v="Regular"/>
    <x v="0"/>
    <x v="1"/>
    <x v="4"/>
    <x v="0"/>
    <x v="1"/>
    <x v="1"/>
    <x v="1"/>
    <x v="9"/>
    <n v="156"/>
    <n v="149.76"/>
    <n v="0"/>
    <n v="0"/>
    <n v="0"/>
    <n v="0"/>
    <n v="2"/>
    <x v="1"/>
    <n v="0"/>
    <n v="9"/>
    <n v="0"/>
    <n v="0"/>
    <n v="33.97"/>
    <n v="0"/>
    <n v="0"/>
    <n v="44.835700557621209"/>
    <m/>
    <m/>
    <n v="5087.3471999999992"/>
    <n v="0"/>
    <n v="0"/>
    <n v="6714.5945155093523"/>
    <n v="0"/>
    <n v="0"/>
  </r>
  <r>
    <s v="Regular"/>
    <x v="0"/>
    <x v="1"/>
    <x v="4"/>
    <x v="0"/>
    <x v="1"/>
    <x v="1"/>
    <x v="1"/>
    <x v="10"/>
    <n v="120"/>
    <n v="115.19999999999999"/>
    <n v="0"/>
    <n v="0"/>
    <n v="0"/>
    <n v="0"/>
    <n v="2"/>
    <x v="1"/>
    <n v="0"/>
    <n v="9"/>
    <n v="0"/>
    <n v="0"/>
    <n v="33.97"/>
    <n v="0"/>
    <n v="0"/>
    <n v="44.835700557621209"/>
    <m/>
    <m/>
    <n v="3913.3439999999996"/>
    <n v="0"/>
    <n v="0"/>
    <n v="5165.0727042379631"/>
    <n v="0"/>
    <n v="0"/>
  </r>
  <r>
    <s v="Regular"/>
    <x v="0"/>
    <x v="1"/>
    <x v="4"/>
    <x v="0"/>
    <x v="1"/>
    <x v="1"/>
    <x v="1"/>
    <x v="11"/>
    <n v="98"/>
    <n v="94.08"/>
    <n v="0"/>
    <n v="0"/>
    <n v="0"/>
    <n v="0"/>
    <n v="2"/>
    <x v="1"/>
    <n v="0"/>
    <n v="9"/>
    <n v="0"/>
    <n v="0"/>
    <n v="33.97"/>
    <n v="0"/>
    <n v="0"/>
    <n v="44.835700557621209"/>
    <m/>
    <m/>
    <n v="3195.8975999999998"/>
    <n v="0"/>
    <n v="0"/>
    <n v="4218.1427084610032"/>
    <n v="0"/>
    <n v="0"/>
  </r>
  <r>
    <s v="Regular"/>
    <x v="0"/>
    <x v="1"/>
    <x v="4"/>
    <x v="0"/>
    <x v="1"/>
    <x v="1"/>
    <x v="2"/>
    <x v="0"/>
    <n v="0"/>
    <n v="0"/>
    <n v="0.56100000000000005"/>
    <n v="0.53856000000000004"/>
    <n v="0.56100000000000005"/>
    <n v="0.53856000000000004"/>
    <n v="0"/>
    <x v="1"/>
    <n v="0"/>
    <n v="0"/>
    <n v="10"/>
    <n v="51"/>
    <n v="0"/>
    <n v="1755.54"/>
    <n v="298.83999999999997"/>
    <m/>
    <n v="2161.4944324838229"/>
    <n v="311.4117891483653"/>
    <n v="0"/>
    <n v="945.46362240000008"/>
    <n v="160.94327039999999"/>
    <n v="0"/>
    <n v="1164.0944415584877"/>
    <n v="167.71393316374363"/>
  </r>
  <r>
    <s v="Regular"/>
    <x v="0"/>
    <x v="1"/>
    <x v="4"/>
    <x v="0"/>
    <x v="1"/>
    <x v="1"/>
    <x v="2"/>
    <x v="1"/>
    <n v="0"/>
    <n v="0"/>
    <n v="0.27"/>
    <n v="0.25919999999999999"/>
    <n v="0.27"/>
    <n v="0.25919999999999999"/>
    <n v="0"/>
    <x v="1"/>
    <n v="0"/>
    <n v="0"/>
    <n v="10"/>
    <n v="51"/>
    <n v="0"/>
    <n v="1755.54"/>
    <n v="298.83999999999997"/>
    <m/>
    <n v="2161.4944324838229"/>
    <n v="311.4117891483653"/>
    <n v="0"/>
    <n v="455.03596799999997"/>
    <n v="77.459327999999985"/>
    <n v="0"/>
    <n v="560.2593568998069"/>
    <n v="80.717935747256277"/>
  </r>
  <r>
    <s v="Regular"/>
    <x v="0"/>
    <x v="1"/>
    <x v="4"/>
    <x v="0"/>
    <x v="1"/>
    <x v="1"/>
    <x v="2"/>
    <x v="2"/>
    <n v="0"/>
    <n v="0"/>
    <n v="0.59899999999999998"/>
    <n v="0.57504"/>
    <n v="0.59899999999999998"/>
    <n v="0.57504"/>
    <n v="0"/>
    <x v="1"/>
    <n v="0"/>
    <n v="0"/>
    <n v="10"/>
    <n v="51"/>
    <n v="0"/>
    <n v="1755.54"/>
    <n v="298.83999999999997"/>
    <m/>
    <n v="2161.4944324838229"/>
    <n v="311.4117891483653"/>
    <n v="0"/>
    <n v="1009.5057216"/>
    <n v="171.8449536"/>
    <n v="0"/>
    <n v="1242.9457584554975"/>
    <n v="179.07423523187597"/>
  </r>
  <r>
    <s v="Regular"/>
    <x v="0"/>
    <x v="1"/>
    <x v="4"/>
    <x v="0"/>
    <x v="1"/>
    <x v="1"/>
    <x v="2"/>
    <x v="3"/>
    <n v="0"/>
    <n v="0"/>
    <n v="1.0640000000000001"/>
    <n v="1.0214400000000001"/>
    <n v="1.0640000000000001"/>
    <n v="1.0214400000000001"/>
    <n v="0"/>
    <x v="1"/>
    <n v="0"/>
    <n v="0"/>
    <n v="10"/>
    <n v="51"/>
    <n v="0"/>
    <n v="1755.54"/>
    <n v="298.83999999999997"/>
    <m/>
    <n v="2161.4944324838229"/>
    <n v="311.4117891483653"/>
    <n v="0"/>
    <n v="1793.1787776000001"/>
    <n v="305.24712959999999"/>
    <n v="0"/>
    <n v="2207.8368731162764"/>
    <n v="318.0884579077063"/>
  </r>
  <r>
    <s v="Regular"/>
    <x v="0"/>
    <x v="1"/>
    <x v="4"/>
    <x v="0"/>
    <x v="1"/>
    <x v="1"/>
    <x v="2"/>
    <x v="4"/>
    <n v="0"/>
    <n v="0"/>
    <n v="6.4000000000000001E-2"/>
    <n v="6.1440000000000002E-2"/>
    <n v="6.4000000000000001E-2"/>
    <n v="6.1440000000000002E-2"/>
    <n v="0"/>
    <x v="1"/>
    <n v="0"/>
    <n v="0"/>
    <n v="10"/>
    <n v="51"/>
    <n v="0"/>
    <n v="1755.54"/>
    <n v="298.83999999999997"/>
    <m/>
    <n v="2161.4944324838229"/>
    <n v="311.4117891483653"/>
    <n v="0"/>
    <n v="107.86037760000001"/>
    <n v="18.360729599999999"/>
    <n v="0"/>
    <n v="132.8022179318061"/>
    <n v="19.133140325275566"/>
  </r>
  <r>
    <s v="Regular"/>
    <x v="0"/>
    <x v="1"/>
    <x v="4"/>
    <x v="0"/>
    <x v="1"/>
    <x v="1"/>
    <x v="2"/>
    <x v="5"/>
    <n v="0"/>
    <n v="0"/>
    <n v="6.5000000000000002E-2"/>
    <n v="6.2399999999999997E-2"/>
    <n v="6.5000000000000002E-2"/>
    <n v="6.2399999999999997E-2"/>
    <n v="0"/>
    <x v="1"/>
    <n v="0"/>
    <n v="0"/>
    <n v="10"/>
    <n v="51"/>
    <n v="0"/>
    <n v="1755.54"/>
    <n v="298.83999999999997"/>
    <m/>
    <n v="2161.4944324838229"/>
    <n v="311.4117891483653"/>
    <n v="0"/>
    <n v="109.54569599999999"/>
    <n v="18.647615999999999"/>
    <n v="0"/>
    <n v="134.87725258699055"/>
    <n v="19.432095642857995"/>
  </r>
  <r>
    <s v="Regular"/>
    <x v="0"/>
    <x v="1"/>
    <x v="4"/>
    <x v="0"/>
    <x v="1"/>
    <x v="1"/>
    <x v="2"/>
    <x v="6"/>
    <n v="0"/>
    <n v="0"/>
    <n v="7.1999999999999995E-2"/>
    <n v="6.9119999999999987E-2"/>
    <n v="7.1999999999999995E-2"/>
    <n v="6.9119999999999987E-2"/>
    <n v="0"/>
    <x v="1"/>
    <n v="0"/>
    <n v="0"/>
    <n v="10"/>
    <n v="51"/>
    <n v="0"/>
    <n v="1755.54"/>
    <n v="298.83999999999997"/>
    <m/>
    <n v="2161.4944324838229"/>
    <n v="311.4117891483653"/>
    <n v="0"/>
    <n v="121.34292479999998"/>
    <n v="20.655820799999994"/>
    <n v="0"/>
    <n v="149.40249517328181"/>
    <n v="21.524782865935006"/>
  </r>
  <r>
    <s v="Regular"/>
    <x v="0"/>
    <x v="1"/>
    <x v="4"/>
    <x v="0"/>
    <x v="1"/>
    <x v="1"/>
    <x v="2"/>
    <x v="7"/>
    <n v="0"/>
    <n v="0"/>
    <n v="0.27100000000000002"/>
    <n v="0.26016"/>
    <n v="0.27100000000000002"/>
    <n v="0.26016"/>
    <n v="0"/>
    <x v="1"/>
    <n v="0"/>
    <n v="0"/>
    <n v="10"/>
    <n v="51"/>
    <n v="0"/>
    <n v="1755.54"/>
    <n v="298.83999999999997"/>
    <m/>
    <n v="2161.4944324838229"/>
    <n v="311.4117891483653"/>
    <n v="0"/>
    <n v="456.7212864"/>
    <n v="77.7462144"/>
    <n v="0"/>
    <n v="562.33439155499138"/>
    <n v="81.016891064838717"/>
  </r>
  <r>
    <s v="Regular"/>
    <x v="0"/>
    <x v="1"/>
    <x v="4"/>
    <x v="0"/>
    <x v="1"/>
    <x v="1"/>
    <x v="2"/>
    <x v="8"/>
    <n v="0"/>
    <n v="0"/>
    <n v="2.4649999999999999"/>
    <n v="2.3663999999999996"/>
    <n v="2.4649999999999999"/>
    <n v="2.3663999999999996"/>
    <n v="0"/>
    <x v="1"/>
    <n v="0"/>
    <n v="0"/>
    <n v="10"/>
    <n v="51"/>
    <n v="0"/>
    <n v="1755.54"/>
    <n v="298.83999999999997"/>
    <m/>
    <n v="2161.4944324838229"/>
    <n v="311.4117891483653"/>
    <n v="0"/>
    <n v="4154.3098559999989"/>
    <n v="707.17497599999979"/>
    <n v="0"/>
    <n v="5114.960425029718"/>
    <n v="736.92485784069152"/>
  </r>
  <r>
    <s v="Regular"/>
    <x v="0"/>
    <x v="1"/>
    <x v="4"/>
    <x v="0"/>
    <x v="1"/>
    <x v="1"/>
    <x v="2"/>
    <x v="9"/>
    <n v="0"/>
    <n v="0"/>
    <n v="2.4"/>
    <n v="2.3039999999999998"/>
    <n v="2.4"/>
    <n v="2.3039999999999998"/>
    <n v="0"/>
    <x v="1"/>
    <n v="0"/>
    <n v="0"/>
    <n v="10"/>
    <n v="51"/>
    <n v="0"/>
    <n v="1755.54"/>
    <n v="298.83999999999997"/>
    <m/>
    <n v="2161.4944324838229"/>
    <n v="311.4117891483653"/>
    <n v="0"/>
    <n v="4044.7641599999997"/>
    <n v="688.52735999999993"/>
    <n v="0"/>
    <n v="4980.083172442728"/>
    <n v="717.4927621978336"/>
  </r>
  <r>
    <s v="Regular"/>
    <x v="0"/>
    <x v="1"/>
    <x v="4"/>
    <x v="0"/>
    <x v="1"/>
    <x v="1"/>
    <x v="2"/>
    <x v="10"/>
    <n v="0"/>
    <n v="0"/>
    <n v="1.9390000000000001"/>
    <n v="1.86144"/>
    <n v="1.9390000000000001"/>
    <n v="1.86144"/>
    <n v="0"/>
    <x v="1"/>
    <n v="0"/>
    <n v="0"/>
    <n v="10"/>
    <n v="51"/>
    <n v="0"/>
    <n v="1755.54"/>
    <n v="298.83999999999997"/>
    <m/>
    <n v="2161.4944324838229"/>
    <n v="311.4117891483653"/>
    <n v="0"/>
    <n v="3267.8323775999997"/>
    <n v="556.27272959999993"/>
    <n v="0"/>
    <n v="4023.4921964026876"/>
    <n v="579.67436079233312"/>
  </r>
  <r>
    <s v="Regular"/>
    <x v="0"/>
    <x v="1"/>
    <x v="4"/>
    <x v="0"/>
    <x v="1"/>
    <x v="1"/>
    <x v="2"/>
    <x v="11"/>
    <n v="0"/>
    <n v="0"/>
    <n v="1.1779999999999999"/>
    <n v="1.1308799999999999"/>
    <n v="1.1779999999999999"/>
    <n v="1.1308799999999999"/>
    <n v="0"/>
    <x v="1"/>
    <n v="0"/>
    <n v="0"/>
    <n v="10"/>
    <n v="51"/>
    <n v="0"/>
    <n v="1755.54"/>
    <n v="298.83999999999997"/>
    <m/>
    <n v="2161.4944324838229"/>
    <n v="311.4117891483653"/>
    <n v="0"/>
    <n v="1985.3050751999997"/>
    <n v="337.95217919999993"/>
    <n v="0"/>
    <n v="2444.3908238073054"/>
    <n v="352.16936411210332"/>
  </r>
  <r>
    <s v="Regular"/>
    <x v="1"/>
    <x v="2"/>
    <x v="5"/>
    <x v="1"/>
    <x v="1"/>
    <x v="1"/>
    <x v="0"/>
    <x v="0"/>
    <n v="0"/>
    <n v="0"/>
    <n v="0.318"/>
    <n v="0.318"/>
    <n v="0.318"/>
    <n v="0.318"/>
    <n v="0"/>
    <x v="1"/>
    <n v="0"/>
    <n v="0"/>
    <n v="18"/>
    <n v="58"/>
    <n v="0"/>
    <n v="271.08"/>
    <n v="189.96"/>
    <m/>
    <n v="361.21666683644503"/>
    <n v="195.89707226799715"/>
    <n v="0"/>
    <n v="86.203440000000001"/>
    <n v="60.40728"/>
    <n v="0"/>
    <n v="114.86690005398953"/>
    <n v="62.295268981223096"/>
  </r>
  <r>
    <s v="Regular"/>
    <x v="1"/>
    <x v="2"/>
    <x v="5"/>
    <x v="1"/>
    <x v="1"/>
    <x v="1"/>
    <x v="0"/>
    <x v="1"/>
    <n v="0"/>
    <n v="0"/>
    <n v="0.35799999999999998"/>
    <n v="0.35799999999999998"/>
    <n v="0.35799999999999998"/>
    <n v="0.35799999999999998"/>
    <n v="0"/>
    <x v="1"/>
    <n v="0"/>
    <n v="0"/>
    <n v="18"/>
    <n v="58"/>
    <n v="0"/>
    <n v="271.08"/>
    <n v="189.96"/>
    <m/>
    <n v="361.21666683644503"/>
    <n v="195.89707226799715"/>
    <n v="0"/>
    <n v="97.046639999999996"/>
    <n v="68.005679999999998"/>
    <n v="0"/>
    <n v="129.3155667274473"/>
    <n v="70.131151871942976"/>
  </r>
  <r>
    <s v="Regular"/>
    <x v="1"/>
    <x v="2"/>
    <x v="5"/>
    <x v="1"/>
    <x v="1"/>
    <x v="1"/>
    <x v="0"/>
    <x v="2"/>
    <n v="0"/>
    <n v="0"/>
    <n v="0.37"/>
    <n v="0.37"/>
    <n v="0.37"/>
    <n v="0.37"/>
    <n v="0"/>
    <x v="1"/>
    <n v="0"/>
    <n v="0"/>
    <n v="18"/>
    <n v="58"/>
    <n v="0"/>
    <n v="271.08"/>
    <n v="189.96"/>
    <m/>
    <n v="361.21666683644503"/>
    <n v="195.89707226799715"/>
    <n v="0"/>
    <n v="100.2996"/>
    <n v="70.285200000000003"/>
    <n v="0"/>
    <n v="133.65016672948465"/>
    <n v="72.481916739158947"/>
  </r>
  <r>
    <s v="Regular"/>
    <x v="1"/>
    <x v="2"/>
    <x v="5"/>
    <x v="1"/>
    <x v="1"/>
    <x v="1"/>
    <x v="0"/>
    <x v="3"/>
    <n v="0"/>
    <n v="0"/>
    <n v="0.378"/>
    <n v="0.378"/>
    <n v="0.378"/>
    <n v="0.378"/>
    <n v="0"/>
    <x v="1"/>
    <n v="0"/>
    <n v="0"/>
    <n v="18"/>
    <n v="58"/>
    <n v="0"/>
    <n v="271.08"/>
    <n v="189.96"/>
    <m/>
    <n v="361.21666683644503"/>
    <n v="195.89707226799715"/>
    <n v="0"/>
    <n v="102.46823999999999"/>
    <n v="71.804879999999997"/>
    <n v="0"/>
    <n v="136.53990006417621"/>
    <n v="74.049093317302919"/>
  </r>
  <r>
    <s v="Regular"/>
    <x v="1"/>
    <x v="2"/>
    <x v="5"/>
    <x v="1"/>
    <x v="1"/>
    <x v="1"/>
    <x v="0"/>
    <x v="4"/>
    <n v="0"/>
    <n v="0"/>
    <n v="0.49199999999999999"/>
    <n v="0.49199999999999999"/>
    <n v="0.49199999999999999"/>
    <n v="0.49199999999999999"/>
    <n v="0"/>
    <x v="1"/>
    <n v="0"/>
    <n v="0"/>
    <n v="18"/>
    <n v="58"/>
    <n v="0"/>
    <n v="271.08"/>
    <n v="189.96"/>
    <m/>
    <n v="361.21666683644503"/>
    <n v="195.89707226799715"/>
    <n v="0"/>
    <n v="133.37135999999998"/>
    <n v="93.460319999999996"/>
    <n v="0"/>
    <n v="177.71860008353096"/>
    <n v="96.381359555854601"/>
  </r>
  <r>
    <s v="Regular"/>
    <x v="1"/>
    <x v="2"/>
    <x v="5"/>
    <x v="1"/>
    <x v="1"/>
    <x v="1"/>
    <x v="0"/>
    <x v="5"/>
    <n v="0"/>
    <n v="0"/>
    <n v="0.54100000000000004"/>
    <n v="0.54100000000000004"/>
    <n v="0.54100000000000004"/>
    <n v="0.54100000000000004"/>
    <n v="0"/>
    <x v="1"/>
    <n v="0"/>
    <n v="0"/>
    <n v="18"/>
    <n v="58"/>
    <n v="0"/>
    <n v="271.08"/>
    <n v="189.96"/>
    <m/>
    <n v="361.21666683644503"/>
    <n v="195.89707226799715"/>
    <n v="0"/>
    <n v="146.65428"/>
    <n v="102.76836000000002"/>
    <n v="0"/>
    <n v="195.41821675851676"/>
    <n v="105.98031609698646"/>
  </r>
  <r>
    <s v="Regular"/>
    <x v="1"/>
    <x v="2"/>
    <x v="5"/>
    <x v="1"/>
    <x v="1"/>
    <x v="1"/>
    <x v="0"/>
    <x v="6"/>
    <n v="0"/>
    <n v="0"/>
    <n v="0.66900000000000004"/>
    <n v="0.66900000000000004"/>
    <n v="0.66900000000000004"/>
    <n v="0.66900000000000004"/>
    <n v="0"/>
    <x v="1"/>
    <n v="0"/>
    <n v="0"/>
    <n v="18"/>
    <n v="58"/>
    <n v="0"/>
    <n v="271.08"/>
    <n v="189.96"/>
    <m/>
    <n v="361.21666683644503"/>
    <n v="195.89707226799715"/>
    <n v="0"/>
    <n v="181.35252"/>
    <n v="127.08324000000002"/>
    <n v="0"/>
    <n v="241.65395011358174"/>
    <n v="131.05514134729009"/>
  </r>
  <r>
    <s v="Regular"/>
    <x v="1"/>
    <x v="2"/>
    <x v="5"/>
    <x v="1"/>
    <x v="1"/>
    <x v="1"/>
    <x v="0"/>
    <x v="7"/>
    <n v="0"/>
    <n v="0"/>
    <n v="0.77100000000000002"/>
    <n v="0.77100000000000002"/>
    <n v="0.77100000000000002"/>
    <n v="0.77100000000000002"/>
    <n v="0"/>
    <x v="1"/>
    <n v="0"/>
    <n v="0"/>
    <n v="18"/>
    <n v="58"/>
    <n v="0"/>
    <n v="271.08"/>
    <n v="189.96"/>
    <m/>
    <n v="361.21666683644503"/>
    <n v="195.89707226799715"/>
    <n v="0"/>
    <n v="209.00268"/>
    <n v="146.45916"/>
    <n v="0"/>
    <n v="278.49805013089912"/>
    <n v="151.03664271862581"/>
  </r>
  <r>
    <s v="Regular"/>
    <x v="1"/>
    <x v="2"/>
    <x v="5"/>
    <x v="1"/>
    <x v="1"/>
    <x v="1"/>
    <x v="0"/>
    <x v="8"/>
    <n v="0"/>
    <n v="0"/>
    <n v="0.61899999999999999"/>
    <n v="0.61899999999999999"/>
    <n v="0.61899999999999999"/>
    <n v="0.61899999999999999"/>
    <n v="0"/>
    <x v="1"/>
    <n v="0"/>
    <n v="0"/>
    <n v="18"/>
    <n v="58"/>
    <n v="0"/>
    <n v="271.08"/>
    <n v="189.96"/>
    <m/>
    <n v="361.21666683644503"/>
    <n v="195.89707226799715"/>
    <n v="0"/>
    <n v="167.79852"/>
    <n v="117.58524"/>
    <n v="0"/>
    <n v="223.59311677175947"/>
    <n v="121.26028773389024"/>
  </r>
  <r>
    <s v="Regular"/>
    <x v="1"/>
    <x v="2"/>
    <x v="5"/>
    <x v="1"/>
    <x v="1"/>
    <x v="1"/>
    <x v="0"/>
    <x v="9"/>
    <n v="0"/>
    <n v="0"/>
    <n v="0.376"/>
    <n v="0.376"/>
    <n v="0.376"/>
    <n v="0.376"/>
    <n v="0"/>
    <x v="1"/>
    <n v="0"/>
    <n v="0"/>
    <n v="18"/>
    <n v="58"/>
    <n v="0"/>
    <n v="271.08"/>
    <n v="189.96"/>
    <m/>
    <n v="361.21666683644503"/>
    <n v="195.89707226799715"/>
    <n v="0"/>
    <n v="101.92608"/>
    <n v="71.424959999999999"/>
    <n v="0"/>
    <n v="135.81746673050333"/>
    <n v="73.657299172766926"/>
  </r>
  <r>
    <s v="Regular"/>
    <x v="1"/>
    <x v="2"/>
    <x v="5"/>
    <x v="1"/>
    <x v="1"/>
    <x v="1"/>
    <x v="0"/>
    <x v="10"/>
    <n v="0"/>
    <n v="0"/>
    <n v="0.33100000000000002"/>
    <n v="0.33100000000000002"/>
    <n v="0.33100000000000002"/>
    <n v="0.33100000000000002"/>
    <n v="0"/>
    <x v="1"/>
    <n v="0"/>
    <n v="0"/>
    <n v="18"/>
    <n v="58"/>
    <n v="0"/>
    <n v="271.08"/>
    <n v="189.96"/>
    <m/>
    <n v="361.21666683644503"/>
    <n v="195.89707226799715"/>
    <n v="0"/>
    <n v="89.72748"/>
    <n v="62.876760000000004"/>
    <n v="0"/>
    <n v="119.56271672286331"/>
    <n v="64.841930920707057"/>
  </r>
  <r>
    <s v="Regular"/>
    <x v="1"/>
    <x v="2"/>
    <x v="5"/>
    <x v="1"/>
    <x v="1"/>
    <x v="1"/>
    <x v="0"/>
    <x v="11"/>
    <n v="0"/>
    <n v="0"/>
    <n v="0.46200000000000002"/>
    <n v="0.46200000000000002"/>
    <n v="0.46200000000000002"/>
    <n v="0.46200000000000002"/>
    <n v="0"/>
    <x v="1"/>
    <n v="0"/>
    <n v="0"/>
    <n v="18"/>
    <n v="58"/>
    <n v="0"/>
    <n v="271.08"/>
    <n v="189.96"/>
    <m/>
    <n v="361.21666683644503"/>
    <n v="195.89707226799715"/>
    <n v="0"/>
    <n v="125.23895999999999"/>
    <n v="87.761520000000004"/>
    <n v="0"/>
    <n v="166.88210007843762"/>
    <n v="90.504447387814679"/>
  </r>
  <r>
    <s v="Regular"/>
    <x v="1"/>
    <x v="2"/>
    <x v="5"/>
    <x v="1"/>
    <x v="1"/>
    <x v="1"/>
    <x v="3"/>
    <x v="0"/>
    <n v="0"/>
    <n v="0"/>
    <n v="2.3E-2"/>
    <n v="2.3E-2"/>
    <n v="2.3E-2"/>
    <n v="2.3E-2"/>
    <n v="0"/>
    <x v="1"/>
    <n v="0"/>
    <n v="0"/>
    <n v="17"/>
    <n v="57"/>
    <n v="0"/>
    <n v="589.08000000000004"/>
    <n v="189.96"/>
    <m/>
    <n v="796.86194547229866"/>
    <n v="195.89707226799715"/>
    <n v="0"/>
    <n v="13.54884"/>
    <n v="4.3690800000000003"/>
    <n v="0"/>
    <n v="18.32782474586287"/>
    <n v="4.5056326621639347"/>
  </r>
  <r>
    <s v="Regular"/>
    <x v="1"/>
    <x v="2"/>
    <x v="5"/>
    <x v="1"/>
    <x v="1"/>
    <x v="1"/>
    <x v="3"/>
    <x v="1"/>
    <n v="0"/>
    <n v="0"/>
    <n v="2.7E-2"/>
    <n v="2.7E-2"/>
    <n v="2.7E-2"/>
    <n v="2.7E-2"/>
    <n v="0"/>
    <x v="1"/>
    <n v="0"/>
    <n v="0"/>
    <n v="17"/>
    <n v="57"/>
    <n v="0"/>
    <n v="589.08000000000004"/>
    <n v="189.96"/>
    <m/>
    <n v="796.86194547229866"/>
    <n v="195.89707226799715"/>
    <n v="0"/>
    <n v="15.90516"/>
    <n v="5.1289199999999999"/>
    <n v="0"/>
    <n v="21.515272527752064"/>
    <n v="5.2892209512359232"/>
  </r>
  <r>
    <s v="Regular"/>
    <x v="1"/>
    <x v="2"/>
    <x v="5"/>
    <x v="1"/>
    <x v="1"/>
    <x v="1"/>
    <x v="3"/>
    <x v="2"/>
    <n v="0"/>
    <n v="0"/>
    <n v="2.7E-2"/>
    <n v="2.7E-2"/>
    <n v="2.7E-2"/>
    <n v="2.7E-2"/>
    <n v="0"/>
    <x v="1"/>
    <n v="0"/>
    <n v="0"/>
    <n v="17"/>
    <n v="57"/>
    <n v="0"/>
    <n v="589.08000000000004"/>
    <n v="189.96"/>
    <m/>
    <n v="796.86194547229866"/>
    <n v="195.89707226799715"/>
    <n v="0"/>
    <n v="15.90516"/>
    <n v="5.1289199999999999"/>
    <n v="0"/>
    <n v="21.515272527752064"/>
    <n v="5.2892209512359232"/>
  </r>
  <r>
    <s v="Regular"/>
    <x v="1"/>
    <x v="2"/>
    <x v="5"/>
    <x v="1"/>
    <x v="1"/>
    <x v="1"/>
    <x v="3"/>
    <x v="3"/>
    <n v="0"/>
    <n v="0"/>
    <n v="2.5999999999999999E-2"/>
    <n v="2.5999999999999999E-2"/>
    <n v="2.5999999999999999E-2"/>
    <n v="2.5999999999999999E-2"/>
    <n v="0"/>
    <x v="1"/>
    <n v="0"/>
    <n v="0"/>
    <n v="17"/>
    <n v="57"/>
    <n v="0"/>
    <n v="589.08000000000004"/>
    <n v="189.96"/>
    <m/>
    <n v="796.86194547229866"/>
    <n v="195.89707226799715"/>
    <n v="0"/>
    <n v="15.316079999999999"/>
    <n v="4.9389599999999998"/>
    <n v="0"/>
    <n v="20.718410582279763"/>
    <n v="5.0933238789679258"/>
  </r>
  <r>
    <s v="Regular"/>
    <x v="1"/>
    <x v="2"/>
    <x v="5"/>
    <x v="1"/>
    <x v="1"/>
    <x v="1"/>
    <x v="3"/>
    <x v="4"/>
    <n v="0"/>
    <n v="0"/>
    <n v="4.1000000000000002E-2"/>
    <n v="4.1000000000000002E-2"/>
    <n v="4.1000000000000002E-2"/>
    <n v="4.1000000000000002E-2"/>
    <n v="0"/>
    <x v="1"/>
    <n v="0"/>
    <n v="0"/>
    <n v="17"/>
    <n v="57"/>
    <n v="0"/>
    <n v="589.08000000000004"/>
    <n v="189.96"/>
    <m/>
    <n v="796.86194547229866"/>
    <n v="195.89707226799715"/>
    <n v="0"/>
    <n v="24.152280000000001"/>
    <n v="7.7883600000000008"/>
    <n v="0"/>
    <n v="32.671339764364248"/>
    <n v="8.0317799629878834"/>
  </r>
  <r>
    <s v="Regular"/>
    <x v="1"/>
    <x v="2"/>
    <x v="5"/>
    <x v="1"/>
    <x v="1"/>
    <x v="1"/>
    <x v="3"/>
    <x v="5"/>
    <n v="0"/>
    <n v="0"/>
    <n v="4.3999999999999997E-2"/>
    <n v="4.3999999999999997E-2"/>
    <n v="4.3999999999999997E-2"/>
    <n v="4.3999999999999997E-2"/>
    <n v="0"/>
    <x v="1"/>
    <n v="0"/>
    <n v="0"/>
    <n v="17"/>
    <n v="57"/>
    <n v="0"/>
    <n v="589.08000000000004"/>
    <n v="189.96"/>
    <m/>
    <n v="796.86194547229866"/>
    <n v="195.89707226799715"/>
    <n v="0"/>
    <n v="25.919519999999999"/>
    <n v="8.3582400000000003"/>
    <n v="0"/>
    <n v="35.061925600781137"/>
    <n v="8.6194711797918746"/>
  </r>
  <r>
    <s v="Regular"/>
    <x v="1"/>
    <x v="2"/>
    <x v="5"/>
    <x v="1"/>
    <x v="1"/>
    <x v="1"/>
    <x v="3"/>
    <x v="6"/>
    <n v="0"/>
    <n v="0"/>
    <n v="5.8999999999999997E-2"/>
    <n v="5.8999999999999997E-2"/>
    <n v="5.8999999999999997E-2"/>
    <n v="5.8999999999999997E-2"/>
    <n v="0"/>
    <x v="1"/>
    <n v="0"/>
    <n v="0"/>
    <n v="17"/>
    <n v="57"/>
    <n v="0"/>
    <n v="589.08000000000004"/>
    <n v="189.96"/>
    <m/>
    <n v="796.86194547229866"/>
    <n v="195.89707226799715"/>
    <n v="0"/>
    <n v="34.755720000000004"/>
    <n v="11.20764"/>
    <n v="0"/>
    <n v="47.014854782865619"/>
    <n v="11.55792726381183"/>
  </r>
  <r>
    <s v="Regular"/>
    <x v="1"/>
    <x v="2"/>
    <x v="5"/>
    <x v="1"/>
    <x v="1"/>
    <x v="1"/>
    <x v="3"/>
    <x v="7"/>
    <n v="0"/>
    <n v="0"/>
    <n v="7.0999999999999994E-2"/>
    <n v="7.0999999999999994E-2"/>
    <n v="7.0999999999999994E-2"/>
    <n v="7.0999999999999994E-2"/>
    <n v="0"/>
    <x v="1"/>
    <n v="0"/>
    <n v="0"/>
    <n v="17"/>
    <n v="57"/>
    <n v="0"/>
    <n v="589.08000000000004"/>
    <n v="189.96"/>
    <m/>
    <n v="796.86194547229866"/>
    <n v="195.89707226799715"/>
    <n v="0"/>
    <n v="41.824680000000001"/>
    <n v="13.487159999999999"/>
    <n v="0"/>
    <n v="56.577198128533198"/>
    <n v="13.908692131027797"/>
  </r>
  <r>
    <s v="Regular"/>
    <x v="1"/>
    <x v="2"/>
    <x v="5"/>
    <x v="1"/>
    <x v="1"/>
    <x v="1"/>
    <x v="3"/>
    <x v="8"/>
    <n v="0"/>
    <n v="0"/>
    <n v="5.5E-2"/>
    <n v="5.5E-2"/>
    <n v="5.5E-2"/>
    <n v="5.5E-2"/>
    <n v="0"/>
    <x v="1"/>
    <n v="0"/>
    <n v="0"/>
    <n v="17"/>
    <n v="57"/>
    <n v="0"/>
    <n v="589.08000000000004"/>
    <n v="189.96"/>
    <m/>
    <n v="796.86194547229866"/>
    <n v="195.89707226799715"/>
    <n v="0"/>
    <n v="32.3994"/>
    <n v="10.447800000000001"/>
    <n v="0"/>
    <n v="43.827407000976429"/>
    <n v="10.774338974739843"/>
  </r>
  <r>
    <s v="Regular"/>
    <x v="1"/>
    <x v="2"/>
    <x v="5"/>
    <x v="1"/>
    <x v="1"/>
    <x v="1"/>
    <x v="3"/>
    <x v="9"/>
    <n v="0"/>
    <n v="0"/>
    <n v="2.7E-2"/>
    <n v="2.7E-2"/>
    <n v="2.7E-2"/>
    <n v="2.7E-2"/>
    <n v="0"/>
    <x v="1"/>
    <n v="0"/>
    <n v="0"/>
    <n v="17"/>
    <n v="57"/>
    <n v="0"/>
    <n v="589.08000000000004"/>
    <n v="189.96"/>
    <m/>
    <n v="796.86194547229866"/>
    <n v="195.89707226799715"/>
    <n v="0"/>
    <n v="15.90516"/>
    <n v="5.1289199999999999"/>
    <n v="0"/>
    <n v="21.515272527752064"/>
    <n v="5.2892209512359232"/>
  </r>
  <r>
    <s v="Regular"/>
    <x v="1"/>
    <x v="2"/>
    <x v="5"/>
    <x v="1"/>
    <x v="1"/>
    <x v="1"/>
    <x v="3"/>
    <x v="10"/>
    <n v="0"/>
    <n v="0"/>
    <n v="2.1999999999999999E-2"/>
    <n v="2.1999999999999999E-2"/>
    <n v="2.1999999999999999E-2"/>
    <n v="2.1999999999999999E-2"/>
    <n v="0"/>
    <x v="1"/>
    <n v="0"/>
    <n v="0"/>
    <n v="17"/>
    <n v="57"/>
    <n v="0"/>
    <n v="589.08000000000004"/>
    <n v="189.96"/>
    <m/>
    <n v="796.86194547229866"/>
    <n v="195.89707226799715"/>
    <n v="0"/>
    <n v="12.959759999999999"/>
    <n v="4.1791200000000002"/>
    <n v="0"/>
    <n v="17.530962800390569"/>
    <n v="4.3097355898959373"/>
  </r>
  <r>
    <s v="Regular"/>
    <x v="1"/>
    <x v="2"/>
    <x v="5"/>
    <x v="1"/>
    <x v="1"/>
    <x v="1"/>
    <x v="3"/>
    <x v="11"/>
    <n v="0"/>
    <n v="0"/>
    <n v="3.7999999999999999E-2"/>
    <n v="3.7999999999999999E-2"/>
    <n v="3.7999999999999999E-2"/>
    <n v="3.7999999999999999E-2"/>
    <n v="0"/>
    <x v="1"/>
    <n v="0"/>
    <n v="0"/>
    <n v="17"/>
    <n v="57"/>
    <n v="0"/>
    <n v="589.08000000000004"/>
    <n v="189.96"/>
    <m/>
    <n v="796.86194547229866"/>
    <n v="195.89707226799715"/>
    <n v="0"/>
    <n v="22.38504"/>
    <n v="7.2184800000000005"/>
    <n v="0"/>
    <n v="30.280753927947348"/>
    <n v="7.4440887461838914"/>
  </r>
  <r>
    <s v="Regular"/>
    <x v="1"/>
    <x v="2"/>
    <x v="5"/>
    <x v="1"/>
    <x v="1"/>
    <x v="1"/>
    <x v="2"/>
    <x v="0"/>
    <n v="0"/>
    <n v="0"/>
    <n v="4.9000000000000002E-2"/>
    <n v="4.9000000000000002E-2"/>
    <n v="4.9000000000000002E-2"/>
    <n v="4.9000000000000002E-2"/>
    <n v="0"/>
    <x v="1"/>
    <n v="0"/>
    <n v="0"/>
    <n v="16"/>
    <n v="56"/>
    <n v="0"/>
    <n v="907.08"/>
    <n v="298.83999999999997"/>
    <m/>
    <n v="1232.507132678862"/>
    <n v="311.4117891483653"/>
    <n v="0"/>
    <n v="44.446920000000006"/>
    <n v="14.64316"/>
    <n v="0"/>
    <n v="60.392849501264244"/>
    <n v="15.259177668269901"/>
  </r>
  <r>
    <s v="Regular"/>
    <x v="1"/>
    <x v="2"/>
    <x v="5"/>
    <x v="1"/>
    <x v="1"/>
    <x v="1"/>
    <x v="2"/>
    <x v="1"/>
    <n v="0"/>
    <n v="0"/>
    <n v="0.06"/>
    <n v="0.06"/>
    <n v="0.06"/>
    <n v="0.06"/>
    <n v="0"/>
    <x v="1"/>
    <n v="0"/>
    <n v="0"/>
    <n v="16"/>
    <n v="56"/>
    <n v="0"/>
    <n v="907.08"/>
    <n v="298.83999999999997"/>
    <m/>
    <n v="1232.507132678862"/>
    <n v="311.4117891483653"/>
    <n v="0"/>
    <n v="54.424799999999998"/>
    <n v="17.930399999999999"/>
    <n v="0"/>
    <n v="73.950427960731716"/>
    <n v="18.684707348901917"/>
  </r>
  <r>
    <s v="Regular"/>
    <x v="1"/>
    <x v="2"/>
    <x v="5"/>
    <x v="1"/>
    <x v="1"/>
    <x v="1"/>
    <x v="2"/>
    <x v="2"/>
    <n v="0"/>
    <n v="0"/>
    <n v="5.3999999999999999E-2"/>
    <n v="5.3999999999999999E-2"/>
    <n v="5.3999999999999999E-2"/>
    <n v="5.3999999999999999E-2"/>
    <n v="0"/>
    <x v="1"/>
    <n v="0"/>
    <n v="0"/>
    <n v="16"/>
    <n v="56"/>
    <n v="0"/>
    <n v="907.08"/>
    <n v="298.83999999999997"/>
    <m/>
    <n v="1232.507132678862"/>
    <n v="311.4117891483653"/>
    <n v="0"/>
    <n v="48.982320000000001"/>
    <n v="16.137359999999997"/>
    <n v="0"/>
    <n v="66.555385164658546"/>
    <n v="16.816236614011725"/>
  </r>
  <r>
    <s v="Regular"/>
    <x v="1"/>
    <x v="2"/>
    <x v="5"/>
    <x v="1"/>
    <x v="1"/>
    <x v="1"/>
    <x v="2"/>
    <x v="3"/>
    <n v="0"/>
    <n v="0"/>
    <n v="5.2999999999999999E-2"/>
    <n v="5.2999999999999999E-2"/>
    <n v="5.2999999999999999E-2"/>
    <n v="5.2999999999999999E-2"/>
    <n v="0"/>
    <x v="1"/>
    <n v="0"/>
    <n v="0"/>
    <n v="16"/>
    <n v="56"/>
    <n v="0"/>
    <n v="907.08"/>
    <n v="298.83999999999997"/>
    <m/>
    <n v="1232.507132678862"/>
    <n v="311.4117891483653"/>
    <n v="0"/>
    <n v="48.075240000000001"/>
    <n v="15.838519999999999"/>
    <n v="0"/>
    <n v="65.322878031979684"/>
    <n v="16.504824824863359"/>
  </r>
  <r>
    <s v="Regular"/>
    <x v="1"/>
    <x v="2"/>
    <x v="5"/>
    <x v="1"/>
    <x v="1"/>
    <x v="1"/>
    <x v="2"/>
    <x v="4"/>
    <n v="0"/>
    <n v="0"/>
    <n v="5.0999999999999997E-2"/>
    <n v="5.0999999999999997E-2"/>
    <n v="5.0999999999999997E-2"/>
    <n v="5.0999999999999997E-2"/>
    <n v="0"/>
    <x v="1"/>
    <n v="0"/>
    <n v="0"/>
    <n v="16"/>
    <n v="56"/>
    <n v="0"/>
    <n v="907.08"/>
    <n v="298.83999999999997"/>
    <m/>
    <n v="1232.507132678862"/>
    <n v="311.4117891483653"/>
    <n v="0"/>
    <n v="46.26108"/>
    <n v="15.240839999999999"/>
    <n v="0"/>
    <n v="62.857863766621961"/>
    <n v="15.882001246566629"/>
  </r>
  <r>
    <s v="Regular"/>
    <x v="1"/>
    <x v="2"/>
    <x v="5"/>
    <x v="1"/>
    <x v="1"/>
    <x v="1"/>
    <x v="2"/>
    <x v="5"/>
    <n v="0"/>
    <n v="0"/>
    <n v="5.5E-2"/>
    <n v="5.5E-2"/>
    <n v="5.5E-2"/>
    <n v="5.5E-2"/>
    <n v="0"/>
    <x v="1"/>
    <n v="0"/>
    <n v="0"/>
    <n v="16"/>
    <n v="56"/>
    <n v="0"/>
    <n v="907.08"/>
    <n v="298.83999999999997"/>
    <m/>
    <n v="1232.507132678862"/>
    <n v="311.4117891483653"/>
    <n v="0"/>
    <n v="49.889400000000002"/>
    <n v="16.436199999999999"/>
    <n v="0"/>
    <n v="67.787892297337407"/>
    <n v="17.127648403160091"/>
  </r>
  <r>
    <s v="Regular"/>
    <x v="1"/>
    <x v="2"/>
    <x v="5"/>
    <x v="1"/>
    <x v="1"/>
    <x v="1"/>
    <x v="2"/>
    <x v="6"/>
    <n v="0"/>
    <n v="0"/>
    <n v="6.3E-2"/>
    <n v="6.3E-2"/>
    <n v="6.3E-2"/>
    <n v="6.3E-2"/>
    <n v="0"/>
    <x v="1"/>
    <n v="0"/>
    <n v="0"/>
    <n v="16"/>
    <n v="56"/>
    <n v="0"/>
    <n v="907.08"/>
    <n v="298.83999999999997"/>
    <m/>
    <n v="1232.507132678862"/>
    <n v="311.4117891483653"/>
    <n v="0"/>
    <n v="57.146040000000006"/>
    <n v="18.826919999999998"/>
    <n v="0"/>
    <n v="77.647949358768315"/>
    <n v="19.618942716347014"/>
  </r>
  <r>
    <s v="Regular"/>
    <x v="1"/>
    <x v="2"/>
    <x v="5"/>
    <x v="1"/>
    <x v="1"/>
    <x v="1"/>
    <x v="2"/>
    <x v="7"/>
    <n v="0"/>
    <n v="0"/>
    <n v="7.8E-2"/>
    <n v="7.8E-2"/>
    <n v="7.8E-2"/>
    <n v="7.8E-2"/>
    <n v="0"/>
    <x v="1"/>
    <n v="0"/>
    <n v="0"/>
    <n v="16"/>
    <n v="56"/>
    <n v="0"/>
    <n v="907.08"/>
    <n v="298.83999999999997"/>
    <m/>
    <n v="1232.507132678862"/>
    <n v="311.4117891483653"/>
    <n v="0"/>
    <n v="70.75224"/>
    <n v="23.309519999999999"/>
    <n v="0"/>
    <n v="96.135556348951241"/>
    <n v="24.290119553572495"/>
  </r>
  <r>
    <s v="Regular"/>
    <x v="1"/>
    <x v="2"/>
    <x v="5"/>
    <x v="1"/>
    <x v="1"/>
    <x v="1"/>
    <x v="2"/>
    <x v="8"/>
    <n v="0"/>
    <n v="0"/>
    <n v="6.9000000000000006E-2"/>
    <n v="6.9000000000000006E-2"/>
    <n v="6.9000000000000006E-2"/>
    <n v="6.9000000000000006E-2"/>
    <n v="0"/>
    <x v="1"/>
    <n v="0"/>
    <n v="0"/>
    <n v="16"/>
    <n v="56"/>
    <n v="0"/>
    <n v="907.08"/>
    <n v="298.83999999999997"/>
    <m/>
    <n v="1232.507132678862"/>
    <n v="311.4117891483653"/>
    <n v="0"/>
    <n v="62.58852000000001"/>
    <n v="20.619959999999999"/>
    <n v="0"/>
    <n v="85.042992154841485"/>
    <n v="21.487413451237206"/>
  </r>
  <r>
    <s v="Regular"/>
    <x v="1"/>
    <x v="2"/>
    <x v="5"/>
    <x v="1"/>
    <x v="1"/>
    <x v="1"/>
    <x v="2"/>
    <x v="9"/>
    <n v="0"/>
    <n v="0"/>
    <n v="4.2000000000000003E-2"/>
    <n v="4.2000000000000003E-2"/>
    <n v="4.2000000000000003E-2"/>
    <n v="4.2000000000000003E-2"/>
    <n v="0"/>
    <x v="1"/>
    <n v="0"/>
    <n v="0"/>
    <n v="16"/>
    <n v="56"/>
    <n v="0"/>
    <n v="907.08"/>
    <n v="298.83999999999997"/>
    <m/>
    <n v="1232.507132678862"/>
    <n v="311.4117891483653"/>
    <n v="0"/>
    <n v="38.097360000000002"/>
    <n v="12.55128"/>
    <n v="0"/>
    <n v="51.765299572512205"/>
    <n v="13.079295144231343"/>
  </r>
  <r>
    <s v="Regular"/>
    <x v="1"/>
    <x v="2"/>
    <x v="5"/>
    <x v="1"/>
    <x v="1"/>
    <x v="1"/>
    <x v="2"/>
    <x v="10"/>
    <n v="0"/>
    <n v="0"/>
    <n v="4.3999999999999997E-2"/>
    <n v="4.3999999999999997E-2"/>
    <n v="4.3999999999999997E-2"/>
    <n v="4.3999999999999997E-2"/>
    <n v="0"/>
    <x v="1"/>
    <n v="0"/>
    <n v="0"/>
    <n v="16"/>
    <n v="56"/>
    <n v="0"/>
    <n v="907.08"/>
    <n v="298.83999999999997"/>
    <m/>
    <n v="1232.507132678862"/>
    <n v="311.4117891483653"/>
    <n v="0"/>
    <n v="39.911520000000003"/>
    <n v="13.148959999999999"/>
    <n v="0"/>
    <n v="54.230313837869929"/>
    <n v="13.702118722528072"/>
  </r>
  <r>
    <s v="Regular"/>
    <x v="1"/>
    <x v="2"/>
    <x v="5"/>
    <x v="1"/>
    <x v="1"/>
    <x v="1"/>
    <x v="2"/>
    <x v="11"/>
    <n v="0"/>
    <n v="0"/>
    <n v="7.0000000000000007E-2"/>
    <n v="7.0000000000000007E-2"/>
    <n v="7.0000000000000007E-2"/>
    <n v="7.0000000000000007E-2"/>
    <n v="0"/>
    <x v="1"/>
    <n v="0"/>
    <n v="0"/>
    <n v="16"/>
    <n v="56"/>
    <n v="0"/>
    <n v="907.08"/>
    <n v="298.83999999999997"/>
    <m/>
    <n v="1232.507132678862"/>
    <n v="311.4117891483653"/>
    <n v="0"/>
    <n v="63.49560000000001"/>
    <n v="20.918800000000001"/>
    <n v="0"/>
    <n v="86.275499287520347"/>
    <n v="21.798825240385572"/>
  </r>
  <r>
    <s v="Regular"/>
    <x v="1"/>
    <x v="3"/>
    <x v="5"/>
    <x v="1"/>
    <x v="1"/>
    <x v="1"/>
    <x v="1"/>
    <x v="0"/>
    <n v="0"/>
    <n v="0"/>
    <n v="1503.675"/>
    <n v="1503.675"/>
    <n v="1503.675"/>
    <n v="1503.675"/>
    <n v="9100"/>
    <x v="1"/>
    <n v="0"/>
    <n v="0"/>
    <n v="19"/>
    <n v="59"/>
    <n v="0"/>
    <n v="406.52"/>
    <n v="199.03"/>
    <m/>
    <n v="506.43176911815436"/>
    <n v="205.52329867469447"/>
    <n v="0"/>
    <n v="611273.96100000001"/>
    <n v="299276.43524999998"/>
    <n v="0"/>
    <n v="761508.79042874079"/>
    <n v="309040.24613467121"/>
  </r>
  <r>
    <s v="Refaturamento - Regular"/>
    <x v="1"/>
    <x v="3"/>
    <x v="5"/>
    <x v="1"/>
    <x v="1"/>
    <x v="1"/>
    <x v="1"/>
    <x v="0"/>
    <n v="0"/>
    <n v="0"/>
    <n v="-2.8140000000000001"/>
    <n v="-2.8140000000000001"/>
    <n v="-2.8140000000000001"/>
    <n v="-2.8140000000000001"/>
    <n v="0"/>
    <x v="1"/>
    <n v="0"/>
    <n v="0"/>
    <n v="19"/>
    <n v="59"/>
    <n v="0"/>
    <n v="406.52"/>
    <n v="199.03"/>
    <m/>
    <n v="506.43176911815436"/>
    <n v="205.52329867469447"/>
    <n v="0"/>
    <n v="-1143.9472799999999"/>
    <n v="-560.07042000000001"/>
    <n v="0"/>
    <n v="-1425.0989982984863"/>
    <n v="-578.34256247059022"/>
  </r>
  <r>
    <s v="Sistema de Compensação"/>
    <x v="1"/>
    <x v="3"/>
    <x v="5"/>
    <x v="1"/>
    <x v="1"/>
    <x v="1"/>
    <x v="1"/>
    <x v="0"/>
    <n v="0"/>
    <n v="0"/>
    <n v="38.305999999999997"/>
    <n v="38.305999999999997"/>
    <n v="38.305999999999997"/>
    <n v="38.305999999999997"/>
    <n v="150"/>
    <x v="1"/>
    <n v="0"/>
    <n v="0"/>
    <n v="19"/>
    <n v="59"/>
    <n v="0"/>
    <n v="406.52"/>
    <n v="199.03"/>
    <m/>
    <n v="506.43176911815436"/>
    <n v="205.52329867469447"/>
    <n v="0"/>
    <n v="15572.155119999998"/>
    <n v="7624.0431799999997"/>
    <n v="0"/>
    <n v="19399.375347840021"/>
    <n v="7872.7754790328463"/>
  </r>
  <r>
    <s v="Regular"/>
    <x v="1"/>
    <x v="3"/>
    <x v="5"/>
    <x v="1"/>
    <x v="1"/>
    <x v="1"/>
    <x v="1"/>
    <x v="1"/>
    <n v="0"/>
    <n v="0"/>
    <n v="1619.2529999999999"/>
    <n v="1619.2529999999999"/>
    <n v="1619.2529999999999"/>
    <n v="1619.2529999999999"/>
    <n v="9125"/>
    <x v="1"/>
    <n v="0"/>
    <n v="0"/>
    <n v="19"/>
    <n v="59"/>
    <n v="0"/>
    <n v="406.52"/>
    <n v="199.03"/>
    <m/>
    <n v="506.43176911815436"/>
    <n v="205.52329867469447"/>
    <n v="0"/>
    <n v="658258.72955999989"/>
    <n v="322279.92459000001"/>
    <n v="0"/>
    <n v="820041.16143987875"/>
    <n v="332794.21794889506"/>
  </r>
  <r>
    <s v="Refaturamento - Regular"/>
    <x v="1"/>
    <x v="3"/>
    <x v="5"/>
    <x v="1"/>
    <x v="1"/>
    <x v="1"/>
    <x v="1"/>
    <x v="1"/>
    <n v="0"/>
    <n v="0"/>
    <n v="-8.343"/>
    <n v="-8.343"/>
    <n v="-8.343"/>
    <n v="-8.343"/>
    <n v="0"/>
    <x v="1"/>
    <n v="0"/>
    <n v="0"/>
    <n v="19"/>
    <n v="59"/>
    <n v="0"/>
    <n v="406.52"/>
    <n v="199.03"/>
    <m/>
    <n v="506.43176911815436"/>
    <n v="205.52329867469447"/>
    <n v="0"/>
    <n v="-3391.59636"/>
    <n v="-1660.50729"/>
    <n v="0"/>
    <n v="-4225.160249752762"/>
    <n v="-1714.680880842976"/>
  </r>
  <r>
    <s v="Sistema de Compensação"/>
    <x v="1"/>
    <x v="3"/>
    <x v="5"/>
    <x v="1"/>
    <x v="1"/>
    <x v="1"/>
    <x v="1"/>
    <x v="1"/>
    <n v="0"/>
    <n v="0"/>
    <n v="23.1"/>
    <n v="23.1"/>
    <n v="23.1"/>
    <n v="23.1"/>
    <n v="154"/>
    <x v="1"/>
    <n v="0"/>
    <n v="0"/>
    <n v="19"/>
    <n v="59"/>
    <n v="0"/>
    <n v="406.52"/>
    <n v="199.03"/>
    <m/>
    <n v="506.43176911815436"/>
    <n v="205.52329867469447"/>
    <n v="0"/>
    <n v="9390.612000000001"/>
    <n v="4597.5930000000008"/>
    <n v="0"/>
    <n v="11698.573866629367"/>
    <n v="4747.5881993854427"/>
  </r>
  <r>
    <s v="Sistema de Compensação"/>
    <x v="1"/>
    <x v="3"/>
    <x v="5"/>
    <x v="1"/>
    <x v="1"/>
    <x v="1"/>
    <x v="1"/>
    <x v="1"/>
    <n v="0"/>
    <n v="0"/>
    <n v="-7.8010000000000002"/>
    <n v="-7.8010000000000002"/>
    <n v="-7.8010000000000002"/>
    <n v="-7.8010000000000002"/>
    <n v="1"/>
    <x v="1"/>
    <n v="0"/>
    <n v="0"/>
    <n v="19"/>
    <n v="59"/>
    <n v="0"/>
    <n v="406.52"/>
    <n v="199.03"/>
    <m/>
    <n v="506.43176911815436"/>
    <n v="205.52329867469447"/>
    <n v="0"/>
    <n v="-3171.2625199999998"/>
    <n v="-1552.63303"/>
    <n v="0"/>
    <n v="-3950.6742308907224"/>
    <n v="-1603.2872529612916"/>
  </r>
  <r>
    <s v="Regular"/>
    <x v="1"/>
    <x v="3"/>
    <x v="5"/>
    <x v="1"/>
    <x v="1"/>
    <x v="1"/>
    <x v="1"/>
    <x v="2"/>
    <n v="0"/>
    <n v="0"/>
    <n v="1433.952"/>
    <n v="1433.952"/>
    <n v="1433.952"/>
    <n v="1433.952"/>
    <n v="9152"/>
    <x v="1"/>
    <n v="0"/>
    <n v="0"/>
    <n v="19"/>
    <n v="59"/>
    <n v="0"/>
    <n v="406.52"/>
    <n v="199.03"/>
    <m/>
    <n v="506.43176911815436"/>
    <n v="205.52329867469447"/>
    <n v="0"/>
    <n v="582930.16703999997"/>
    <n v="285399.46656000003"/>
    <n v="0"/>
    <n v="726198.84819051565"/>
    <n v="294710.54518117546"/>
  </r>
  <r>
    <s v="Refaturamento - Regular"/>
    <x v="1"/>
    <x v="3"/>
    <x v="5"/>
    <x v="1"/>
    <x v="1"/>
    <x v="1"/>
    <x v="1"/>
    <x v="2"/>
    <n v="0"/>
    <n v="0"/>
    <n v="0.79500000000000004"/>
    <n v="0.79500000000000004"/>
    <n v="0.79500000000000004"/>
    <n v="0.79500000000000004"/>
    <n v="0"/>
    <x v="1"/>
    <n v="0"/>
    <n v="0"/>
    <n v="19"/>
    <n v="59"/>
    <n v="0"/>
    <n v="406.52"/>
    <n v="199.03"/>
    <m/>
    <n v="506.43176911815436"/>
    <n v="205.52329867469447"/>
    <n v="0"/>
    <n v="323.18340000000001"/>
    <n v="158.22885000000002"/>
    <n v="0"/>
    <n v="402.61325644893276"/>
    <n v="163.39102244638212"/>
  </r>
  <r>
    <s v="Sistema de Compensação"/>
    <x v="1"/>
    <x v="3"/>
    <x v="5"/>
    <x v="1"/>
    <x v="1"/>
    <x v="1"/>
    <x v="1"/>
    <x v="2"/>
    <n v="0"/>
    <n v="0"/>
    <n v="21.585000000000001"/>
    <n v="21.585000000000001"/>
    <n v="21.585000000000001"/>
    <n v="21.585000000000001"/>
    <n v="157"/>
    <x v="1"/>
    <n v="0"/>
    <n v="0"/>
    <n v="19"/>
    <n v="59"/>
    <n v="0"/>
    <n v="406.52"/>
    <n v="199.03"/>
    <m/>
    <n v="506.43176911815436"/>
    <n v="205.52329867469447"/>
    <n v="0"/>
    <n v="8774.7342000000008"/>
    <n v="4296.0625500000006"/>
    <n v="0"/>
    <n v="10931.329736415362"/>
    <n v="4436.2204018932807"/>
  </r>
  <r>
    <s v="Regular"/>
    <x v="1"/>
    <x v="3"/>
    <x v="5"/>
    <x v="1"/>
    <x v="1"/>
    <x v="1"/>
    <x v="1"/>
    <x v="3"/>
    <n v="0"/>
    <n v="0"/>
    <n v="1494.028"/>
    <n v="1494.028"/>
    <n v="1494.028"/>
    <n v="1494.028"/>
    <n v="9140"/>
    <x v="1"/>
    <n v="0"/>
    <n v="0"/>
    <n v="19"/>
    <n v="59"/>
    <n v="0"/>
    <n v="406.52"/>
    <n v="199.03"/>
    <m/>
    <n v="506.43176911815436"/>
    <n v="205.52329867469447"/>
    <n v="0"/>
    <n v="607352.26255999994"/>
    <n v="297356.39283999999"/>
    <n v="0"/>
    <n v="756623.24315205798"/>
    <n v="307057.56287235644"/>
  </r>
  <r>
    <s v="Refaturamento - Regular"/>
    <x v="1"/>
    <x v="3"/>
    <x v="5"/>
    <x v="1"/>
    <x v="1"/>
    <x v="1"/>
    <x v="1"/>
    <x v="3"/>
    <n v="0"/>
    <n v="0"/>
    <n v="-1.1319999999999999"/>
    <n v="-1.1319999999999999"/>
    <n v="-1.1319999999999999"/>
    <n v="-1.1319999999999999"/>
    <n v="0"/>
    <x v="1"/>
    <n v="0"/>
    <n v="0"/>
    <n v="19"/>
    <n v="59"/>
    <n v="0"/>
    <n v="406.52"/>
    <n v="199.03"/>
    <m/>
    <n v="506.43176911815436"/>
    <n v="205.52329867469447"/>
    <n v="0"/>
    <n v="-460.18063999999993"/>
    <n v="-225.30195999999998"/>
    <n v="0"/>
    <n v="-573.2807626417507"/>
    <n v="-232.65237409975413"/>
  </r>
  <r>
    <s v="Sistema de Compensação"/>
    <x v="1"/>
    <x v="3"/>
    <x v="5"/>
    <x v="1"/>
    <x v="1"/>
    <x v="1"/>
    <x v="1"/>
    <x v="3"/>
    <n v="0"/>
    <n v="0"/>
    <n v="17.795999999999999"/>
    <n v="17.795999999999999"/>
    <n v="17.795999999999999"/>
    <n v="17.795999999999999"/>
    <n v="164"/>
    <x v="1"/>
    <n v="0"/>
    <n v="0"/>
    <n v="19"/>
    <n v="59"/>
    <n v="0"/>
    <n v="406.52"/>
    <n v="199.03"/>
    <m/>
    <n v="506.43176911815436"/>
    <n v="205.52329867469447"/>
    <n v="0"/>
    <n v="7234.4299199999996"/>
    <n v="3541.93788"/>
    <n v="0"/>
    <n v="9012.4597632266741"/>
    <n v="3657.4926232148628"/>
  </r>
  <r>
    <s v="Regular"/>
    <x v="1"/>
    <x v="3"/>
    <x v="5"/>
    <x v="1"/>
    <x v="1"/>
    <x v="1"/>
    <x v="1"/>
    <x v="4"/>
    <n v="0"/>
    <n v="0"/>
    <n v="1608.471"/>
    <n v="1608.471"/>
    <n v="1608.471"/>
    <n v="1608.471"/>
    <n v="9148"/>
    <x v="1"/>
    <n v="0"/>
    <n v="0"/>
    <n v="19"/>
    <n v="59"/>
    <n v="0"/>
    <n v="406.52"/>
    <n v="199.03"/>
    <m/>
    <n v="506.43176911815436"/>
    <n v="205.52329867469447"/>
    <n v="0"/>
    <n v="653875.63092000003"/>
    <n v="320133.98313000001"/>
    <n v="0"/>
    <n v="814580.81410524691"/>
    <n v="330578.26574258448"/>
  </r>
  <r>
    <s v="Refaturamento - Regular"/>
    <x v="1"/>
    <x v="3"/>
    <x v="5"/>
    <x v="1"/>
    <x v="1"/>
    <x v="1"/>
    <x v="1"/>
    <x v="4"/>
    <n v="0"/>
    <n v="0"/>
    <n v="-0.13500000000000001"/>
    <n v="-0.13500000000000001"/>
    <n v="-0.13500000000000001"/>
    <n v="-0.13500000000000001"/>
    <n v="0"/>
    <x v="1"/>
    <n v="0"/>
    <n v="0"/>
    <n v="19"/>
    <n v="59"/>
    <n v="0"/>
    <n v="406.52"/>
    <n v="199.03"/>
    <m/>
    <n v="506.43176911815436"/>
    <n v="205.52329867469447"/>
    <n v="0"/>
    <n v="-54.880200000000002"/>
    <n v="-26.869050000000001"/>
    <n v="0"/>
    <n v="-68.368288830950846"/>
    <n v="-27.745645321083757"/>
  </r>
  <r>
    <s v="Sistema de Compensação"/>
    <x v="1"/>
    <x v="3"/>
    <x v="5"/>
    <x v="1"/>
    <x v="1"/>
    <x v="1"/>
    <x v="1"/>
    <x v="4"/>
    <n v="0"/>
    <n v="0"/>
    <n v="18.366"/>
    <n v="18.366"/>
    <n v="18.366"/>
    <n v="18.366"/>
    <n v="170"/>
    <x v="1"/>
    <n v="0"/>
    <n v="0"/>
    <n v="19"/>
    <n v="59"/>
    <n v="0"/>
    <n v="406.52"/>
    <n v="199.03"/>
    <m/>
    <n v="506.43176911815436"/>
    <n v="205.52329867469447"/>
    <n v="0"/>
    <n v="7466.1463199999998"/>
    <n v="3655.3849799999998"/>
    <n v="0"/>
    <n v="9301.1258716240227"/>
    <n v="3774.6409034594385"/>
  </r>
  <r>
    <s v="Regular"/>
    <x v="1"/>
    <x v="3"/>
    <x v="5"/>
    <x v="1"/>
    <x v="1"/>
    <x v="1"/>
    <x v="1"/>
    <x v="5"/>
    <n v="0"/>
    <n v="0"/>
    <n v="1688.9179999999999"/>
    <n v="1688.9179999999999"/>
    <n v="1688.9179999999999"/>
    <n v="1688.9179999999999"/>
    <n v="9151"/>
    <x v="1"/>
    <n v="0"/>
    <n v="0"/>
    <n v="19"/>
    <n v="59"/>
    <n v="0"/>
    <n v="406.52"/>
    <n v="199.03"/>
    <m/>
    <n v="506.43176911815436"/>
    <n v="205.52329867469447"/>
    <n v="0"/>
    <n v="686578.9453599999"/>
    <n v="336145.34953999997"/>
    <n v="0"/>
    <n v="855321.73063549493"/>
    <n v="347111.99855106761"/>
  </r>
  <r>
    <s v="Refaturamento - Regular"/>
    <x v="1"/>
    <x v="3"/>
    <x v="5"/>
    <x v="1"/>
    <x v="1"/>
    <x v="1"/>
    <x v="1"/>
    <x v="5"/>
    <n v="0"/>
    <n v="0"/>
    <n v="8.3000000000000004E-2"/>
    <n v="8.3000000000000004E-2"/>
    <n v="8.3000000000000004E-2"/>
    <n v="8.3000000000000004E-2"/>
    <n v="0"/>
    <x v="1"/>
    <n v="0"/>
    <n v="0"/>
    <n v="19"/>
    <n v="59"/>
    <n v="0"/>
    <n v="406.52"/>
    <n v="199.03"/>
    <m/>
    <n v="506.43176911815436"/>
    <n v="205.52329867469447"/>
    <n v="0"/>
    <n v="33.741160000000001"/>
    <n v="16.519490000000001"/>
    <n v="0"/>
    <n v="42.033836836806813"/>
    <n v="17.058433789999643"/>
  </r>
  <r>
    <s v="Sistema de Compensação"/>
    <x v="1"/>
    <x v="3"/>
    <x v="5"/>
    <x v="1"/>
    <x v="1"/>
    <x v="1"/>
    <x v="1"/>
    <x v="5"/>
    <n v="0"/>
    <n v="0"/>
    <n v="22.138000000000002"/>
    <n v="22.138000000000002"/>
    <n v="22.138000000000002"/>
    <n v="22.138000000000002"/>
    <n v="175"/>
    <x v="1"/>
    <n v="0"/>
    <n v="0"/>
    <n v="19"/>
    <n v="59"/>
    <n v="0"/>
    <n v="406.52"/>
    <n v="199.03"/>
    <m/>
    <n v="506.43176911815436"/>
    <n v="205.52329867469447"/>
    <n v="0"/>
    <n v="8999.5397599999997"/>
    <n v="4406.1261400000003"/>
    <n v="0"/>
    <n v="11211.386504737702"/>
    <n v="4549.8747860603862"/>
  </r>
  <r>
    <s v="Regular"/>
    <x v="1"/>
    <x v="3"/>
    <x v="5"/>
    <x v="1"/>
    <x v="1"/>
    <x v="1"/>
    <x v="1"/>
    <x v="6"/>
    <n v="0"/>
    <n v="0"/>
    <n v="2105.7750000000001"/>
    <n v="2105.7750000000001"/>
    <n v="2105.7750000000001"/>
    <n v="2105.7750000000001"/>
    <n v="9136"/>
    <x v="1"/>
    <n v="0"/>
    <n v="0"/>
    <n v="19"/>
    <n v="59"/>
    <n v="0"/>
    <n v="406.52"/>
    <n v="199.03"/>
    <m/>
    <n v="506.43176911815436"/>
    <n v="205.52329867469447"/>
    <n v="0"/>
    <n v="856039.65300000005"/>
    <n v="419112.39825000003"/>
    <n v="0"/>
    <n v="1066431.3586147816"/>
    <n v="432785.82426670479"/>
  </r>
  <r>
    <s v="Refaturamento - Regular"/>
    <x v="1"/>
    <x v="3"/>
    <x v="5"/>
    <x v="1"/>
    <x v="1"/>
    <x v="1"/>
    <x v="1"/>
    <x v="6"/>
    <n v="0"/>
    <n v="0"/>
    <n v="-0.67300000000000004"/>
    <n v="-0.67300000000000004"/>
    <n v="-0.67300000000000004"/>
    <n v="-0.67300000000000004"/>
    <n v="0"/>
    <x v="1"/>
    <n v="0"/>
    <n v="0"/>
    <n v="19"/>
    <n v="59"/>
    <n v="0"/>
    <n v="406.52"/>
    <n v="199.03"/>
    <m/>
    <n v="506.43176911815436"/>
    <n v="205.52329867469447"/>
    <n v="0"/>
    <n v="-273.58796000000001"/>
    <n v="-133.94719000000001"/>
    <n v="0"/>
    <n v="-340.82858061651791"/>
    <n v="-138.31718000806939"/>
  </r>
  <r>
    <s v="Sistema de Compensação"/>
    <x v="1"/>
    <x v="3"/>
    <x v="5"/>
    <x v="1"/>
    <x v="1"/>
    <x v="1"/>
    <x v="1"/>
    <x v="6"/>
    <n v="0"/>
    <n v="0"/>
    <n v="33.433999999999997"/>
    <n v="33.433999999999997"/>
    <n v="33.433999999999997"/>
    <n v="33.433999999999997"/>
    <n v="185"/>
    <x v="1"/>
    <n v="0"/>
    <n v="0"/>
    <n v="19"/>
    <n v="59"/>
    <n v="0"/>
    <n v="406.52"/>
    <n v="199.03"/>
    <m/>
    <n v="506.43176911815436"/>
    <n v="205.52329867469447"/>
    <n v="0"/>
    <n v="13591.589679999999"/>
    <n v="6654.3690199999992"/>
    <n v="0"/>
    <n v="16932.039768696373"/>
    <n v="6871.4659678897342"/>
  </r>
  <r>
    <s v="Regular"/>
    <x v="1"/>
    <x v="3"/>
    <x v="5"/>
    <x v="1"/>
    <x v="1"/>
    <x v="1"/>
    <x v="1"/>
    <x v="7"/>
    <n v="0"/>
    <n v="0"/>
    <n v="2474.37"/>
    <n v="2474.37"/>
    <n v="2474.37"/>
    <n v="2474.37"/>
    <n v="9092"/>
    <x v="1"/>
    <n v="0"/>
    <n v="0"/>
    <n v="19"/>
    <n v="59"/>
    <n v="0"/>
    <n v="406.52"/>
    <n v="199.03"/>
    <m/>
    <n v="506.43176911815436"/>
    <n v="205.52329867469447"/>
    <n v="0"/>
    <n v="1005880.8923999999"/>
    <n v="492473.86109999998"/>
    <n v="0"/>
    <n v="1253099.5765528874"/>
    <n v="508540.68454170373"/>
  </r>
  <r>
    <s v="Refaturamento - Regular"/>
    <x v="1"/>
    <x v="3"/>
    <x v="5"/>
    <x v="1"/>
    <x v="1"/>
    <x v="1"/>
    <x v="1"/>
    <x v="7"/>
    <n v="0"/>
    <n v="0"/>
    <n v="68.471000000000004"/>
    <n v="68.471000000000004"/>
    <n v="68.471000000000004"/>
    <n v="68.471000000000004"/>
    <n v="0"/>
    <x v="1"/>
    <n v="0"/>
    <n v="0"/>
    <n v="19"/>
    <n v="59"/>
    <n v="0"/>
    <n v="406.52"/>
    <n v="199.03"/>
    <m/>
    <n v="506.43176911815436"/>
    <n v="205.52329867469447"/>
    <n v="0"/>
    <n v="27834.83092"/>
    <n v="13627.783130000002"/>
    <n v="0"/>
    <n v="34675.889663289148"/>
    <n v="14072.385783555006"/>
  </r>
  <r>
    <s v="Sistema de Compensação"/>
    <x v="1"/>
    <x v="3"/>
    <x v="5"/>
    <x v="1"/>
    <x v="1"/>
    <x v="1"/>
    <x v="1"/>
    <x v="7"/>
    <n v="0"/>
    <n v="0"/>
    <n v="37.749000000000002"/>
    <n v="37.749000000000002"/>
    <n v="37.749000000000002"/>
    <n v="37.749000000000002"/>
    <n v="193"/>
    <x v="1"/>
    <n v="0"/>
    <n v="0"/>
    <n v="19"/>
    <n v="59"/>
    <n v="0"/>
    <n v="406.52"/>
    <n v="199.03"/>
    <m/>
    <n v="506.43176911815436"/>
    <n v="205.52329867469447"/>
    <n v="0"/>
    <n v="15345.723480000001"/>
    <n v="7513.1834700000009"/>
    <n v="0"/>
    <n v="19117.292852441209"/>
    <n v="7758.2990016710419"/>
  </r>
  <r>
    <s v="Regular"/>
    <x v="1"/>
    <x v="3"/>
    <x v="5"/>
    <x v="1"/>
    <x v="1"/>
    <x v="1"/>
    <x v="1"/>
    <x v="8"/>
    <n v="0"/>
    <n v="0"/>
    <n v="1978.396"/>
    <n v="1978.396"/>
    <n v="1978.396"/>
    <n v="1978.396"/>
    <n v="9119"/>
    <x v="1"/>
    <n v="0"/>
    <n v="0"/>
    <n v="19"/>
    <n v="59"/>
    <n v="0"/>
    <n v="406.52"/>
    <n v="199.03"/>
    <m/>
    <n v="506.43176911815436"/>
    <n v="205.52329867469447"/>
    <n v="0"/>
    <n v="804257.54191999999"/>
    <n v="393760.15587999998"/>
    <n v="0"/>
    <n v="1001922.5862962801"/>
    <n v="406606.47200482083"/>
  </r>
  <r>
    <s v="Refaturamento - Regular"/>
    <x v="1"/>
    <x v="3"/>
    <x v="5"/>
    <x v="1"/>
    <x v="1"/>
    <x v="1"/>
    <x v="1"/>
    <x v="8"/>
    <n v="0"/>
    <n v="0"/>
    <n v="-8.8420000000000005"/>
    <n v="-8.8420000000000005"/>
    <n v="-8.8420000000000005"/>
    <n v="-8.8420000000000005"/>
    <n v="0"/>
    <x v="1"/>
    <n v="0"/>
    <n v="0"/>
    <n v="19"/>
    <n v="59"/>
    <n v="0"/>
    <n v="406.52"/>
    <n v="199.03"/>
    <m/>
    <n v="506.43176911815436"/>
    <n v="205.52329867469447"/>
    <n v="0"/>
    <n v="-3594.4498400000002"/>
    <n v="-1759.8232600000001"/>
    <n v="0"/>
    <n v="-4477.8697025427209"/>
    <n v="-1817.2370068816485"/>
  </r>
  <r>
    <s v="Sistema de Compensação"/>
    <x v="1"/>
    <x v="3"/>
    <x v="5"/>
    <x v="1"/>
    <x v="1"/>
    <x v="1"/>
    <x v="1"/>
    <x v="8"/>
    <n v="0"/>
    <n v="0"/>
    <n v="34.399000000000001"/>
    <n v="34.399000000000001"/>
    <n v="34.399000000000001"/>
    <n v="34.399000000000001"/>
    <n v="201"/>
    <x v="1"/>
    <n v="0"/>
    <n v="0"/>
    <n v="19"/>
    <n v="59"/>
    <n v="0"/>
    <n v="406.52"/>
    <n v="199.03"/>
    <m/>
    <n v="506.43176911815436"/>
    <n v="205.52329867469447"/>
    <n v="0"/>
    <n v="13983.88148"/>
    <n v="6846.4329699999998"/>
    <n v="0"/>
    <n v="17420.746425895391"/>
    <n v="7069.7959511108156"/>
  </r>
  <r>
    <s v="Regular"/>
    <x v="1"/>
    <x v="3"/>
    <x v="5"/>
    <x v="1"/>
    <x v="1"/>
    <x v="1"/>
    <x v="1"/>
    <x v="9"/>
    <n v="0"/>
    <n v="0"/>
    <n v="1361.423"/>
    <n v="1361.423"/>
    <n v="1361.423"/>
    <n v="1361.423"/>
    <n v="9150"/>
    <x v="1"/>
    <n v="0"/>
    <n v="0"/>
    <n v="19"/>
    <n v="59"/>
    <n v="0"/>
    <n v="406.52"/>
    <n v="199.03"/>
    <m/>
    <n v="506.43176911815436"/>
    <n v="205.52329867469447"/>
    <n v="0"/>
    <n v="553445.67796"/>
    <n v="270964.01968999999"/>
    <n v="0"/>
    <n v="689467.85840814502"/>
    <n v="279804.14585159859"/>
  </r>
  <r>
    <s v="Refaturamento - Regular"/>
    <x v="1"/>
    <x v="3"/>
    <x v="5"/>
    <x v="1"/>
    <x v="1"/>
    <x v="1"/>
    <x v="1"/>
    <x v="9"/>
    <n v="0"/>
    <n v="0"/>
    <n v="-0.24"/>
    <n v="-0.24"/>
    <n v="-0.24"/>
    <n v="-0.24"/>
    <n v="0"/>
    <x v="1"/>
    <n v="0"/>
    <n v="0"/>
    <n v="19"/>
    <n v="59"/>
    <n v="0"/>
    <n v="406.52"/>
    <n v="199.03"/>
    <m/>
    <n v="506.43176911815436"/>
    <n v="205.52329867469447"/>
    <n v="0"/>
    <n v="-97.564799999999991"/>
    <n v="-47.767199999999995"/>
    <n v="0"/>
    <n v="-121.54362458835705"/>
    <n v="-49.325591681926674"/>
  </r>
  <r>
    <s v="Sistema de Compensação"/>
    <x v="1"/>
    <x v="3"/>
    <x v="5"/>
    <x v="1"/>
    <x v="1"/>
    <x v="1"/>
    <x v="1"/>
    <x v="9"/>
    <n v="0"/>
    <n v="0"/>
    <n v="22.411999999999999"/>
    <n v="22.411999999999999"/>
    <n v="22.411999999999999"/>
    <n v="22.411999999999999"/>
    <n v="212"/>
    <x v="1"/>
    <n v="0"/>
    <n v="0"/>
    <n v="19"/>
    <n v="59"/>
    <n v="0"/>
    <n v="406.52"/>
    <n v="199.03"/>
    <m/>
    <n v="506.43176911815436"/>
    <n v="205.52329867469447"/>
    <n v="0"/>
    <n v="9110.9262399999989"/>
    <n v="4460.6603599999999"/>
    <n v="0"/>
    <n v="11350.148809476075"/>
    <n v="4606.188169897252"/>
  </r>
  <r>
    <s v="Regular"/>
    <x v="1"/>
    <x v="3"/>
    <x v="5"/>
    <x v="1"/>
    <x v="1"/>
    <x v="1"/>
    <x v="1"/>
    <x v="10"/>
    <n v="0"/>
    <n v="0"/>
    <n v="1350.643"/>
    <n v="1350.643"/>
    <n v="1350.643"/>
    <n v="1350.643"/>
    <n v="8818"/>
    <x v="1"/>
    <n v="0"/>
    <n v="0"/>
    <n v="19"/>
    <n v="59"/>
    <n v="0"/>
    <n v="406.52"/>
    <n v="199.03"/>
    <m/>
    <n v="506.43176911815436"/>
    <n v="205.52329867469447"/>
    <n v="0"/>
    <n v="549063.39235999994"/>
    <n v="268818.47629000002"/>
    <n v="0"/>
    <n v="684008.52393705142"/>
    <n v="277588.60469188535"/>
  </r>
  <r>
    <s v="Refaturamento - Regular"/>
    <x v="1"/>
    <x v="3"/>
    <x v="5"/>
    <x v="1"/>
    <x v="1"/>
    <x v="1"/>
    <x v="1"/>
    <x v="10"/>
    <n v="0"/>
    <n v="0"/>
    <n v="-1.476"/>
    <n v="-1.476"/>
    <n v="-1.476"/>
    <n v="-1.476"/>
    <n v="0"/>
    <x v="1"/>
    <n v="0"/>
    <n v="0"/>
    <n v="19"/>
    <n v="59"/>
    <n v="0"/>
    <n v="406.52"/>
    <n v="199.03"/>
    <m/>
    <n v="506.43176911815436"/>
    <n v="205.52329867469447"/>
    <n v="0"/>
    <n v="-600.02351999999996"/>
    <n v="-293.76828"/>
    <n v="0"/>
    <n v="-747.49329121839583"/>
    <n v="-303.35238884384904"/>
  </r>
  <r>
    <s v="Sistema de Compensação"/>
    <x v="1"/>
    <x v="3"/>
    <x v="5"/>
    <x v="1"/>
    <x v="1"/>
    <x v="1"/>
    <x v="1"/>
    <x v="10"/>
    <n v="0"/>
    <n v="0"/>
    <n v="26.657"/>
    <n v="26.657"/>
    <n v="26.657"/>
    <n v="26.657"/>
    <n v="225"/>
    <x v="1"/>
    <n v="0"/>
    <n v="0"/>
    <n v="19"/>
    <n v="59"/>
    <n v="0"/>
    <n v="406.52"/>
    <n v="199.03"/>
    <m/>
    <n v="506.43176911815436"/>
    <n v="205.52329867469447"/>
    <n v="0"/>
    <n v="10836.603639999999"/>
    <n v="5305.5427099999997"/>
    <n v="0"/>
    <n v="13499.951669382641"/>
    <n v="5478.6345727713306"/>
  </r>
  <r>
    <s v="Regular"/>
    <x v="1"/>
    <x v="3"/>
    <x v="5"/>
    <x v="1"/>
    <x v="1"/>
    <x v="1"/>
    <x v="1"/>
    <x v="11"/>
    <n v="0"/>
    <n v="0"/>
    <n v="1479.26"/>
    <n v="1479.26"/>
    <n v="1479.26"/>
    <n v="1479.26"/>
    <n v="8837"/>
    <x v="1"/>
    <n v="0"/>
    <n v="0"/>
    <n v="19"/>
    <n v="59"/>
    <n v="0"/>
    <n v="406.52"/>
    <n v="199.03"/>
    <m/>
    <n v="506.43176911815436"/>
    <n v="205.52329867469447"/>
    <n v="0"/>
    <n v="601348.77519999992"/>
    <n v="294417.11780000001"/>
    <n v="0"/>
    <n v="749144.25878572103"/>
    <n v="304022.39479752857"/>
  </r>
  <r>
    <s v="Sistema de Compensação"/>
    <x v="1"/>
    <x v="3"/>
    <x v="5"/>
    <x v="1"/>
    <x v="1"/>
    <x v="1"/>
    <x v="1"/>
    <x v="11"/>
    <n v="0"/>
    <n v="0"/>
    <n v="38.671999999999997"/>
    <n v="38.671999999999997"/>
    <n v="38.671999999999997"/>
    <n v="38.671999999999997"/>
    <n v="251"/>
    <x v="1"/>
    <n v="0"/>
    <n v="0"/>
    <n v="19"/>
    <n v="59"/>
    <n v="0"/>
    <n v="406.52"/>
    <n v="199.03"/>
    <m/>
    <n v="506.43176911815436"/>
    <n v="205.52329867469447"/>
    <n v="0"/>
    <n v="15720.941439999999"/>
    <n v="7696.8881599999995"/>
    <n v="0"/>
    <n v="19584.729375337265"/>
    <n v="7947.997006347784"/>
  </r>
  <r>
    <s v="Regular"/>
    <x v="1"/>
    <x v="3"/>
    <x v="5"/>
    <x v="2"/>
    <x v="1"/>
    <x v="1"/>
    <x v="1"/>
    <x v="0"/>
    <n v="0"/>
    <n v="0"/>
    <n v="32.19"/>
    <n v="32.19"/>
    <n v="32.19"/>
    <n v="32.19"/>
    <n v="64"/>
    <x v="1"/>
    <n v="0"/>
    <n v="0"/>
    <n v="20"/>
    <n v="60"/>
    <n v="0"/>
    <n v="112.15"/>
    <n v="69.66"/>
    <m/>
    <n v="135.19523572213743"/>
    <n v="71.933154536143064"/>
    <n v="0"/>
    <n v="3610.1084999999998"/>
    <n v="2242.3553999999999"/>
    <n v="0"/>
    <n v="4351.9346378956034"/>
    <n v="2315.5282445184453"/>
  </r>
  <r>
    <s v="Sistema de Compensação"/>
    <x v="1"/>
    <x v="3"/>
    <x v="5"/>
    <x v="2"/>
    <x v="1"/>
    <x v="1"/>
    <x v="1"/>
    <x v="0"/>
    <n v="0"/>
    <n v="0"/>
    <n v="0.06"/>
    <n v="0.06"/>
    <n v="0.06"/>
    <n v="0.06"/>
    <n v="1"/>
    <x v="1"/>
    <n v="0"/>
    <n v="0"/>
    <n v="20"/>
    <n v="60"/>
    <n v="0"/>
    <n v="112.15"/>
    <n v="69.66"/>
    <m/>
    <n v="135.19523572213743"/>
    <n v="71.933154536143064"/>
    <n v="0"/>
    <n v="6.7290000000000001"/>
    <n v="4.1795999999999998"/>
    <n v="0"/>
    <n v="8.1117141433282445"/>
    <n v="4.3159892721685837"/>
  </r>
  <r>
    <s v="Regular"/>
    <x v="1"/>
    <x v="3"/>
    <x v="5"/>
    <x v="2"/>
    <x v="1"/>
    <x v="1"/>
    <x v="1"/>
    <x v="1"/>
    <n v="0"/>
    <n v="0"/>
    <n v="32.31"/>
    <n v="32.31"/>
    <n v="32.31"/>
    <n v="32.31"/>
    <n v="63"/>
    <x v="1"/>
    <n v="0"/>
    <n v="0"/>
    <n v="20"/>
    <n v="60"/>
    <n v="0"/>
    <n v="112.15"/>
    <n v="69.66"/>
    <m/>
    <n v="135.19523572213743"/>
    <n v="71.933154536143064"/>
    <n v="0"/>
    <n v="3623.5665000000004"/>
    <n v="2250.7146000000002"/>
    <n v="0"/>
    <n v="4368.1580661822609"/>
    <n v="2324.1602230627827"/>
  </r>
  <r>
    <s v="Sistema de Compensação"/>
    <x v="1"/>
    <x v="3"/>
    <x v="5"/>
    <x v="2"/>
    <x v="1"/>
    <x v="1"/>
    <x v="1"/>
    <x v="1"/>
    <n v="0"/>
    <n v="0"/>
    <n v="0.03"/>
    <n v="0.03"/>
    <n v="0.03"/>
    <n v="0.03"/>
    <n v="1"/>
    <x v="1"/>
    <n v="0"/>
    <n v="0"/>
    <n v="20"/>
    <n v="60"/>
    <n v="0"/>
    <n v="112.15"/>
    <n v="69.66"/>
    <m/>
    <n v="135.19523572213743"/>
    <n v="71.933154536143064"/>
    <n v="0"/>
    <n v="3.3645"/>
    <n v="2.0897999999999999"/>
    <n v="0"/>
    <n v="4.0558570716641222"/>
    <n v="2.1579946360842919"/>
  </r>
  <r>
    <s v="Regular"/>
    <x v="1"/>
    <x v="3"/>
    <x v="5"/>
    <x v="2"/>
    <x v="1"/>
    <x v="1"/>
    <x v="1"/>
    <x v="2"/>
    <n v="0"/>
    <n v="0"/>
    <n v="32.58"/>
    <n v="32.58"/>
    <n v="32.58"/>
    <n v="32.58"/>
    <n v="51"/>
    <x v="1"/>
    <n v="0"/>
    <n v="0"/>
    <n v="20"/>
    <n v="60"/>
    <n v="0"/>
    <n v="112.15"/>
    <n v="69.66"/>
    <m/>
    <n v="135.19523572213743"/>
    <n v="71.933154536143064"/>
    <n v="0"/>
    <n v="3653.8470000000002"/>
    <n v="2269.5227999999997"/>
    <n v="0"/>
    <n v="4404.6607798272371"/>
    <n v="2343.5821747875411"/>
  </r>
  <r>
    <s v="Sistema de Compensação"/>
    <x v="1"/>
    <x v="3"/>
    <x v="5"/>
    <x v="2"/>
    <x v="1"/>
    <x v="1"/>
    <x v="1"/>
    <x v="2"/>
    <n v="0"/>
    <n v="0"/>
    <n v="0.03"/>
    <n v="0.03"/>
    <n v="0.03"/>
    <n v="0.03"/>
    <n v="1"/>
    <x v="1"/>
    <n v="0"/>
    <n v="0"/>
    <n v="20"/>
    <n v="60"/>
    <n v="0"/>
    <n v="112.15"/>
    <n v="69.66"/>
    <m/>
    <n v="135.19523572213743"/>
    <n v="71.933154536143064"/>
    <n v="0"/>
    <n v="3.3645"/>
    <n v="2.0897999999999999"/>
    <n v="0"/>
    <n v="4.0558570716641222"/>
    <n v="2.1579946360842919"/>
  </r>
  <r>
    <s v="Regular"/>
    <x v="1"/>
    <x v="3"/>
    <x v="5"/>
    <x v="2"/>
    <x v="1"/>
    <x v="1"/>
    <x v="1"/>
    <x v="3"/>
    <n v="0"/>
    <n v="0"/>
    <n v="32.700000000000003"/>
    <n v="32.700000000000003"/>
    <n v="32.700000000000003"/>
    <n v="32.700000000000003"/>
    <n v="53"/>
    <x v="1"/>
    <n v="0"/>
    <n v="0"/>
    <n v="20"/>
    <n v="60"/>
    <n v="0"/>
    <n v="112.15"/>
    <n v="69.66"/>
    <m/>
    <n v="135.19523572213743"/>
    <n v="71.933154536143064"/>
    <n v="0"/>
    <n v="3667.3050000000003"/>
    <n v="2277.8820000000001"/>
    <n v="0"/>
    <n v="4420.8842081138946"/>
    <n v="2352.2141533318786"/>
  </r>
  <r>
    <s v="Sistema de Compensação"/>
    <x v="1"/>
    <x v="3"/>
    <x v="5"/>
    <x v="2"/>
    <x v="1"/>
    <x v="1"/>
    <x v="1"/>
    <x v="3"/>
    <n v="0"/>
    <n v="0"/>
    <n v="0.03"/>
    <n v="0.03"/>
    <n v="0.03"/>
    <n v="0.03"/>
    <n v="1"/>
    <x v="1"/>
    <n v="0"/>
    <n v="0"/>
    <n v="20"/>
    <n v="60"/>
    <n v="0"/>
    <n v="112.15"/>
    <n v="69.66"/>
    <m/>
    <n v="135.19523572213743"/>
    <n v="71.933154536143064"/>
    <n v="0"/>
    <n v="3.3645"/>
    <n v="2.0897999999999999"/>
    <n v="0"/>
    <n v="4.0558570716641222"/>
    <n v="2.1579946360842919"/>
  </r>
  <r>
    <s v="Regular"/>
    <x v="1"/>
    <x v="3"/>
    <x v="5"/>
    <x v="2"/>
    <x v="1"/>
    <x v="1"/>
    <x v="1"/>
    <x v="4"/>
    <n v="0"/>
    <n v="0"/>
    <n v="32.880000000000003"/>
    <n v="32.880000000000003"/>
    <n v="32.880000000000003"/>
    <n v="32.880000000000003"/>
    <n v="43"/>
    <x v="1"/>
    <n v="0"/>
    <n v="0"/>
    <n v="20"/>
    <n v="60"/>
    <n v="0"/>
    <n v="112.15"/>
    <n v="69.66"/>
    <m/>
    <n v="135.19523572213743"/>
    <n v="71.933154536143064"/>
    <n v="0"/>
    <n v="3687.4920000000006"/>
    <n v="2290.4207999999999"/>
    <n v="0"/>
    <n v="4445.219350543879"/>
    <n v="2365.1621211483844"/>
  </r>
  <r>
    <s v="Sistema de Compensação"/>
    <x v="1"/>
    <x v="3"/>
    <x v="5"/>
    <x v="2"/>
    <x v="1"/>
    <x v="1"/>
    <x v="1"/>
    <x v="4"/>
    <n v="0"/>
    <n v="0"/>
    <n v="0.03"/>
    <n v="0.03"/>
    <n v="0.03"/>
    <n v="0.03"/>
    <n v="1"/>
    <x v="1"/>
    <n v="0"/>
    <n v="0"/>
    <n v="20"/>
    <n v="60"/>
    <n v="0"/>
    <n v="112.15"/>
    <n v="69.66"/>
    <m/>
    <n v="135.19523572213743"/>
    <n v="71.933154536143064"/>
    <n v="0"/>
    <n v="3.3645"/>
    <n v="2.0897999999999999"/>
    <n v="0"/>
    <n v="4.0558570716641222"/>
    <n v="2.1579946360842919"/>
  </r>
  <r>
    <s v="Regular"/>
    <x v="1"/>
    <x v="3"/>
    <x v="5"/>
    <x v="2"/>
    <x v="1"/>
    <x v="1"/>
    <x v="1"/>
    <x v="5"/>
    <n v="0"/>
    <n v="0"/>
    <n v="33.526000000000003"/>
    <n v="33.526000000000003"/>
    <n v="33.526000000000003"/>
    <n v="33.526000000000003"/>
    <n v="45"/>
    <x v="1"/>
    <n v="0"/>
    <n v="0"/>
    <n v="20"/>
    <n v="60"/>
    <n v="0"/>
    <n v="112.15"/>
    <n v="69.66"/>
    <m/>
    <n v="135.19523572213743"/>
    <n v="71.933154536143064"/>
    <n v="0"/>
    <n v="3759.9409000000005"/>
    <n v="2335.4211600000003"/>
    <n v="0"/>
    <n v="4532.5554728203797"/>
    <n v="2411.6309389787325"/>
  </r>
  <r>
    <s v="Sistema de Compensação"/>
    <x v="1"/>
    <x v="3"/>
    <x v="5"/>
    <x v="2"/>
    <x v="1"/>
    <x v="1"/>
    <x v="1"/>
    <x v="5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35.19523572213743"/>
    <n v="71.933154536143064"/>
    <n v="0"/>
    <n v="1.177575"/>
    <n v="0.73143000000000002"/>
    <n v="0"/>
    <n v="1.419549975082443"/>
    <n v="0.75529812262950224"/>
  </r>
  <r>
    <s v="Regular"/>
    <x v="1"/>
    <x v="3"/>
    <x v="5"/>
    <x v="2"/>
    <x v="1"/>
    <x v="1"/>
    <x v="1"/>
    <x v="6"/>
    <n v="0"/>
    <n v="0"/>
    <n v="33.99"/>
    <n v="33.99"/>
    <n v="33.99"/>
    <n v="33.99"/>
    <n v="44"/>
    <x v="1"/>
    <n v="0"/>
    <n v="0"/>
    <n v="20"/>
    <n v="60"/>
    <n v="0"/>
    <n v="112.15"/>
    <n v="69.66"/>
    <m/>
    <n v="135.19523572213743"/>
    <n v="71.933154536143064"/>
    <n v="0"/>
    <n v="3811.9785000000006"/>
    <n v="2367.7433999999998"/>
    <n v="0"/>
    <n v="4595.2860621954514"/>
    <n v="2445.0079226835028"/>
  </r>
  <r>
    <s v="Sistema de Compensação"/>
    <x v="1"/>
    <x v="3"/>
    <x v="5"/>
    <x v="2"/>
    <x v="1"/>
    <x v="1"/>
    <x v="1"/>
    <x v="6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35.19523572213743"/>
    <n v="71.933154536143064"/>
    <n v="0"/>
    <n v="1.177575"/>
    <n v="0.73143000000000002"/>
    <n v="0"/>
    <n v="1.419549975082443"/>
    <n v="0.75529812262950224"/>
  </r>
  <r>
    <s v="Regular"/>
    <x v="1"/>
    <x v="3"/>
    <x v="5"/>
    <x v="2"/>
    <x v="1"/>
    <x v="1"/>
    <x v="1"/>
    <x v="7"/>
    <n v="0"/>
    <n v="0"/>
    <n v="34.17"/>
    <n v="34.17"/>
    <n v="34.17"/>
    <n v="34.17"/>
    <n v="35"/>
    <x v="1"/>
    <n v="0"/>
    <n v="0"/>
    <n v="20"/>
    <n v="60"/>
    <n v="0"/>
    <n v="112.15"/>
    <n v="69.66"/>
    <m/>
    <n v="135.19523572213743"/>
    <n v="71.933154536143064"/>
    <n v="0"/>
    <n v="3832.1655000000005"/>
    <n v="2380.2822000000001"/>
    <n v="0"/>
    <n v="4619.6212046254359"/>
    <n v="2457.9558905000085"/>
  </r>
  <r>
    <s v="Sistema de Compensação"/>
    <x v="1"/>
    <x v="3"/>
    <x v="5"/>
    <x v="2"/>
    <x v="1"/>
    <x v="1"/>
    <x v="1"/>
    <x v="7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35.19523572213743"/>
    <n v="71.933154536143064"/>
    <n v="0"/>
    <n v="1.177575"/>
    <n v="0.73143000000000002"/>
    <n v="0"/>
    <n v="1.419549975082443"/>
    <n v="0.75529812262950224"/>
  </r>
  <r>
    <s v="Regular"/>
    <x v="1"/>
    <x v="3"/>
    <x v="5"/>
    <x v="2"/>
    <x v="1"/>
    <x v="1"/>
    <x v="1"/>
    <x v="8"/>
    <n v="0"/>
    <n v="0"/>
    <n v="34.92"/>
    <n v="34.92"/>
    <n v="34.92"/>
    <n v="34.92"/>
    <n v="42"/>
    <x v="1"/>
    <n v="0"/>
    <n v="0"/>
    <n v="20"/>
    <n v="60"/>
    <n v="0"/>
    <n v="112.15"/>
    <n v="69.66"/>
    <m/>
    <n v="135.19523572213743"/>
    <n v="71.933154536143064"/>
    <n v="0"/>
    <n v="3916.2780000000002"/>
    <n v="2432.5272"/>
    <n v="0"/>
    <n v="4721.0176314170394"/>
    <n v="2511.9057564021159"/>
  </r>
  <r>
    <s v="Sistema de Compensação"/>
    <x v="1"/>
    <x v="3"/>
    <x v="5"/>
    <x v="2"/>
    <x v="1"/>
    <x v="1"/>
    <x v="1"/>
    <x v="8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35.19523572213743"/>
    <n v="71.933154536143064"/>
    <n v="0"/>
    <n v="1.177575"/>
    <n v="0.73143000000000002"/>
    <n v="0"/>
    <n v="1.419549975082443"/>
    <n v="0.75529812262950224"/>
  </r>
  <r>
    <s v="Regular"/>
    <x v="1"/>
    <x v="3"/>
    <x v="5"/>
    <x v="2"/>
    <x v="1"/>
    <x v="1"/>
    <x v="1"/>
    <x v="9"/>
    <n v="0"/>
    <n v="0"/>
    <n v="35.58"/>
    <n v="35.58"/>
    <n v="35.58"/>
    <n v="35.58"/>
    <n v="40"/>
    <x v="1"/>
    <n v="0"/>
    <n v="0"/>
    <n v="20"/>
    <n v="60"/>
    <n v="0"/>
    <n v="112.15"/>
    <n v="69.66"/>
    <m/>
    <n v="135.19523572213743"/>
    <n v="71.933154536143064"/>
    <n v="0"/>
    <n v="3990.297"/>
    <n v="2478.5027999999998"/>
    <n v="0"/>
    <n v="4810.2464869936493"/>
    <n v="2559.3816383959702"/>
  </r>
  <r>
    <s v="Sistema de Compensação"/>
    <x v="1"/>
    <x v="3"/>
    <x v="5"/>
    <x v="2"/>
    <x v="1"/>
    <x v="1"/>
    <x v="1"/>
    <x v="9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35.19523572213743"/>
    <n v="71.933154536143064"/>
    <n v="0"/>
    <n v="1.177575"/>
    <n v="0.73143000000000002"/>
    <n v="0"/>
    <n v="1.419549975082443"/>
    <n v="0.75529812262950224"/>
  </r>
  <r>
    <s v="Regular"/>
    <x v="1"/>
    <x v="3"/>
    <x v="5"/>
    <x v="2"/>
    <x v="1"/>
    <x v="1"/>
    <x v="1"/>
    <x v="10"/>
    <n v="0"/>
    <n v="0"/>
    <n v="45.710999999999999"/>
    <n v="45.710999999999999"/>
    <n v="45.710999999999999"/>
    <n v="45.710999999999999"/>
    <n v="70"/>
    <x v="1"/>
    <n v="0"/>
    <n v="0"/>
    <n v="20"/>
    <n v="60"/>
    <n v="0"/>
    <n v="112.15"/>
    <n v="69.66"/>
    <m/>
    <n v="135.19523572213743"/>
    <n v="71.933154536143064"/>
    <n v="0"/>
    <n v="5126.4886500000002"/>
    <n v="3184.2282599999999"/>
    <n v="0"/>
    <n v="6179.9094200946238"/>
    <n v="3288.1364270016356"/>
  </r>
  <r>
    <s v="Sistema de Compensação"/>
    <x v="1"/>
    <x v="3"/>
    <x v="5"/>
    <x v="2"/>
    <x v="1"/>
    <x v="1"/>
    <x v="1"/>
    <x v="10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35.19523572213743"/>
    <n v="71.933154536143064"/>
    <n v="0"/>
    <n v="1.177575"/>
    <n v="0.73143000000000002"/>
    <n v="0"/>
    <n v="1.419549975082443"/>
    <n v="0.75529812262950224"/>
  </r>
  <r>
    <s v="Regular"/>
    <x v="1"/>
    <x v="3"/>
    <x v="5"/>
    <x v="2"/>
    <x v="1"/>
    <x v="1"/>
    <x v="1"/>
    <x v="11"/>
    <n v="0"/>
    <n v="0"/>
    <n v="44.174999999999997"/>
    <n v="44.174999999999997"/>
    <n v="44.174999999999997"/>
    <n v="44.174999999999997"/>
    <n v="59"/>
    <x v="1"/>
    <n v="0"/>
    <n v="0"/>
    <n v="20"/>
    <n v="60"/>
    <n v="0"/>
    <n v="112.15"/>
    <n v="69.66"/>
    <m/>
    <n v="135.19523572213743"/>
    <n v="71.933154536143064"/>
    <n v="0"/>
    <n v="4954.2262499999997"/>
    <n v="3077.2304999999997"/>
    <n v="0"/>
    <n v="5972.2495380254204"/>
    <n v="3177.6471016341197"/>
  </r>
  <r>
    <s v="Sistema de Compensação"/>
    <x v="1"/>
    <x v="3"/>
    <x v="5"/>
    <x v="2"/>
    <x v="1"/>
    <x v="1"/>
    <x v="1"/>
    <x v="11"/>
    <n v="0"/>
    <n v="0"/>
    <n v="0.03"/>
    <n v="-8.9999999999999993E-3"/>
    <n v="0.03"/>
    <n v="-8.9999999999999993E-3"/>
    <n v="0"/>
    <x v="1"/>
    <n v="0"/>
    <n v="0"/>
    <n v="20"/>
    <n v="60"/>
    <n v="0"/>
    <n v="112.15"/>
    <n v="69.66"/>
    <m/>
    <n v="135.19523572213743"/>
    <n v="71.933154536143064"/>
    <n v="0"/>
    <n v="-1.00935"/>
    <n v="-0.62693999999999994"/>
    <n v="0"/>
    <n v="-1.2167571214992368"/>
    <n v="-0.6473983908252875"/>
  </r>
  <r>
    <s v="Regular"/>
    <x v="1"/>
    <x v="3"/>
    <x v="5"/>
    <x v="3"/>
    <x v="1"/>
    <x v="1"/>
    <x v="1"/>
    <x v="0"/>
    <n v="0"/>
    <n v="0"/>
    <n v="62.991"/>
    <n v="62.991"/>
    <n v="62.991"/>
    <n v="62.991"/>
    <n v="268"/>
    <x v="1"/>
    <n v="0"/>
    <n v="0"/>
    <n v="21"/>
    <n v="61"/>
    <n v="0"/>
    <n v="192.27"/>
    <n v="119.42"/>
    <m/>
    <n v="231.76326123794988"/>
    <n v="123.31397920481668"/>
    <n v="0"/>
    <n v="12111.279570000001"/>
    <n v="7522.3852200000001"/>
    <n v="0"/>
    <n v="14598.999588639701"/>
    <n v="7767.6708640906072"/>
  </r>
  <r>
    <s v="Refaturamento - Regular"/>
    <x v="1"/>
    <x v="3"/>
    <x v="5"/>
    <x v="3"/>
    <x v="1"/>
    <x v="1"/>
    <x v="1"/>
    <x v="0"/>
    <n v="0"/>
    <n v="0"/>
    <n v="-6.6000000000000003E-2"/>
    <n v="-6.6000000000000003E-2"/>
    <n v="-6.6000000000000003E-2"/>
    <n v="-6.6000000000000003E-2"/>
    <n v="0"/>
    <x v="1"/>
    <n v="0"/>
    <n v="0"/>
    <n v="21"/>
    <n v="61"/>
    <n v="0"/>
    <n v="192.27"/>
    <n v="119.42"/>
    <m/>
    <n v="231.76326123794988"/>
    <n v="123.31397920481668"/>
    <n v="0"/>
    <n v="-12.689820000000001"/>
    <n v="-7.8817200000000005"/>
    <n v="0"/>
    <n v="-15.296375241704693"/>
    <n v="-8.1387226275179003"/>
  </r>
  <r>
    <s v="Sistema de Compensação"/>
    <x v="1"/>
    <x v="3"/>
    <x v="5"/>
    <x v="3"/>
    <x v="1"/>
    <x v="1"/>
    <x v="1"/>
    <x v="0"/>
    <n v="0"/>
    <n v="0"/>
    <n v="0.14000000000000001"/>
    <n v="0.14000000000000001"/>
    <n v="0.14000000000000001"/>
    <n v="0.14000000000000001"/>
    <n v="0"/>
    <x v="1"/>
    <n v="0"/>
    <n v="0"/>
    <n v="21"/>
    <n v="61"/>
    <n v="0"/>
    <n v="192.27"/>
    <n v="119.42"/>
    <m/>
    <n v="231.76326123794988"/>
    <n v="123.31397920481668"/>
    <n v="0"/>
    <n v="26.917800000000003"/>
    <n v="16.718800000000002"/>
    <n v="0"/>
    <n v="32.446856573312985"/>
    <n v="17.263957088674335"/>
  </r>
  <r>
    <s v="Regular"/>
    <x v="1"/>
    <x v="3"/>
    <x v="5"/>
    <x v="3"/>
    <x v="1"/>
    <x v="1"/>
    <x v="1"/>
    <x v="1"/>
    <n v="0"/>
    <n v="0"/>
    <n v="64.536000000000001"/>
    <n v="64.536000000000001"/>
    <n v="64.536000000000001"/>
    <n v="64.536000000000001"/>
    <n v="215"/>
    <x v="1"/>
    <n v="0"/>
    <n v="0"/>
    <n v="21"/>
    <n v="61"/>
    <n v="0"/>
    <n v="192.27"/>
    <n v="119.42"/>
    <m/>
    <n v="231.76326123794988"/>
    <n v="123.31397920481668"/>
    <n v="0"/>
    <n v="12408.336720000001"/>
    <n v="7706.8891199999998"/>
    <n v="0"/>
    <n v="14957.073827252334"/>
    <n v="7958.1909619620492"/>
  </r>
  <r>
    <s v="Refaturamento - Regular"/>
    <x v="1"/>
    <x v="3"/>
    <x v="5"/>
    <x v="3"/>
    <x v="1"/>
    <x v="1"/>
    <x v="1"/>
    <x v="1"/>
    <n v="0"/>
    <n v="0"/>
    <n v="0.14000000000000001"/>
    <n v="0.14000000000000001"/>
    <n v="0.14000000000000001"/>
    <n v="0.14000000000000001"/>
    <n v="0"/>
    <x v="1"/>
    <n v="0"/>
    <n v="0"/>
    <n v="21"/>
    <n v="61"/>
    <n v="0"/>
    <n v="192.27"/>
    <n v="119.42"/>
    <m/>
    <n v="231.76326123794988"/>
    <n v="123.31397920481668"/>
    <n v="0"/>
    <n v="26.917800000000003"/>
    <n v="16.718800000000002"/>
    <n v="0"/>
    <n v="32.446856573312985"/>
    <n v="17.263957088674335"/>
  </r>
  <r>
    <s v="Sistema de Compensação"/>
    <x v="1"/>
    <x v="3"/>
    <x v="5"/>
    <x v="3"/>
    <x v="1"/>
    <x v="1"/>
    <x v="1"/>
    <x v="1"/>
    <n v="0"/>
    <n v="0"/>
    <n v="6.2E-2"/>
    <n v="6.2E-2"/>
    <n v="6.2E-2"/>
    <n v="6.2E-2"/>
    <n v="0"/>
    <x v="1"/>
    <n v="0"/>
    <n v="0"/>
    <n v="21"/>
    <n v="61"/>
    <n v="0"/>
    <n v="192.27"/>
    <n v="119.42"/>
    <m/>
    <n v="231.76326123794988"/>
    <n v="123.31397920481668"/>
    <n v="0"/>
    <n v="11.92074"/>
    <n v="7.4040400000000002"/>
    <n v="0"/>
    <n v="14.369322196752892"/>
    <n v="7.645466710698634"/>
  </r>
  <r>
    <s v="Regular"/>
    <x v="1"/>
    <x v="3"/>
    <x v="5"/>
    <x v="3"/>
    <x v="1"/>
    <x v="1"/>
    <x v="1"/>
    <x v="2"/>
    <n v="0"/>
    <n v="0"/>
    <n v="65.968999999999994"/>
    <n v="65.968999999999994"/>
    <n v="65.968999999999994"/>
    <n v="65.968999999999994"/>
    <n v="234"/>
    <x v="1"/>
    <n v="0"/>
    <n v="0"/>
    <n v="21"/>
    <n v="61"/>
    <n v="0"/>
    <n v="192.27"/>
    <n v="119.42"/>
    <m/>
    <n v="231.76326123794988"/>
    <n v="123.31397920481668"/>
    <n v="0"/>
    <n v="12683.859629999999"/>
    <n v="7878.0179799999996"/>
    <n v="0"/>
    <n v="15289.190580606313"/>
    <n v="8134.8998941625505"/>
  </r>
  <r>
    <s v="Sistema de Compensação"/>
    <x v="1"/>
    <x v="3"/>
    <x v="5"/>
    <x v="3"/>
    <x v="1"/>
    <x v="1"/>
    <x v="1"/>
    <x v="2"/>
    <n v="0"/>
    <n v="0"/>
    <n v="7.0000000000000007E-2"/>
    <n v="7.0000000000000007E-2"/>
    <n v="7.0000000000000007E-2"/>
    <n v="7.0000000000000007E-2"/>
    <n v="0"/>
    <x v="1"/>
    <n v="0"/>
    <n v="0"/>
    <n v="21"/>
    <n v="61"/>
    <n v="0"/>
    <n v="192.27"/>
    <n v="119.42"/>
    <m/>
    <n v="231.76326123794988"/>
    <n v="123.31397920481668"/>
    <n v="0"/>
    <n v="13.458900000000002"/>
    <n v="8.3594000000000008"/>
    <n v="0"/>
    <n v="16.223428286656493"/>
    <n v="8.6319785443371675"/>
  </r>
  <r>
    <s v="Regular"/>
    <x v="1"/>
    <x v="3"/>
    <x v="5"/>
    <x v="3"/>
    <x v="1"/>
    <x v="1"/>
    <x v="1"/>
    <x v="3"/>
    <n v="0"/>
    <n v="0"/>
    <n v="67.483999999999995"/>
    <n v="67.483999999999995"/>
    <n v="67.483999999999995"/>
    <n v="67.483999999999995"/>
    <n v="198"/>
    <x v="1"/>
    <n v="0"/>
    <n v="0"/>
    <n v="21"/>
    <n v="61"/>
    <n v="0"/>
    <n v="192.27"/>
    <n v="119.42"/>
    <m/>
    <n v="231.76326123794988"/>
    <n v="123.31397920481668"/>
    <n v="0"/>
    <n v="12975.14868"/>
    <n v="8058.9392799999996"/>
    <n v="0"/>
    <n v="15640.311921381808"/>
    <n v="8321.7205726578486"/>
  </r>
  <r>
    <s v="Sistema de Compensação"/>
    <x v="1"/>
    <x v="3"/>
    <x v="5"/>
    <x v="3"/>
    <x v="1"/>
    <x v="1"/>
    <x v="1"/>
    <x v="3"/>
    <n v="0"/>
    <n v="0"/>
    <n v="7.0000000000000007E-2"/>
    <n v="7.0000000000000007E-2"/>
    <n v="7.0000000000000007E-2"/>
    <n v="7.0000000000000007E-2"/>
    <n v="0"/>
    <x v="1"/>
    <n v="0"/>
    <n v="0"/>
    <n v="21"/>
    <n v="61"/>
    <n v="0"/>
    <n v="192.27"/>
    <n v="119.42"/>
    <m/>
    <n v="231.76326123794988"/>
    <n v="123.31397920481668"/>
    <n v="0"/>
    <n v="13.458900000000002"/>
    <n v="8.3594000000000008"/>
    <n v="0"/>
    <n v="16.223428286656493"/>
    <n v="8.6319785443371675"/>
  </r>
  <r>
    <s v="Regular"/>
    <x v="1"/>
    <x v="3"/>
    <x v="5"/>
    <x v="3"/>
    <x v="1"/>
    <x v="1"/>
    <x v="1"/>
    <x v="4"/>
    <n v="0"/>
    <n v="0"/>
    <n v="68.765000000000001"/>
    <n v="68.765000000000001"/>
    <n v="68.765000000000001"/>
    <n v="68.765000000000001"/>
    <n v="185"/>
    <x v="1"/>
    <n v="0"/>
    <n v="0"/>
    <n v="21"/>
    <n v="61"/>
    <n v="0"/>
    <n v="192.27"/>
    <n v="119.42"/>
    <m/>
    <n v="231.76326123794988"/>
    <n v="123.31397920481668"/>
    <n v="0"/>
    <n v="13221.446550000001"/>
    <n v="8211.9163000000008"/>
    <n v="0"/>
    <n v="15937.200659027623"/>
    <n v="8479.6857800192192"/>
  </r>
  <r>
    <s v="Sistema de Compensação"/>
    <x v="1"/>
    <x v="3"/>
    <x v="5"/>
    <x v="3"/>
    <x v="1"/>
    <x v="1"/>
    <x v="1"/>
    <x v="4"/>
    <n v="0"/>
    <n v="0"/>
    <n v="0.14000000000000001"/>
    <n v="0.14000000000000001"/>
    <n v="0.14000000000000001"/>
    <n v="0.14000000000000001"/>
    <n v="0"/>
    <x v="1"/>
    <n v="0"/>
    <n v="0"/>
    <n v="21"/>
    <n v="61"/>
    <n v="0"/>
    <n v="192.27"/>
    <n v="119.42"/>
    <m/>
    <n v="231.76326123794988"/>
    <n v="123.31397920481668"/>
    <n v="0"/>
    <n v="26.917800000000003"/>
    <n v="16.718800000000002"/>
    <n v="0"/>
    <n v="32.446856573312985"/>
    <n v="17.263957088674335"/>
  </r>
  <r>
    <s v="Regular"/>
    <x v="1"/>
    <x v="3"/>
    <x v="5"/>
    <x v="3"/>
    <x v="1"/>
    <x v="1"/>
    <x v="1"/>
    <x v="5"/>
    <n v="0"/>
    <n v="0"/>
    <n v="70.614000000000004"/>
    <n v="70.614000000000004"/>
    <n v="70.614000000000004"/>
    <n v="70.614000000000004"/>
    <n v="162"/>
    <x v="1"/>
    <n v="0"/>
    <n v="0"/>
    <n v="21"/>
    <n v="61"/>
    <n v="0"/>
    <n v="192.27"/>
    <n v="119.42"/>
    <m/>
    <n v="231.76326123794988"/>
    <n v="123.31397920481668"/>
    <n v="0"/>
    <n v="13576.953780000002"/>
    <n v="8432.7238800000014"/>
    <n v="0"/>
    <n v="16365.730929056594"/>
    <n v="8707.6933275689244"/>
  </r>
  <r>
    <s v="Sistema de Compensação"/>
    <x v="1"/>
    <x v="3"/>
    <x v="5"/>
    <x v="3"/>
    <x v="1"/>
    <x v="1"/>
    <x v="1"/>
    <x v="5"/>
    <n v="0"/>
    <n v="0"/>
    <n v="3.1E-2"/>
    <n v="1.8599999999999998E-2"/>
    <n v="3.1E-2"/>
    <n v="1.8599999999999998E-2"/>
    <n v="0"/>
    <x v="1"/>
    <n v="0"/>
    <n v="0"/>
    <n v="21"/>
    <n v="61"/>
    <n v="0"/>
    <n v="192.27"/>
    <n v="119.42"/>
    <m/>
    <n v="231.76326123794988"/>
    <n v="123.31397920481668"/>
    <n v="0"/>
    <n v="3.576222"/>
    <n v="2.221212"/>
    <n v="0"/>
    <n v="4.3107966590258675"/>
    <n v="2.2936400132095898"/>
  </r>
  <r>
    <s v="Regular"/>
    <x v="1"/>
    <x v="3"/>
    <x v="5"/>
    <x v="3"/>
    <x v="1"/>
    <x v="1"/>
    <x v="1"/>
    <x v="6"/>
    <n v="0"/>
    <n v="0"/>
    <n v="73.241"/>
    <n v="73.241"/>
    <n v="73.241"/>
    <n v="73.241"/>
    <n v="122"/>
    <x v="1"/>
    <n v="0"/>
    <n v="0"/>
    <n v="21"/>
    <n v="61"/>
    <n v="0"/>
    <n v="192.27"/>
    <n v="119.42"/>
    <m/>
    <n v="231.76326123794988"/>
    <n v="123.31397920481668"/>
    <n v="0"/>
    <n v="14082.047070000001"/>
    <n v="8746.4402200000004"/>
    <n v="0"/>
    <n v="16974.573016328686"/>
    <n v="9031.6391509399782"/>
  </r>
  <r>
    <s v="Sistema de Compensação"/>
    <x v="1"/>
    <x v="3"/>
    <x v="5"/>
    <x v="3"/>
    <x v="1"/>
    <x v="1"/>
    <x v="1"/>
    <x v="6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31.76326123794988"/>
    <n v="123.31397920481668"/>
    <n v="0"/>
    <n v="8.0753400000000006"/>
    <n v="5.0156400000000003"/>
    <n v="0"/>
    <n v="9.7340569719938959"/>
    <n v="5.1791871266023009"/>
  </r>
  <r>
    <s v="Regular"/>
    <x v="1"/>
    <x v="3"/>
    <x v="5"/>
    <x v="3"/>
    <x v="1"/>
    <x v="1"/>
    <x v="1"/>
    <x v="7"/>
    <n v="0"/>
    <n v="0"/>
    <n v="74.933000000000007"/>
    <n v="74.933000000000007"/>
    <n v="74.933000000000007"/>
    <n v="74.933000000000007"/>
    <n v="103"/>
    <x v="1"/>
    <n v="0"/>
    <n v="0"/>
    <n v="21"/>
    <n v="61"/>
    <n v="0"/>
    <n v="192.27"/>
    <n v="119.42"/>
    <m/>
    <n v="231.76326123794988"/>
    <n v="123.31397920481668"/>
    <n v="0"/>
    <n v="14407.367910000003"/>
    <n v="8948.4988600000015"/>
    <n v="0"/>
    <n v="17366.716454343299"/>
    <n v="9240.2864037545296"/>
  </r>
  <r>
    <s v="Sistema de Compensação"/>
    <x v="1"/>
    <x v="3"/>
    <x v="5"/>
    <x v="3"/>
    <x v="1"/>
    <x v="1"/>
    <x v="1"/>
    <x v="7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31.76326123794988"/>
    <n v="123.31397920481668"/>
    <n v="0"/>
    <n v="8.0753400000000006"/>
    <n v="5.0156400000000003"/>
    <n v="0"/>
    <n v="9.7340569719938959"/>
    <n v="5.1791871266023009"/>
  </r>
  <r>
    <s v="Regular"/>
    <x v="1"/>
    <x v="3"/>
    <x v="5"/>
    <x v="3"/>
    <x v="1"/>
    <x v="1"/>
    <x v="1"/>
    <x v="8"/>
    <n v="0"/>
    <n v="0"/>
    <n v="75.010000000000005"/>
    <n v="75.010000000000005"/>
    <n v="75.010000000000005"/>
    <n v="75.010000000000005"/>
    <n v="138"/>
    <x v="1"/>
    <n v="0"/>
    <n v="0"/>
    <n v="21"/>
    <n v="61"/>
    <n v="0"/>
    <n v="192.27"/>
    <n v="119.42"/>
    <m/>
    <n v="231.76326123794988"/>
    <n v="123.31397920481668"/>
    <n v="0"/>
    <n v="14422.172700000001"/>
    <n v="8957.6941999999999"/>
    <n v="0"/>
    <n v="17384.56222545862"/>
    <n v="9249.7815801532997"/>
  </r>
  <r>
    <s v="Sistema de Compensação"/>
    <x v="1"/>
    <x v="3"/>
    <x v="5"/>
    <x v="3"/>
    <x v="1"/>
    <x v="1"/>
    <x v="1"/>
    <x v="8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31.76326123794988"/>
    <n v="123.31397920481668"/>
    <n v="0"/>
    <n v="8.0753400000000006"/>
    <n v="5.0156400000000003"/>
    <n v="0"/>
    <n v="9.7340569719938959"/>
    <n v="5.1791871266023009"/>
  </r>
  <r>
    <s v="Regular"/>
    <x v="1"/>
    <x v="3"/>
    <x v="5"/>
    <x v="3"/>
    <x v="1"/>
    <x v="1"/>
    <x v="1"/>
    <x v="9"/>
    <n v="0"/>
    <n v="0"/>
    <n v="73.043000000000006"/>
    <n v="73.043000000000006"/>
    <n v="73.043000000000006"/>
    <n v="73.043000000000006"/>
    <n v="265"/>
    <x v="1"/>
    <n v="0"/>
    <n v="0"/>
    <n v="21"/>
    <n v="61"/>
    <n v="0"/>
    <n v="192.27"/>
    <n v="119.42"/>
    <m/>
    <n v="231.76326123794988"/>
    <n v="123.31397920481668"/>
    <n v="0"/>
    <n v="14043.977610000002"/>
    <n v="8722.7950600000004"/>
    <n v="0"/>
    <n v="16928.683890603574"/>
    <n v="9007.2229830574252"/>
  </r>
  <r>
    <s v="Sistema de Compensação"/>
    <x v="1"/>
    <x v="3"/>
    <x v="5"/>
    <x v="3"/>
    <x v="1"/>
    <x v="1"/>
    <x v="1"/>
    <x v="9"/>
    <n v="0"/>
    <n v="0"/>
    <n v="5.8999999999999997E-2"/>
    <n v="3.5400000000000001E-2"/>
    <n v="5.8999999999999997E-2"/>
    <n v="3.5400000000000001E-2"/>
    <n v="0"/>
    <x v="1"/>
    <n v="0"/>
    <n v="0"/>
    <n v="21"/>
    <n v="61"/>
    <n v="0"/>
    <n v="192.27"/>
    <n v="119.42"/>
    <m/>
    <n v="231.76326123794988"/>
    <n v="123.31397920481668"/>
    <n v="0"/>
    <n v="6.8063580000000004"/>
    <n v="4.227468"/>
    <n v="0"/>
    <n v="8.204419447823426"/>
    <n v="4.3653148638505108"/>
  </r>
  <r>
    <s v="Regular"/>
    <x v="1"/>
    <x v="3"/>
    <x v="5"/>
    <x v="3"/>
    <x v="1"/>
    <x v="1"/>
    <x v="1"/>
    <x v="10"/>
    <n v="0"/>
    <n v="0"/>
    <n v="90.843999999999994"/>
    <n v="90.843999999999994"/>
    <n v="90.843999999999994"/>
    <n v="90.843999999999994"/>
    <n v="370"/>
    <x v="1"/>
    <n v="0"/>
    <n v="0"/>
    <n v="21"/>
    <n v="61"/>
    <n v="0"/>
    <n v="192.27"/>
    <n v="119.42"/>
    <m/>
    <n v="231.76326123794988"/>
    <n v="123.31397920481668"/>
    <n v="0"/>
    <n v="17466.57588"/>
    <n v="10848.590479999999"/>
    <n v="0"/>
    <n v="21054.301703900317"/>
    <n v="11202.335126882366"/>
  </r>
  <r>
    <s v="Sistema de Compensação"/>
    <x v="1"/>
    <x v="3"/>
    <x v="5"/>
    <x v="3"/>
    <x v="1"/>
    <x v="1"/>
    <x v="1"/>
    <x v="10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31.76326123794988"/>
    <n v="123.31397920481668"/>
    <n v="0"/>
    <n v="8.0753400000000006"/>
    <n v="5.0156400000000003"/>
    <n v="0"/>
    <n v="9.7340569719938959"/>
    <n v="5.1791871266023009"/>
  </r>
  <r>
    <s v="Regular"/>
    <x v="1"/>
    <x v="3"/>
    <x v="5"/>
    <x v="3"/>
    <x v="1"/>
    <x v="1"/>
    <x v="1"/>
    <x v="11"/>
    <n v="0"/>
    <n v="0"/>
    <n v="88.426000000000002"/>
    <n v="88.426000000000002"/>
    <n v="88.426000000000002"/>
    <n v="88.426000000000002"/>
    <n v="339"/>
    <x v="1"/>
    <n v="0"/>
    <n v="0"/>
    <n v="21"/>
    <n v="61"/>
    <n v="0"/>
    <n v="192.27"/>
    <n v="119.42"/>
    <m/>
    <n v="231.76326123794988"/>
    <n v="123.31397920481668"/>
    <n v="0"/>
    <n v="17001.667020000001"/>
    <n v="10559.832920000001"/>
    <n v="0"/>
    <n v="20493.898138226956"/>
    <n v="10904.161925165119"/>
  </r>
  <r>
    <s v="Sistema de Compensação"/>
    <x v="1"/>
    <x v="3"/>
    <x v="5"/>
    <x v="3"/>
    <x v="1"/>
    <x v="1"/>
    <x v="1"/>
    <x v="11"/>
    <n v="0"/>
    <n v="0"/>
    <n v="7.0000000000000007E-2"/>
    <n v="1.4E-2"/>
    <n v="7.0000000000000007E-2"/>
    <n v="1.4E-2"/>
    <n v="0"/>
    <x v="1"/>
    <n v="0"/>
    <n v="0"/>
    <n v="21"/>
    <n v="61"/>
    <n v="0"/>
    <n v="192.27"/>
    <n v="119.42"/>
    <m/>
    <n v="231.76326123794988"/>
    <n v="123.31397920481668"/>
    <n v="0"/>
    <n v="2.6917800000000001"/>
    <n v="1.67188"/>
    <n v="0"/>
    <n v="3.2446856573312983"/>
    <n v="1.7263957088674335"/>
  </r>
  <r>
    <s v="Regular"/>
    <x v="1"/>
    <x v="3"/>
    <x v="5"/>
    <x v="4"/>
    <x v="1"/>
    <x v="1"/>
    <x v="1"/>
    <x v="0"/>
    <n v="0"/>
    <n v="0"/>
    <n v="52.960999999999999"/>
    <n v="52.960999999999999"/>
    <n v="52.960999999999999"/>
    <n v="52.960999999999999"/>
    <n v="545"/>
    <x v="1"/>
    <n v="0"/>
    <n v="0"/>
    <n v="22"/>
    <n v="62"/>
    <n v="0"/>
    <n v="288.39999999999998"/>
    <n v="179.13"/>
    <m/>
    <n v="347.64489185692486"/>
    <n v="184.97096880722503"/>
    <n v="0"/>
    <n v="15273.952399999998"/>
    <n v="9486.9039300000004"/>
    <n v="0"/>
    <n v="18411.621117634597"/>
    <n v="9796.2474789994449"/>
  </r>
  <r>
    <s v="Refaturamento - Regular"/>
    <x v="1"/>
    <x v="3"/>
    <x v="5"/>
    <x v="4"/>
    <x v="1"/>
    <x v="1"/>
    <x v="1"/>
    <x v="0"/>
    <n v="0"/>
    <n v="0"/>
    <n v="-0.12"/>
    <n v="-0.12"/>
    <n v="-0.12"/>
    <n v="-0.12"/>
    <n v="0"/>
    <x v="1"/>
    <n v="0"/>
    <n v="0"/>
    <n v="22"/>
    <n v="62"/>
    <n v="0"/>
    <n v="288.39999999999998"/>
    <n v="179.13"/>
    <m/>
    <n v="347.64489185692486"/>
    <n v="184.97096880722503"/>
    <n v="0"/>
    <n v="-34.607999999999997"/>
    <n v="-21.4956"/>
    <n v="0"/>
    <n v="-41.717387022830984"/>
    <n v="-22.196516256867003"/>
  </r>
  <r>
    <s v="Sistema de Compensação"/>
    <x v="1"/>
    <x v="3"/>
    <x v="5"/>
    <x v="4"/>
    <x v="1"/>
    <x v="1"/>
    <x v="1"/>
    <x v="0"/>
    <n v="0"/>
    <n v="0"/>
    <n v="4.3999999999999997E-2"/>
    <n v="4.3999999999999997E-2"/>
    <n v="4.3999999999999997E-2"/>
    <n v="4.3999999999999997E-2"/>
    <n v="0"/>
    <x v="1"/>
    <n v="0"/>
    <n v="0"/>
    <n v="22"/>
    <n v="62"/>
    <n v="0"/>
    <n v="288.39999999999998"/>
    <n v="179.13"/>
    <m/>
    <n v="347.64489185692486"/>
    <n v="184.97096880722503"/>
    <n v="0"/>
    <n v="12.689599999999999"/>
    <n v="7.8817199999999996"/>
    <n v="0"/>
    <n v="15.296375241704693"/>
    <n v="8.1387226275179003"/>
  </r>
  <r>
    <s v="Regular"/>
    <x v="1"/>
    <x v="3"/>
    <x v="5"/>
    <x v="4"/>
    <x v="1"/>
    <x v="1"/>
    <x v="1"/>
    <x v="1"/>
    <n v="0"/>
    <n v="0"/>
    <n v="61.317999999999998"/>
    <n v="61.317999999999998"/>
    <n v="61.317999999999998"/>
    <n v="61.317999999999998"/>
    <n v="566"/>
    <x v="1"/>
    <n v="0"/>
    <n v="0"/>
    <n v="22"/>
    <n v="62"/>
    <n v="0"/>
    <n v="288.39999999999998"/>
    <n v="179.13"/>
    <m/>
    <n v="347.64489185692486"/>
    <n v="184.97096880722503"/>
    <n v="0"/>
    <n v="17684.111199999999"/>
    <n v="10983.893339999999"/>
    <n v="0"/>
    <n v="21316.889478882917"/>
    <n v="11342.049865321424"/>
  </r>
  <r>
    <s v="Refaturamento - Regular"/>
    <x v="1"/>
    <x v="3"/>
    <x v="5"/>
    <x v="4"/>
    <x v="1"/>
    <x v="1"/>
    <x v="1"/>
    <x v="1"/>
    <n v="0"/>
    <n v="0"/>
    <n v="0.23799999999999999"/>
    <n v="0.23799999999999999"/>
    <n v="0.23799999999999999"/>
    <n v="0.23799999999999999"/>
    <n v="0"/>
    <x v="1"/>
    <n v="0"/>
    <n v="0"/>
    <n v="22"/>
    <n v="62"/>
    <n v="0"/>
    <n v="288.39999999999998"/>
    <n v="179.13"/>
    <m/>
    <n v="347.64489185692486"/>
    <n v="184.97096880722503"/>
    <n v="0"/>
    <n v="68.639199999999988"/>
    <n v="42.632939999999998"/>
    <n v="0"/>
    <n v="82.739484261948107"/>
    <n v="44.023090576119557"/>
  </r>
  <r>
    <s v="Regular"/>
    <x v="1"/>
    <x v="3"/>
    <x v="5"/>
    <x v="4"/>
    <x v="1"/>
    <x v="1"/>
    <x v="1"/>
    <x v="2"/>
    <n v="0"/>
    <n v="0"/>
    <n v="58.665999999999997"/>
    <n v="58.665999999999997"/>
    <n v="58.665999999999997"/>
    <n v="58.665999999999997"/>
    <n v="579"/>
    <x v="1"/>
    <n v="0"/>
    <n v="0"/>
    <n v="22"/>
    <n v="62"/>
    <n v="0"/>
    <n v="288.39999999999998"/>
    <n v="179.13"/>
    <m/>
    <n v="347.64489185692486"/>
    <n v="184.97096880722503"/>
    <n v="0"/>
    <n v="16919.274399999998"/>
    <n v="10508.84058"/>
    <n v="0"/>
    <n v="20394.935225678353"/>
    <n v="10851.506856044663"/>
  </r>
  <r>
    <s v="Sistema de Compensação"/>
    <x v="1"/>
    <x v="3"/>
    <x v="5"/>
    <x v="4"/>
    <x v="1"/>
    <x v="1"/>
    <x v="1"/>
    <x v="2"/>
    <n v="0"/>
    <n v="0"/>
    <n v="3.0000000000000001E-3"/>
    <n v="3.0000000000000001E-3"/>
    <n v="3.0000000000000001E-3"/>
    <n v="3.0000000000000001E-3"/>
    <n v="0"/>
    <x v="1"/>
    <n v="0"/>
    <n v="0"/>
    <n v="22"/>
    <n v="62"/>
    <n v="0"/>
    <n v="288.39999999999998"/>
    <n v="179.13"/>
    <m/>
    <n v="347.64489185692486"/>
    <n v="184.97096880722503"/>
    <n v="0"/>
    <n v="0.86519999999999997"/>
    <n v="0.53739000000000003"/>
    <n v="0"/>
    <n v="1.0429346755707747"/>
    <n v="0.55491290642167512"/>
  </r>
  <r>
    <s v="Regular"/>
    <x v="1"/>
    <x v="3"/>
    <x v="5"/>
    <x v="4"/>
    <x v="1"/>
    <x v="1"/>
    <x v="1"/>
    <x v="3"/>
    <n v="0"/>
    <n v="0"/>
    <n v="62.91"/>
    <n v="62.91"/>
    <n v="62.91"/>
    <n v="62.91"/>
    <n v="595"/>
    <x v="1"/>
    <n v="0"/>
    <n v="0"/>
    <n v="22"/>
    <n v="62"/>
    <n v="0"/>
    <n v="288.39999999999998"/>
    <n v="179.13"/>
    <m/>
    <n v="347.64489185692486"/>
    <n v="184.97096880722503"/>
    <n v="0"/>
    <n v="18143.243999999999"/>
    <n v="11269.068299999999"/>
    <n v="0"/>
    <n v="21870.340146719143"/>
    <n v="11636.523647662527"/>
  </r>
  <r>
    <s v="Regular"/>
    <x v="1"/>
    <x v="3"/>
    <x v="5"/>
    <x v="4"/>
    <x v="1"/>
    <x v="1"/>
    <x v="1"/>
    <x v="4"/>
    <n v="0"/>
    <n v="0"/>
    <n v="70.632000000000005"/>
    <n v="70.632000000000005"/>
    <n v="70.632000000000005"/>
    <n v="70.632000000000005"/>
    <n v="564"/>
    <x v="1"/>
    <n v="0"/>
    <n v="0"/>
    <n v="22"/>
    <n v="62"/>
    <n v="0"/>
    <n v="288.39999999999998"/>
    <n v="179.13"/>
    <m/>
    <n v="347.64489185692486"/>
    <n v="184.97096880722503"/>
    <n v="0"/>
    <n v="20370.268800000002"/>
    <n v="12652.310160000001"/>
    <n v="0"/>
    <n v="24554.854001638319"/>
    <n v="13064.86946879192"/>
  </r>
  <r>
    <s v="Regular"/>
    <x v="1"/>
    <x v="3"/>
    <x v="5"/>
    <x v="4"/>
    <x v="1"/>
    <x v="1"/>
    <x v="1"/>
    <x v="5"/>
    <n v="0"/>
    <n v="0"/>
    <n v="75.957999999999998"/>
    <n v="75.957999999999998"/>
    <n v="75.957999999999998"/>
    <n v="75.957999999999998"/>
    <n v="557"/>
    <x v="1"/>
    <n v="0"/>
    <n v="0"/>
    <n v="22"/>
    <n v="62"/>
    <n v="0"/>
    <n v="288.39999999999998"/>
    <n v="179.13"/>
    <m/>
    <n v="347.64489185692486"/>
    <n v="184.97096880722503"/>
    <n v="0"/>
    <n v="21906.287199999999"/>
    <n v="13606.356539999999"/>
    <n v="0"/>
    <n v="26406.410695668299"/>
    <n v="14050.024848659199"/>
  </r>
  <r>
    <s v="Regular"/>
    <x v="1"/>
    <x v="3"/>
    <x v="5"/>
    <x v="4"/>
    <x v="1"/>
    <x v="1"/>
    <x v="1"/>
    <x v="6"/>
    <n v="0"/>
    <n v="0"/>
    <n v="86.519000000000005"/>
    <n v="86.519000000000005"/>
    <n v="86.519000000000005"/>
    <n v="86.519000000000005"/>
    <n v="513"/>
    <x v="1"/>
    <n v="0"/>
    <n v="0"/>
    <n v="22"/>
    <n v="62"/>
    <n v="0"/>
    <n v="288.39999999999998"/>
    <n v="179.13"/>
    <m/>
    <n v="347.64489185692486"/>
    <n v="184.97096880722503"/>
    <n v="0"/>
    <n v="24952.079600000001"/>
    <n v="15498.14847"/>
    <n v="0"/>
    <n v="30077.888398569285"/>
    <n v="16003.503250232303"/>
  </r>
  <r>
    <s v="Sistema de Compensação"/>
    <x v="1"/>
    <x v="3"/>
    <x v="5"/>
    <x v="4"/>
    <x v="1"/>
    <x v="1"/>
    <x v="1"/>
    <x v="6"/>
    <n v="0"/>
    <n v="0"/>
    <n v="2.5000000000000001E-2"/>
    <n v="2.2499999999999999E-2"/>
    <n v="2.5000000000000001E-2"/>
    <n v="2.2499999999999999E-2"/>
    <n v="0"/>
    <x v="1"/>
    <n v="0"/>
    <n v="0"/>
    <n v="22"/>
    <n v="62"/>
    <n v="0"/>
    <n v="288.39999999999998"/>
    <n v="179.13"/>
    <m/>
    <n v="347.64489185692486"/>
    <n v="184.97096880722503"/>
    <n v="0"/>
    <n v="6.488999999999999"/>
    <n v="4.0304250000000001"/>
    <n v="0"/>
    <n v="7.822010066780809"/>
    <n v="4.1618467981625633"/>
  </r>
  <r>
    <s v="Regular"/>
    <x v="1"/>
    <x v="3"/>
    <x v="5"/>
    <x v="4"/>
    <x v="1"/>
    <x v="1"/>
    <x v="1"/>
    <x v="7"/>
    <n v="0"/>
    <n v="0"/>
    <n v="96.45"/>
    <n v="96.45"/>
    <n v="96.45"/>
    <n v="96.45"/>
    <n v="437"/>
    <x v="1"/>
    <n v="0"/>
    <n v="0"/>
    <n v="22"/>
    <n v="62"/>
    <n v="0"/>
    <n v="288.39999999999998"/>
    <n v="179.13"/>
    <m/>
    <n v="347.64489185692486"/>
    <n v="184.97096880722503"/>
    <n v="0"/>
    <n v="27816.18"/>
    <n v="17277.088500000002"/>
    <n v="0"/>
    <n v="33530.3498196004"/>
    <n v="17840.449941456856"/>
  </r>
  <r>
    <s v="Refaturamento - Regular"/>
    <x v="1"/>
    <x v="3"/>
    <x v="5"/>
    <x v="4"/>
    <x v="1"/>
    <x v="1"/>
    <x v="1"/>
    <x v="7"/>
    <n v="0"/>
    <n v="0"/>
    <n v="-9.4E-2"/>
    <n v="-9.4E-2"/>
    <n v="-9.4E-2"/>
    <n v="-9.4E-2"/>
    <n v="0"/>
    <x v="1"/>
    <n v="0"/>
    <n v="0"/>
    <n v="22"/>
    <n v="62"/>
    <n v="0"/>
    <n v="288.39999999999998"/>
    <n v="179.13"/>
    <m/>
    <n v="347.64489185692486"/>
    <n v="184.97096880722503"/>
    <n v="0"/>
    <n v="-27.109599999999997"/>
    <n v="-16.83822"/>
    <n v="0"/>
    <n v="-32.678619834550936"/>
    <n v="-17.387271067879155"/>
  </r>
  <r>
    <s v="Sistema de Compensação"/>
    <x v="1"/>
    <x v="3"/>
    <x v="5"/>
    <x v="4"/>
    <x v="1"/>
    <x v="1"/>
    <x v="1"/>
    <x v="7"/>
    <n v="0"/>
    <n v="0"/>
    <n v="0.12"/>
    <n v="0.108"/>
    <n v="0.12"/>
    <n v="0.108"/>
    <n v="0"/>
    <x v="1"/>
    <n v="0"/>
    <n v="0"/>
    <n v="22"/>
    <n v="62"/>
    <n v="0"/>
    <n v="288.39999999999998"/>
    <n v="179.13"/>
    <m/>
    <n v="347.64489185692486"/>
    <n v="184.97096880722503"/>
    <n v="0"/>
    <n v="31.147199999999998"/>
    <n v="19.346039999999999"/>
    <n v="0"/>
    <n v="37.545648320547883"/>
    <n v="19.976864631180302"/>
  </r>
  <r>
    <s v="Regular"/>
    <x v="1"/>
    <x v="3"/>
    <x v="5"/>
    <x v="4"/>
    <x v="1"/>
    <x v="1"/>
    <x v="1"/>
    <x v="8"/>
    <n v="0"/>
    <n v="0"/>
    <n v="87.647000000000006"/>
    <n v="87.647000000000006"/>
    <n v="87.647000000000006"/>
    <n v="87.647000000000006"/>
    <n v="538"/>
    <x v="1"/>
    <n v="0"/>
    <n v="0"/>
    <n v="22"/>
    <n v="62"/>
    <n v="0"/>
    <n v="288.39999999999998"/>
    <n v="179.13"/>
    <m/>
    <n v="347.64489185692486"/>
    <n v="184.97096880722503"/>
    <n v="0"/>
    <n v="25277.394799999998"/>
    <n v="15700.207110000001"/>
    <n v="0"/>
    <n v="30470.031836583894"/>
    <n v="16212.150503046854"/>
  </r>
  <r>
    <s v="Refaturamento - Regular"/>
    <x v="1"/>
    <x v="3"/>
    <x v="5"/>
    <x v="4"/>
    <x v="1"/>
    <x v="1"/>
    <x v="1"/>
    <x v="8"/>
    <n v="0"/>
    <n v="0"/>
    <n v="-8.4000000000000005E-2"/>
    <n v="-8.4000000000000005E-2"/>
    <n v="-8.4000000000000005E-2"/>
    <n v="-8.4000000000000005E-2"/>
    <n v="0"/>
    <x v="1"/>
    <n v="0"/>
    <n v="0"/>
    <n v="22"/>
    <n v="62"/>
    <n v="0"/>
    <n v="288.39999999999998"/>
    <n v="179.13"/>
    <m/>
    <n v="347.64489185692486"/>
    <n v="184.97096880722503"/>
    <n v="0"/>
    <n v="-24.2256"/>
    <n v="-15.04692"/>
    <n v="0"/>
    <n v="-29.202170915981689"/>
    <n v="-15.537561379806904"/>
  </r>
  <r>
    <s v="Sistema de Compensação"/>
    <x v="1"/>
    <x v="3"/>
    <x v="5"/>
    <x v="4"/>
    <x v="1"/>
    <x v="1"/>
    <x v="1"/>
    <x v="8"/>
    <n v="0"/>
    <n v="0"/>
    <n v="6.5000000000000002E-2"/>
    <n v="5.8500000000000003E-2"/>
    <n v="6.5000000000000002E-2"/>
    <n v="5.8500000000000003E-2"/>
    <n v="0"/>
    <x v="1"/>
    <n v="0"/>
    <n v="0"/>
    <n v="22"/>
    <n v="62"/>
    <n v="0"/>
    <n v="288.39999999999998"/>
    <n v="179.13"/>
    <m/>
    <n v="347.64489185692486"/>
    <n v="184.97096880722503"/>
    <n v="0"/>
    <n v="16.871400000000001"/>
    <n v="10.479105000000001"/>
    <n v="0"/>
    <n v="20.337226173630107"/>
    <n v="10.820801675222665"/>
  </r>
  <r>
    <s v="Regular"/>
    <x v="1"/>
    <x v="3"/>
    <x v="5"/>
    <x v="4"/>
    <x v="1"/>
    <x v="1"/>
    <x v="1"/>
    <x v="9"/>
    <n v="0"/>
    <n v="0"/>
    <n v="65.495000000000005"/>
    <n v="65.495000000000005"/>
    <n v="65.495000000000005"/>
    <n v="65.495000000000005"/>
    <n v="636"/>
    <x v="1"/>
    <n v="0"/>
    <n v="0"/>
    <n v="22"/>
    <n v="62"/>
    <n v="0"/>
    <n v="288.39999999999998"/>
    <n v="179.13"/>
    <m/>
    <n v="347.64489185692486"/>
    <n v="184.97096880722503"/>
    <n v="0"/>
    <n v="18888.758000000002"/>
    <n v="11732.119350000001"/>
    <n v="0"/>
    <n v="22769.002192169297"/>
    <n v="12114.673602029205"/>
  </r>
  <r>
    <s v="Regular"/>
    <x v="1"/>
    <x v="3"/>
    <x v="5"/>
    <x v="4"/>
    <x v="1"/>
    <x v="1"/>
    <x v="1"/>
    <x v="10"/>
    <n v="0"/>
    <n v="0"/>
    <n v="77.677999999999997"/>
    <n v="77.677999999999997"/>
    <n v="77.677999999999997"/>
    <n v="77.677999999999997"/>
    <n v="771"/>
    <x v="1"/>
    <n v="0"/>
    <n v="0"/>
    <n v="22"/>
    <n v="62"/>
    <n v="0"/>
    <n v="288.39999999999998"/>
    <n v="179.13"/>
    <m/>
    <n v="347.64489185692486"/>
    <n v="184.97096880722503"/>
    <n v="0"/>
    <n v="22402.335199999998"/>
    <n v="13914.460139999999"/>
    <n v="0"/>
    <n v="27004.359909662209"/>
    <n v="14368.174915007627"/>
  </r>
  <r>
    <s v="Sistema de Compensação"/>
    <x v="1"/>
    <x v="3"/>
    <x v="5"/>
    <x v="4"/>
    <x v="1"/>
    <x v="1"/>
    <x v="1"/>
    <x v="10"/>
    <n v="0"/>
    <n v="0"/>
    <n v="4.7E-2"/>
    <n v="4.2299999999999997E-2"/>
    <n v="4.7E-2"/>
    <n v="4.2299999999999997E-2"/>
    <n v="0"/>
    <x v="1"/>
    <n v="0"/>
    <n v="0"/>
    <n v="22"/>
    <n v="62"/>
    <n v="0"/>
    <n v="288.39999999999998"/>
    <n v="179.13"/>
    <m/>
    <n v="347.64489185692486"/>
    <n v="184.97096880722503"/>
    <n v="0"/>
    <n v="12.199319999999998"/>
    <n v="7.5771989999999994"/>
    <n v="0"/>
    <n v="14.705378925547921"/>
    <n v="7.8242719805456185"/>
  </r>
  <r>
    <s v="Regular"/>
    <x v="1"/>
    <x v="3"/>
    <x v="5"/>
    <x v="4"/>
    <x v="1"/>
    <x v="1"/>
    <x v="1"/>
    <x v="11"/>
    <n v="0"/>
    <n v="0"/>
    <n v="79.436999999999998"/>
    <n v="79.436999999999998"/>
    <n v="79.436999999999998"/>
    <n v="79.436999999999998"/>
    <n v="738"/>
    <x v="1"/>
    <n v="0"/>
    <n v="0"/>
    <n v="22"/>
    <n v="62"/>
    <n v="0"/>
    <n v="288.39999999999998"/>
    <n v="179.13"/>
    <m/>
    <n v="347.64489185692486"/>
    <n v="184.97096880722503"/>
    <n v="0"/>
    <n v="22909.630799999999"/>
    <n v="14229.549809999999"/>
    <n v="0"/>
    <n v="27615.86727443854"/>
    <n v="14693.538849139535"/>
  </r>
  <r>
    <s v="Sistema de Compensação"/>
    <x v="1"/>
    <x v="3"/>
    <x v="5"/>
    <x v="4"/>
    <x v="1"/>
    <x v="1"/>
    <x v="1"/>
    <x v="11"/>
    <n v="0"/>
    <n v="0"/>
    <n v="8.5999999999999993E-2"/>
    <n v="6.88E-2"/>
    <n v="8.5999999999999993E-2"/>
    <n v="6.88E-2"/>
    <n v="1"/>
    <x v="1"/>
    <n v="0"/>
    <n v="0"/>
    <n v="22"/>
    <n v="62"/>
    <n v="0"/>
    <n v="288.39999999999998"/>
    <n v="179.13"/>
    <m/>
    <n v="347.64489185692486"/>
    <n v="184.97096880722503"/>
    <n v="0"/>
    <n v="19.841919999999998"/>
    <n v="12.324144"/>
    <n v="0"/>
    <n v="23.917968559756432"/>
    <n v="12.726002653937082"/>
  </r>
  <r>
    <s v="Regular"/>
    <x v="1"/>
    <x v="3"/>
    <x v="5"/>
    <x v="5"/>
    <x v="1"/>
    <x v="1"/>
    <x v="1"/>
    <x v="0"/>
    <n v="0"/>
    <n v="0"/>
    <n v="12.297000000000001"/>
    <n v="12.297000000000001"/>
    <n v="12.297000000000001"/>
    <n v="12.297000000000001"/>
    <n v="196"/>
    <x v="1"/>
    <n v="0"/>
    <n v="0"/>
    <n v="23"/>
    <n v="63"/>
    <n v="0"/>
    <n v="320.44"/>
    <n v="199.03"/>
    <m/>
    <n v="386.2721020632498"/>
    <n v="205.52329867469447"/>
    <n v="0"/>
    <n v="3940.4506800000004"/>
    <n v="2447.4719100000002"/>
    <n v="0"/>
    <n v="4749.9880390717826"/>
    <n v="2527.320003802718"/>
  </r>
  <r>
    <s v="Refaturamento - Regular"/>
    <x v="1"/>
    <x v="3"/>
    <x v="5"/>
    <x v="5"/>
    <x v="1"/>
    <x v="1"/>
    <x v="1"/>
    <x v="0"/>
    <n v="0"/>
    <n v="0"/>
    <n v="-0.03"/>
    <n v="-0.03"/>
    <n v="-0.03"/>
    <n v="-0.03"/>
    <n v="0"/>
    <x v="1"/>
    <n v="0"/>
    <n v="0"/>
    <n v="23"/>
    <n v="63"/>
    <n v="0"/>
    <n v="320.44"/>
    <n v="199.03"/>
    <m/>
    <n v="386.2721020632498"/>
    <n v="205.52329867469447"/>
    <n v="0"/>
    <n v="-9.6131999999999991"/>
    <n v="-5.9708999999999994"/>
    <n v="0"/>
    <n v="-11.588163061897493"/>
    <n v="-6.1656989602408343"/>
  </r>
  <r>
    <s v="Regular"/>
    <x v="1"/>
    <x v="3"/>
    <x v="5"/>
    <x v="5"/>
    <x v="1"/>
    <x v="1"/>
    <x v="1"/>
    <x v="1"/>
    <n v="0"/>
    <n v="0"/>
    <n v="16.533000000000001"/>
    <n v="16.533000000000001"/>
    <n v="16.533000000000001"/>
    <n v="16.533000000000001"/>
    <n v="233"/>
    <x v="1"/>
    <n v="0"/>
    <n v="0"/>
    <n v="23"/>
    <n v="63"/>
    <n v="0"/>
    <n v="320.44"/>
    <n v="199.03"/>
    <m/>
    <n v="386.2721020632498"/>
    <n v="205.52329867469447"/>
    <n v="0"/>
    <n v="5297.8345200000003"/>
    <n v="3290.5629900000004"/>
    <n v="0"/>
    <n v="6386.2366634117097"/>
    <n v="3397.9166969887242"/>
  </r>
  <r>
    <s v="Regular"/>
    <x v="1"/>
    <x v="3"/>
    <x v="5"/>
    <x v="5"/>
    <x v="1"/>
    <x v="1"/>
    <x v="1"/>
    <x v="2"/>
    <n v="0"/>
    <n v="0"/>
    <n v="14.256"/>
    <n v="14.256"/>
    <n v="14.256"/>
    <n v="14.256"/>
    <n v="222"/>
    <x v="1"/>
    <n v="0"/>
    <n v="0"/>
    <n v="23"/>
    <n v="63"/>
    <n v="0"/>
    <n v="320.44"/>
    <n v="199.03"/>
    <m/>
    <n v="386.2721020632498"/>
    <n v="205.52329867469447"/>
    <n v="0"/>
    <n v="4568.1926400000002"/>
    <n v="2837.3716800000002"/>
    <n v="0"/>
    <n v="5506.6950870136889"/>
    <n v="2929.9401459064443"/>
  </r>
  <r>
    <s v="Regular"/>
    <x v="1"/>
    <x v="3"/>
    <x v="5"/>
    <x v="5"/>
    <x v="1"/>
    <x v="1"/>
    <x v="1"/>
    <x v="3"/>
    <n v="0"/>
    <n v="0"/>
    <n v="15.997999999999999"/>
    <n v="15.997999999999999"/>
    <n v="15.997999999999999"/>
    <n v="15.997999999999999"/>
    <n v="244"/>
    <x v="1"/>
    <n v="0"/>
    <n v="0"/>
    <n v="23"/>
    <n v="63"/>
    <n v="0"/>
    <n v="320.44"/>
    <n v="199.03"/>
    <m/>
    <n v="386.2721020632498"/>
    <n v="205.52329867469447"/>
    <n v="0"/>
    <n v="5126.39912"/>
    <n v="3184.08194"/>
    <n v="0"/>
    <n v="6179.5810888078704"/>
    <n v="3287.9617321977621"/>
  </r>
  <r>
    <s v="Regular"/>
    <x v="1"/>
    <x v="3"/>
    <x v="5"/>
    <x v="5"/>
    <x v="1"/>
    <x v="1"/>
    <x v="1"/>
    <x v="4"/>
    <n v="0"/>
    <n v="0"/>
    <n v="22.010999999999999"/>
    <n v="22.010999999999999"/>
    <n v="22.010999999999999"/>
    <n v="22.010999999999999"/>
    <n v="303"/>
    <x v="1"/>
    <n v="0"/>
    <n v="0"/>
    <n v="23"/>
    <n v="63"/>
    <n v="0"/>
    <n v="320.44"/>
    <n v="199.03"/>
    <m/>
    <n v="386.2721020632498"/>
    <n v="205.52329867469447"/>
    <n v="0"/>
    <n v="7053.2048399999994"/>
    <n v="4380.84933"/>
    <n v="0"/>
    <n v="8502.2352385141912"/>
    <n v="4523.7733271286997"/>
  </r>
  <r>
    <s v="Regular"/>
    <x v="1"/>
    <x v="3"/>
    <x v="5"/>
    <x v="5"/>
    <x v="1"/>
    <x v="1"/>
    <x v="1"/>
    <x v="5"/>
    <n v="0"/>
    <n v="0"/>
    <n v="25.661000000000001"/>
    <n v="25.661000000000001"/>
    <n v="25.661000000000001"/>
    <n v="25.661000000000001"/>
    <n v="354"/>
    <x v="1"/>
    <n v="0"/>
    <n v="0"/>
    <n v="23"/>
    <n v="63"/>
    <n v="0"/>
    <n v="320.44"/>
    <n v="199.03"/>
    <m/>
    <n v="386.2721020632498"/>
    <n v="205.52329867469447"/>
    <n v="0"/>
    <n v="8222.8108400000001"/>
    <n v="5107.3088299999999"/>
    <n v="0"/>
    <n v="9912.1284110450542"/>
    <n v="5273.9333672913353"/>
  </r>
  <r>
    <s v="Regular"/>
    <x v="1"/>
    <x v="3"/>
    <x v="5"/>
    <x v="5"/>
    <x v="1"/>
    <x v="1"/>
    <x v="1"/>
    <x v="6"/>
    <n v="0"/>
    <n v="0"/>
    <n v="47.101999999999997"/>
    <n v="47.101999999999997"/>
    <n v="47.101999999999997"/>
    <n v="47.101999999999997"/>
    <n v="453"/>
    <x v="1"/>
    <n v="0"/>
    <n v="0"/>
    <n v="23"/>
    <n v="63"/>
    <n v="0"/>
    <n v="320.44"/>
    <n v="199.03"/>
    <m/>
    <n v="386.2721020632498"/>
    <n v="205.52329867469447"/>
    <n v="0"/>
    <n v="15093.364879999999"/>
    <n v="9374.7110599999996"/>
    <n v="0"/>
    <n v="18194.188551383191"/>
    <n v="9680.5584141754589"/>
  </r>
  <r>
    <s v="Refaturamento - Regular"/>
    <x v="1"/>
    <x v="3"/>
    <x v="5"/>
    <x v="5"/>
    <x v="1"/>
    <x v="1"/>
    <x v="1"/>
    <x v="6"/>
    <n v="0"/>
    <n v="0"/>
    <n v="0.24"/>
    <n v="0.24"/>
    <n v="0.24"/>
    <n v="0.24"/>
    <n v="0"/>
    <x v="1"/>
    <n v="0"/>
    <n v="0"/>
    <n v="23"/>
    <n v="63"/>
    <n v="0"/>
    <n v="320.44"/>
    <n v="199.03"/>
    <m/>
    <n v="386.2721020632498"/>
    <n v="205.52329867469447"/>
    <n v="0"/>
    <n v="76.905599999999993"/>
    <n v="47.767199999999995"/>
    <n v="0"/>
    <n v="92.705304495179945"/>
    <n v="49.325591681926674"/>
  </r>
  <r>
    <s v="Regular"/>
    <x v="1"/>
    <x v="3"/>
    <x v="5"/>
    <x v="5"/>
    <x v="1"/>
    <x v="1"/>
    <x v="1"/>
    <x v="7"/>
    <n v="0"/>
    <n v="0"/>
    <n v="70.347999999999999"/>
    <n v="70.347999999999999"/>
    <n v="70.347999999999999"/>
    <n v="70.347999999999999"/>
    <n v="564"/>
    <x v="1"/>
    <n v="0"/>
    <n v="0"/>
    <n v="23"/>
    <n v="63"/>
    <n v="0"/>
    <n v="320.44"/>
    <n v="199.03"/>
    <m/>
    <n v="386.2721020632498"/>
    <n v="205.52329867469447"/>
    <n v="0"/>
    <n v="22542.313119999999"/>
    <n v="14001.362439999999"/>
    <n v="0"/>
    <n v="27173.469835945496"/>
    <n v="14458.153015167407"/>
  </r>
  <r>
    <s v="Refaturamento - Regular"/>
    <x v="1"/>
    <x v="3"/>
    <x v="5"/>
    <x v="5"/>
    <x v="1"/>
    <x v="1"/>
    <x v="1"/>
    <x v="7"/>
    <n v="0"/>
    <n v="0"/>
    <n v="-0.61499999999999999"/>
    <n v="-0.61499999999999999"/>
    <n v="-0.61499999999999999"/>
    <n v="-0.61499999999999999"/>
    <n v="0"/>
    <x v="1"/>
    <n v="0"/>
    <n v="0"/>
    <n v="23"/>
    <n v="63"/>
    <n v="0"/>
    <n v="320.44"/>
    <n v="199.03"/>
    <m/>
    <n v="386.2721020632498"/>
    <n v="205.52329867469447"/>
    <n v="0"/>
    <n v="-197.07059999999998"/>
    <n v="-122.40344999999999"/>
    <n v="0"/>
    <n v="-237.55734276889862"/>
    <n v="-126.39682868493711"/>
  </r>
  <r>
    <s v="Sistema de Compensação"/>
    <x v="1"/>
    <x v="3"/>
    <x v="5"/>
    <x v="5"/>
    <x v="1"/>
    <x v="1"/>
    <x v="1"/>
    <x v="7"/>
    <n v="0"/>
    <n v="0"/>
    <n v="1.4E-2"/>
    <n v="1.4E-2"/>
    <n v="1.4E-2"/>
    <n v="1.4E-2"/>
    <n v="1"/>
    <x v="1"/>
    <n v="0"/>
    <n v="0"/>
    <n v="23"/>
    <n v="63"/>
    <n v="0"/>
    <n v="320.44"/>
    <n v="199.03"/>
    <m/>
    <n v="386.2721020632498"/>
    <n v="205.52329867469447"/>
    <n v="0"/>
    <n v="4.4861599999999999"/>
    <n v="2.7864200000000001"/>
    <n v="0"/>
    <n v="5.4078094288854972"/>
    <n v="2.8773261814457225"/>
  </r>
  <r>
    <s v="Regular"/>
    <x v="1"/>
    <x v="3"/>
    <x v="5"/>
    <x v="5"/>
    <x v="1"/>
    <x v="1"/>
    <x v="1"/>
    <x v="8"/>
    <n v="0"/>
    <n v="0"/>
    <n v="43.421999999999997"/>
    <n v="43.421999999999997"/>
    <n v="43.421999999999997"/>
    <n v="43.421999999999997"/>
    <n v="447"/>
    <x v="1"/>
    <n v="0"/>
    <n v="0"/>
    <n v="23"/>
    <n v="63"/>
    <n v="0"/>
    <n v="320.44"/>
    <n v="199.03"/>
    <m/>
    <n v="386.2721020632498"/>
    <n v="205.52329867469447"/>
    <n v="0"/>
    <n v="13914.14568"/>
    <n v="8642.2806600000004"/>
    <n v="0"/>
    <n v="16772.707215790433"/>
    <n v="8924.2326750525826"/>
  </r>
  <r>
    <s v="Refaturamento - Regular"/>
    <x v="1"/>
    <x v="3"/>
    <x v="5"/>
    <x v="5"/>
    <x v="1"/>
    <x v="1"/>
    <x v="1"/>
    <x v="8"/>
    <n v="0"/>
    <n v="0"/>
    <n v="-0.43099999999999999"/>
    <n v="-0.43099999999999999"/>
    <n v="-0.43099999999999999"/>
    <n v="-0.43099999999999999"/>
    <n v="0"/>
    <x v="1"/>
    <n v="0"/>
    <n v="0"/>
    <n v="23"/>
    <n v="63"/>
    <n v="0"/>
    <n v="320.44"/>
    <n v="199.03"/>
    <m/>
    <n v="386.2721020632498"/>
    <n v="205.52329867469447"/>
    <n v="0"/>
    <n v="-138.10963999999998"/>
    <n v="-85.781930000000003"/>
    <n v="0"/>
    <n v="-166.48327598926068"/>
    <n v="-88.580541728793321"/>
  </r>
  <r>
    <s v="Regular"/>
    <x v="1"/>
    <x v="3"/>
    <x v="5"/>
    <x v="5"/>
    <x v="1"/>
    <x v="1"/>
    <x v="1"/>
    <x v="9"/>
    <n v="0"/>
    <n v="0"/>
    <n v="17.241"/>
    <n v="17.241"/>
    <n v="17.241"/>
    <n v="17.241"/>
    <n v="245"/>
    <x v="1"/>
    <n v="0"/>
    <n v="0"/>
    <n v="23"/>
    <n v="63"/>
    <n v="0"/>
    <n v="320.44"/>
    <n v="199.03"/>
    <m/>
    <n v="386.2721020632498"/>
    <n v="205.52329867469447"/>
    <n v="0"/>
    <n v="5524.70604"/>
    <n v="3431.4762299999998"/>
    <n v="0"/>
    <n v="6659.7173116724898"/>
    <n v="3543.4271924504073"/>
  </r>
  <r>
    <s v="Regular"/>
    <x v="1"/>
    <x v="3"/>
    <x v="5"/>
    <x v="5"/>
    <x v="1"/>
    <x v="1"/>
    <x v="1"/>
    <x v="10"/>
    <n v="0"/>
    <n v="0"/>
    <n v="22.236000000000001"/>
    <n v="22.236000000000001"/>
    <n v="22.236000000000001"/>
    <n v="22.236000000000001"/>
    <n v="294"/>
    <x v="1"/>
    <n v="0"/>
    <n v="0"/>
    <n v="23"/>
    <n v="63"/>
    <n v="0"/>
    <n v="320.44"/>
    <n v="199.03"/>
    <m/>
    <n v="386.2721020632498"/>
    <n v="205.52329867469447"/>
    <n v="0"/>
    <n v="7125.3038400000005"/>
    <n v="4425.6310800000001"/>
    <n v="0"/>
    <n v="8589.1464614784236"/>
    <n v="4570.0160693305061"/>
  </r>
  <r>
    <s v="Regular"/>
    <x v="1"/>
    <x v="3"/>
    <x v="5"/>
    <x v="5"/>
    <x v="1"/>
    <x v="1"/>
    <x v="1"/>
    <x v="11"/>
    <n v="0"/>
    <n v="0"/>
    <n v="25.146999999999998"/>
    <n v="25.146999999999998"/>
    <n v="25.146999999999998"/>
    <n v="25.146999999999998"/>
    <n v="316"/>
    <x v="1"/>
    <n v="0"/>
    <n v="0"/>
    <n v="23"/>
    <n v="63"/>
    <n v="0"/>
    <n v="320.44"/>
    <n v="199.03"/>
    <m/>
    <n v="386.2721020632498"/>
    <n v="205.52329867469447"/>
    <n v="0"/>
    <n v="8058.1046799999995"/>
    <n v="5005.0074100000002"/>
    <n v="0"/>
    <n v="9713.5845505845427"/>
    <n v="5168.2943917725415"/>
  </r>
  <r>
    <s v="Regular"/>
    <x v="2"/>
    <x v="2"/>
    <x v="4"/>
    <x v="0"/>
    <x v="1"/>
    <x v="1"/>
    <x v="0"/>
    <x v="1"/>
    <n v="0"/>
    <n v="0"/>
    <n v="0.13700000000000001"/>
    <n v="0.13700000000000001"/>
    <n v="0.13700000000000001"/>
    <n v="0.13700000000000001"/>
    <n v="0"/>
    <x v="1"/>
    <n v="0"/>
    <n v="0"/>
    <n v="31"/>
    <n v="71"/>
    <n v="0"/>
    <n v="243.73"/>
    <n v="167.16"/>
    <m/>
    <n v="349.78137190437343"/>
    <n v="184.1432479319173"/>
    <n v="0"/>
    <n v="33.391010000000001"/>
    <n v="22.900920000000003"/>
    <n v="0"/>
    <n v="47.920047950899161"/>
    <n v="25.227624966672671"/>
  </r>
  <r>
    <s v="Regular"/>
    <x v="2"/>
    <x v="2"/>
    <x v="4"/>
    <x v="0"/>
    <x v="1"/>
    <x v="1"/>
    <x v="0"/>
    <x v="3"/>
    <n v="0"/>
    <n v="0"/>
    <n v="0.44500000000000001"/>
    <n v="0.44500000000000001"/>
    <n v="0.44500000000000001"/>
    <n v="0.44500000000000001"/>
    <n v="0"/>
    <x v="1"/>
    <n v="0"/>
    <n v="0"/>
    <n v="31"/>
    <n v="71"/>
    <n v="0"/>
    <n v="243.73"/>
    <n v="167.16"/>
    <m/>
    <n v="349.78137190437343"/>
    <n v="184.1432479319173"/>
    <n v="0"/>
    <n v="108.45985"/>
    <n v="74.386200000000002"/>
    <n v="0"/>
    <n v="155.65271049744618"/>
    <n v="81.943745329703205"/>
  </r>
  <r>
    <s v="Regular"/>
    <x v="2"/>
    <x v="2"/>
    <x v="4"/>
    <x v="0"/>
    <x v="1"/>
    <x v="1"/>
    <x v="0"/>
    <x v="4"/>
    <n v="0"/>
    <n v="0"/>
    <n v="0.26400000000000001"/>
    <n v="0.26400000000000001"/>
    <n v="0.26400000000000001"/>
    <n v="0.26400000000000001"/>
    <n v="0"/>
    <x v="1"/>
    <n v="0"/>
    <n v="0"/>
    <n v="31"/>
    <n v="71"/>
    <n v="0"/>
    <n v="243.73"/>
    <n v="167.16"/>
    <m/>
    <n v="349.78137190437343"/>
    <n v="184.1432479319173"/>
    <n v="0"/>
    <n v="64.344719999999995"/>
    <n v="44.130240000000001"/>
    <n v="0"/>
    <n v="92.342282182754587"/>
    <n v="48.613817454026169"/>
  </r>
  <r>
    <s v="Regular"/>
    <x v="2"/>
    <x v="2"/>
    <x v="4"/>
    <x v="0"/>
    <x v="1"/>
    <x v="1"/>
    <x v="0"/>
    <x v="5"/>
    <n v="0"/>
    <n v="0"/>
    <n v="0.33200000000000002"/>
    <n v="0.33200000000000002"/>
    <n v="0.33200000000000002"/>
    <n v="0.33200000000000002"/>
    <n v="0"/>
    <x v="1"/>
    <n v="0"/>
    <n v="0"/>
    <n v="31"/>
    <n v="71"/>
    <n v="0"/>
    <n v="243.73"/>
    <n v="167.16"/>
    <m/>
    <n v="349.78137190437343"/>
    <n v="184.1432479319173"/>
    <n v="0"/>
    <n v="80.918360000000007"/>
    <n v="55.497120000000002"/>
    <n v="0"/>
    <n v="116.12741547225198"/>
    <n v="61.135558313396544"/>
  </r>
  <r>
    <s v="Regular"/>
    <x v="2"/>
    <x v="2"/>
    <x v="4"/>
    <x v="0"/>
    <x v="1"/>
    <x v="1"/>
    <x v="0"/>
    <x v="6"/>
    <n v="0"/>
    <n v="0"/>
    <n v="0.27600000000000002"/>
    <n v="0.27600000000000002"/>
    <n v="0.27600000000000002"/>
    <n v="0.27600000000000002"/>
    <n v="0"/>
    <x v="1"/>
    <n v="0"/>
    <n v="0"/>
    <n v="31"/>
    <n v="71"/>
    <n v="0"/>
    <n v="243.73"/>
    <n v="167.16"/>
    <m/>
    <n v="349.78137190437343"/>
    <n v="184.1432479319173"/>
    <n v="0"/>
    <n v="67.269480000000001"/>
    <n v="46.136160000000004"/>
    <n v="0"/>
    <n v="96.539658645607076"/>
    <n v="50.823536429209177"/>
  </r>
  <r>
    <s v="Regular"/>
    <x v="2"/>
    <x v="2"/>
    <x v="4"/>
    <x v="0"/>
    <x v="1"/>
    <x v="1"/>
    <x v="0"/>
    <x v="7"/>
    <n v="0"/>
    <n v="0"/>
    <n v="0.28100000000000003"/>
    <n v="0.28100000000000003"/>
    <n v="0.28100000000000003"/>
    <n v="0.28100000000000003"/>
    <n v="0"/>
    <x v="1"/>
    <n v="0"/>
    <n v="0"/>
    <n v="31"/>
    <n v="71"/>
    <n v="0"/>
    <n v="243.73"/>
    <n v="167.16"/>
    <m/>
    <n v="349.78137190437343"/>
    <n v="184.1432479319173"/>
    <n v="0"/>
    <n v="68.488129999999998"/>
    <n v="46.971960000000003"/>
    <n v="0"/>
    <n v="98.288565505128943"/>
    <n v="51.744252668868768"/>
  </r>
  <r>
    <s v="Regular"/>
    <x v="2"/>
    <x v="2"/>
    <x v="4"/>
    <x v="0"/>
    <x v="1"/>
    <x v="1"/>
    <x v="0"/>
    <x v="8"/>
    <n v="0"/>
    <n v="0"/>
    <n v="0.24199999999999999"/>
    <n v="0.24199999999999999"/>
    <n v="0.24199999999999999"/>
    <n v="0.24199999999999999"/>
    <n v="0"/>
    <x v="1"/>
    <n v="0"/>
    <n v="0"/>
    <n v="31"/>
    <n v="71"/>
    <n v="0"/>
    <n v="243.73"/>
    <n v="167.16"/>
    <m/>
    <n v="349.78137190437343"/>
    <n v="184.1432479319173"/>
    <n v="0"/>
    <n v="58.982659999999996"/>
    <n v="40.452719999999999"/>
    <n v="0"/>
    <n v="84.647092000858365"/>
    <n v="44.562665999523986"/>
  </r>
  <r>
    <s v="Regular"/>
    <x v="2"/>
    <x v="2"/>
    <x v="4"/>
    <x v="0"/>
    <x v="1"/>
    <x v="1"/>
    <x v="0"/>
    <x v="9"/>
    <n v="0"/>
    <n v="0"/>
    <n v="0.2"/>
    <n v="0.2"/>
    <n v="0.2"/>
    <n v="0.2"/>
    <n v="0"/>
    <x v="1"/>
    <n v="0"/>
    <n v="0"/>
    <n v="31"/>
    <n v="71"/>
    <n v="0"/>
    <n v="243.73"/>
    <n v="167.16"/>
    <m/>
    <n v="349.78137190437343"/>
    <n v="184.1432479319173"/>
    <n v="0"/>
    <n v="48.746000000000002"/>
    <n v="33.432000000000002"/>
    <n v="0"/>
    <n v="69.956274380874689"/>
    <n v="36.828649586383463"/>
  </r>
  <r>
    <s v="Regular"/>
    <x v="2"/>
    <x v="2"/>
    <x v="4"/>
    <x v="0"/>
    <x v="1"/>
    <x v="1"/>
    <x v="0"/>
    <x v="10"/>
    <n v="0"/>
    <n v="0"/>
    <n v="0.16"/>
    <n v="0.16"/>
    <n v="0.16"/>
    <n v="0.16"/>
    <n v="0"/>
    <x v="1"/>
    <n v="0"/>
    <n v="0"/>
    <n v="31"/>
    <n v="71"/>
    <n v="0"/>
    <n v="243.73"/>
    <n v="167.16"/>
    <m/>
    <n v="349.78137190437343"/>
    <n v="184.1432479319173"/>
    <n v="0"/>
    <n v="38.9968"/>
    <n v="26.7456"/>
    <n v="0"/>
    <n v="55.965019504699747"/>
    <n v="29.462919669106768"/>
  </r>
  <r>
    <s v="Regular"/>
    <x v="2"/>
    <x v="2"/>
    <x v="4"/>
    <x v="0"/>
    <x v="1"/>
    <x v="1"/>
    <x v="0"/>
    <x v="11"/>
    <n v="0"/>
    <n v="0"/>
    <n v="0.16"/>
    <n v="0.16"/>
    <n v="0.16"/>
    <n v="0.16"/>
    <n v="0"/>
    <x v="1"/>
    <n v="0"/>
    <n v="0"/>
    <n v="31"/>
    <n v="71"/>
    <n v="0"/>
    <n v="243.73"/>
    <n v="167.16"/>
    <m/>
    <n v="349.78137190437343"/>
    <n v="184.1432479319173"/>
    <n v="0"/>
    <n v="38.9968"/>
    <n v="26.7456"/>
    <n v="0"/>
    <n v="55.965019504699747"/>
    <n v="29.462919669106768"/>
  </r>
  <r>
    <s v="Regular"/>
    <x v="2"/>
    <x v="2"/>
    <x v="4"/>
    <x v="0"/>
    <x v="1"/>
    <x v="1"/>
    <x v="3"/>
    <x v="1"/>
    <n v="0"/>
    <n v="0"/>
    <n v="1.7000000000000001E-2"/>
    <n v="1.7000000000000001E-2"/>
    <n v="1.7000000000000001E-2"/>
    <n v="1.7000000000000001E-2"/>
    <n v="0"/>
    <x v="1"/>
    <n v="0"/>
    <n v="0"/>
    <n v="30"/>
    <n v="70"/>
    <n v="0"/>
    <n v="533.92999999999995"/>
    <n v="167.16"/>
    <m/>
    <n v="779.76311905780517"/>
    <n v="184.1432479319173"/>
    <n v="0"/>
    <n v="9.07681"/>
    <n v="2.84172"/>
    <n v="0"/>
    <n v="13.255973023982689"/>
    <n v="3.1304352148425942"/>
  </r>
  <r>
    <s v="Regular"/>
    <x v="2"/>
    <x v="2"/>
    <x v="4"/>
    <x v="0"/>
    <x v="1"/>
    <x v="1"/>
    <x v="3"/>
    <x v="3"/>
    <n v="0"/>
    <n v="0"/>
    <n v="1.4999999999999999E-2"/>
    <n v="1.4999999999999999E-2"/>
    <n v="1.4999999999999999E-2"/>
    <n v="1.4999999999999999E-2"/>
    <n v="0"/>
    <x v="1"/>
    <n v="0"/>
    <n v="0"/>
    <n v="30"/>
    <n v="70"/>
    <n v="0"/>
    <n v="533.92999999999995"/>
    <n v="167.16"/>
    <m/>
    <n v="779.76311905780517"/>
    <n v="184.1432479319173"/>
    <n v="0"/>
    <n v="8.0089499999999987"/>
    <n v="2.5074000000000001"/>
    <n v="0"/>
    <n v="11.696446785867078"/>
    <n v="2.7621487189787595"/>
  </r>
  <r>
    <s v="Regular"/>
    <x v="2"/>
    <x v="2"/>
    <x v="4"/>
    <x v="0"/>
    <x v="1"/>
    <x v="1"/>
    <x v="3"/>
    <x v="4"/>
    <n v="0"/>
    <n v="0"/>
    <n v="2.5999999999999999E-2"/>
    <n v="2.5999999999999999E-2"/>
    <n v="2.5999999999999999E-2"/>
    <n v="2.5999999999999999E-2"/>
    <n v="0"/>
    <x v="1"/>
    <n v="0"/>
    <n v="0"/>
    <n v="30"/>
    <n v="70"/>
    <n v="0"/>
    <n v="533.92999999999995"/>
    <n v="167.16"/>
    <m/>
    <n v="779.76311905780517"/>
    <n v="184.1432479319173"/>
    <n v="0"/>
    <n v="13.882179999999998"/>
    <n v="4.3461599999999994"/>
    <n v="0"/>
    <n v="20.273841095502934"/>
    <n v="4.7877244462298494"/>
  </r>
  <r>
    <s v="Regular"/>
    <x v="2"/>
    <x v="2"/>
    <x v="4"/>
    <x v="0"/>
    <x v="1"/>
    <x v="1"/>
    <x v="3"/>
    <x v="5"/>
    <n v="0"/>
    <n v="0"/>
    <n v="3.3000000000000002E-2"/>
    <n v="3.3000000000000002E-2"/>
    <n v="3.3000000000000002E-2"/>
    <n v="3.3000000000000002E-2"/>
    <n v="0"/>
    <x v="1"/>
    <n v="0"/>
    <n v="0"/>
    <n v="30"/>
    <n v="70"/>
    <n v="0"/>
    <n v="533.92999999999995"/>
    <n v="167.16"/>
    <m/>
    <n v="779.76311905780517"/>
    <n v="184.1432479319173"/>
    <n v="0"/>
    <n v="17.619689999999999"/>
    <n v="5.5162800000000001"/>
    <n v="0"/>
    <n v="25.732182928907573"/>
    <n v="6.0767271817532711"/>
  </r>
  <r>
    <s v="Regular"/>
    <x v="2"/>
    <x v="2"/>
    <x v="4"/>
    <x v="0"/>
    <x v="1"/>
    <x v="1"/>
    <x v="3"/>
    <x v="6"/>
    <n v="0"/>
    <n v="0"/>
    <n v="2.4E-2"/>
    <n v="2.4E-2"/>
    <n v="2.4E-2"/>
    <n v="2.4E-2"/>
    <n v="0"/>
    <x v="1"/>
    <n v="0"/>
    <n v="0"/>
    <n v="30"/>
    <n v="70"/>
    <n v="0"/>
    <n v="533.92999999999995"/>
    <n v="167.16"/>
    <m/>
    <n v="779.76311905780517"/>
    <n v="184.1432479319173"/>
    <n v="0"/>
    <n v="12.814319999999999"/>
    <n v="4.0118400000000003"/>
    <n v="0"/>
    <n v="18.714314857387325"/>
    <n v="4.4194379503660155"/>
  </r>
  <r>
    <s v="Regular"/>
    <x v="2"/>
    <x v="2"/>
    <x v="4"/>
    <x v="0"/>
    <x v="1"/>
    <x v="1"/>
    <x v="3"/>
    <x v="7"/>
    <n v="0"/>
    <n v="0"/>
    <n v="2.1000000000000001E-2"/>
    <n v="2.1000000000000001E-2"/>
    <n v="2.1000000000000001E-2"/>
    <n v="2.1000000000000001E-2"/>
    <n v="0"/>
    <x v="1"/>
    <n v="0"/>
    <n v="0"/>
    <n v="30"/>
    <n v="70"/>
    <n v="0"/>
    <n v="533.92999999999995"/>
    <n v="167.16"/>
    <m/>
    <n v="779.76311905780517"/>
    <n v="184.1432479319173"/>
    <n v="0"/>
    <n v="11.212529999999999"/>
    <n v="3.5103599999999999"/>
    <n v="0"/>
    <n v="16.375025500213908"/>
    <n v="3.8670082065702638"/>
  </r>
  <r>
    <s v="Regular"/>
    <x v="2"/>
    <x v="2"/>
    <x v="4"/>
    <x v="0"/>
    <x v="1"/>
    <x v="1"/>
    <x v="3"/>
    <x v="8"/>
    <n v="0"/>
    <n v="0"/>
    <n v="1.6E-2"/>
    <n v="1.6E-2"/>
    <n v="1.6E-2"/>
    <n v="1.6E-2"/>
    <n v="0"/>
    <x v="1"/>
    <n v="0"/>
    <n v="0"/>
    <n v="30"/>
    <n v="70"/>
    <n v="0"/>
    <n v="533.92999999999995"/>
    <n v="167.16"/>
    <m/>
    <n v="779.76311905780517"/>
    <n v="184.1432479319173"/>
    <n v="0"/>
    <n v="8.5428800000000003"/>
    <n v="2.67456"/>
    <n v="0"/>
    <n v="12.476209904924882"/>
    <n v="2.9462919669106769"/>
  </r>
  <r>
    <s v="Regular"/>
    <x v="2"/>
    <x v="2"/>
    <x v="4"/>
    <x v="0"/>
    <x v="1"/>
    <x v="1"/>
    <x v="3"/>
    <x v="9"/>
    <n v="0"/>
    <n v="0"/>
    <n v="1.7999999999999999E-2"/>
    <n v="1.7999999999999999E-2"/>
    <n v="1.7999999999999999E-2"/>
    <n v="1.7999999999999999E-2"/>
    <n v="0"/>
    <x v="1"/>
    <n v="0"/>
    <n v="0"/>
    <n v="30"/>
    <n v="70"/>
    <n v="0"/>
    <n v="533.92999999999995"/>
    <n v="167.16"/>
    <m/>
    <n v="779.76311905780517"/>
    <n v="184.1432479319173"/>
    <n v="0"/>
    <n v="9.6107399999999981"/>
    <n v="3.0088799999999996"/>
    <n v="0"/>
    <n v="14.035736143040491"/>
    <n v="3.3145784627745112"/>
  </r>
  <r>
    <s v="Regular"/>
    <x v="2"/>
    <x v="2"/>
    <x v="4"/>
    <x v="0"/>
    <x v="1"/>
    <x v="1"/>
    <x v="3"/>
    <x v="10"/>
    <n v="0"/>
    <n v="0"/>
    <n v="2.1999999999999999E-2"/>
    <n v="2.1999999999999999E-2"/>
    <n v="2.1999999999999999E-2"/>
    <n v="2.1999999999999999E-2"/>
    <n v="0"/>
    <x v="1"/>
    <n v="0"/>
    <n v="0"/>
    <n v="30"/>
    <n v="70"/>
    <n v="0"/>
    <n v="533.92999999999995"/>
    <n v="167.16"/>
    <m/>
    <n v="779.76311905780517"/>
    <n v="184.1432479319173"/>
    <n v="0"/>
    <n v="11.746459999999999"/>
    <n v="3.6775199999999999"/>
    <n v="0"/>
    <n v="17.154788619271713"/>
    <n v="4.0511514545021807"/>
  </r>
  <r>
    <s v="Regular"/>
    <x v="2"/>
    <x v="2"/>
    <x v="4"/>
    <x v="0"/>
    <x v="1"/>
    <x v="1"/>
    <x v="3"/>
    <x v="11"/>
    <n v="0"/>
    <n v="0"/>
    <n v="2.1999999999999999E-2"/>
    <n v="2.1999999999999999E-2"/>
    <n v="2.1999999999999999E-2"/>
    <n v="2.1999999999999999E-2"/>
    <n v="0"/>
    <x v="1"/>
    <n v="0"/>
    <n v="0"/>
    <n v="30"/>
    <n v="70"/>
    <n v="0"/>
    <n v="533.92999999999995"/>
    <n v="167.16"/>
    <m/>
    <n v="779.76311905780517"/>
    <n v="184.1432479319173"/>
    <n v="0"/>
    <n v="11.746459999999999"/>
    <n v="3.6775199999999999"/>
    <n v="0"/>
    <n v="17.154788619271713"/>
    <n v="4.0511514545021807"/>
  </r>
  <r>
    <s v="Regular"/>
    <x v="2"/>
    <x v="2"/>
    <x v="4"/>
    <x v="0"/>
    <x v="1"/>
    <x v="1"/>
    <x v="2"/>
    <x v="1"/>
    <n v="0"/>
    <n v="0"/>
    <n v="3.2000000000000001E-2"/>
    <n v="3.2000000000000001E-2"/>
    <n v="3.2000000000000001E-2"/>
    <n v="3.2000000000000001E-2"/>
    <n v="0"/>
    <x v="1"/>
    <n v="0"/>
    <n v="0"/>
    <n v="29"/>
    <n v="69"/>
    <n v="0"/>
    <n v="824.14"/>
    <n v="262.98"/>
    <m/>
    <n v="1209.7449786714869"/>
    <n v="292.72708179946335"/>
    <n v="0"/>
    <n v="26.372479999999999"/>
    <n v="8.4153600000000015"/>
    <n v="0"/>
    <n v="38.711839317487581"/>
    <n v="9.3672666175828265"/>
  </r>
  <r>
    <s v="Regular"/>
    <x v="2"/>
    <x v="2"/>
    <x v="4"/>
    <x v="0"/>
    <x v="1"/>
    <x v="1"/>
    <x v="2"/>
    <x v="3"/>
    <n v="0"/>
    <n v="0"/>
    <n v="2.9000000000000001E-2"/>
    <n v="2.9000000000000001E-2"/>
    <n v="2.9000000000000001E-2"/>
    <n v="2.9000000000000001E-2"/>
    <n v="0"/>
    <x v="1"/>
    <n v="0"/>
    <n v="0"/>
    <n v="29"/>
    <n v="69"/>
    <n v="0"/>
    <n v="824.14"/>
    <n v="262.98"/>
    <m/>
    <n v="1209.7449786714869"/>
    <n v="292.72708179946335"/>
    <n v="0"/>
    <n v="23.90006"/>
    <n v="7.6264200000000013"/>
    <n v="0"/>
    <n v="35.082604381473125"/>
    <n v="8.4890853721844373"/>
  </r>
  <r>
    <s v="Regular"/>
    <x v="2"/>
    <x v="2"/>
    <x v="4"/>
    <x v="0"/>
    <x v="1"/>
    <x v="1"/>
    <x v="2"/>
    <x v="4"/>
    <n v="0"/>
    <n v="0"/>
    <n v="3.4000000000000002E-2"/>
    <n v="3.4000000000000002E-2"/>
    <n v="3.4000000000000002E-2"/>
    <n v="3.4000000000000002E-2"/>
    <n v="0"/>
    <x v="1"/>
    <n v="0"/>
    <n v="0"/>
    <n v="29"/>
    <n v="69"/>
    <n v="0"/>
    <n v="824.14"/>
    <n v="262.98"/>
    <m/>
    <n v="1209.7449786714869"/>
    <n v="292.72708179946335"/>
    <n v="0"/>
    <n v="28.020760000000003"/>
    <n v="8.941320000000001"/>
    <n v="0"/>
    <n v="41.131329274830556"/>
    <n v="9.9527207811817551"/>
  </r>
  <r>
    <s v="Regular"/>
    <x v="2"/>
    <x v="2"/>
    <x v="4"/>
    <x v="0"/>
    <x v="1"/>
    <x v="1"/>
    <x v="2"/>
    <x v="5"/>
    <n v="0"/>
    <n v="0"/>
    <n v="0.05"/>
    <n v="0.05"/>
    <n v="0.05"/>
    <n v="0.05"/>
    <n v="0"/>
    <x v="1"/>
    <n v="0"/>
    <n v="0"/>
    <n v="29"/>
    <n v="69"/>
    <n v="0"/>
    <n v="824.14"/>
    <n v="262.98"/>
    <m/>
    <n v="1209.7449786714869"/>
    <n v="292.72708179946335"/>
    <n v="0"/>
    <n v="41.207000000000001"/>
    <n v="13.149000000000001"/>
    <n v="0"/>
    <n v="60.48724893357435"/>
    <n v="14.636354089973167"/>
  </r>
  <r>
    <s v="Regular"/>
    <x v="2"/>
    <x v="2"/>
    <x v="4"/>
    <x v="0"/>
    <x v="1"/>
    <x v="1"/>
    <x v="2"/>
    <x v="6"/>
    <n v="0"/>
    <n v="0"/>
    <n v="3.5000000000000003E-2"/>
    <n v="3.5000000000000003E-2"/>
    <n v="3.5000000000000003E-2"/>
    <n v="3.5000000000000003E-2"/>
    <n v="0"/>
    <x v="1"/>
    <n v="0"/>
    <n v="0"/>
    <n v="29"/>
    <n v="69"/>
    <n v="0"/>
    <n v="824.14"/>
    <n v="262.98"/>
    <m/>
    <n v="1209.7449786714869"/>
    <n v="292.72708179946335"/>
    <n v="0"/>
    <n v="28.844900000000003"/>
    <n v="9.2043000000000017"/>
    <n v="0"/>
    <n v="42.341074253502043"/>
    <n v="10.245447862981218"/>
  </r>
  <r>
    <s v="Regular"/>
    <x v="2"/>
    <x v="2"/>
    <x v="4"/>
    <x v="0"/>
    <x v="1"/>
    <x v="1"/>
    <x v="2"/>
    <x v="7"/>
    <n v="0"/>
    <n v="0"/>
    <n v="3.5999999999999997E-2"/>
    <n v="3.5999999999999997E-2"/>
    <n v="3.5999999999999997E-2"/>
    <n v="3.5999999999999997E-2"/>
    <n v="0"/>
    <x v="1"/>
    <n v="0"/>
    <n v="0"/>
    <n v="29"/>
    <n v="69"/>
    <n v="0"/>
    <n v="824.14"/>
    <n v="262.98"/>
    <m/>
    <n v="1209.7449786714869"/>
    <n v="292.72708179946335"/>
    <n v="0"/>
    <n v="29.669039999999999"/>
    <n v="9.4672800000000006"/>
    <n v="0"/>
    <n v="43.550819232173524"/>
    <n v="10.53817494478068"/>
  </r>
  <r>
    <s v="Regular"/>
    <x v="2"/>
    <x v="2"/>
    <x v="4"/>
    <x v="0"/>
    <x v="1"/>
    <x v="1"/>
    <x v="2"/>
    <x v="8"/>
    <n v="0"/>
    <n v="0"/>
    <n v="0.03"/>
    <n v="0.03"/>
    <n v="0.03"/>
    <n v="0.03"/>
    <n v="0"/>
    <x v="1"/>
    <n v="0"/>
    <n v="0"/>
    <n v="29"/>
    <n v="69"/>
    <n v="0"/>
    <n v="824.14"/>
    <n v="262.98"/>
    <m/>
    <n v="1209.7449786714869"/>
    <n v="292.72708179946335"/>
    <n v="0"/>
    <n v="24.7242"/>
    <n v="7.8894000000000002"/>
    <n v="0"/>
    <n v="36.292349360144605"/>
    <n v="8.7818124539838998"/>
  </r>
  <r>
    <s v="Regular"/>
    <x v="2"/>
    <x v="2"/>
    <x v="4"/>
    <x v="0"/>
    <x v="1"/>
    <x v="1"/>
    <x v="2"/>
    <x v="9"/>
    <n v="0"/>
    <n v="0"/>
    <n v="3.1E-2"/>
    <n v="3.1E-2"/>
    <n v="3.1E-2"/>
    <n v="3.1E-2"/>
    <n v="0"/>
    <x v="1"/>
    <n v="0"/>
    <n v="0"/>
    <n v="29"/>
    <n v="69"/>
    <n v="0"/>
    <n v="824.14"/>
    <n v="262.98"/>
    <m/>
    <n v="1209.7449786714869"/>
    <n v="292.72708179946335"/>
    <n v="0"/>
    <n v="25.54834"/>
    <n v="8.1523800000000008"/>
    <n v="0"/>
    <n v="37.502094338816093"/>
    <n v="9.074539535783364"/>
  </r>
  <r>
    <s v="Regular"/>
    <x v="2"/>
    <x v="2"/>
    <x v="4"/>
    <x v="0"/>
    <x v="1"/>
    <x v="1"/>
    <x v="2"/>
    <x v="10"/>
    <n v="0"/>
    <n v="0"/>
    <n v="4.2000000000000003E-2"/>
    <n v="4.2000000000000003E-2"/>
    <n v="4.2000000000000003E-2"/>
    <n v="4.2000000000000003E-2"/>
    <n v="0"/>
    <x v="1"/>
    <n v="0"/>
    <n v="0"/>
    <n v="29"/>
    <n v="69"/>
    <n v="0"/>
    <n v="824.14"/>
    <n v="262.98"/>
    <m/>
    <n v="1209.7449786714869"/>
    <n v="292.72708179946335"/>
    <n v="0"/>
    <n v="34.613880000000002"/>
    <n v="11.045160000000001"/>
    <n v="0"/>
    <n v="50.809289104202456"/>
    <n v="12.294537435577462"/>
  </r>
  <r>
    <s v="Regular"/>
    <x v="2"/>
    <x v="2"/>
    <x v="4"/>
    <x v="0"/>
    <x v="1"/>
    <x v="1"/>
    <x v="2"/>
    <x v="11"/>
    <n v="0"/>
    <n v="0"/>
    <n v="4.2000000000000003E-2"/>
    <n v="4.2000000000000003E-2"/>
    <n v="4.2000000000000003E-2"/>
    <n v="4.2000000000000003E-2"/>
    <n v="0"/>
    <x v="1"/>
    <n v="0"/>
    <n v="0"/>
    <n v="29"/>
    <n v="69"/>
    <n v="0"/>
    <n v="824.14"/>
    <n v="262.98"/>
    <m/>
    <n v="1209.7449786714869"/>
    <n v="292.72708179946335"/>
    <n v="0"/>
    <n v="34.613880000000002"/>
    <n v="11.045160000000001"/>
    <n v="0"/>
    <n v="50.809289104202456"/>
    <n v="12.294537435577462"/>
  </r>
  <r>
    <s v="Regular"/>
    <x v="2"/>
    <x v="3"/>
    <x v="4"/>
    <x v="6"/>
    <x v="3"/>
    <x v="1"/>
    <x v="1"/>
    <x v="0"/>
    <n v="0"/>
    <n v="0"/>
    <n v="4.2359999999999998"/>
    <n v="4.2359999999999998"/>
    <n v="4.2359999999999998"/>
    <n v="4.2359999999999998"/>
    <n v="0"/>
    <x v="1"/>
    <n v="0"/>
    <n v="0"/>
    <n v="32"/>
    <n v="72"/>
    <n v="0"/>
    <n v="357.74"/>
    <n v="175.15"/>
    <m/>
    <n v="476.04586297106505"/>
    <n v="193.19190075421278"/>
    <n v="0"/>
    <n v="1515.3866399999999"/>
    <n v="741.93539999999996"/>
    <n v="0"/>
    <n v="2016.5302755454313"/>
    <n v="818.36089159484527"/>
  </r>
  <r>
    <s v="Regular"/>
    <x v="2"/>
    <x v="3"/>
    <x v="4"/>
    <x v="6"/>
    <x v="3"/>
    <x v="1"/>
    <x v="1"/>
    <x v="1"/>
    <n v="0"/>
    <n v="0"/>
    <n v="5.0670000000000002"/>
    <n v="5.0670000000000002"/>
    <n v="5.0670000000000002"/>
    <n v="5.0670000000000002"/>
    <n v="0"/>
    <x v="1"/>
    <n v="0"/>
    <n v="0"/>
    <n v="32"/>
    <n v="72"/>
    <n v="0"/>
    <n v="357.74"/>
    <n v="175.15"/>
    <m/>
    <n v="476.04586297106505"/>
    <n v="193.19190075421278"/>
    <n v="0"/>
    <n v="1812.66858"/>
    <n v="887.48505000000011"/>
    <n v="0"/>
    <n v="2412.1243876743865"/>
    <n v="978.90336112159616"/>
  </r>
  <r>
    <s v="Regular"/>
    <x v="2"/>
    <x v="3"/>
    <x v="4"/>
    <x v="6"/>
    <x v="3"/>
    <x v="1"/>
    <x v="1"/>
    <x v="2"/>
    <n v="0"/>
    <n v="0"/>
    <n v="2.8380000000000001"/>
    <n v="2.8380000000000001"/>
    <n v="2.8380000000000001"/>
    <n v="2.8380000000000001"/>
    <n v="0"/>
    <x v="1"/>
    <n v="0"/>
    <n v="0"/>
    <n v="32"/>
    <n v="72"/>
    <n v="0"/>
    <n v="357.74"/>
    <n v="175.15"/>
    <m/>
    <n v="476.04586297106505"/>
    <n v="193.19190075421278"/>
    <n v="0"/>
    <n v="1015.26612"/>
    <n v="497.07570000000004"/>
    <n v="0"/>
    <n v="1351.0181591118826"/>
    <n v="548.27861434045587"/>
  </r>
  <r>
    <s v="Regular"/>
    <x v="2"/>
    <x v="3"/>
    <x v="4"/>
    <x v="6"/>
    <x v="3"/>
    <x v="1"/>
    <x v="1"/>
    <x v="3"/>
    <n v="0"/>
    <n v="0"/>
    <n v="5.6070000000000002"/>
    <n v="5.6070000000000002"/>
    <n v="5.6070000000000002"/>
    <n v="5.6070000000000002"/>
    <n v="0"/>
    <x v="1"/>
    <n v="0"/>
    <n v="0"/>
    <n v="32"/>
    <n v="72"/>
    <n v="0"/>
    <n v="357.74"/>
    <n v="175.15"/>
    <m/>
    <n v="476.04586297106505"/>
    <n v="193.19190075421278"/>
    <n v="0"/>
    <n v="2005.8481800000002"/>
    <n v="982.06605000000002"/>
    <n v="0"/>
    <n v="2669.1891536787616"/>
    <n v="1083.2269875288712"/>
  </r>
  <r>
    <s v="Regular"/>
    <x v="2"/>
    <x v="3"/>
    <x v="4"/>
    <x v="6"/>
    <x v="3"/>
    <x v="1"/>
    <x v="1"/>
    <x v="4"/>
    <n v="0"/>
    <n v="0"/>
    <n v="29.422000000000001"/>
    <n v="29.422000000000001"/>
    <n v="29.422000000000001"/>
    <n v="29.422000000000001"/>
    <n v="0"/>
    <x v="1"/>
    <n v="0"/>
    <n v="0"/>
    <n v="32"/>
    <n v="72"/>
    <n v="0"/>
    <n v="357.74"/>
    <n v="175.15"/>
    <m/>
    <n v="476.04586297106505"/>
    <n v="193.19190075421278"/>
    <n v="0"/>
    <n v="10525.42628"/>
    <n v="5153.2633000000005"/>
    <n v="0"/>
    <n v="14006.221380334677"/>
    <n v="5684.0921039904488"/>
  </r>
  <r>
    <s v="Regular"/>
    <x v="2"/>
    <x v="3"/>
    <x v="4"/>
    <x v="6"/>
    <x v="3"/>
    <x v="1"/>
    <x v="1"/>
    <x v="5"/>
    <n v="0"/>
    <n v="0"/>
    <n v="40.567999999999998"/>
    <n v="40.567999999999998"/>
    <n v="40.567999999999998"/>
    <n v="40.567999999999998"/>
    <n v="0"/>
    <x v="1"/>
    <n v="0"/>
    <n v="0"/>
    <n v="32"/>
    <n v="72"/>
    <n v="0"/>
    <n v="357.74"/>
    <n v="175.15"/>
    <m/>
    <n v="476.04586297106505"/>
    <n v="193.19190075421278"/>
    <n v="0"/>
    <n v="14512.796319999999"/>
    <n v="7105.4852000000001"/>
    <n v="0"/>
    <n v="19312.228569010167"/>
    <n v="7837.4090297969033"/>
  </r>
  <r>
    <s v="Regular"/>
    <x v="2"/>
    <x v="3"/>
    <x v="4"/>
    <x v="6"/>
    <x v="3"/>
    <x v="1"/>
    <x v="1"/>
    <x v="6"/>
    <n v="0"/>
    <n v="0"/>
    <n v="38.094000000000001"/>
    <n v="38.094000000000001"/>
    <n v="38.094000000000001"/>
    <n v="38.094000000000001"/>
    <n v="0"/>
    <x v="1"/>
    <n v="0"/>
    <n v="0"/>
    <n v="32"/>
    <n v="72"/>
    <n v="0"/>
    <n v="357.74"/>
    <n v="175.15"/>
    <m/>
    <n v="476.04586297106505"/>
    <n v="193.19190075421278"/>
    <n v="0"/>
    <n v="13627.747560000002"/>
    <n v="6672.1641000000009"/>
    <n v="0"/>
    <n v="18134.491104019751"/>
    <n v="7359.4522673309821"/>
  </r>
  <r>
    <s v="Regular"/>
    <x v="2"/>
    <x v="3"/>
    <x v="4"/>
    <x v="6"/>
    <x v="3"/>
    <x v="1"/>
    <x v="1"/>
    <x v="7"/>
    <n v="0"/>
    <n v="0"/>
    <n v="27.29"/>
    <n v="27.29"/>
    <n v="27.29"/>
    <n v="27.29"/>
    <n v="0"/>
    <x v="1"/>
    <n v="0"/>
    <n v="0"/>
    <n v="32"/>
    <n v="72"/>
    <n v="0"/>
    <n v="357.74"/>
    <n v="175.15"/>
    <m/>
    <n v="476.04586297106505"/>
    <n v="193.19190075421278"/>
    <n v="0"/>
    <n v="9762.7245999999996"/>
    <n v="4779.8434999999999"/>
    <n v="0"/>
    <n v="12991.291600480365"/>
    <n v="5272.2069715824664"/>
  </r>
  <r>
    <s v="Regular"/>
    <x v="2"/>
    <x v="3"/>
    <x v="4"/>
    <x v="6"/>
    <x v="3"/>
    <x v="1"/>
    <x v="1"/>
    <x v="8"/>
    <n v="0"/>
    <n v="0"/>
    <n v="3.7909999999999999"/>
    <n v="3.7909999999999999"/>
    <n v="3.7909999999999999"/>
    <n v="3.7909999999999999"/>
    <n v="0"/>
    <x v="1"/>
    <n v="0"/>
    <n v="0"/>
    <n v="32"/>
    <n v="72"/>
    <n v="0"/>
    <n v="357.74"/>
    <n v="175.15"/>
    <m/>
    <n v="476.04586297106505"/>
    <n v="193.19190075421278"/>
    <n v="0"/>
    <n v="1356.1923400000001"/>
    <n v="663.99365"/>
    <n v="0"/>
    <n v="1804.6898665233075"/>
    <n v="732.39049575922058"/>
  </r>
  <r>
    <s v="Regular"/>
    <x v="2"/>
    <x v="3"/>
    <x v="4"/>
    <x v="6"/>
    <x v="3"/>
    <x v="1"/>
    <x v="1"/>
    <x v="9"/>
    <n v="0"/>
    <n v="0"/>
    <n v="1.879"/>
    <n v="1.879"/>
    <n v="1.879"/>
    <n v="1.879"/>
    <n v="0"/>
    <x v="1"/>
    <n v="0"/>
    <n v="0"/>
    <n v="32"/>
    <n v="72"/>
    <n v="0"/>
    <n v="357.74"/>
    <n v="175.15"/>
    <m/>
    <n v="476.04586297106505"/>
    <n v="193.19190075421278"/>
    <n v="0"/>
    <n v="672.19346000000007"/>
    <n v="329.10685000000001"/>
    <n v="0"/>
    <n v="894.49017652263126"/>
    <n v="363.00758151716582"/>
  </r>
  <r>
    <s v="Regular"/>
    <x v="2"/>
    <x v="3"/>
    <x v="4"/>
    <x v="6"/>
    <x v="3"/>
    <x v="1"/>
    <x v="1"/>
    <x v="10"/>
    <n v="0"/>
    <n v="0"/>
    <n v="1.1619999999999999"/>
    <n v="1.1619999999999999"/>
    <n v="1.1619999999999999"/>
    <n v="1.1619999999999999"/>
    <n v="0"/>
    <x v="1"/>
    <n v="0"/>
    <n v="0"/>
    <n v="32"/>
    <n v="72"/>
    <n v="0"/>
    <n v="357.74"/>
    <n v="175.15"/>
    <m/>
    <n v="476.04586297106505"/>
    <n v="193.19190075421278"/>
    <n v="0"/>
    <n v="415.69387999999998"/>
    <n v="203.52429999999998"/>
    <n v="0"/>
    <n v="553.1652927723776"/>
    <n v="224.48898867639522"/>
  </r>
  <r>
    <s v="Regular"/>
    <x v="2"/>
    <x v="3"/>
    <x v="4"/>
    <x v="6"/>
    <x v="3"/>
    <x v="1"/>
    <x v="1"/>
    <x v="11"/>
    <n v="0"/>
    <n v="0"/>
    <n v="0.8"/>
    <n v="0.8"/>
    <n v="0.8"/>
    <n v="0.8"/>
    <n v="0"/>
    <x v="1"/>
    <n v="0"/>
    <n v="0"/>
    <n v="32"/>
    <n v="72"/>
    <n v="0"/>
    <n v="357.74"/>
    <n v="175.15"/>
    <m/>
    <n v="476.04586297106505"/>
    <n v="193.19190075421278"/>
    <n v="0"/>
    <n v="286.19200000000001"/>
    <n v="140.12"/>
    <n v="0"/>
    <n v="380.83669037685206"/>
    <n v="154.55352060337023"/>
  </r>
  <r>
    <s v="Regular"/>
    <x v="2"/>
    <x v="3"/>
    <x v="4"/>
    <x v="6"/>
    <x v="4"/>
    <x v="1"/>
    <x v="1"/>
    <x v="0"/>
    <n v="0"/>
    <n v="0"/>
    <n v="0.82299999999999995"/>
    <n v="0.32919999999999999"/>
    <n v="0.82299999999999995"/>
    <n v="0.32919999999999999"/>
    <n v="0"/>
    <x v="1"/>
    <n v="0"/>
    <n v="0"/>
    <n v="32"/>
    <n v="72"/>
    <n v="0"/>
    <n v="357.74"/>
    <n v="175.15"/>
    <m/>
    <n v="476.04586297106505"/>
    <n v="193.19190075421278"/>
    <n v="0"/>
    <n v="117.76800799999999"/>
    <n v="57.659379999999999"/>
    <n v="0"/>
    <n v="156.71429809007461"/>
    <n v="63.598773728286844"/>
  </r>
  <r>
    <s v="Regular"/>
    <x v="2"/>
    <x v="3"/>
    <x v="4"/>
    <x v="6"/>
    <x v="4"/>
    <x v="1"/>
    <x v="1"/>
    <x v="1"/>
    <n v="0"/>
    <n v="0"/>
    <n v="1.702"/>
    <n v="0.68079999999999996"/>
    <n v="1.702"/>
    <n v="0.68079999999999996"/>
    <n v="0"/>
    <x v="1"/>
    <n v="0"/>
    <n v="0"/>
    <n v="32"/>
    <n v="72"/>
    <n v="0"/>
    <n v="357.74"/>
    <n v="175.15"/>
    <m/>
    <n v="476.04586297106505"/>
    <n v="193.19190075421278"/>
    <n v="0"/>
    <n v="243.54939199999998"/>
    <n v="119.24212"/>
    <n v="0"/>
    <n v="324.09202351070104"/>
    <n v="131.52504603346804"/>
  </r>
  <r>
    <s v="Regular"/>
    <x v="2"/>
    <x v="3"/>
    <x v="4"/>
    <x v="6"/>
    <x v="4"/>
    <x v="1"/>
    <x v="1"/>
    <x v="2"/>
    <n v="0"/>
    <n v="0"/>
    <n v="1.234"/>
    <n v="0.49359999999999998"/>
    <n v="1.234"/>
    <n v="0.49359999999999998"/>
    <n v="0"/>
    <x v="1"/>
    <n v="0"/>
    <n v="0"/>
    <n v="32"/>
    <n v="72"/>
    <n v="0"/>
    <n v="357.74"/>
    <n v="175.15"/>
    <m/>
    <n v="476.04586297106505"/>
    <n v="193.19190075421278"/>
    <n v="0"/>
    <n v="176.58046400000001"/>
    <n v="86.454040000000006"/>
    <n v="0"/>
    <n v="234.9762379625177"/>
    <n v="95.35952221227943"/>
  </r>
  <r>
    <s v="Regular"/>
    <x v="2"/>
    <x v="3"/>
    <x v="4"/>
    <x v="6"/>
    <x v="4"/>
    <x v="1"/>
    <x v="1"/>
    <x v="3"/>
    <n v="0"/>
    <n v="0"/>
    <n v="2.4849999999999999"/>
    <n v="0.99399999999999999"/>
    <n v="2.4849999999999999"/>
    <n v="0.99399999999999999"/>
    <n v="0"/>
    <x v="1"/>
    <n v="0"/>
    <n v="0"/>
    <n v="32"/>
    <n v="72"/>
    <n v="0"/>
    <n v="357.74"/>
    <n v="175.15"/>
    <m/>
    <n v="476.04586297106505"/>
    <n v="193.19190075421278"/>
    <n v="0"/>
    <n v="355.59356000000002"/>
    <n v="174.09909999999999"/>
    <n v="0"/>
    <n v="473.18958779323867"/>
    <n v="192.03274934968749"/>
  </r>
  <r>
    <s v="Regular"/>
    <x v="2"/>
    <x v="3"/>
    <x v="4"/>
    <x v="6"/>
    <x v="4"/>
    <x v="1"/>
    <x v="1"/>
    <x v="4"/>
    <n v="0"/>
    <n v="0"/>
    <n v="12.452"/>
    <n v="4.9808000000000003"/>
    <n v="12.452"/>
    <n v="4.9808000000000003"/>
    <n v="0"/>
    <x v="1"/>
    <n v="0"/>
    <n v="0"/>
    <n v="32"/>
    <n v="72"/>
    <n v="0"/>
    <n v="357.74"/>
    <n v="175.15"/>
    <m/>
    <n v="476.04586297106505"/>
    <n v="193.19190075421278"/>
    <n v="0"/>
    <n v="1781.8313920000003"/>
    <n v="872.3871200000001"/>
    <n v="0"/>
    <n v="2371.0892342862808"/>
    <n v="962.25021927658304"/>
  </r>
  <r>
    <s v="Regular"/>
    <x v="2"/>
    <x v="3"/>
    <x v="4"/>
    <x v="6"/>
    <x v="4"/>
    <x v="1"/>
    <x v="1"/>
    <x v="5"/>
    <n v="0"/>
    <n v="0"/>
    <n v="17.614999999999998"/>
    <n v="7.0460000000000003"/>
    <n v="17.614999999999998"/>
    <n v="7.0460000000000003"/>
    <n v="0"/>
    <x v="1"/>
    <n v="0"/>
    <n v="0"/>
    <n v="32"/>
    <n v="72"/>
    <n v="0"/>
    <n v="357.74"/>
    <n v="175.15"/>
    <m/>
    <n v="476.04586297106505"/>
    <n v="193.19190075421278"/>
    <n v="0"/>
    <n v="2520.6360400000003"/>
    <n v="1234.1069"/>
    <n v="0"/>
    <n v="3354.2191504941243"/>
    <n v="1361.2301327141834"/>
  </r>
  <r>
    <s v="Regular"/>
    <x v="2"/>
    <x v="3"/>
    <x v="4"/>
    <x v="6"/>
    <x v="4"/>
    <x v="1"/>
    <x v="1"/>
    <x v="6"/>
    <n v="0"/>
    <n v="0"/>
    <n v="19.951000000000001"/>
    <n v="7.9804000000000004"/>
    <n v="19.951000000000001"/>
    <n v="7.9804000000000004"/>
    <n v="0"/>
    <x v="1"/>
    <n v="0"/>
    <n v="0"/>
    <n v="32"/>
    <n v="72"/>
    <n v="0"/>
    <n v="357.74"/>
    <n v="175.15"/>
    <m/>
    <n v="476.04586297106505"/>
    <n v="193.19190075421278"/>
    <n v="0"/>
    <n v="2854.9082960000001"/>
    <n v="1397.7670600000001"/>
    <n v="0"/>
    <n v="3799.0364048542879"/>
    <n v="1541.7486447789197"/>
  </r>
  <r>
    <s v="Regular"/>
    <x v="2"/>
    <x v="3"/>
    <x v="4"/>
    <x v="6"/>
    <x v="4"/>
    <x v="1"/>
    <x v="1"/>
    <x v="7"/>
    <n v="0"/>
    <n v="0"/>
    <n v="13.702999999999999"/>
    <n v="5.4812000000000003"/>
    <n v="13.702999999999999"/>
    <n v="5.4812000000000003"/>
    <n v="0"/>
    <x v="1"/>
    <n v="0"/>
    <n v="0"/>
    <n v="32"/>
    <n v="72"/>
    <n v="0"/>
    <n v="357.74"/>
    <n v="175.15"/>
    <m/>
    <n v="476.04586297106505"/>
    <n v="193.19190075421278"/>
    <n v="0"/>
    <n v="1960.8444880000002"/>
    <n v="960.03218000000004"/>
    <n v="0"/>
    <n v="2609.302584117002"/>
    <n v="1058.9234464139911"/>
  </r>
  <r>
    <s v="Regular"/>
    <x v="2"/>
    <x v="3"/>
    <x v="4"/>
    <x v="6"/>
    <x v="4"/>
    <x v="1"/>
    <x v="1"/>
    <x v="8"/>
    <n v="0"/>
    <n v="0"/>
    <n v="1.51"/>
    <n v="0.60399999999999998"/>
    <n v="1.51"/>
    <n v="0.60399999999999998"/>
    <n v="0"/>
    <x v="1"/>
    <n v="0"/>
    <n v="0"/>
    <n v="32"/>
    <n v="72"/>
    <n v="0"/>
    <n v="357.74"/>
    <n v="175.15"/>
    <m/>
    <n v="476.04586297106505"/>
    <n v="193.19190075421278"/>
    <n v="0"/>
    <n v="216.07496"/>
    <n v="105.7906"/>
    <n v="0"/>
    <n v="287.53170123452327"/>
    <n v="116.68790805554451"/>
  </r>
  <r>
    <s v="Regular"/>
    <x v="2"/>
    <x v="3"/>
    <x v="4"/>
    <x v="6"/>
    <x v="4"/>
    <x v="1"/>
    <x v="1"/>
    <x v="9"/>
    <n v="0"/>
    <n v="0"/>
    <n v="0.372"/>
    <n v="0.14879999999999999"/>
    <n v="0.372"/>
    <n v="0.14879999999999999"/>
    <n v="0"/>
    <x v="1"/>
    <n v="0"/>
    <n v="0"/>
    <n v="32"/>
    <n v="72"/>
    <n v="0"/>
    <n v="357.74"/>
    <n v="175.15"/>
    <m/>
    <n v="476.04586297106505"/>
    <n v="193.19190075421278"/>
    <n v="0"/>
    <n v="53.231711999999995"/>
    <n v="26.06232"/>
    <n v="0"/>
    <n v="70.835624410094468"/>
    <n v="28.746954832226859"/>
  </r>
  <r>
    <s v="Regular"/>
    <x v="2"/>
    <x v="3"/>
    <x v="4"/>
    <x v="6"/>
    <x v="4"/>
    <x v="1"/>
    <x v="1"/>
    <x v="10"/>
    <n v="0"/>
    <n v="0"/>
    <n v="0.152"/>
    <n v="6.08E-2"/>
    <n v="0.152"/>
    <n v="6.08E-2"/>
    <n v="0"/>
    <x v="1"/>
    <n v="0"/>
    <n v="0"/>
    <n v="32"/>
    <n v="72"/>
    <n v="0"/>
    <n v="357.74"/>
    <n v="175.15"/>
    <m/>
    <n v="476.04586297106505"/>
    <n v="193.19190075421278"/>
    <n v="0"/>
    <n v="21.750592000000001"/>
    <n v="10.64912"/>
    <n v="0"/>
    <n v="28.943588468640755"/>
    <n v="11.746067565856137"/>
  </r>
  <r>
    <s v="Regular"/>
    <x v="2"/>
    <x v="3"/>
    <x v="4"/>
    <x v="0"/>
    <x v="1"/>
    <x v="1"/>
    <x v="1"/>
    <x v="0"/>
    <n v="0"/>
    <n v="0"/>
    <n v="1126.674"/>
    <n v="1126.674"/>
    <n v="1126.674"/>
    <n v="1126.674"/>
    <n v="4531"/>
    <x v="1"/>
    <n v="0"/>
    <n v="0"/>
    <n v="32"/>
    <n v="72"/>
    <n v="0"/>
    <n v="357.74"/>
    <n v="175.15"/>
    <m/>
    <n v="476.04586297106505"/>
    <n v="193.19190075421278"/>
    <n v="0"/>
    <n v="403056.35676"/>
    <n v="197336.95110000001"/>
    <n v="0"/>
    <n v="536348.49661706178"/>
    <n v="217664.29159035193"/>
  </r>
  <r>
    <s v="Refaturamento - Regular"/>
    <x v="2"/>
    <x v="3"/>
    <x v="4"/>
    <x v="0"/>
    <x v="1"/>
    <x v="1"/>
    <x v="1"/>
    <x v="0"/>
    <n v="0"/>
    <n v="0"/>
    <n v="-1.522"/>
    <n v="-1.522"/>
    <n v="-1.522"/>
    <n v="-1.522"/>
    <n v="0"/>
    <x v="1"/>
    <n v="0"/>
    <n v="0"/>
    <n v="32"/>
    <n v="72"/>
    <n v="0"/>
    <n v="357.74"/>
    <n v="175.15"/>
    <m/>
    <n v="476.04586297106505"/>
    <n v="193.19190075421278"/>
    <n v="0"/>
    <n v="-544.48027999999999"/>
    <n v="-266.57830000000001"/>
    <n v="0"/>
    <n v="-724.54180344196106"/>
    <n v="-294.03807294791187"/>
  </r>
  <r>
    <s v="Sistema de Compensação"/>
    <x v="2"/>
    <x v="3"/>
    <x v="4"/>
    <x v="0"/>
    <x v="1"/>
    <x v="1"/>
    <x v="1"/>
    <x v="0"/>
    <n v="0"/>
    <n v="0"/>
    <n v="12.750999999999999"/>
    <n v="12.750999999999999"/>
    <n v="12.750999999999999"/>
    <n v="12.750999999999999"/>
    <n v="37"/>
    <x v="1"/>
    <n v="0"/>
    <n v="0"/>
    <n v="32"/>
    <n v="72"/>
    <n v="0"/>
    <n v="357.74"/>
    <n v="175.15"/>
    <m/>
    <n v="476.04586297106505"/>
    <n v="193.19190075421278"/>
    <n v="0"/>
    <n v="4561.5427399999999"/>
    <n v="2233.3376499999999"/>
    <n v="0"/>
    <n v="6070.0607987440499"/>
    <n v="2463.3899265169671"/>
  </r>
  <r>
    <s v="Regular"/>
    <x v="2"/>
    <x v="3"/>
    <x v="4"/>
    <x v="0"/>
    <x v="1"/>
    <x v="1"/>
    <x v="1"/>
    <x v="1"/>
    <n v="0"/>
    <n v="0"/>
    <n v="1124.0170000000001"/>
    <n v="1124.0170000000001"/>
    <n v="1124.0170000000001"/>
    <n v="1124.0170000000001"/>
    <n v="4536"/>
    <x v="1"/>
    <n v="0"/>
    <n v="0"/>
    <n v="32"/>
    <n v="72"/>
    <n v="0"/>
    <n v="357.74"/>
    <n v="175.15"/>
    <m/>
    <n v="476.04586297106505"/>
    <n v="193.19190075421278"/>
    <n v="0"/>
    <n v="402105.84158000001"/>
    <n v="196871.57755000002"/>
    <n v="0"/>
    <n v="535083.64275914768"/>
    <n v="217150.980710048"/>
  </r>
  <r>
    <s v="Refaturamento - Regular"/>
    <x v="2"/>
    <x v="3"/>
    <x v="4"/>
    <x v="0"/>
    <x v="1"/>
    <x v="1"/>
    <x v="1"/>
    <x v="1"/>
    <n v="0"/>
    <n v="0"/>
    <n v="1.9E-2"/>
    <n v="1.9E-2"/>
    <n v="1.9E-2"/>
    <n v="1.9E-2"/>
    <n v="0"/>
    <x v="1"/>
    <n v="0"/>
    <n v="0"/>
    <n v="32"/>
    <n v="72"/>
    <n v="0"/>
    <n v="357.74"/>
    <n v="175.15"/>
    <m/>
    <n v="476.04586297106505"/>
    <n v="193.19190075421278"/>
    <n v="0"/>
    <n v="6.7970600000000001"/>
    <n v="3.3278500000000002"/>
    <n v="0"/>
    <n v="9.044871396450235"/>
    <n v="3.6706461143300428"/>
  </r>
  <r>
    <s v="Sistema de Compensação"/>
    <x v="2"/>
    <x v="3"/>
    <x v="4"/>
    <x v="0"/>
    <x v="1"/>
    <x v="1"/>
    <x v="1"/>
    <x v="1"/>
    <n v="0"/>
    <n v="0"/>
    <n v="12.103999999999999"/>
    <n v="12.103999999999999"/>
    <n v="12.103999999999999"/>
    <n v="12.103999999999999"/>
    <n v="39"/>
    <x v="1"/>
    <n v="0"/>
    <n v="0"/>
    <n v="32"/>
    <n v="72"/>
    <n v="0"/>
    <n v="357.74"/>
    <n v="175.15"/>
    <m/>
    <n v="476.04586297106505"/>
    <n v="193.19190075421278"/>
    <n v="0"/>
    <n v="4330.0849600000001"/>
    <n v="2120.0155999999997"/>
    <n v="0"/>
    <n v="5762.0591254017709"/>
    <n v="2338.3947667289913"/>
  </r>
  <r>
    <s v="Regular"/>
    <x v="2"/>
    <x v="3"/>
    <x v="4"/>
    <x v="0"/>
    <x v="1"/>
    <x v="1"/>
    <x v="1"/>
    <x v="2"/>
    <n v="0"/>
    <n v="0"/>
    <n v="1096.153"/>
    <n v="1096.153"/>
    <n v="1096.153"/>
    <n v="1096.153"/>
    <n v="4534"/>
    <x v="1"/>
    <n v="0"/>
    <n v="0"/>
    <n v="32"/>
    <n v="72"/>
    <n v="0"/>
    <n v="357.74"/>
    <n v="175.15"/>
    <m/>
    <n v="476.04586297106505"/>
    <n v="193.19190075421278"/>
    <n v="0"/>
    <n v="392137.77422000002"/>
    <n v="191991.19795"/>
    <n v="0"/>
    <n v="521819.10083332186"/>
    <n v="211767.88158743261"/>
  </r>
  <r>
    <s v="Refaturamento - Regular"/>
    <x v="2"/>
    <x v="3"/>
    <x v="4"/>
    <x v="0"/>
    <x v="1"/>
    <x v="1"/>
    <x v="1"/>
    <x v="2"/>
    <n v="0"/>
    <n v="0"/>
    <n v="-2.4340000000000002"/>
    <n v="-2.4340000000000002"/>
    <n v="-2.4340000000000002"/>
    <n v="-2.4340000000000002"/>
    <n v="0"/>
    <x v="1"/>
    <n v="0"/>
    <n v="0"/>
    <n v="32"/>
    <n v="72"/>
    <n v="0"/>
    <n v="357.74"/>
    <n v="175.15"/>
    <m/>
    <n v="476.04586297106505"/>
    <n v="193.19190075421278"/>
    <n v="0"/>
    <n v="-870.73916000000008"/>
    <n v="-426.31510000000003"/>
    <n v="0"/>
    <n v="-1158.6956304715725"/>
    <n v="-470.22908643575391"/>
  </r>
  <r>
    <s v="Sistema de Compensação"/>
    <x v="2"/>
    <x v="3"/>
    <x v="4"/>
    <x v="0"/>
    <x v="1"/>
    <x v="1"/>
    <x v="1"/>
    <x v="2"/>
    <n v="0"/>
    <n v="0"/>
    <n v="10.117000000000001"/>
    <n v="10.117000000000001"/>
    <n v="10.117000000000001"/>
    <n v="10.117000000000001"/>
    <n v="40"/>
    <x v="1"/>
    <n v="0"/>
    <n v="0"/>
    <n v="32"/>
    <n v="72"/>
    <n v="0"/>
    <n v="357.74"/>
    <n v="175.15"/>
    <m/>
    <n v="476.04586297106505"/>
    <n v="193.19190075421278"/>
    <n v="0"/>
    <n v="3619.2555800000005"/>
    <n v="1771.9925500000002"/>
    <n v="0"/>
    <n v="4816.1559956782658"/>
    <n v="1954.5224599303708"/>
  </r>
  <r>
    <s v="Regular"/>
    <x v="2"/>
    <x v="3"/>
    <x v="4"/>
    <x v="0"/>
    <x v="1"/>
    <x v="1"/>
    <x v="1"/>
    <x v="3"/>
    <n v="0"/>
    <n v="0"/>
    <n v="1158.865"/>
    <n v="1158.865"/>
    <n v="1158.865"/>
    <n v="1158.865"/>
    <n v="4539"/>
    <x v="1"/>
    <n v="0"/>
    <n v="0"/>
    <n v="32"/>
    <n v="72"/>
    <n v="0"/>
    <n v="357.74"/>
    <n v="175.15"/>
    <m/>
    <n v="476.04586297106505"/>
    <n v="193.19190075421278"/>
    <n v="0"/>
    <n v="414572.3651"/>
    <n v="202975.20475"/>
    <n v="0"/>
    <n v="551672.88899196335"/>
    <n v="223883.33206753081"/>
  </r>
  <r>
    <s v="Refaturamento - Regular"/>
    <x v="2"/>
    <x v="3"/>
    <x v="4"/>
    <x v="0"/>
    <x v="1"/>
    <x v="1"/>
    <x v="1"/>
    <x v="3"/>
    <n v="0"/>
    <n v="0"/>
    <n v="-1.619"/>
    <n v="-1.619"/>
    <n v="-1.619"/>
    <n v="-1.619"/>
    <n v="0"/>
    <x v="1"/>
    <n v="0"/>
    <n v="0"/>
    <n v="32"/>
    <n v="72"/>
    <n v="0"/>
    <n v="357.74"/>
    <n v="175.15"/>
    <m/>
    <n v="476.04586297106505"/>
    <n v="193.19190075421278"/>
    <n v="0"/>
    <n v="-579.18106"/>
    <n v="-283.56785000000002"/>
    <n v="0"/>
    <n v="-770.71825215015429"/>
    <n v="-312.77768732107052"/>
  </r>
  <r>
    <s v="Sistema de Compensação"/>
    <x v="2"/>
    <x v="3"/>
    <x v="4"/>
    <x v="0"/>
    <x v="1"/>
    <x v="1"/>
    <x v="1"/>
    <x v="3"/>
    <n v="0"/>
    <n v="0"/>
    <n v="11.327"/>
    <n v="11.327"/>
    <n v="11.327"/>
    <n v="11.327"/>
    <n v="45"/>
    <x v="1"/>
    <n v="0"/>
    <n v="0"/>
    <n v="32"/>
    <n v="72"/>
    <n v="0"/>
    <n v="357.74"/>
    <n v="175.15"/>
    <m/>
    <n v="476.04586297106505"/>
    <n v="193.19190075421278"/>
    <n v="0"/>
    <n v="4052.1209800000001"/>
    <n v="1983.9240500000001"/>
    <n v="0"/>
    <n v="5392.1714898732534"/>
    <n v="2188.2846598429683"/>
  </r>
  <r>
    <s v="Regular"/>
    <x v="2"/>
    <x v="3"/>
    <x v="4"/>
    <x v="0"/>
    <x v="1"/>
    <x v="1"/>
    <x v="1"/>
    <x v="4"/>
    <n v="0"/>
    <n v="0"/>
    <n v="1383.107"/>
    <n v="1383.107"/>
    <n v="1383.107"/>
    <n v="1383.107"/>
    <n v="4514"/>
    <x v="1"/>
    <n v="0"/>
    <n v="0"/>
    <n v="32"/>
    <n v="72"/>
    <n v="0"/>
    <n v="357.74"/>
    <n v="175.15"/>
    <m/>
    <n v="476.04586297106505"/>
    <n v="193.19190075421278"/>
    <n v="0"/>
    <n v="494792.69818000001"/>
    <n v="242251.19104999999"/>
    <n v="0"/>
    <n v="658422.36539632082"/>
    <n v="267205.07027645694"/>
  </r>
  <r>
    <s v="Refaturamento - Regular"/>
    <x v="2"/>
    <x v="3"/>
    <x v="4"/>
    <x v="0"/>
    <x v="1"/>
    <x v="1"/>
    <x v="1"/>
    <x v="4"/>
    <n v="0"/>
    <n v="0"/>
    <n v="-8.7420000000000009"/>
    <n v="-8.7420000000000009"/>
    <n v="-8.7420000000000009"/>
    <n v="-8.7420000000000009"/>
    <n v="0"/>
    <x v="1"/>
    <n v="0"/>
    <n v="0"/>
    <n v="32"/>
    <n v="72"/>
    <n v="0"/>
    <n v="357.74"/>
    <n v="175.15"/>
    <m/>
    <n v="476.04586297106505"/>
    <n v="193.19190075421278"/>
    <n v="0"/>
    <n v="-3127.3630800000005"/>
    <n v="-1531.1613000000002"/>
    <n v="0"/>
    <n v="-4161.5929340930506"/>
    <n v="-1688.8835963933284"/>
  </r>
  <r>
    <s v="Sistema de Compensação"/>
    <x v="2"/>
    <x v="3"/>
    <x v="4"/>
    <x v="0"/>
    <x v="1"/>
    <x v="1"/>
    <x v="1"/>
    <x v="4"/>
    <n v="0"/>
    <n v="0"/>
    <n v="16.164999999999999"/>
    <n v="16.164999999999999"/>
    <n v="16.164999999999999"/>
    <n v="16.164999999999999"/>
    <n v="47"/>
    <x v="1"/>
    <n v="0"/>
    <n v="0"/>
    <n v="32"/>
    <n v="72"/>
    <n v="0"/>
    <n v="357.74"/>
    <n v="175.15"/>
    <m/>
    <n v="476.04586297106505"/>
    <n v="193.19190075421278"/>
    <n v="0"/>
    <n v="5782.8670999999995"/>
    <n v="2831.2997500000001"/>
    <n v="0"/>
    <n v="7695.2813749272664"/>
    <n v="3122.9470756918495"/>
  </r>
  <r>
    <s v="Regular"/>
    <x v="2"/>
    <x v="3"/>
    <x v="4"/>
    <x v="0"/>
    <x v="1"/>
    <x v="1"/>
    <x v="1"/>
    <x v="5"/>
    <n v="0"/>
    <n v="0"/>
    <n v="1749.32"/>
    <n v="1749.32"/>
    <n v="1749.32"/>
    <n v="1749.32"/>
    <n v="4519"/>
    <x v="1"/>
    <n v="0"/>
    <n v="0"/>
    <n v="32"/>
    <n v="72"/>
    <n v="0"/>
    <n v="357.74"/>
    <n v="175.15"/>
    <m/>
    <n v="476.04586297106505"/>
    <n v="193.19190075421278"/>
    <n v="0"/>
    <n v="625801.73679999996"/>
    <n v="306393.39799999999"/>
    <n v="0"/>
    <n v="832756.54901254352"/>
    <n v="337954.45582735952"/>
  </r>
  <r>
    <s v="Refaturamento - Regular"/>
    <x v="2"/>
    <x v="3"/>
    <x v="4"/>
    <x v="0"/>
    <x v="1"/>
    <x v="1"/>
    <x v="1"/>
    <x v="5"/>
    <n v="0"/>
    <n v="0"/>
    <n v="3.4449999999999998"/>
    <n v="3.4449999999999998"/>
    <n v="3.4449999999999998"/>
    <n v="3.4449999999999998"/>
    <n v="0"/>
    <x v="1"/>
    <n v="0"/>
    <n v="0"/>
    <n v="32"/>
    <n v="72"/>
    <n v="0"/>
    <n v="357.74"/>
    <n v="175.15"/>
    <m/>
    <n v="476.04586297106505"/>
    <n v="193.19190075421278"/>
    <n v="0"/>
    <n v="1232.4142999999999"/>
    <n v="603.39175"/>
    <n v="0"/>
    <n v="1639.9779979353191"/>
    <n v="665.54609809826297"/>
  </r>
  <r>
    <s v="Sistema de Compensação"/>
    <x v="2"/>
    <x v="3"/>
    <x v="4"/>
    <x v="0"/>
    <x v="1"/>
    <x v="1"/>
    <x v="1"/>
    <x v="5"/>
    <n v="0"/>
    <n v="0"/>
    <n v="26.19"/>
    <n v="26.19"/>
    <n v="26.19"/>
    <n v="26.19"/>
    <n v="49"/>
    <x v="1"/>
    <n v="0"/>
    <n v="0"/>
    <n v="32"/>
    <n v="72"/>
    <n v="0"/>
    <n v="357.74"/>
    <n v="175.15"/>
    <m/>
    <n v="476.04586297106505"/>
    <n v="193.19190075421278"/>
    <n v="0"/>
    <n v="9369.2106000000003"/>
    <n v="4587.1785"/>
    <n v="0"/>
    <n v="12467.641151212194"/>
    <n v="5059.6958807528326"/>
  </r>
  <r>
    <s v="Regular"/>
    <x v="2"/>
    <x v="3"/>
    <x v="4"/>
    <x v="0"/>
    <x v="1"/>
    <x v="1"/>
    <x v="1"/>
    <x v="6"/>
    <n v="0"/>
    <n v="0"/>
    <n v="2106.8679999999999"/>
    <n v="2106.8679999999999"/>
    <n v="2106.8679999999999"/>
    <n v="2106.8679999999999"/>
    <n v="4514"/>
    <x v="1"/>
    <n v="0"/>
    <n v="0"/>
    <n v="32"/>
    <n v="72"/>
    <n v="0"/>
    <n v="357.74"/>
    <n v="175.15"/>
    <m/>
    <n v="476.04586297106505"/>
    <n v="193.19190075421278"/>
    <n v="0"/>
    <n v="753710.95831999998"/>
    <n v="369017.9302"/>
    <n v="0"/>
    <n v="1002965.7952261219"/>
    <n v="407029.83355822676"/>
  </r>
  <r>
    <s v="Refaturamento - Regular"/>
    <x v="2"/>
    <x v="3"/>
    <x v="4"/>
    <x v="0"/>
    <x v="1"/>
    <x v="1"/>
    <x v="1"/>
    <x v="6"/>
    <n v="0"/>
    <n v="0"/>
    <n v="1.38"/>
    <n v="1.38"/>
    <n v="1.38"/>
    <n v="1.38"/>
    <n v="0"/>
    <x v="1"/>
    <n v="0"/>
    <n v="0"/>
    <n v="32"/>
    <n v="72"/>
    <n v="0"/>
    <n v="357.74"/>
    <n v="175.15"/>
    <m/>
    <n v="476.04586297106505"/>
    <n v="193.19190075421278"/>
    <n v="0"/>
    <n v="493.68119999999999"/>
    <n v="241.70699999999999"/>
    <n v="0"/>
    <n v="656.94329090006977"/>
    <n v="266.60482304081364"/>
  </r>
  <r>
    <s v="Sistema de Compensação"/>
    <x v="2"/>
    <x v="3"/>
    <x v="4"/>
    <x v="0"/>
    <x v="1"/>
    <x v="1"/>
    <x v="1"/>
    <x v="6"/>
    <n v="0"/>
    <n v="0"/>
    <n v="26.847999999999999"/>
    <n v="26.847999999999999"/>
    <n v="26.847999999999999"/>
    <n v="26.847999999999999"/>
    <n v="50"/>
    <x v="1"/>
    <n v="0"/>
    <n v="0"/>
    <n v="32"/>
    <n v="72"/>
    <n v="0"/>
    <n v="357.74"/>
    <n v="175.15"/>
    <m/>
    <n v="476.04586297106505"/>
    <n v="193.19190075421278"/>
    <n v="0"/>
    <n v="9604.6035200000006"/>
    <n v="4702.4272000000001"/>
    <n v="0"/>
    <n v="12780.879329047153"/>
    <n v="5186.8161514491048"/>
  </r>
  <r>
    <s v="Regular"/>
    <x v="2"/>
    <x v="3"/>
    <x v="4"/>
    <x v="0"/>
    <x v="1"/>
    <x v="1"/>
    <x v="1"/>
    <x v="7"/>
    <n v="0"/>
    <n v="0"/>
    <n v="2103.116"/>
    <n v="2103.116"/>
    <n v="2103.116"/>
    <n v="2103.116"/>
    <n v="4485"/>
    <x v="1"/>
    <n v="0"/>
    <n v="0"/>
    <n v="32"/>
    <n v="72"/>
    <n v="0"/>
    <n v="357.74"/>
    <n v="175.15"/>
    <m/>
    <n v="476.04586297106505"/>
    <n v="193.19190075421278"/>
    <n v="0"/>
    <n v="752368.71784000006"/>
    <n v="368360.76740000001"/>
    <n v="0"/>
    <n v="1001179.6711482544"/>
    <n v="406304.97754659696"/>
  </r>
  <r>
    <s v="Refaturamento - Regular"/>
    <x v="2"/>
    <x v="3"/>
    <x v="4"/>
    <x v="0"/>
    <x v="1"/>
    <x v="1"/>
    <x v="1"/>
    <x v="7"/>
    <n v="0"/>
    <n v="0"/>
    <n v="15.670999999999999"/>
    <n v="15.670999999999999"/>
    <n v="15.670999999999999"/>
    <n v="15.670999999999999"/>
    <n v="0"/>
    <x v="1"/>
    <n v="0"/>
    <n v="0"/>
    <n v="32"/>
    <n v="72"/>
    <n v="0"/>
    <n v="357.74"/>
    <n v="175.15"/>
    <m/>
    <n v="476.04586297106505"/>
    <n v="193.19190075421278"/>
    <n v="0"/>
    <n v="5606.14354"/>
    <n v="2744.77565"/>
    <n v="0"/>
    <n v="7460.1147186195603"/>
    <n v="3027.5102767192684"/>
  </r>
  <r>
    <s v="Sistema de Compensação"/>
    <x v="2"/>
    <x v="3"/>
    <x v="4"/>
    <x v="0"/>
    <x v="1"/>
    <x v="1"/>
    <x v="1"/>
    <x v="7"/>
    <n v="0"/>
    <n v="0"/>
    <n v="17.902999999999999"/>
    <n v="17.902999999999999"/>
    <n v="17.902999999999999"/>
    <n v="17.902999999999999"/>
    <n v="50"/>
    <x v="1"/>
    <n v="0"/>
    <n v="0"/>
    <n v="32"/>
    <n v="72"/>
    <n v="0"/>
    <n v="357.74"/>
    <n v="175.15"/>
    <m/>
    <n v="476.04586297106505"/>
    <n v="193.19190075421278"/>
    <n v="0"/>
    <n v="6404.6192199999996"/>
    <n v="3135.71045"/>
    <n v="0"/>
    <n v="8522.6490847709774"/>
    <n v="3458.7145992026713"/>
  </r>
  <r>
    <s v="Regular"/>
    <x v="2"/>
    <x v="3"/>
    <x v="4"/>
    <x v="0"/>
    <x v="1"/>
    <x v="1"/>
    <x v="1"/>
    <x v="8"/>
    <n v="0"/>
    <n v="0"/>
    <n v="1813.027"/>
    <n v="1813.027"/>
    <n v="1813.027"/>
    <n v="1813.027"/>
    <n v="4493"/>
    <x v="1"/>
    <n v="0"/>
    <n v="0"/>
    <n v="32"/>
    <n v="72"/>
    <n v="0"/>
    <n v="357.74"/>
    <n v="175.15"/>
    <m/>
    <n v="476.04586297106505"/>
    <n v="193.19190075421278"/>
    <n v="0"/>
    <n v="648592.27898000006"/>
    <n v="317551.67905000004"/>
    <n v="0"/>
    <n v="863084.00280484115"/>
    <n v="350262.13224870816"/>
  </r>
  <r>
    <s v="Refaturamento - Regular"/>
    <x v="2"/>
    <x v="3"/>
    <x v="4"/>
    <x v="0"/>
    <x v="1"/>
    <x v="1"/>
    <x v="1"/>
    <x v="8"/>
    <n v="0"/>
    <n v="0"/>
    <n v="1.29"/>
    <n v="1.29"/>
    <n v="1.29"/>
    <n v="1.29"/>
    <n v="0"/>
    <x v="1"/>
    <n v="0"/>
    <n v="0"/>
    <n v="32"/>
    <n v="72"/>
    <n v="0"/>
    <n v="357.74"/>
    <n v="175.15"/>
    <m/>
    <n v="476.04586297106505"/>
    <n v="193.19190075421278"/>
    <n v="0"/>
    <n v="461.4846"/>
    <n v="225.9435"/>
    <n v="0"/>
    <n v="614.09916323267396"/>
    <n v="249.2175519729345"/>
  </r>
  <r>
    <s v="Sistema de Compensação"/>
    <x v="2"/>
    <x v="3"/>
    <x v="4"/>
    <x v="0"/>
    <x v="1"/>
    <x v="1"/>
    <x v="1"/>
    <x v="8"/>
    <n v="0"/>
    <n v="0"/>
    <n v="34.594000000000001"/>
    <n v="34.594000000000001"/>
    <n v="34.594000000000001"/>
    <n v="34.594000000000001"/>
    <n v="45"/>
    <x v="1"/>
    <n v="0"/>
    <n v="0"/>
    <n v="32"/>
    <n v="72"/>
    <n v="0"/>
    <n v="357.74"/>
    <n v="175.15"/>
    <m/>
    <n v="476.04586297106505"/>
    <n v="193.19190075421278"/>
    <n v="0"/>
    <n v="12375.657560000001"/>
    <n v="6059.1391000000003"/>
    <n v="0"/>
    <n v="16468.330583621024"/>
    <n v="6683.2806146912371"/>
  </r>
  <r>
    <s v="Regular"/>
    <x v="2"/>
    <x v="3"/>
    <x v="4"/>
    <x v="0"/>
    <x v="1"/>
    <x v="1"/>
    <x v="1"/>
    <x v="9"/>
    <n v="0"/>
    <n v="0"/>
    <n v="1764.9369999999999"/>
    <n v="1764.9369999999999"/>
    <n v="1764.9369999999999"/>
    <n v="1764.9369999999999"/>
    <n v="4502"/>
    <x v="1"/>
    <n v="0"/>
    <n v="0"/>
    <n v="32"/>
    <n v="72"/>
    <n v="0"/>
    <n v="357.74"/>
    <n v="175.15"/>
    <m/>
    <n v="476.04586297106505"/>
    <n v="193.19190075421278"/>
    <n v="0"/>
    <n v="631388.56238000002"/>
    <n v="309128.71554999996"/>
    <n v="0"/>
    <n v="840190.95725456253"/>
    <n v="340971.533741438"/>
  </r>
  <r>
    <s v="Refaturamento - Regular"/>
    <x v="2"/>
    <x v="3"/>
    <x v="4"/>
    <x v="0"/>
    <x v="1"/>
    <x v="1"/>
    <x v="1"/>
    <x v="9"/>
    <n v="0"/>
    <n v="0"/>
    <n v="-3.8220000000000001"/>
    <n v="-3.8220000000000001"/>
    <n v="-3.8220000000000001"/>
    <n v="-3.8220000000000001"/>
    <n v="0"/>
    <x v="1"/>
    <n v="0"/>
    <n v="0"/>
    <n v="32"/>
    <n v="72"/>
    <n v="0"/>
    <n v="357.74"/>
    <n v="175.15"/>
    <m/>
    <n v="476.04586297106505"/>
    <n v="193.19190075421278"/>
    <n v="0"/>
    <n v="-1367.2822800000001"/>
    <n v="-669.42330000000004"/>
    <n v="0"/>
    <n v="-1819.4472882754108"/>
    <n v="-738.37944468260127"/>
  </r>
  <r>
    <s v="Sistema de Compensação"/>
    <x v="2"/>
    <x v="3"/>
    <x v="4"/>
    <x v="0"/>
    <x v="1"/>
    <x v="1"/>
    <x v="1"/>
    <x v="9"/>
    <n v="0"/>
    <n v="0"/>
    <n v="25.048999999999999"/>
    <n v="25.048999999999999"/>
    <n v="25.048999999999999"/>
    <n v="25.048999999999999"/>
    <n v="40"/>
    <x v="1"/>
    <n v="0"/>
    <n v="0"/>
    <n v="32"/>
    <n v="72"/>
    <n v="0"/>
    <n v="357.74"/>
    <n v="175.15"/>
    <m/>
    <n v="476.04586297106505"/>
    <n v="193.19190075421278"/>
    <n v="0"/>
    <n v="8961.0292599999993"/>
    <n v="4387.3323499999997"/>
    <n v="0"/>
    <n v="11924.472821562209"/>
    <n v="4839.2639219922758"/>
  </r>
  <r>
    <s v="Regular"/>
    <x v="2"/>
    <x v="3"/>
    <x v="4"/>
    <x v="0"/>
    <x v="1"/>
    <x v="1"/>
    <x v="1"/>
    <x v="10"/>
    <n v="0"/>
    <n v="0"/>
    <n v="1466.04"/>
    <n v="1466.04"/>
    <n v="1466.04"/>
    <n v="1466.04"/>
    <n v="4505"/>
    <x v="1"/>
    <n v="0"/>
    <n v="0"/>
    <n v="32"/>
    <n v="72"/>
    <n v="0"/>
    <n v="357.74"/>
    <n v="175.15"/>
    <m/>
    <n v="476.04586297106505"/>
    <n v="193.19190075421278"/>
    <n v="0"/>
    <n v="524461.1496"/>
    <n v="256776.90599999999"/>
    <n v="0"/>
    <n v="697902.2769501002"/>
    <n v="283227.0541817061"/>
  </r>
  <r>
    <s v="Refaturamento - Regular"/>
    <x v="2"/>
    <x v="3"/>
    <x v="4"/>
    <x v="0"/>
    <x v="1"/>
    <x v="1"/>
    <x v="1"/>
    <x v="10"/>
    <n v="0"/>
    <n v="0"/>
    <n v="0.58299999999999996"/>
    <n v="0.58299999999999996"/>
    <n v="0.58299999999999996"/>
    <n v="0.58299999999999996"/>
    <n v="0"/>
    <x v="1"/>
    <n v="0"/>
    <n v="0"/>
    <n v="32"/>
    <n v="72"/>
    <n v="0"/>
    <n v="357.74"/>
    <n v="175.15"/>
    <m/>
    <n v="476.04586297106505"/>
    <n v="193.19190075421278"/>
    <n v="0"/>
    <n v="208.56242"/>
    <n v="102.11245"/>
    <n v="0"/>
    <n v="277.53473811213092"/>
    <n v="112.63087813970604"/>
  </r>
  <r>
    <s v="Sistema de Compensação"/>
    <x v="2"/>
    <x v="3"/>
    <x v="4"/>
    <x v="0"/>
    <x v="1"/>
    <x v="1"/>
    <x v="1"/>
    <x v="10"/>
    <n v="0"/>
    <n v="0"/>
    <n v="14.222"/>
    <n v="14.222"/>
    <n v="14.222"/>
    <n v="14.222"/>
    <n v="48"/>
    <x v="1"/>
    <n v="0"/>
    <n v="0"/>
    <n v="32"/>
    <n v="72"/>
    <n v="0"/>
    <n v="357.74"/>
    <n v="175.15"/>
    <m/>
    <n v="476.04586297106505"/>
    <n v="193.19190075421278"/>
    <n v="0"/>
    <n v="5087.7782799999995"/>
    <n v="2490.9832999999999"/>
    <n v="0"/>
    <n v="6770.324263174487"/>
    <n v="2747.5752125264139"/>
  </r>
  <r>
    <s v="Regular"/>
    <x v="2"/>
    <x v="3"/>
    <x v="4"/>
    <x v="0"/>
    <x v="1"/>
    <x v="1"/>
    <x v="1"/>
    <x v="11"/>
    <n v="0"/>
    <n v="0"/>
    <n v="1335.79"/>
    <n v="1335.79"/>
    <n v="1335.79"/>
    <n v="1335.79"/>
    <n v="4496"/>
    <x v="1"/>
    <n v="0"/>
    <n v="0"/>
    <n v="32"/>
    <n v="72"/>
    <n v="0"/>
    <n v="357.74"/>
    <n v="175.15"/>
    <m/>
    <n v="476.04586297106505"/>
    <n v="193.19190075421278"/>
    <n v="0"/>
    <n v="477865.51459999999"/>
    <n v="233963.61850000001"/>
    <n v="0"/>
    <n v="635897.30329811899"/>
    <n v="258063.8091084699"/>
  </r>
  <r>
    <s v="Refaturamento - Regular"/>
    <x v="2"/>
    <x v="3"/>
    <x v="4"/>
    <x v="0"/>
    <x v="1"/>
    <x v="1"/>
    <x v="1"/>
    <x v="11"/>
    <n v="0"/>
    <n v="0"/>
    <n v="-2.8180000000000001"/>
    <n v="-2.8180000000000001"/>
    <n v="-2.8180000000000001"/>
    <n v="-2.8180000000000001"/>
    <n v="0"/>
    <x v="1"/>
    <n v="0"/>
    <n v="0"/>
    <n v="32"/>
    <n v="72"/>
    <n v="0"/>
    <n v="357.74"/>
    <n v="175.15"/>
    <m/>
    <n v="476.04586297106505"/>
    <n v="193.19190075421278"/>
    <n v="0"/>
    <n v="-1008.1113200000001"/>
    <n v="-493.57270000000005"/>
    <n v="0"/>
    <n v="-1341.4972418524612"/>
    <n v="-544.41477632537158"/>
  </r>
  <r>
    <s v="Sistema de Compensação"/>
    <x v="2"/>
    <x v="3"/>
    <x v="4"/>
    <x v="0"/>
    <x v="1"/>
    <x v="1"/>
    <x v="1"/>
    <x v="11"/>
    <n v="0"/>
    <n v="0"/>
    <n v="22.350999999999999"/>
    <n v="22.350999999999999"/>
    <n v="22.350999999999999"/>
    <n v="22.350999999999999"/>
    <n v="52"/>
    <x v="1"/>
    <n v="0"/>
    <n v="0"/>
    <n v="32"/>
    <n v="72"/>
    <n v="0"/>
    <n v="357.74"/>
    <n v="175.15"/>
    <m/>
    <n v="476.04586297106505"/>
    <n v="193.19190075421278"/>
    <n v="0"/>
    <n v="7995.84674"/>
    <n v="3914.77765"/>
    <n v="0"/>
    <n v="10640.101083266274"/>
    <n v="4318.0321737574095"/>
  </r>
  <r>
    <s v="Regular"/>
    <x v="3"/>
    <x v="2"/>
    <x v="1"/>
    <x v="0"/>
    <x v="1"/>
    <x v="1"/>
    <x v="0"/>
    <x v="0"/>
    <n v="0"/>
    <n v="0"/>
    <n v="0.42899999999999999"/>
    <n v="0.42899999999999999"/>
    <n v="0.42899999999999999"/>
    <n v="0.42899999999999999"/>
    <n v="0"/>
    <x v="1"/>
    <n v="0"/>
    <n v="0"/>
    <n v="46"/>
    <n v="86"/>
    <n v="0"/>
    <n v="315.24"/>
    <n v="189.96"/>
    <m/>
    <n v="404.78122144867069"/>
    <n v="195.89707226799715"/>
    <n v="0"/>
    <n v="135.23796000000002"/>
    <n v="81.492840000000001"/>
    <n v="0"/>
    <n v="173.65114400147974"/>
    <n v="84.039844002970767"/>
  </r>
  <r>
    <s v="Regular"/>
    <x v="3"/>
    <x v="2"/>
    <x v="1"/>
    <x v="0"/>
    <x v="1"/>
    <x v="1"/>
    <x v="0"/>
    <x v="1"/>
    <n v="0"/>
    <n v="0"/>
    <n v="0.34499999999999997"/>
    <n v="0.34499999999999997"/>
    <n v="0.34499999999999997"/>
    <n v="0.34499999999999997"/>
    <n v="0"/>
    <x v="1"/>
    <n v="0"/>
    <n v="0"/>
    <n v="46"/>
    <n v="86"/>
    <n v="0"/>
    <n v="315.24"/>
    <n v="189.96"/>
    <m/>
    <n v="404.78122144867069"/>
    <n v="195.89707226799715"/>
    <n v="0"/>
    <n v="108.75779999999999"/>
    <n v="65.536199999999994"/>
    <n v="0"/>
    <n v="139.64952139979138"/>
    <n v="67.584489932459007"/>
  </r>
  <r>
    <s v="Regular"/>
    <x v="3"/>
    <x v="2"/>
    <x v="1"/>
    <x v="0"/>
    <x v="1"/>
    <x v="1"/>
    <x v="0"/>
    <x v="2"/>
    <n v="0"/>
    <n v="0"/>
    <n v="0.19600000000000001"/>
    <n v="0.19600000000000001"/>
    <n v="0.19600000000000001"/>
    <n v="0.19600000000000001"/>
    <n v="0"/>
    <x v="1"/>
    <n v="0"/>
    <n v="0"/>
    <n v="46"/>
    <n v="86"/>
    <n v="0"/>
    <n v="315.24"/>
    <n v="189.96"/>
    <m/>
    <n v="404.78122144867069"/>
    <n v="195.89707226799715"/>
    <n v="0"/>
    <n v="61.787040000000005"/>
    <n v="37.23216"/>
    <n v="0"/>
    <n v="79.337119403939454"/>
    <n v="38.395826164527442"/>
  </r>
  <r>
    <s v="Regular"/>
    <x v="3"/>
    <x v="2"/>
    <x v="1"/>
    <x v="0"/>
    <x v="1"/>
    <x v="1"/>
    <x v="0"/>
    <x v="3"/>
    <n v="0"/>
    <n v="0"/>
    <n v="0.192"/>
    <n v="0.192"/>
    <n v="0.192"/>
    <n v="0.192"/>
    <n v="0"/>
    <x v="1"/>
    <n v="0"/>
    <n v="0"/>
    <n v="46"/>
    <n v="86"/>
    <n v="0"/>
    <n v="315.24"/>
    <n v="189.96"/>
    <m/>
    <n v="404.78122144867069"/>
    <n v="195.89707226799715"/>
    <n v="0"/>
    <n v="60.52608"/>
    <n v="36.472320000000003"/>
    <n v="0"/>
    <n v="77.717994518144778"/>
    <n v="37.612237875455456"/>
  </r>
  <r>
    <s v="Regular"/>
    <x v="3"/>
    <x v="2"/>
    <x v="1"/>
    <x v="0"/>
    <x v="1"/>
    <x v="1"/>
    <x v="0"/>
    <x v="4"/>
    <n v="0"/>
    <n v="0"/>
    <n v="0.28599999999999998"/>
    <n v="0.28599999999999998"/>
    <n v="0.28599999999999998"/>
    <n v="0.28599999999999998"/>
    <n v="0"/>
    <x v="1"/>
    <n v="0"/>
    <n v="0"/>
    <n v="46"/>
    <n v="86"/>
    <n v="0"/>
    <n v="315.24"/>
    <n v="189.96"/>
    <m/>
    <n v="404.78122144867069"/>
    <n v="195.89707226799715"/>
    <n v="0"/>
    <n v="90.158639999999991"/>
    <n v="54.328559999999996"/>
    <n v="0"/>
    <n v="115.76742933431981"/>
    <n v="56.02656266864718"/>
  </r>
  <r>
    <s v="Regular"/>
    <x v="3"/>
    <x v="2"/>
    <x v="1"/>
    <x v="0"/>
    <x v="1"/>
    <x v="1"/>
    <x v="0"/>
    <x v="5"/>
    <n v="0"/>
    <n v="0"/>
    <n v="0.39400000000000002"/>
    <n v="0.39400000000000002"/>
    <n v="0.39400000000000002"/>
    <n v="0.39400000000000002"/>
    <n v="0"/>
    <x v="1"/>
    <n v="0"/>
    <n v="0"/>
    <n v="46"/>
    <n v="86"/>
    <n v="0"/>
    <n v="315.24"/>
    <n v="189.96"/>
    <m/>
    <n v="404.78122144867069"/>
    <n v="195.89707226799715"/>
    <n v="0"/>
    <n v="124.20456000000001"/>
    <n v="74.844240000000013"/>
    <n v="0"/>
    <n v="159.48380125077625"/>
    <n v="77.183446473590877"/>
  </r>
  <r>
    <s v="Regular"/>
    <x v="3"/>
    <x v="2"/>
    <x v="1"/>
    <x v="0"/>
    <x v="1"/>
    <x v="1"/>
    <x v="0"/>
    <x v="6"/>
    <n v="0"/>
    <n v="0"/>
    <n v="0.47399999999999998"/>
    <n v="0.47399999999999998"/>
    <n v="0.47399999999999998"/>
    <n v="0.47399999999999998"/>
    <n v="0"/>
    <x v="1"/>
    <n v="0"/>
    <n v="0"/>
    <n v="46"/>
    <n v="86"/>
    <n v="0"/>
    <n v="315.24"/>
    <n v="189.96"/>
    <m/>
    <n v="404.78122144867069"/>
    <n v="195.89707226799715"/>
    <n v="0"/>
    <n v="149.42375999999999"/>
    <n v="90.041039999999995"/>
    <n v="0"/>
    <n v="191.86629896666989"/>
    <n v="92.855212255030636"/>
  </r>
  <r>
    <s v="Regular"/>
    <x v="3"/>
    <x v="2"/>
    <x v="1"/>
    <x v="0"/>
    <x v="1"/>
    <x v="1"/>
    <x v="0"/>
    <x v="7"/>
    <n v="0"/>
    <n v="0"/>
    <n v="0.59299999999999997"/>
    <n v="0.59299999999999997"/>
    <n v="0.59299999999999997"/>
    <n v="0.59299999999999997"/>
    <n v="0"/>
    <x v="1"/>
    <n v="0"/>
    <n v="0"/>
    <n v="46"/>
    <n v="86"/>
    <n v="0"/>
    <n v="315.24"/>
    <n v="189.96"/>
    <m/>
    <n v="404.78122144867069"/>
    <n v="195.89707226799715"/>
    <n v="0"/>
    <n v="186.93732"/>
    <n v="112.64628"/>
    <n v="0"/>
    <n v="240.0352643190617"/>
    <n v="116.1669638549223"/>
  </r>
  <r>
    <s v="Regular"/>
    <x v="3"/>
    <x v="2"/>
    <x v="1"/>
    <x v="0"/>
    <x v="1"/>
    <x v="1"/>
    <x v="0"/>
    <x v="8"/>
    <n v="0"/>
    <n v="0"/>
    <n v="0.46"/>
    <n v="0.46"/>
    <n v="0.46"/>
    <n v="0.46"/>
    <n v="0"/>
    <x v="1"/>
    <n v="0"/>
    <n v="0"/>
    <n v="46"/>
    <n v="86"/>
    <n v="0"/>
    <n v="315.24"/>
    <n v="189.96"/>
    <m/>
    <n v="404.78122144867069"/>
    <n v="195.89707226799715"/>
    <n v="0"/>
    <n v="145.0104"/>
    <n v="87.381600000000006"/>
    <n v="0"/>
    <n v="186.19936186638853"/>
    <n v="90.112653243278686"/>
  </r>
  <r>
    <s v="Regular"/>
    <x v="3"/>
    <x v="2"/>
    <x v="1"/>
    <x v="0"/>
    <x v="1"/>
    <x v="1"/>
    <x v="0"/>
    <x v="9"/>
    <n v="0"/>
    <n v="0"/>
    <n v="0.18099999999999999"/>
    <n v="0.18099999999999999"/>
    <n v="0.18099999999999999"/>
    <n v="0.18099999999999999"/>
    <n v="0"/>
    <x v="1"/>
    <n v="0"/>
    <n v="0"/>
    <n v="46"/>
    <n v="86"/>
    <n v="0"/>
    <n v="315.24"/>
    <n v="189.96"/>
    <m/>
    <n v="404.78122144867069"/>
    <n v="195.89707226799715"/>
    <n v="0"/>
    <n v="57.058439999999997"/>
    <n v="34.382759999999998"/>
    <n v="0"/>
    <n v="73.265401082209394"/>
    <n v="35.457370080507481"/>
  </r>
  <r>
    <s v="Regular"/>
    <x v="3"/>
    <x v="2"/>
    <x v="1"/>
    <x v="0"/>
    <x v="1"/>
    <x v="1"/>
    <x v="0"/>
    <x v="10"/>
    <n v="0"/>
    <n v="0"/>
    <n v="0.14000000000000001"/>
    <n v="0.14000000000000001"/>
    <n v="0.14000000000000001"/>
    <n v="0.14000000000000001"/>
    <n v="0"/>
    <x v="1"/>
    <n v="0"/>
    <n v="0"/>
    <n v="46"/>
    <n v="86"/>
    <n v="0"/>
    <n v="315.24"/>
    <n v="189.96"/>
    <m/>
    <n v="404.78122144867069"/>
    <n v="195.89707226799715"/>
    <n v="0"/>
    <n v="44.133600000000008"/>
    <n v="26.594400000000004"/>
    <n v="0"/>
    <n v="56.669371002813904"/>
    <n v="27.425590117519604"/>
  </r>
  <r>
    <s v="Regular"/>
    <x v="3"/>
    <x v="2"/>
    <x v="1"/>
    <x v="0"/>
    <x v="1"/>
    <x v="1"/>
    <x v="0"/>
    <x v="11"/>
    <n v="0"/>
    <n v="0"/>
    <n v="0.34399999999999997"/>
    <n v="0.34399999999999997"/>
    <n v="0.34399999999999997"/>
    <n v="0.34399999999999997"/>
    <n v="0"/>
    <x v="1"/>
    <n v="0"/>
    <n v="0"/>
    <n v="46"/>
    <n v="86"/>
    <n v="0"/>
    <n v="315.24"/>
    <n v="189.96"/>
    <m/>
    <n v="404.78122144867069"/>
    <n v="195.89707226799715"/>
    <n v="0"/>
    <n v="108.44256"/>
    <n v="65.346239999999995"/>
    <n v="0"/>
    <n v="139.24474017834271"/>
    <n v="67.388592860191011"/>
  </r>
  <r>
    <s v="Regular"/>
    <x v="3"/>
    <x v="2"/>
    <x v="1"/>
    <x v="0"/>
    <x v="1"/>
    <x v="1"/>
    <x v="3"/>
    <x v="0"/>
    <n v="0"/>
    <n v="0"/>
    <n v="3.2000000000000001E-2"/>
    <n v="3.2000000000000001E-2"/>
    <n v="3.2000000000000001E-2"/>
    <n v="3.2000000000000001E-2"/>
    <n v="0"/>
    <x v="1"/>
    <n v="0"/>
    <n v="0"/>
    <n v="45"/>
    <n v="85"/>
    <n v="0"/>
    <n v="721.58"/>
    <n v="189.96"/>
    <m/>
    <n v="927.55548967041148"/>
    <n v="195.89707226799715"/>
    <n v="0"/>
    <n v="23.090560000000004"/>
    <n v="6.0787200000000006"/>
    <n v="0"/>
    <n v="29.681775669453167"/>
    <n v="6.268706312575909"/>
  </r>
  <r>
    <s v="Regular"/>
    <x v="3"/>
    <x v="2"/>
    <x v="1"/>
    <x v="0"/>
    <x v="1"/>
    <x v="1"/>
    <x v="3"/>
    <x v="1"/>
    <n v="0"/>
    <n v="0"/>
    <n v="2.4E-2"/>
    <n v="2.4E-2"/>
    <n v="2.4E-2"/>
    <n v="2.4E-2"/>
    <n v="0"/>
    <x v="1"/>
    <n v="0"/>
    <n v="0"/>
    <n v="45"/>
    <n v="85"/>
    <n v="0"/>
    <n v="721.58"/>
    <n v="189.96"/>
    <m/>
    <n v="927.55548967041148"/>
    <n v="195.89707226799715"/>
    <n v="0"/>
    <n v="17.317920000000001"/>
    <n v="4.5590400000000004"/>
    <n v="0"/>
    <n v="22.261331752089877"/>
    <n v="4.701529734431932"/>
  </r>
  <r>
    <s v="Regular"/>
    <x v="3"/>
    <x v="2"/>
    <x v="1"/>
    <x v="0"/>
    <x v="1"/>
    <x v="1"/>
    <x v="3"/>
    <x v="2"/>
    <n v="0"/>
    <n v="0"/>
    <n v="1.2999999999999999E-2"/>
    <n v="1.2999999999999999E-2"/>
    <n v="1.2999999999999999E-2"/>
    <n v="1.2999999999999999E-2"/>
    <n v="0"/>
    <x v="1"/>
    <n v="0"/>
    <n v="0"/>
    <n v="45"/>
    <n v="85"/>
    <n v="0"/>
    <n v="721.58"/>
    <n v="189.96"/>
    <m/>
    <n v="927.55548967041148"/>
    <n v="195.89707226799715"/>
    <n v="0"/>
    <n v="9.3805399999999999"/>
    <n v="2.4694799999999999"/>
    <n v="0"/>
    <n v="12.058221365715349"/>
    <n v="2.5466619394839629"/>
  </r>
  <r>
    <s v="Regular"/>
    <x v="3"/>
    <x v="2"/>
    <x v="1"/>
    <x v="0"/>
    <x v="1"/>
    <x v="1"/>
    <x v="3"/>
    <x v="3"/>
    <n v="0"/>
    <n v="0"/>
    <n v="1.7000000000000001E-2"/>
    <n v="1.7000000000000001E-2"/>
    <n v="1.7000000000000001E-2"/>
    <n v="1.7000000000000001E-2"/>
    <n v="0"/>
    <x v="1"/>
    <n v="0"/>
    <n v="0"/>
    <n v="45"/>
    <n v="85"/>
    <n v="0"/>
    <n v="721.58"/>
    <n v="189.96"/>
    <m/>
    <n v="927.55548967041148"/>
    <n v="195.89707226799715"/>
    <n v="0"/>
    <n v="12.266860000000001"/>
    <n v="3.2293200000000004"/>
    <n v="0"/>
    <n v="15.768443324396996"/>
    <n v="3.3302502285559519"/>
  </r>
  <r>
    <s v="Regular"/>
    <x v="3"/>
    <x v="2"/>
    <x v="1"/>
    <x v="0"/>
    <x v="1"/>
    <x v="1"/>
    <x v="3"/>
    <x v="4"/>
    <n v="0"/>
    <n v="0"/>
    <n v="0.04"/>
    <n v="0.04"/>
    <n v="0.04"/>
    <n v="0.04"/>
    <n v="0"/>
    <x v="1"/>
    <n v="0"/>
    <n v="0"/>
    <n v="45"/>
    <n v="85"/>
    <n v="0"/>
    <n v="721.58"/>
    <n v="189.96"/>
    <m/>
    <n v="927.55548967041148"/>
    <n v="195.89707226799715"/>
    <n v="0"/>
    <n v="28.863200000000003"/>
    <n v="7.5984000000000007"/>
    <n v="0"/>
    <n v="37.10221958681646"/>
    <n v="7.8358828907198861"/>
  </r>
  <r>
    <s v="Regular"/>
    <x v="3"/>
    <x v="2"/>
    <x v="1"/>
    <x v="0"/>
    <x v="1"/>
    <x v="1"/>
    <x v="3"/>
    <x v="5"/>
    <n v="0"/>
    <n v="0"/>
    <n v="5.1999999999999998E-2"/>
    <n v="5.1999999999999998E-2"/>
    <n v="5.1999999999999998E-2"/>
    <n v="5.1999999999999998E-2"/>
    <n v="0"/>
    <x v="1"/>
    <n v="0"/>
    <n v="0"/>
    <n v="45"/>
    <n v="85"/>
    <n v="0"/>
    <n v="721.58"/>
    <n v="189.96"/>
    <m/>
    <n v="927.55548967041148"/>
    <n v="195.89707226799715"/>
    <n v="0"/>
    <n v="37.52216"/>
    <n v="9.8779199999999996"/>
    <n v="0"/>
    <n v="48.232885462861397"/>
    <n v="10.186647757935852"/>
  </r>
  <r>
    <s v="Regular"/>
    <x v="3"/>
    <x v="2"/>
    <x v="1"/>
    <x v="0"/>
    <x v="1"/>
    <x v="1"/>
    <x v="3"/>
    <x v="6"/>
    <n v="0"/>
    <n v="0"/>
    <n v="6.0999999999999999E-2"/>
    <n v="6.0999999999999999E-2"/>
    <n v="6.0999999999999999E-2"/>
    <n v="6.0999999999999999E-2"/>
    <n v="0"/>
    <x v="1"/>
    <n v="0"/>
    <n v="0"/>
    <n v="45"/>
    <n v="85"/>
    <n v="0"/>
    <n v="721.58"/>
    <n v="189.96"/>
    <m/>
    <n v="927.55548967041148"/>
    <n v="195.89707226799715"/>
    <n v="0"/>
    <n v="44.016379999999998"/>
    <n v="11.58756"/>
    <n v="0"/>
    <n v="56.580884869895101"/>
    <n v="11.949721408347825"/>
  </r>
  <r>
    <s v="Regular"/>
    <x v="3"/>
    <x v="2"/>
    <x v="1"/>
    <x v="0"/>
    <x v="1"/>
    <x v="1"/>
    <x v="3"/>
    <x v="7"/>
    <n v="0"/>
    <n v="0"/>
    <n v="6.9000000000000006E-2"/>
    <n v="6.9000000000000006E-2"/>
    <n v="6.9000000000000006E-2"/>
    <n v="6.9000000000000006E-2"/>
    <n v="0"/>
    <x v="1"/>
    <n v="0"/>
    <n v="0"/>
    <n v="45"/>
    <n v="85"/>
    <n v="0"/>
    <n v="721.58"/>
    <n v="189.96"/>
    <m/>
    <n v="927.55548967041148"/>
    <n v="195.89707226799715"/>
    <n v="0"/>
    <n v="49.789020000000008"/>
    <n v="13.107240000000001"/>
    <n v="0"/>
    <n v="64.001328787258402"/>
    <n v="13.516897986491804"/>
  </r>
  <r>
    <s v="Regular"/>
    <x v="3"/>
    <x v="2"/>
    <x v="1"/>
    <x v="0"/>
    <x v="1"/>
    <x v="1"/>
    <x v="3"/>
    <x v="8"/>
    <n v="0"/>
    <n v="0"/>
    <n v="5.2999999999999999E-2"/>
    <n v="5.2999999999999999E-2"/>
    <n v="5.2999999999999999E-2"/>
    <n v="5.2999999999999999E-2"/>
    <n v="0"/>
    <x v="1"/>
    <n v="0"/>
    <n v="0"/>
    <n v="45"/>
    <n v="85"/>
    <n v="0"/>
    <n v="721.58"/>
    <n v="189.96"/>
    <m/>
    <n v="927.55548967041148"/>
    <n v="195.89707226799715"/>
    <n v="0"/>
    <n v="38.243740000000003"/>
    <n v="10.067880000000001"/>
    <n v="0"/>
    <n v="49.160440952531808"/>
    <n v="10.382544830203848"/>
  </r>
  <r>
    <s v="Regular"/>
    <x v="3"/>
    <x v="2"/>
    <x v="1"/>
    <x v="0"/>
    <x v="1"/>
    <x v="1"/>
    <x v="3"/>
    <x v="9"/>
    <n v="0"/>
    <n v="0"/>
    <n v="2.4E-2"/>
    <n v="2.4E-2"/>
    <n v="2.4E-2"/>
    <n v="2.4E-2"/>
    <n v="0"/>
    <x v="1"/>
    <n v="0"/>
    <n v="0"/>
    <n v="45"/>
    <n v="85"/>
    <n v="0"/>
    <n v="721.58"/>
    <n v="189.96"/>
    <m/>
    <n v="927.55548967041148"/>
    <n v="195.89707226799715"/>
    <n v="0"/>
    <n v="17.317920000000001"/>
    <n v="4.5590400000000004"/>
    <n v="0"/>
    <n v="22.261331752089877"/>
    <n v="4.701529734431932"/>
  </r>
  <r>
    <s v="Regular"/>
    <x v="3"/>
    <x v="2"/>
    <x v="1"/>
    <x v="0"/>
    <x v="1"/>
    <x v="1"/>
    <x v="3"/>
    <x v="10"/>
    <n v="0"/>
    <n v="0"/>
    <n v="1.2999999999999999E-2"/>
    <n v="1.2999999999999999E-2"/>
    <n v="1.2999999999999999E-2"/>
    <n v="1.2999999999999999E-2"/>
    <n v="0"/>
    <x v="1"/>
    <n v="0"/>
    <n v="0"/>
    <n v="45"/>
    <n v="85"/>
    <n v="0"/>
    <n v="721.58"/>
    <n v="189.96"/>
    <m/>
    <n v="927.55548967041148"/>
    <n v="195.89707226799715"/>
    <n v="0"/>
    <n v="9.3805399999999999"/>
    <n v="2.4694799999999999"/>
    <n v="0"/>
    <n v="12.058221365715349"/>
    <n v="2.5466619394839629"/>
  </r>
  <r>
    <s v="Regular"/>
    <x v="3"/>
    <x v="2"/>
    <x v="1"/>
    <x v="0"/>
    <x v="1"/>
    <x v="1"/>
    <x v="3"/>
    <x v="11"/>
    <n v="0"/>
    <n v="0"/>
    <n v="2.9000000000000001E-2"/>
    <n v="2.9000000000000001E-2"/>
    <n v="2.9000000000000001E-2"/>
    <n v="2.9000000000000001E-2"/>
    <n v="0"/>
    <x v="1"/>
    <n v="0"/>
    <n v="0"/>
    <n v="45"/>
    <n v="85"/>
    <n v="0"/>
    <n v="721.58"/>
    <n v="189.96"/>
    <m/>
    <n v="927.55548967041148"/>
    <n v="195.89707226799715"/>
    <n v="0"/>
    <n v="20.925820000000002"/>
    <n v="5.5088400000000002"/>
    <n v="0"/>
    <n v="26.899109200441934"/>
    <n v="5.6810150957719179"/>
  </r>
  <r>
    <s v="Regular"/>
    <x v="3"/>
    <x v="2"/>
    <x v="1"/>
    <x v="0"/>
    <x v="1"/>
    <x v="1"/>
    <x v="2"/>
    <x v="0"/>
    <n v="0"/>
    <n v="0"/>
    <n v="1.9E-2"/>
    <n v="1.9E-2"/>
    <n v="1.9E-2"/>
    <n v="1.9E-2"/>
    <n v="0"/>
    <x v="1"/>
    <n v="0"/>
    <n v="0"/>
    <n v="44"/>
    <n v="84"/>
    <n v="0"/>
    <n v="1127.9100000000001"/>
    <n v="298.83999999999997"/>
    <m/>
    <n v="1450.329666462862"/>
    <n v="311.4117891483653"/>
    <n v="0"/>
    <n v="21.430289999999999"/>
    <n v="5.6779599999999997"/>
    <n v="0"/>
    <n v="27.556263662794375"/>
    <n v="5.9168239938189409"/>
  </r>
  <r>
    <s v="Regular"/>
    <x v="3"/>
    <x v="2"/>
    <x v="1"/>
    <x v="0"/>
    <x v="1"/>
    <x v="1"/>
    <x v="2"/>
    <x v="1"/>
    <n v="0"/>
    <n v="0"/>
    <n v="0.02"/>
    <n v="0.02"/>
    <n v="0.02"/>
    <n v="0.02"/>
    <n v="0"/>
    <x v="1"/>
    <n v="0"/>
    <n v="0"/>
    <n v="44"/>
    <n v="84"/>
    <n v="0"/>
    <n v="1127.9100000000001"/>
    <n v="298.83999999999997"/>
    <m/>
    <n v="1450.329666462862"/>
    <n v="311.4117891483653"/>
    <n v="0"/>
    <n v="22.558200000000003"/>
    <n v="5.9767999999999999"/>
    <n v="0"/>
    <n v="29.006593329257239"/>
    <n v="6.2282357829673058"/>
  </r>
  <r>
    <s v="Regular"/>
    <x v="3"/>
    <x v="2"/>
    <x v="1"/>
    <x v="0"/>
    <x v="1"/>
    <x v="1"/>
    <x v="2"/>
    <x v="2"/>
    <n v="0"/>
    <n v="0"/>
    <n v="1.4E-2"/>
    <n v="1.4E-2"/>
    <n v="1.4E-2"/>
    <n v="1.4E-2"/>
    <n v="0"/>
    <x v="1"/>
    <n v="0"/>
    <n v="0"/>
    <n v="44"/>
    <n v="84"/>
    <n v="0"/>
    <n v="1127.9100000000001"/>
    <n v="298.83999999999997"/>
    <m/>
    <n v="1450.329666462862"/>
    <n v="311.4117891483653"/>
    <n v="0"/>
    <n v="15.790740000000001"/>
    <n v="4.1837599999999995"/>
    <n v="0"/>
    <n v="20.304615330480068"/>
    <n v="4.3597650480771142"/>
  </r>
  <r>
    <s v="Regular"/>
    <x v="3"/>
    <x v="2"/>
    <x v="1"/>
    <x v="0"/>
    <x v="1"/>
    <x v="1"/>
    <x v="2"/>
    <x v="3"/>
    <n v="0"/>
    <n v="0"/>
    <n v="1.4999999999999999E-2"/>
    <n v="1.4999999999999999E-2"/>
    <n v="1.4999999999999999E-2"/>
    <n v="1.4999999999999999E-2"/>
    <n v="0"/>
    <x v="1"/>
    <n v="0"/>
    <n v="0"/>
    <n v="44"/>
    <n v="84"/>
    <n v="0"/>
    <n v="1127.9100000000001"/>
    <n v="298.83999999999997"/>
    <m/>
    <n v="1450.329666462862"/>
    <n v="311.4117891483653"/>
    <n v="0"/>
    <n v="16.91865"/>
    <n v="4.4825999999999997"/>
    <n v="0"/>
    <n v="21.754944996942928"/>
    <n v="4.6711768372254792"/>
  </r>
  <r>
    <s v="Regular"/>
    <x v="3"/>
    <x v="2"/>
    <x v="1"/>
    <x v="0"/>
    <x v="1"/>
    <x v="1"/>
    <x v="2"/>
    <x v="4"/>
    <n v="0"/>
    <n v="0"/>
    <n v="1.4E-2"/>
    <n v="1.4E-2"/>
    <n v="1.4E-2"/>
    <n v="1.4E-2"/>
    <n v="0"/>
    <x v="1"/>
    <n v="0"/>
    <n v="0"/>
    <n v="44"/>
    <n v="84"/>
    <n v="0"/>
    <n v="1127.9100000000001"/>
    <n v="298.83999999999997"/>
    <m/>
    <n v="1450.329666462862"/>
    <n v="311.4117891483653"/>
    <n v="0"/>
    <n v="15.790740000000001"/>
    <n v="4.1837599999999995"/>
    <n v="0"/>
    <n v="20.304615330480068"/>
    <n v="4.3597650480771142"/>
  </r>
  <r>
    <s v="Regular"/>
    <x v="3"/>
    <x v="2"/>
    <x v="1"/>
    <x v="0"/>
    <x v="1"/>
    <x v="1"/>
    <x v="2"/>
    <x v="5"/>
    <n v="0"/>
    <n v="0"/>
    <n v="0.02"/>
    <n v="0.02"/>
    <n v="0.02"/>
    <n v="0.02"/>
    <n v="0"/>
    <x v="1"/>
    <n v="0"/>
    <n v="0"/>
    <n v="44"/>
    <n v="84"/>
    <n v="0"/>
    <n v="1127.9100000000001"/>
    <n v="298.83999999999997"/>
    <m/>
    <n v="1450.329666462862"/>
    <n v="311.4117891483653"/>
    <n v="0"/>
    <n v="22.558200000000003"/>
    <n v="5.9767999999999999"/>
    <n v="0"/>
    <n v="29.006593329257239"/>
    <n v="6.2282357829673058"/>
  </r>
  <r>
    <s v="Regular"/>
    <x v="3"/>
    <x v="2"/>
    <x v="1"/>
    <x v="0"/>
    <x v="1"/>
    <x v="1"/>
    <x v="2"/>
    <x v="6"/>
    <n v="0"/>
    <n v="0"/>
    <n v="0.02"/>
    <n v="0.02"/>
    <n v="0.02"/>
    <n v="0.02"/>
    <n v="0"/>
    <x v="1"/>
    <n v="0"/>
    <n v="0"/>
    <n v="44"/>
    <n v="84"/>
    <n v="0"/>
    <n v="1127.9100000000001"/>
    <n v="298.83999999999997"/>
    <m/>
    <n v="1450.329666462862"/>
    <n v="311.4117891483653"/>
    <n v="0"/>
    <n v="22.558200000000003"/>
    <n v="5.9767999999999999"/>
    <n v="0"/>
    <n v="29.006593329257239"/>
    <n v="6.2282357829673058"/>
  </r>
  <r>
    <s v="Regular"/>
    <x v="3"/>
    <x v="2"/>
    <x v="1"/>
    <x v="0"/>
    <x v="1"/>
    <x v="1"/>
    <x v="2"/>
    <x v="7"/>
    <n v="0"/>
    <n v="0"/>
    <n v="2.7E-2"/>
    <n v="2.7E-2"/>
    <n v="2.7E-2"/>
    <n v="2.7E-2"/>
    <n v="0"/>
    <x v="1"/>
    <n v="0"/>
    <n v="0"/>
    <n v="44"/>
    <n v="84"/>
    <n v="0"/>
    <n v="1127.9100000000001"/>
    <n v="298.83999999999997"/>
    <m/>
    <n v="1450.329666462862"/>
    <n v="311.4117891483653"/>
    <n v="0"/>
    <n v="30.453570000000003"/>
    <n v="8.0686799999999987"/>
    <n v="0"/>
    <n v="39.158900994497273"/>
    <n v="8.4081183070058625"/>
  </r>
  <r>
    <s v="Regular"/>
    <x v="3"/>
    <x v="2"/>
    <x v="1"/>
    <x v="0"/>
    <x v="1"/>
    <x v="1"/>
    <x v="2"/>
    <x v="8"/>
    <n v="0"/>
    <n v="0"/>
    <n v="0.03"/>
    <n v="0.03"/>
    <n v="0.03"/>
    <n v="0.03"/>
    <n v="0"/>
    <x v="1"/>
    <n v="0"/>
    <n v="0"/>
    <n v="44"/>
    <n v="84"/>
    <n v="0"/>
    <n v="1127.9100000000001"/>
    <n v="298.83999999999997"/>
    <m/>
    <n v="1450.329666462862"/>
    <n v="311.4117891483653"/>
    <n v="0"/>
    <n v="33.837299999999999"/>
    <n v="8.9651999999999994"/>
    <n v="0"/>
    <n v="43.509889993885857"/>
    <n v="9.3423536744509583"/>
  </r>
  <r>
    <s v="Regular"/>
    <x v="3"/>
    <x v="2"/>
    <x v="1"/>
    <x v="0"/>
    <x v="1"/>
    <x v="1"/>
    <x v="2"/>
    <x v="9"/>
    <n v="0"/>
    <n v="0"/>
    <n v="2.3E-2"/>
    <n v="2.3E-2"/>
    <n v="2.3E-2"/>
    <n v="2.3E-2"/>
    <n v="0"/>
    <x v="1"/>
    <n v="0"/>
    <n v="0"/>
    <n v="44"/>
    <n v="84"/>
    <n v="0"/>
    <n v="1127.9100000000001"/>
    <n v="298.83999999999997"/>
    <m/>
    <n v="1450.329666462862"/>
    <n v="311.4117891483653"/>
    <n v="0"/>
    <n v="25.941930000000003"/>
    <n v="6.8733199999999997"/>
    <n v="0"/>
    <n v="33.357582328645826"/>
    <n v="7.1624711504124017"/>
  </r>
  <r>
    <s v="Regular"/>
    <x v="3"/>
    <x v="2"/>
    <x v="1"/>
    <x v="0"/>
    <x v="1"/>
    <x v="1"/>
    <x v="2"/>
    <x v="10"/>
    <n v="0"/>
    <n v="0"/>
    <n v="1.2999999999999999E-2"/>
    <n v="1.2999999999999999E-2"/>
    <n v="1.2999999999999999E-2"/>
    <n v="1.2999999999999999E-2"/>
    <n v="0"/>
    <x v="1"/>
    <n v="0"/>
    <n v="0"/>
    <n v="44"/>
    <n v="84"/>
    <n v="0"/>
    <n v="1127.9100000000001"/>
    <n v="298.83999999999997"/>
    <m/>
    <n v="1450.329666462862"/>
    <n v="311.4117891483653"/>
    <n v="0"/>
    <n v="14.66283"/>
    <n v="3.8849199999999997"/>
    <n v="0"/>
    <n v="18.854285664017205"/>
    <n v="4.0483532589287483"/>
  </r>
  <r>
    <s v="Regular"/>
    <x v="3"/>
    <x v="2"/>
    <x v="1"/>
    <x v="0"/>
    <x v="1"/>
    <x v="1"/>
    <x v="2"/>
    <x v="11"/>
    <n v="0"/>
    <n v="0"/>
    <n v="1.2E-2"/>
    <n v="1.2E-2"/>
    <n v="1.2E-2"/>
    <n v="1.2E-2"/>
    <n v="0"/>
    <x v="1"/>
    <n v="0"/>
    <n v="0"/>
    <n v="44"/>
    <n v="84"/>
    <n v="0"/>
    <n v="1127.9100000000001"/>
    <n v="298.83999999999997"/>
    <m/>
    <n v="1450.329666462862"/>
    <n v="311.4117891483653"/>
    <n v="0"/>
    <n v="13.534920000000001"/>
    <n v="3.5860799999999999"/>
    <n v="0"/>
    <n v="17.403955997554345"/>
    <n v="3.7369414697803838"/>
  </r>
  <r>
    <s v="Regular"/>
    <x v="3"/>
    <x v="2"/>
    <x v="2"/>
    <x v="0"/>
    <x v="1"/>
    <x v="1"/>
    <x v="2"/>
    <x v="6"/>
    <n v="0"/>
    <n v="0"/>
    <n v="5.3410000000000002"/>
    <n v="5.3410000000000002"/>
    <n v="5.3410000000000002"/>
    <n v="5.3410000000000002"/>
    <n v="0"/>
    <x v="1"/>
    <n v="0"/>
    <n v="0"/>
    <n v="44"/>
    <n v="84"/>
    <n v="0"/>
    <n v="1127.9100000000001"/>
    <n v="298.83999999999997"/>
    <m/>
    <n v="1450.329666462862"/>
    <n v="311.4117891483653"/>
    <n v="0"/>
    <n v="6024.1673100000007"/>
    <n v="1596.1044399999998"/>
    <n v="0"/>
    <n v="7746.2107485781462"/>
    <n v="1663.2503658414191"/>
  </r>
  <r>
    <s v="Regular"/>
    <x v="3"/>
    <x v="2"/>
    <x v="3"/>
    <x v="0"/>
    <x v="1"/>
    <x v="1"/>
    <x v="0"/>
    <x v="9"/>
    <n v="0"/>
    <n v="0"/>
    <n v="0.433"/>
    <n v="0.433"/>
    <n v="0.433"/>
    <n v="0.433"/>
    <n v="0"/>
    <x v="1"/>
    <n v="0"/>
    <n v="0"/>
    <n v="46"/>
    <n v="86"/>
    <n v="0"/>
    <n v="315.24"/>
    <n v="189.96"/>
    <m/>
    <n v="404.78122144867069"/>
    <n v="195.89707226799715"/>
    <n v="0"/>
    <n v="136.49892"/>
    <n v="82.252679999999998"/>
    <n v="0"/>
    <n v="175.2702688872744"/>
    <n v="84.823432292042767"/>
  </r>
  <r>
    <s v="Regular"/>
    <x v="3"/>
    <x v="2"/>
    <x v="3"/>
    <x v="0"/>
    <x v="1"/>
    <x v="1"/>
    <x v="0"/>
    <x v="10"/>
    <n v="0"/>
    <n v="0"/>
    <n v="1.272"/>
    <n v="1.272"/>
    <n v="1.272"/>
    <n v="1.272"/>
    <n v="0"/>
    <x v="1"/>
    <n v="0"/>
    <n v="0"/>
    <n v="46"/>
    <n v="86"/>
    <n v="0"/>
    <n v="315.24"/>
    <n v="189.96"/>
    <m/>
    <n v="404.78122144867069"/>
    <n v="195.89707226799715"/>
    <n v="0"/>
    <n v="400.98528000000005"/>
    <n v="241.62912"/>
    <n v="0"/>
    <n v="514.88171368270912"/>
    <n v="249.18107592489238"/>
  </r>
  <r>
    <s v="Regular"/>
    <x v="3"/>
    <x v="2"/>
    <x v="3"/>
    <x v="0"/>
    <x v="1"/>
    <x v="1"/>
    <x v="0"/>
    <x v="11"/>
    <n v="0"/>
    <n v="0"/>
    <n v="1.7450000000000001"/>
    <n v="1.7450000000000001"/>
    <n v="1.7450000000000001"/>
    <n v="1.7450000000000001"/>
    <n v="0"/>
    <x v="1"/>
    <n v="0"/>
    <n v="0"/>
    <n v="46"/>
    <n v="86"/>
    <n v="0"/>
    <n v="315.24"/>
    <n v="189.96"/>
    <m/>
    <n v="404.78122144867069"/>
    <n v="195.89707226799715"/>
    <n v="0"/>
    <n v="550.0938000000001"/>
    <n v="331.48020000000002"/>
    <n v="0"/>
    <n v="706.34323142793039"/>
    <n v="341.84039110765502"/>
  </r>
  <r>
    <s v="Regular"/>
    <x v="3"/>
    <x v="2"/>
    <x v="3"/>
    <x v="0"/>
    <x v="1"/>
    <x v="1"/>
    <x v="3"/>
    <x v="9"/>
    <n v="0"/>
    <n v="0"/>
    <n v="1.0999999999999999E-2"/>
    <n v="1.0999999999999999E-2"/>
    <n v="1.0999999999999999E-2"/>
    <n v="1.0999999999999999E-2"/>
    <n v="0"/>
    <x v="1"/>
    <n v="0"/>
    <n v="0"/>
    <n v="45"/>
    <n v="85"/>
    <n v="0"/>
    <n v="721.58"/>
    <n v="189.96"/>
    <m/>
    <n v="927.55548967041148"/>
    <n v="195.89707226799715"/>
    <n v="0"/>
    <n v="7.9373800000000001"/>
    <n v="2.0895600000000001"/>
    <n v="0"/>
    <n v="10.203110386374526"/>
    <n v="2.1548677949479687"/>
  </r>
  <r>
    <s v="Regular"/>
    <x v="3"/>
    <x v="2"/>
    <x v="3"/>
    <x v="0"/>
    <x v="1"/>
    <x v="1"/>
    <x v="3"/>
    <x v="10"/>
    <n v="0"/>
    <n v="0"/>
    <n v="7.5999999999999998E-2"/>
    <n v="7.5999999999999998E-2"/>
    <n v="7.5999999999999998E-2"/>
    <n v="7.5999999999999998E-2"/>
    <n v="0"/>
    <x v="1"/>
    <n v="0"/>
    <n v="0"/>
    <n v="45"/>
    <n v="85"/>
    <n v="0"/>
    <n v="721.58"/>
    <n v="189.96"/>
    <m/>
    <n v="927.55548967041148"/>
    <n v="195.89707226799715"/>
    <n v="0"/>
    <n v="54.84008"/>
    <n v="14.436960000000001"/>
    <n v="0"/>
    <n v="70.494217214951277"/>
    <n v="14.888177492367783"/>
  </r>
  <r>
    <s v="Regular"/>
    <x v="3"/>
    <x v="2"/>
    <x v="3"/>
    <x v="0"/>
    <x v="1"/>
    <x v="1"/>
    <x v="3"/>
    <x v="11"/>
    <n v="0"/>
    <n v="0"/>
    <n v="0.113"/>
    <n v="0.113"/>
    <n v="0.113"/>
    <n v="0.113"/>
    <n v="0"/>
    <x v="1"/>
    <n v="0"/>
    <n v="0"/>
    <n v="45"/>
    <n v="85"/>
    <n v="0"/>
    <n v="721.58"/>
    <n v="189.96"/>
    <m/>
    <n v="927.55548967041148"/>
    <n v="195.89707226799715"/>
    <n v="0"/>
    <n v="81.538540000000012"/>
    <n v="21.465480000000003"/>
    <n v="0"/>
    <n v="104.8137703327565"/>
    <n v="22.136369166283679"/>
  </r>
  <r>
    <s v="Regular"/>
    <x v="3"/>
    <x v="2"/>
    <x v="3"/>
    <x v="0"/>
    <x v="1"/>
    <x v="1"/>
    <x v="2"/>
    <x v="6"/>
    <n v="0"/>
    <n v="0"/>
    <n v="2.669"/>
    <n v="2.669"/>
    <n v="2.669"/>
    <n v="2.669"/>
    <n v="0"/>
    <x v="1"/>
    <n v="0"/>
    <n v="0"/>
    <n v="44"/>
    <n v="84"/>
    <n v="0"/>
    <n v="1127.9100000000001"/>
    <n v="298.83999999999997"/>
    <m/>
    <n v="1450.329666462862"/>
    <n v="311.4117891483653"/>
    <n v="0"/>
    <n v="3010.3917900000001"/>
    <n v="797.60395999999992"/>
    <n v="0"/>
    <n v="3870.9298797893784"/>
    <n v="831.158065236987"/>
  </r>
  <r>
    <s v="Regular"/>
    <x v="3"/>
    <x v="2"/>
    <x v="3"/>
    <x v="0"/>
    <x v="1"/>
    <x v="1"/>
    <x v="2"/>
    <x v="9"/>
    <n v="0"/>
    <n v="0"/>
    <n v="1.4E-2"/>
    <n v="1.4E-2"/>
    <n v="1.4E-2"/>
    <n v="1.4E-2"/>
    <n v="0"/>
    <x v="1"/>
    <n v="0"/>
    <n v="0"/>
    <n v="44"/>
    <n v="84"/>
    <n v="0"/>
    <n v="1127.9100000000001"/>
    <n v="298.83999999999997"/>
    <m/>
    <n v="1450.329666462862"/>
    <n v="311.4117891483653"/>
    <n v="0"/>
    <n v="15.790740000000001"/>
    <n v="4.1837599999999995"/>
    <n v="0"/>
    <n v="20.304615330480068"/>
    <n v="4.3597650480771142"/>
  </r>
  <r>
    <s v="Regular"/>
    <x v="3"/>
    <x v="2"/>
    <x v="3"/>
    <x v="0"/>
    <x v="1"/>
    <x v="1"/>
    <x v="2"/>
    <x v="10"/>
    <n v="0"/>
    <n v="0"/>
    <n v="6.7000000000000004E-2"/>
    <n v="6.7000000000000004E-2"/>
    <n v="6.7000000000000004E-2"/>
    <n v="6.7000000000000004E-2"/>
    <n v="0"/>
    <x v="1"/>
    <n v="0"/>
    <n v="0"/>
    <n v="44"/>
    <n v="84"/>
    <n v="0"/>
    <n v="1127.9100000000001"/>
    <n v="298.83999999999997"/>
    <m/>
    <n v="1450.329666462862"/>
    <n v="311.4117891483653"/>
    <n v="0"/>
    <n v="75.569970000000012"/>
    <n v="20.022279999999999"/>
    <n v="0"/>
    <n v="97.172087653011758"/>
    <n v="20.864589872940478"/>
  </r>
  <r>
    <s v="Regular"/>
    <x v="3"/>
    <x v="2"/>
    <x v="3"/>
    <x v="0"/>
    <x v="1"/>
    <x v="1"/>
    <x v="2"/>
    <x v="11"/>
    <n v="0"/>
    <n v="0"/>
    <n v="9.6000000000000002E-2"/>
    <n v="9.6000000000000002E-2"/>
    <n v="9.6000000000000002E-2"/>
    <n v="9.6000000000000002E-2"/>
    <n v="0"/>
    <x v="1"/>
    <n v="0"/>
    <n v="0"/>
    <n v="44"/>
    <n v="84"/>
    <n v="0"/>
    <n v="1127.9100000000001"/>
    <n v="298.83999999999997"/>
    <m/>
    <n v="1450.329666462862"/>
    <n v="311.4117891483653"/>
    <n v="0"/>
    <n v="108.27936000000001"/>
    <n v="28.688639999999999"/>
    <n v="0"/>
    <n v="139.23164798043476"/>
    <n v="29.89553175824307"/>
  </r>
  <r>
    <s v="Regular"/>
    <x v="3"/>
    <x v="2"/>
    <x v="6"/>
    <x v="7"/>
    <x v="1"/>
    <x v="1"/>
    <x v="2"/>
    <x v="6"/>
    <n v="0"/>
    <n v="0"/>
    <n v="0.69399999999999995"/>
    <n v="0.65235999999999994"/>
    <n v="0.69399999999999995"/>
    <n v="0.65235999999999994"/>
    <n v="0"/>
    <x v="1"/>
    <n v="0"/>
    <n v="0"/>
    <n v="44"/>
    <n v="84"/>
    <n v="0"/>
    <n v="1127.9100000000001"/>
    <n v="298.83999999999997"/>
    <m/>
    <n v="1450.329666462862"/>
    <n v="311.4117891483653"/>
    <n v="0"/>
    <n v="735.8033676"/>
    <n v="194.95126239999996"/>
    <n v="0"/>
    <n v="946.13706121371251"/>
    <n v="203.15259476882756"/>
  </r>
  <r>
    <s v="Regular"/>
    <x v="3"/>
    <x v="3"/>
    <x v="1"/>
    <x v="0"/>
    <x v="1"/>
    <x v="1"/>
    <x v="1"/>
    <x v="0"/>
    <n v="0"/>
    <n v="0"/>
    <n v="511.387"/>
    <n v="511.387"/>
    <n v="511.387"/>
    <n v="511.387"/>
    <n v="1166"/>
    <x v="1"/>
    <n v="0"/>
    <n v="0"/>
    <n v="47"/>
    <n v="87"/>
    <n v="0"/>
    <n v="406.52"/>
    <n v="199.03"/>
    <m/>
    <n v="506.43176911815436"/>
    <n v="205.52329867469447"/>
    <n v="0"/>
    <n v="207889.04324"/>
    <n v="101781.35460999999"/>
    <n v="0"/>
    <n v="258982.6231140256"/>
    <n v="105101.94313935598"/>
  </r>
  <r>
    <s v="Refaturamento - Regular"/>
    <x v="3"/>
    <x v="3"/>
    <x v="1"/>
    <x v="0"/>
    <x v="1"/>
    <x v="1"/>
    <x v="1"/>
    <x v="0"/>
    <n v="0"/>
    <n v="0"/>
    <n v="-10.084"/>
    <n v="-10.084"/>
    <n v="-10.084"/>
    <n v="-10.084"/>
    <n v="0"/>
    <x v="1"/>
    <n v="0"/>
    <n v="0"/>
    <n v="47"/>
    <n v="87"/>
    <n v="0"/>
    <n v="406.52"/>
    <n v="199.03"/>
    <m/>
    <n v="506.43176911815436"/>
    <n v="205.52329867469447"/>
    <n v="0"/>
    <n v="-4099.3476799999999"/>
    <n v="-2007.0185199999999"/>
    <n v="0"/>
    <n v="-5106.8579597874686"/>
    <n v="-2072.4969438356188"/>
  </r>
  <r>
    <s v="Sistema de Compensação"/>
    <x v="3"/>
    <x v="3"/>
    <x v="1"/>
    <x v="0"/>
    <x v="1"/>
    <x v="1"/>
    <x v="1"/>
    <x v="0"/>
    <n v="0"/>
    <n v="0"/>
    <n v="50.249000000000002"/>
    <n v="50.249000000000002"/>
    <n v="50.249000000000002"/>
    <n v="50.249000000000002"/>
    <n v="38"/>
    <x v="1"/>
    <n v="0"/>
    <n v="0"/>
    <n v="47"/>
    <n v="87"/>
    <n v="0"/>
    <n v="406.52"/>
    <n v="199.03"/>
    <m/>
    <n v="506.43176911815436"/>
    <n v="205.52329867469447"/>
    <n v="0"/>
    <n v="20427.223480000001"/>
    <n v="10001.05847"/>
    <n v="0"/>
    <n v="25447.68996641814"/>
    <n v="10327.340235104723"/>
  </r>
  <r>
    <s v="Regular"/>
    <x v="3"/>
    <x v="3"/>
    <x v="1"/>
    <x v="0"/>
    <x v="1"/>
    <x v="1"/>
    <x v="1"/>
    <x v="1"/>
    <n v="0"/>
    <n v="0"/>
    <n v="549.75400000000002"/>
    <n v="549.75400000000002"/>
    <n v="549.75400000000002"/>
    <n v="549.75400000000002"/>
    <n v="1164"/>
    <x v="1"/>
    <n v="0"/>
    <n v="0"/>
    <n v="47"/>
    <n v="87"/>
    <n v="0"/>
    <n v="406.52"/>
    <n v="199.03"/>
    <m/>
    <n v="506.43176911815436"/>
    <n v="205.52329867469447"/>
    <n v="0"/>
    <n v="223485.99608000001"/>
    <n v="109417.53862000001"/>
    <n v="0"/>
    <n v="278412.89079978183"/>
    <n v="112987.25553960798"/>
  </r>
  <r>
    <s v="Refaturamento - Regular"/>
    <x v="3"/>
    <x v="3"/>
    <x v="1"/>
    <x v="0"/>
    <x v="1"/>
    <x v="1"/>
    <x v="1"/>
    <x v="1"/>
    <n v="0"/>
    <n v="0"/>
    <n v="-6.5000000000000002E-2"/>
    <n v="-6.5000000000000002E-2"/>
    <n v="-6.5000000000000002E-2"/>
    <n v="-6.5000000000000002E-2"/>
    <n v="0"/>
    <x v="1"/>
    <n v="0"/>
    <n v="0"/>
    <n v="47"/>
    <n v="87"/>
    <n v="0"/>
    <n v="406.52"/>
    <n v="199.03"/>
    <m/>
    <n v="506.43176911815436"/>
    <n v="205.52329867469447"/>
    <n v="0"/>
    <n v="-26.4238"/>
    <n v="-12.936950000000001"/>
    <n v="0"/>
    <n v="-32.918064992680037"/>
    <n v="-13.359014413855141"/>
  </r>
  <r>
    <s v="Sistema de Compensação"/>
    <x v="3"/>
    <x v="3"/>
    <x v="1"/>
    <x v="0"/>
    <x v="1"/>
    <x v="1"/>
    <x v="1"/>
    <x v="1"/>
    <n v="0"/>
    <n v="0"/>
    <n v="43.874000000000002"/>
    <n v="43.874000000000002"/>
    <n v="43.874000000000002"/>
    <n v="43.874000000000002"/>
    <n v="42"/>
    <x v="1"/>
    <n v="0"/>
    <n v="0"/>
    <n v="47"/>
    <n v="87"/>
    <n v="0"/>
    <n v="406.52"/>
    <n v="199.03"/>
    <m/>
    <n v="506.43176911815436"/>
    <n v="205.52329867469447"/>
    <n v="0"/>
    <n v="17835.658480000002"/>
    <n v="8732.2422200000001"/>
    <n v="0"/>
    <n v="22219.187438289904"/>
    <n v="9017.1292060535452"/>
  </r>
  <r>
    <s v="Regular"/>
    <x v="3"/>
    <x v="3"/>
    <x v="1"/>
    <x v="0"/>
    <x v="1"/>
    <x v="1"/>
    <x v="1"/>
    <x v="2"/>
    <n v="0"/>
    <n v="0"/>
    <n v="507.43700000000001"/>
    <n v="507.43700000000001"/>
    <n v="507.43700000000001"/>
    <n v="507.43700000000001"/>
    <n v="1174"/>
    <x v="1"/>
    <n v="0"/>
    <n v="0"/>
    <n v="47"/>
    <n v="87"/>
    <n v="0"/>
    <n v="406.52"/>
    <n v="199.03"/>
    <m/>
    <n v="506.43176911815436"/>
    <n v="205.52329867469447"/>
    <n v="0"/>
    <n v="206283.28923999998"/>
    <n v="100995.18611000001"/>
    <n v="0"/>
    <n v="256982.2176260089"/>
    <n v="104290.12610959094"/>
  </r>
  <r>
    <s v="Sistema de Compensação"/>
    <x v="3"/>
    <x v="3"/>
    <x v="1"/>
    <x v="0"/>
    <x v="1"/>
    <x v="1"/>
    <x v="1"/>
    <x v="2"/>
    <n v="0"/>
    <n v="0"/>
    <n v="46.741999999999997"/>
    <n v="46.741999999999997"/>
    <n v="46.741999999999997"/>
    <n v="46.741999999999997"/>
    <n v="42"/>
    <x v="1"/>
    <n v="0"/>
    <n v="0"/>
    <n v="47"/>
    <n v="87"/>
    <n v="0"/>
    <n v="406.52"/>
    <n v="199.03"/>
    <m/>
    <n v="506.43176911815436"/>
    <n v="205.52329867469447"/>
    <n v="0"/>
    <n v="19001.557839999998"/>
    <n v="9303.0602600000002"/>
    <n v="0"/>
    <n v="23671.633752120772"/>
    <n v="9606.5700266525691"/>
  </r>
  <r>
    <s v="Regular"/>
    <x v="3"/>
    <x v="3"/>
    <x v="1"/>
    <x v="0"/>
    <x v="1"/>
    <x v="1"/>
    <x v="1"/>
    <x v="3"/>
    <n v="0"/>
    <n v="0"/>
    <n v="545.47500000000002"/>
    <n v="545.47500000000002"/>
    <n v="545.47500000000002"/>
    <n v="545.47500000000002"/>
    <n v="1180"/>
    <x v="1"/>
    <n v="0"/>
    <n v="0"/>
    <n v="47"/>
    <n v="87"/>
    <n v="0"/>
    <n v="406.52"/>
    <n v="199.03"/>
    <m/>
    <n v="506.43176911815436"/>
    <n v="205.52329867469447"/>
    <n v="0"/>
    <n v="221746.497"/>
    <n v="108565.88925000001"/>
    <n v="0"/>
    <n v="276245.86925972527"/>
    <n v="112107.82134457897"/>
  </r>
  <r>
    <s v="Sistema de Compensação"/>
    <x v="3"/>
    <x v="3"/>
    <x v="1"/>
    <x v="0"/>
    <x v="1"/>
    <x v="1"/>
    <x v="1"/>
    <x v="3"/>
    <n v="0"/>
    <n v="0"/>
    <n v="43.554000000000002"/>
    <n v="43.554000000000002"/>
    <n v="43.554000000000002"/>
    <n v="43.554000000000002"/>
    <n v="45"/>
    <x v="1"/>
    <n v="0"/>
    <n v="0"/>
    <n v="47"/>
    <n v="87"/>
    <n v="0"/>
    <n v="406.52"/>
    <n v="199.03"/>
    <m/>
    <n v="506.43176911815436"/>
    <n v="205.52329867469447"/>
    <n v="0"/>
    <n v="17705.572080000002"/>
    <n v="8668.5526200000004"/>
    <n v="0"/>
    <n v="22057.129272172097"/>
    <n v="8951.361750477643"/>
  </r>
  <r>
    <s v="Regular"/>
    <x v="3"/>
    <x v="3"/>
    <x v="1"/>
    <x v="0"/>
    <x v="1"/>
    <x v="1"/>
    <x v="1"/>
    <x v="4"/>
    <n v="0"/>
    <n v="0"/>
    <n v="601.43600000000004"/>
    <n v="601.43600000000004"/>
    <n v="601.43600000000004"/>
    <n v="601.43600000000004"/>
    <n v="1177"/>
    <x v="1"/>
    <n v="0"/>
    <n v="0"/>
    <n v="47"/>
    <n v="87"/>
    <n v="0"/>
    <n v="406.52"/>
    <n v="199.03"/>
    <m/>
    <n v="506.43176911815436"/>
    <n v="205.52329867469447"/>
    <n v="0"/>
    <n v="244495.76272"/>
    <n v="119703.80708000001"/>
    <n v="0"/>
    <n v="304586.29749134631"/>
    <n v="123609.11066171355"/>
  </r>
  <r>
    <s v="Refaturamento - Regular"/>
    <x v="3"/>
    <x v="3"/>
    <x v="1"/>
    <x v="0"/>
    <x v="1"/>
    <x v="1"/>
    <x v="1"/>
    <x v="4"/>
    <n v="0"/>
    <n v="0"/>
    <n v="-0.159"/>
    <n v="-0.159"/>
    <n v="-0.159"/>
    <n v="-0.159"/>
    <n v="0"/>
    <x v="1"/>
    <n v="0"/>
    <n v="0"/>
    <n v="47"/>
    <n v="87"/>
    <n v="0"/>
    <n v="406.52"/>
    <n v="199.03"/>
    <m/>
    <n v="506.43176911815436"/>
    <n v="205.52329867469447"/>
    <n v="0"/>
    <n v="-64.636679999999998"/>
    <n v="-31.645770000000002"/>
    <n v="0"/>
    <n v="-80.522651289786552"/>
    <n v="-32.678204489276425"/>
  </r>
  <r>
    <s v="Sistema de Compensação"/>
    <x v="3"/>
    <x v="3"/>
    <x v="1"/>
    <x v="0"/>
    <x v="1"/>
    <x v="1"/>
    <x v="1"/>
    <x v="4"/>
    <n v="0"/>
    <n v="0"/>
    <n v="34.328000000000003"/>
    <n v="34.328000000000003"/>
    <n v="34.328000000000003"/>
    <n v="34.328000000000003"/>
    <n v="48"/>
    <x v="1"/>
    <n v="0"/>
    <n v="0"/>
    <n v="47"/>
    <n v="87"/>
    <n v="0"/>
    <n v="406.52"/>
    <n v="199.03"/>
    <m/>
    <n v="506.43176911815436"/>
    <n v="205.52329867469447"/>
    <n v="0"/>
    <n v="13955.01856"/>
    <n v="6832.301840000001"/>
    <n v="0"/>
    <n v="17384.789770288004"/>
    <n v="7055.2037969049125"/>
  </r>
  <r>
    <s v="Sistema de Compensação"/>
    <x v="3"/>
    <x v="3"/>
    <x v="1"/>
    <x v="0"/>
    <x v="1"/>
    <x v="1"/>
    <x v="1"/>
    <x v="4"/>
    <n v="0"/>
    <n v="0"/>
    <n v="0.377"/>
    <n v="0.377"/>
    <n v="0.377"/>
    <n v="0.377"/>
    <n v="1"/>
    <x v="1"/>
    <n v="0"/>
    <n v="0"/>
    <n v="47"/>
    <n v="87"/>
    <n v="0"/>
    <n v="406.52"/>
    <n v="199.03"/>
    <m/>
    <n v="506.43176911815436"/>
    <n v="205.52329867469447"/>
    <n v="0"/>
    <n v="153.25803999999999"/>
    <n v="75.034310000000005"/>
    <n v="0"/>
    <n v="190.9247769575442"/>
    <n v="77.482283600359821"/>
  </r>
  <r>
    <s v="Regular"/>
    <x v="3"/>
    <x v="3"/>
    <x v="1"/>
    <x v="0"/>
    <x v="1"/>
    <x v="1"/>
    <x v="1"/>
    <x v="5"/>
    <n v="0"/>
    <n v="0"/>
    <n v="657.19600000000003"/>
    <n v="657.19600000000003"/>
    <n v="657.19600000000003"/>
    <n v="657.19600000000003"/>
    <n v="1183"/>
    <x v="1"/>
    <n v="0"/>
    <n v="0"/>
    <n v="47"/>
    <n v="87"/>
    <n v="0"/>
    <n v="406.52"/>
    <n v="199.03"/>
    <m/>
    <n v="506.43176911815436"/>
    <n v="205.52329867469447"/>
    <n v="0"/>
    <n v="267163.31792"/>
    <n v="130801.71988"/>
    <n v="0"/>
    <n v="332824.93293737457"/>
    <n v="135069.08979581451"/>
  </r>
  <r>
    <s v="Sistema de Compensação"/>
    <x v="3"/>
    <x v="3"/>
    <x v="1"/>
    <x v="0"/>
    <x v="1"/>
    <x v="1"/>
    <x v="1"/>
    <x v="5"/>
    <n v="0"/>
    <n v="0"/>
    <n v="36.639000000000003"/>
    <n v="36.639000000000003"/>
    <n v="36.639000000000003"/>
    <n v="36.639000000000003"/>
    <n v="48"/>
    <x v="1"/>
    <n v="0"/>
    <n v="0"/>
    <n v="47"/>
    <n v="87"/>
    <n v="0"/>
    <n v="406.52"/>
    <n v="199.03"/>
    <m/>
    <n v="506.43176911815436"/>
    <n v="205.52329867469447"/>
    <n v="0"/>
    <n v="14894.486280000001"/>
    <n v="7292.2601700000005"/>
    <n v="0"/>
    <n v="18555.153588720059"/>
    <n v="7530.1681401421311"/>
  </r>
  <r>
    <s v="Regular"/>
    <x v="3"/>
    <x v="3"/>
    <x v="1"/>
    <x v="0"/>
    <x v="1"/>
    <x v="1"/>
    <x v="1"/>
    <x v="6"/>
    <n v="0"/>
    <n v="0"/>
    <n v="719.601"/>
    <n v="719.601"/>
    <n v="719.601"/>
    <n v="719.601"/>
    <n v="1195"/>
    <x v="1"/>
    <n v="0"/>
    <n v="0"/>
    <n v="47"/>
    <n v="87"/>
    <n v="0"/>
    <n v="406.52"/>
    <n v="199.03"/>
    <m/>
    <n v="506.43176911815436"/>
    <n v="205.52329867469447"/>
    <n v="0"/>
    <n v="292532.19851999998"/>
    <n v="143222.18703"/>
    <n v="0"/>
    <n v="364428.80748919299"/>
    <n v="147894.77124960881"/>
  </r>
  <r>
    <s v="Refaturamento - Regular"/>
    <x v="3"/>
    <x v="3"/>
    <x v="1"/>
    <x v="0"/>
    <x v="1"/>
    <x v="1"/>
    <x v="1"/>
    <x v="6"/>
    <n v="0"/>
    <n v="0"/>
    <n v="3.2050000000000001"/>
    <n v="3.2050000000000001"/>
    <n v="3.2050000000000001"/>
    <n v="3.2050000000000001"/>
    <n v="0"/>
    <x v="1"/>
    <n v="0"/>
    <n v="0"/>
    <n v="47"/>
    <n v="87"/>
    <n v="0"/>
    <n v="406.52"/>
    <n v="199.03"/>
    <m/>
    <n v="506.43176911815436"/>
    <n v="205.52329867469447"/>
    <n v="0"/>
    <n v="1302.8966"/>
    <n v="637.89115000000004"/>
    <n v="0"/>
    <n v="1623.1138200236849"/>
    <n v="658.70217225239583"/>
  </r>
  <r>
    <s v="Sistema de Compensação"/>
    <x v="3"/>
    <x v="3"/>
    <x v="1"/>
    <x v="0"/>
    <x v="1"/>
    <x v="1"/>
    <x v="1"/>
    <x v="6"/>
    <n v="0"/>
    <n v="0"/>
    <n v="43.732999999999997"/>
    <n v="43.732999999999997"/>
    <n v="43.732999999999997"/>
    <n v="43.732999999999997"/>
    <n v="47"/>
    <x v="1"/>
    <n v="0"/>
    <n v="0"/>
    <n v="47"/>
    <n v="87"/>
    <n v="0"/>
    <n v="406.52"/>
    <n v="199.03"/>
    <m/>
    <n v="506.43176911815436"/>
    <n v="205.52329867469447"/>
    <n v="0"/>
    <n v="17778.33916"/>
    <n v="8704.1789900000003"/>
    <n v="0"/>
    <n v="22147.780558844242"/>
    <n v="8988.150420940412"/>
  </r>
  <r>
    <s v="Regular"/>
    <x v="3"/>
    <x v="3"/>
    <x v="1"/>
    <x v="0"/>
    <x v="1"/>
    <x v="1"/>
    <x v="1"/>
    <x v="7"/>
    <n v="0"/>
    <n v="0"/>
    <n v="849.50099999999998"/>
    <n v="849.50099999999998"/>
    <n v="849.50099999999998"/>
    <n v="849.50099999999998"/>
    <n v="1197"/>
    <x v="1"/>
    <n v="0"/>
    <n v="0"/>
    <n v="47"/>
    <n v="87"/>
    <n v="0"/>
    <n v="406.52"/>
    <n v="199.03"/>
    <m/>
    <n v="506.43176911815436"/>
    <n v="205.52329867469447"/>
    <n v="0"/>
    <n v="345339.14651999995"/>
    <n v="169076.18403"/>
    <n v="0"/>
    <n v="430214.29429764126"/>
    <n v="174592.24774745162"/>
  </r>
  <r>
    <s v="Refaturamento - Regular"/>
    <x v="3"/>
    <x v="3"/>
    <x v="1"/>
    <x v="0"/>
    <x v="1"/>
    <x v="1"/>
    <x v="1"/>
    <x v="7"/>
    <n v="0"/>
    <n v="0"/>
    <n v="46.793999999999997"/>
    <n v="46.793999999999997"/>
    <n v="46.793999999999997"/>
    <n v="46.793999999999997"/>
    <n v="0"/>
    <x v="1"/>
    <n v="0"/>
    <n v="0"/>
    <n v="47"/>
    <n v="87"/>
    <n v="0"/>
    <n v="406.52"/>
    <n v="199.03"/>
    <m/>
    <n v="506.43176911815436"/>
    <n v="205.52329867469447"/>
    <n v="0"/>
    <n v="19022.69688"/>
    <n v="9313.4098199999989"/>
    <n v="0"/>
    <n v="23697.968204114914"/>
    <n v="9617.2572381836526"/>
  </r>
  <r>
    <s v="Sistema de Compensação"/>
    <x v="3"/>
    <x v="3"/>
    <x v="1"/>
    <x v="0"/>
    <x v="1"/>
    <x v="1"/>
    <x v="1"/>
    <x v="7"/>
    <n v="0"/>
    <n v="0"/>
    <n v="60.008000000000003"/>
    <n v="60.008000000000003"/>
    <n v="60.008000000000003"/>
    <n v="60.008000000000003"/>
    <n v="47"/>
    <x v="1"/>
    <n v="0"/>
    <n v="0"/>
    <n v="47"/>
    <n v="87"/>
    <n v="0"/>
    <n v="406.52"/>
    <n v="199.03"/>
    <m/>
    <n v="506.43176911815436"/>
    <n v="205.52329867469447"/>
    <n v="0"/>
    <n v="24394.452160000001"/>
    <n v="11943.392240000001"/>
    <n v="0"/>
    <n v="30389.957601242208"/>
    <n v="12333.042106871066"/>
  </r>
  <r>
    <s v="Regular"/>
    <x v="3"/>
    <x v="3"/>
    <x v="1"/>
    <x v="0"/>
    <x v="1"/>
    <x v="1"/>
    <x v="1"/>
    <x v="8"/>
    <n v="0"/>
    <n v="0"/>
    <n v="730.76400000000001"/>
    <n v="730.76400000000001"/>
    <n v="730.76400000000001"/>
    <n v="730.76400000000001"/>
    <n v="1240"/>
    <x v="1"/>
    <n v="0"/>
    <n v="0"/>
    <n v="47"/>
    <n v="87"/>
    <n v="0"/>
    <n v="406.52"/>
    <n v="199.03"/>
    <m/>
    <n v="506.43176911815436"/>
    <n v="205.52329867469447"/>
    <n v="0"/>
    <n v="297070.18128000002"/>
    <n v="145443.95892"/>
    <n v="0"/>
    <n v="370082.10532785894"/>
    <n v="150189.02783271443"/>
  </r>
  <r>
    <s v="Sistema de Compensação"/>
    <x v="3"/>
    <x v="3"/>
    <x v="1"/>
    <x v="0"/>
    <x v="1"/>
    <x v="1"/>
    <x v="1"/>
    <x v="8"/>
    <n v="0"/>
    <n v="0"/>
    <n v="68.831999999999994"/>
    <n v="68.831999999999994"/>
    <n v="68.831999999999994"/>
    <n v="68.831999999999994"/>
    <n v="51"/>
    <x v="1"/>
    <n v="0"/>
    <n v="0"/>
    <n v="47"/>
    <n v="87"/>
    <n v="0"/>
    <n v="406.52"/>
    <n v="199.03"/>
    <m/>
    <n v="506.43176911815436"/>
    <n v="205.52329867469447"/>
    <n v="0"/>
    <n v="27981.584639999997"/>
    <n v="13699.632959999999"/>
    <n v="0"/>
    <n v="34858.711531940797"/>
    <n v="14146.579694376569"/>
  </r>
  <r>
    <s v="Regular"/>
    <x v="3"/>
    <x v="3"/>
    <x v="1"/>
    <x v="0"/>
    <x v="1"/>
    <x v="1"/>
    <x v="1"/>
    <x v="9"/>
    <n v="0"/>
    <n v="0"/>
    <n v="547.755"/>
    <n v="547.755"/>
    <n v="547.755"/>
    <n v="547.755"/>
    <n v="1211"/>
    <x v="1"/>
    <n v="0"/>
    <n v="0"/>
    <n v="47"/>
    <n v="87"/>
    <n v="0"/>
    <n v="406.52"/>
    <n v="199.03"/>
    <m/>
    <n v="506.43176911815436"/>
    <n v="205.52329867469447"/>
    <n v="0"/>
    <n v="222673.36259999999"/>
    <n v="109019.67765"/>
    <n v="0"/>
    <n v="277400.53369331465"/>
    <n v="112576.41446555727"/>
  </r>
  <r>
    <s v="Refaturamento - Regular"/>
    <x v="3"/>
    <x v="3"/>
    <x v="1"/>
    <x v="0"/>
    <x v="1"/>
    <x v="1"/>
    <x v="1"/>
    <x v="9"/>
    <n v="0"/>
    <n v="0"/>
    <n v="0.83199999999999996"/>
    <n v="0.83199999999999996"/>
    <n v="0.83199999999999996"/>
    <n v="0.83199999999999996"/>
    <n v="0"/>
    <x v="1"/>
    <n v="0"/>
    <n v="0"/>
    <n v="47"/>
    <n v="87"/>
    <n v="0"/>
    <n v="406.52"/>
    <n v="199.03"/>
    <m/>
    <n v="506.43176911815436"/>
    <n v="205.52329867469447"/>
    <n v="0"/>
    <n v="338.22463999999997"/>
    <n v="165.59296000000001"/>
    <n v="0"/>
    <n v="421.35123190630441"/>
    <n v="170.99538449734578"/>
  </r>
  <r>
    <s v="Sistema de Compensação"/>
    <x v="3"/>
    <x v="3"/>
    <x v="1"/>
    <x v="0"/>
    <x v="1"/>
    <x v="1"/>
    <x v="1"/>
    <x v="9"/>
    <n v="0"/>
    <n v="0"/>
    <n v="44.404000000000003"/>
    <n v="44.404000000000003"/>
    <n v="44.404000000000003"/>
    <n v="44.404000000000003"/>
    <n v="54"/>
    <x v="1"/>
    <n v="0"/>
    <n v="0"/>
    <n v="47"/>
    <n v="87"/>
    <n v="0"/>
    <n v="406.52"/>
    <n v="199.03"/>
    <m/>
    <n v="506.43176911815436"/>
    <n v="205.52329867469447"/>
    <n v="0"/>
    <n v="18051.114079999999"/>
    <n v="8837.7281200000016"/>
    <n v="0"/>
    <n v="22487.596275922529"/>
    <n v="9126.0565543511348"/>
  </r>
  <r>
    <s v="Regular"/>
    <x v="3"/>
    <x v="3"/>
    <x v="1"/>
    <x v="0"/>
    <x v="1"/>
    <x v="1"/>
    <x v="1"/>
    <x v="10"/>
    <n v="0"/>
    <n v="0"/>
    <n v="541.12"/>
    <n v="541.12"/>
    <n v="541.12"/>
    <n v="541.12"/>
    <n v="1205"/>
    <x v="1"/>
    <n v="0"/>
    <n v="0"/>
    <n v="47"/>
    <n v="87"/>
    <n v="0"/>
    <n v="406.52"/>
    <n v="199.03"/>
    <m/>
    <n v="506.43176911815436"/>
    <n v="205.52329867469447"/>
    <n v="0"/>
    <n v="219976.1024"/>
    <n v="107699.1136"/>
    <n v="0"/>
    <n v="274040.35890521569"/>
    <n v="111212.76737885068"/>
  </r>
  <r>
    <s v="Sistema de Compensação"/>
    <x v="3"/>
    <x v="3"/>
    <x v="1"/>
    <x v="0"/>
    <x v="1"/>
    <x v="1"/>
    <x v="1"/>
    <x v="10"/>
    <n v="0"/>
    <n v="0"/>
    <n v="65.277000000000001"/>
    <n v="65.277000000000001"/>
    <n v="65.277000000000001"/>
    <n v="65.277000000000001"/>
    <n v="57"/>
    <x v="1"/>
    <n v="0"/>
    <n v="0"/>
    <n v="47"/>
    <n v="87"/>
    <n v="0"/>
    <n v="406.52"/>
    <n v="199.03"/>
    <m/>
    <n v="506.43176911815436"/>
    <n v="205.52329867469447"/>
    <n v="0"/>
    <n v="26536.406039999998"/>
    <n v="12992.08131"/>
    <n v="0"/>
    <n v="33058.346592725764"/>
    <n v="13415.944367588032"/>
  </r>
  <r>
    <s v="Regular"/>
    <x v="3"/>
    <x v="3"/>
    <x v="1"/>
    <x v="0"/>
    <x v="1"/>
    <x v="1"/>
    <x v="1"/>
    <x v="11"/>
    <n v="0"/>
    <n v="0"/>
    <n v="562.08100000000002"/>
    <n v="562.08100000000002"/>
    <n v="562.08100000000002"/>
    <n v="562.08100000000002"/>
    <n v="1203"/>
    <x v="1"/>
    <n v="0"/>
    <n v="0"/>
    <n v="47"/>
    <n v="87"/>
    <n v="0"/>
    <n v="406.52"/>
    <n v="199.03"/>
    <m/>
    <n v="506.43176911815436"/>
    <n v="205.52329867469447"/>
    <n v="0"/>
    <n v="228497.16811999999"/>
    <n v="111870.98143"/>
    <n v="0"/>
    <n v="284655.67521770135"/>
    <n v="115520.74124237095"/>
  </r>
  <r>
    <s v="Refaturamento - Regular"/>
    <x v="3"/>
    <x v="3"/>
    <x v="1"/>
    <x v="0"/>
    <x v="1"/>
    <x v="1"/>
    <x v="1"/>
    <x v="11"/>
    <n v="0"/>
    <n v="0"/>
    <n v="0.309"/>
    <n v="0.309"/>
    <n v="0.309"/>
    <n v="0.309"/>
    <n v="0"/>
    <x v="1"/>
    <n v="0"/>
    <n v="0"/>
    <n v="47"/>
    <n v="87"/>
    <n v="0"/>
    <n v="406.52"/>
    <n v="199.03"/>
    <m/>
    <n v="506.43176911815436"/>
    <n v="205.52329867469447"/>
    <n v="0"/>
    <n v="125.61467999999999"/>
    <n v="61.50027"/>
    <n v="0"/>
    <n v="156.4874166575097"/>
    <n v="63.50669929048059"/>
  </r>
  <r>
    <s v="Sistema de Compensação"/>
    <x v="3"/>
    <x v="3"/>
    <x v="1"/>
    <x v="0"/>
    <x v="1"/>
    <x v="1"/>
    <x v="1"/>
    <x v="11"/>
    <n v="0"/>
    <n v="0"/>
    <n v="78.087000000000003"/>
    <n v="78.087000000000003"/>
    <n v="78.087000000000003"/>
    <n v="78.087000000000003"/>
    <n v="60"/>
    <x v="1"/>
    <n v="0"/>
    <n v="0"/>
    <n v="47"/>
    <n v="87"/>
    <n v="0"/>
    <n v="406.52"/>
    <n v="199.03"/>
    <m/>
    <n v="506.43176911815436"/>
    <n v="205.52329867469447"/>
    <n v="0"/>
    <n v="31743.927240000001"/>
    <n v="15541.655610000002"/>
    <n v="0"/>
    <n v="39545.737555129323"/>
    <n v="16048.697823610868"/>
  </r>
  <r>
    <s v="Regular"/>
    <x v="3"/>
    <x v="3"/>
    <x v="7"/>
    <x v="0"/>
    <x v="1"/>
    <x v="1"/>
    <x v="1"/>
    <x v="0"/>
    <n v="0"/>
    <n v="0"/>
    <n v="6.4450000000000003"/>
    <n v="6.4450000000000003"/>
    <n v="6.4450000000000003"/>
    <n v="6.4450000000000003"/>
    <n v="17"/>
    <x v="1"/>
    <n v="0"/>
    <n v="0"/>
    <n v="47"/>
    <n v="87"/>
    <n v="0"/>
    <n v="406.52"/>
    <n v="199.03"/>
    <m/>
    <n v="506.43176911815436"/>
    <n v="205.52329867469447"/>
    <n v="0"/>
    <n v="2620.0214000000001"/>
    <n v="1282.7483500000001"/>
    <n v="0"/>
    <n v="3263.9527519665048"/>
    <n v="1324.597659958406"/>
  </r>
  <r>
    <s v="Regular"/>
    <x v="3"/>
    <x v="3"/>
    <x v="7"/>
    <x v="0"/>
    <x v="1"/>
    <x v="1"/>
    <x v="1"/>
    <x v="1"/>
    <n v="0"/>
    <n v="0"/>
    <n v="6.4909999999999997"/>
    <n v="6.4909999999999997"/>
    <n v="6.4909999999999997"/>
    <n v="6.4909999999999997"/>
    <n v="17"/>
    <x v="1"/>
    <n v="0"/>
    <n v="0"/>
    <n v="47"/>
    <n v="87"/>
    <n v="0"/>
    <n v="406.52"/>
    <n v="199.03"/>
    <m/>
    <n v="506.43176911815436"/>
    <n v="205.52329867469447"/>
    <n v="0"/>
    <n v="2638.7213199999997"/>
    <n v="1291.90373"/>
    <n v="0"/>
    <n v="3287.2486133459397"/>
    <n v="1334.0517316974417"/>
  </r>
  <r>
    <s v="Regular"/>
    <x v="3"/>
    <x v="3"/>
    <x v="7"/>
    <x v="0"/>
    <x v="1"/>
    <x v="1"/>
    <x v="1"/>
    <x v="2"/>
    <n v="0"/>
    <n v="0"/>
    <n v="5.141"/>
    <n v="5.141"/>
    <n v="5.141"/>
    <n v="5.141"/>
    <n v="17"/>
    <x v="1"/>
    <n v="0"/>
    <n v="0"/>
    <n v="47"/>
    <n v="87"/>
    <n v="0"/>
    <n v="406.52"/>
    <n v="199.03"/>
    <m/>
    <n v="506.43176911815436"/>
    <n v="205.52329867469447"/>
    <n v="0"/>
    <n v="2089.91932"/>
    <n v="1023.21323"/>
    <n v="0"/>
    <n v="2603.5657250364316"/>
    <n v="1056.5952784866042"/>
  </r>
  <r>
    <s v="Regular"/>
    <x v="3"/>
    <x v="3"/>
    <x v="7"/>
    <x v="0"/>
    <x v="1"/>
    <x v="1"/>
    <x v="1"/>
    <x v="3"/>
    <n v="0"/>
    <n v="0"/>
    <n v="5.4859999999999998"/>
    <n v="5.4859999999999998"/>
    <n v="5.4859999999999998"/>
    <n v="5.4859999999999998"/>
    <n v="17"/>
    <x v="1"/>
    <n v="0"/>
    <n v="0"/>
    <n v="47"/>
    <n v="87"/>
    <n v="0"/>
    <n v="406.52"/>
    <n v="199.03"/>
    <m/>
    <n v="506.43176911815436"/>
    <n v="205.52329867469447"/>
    <n v="0"/>
    <n v="2230.1687199999997"/>
    <n v="1091.8785800000001"/>
    <n v="0"/>
    <n v="2778.2846853821948"/>
    <n v="1127.5008165293739"/>
  </r>
  <r>
    <s v="Regular"/>
    <x v="3"/>
    <x v="3"/>
    <x v="7"/>
    <x v="0"/>
    <x v="1"/>
    <x v="1"/>
    <x v="1"/>
    <x v="4"/>
    <n v="0"/>
    <n v="0"/>
    <n v="5.7949999999999999"/>
    <n v="5.7949999999999999"/>
    <n v="5.7949999999999999"/>
    <n v="5.7949999999999999"/>
    <n v="17"/>
    <x v="1"/>
    <n v="0"/>
    <n v="0"/>
    <n v="47"/>
    <n v="87"/>
    <n v="0"/>
    <n v="406.52"/>
    <n v="199.03"/>
    <m/>
    <n v="506.43176911815436"/>
    <n v="205.52329867469447"/>
    <n v="0"/>
    <n v="2355.7833999999998"/>
    <n v="1153.3788500000001"/>
    <n v="0"/>
    <n v="2934.7721020397044"/>
    <n v="1191.0075158198545"/>
  </r>
  <r>
    <s v="Regular"/>
    <x v="3"/>
    <x v="3"/>
    <x v="7"/>
    <x v="0"/>
    <x v="1"/>
    <x v="1"/>
    <x v="1"/>
    <x v="5"/>
    <n v="0"/>
    <n v="0"/>
    <n v="7.4290000000000003"/>
    <n v="7.4290000000000003"/>
    <n v="7.4290000000000003"/>
    <n v="7.4290000000000003"/>
    <n v="17"/>
    <x v="1"/>
    <n v="0"/>
    <n v="0"/>
    <n v="47"/>
    <n v="87"/>
    <n v="0"/>
    <n v="406.52"/>
    <n v="199.03"/>
    <m/>
    <n v="506.43176911815436"/>
    <n v="205.52329867469447"/>
    <n v="0"/>
    <n v="3020.0370800000001"/>
    <n v="1478.5938700000002"/>
    <n v="0"/>
    <n v="3762.2816127787687"/>
    <n v="1526.8325858543053"/>
  </r>
  <r>
    <s v="Regular"/>
    <x v="3"/>
    <x v="3"/>
    <x v="7"/>
    <x v="0"/>
    <x v="1"/>
    <x v="1"/>
    <x v="1"/>
    <x v="6"/>
    <n v="0"/>
    <n v="0"/>
    <n v="8.8239999999999998"/>
    <n v="8.8239999999999998"/>
    <n v="8.8239999999999998"/>
    <n v="8.8239999999999998"/>
    <n v="16"/>
    <x v="1"/>
    <n v="0"/>
    <n v="0"/>
    <n v="47"/>
    <n v="87"/>
    <n v="0"/>
    <n v="406.52"/>
    <n v="199.03"/>
    <m/>
    <n v="506.43176911815436"/>
    <n v="205.52329867469447"/>
    <n v="0"/>
    <n v="3587.1324799999998"/>
    <n v="1756.24072"/>
    <n v="0"/>
    <n v="4468.7539306985936"/>
    <n v="1813.537587505504"/>
  </r>
  <r>
    <s v="Regular"/>
    <x v="3"/>
    <x v="3"/>
    <x v="7"/>
    <x v="0"/>
    <x v="1"/>
    <x v="1"/>
    <x v="1"/>
    <x v="7"/>
    <n v="0"/>
    <n v="0"/>
    <n v="9.2780000000000005"/>
    <n v="9.2780000000000005"/>
    <n v="9.2780000000000005"/>
    <n v="9.2780000000000005"/>
    <n v="16"/>
    <x v="1"/>
    <n v="0"/>
    <n v="0"/>
    <n v="47"/>
    <n v="87"/>
    <n v="0"/>
    <n v="406.52"/>
    <n v="199.03"/>
    <m/>
    <n v="506.43176911815436"/>
    <n v="205.52329867469447"/>
    <n v="0"/>
    <n v="3771.69256"/>
    <n v="1846.6003400000002"/>
    <n v="0"/>
    <n v="4698.6739538782367"/>
    <n v="1906.8451651038154"/>
  </r>
  <r>
    <s v="Regular"/>
    <x v="3"/>
    <x v="3"/>
    <x v="7"/>
    <x v="0"/>
    <x v="1"/>
    <x v="1"/>
    <x v="1"/>
    <x v="8"/>
    <n v="0"/>
    <n v="0"/>
    <n v="7.883"/>
    <n v="7.883"/>
    <n v="7.883"/>
    <n v="7.883"/>
    <n v="16"/>
    <x v="1"/>
    <n v="0"/>
    <n v="0"/>
    <n v="47"/>
    <n v="87"/>
    <n v="0"/>
    <n v="406.52"/>
    <n v="199.03"/>
    <m/>
    <n v="506.43176911815436"/>
    <n v="205.52329867469447"/>
    <n v="0"/>
    <n v="3204.5971599999998"/>
    <n v="1568.9534900000001"/>
    <n v="0"/>
    <n v="3992.2016359584109"/>
    <n v="1620.1401634526164"/>
  </r>
  <r>
    <s v="Regular"/>
    <x v="3"/>
    <x v="3"/>
    <x v="7"/>
    <x v="0"/>
    <x v="1"/>
    <x v="1"/>
    <x v="1"/>
    <x v="9"/>
    <n v="0"/>
    <n v="0"/>
    <n v="5.2270000000000003"/>
    <n v="5.2270000000000003"/>
    <n v="5.2270000000000003"/>
    <n v="5.2270000000000003"/>
    <n v="16"/>
    <x v="1"/>
    <n v="0"/>
    <n v="0"/>
    <n v="47"/>
    <n v="87"/>
    <n v="0"/>
    <n v="406.52"/>
    <n v="199.03"/>
    <m/>
    <n v="506.43176911815436"/>
    <n v="205.52329867469447"/>
    <n v="0"/>
    <n v="2124.88004"/>
    <n v="1040.3298100000002"/>
    <n v="0"/>
    <n v="2647.1188571805928"/>
    <n v="1074.2702821726282"/>
  </r>
  <r>
    <s v="Regular"/>
    <x v="3"/>
    <x v="3"/>
    <x v="7"/>
    <x v="0"/>
    <x v="1"/>
    <x v="1"/>
    <x v="1"/>
    <x v="10"/>
    <n v="0"/>
    <n v="0"/>
    <n v="5.6920000000000002"/>
    <n v="5.6920000000000002"/>
    <n v="5.6920000000000002"/>
    <n v="5.6920000000000002"/>
    <n v="17"/>
    <x v="1"/>
    <n v="0"/>
    <n v="0"/>
    <n v="47"/>
    <n v="87"/>
    <n v="0"/>
    <n v="406.52"/>
    <n v="199.03"/>
    <m/>
    <n v="506.43176911815436"/>
    <n v="205.52329867469447"/>
    <n v="0"/>
    <n v="2313.9118399999998"/>
    <n v="1132.8787600000001"/>
    <n v="0"/>
    <n v="2882.6096298205348"/>
    <n v="1169.8386160563609"/>
  </r>
  <r>
    <s v="Regular"/>
    <x v="3"/>
    <x v="3"/>
    <x v="7"/>
    <x v="0"/>
    <x v="1"/>
    <x v="1"/>
    <x v="1"/>
    <x v="11"/>
    <n v="0"/>
    <n v="0"/>
    <n v="6.0880000000000001"/>
    <n v="6.0880000000000001"/>
    <n v="6.0880000000000001"/>
    <n v="6.0880000000000001"/>
    <n v="17"/>
    <x v="1"/>
    <n v="0"/>
    <n v="0"/>
    <n v="47"/>
    <n v="87"/>
    <n v="0"/>
    <n v="406.52"/>
    <n v="199.03"/>
    <m/>
    <n v="506.43176911815436"/>
    <n v="205.52329867469447"/>
    <n v="0"/>
    <n v="2474.8937599999999"/>
    <n v="1211.6946399999999"/>
    <n v="0"/>
    <n v="3083.1566103913237"/>
    <n v="1251.22584233154"/>
  </r>
  <r>
    <s v="Regular"/>
    <x v="3"/>
    <x v="3"/>
    <x v="2"/>
    <x v="0"/>
    <x v="1"/>
    <x v="1"/>
    <x v="1"/>
    <x v="0"/>
    <n v="0"/>
    <n v="0"/>
    <n v="59.738"/>
    <n v="59.738"/>
    <n v="59.738"/>
    <n v="59.738"/>
    <n v="49"/>
    <x v="1"/>
    <n v="0"/>
    <n v="0"/>
    <n v="47"/>
    <n v="87"/>
    <n v="0"/>
    <n v="406.52"/>
    <n v="199.03"/>
    <m/>
    <n v="506.43176911815436"/>
    <n v="205.52329867469447"/>
    <n v="0"/>
    <n v="24284.691759999998"/>
    <n v="11889.654140000001"/>
    <n v="0"/>
    <n v="30253.221023580307"/>
    <n v="12277.550816228899"/>
  </r>
  <r>
    <s v="Refaturamento - Regular"/>
    <x v="3"/>
    <x v="3"/>
    <x v="2"/>
    <x v="0"/>
    <x v="1"/>
    <x v="1"/>
    <x v="1"/>
    <x v="0"/>
    <n v="0"/>
    <n v="0"/>
    <n v="0.64900000000000002"/>
    <n v="0.64900000000000002"/>
    <n v="0.64900000000000002"/>
    <n v="0.64900000000000002"/>
    <n v="0"/>
    <x v="1"/>
    <n v="0"/>
    <n v="0"/>
    <n v="47"/>
    <n v="87"/>
    <n v="0"/>
    <n v="406.52"/>
    <n v="199.03"/>
    <m/>
    <n v="506.43176911815436"/>
    <n v="205.52329867469447"/>
    <n v="0"/>
    <n v="263.83148"/>
    <n v="129.17046999999999"/>
    <n v="0"/>
    <n v="328.67421815768222"/>
    <n v="133.38462083987673"/>
  </r>
  <r>
    <s v="Sistema de Compensação"/>
    <x v="3"/>
    <x v="3"/>
    <x v="2"/>
    <x v="0"/>
    <x v="1"/>
    <x v="1"/>
    <x v="1"/>
    <x v="0"/>
    <n v="0"/>
    <n v="0"/>
    <n v="6.319"/>
    <n v="6.319"/>
    <n v="6.319"/>
    <n v="6.319"/>
    <n v="5"/>
    <x v="1"/>
    <n v="0"/>
    <n v="0"/>
    <n v="47"/>
    <n v="87"/>
    <n v="0"/>
    <n v="406.52"/>
    <n v="199.03"/>
    <m/>
    <n v="506.43176911815436"/>
    <n v="205.52329867469447"/>
    <n v="0"/>
    <n v="2568.79988"/>
    <n v="1257.67057"/>
    <n v="0"/>
    <n v="3200.1423490576176"/>
    <n v="1298.7017243253943"/>
  </r>
  <r>
    <s v="Regular"/>
    <x v="3"/>
    <x v="3"/>
    <x v="2"/>
    <x v="0"/>
    <x v="1"/>
    <x v="1"/>
    <x v="1"/>
    <x v="1"/>
    <n v="0"/>
    <n v="0"/>
    <n v="68.061999999999998"/>
    <n v="68.061999999999998"/>
    <n v="68.061999999999998"/>
    <n v="68.061999999999998"/>
    <n v="49"/>
    <x v="1"/>
    <n v="0"/>
    <n v="0"/>
    <n v="47"/>
    <n v="87"/>
    <n v="0"/>
    <n v="406.52"/>
    <n v="199.03"/>
    <m/>
    <n v="506.43176911815436"/>
    <n v="205.52329867469447"/>
    <n v="0"/>
    <n v="27668.564239999996"/>
    <n v="13546.379859999999"/>
    <n v="0"/>
    <n v="34468.759069719817"/>
    <n v="13988.326754397054"/>
  </r>
  <r>
    <s v="Sistema de Compensação"/>
    <x v="3"/>
    <x v="3"/>
    <x v="2"/>
    <x v="0"/>
    <x v="1"/>
    <x v="1"/>
    <x v="1"/>
    <x v="1"/>
    <n v="0"/>
    <n v="0"/>
    <n v="3.5510000000000002"/>
    <n v="3.5510000000000002"/>
    <n v="3.5510000000000002"/>
    <n v="3.5510000000000002"/>
    <n v="5"/>
    <x v="1"/>
    <n v="0"/>
    <n v="0"/>
    <n v="47"/>
    <n v="87"/>
    <n v="0"/>
    <n v="406.52"/>
    <n v="199.03"/>
    <m/>
    <n v="506.43176911815436"/>
    <n v="205.52329867469447"/>
    <n v="0"/>
    <n v="1443.55252"/>
    <n v="706.75553000000002"/>
    <n v="0"/>
    <n v="1798.3392121385662"/>
    <n v="729.8132335938401"/>
  </r>
  <r>
    <s v="Regular"/>
    <x v="3"/>
    <x v="3"/>
    <x v="2"/>
    <x v="0"/>
    <x v="1"/>
    <x v="1"/>
    <x v="1"/>
    <x v="2"/>
    <n v="0"/>
    <n v="0"/>
    <n v="71.777000000000001"/>
    <n v="71.777000000000001"/>
    <n v="71.777000000000001"/>
    <n v="71.777000000000001"/>
    <n v="51"/>
    <x v="1"/>
    <n v="0"/>
    <n v="0"/>
    <n v="47"/>
    <n v="87"/>
    <n v="0"/>
    <n v="406.52"/>
    <n v="199.03"/>
    <m/>
    <n v="506.43176911815436"/>
    <n v="205.52329867469447"/>
    <n v="0"/>
    <n v="29178.786039999999"/>
    <n v="14285.776310000001"/>
    <n v="0"/>
    <n v="36350.153091993765"/>
    <n v="14751.845808973545"/>
  </r>
  <r>
    <s v="Sistema de Compensação"/>
    <x v="3"/>
    <x v="3"/>
    <x v="2"/>
    <x v="0"/>
    <x v="1"/>
    <x v="1"/>
    <x v="1"/>
    <x v="2"/>
    <n v="0"/>
    <n v="0"/>
    <n v="2.2349999999999999"/>
    <n v="2.2349999999999999"/>
    <n v="2.2349999999999999"/>
    <n v="2.2349999999999999"/>
    <n v="5"/>
    <x v="1"/>
    <n v="0"/>
    <n v="0"/>
    <n v="47"/>
    <n v="87"/>
    <n v="0"/>
    <n v="406.52"/>
    <n v="199.03"/>
    <m/>
    <n v="506.43176911815436"/>
    <n v="205.52329867469447"/>
    <n v="0"/>
    <n v="908.57219999999995"/>
    <n v="444.83204999999998"/>
    <n v="0"/>
    <n v="1131.875003979075"/>
    <n v="459.3445725379421"/>
  </r>
  <r>
    <s v="Regular"/>
    <x v="3"/>
    <x v="3"/>
    <x v="2"/>
    <x v="0"/>
    <x v="1"/>
    <x v="1"/>
    <x v="1"/>
    <x v="3"/>
    <n v="0"/>
    <n v="0"/>
    <n v="64.519000000000005"/>
    <n v="64.519000000000005"/>
    <n v="64.519000000000005"/>
    <n v="64.519000000000005"/>
    <n v="49"/>
    <x v="1"/>
    <n v="0"/>
    <n v="0"/>
    <n v="47"/>
    <n v="87"/>
    <n v="0"/>
    <n v="406.52"/>
    <n v="199.03"/>
    <m/>
    <n v="506.43176911815436"/>
    <n v="205.52329867469447"/>
    <n v="0"/>
    <n v="26228.263880000002"/>
    <n v="12841.216570000001"/>
    <n v="0"/>
    <n v="32674.471311734203"/>
    <n v="13260.157707192613"/>
  </r>
  <r>
    <s v="Sistema de Compensação"/>
    <x v="3"/>
    <x v="3"/>
    <x v="2"/>
    <x v="0"/>
    <x v="1"/>
    <x v="1"/>
    <x v="1"/>
    <x v="3"/>
    <n v="0"/>
    <n v="0"/>
    <n v="1.17"/>
    <n v="1.17"/>
    <n v="1.17"/>
    <n v="1.17"/>
    <n v="5"/>
    <x v="1"/>
    <n v="0"/>
    <n v="0"/>
    <n v="47"/>
    <n v="87"/>
    <n v="0"/>
    <n v="406.52"/>
    <n v="199.03"/>
    <m/>
    <n v="506.43176911815436"/>
    <n v="205.52329867469447"/>
    <n v="0"/>
    <n v="475.62839999999994"/>
    <n v="232.86509999999998"/>
    <n v="0"/>
    <n v="592.5251698682406"/>
    <n v="240.46225944939252"/>
  </r>
  <r>
    <s v="Regular"/>
    <x v="3"/>
    <x v="3"/>
    <x v="2"/>
    <x v="0"/>
    <x v="1"/>
    <x v="1"/>
    <x v="1"/>
    <x v="4"/>
    <n v="0"/>
    <n v="0"/>
    <n v="65.290999999999997"/>
    <n v="65.290999999999997"/>
    <n v="65.290999999999997"/>
    <n v="65.290999999999997"/>
    <n v="50"/>
    <x v="1"/>
    <n v="0"/>
    <n v="0"/>
    <n v="47"/>
    <n v="87"/>
    <n v="0"/>
    <n v="406.52"/>
    <n v="199.03"/>
    <m/>
    <n v="506.43176911815436"/>
    <n v="205.52329867469447"/>
    <n v="0"/>
    <n v="26542.097319999997"/>
    <n v="12994.86773"/>
    <n v="0"/>
    <n v="33065.436637493418"/>
    <n v="13418.821693769476"/>
  </r>
  <r>
    <s v="Sistema de Compensação"/>
    <x v="3"/>
    <x v="3"/>
    <x v="2"/>
    <x v="0"/>
    <x v="1"/>
    <x v="1"/>
    <x v="1"/>
    <x v="4"/>
    <n v="0"/>
    <n v="0"/>
    <n v="0.5"/>
    <n v="0.5"/>
    <n v="0.5"/>
    <n v="0.5"/>
    <n v="5"/>
    <x v="1"/>
    <n v="0"/>
    <n v="0"/>
    <n v="47"/>
    <n v="87"/>
    <n v="0"/>
    <n v="406.52"/>
    <n v="199.03"/>
    <m/>
    <n v="506.43176911815436"/>
    <n v="205.52329867469447"/>
    <n v="0"/>
    <n v="203.26"/>
    <n v="99.515000000000001"/>
    <n v="0"/>
    <n v="253.21588455907718"/>
    <n v="102.76164933734724"/>
  </r>
  <r>
    <s v="Regular"/>
    <x v="3"/>
    <x v="3"/>
    <x v="2"/>
    <x v="0"/>
    <x v="1"/>
    <x v="1"/>
    <x v="1"/>
    <x v="5"/>
    <n v="0"/>
    <n v="0"/>
    <n v="69.347999999999999"/>
    <n v="69.347999999999999"/>
    <n v="69.347999999999999"/>
    <n v="69.347999999999999"/>
    <n v="50"/>
    <x v="1"/>
    <n v="0"/>
    <n v="0"/>
    <n v="47"/>
    <n v="87"/>
    <n v="0"/>
    <n v="406.52"/>
    <n v="199.03"/>
    <m/>
    <n v="506.43176911815436"/>
    <n v="205.52329867469447"/>
    <n v="0"/>
    <n v="28191.348959999999"/>
    <n v="13802.33244"/>
    <n v="0"/>
    <n v="35120.030324805768"/>
    <n v="14252.629716492713"/>
  </r>
  <r>
    <s v="Sistema de Compensação"/>
    <x v="3"/>
    <x v="3"/>
    <x v="2"/>
    <x v="0"/>
    <x v="1"/>
    <x v="1"/>
    <x v="1"/>
    <x v="5"/>
    <n v="0"/>
    <n v="0"/>
    <n v="0.60899999999999999"/>
    <n v="0.60899999999999999"/>
    <n v="0.60899999999999999"/>
    <n v="0.60899999999999999"/>
    <n v="5"/>
    <x v="1"/>
    <n v="0"/>
    <n v="0"/>
    <n v="47"/>
    <n v="87"/>
    <n v="0"/>
    <n v="406.52"/>
    <n v="199.03"/>
    <m/>
    <n v="506.43176911815436"/>
    <n v="205.52329867469447"/>
    <n v="0"/>
    <n v="247.57067999999998"/>
    <n v="121.20927"/>
    <n v="0"/>
    <n v="308.41694739295599"/>
    <n v="125.16368889288893"/>
  </r>
  <r>
    <s v="Regular"/>
    <x v="3"/>
    <x v="3"/>
    <x v="2"/>
    <x v="0"/>
    <x v="1"/>
    <x v="1"/>
    <x v="1"/>
    <x v="6"/>
    <n v="0"/>
    <n v="0"/>
    <n v="52.695"/>
    <n v="52.695"/>
    <n v="52.695"/>
    <n v="52.695"/>
    <n v="49"/>
    <x v="1"/>
    <n v="0"/>
    <n v="0"/>
    <n v="47"/>
    <n v="87"/>
    <n v="0"/>
    <n v="406.52"/>
    <n v="199.03"/>
    <m/>
    <n v="506.43176911815436"/>
    <n v="205.52329867469447"/>
    <n v="0"/>
    <n v="21421.571400000001"/>
    <n v="10487.885850000001"/>
    <n v="0"/>
    <n v="26686.422073681144"/>
    <n v="10830.050223663025"/>
  </r>
  <r>
    <s v="Sistema de Compensação"/>
    <x v="3"/>
    <x v="3"/>
    <x v="2"/>
    <x v="0"/>
    <x v="1"/>
    <x v="1"/>
    <x v="1"/>
    <x v="6"/>
    <n v="0"/>
    <n v="0"/>
    <n v="2.3839999999999999"/>
    <n v="2.3839999999999999"/>
    <n v="2.3839999999999999"/>
    <n v="2.3839999999999999"/>
    <n v="6"/>
    <x v="1"/>
    <n v="0"/>
    <n v="0"/>
    <n v="47"/>
    <n v="87"/>
    <n v="0"/>
    <n v="406.52"/>
    <n v="199.03"/>
    <m/>
    <n v="506.43176911815436"/>
    <n v="205.52329867469447"/>
    <n v="0"/>
    <n v="969.1436799999999"/>
    <n v="474.48751999999996"/>
    <n v="0"/>
    <n v="1207.3333375776799"/>
    <n v="489.96754404047158"/>
  </r>
  <r>
    <s v="Regular"/>
    <x v="3"/>
    <x v="3"/>
    <x v="2"/>
    <x v="0"/>
    <x v="1"/>
    <x v="1"/>
    <x v="1"/>
    <x v="7"/>
    <n v="0"/>
    <n v="0"/>
    <n v="72.120999999999995"/>
    <n v="72.120999999999995"/>
    <n v="72.120999999999995"/>
    <n v="72.120999999999995"/>
    <n v="49"/>
    <x v="1"/>
    <n v="0"/>
    <n v="0"/>
    <n v="47"/>
    <n v="87"/>
    <n v="0"/>
    <n v="406.52"/>
    <n v="199.03"/>
    <m/>
    <n v="506.43176911815436"/>
    <n v="205.52329867469447"/>
    <n v="0"/>
    <n v="29318.628919999996"/>
    <n v="14354.242629999999"/>
    <n v="0"/>
    <n v="36524.36562057041"/>
    <n v="14822.545823717639"/>
  </r>
  <r>
    <s v="Refaturamento - Regular"/>
    <x v="3"/>
    <x v="3"/>
    <x v="2"/>
    <x v="0"/>
    <x v="1"/>
    <x v="1"/>
    <x v="1"/>
    <x v="7"/>
    <n v="0"/>
    <n v="0"/>
    <n v="5.3410000000000002"/>
    <n v="5.3410000000000002"/>
    <n v="5.3410000000000002"/>
    <n v="5.3410000000000002"/>
    <n v="0"/>
    <x v="1"/>
    <n v="0"/>
    <n v="0"/>
    <n v="47"/>
    <n v="87"/>
    <n v="0"/>
    <n v="406.52"/>
    <n v="199.03"/>
    <m/>
    <n v="506.43176911815436"/>
    <n v="205.52329867469447"/>
    <n v="0"/>
    <n v="2171.2233200000001"/>
    <n v="1063.0192300000001"/>
    <n v="0"/>
    <n v="2704.8520788600626"/>
    <n v="1097.6999382215433"/>
  </r>
  <r>
    <s v="Sistema de Compensação"/>
    <x v="3"/>
    <x v="3"/>
    <x v="2"/>
    <x v="0"/>
    <x v="1"/>
    <x v="1"/>
    <x v="1"/>
    <x v="7"/>
    <n v="0"/>
    <n v="0"/>
    <n v="4.0590000000000002"/>
    <n v="4.0590000000000002"/>
    <n v="4.0590000000000002"/>
    <n v="4.0590000000000002"/>
    <n v="6"/>
    <x v="1"/>
    <n v="0"/>
    <n v="0"/>
    <n v="47"/>
    <n v="87"/>
    <n v="0"/>
    <n v="406.52"/>
    <n v="199.03"/>
    <m/>
    <n v="506.43176911815436"/>
    <n v="205.52329867469447"/>
    <n v="0"/>
    <n v="1650.06468"/>
    <n v="807.86277000000007"/>
    <n v="0"/>
    <n v="2055.6065508505885"/>
    <n v="834.21906932058494"/>
  </r>
  <r>
    <s v="Regular"/>
    <x v="3"/>
    <x v="3"/>
    <x v="2"/>
    <x v="0"/>
    <x v="1"/>
    <x v="1"/>
    <x v="1"/>
    <x v="8"/>
    <n v="0"/>
    <n v="0"/>
    <n v="57.255000000000003"/>
    <n v="57.255000000000003"/>
    <n v="57.255000000000003"/>
    <n v="57.255000000000003"/>
    <n v="50"/>
    <x v="1"/>
    <n v="0"/>
    <n v="0"/>
    <n v="47"/>
    <n v="87"/>
    <n v="0"/>
    <n v="406.52"/>
    <n v="199.03"/>
    <m/>
    <n v="506.43176911815436"/>
    <n v="205.52329867469447"/>
    <n v="0"/>
    <n v="23275.302599999999"/>
    <n v="11395.462650000001"/>
    <n v="0"/>
    <n v="28995.750940859929"/>
    <n v="11767.236465619633"/>
  </r>
  <r>
    <s v="Sistema de Compensação"/>
    <x v="3"/>
    <x v="3"/>
    <x v="2"/>
    <x v="0"/>
    <x v="1"/>
    <x v="1"/>
    <x v="1"/>
    <x v="8"/>
    <n v="0"/>
    <n v="0"/>
    <n v="4.6589999999999998"/>
    <n v="4.6589999999999998"/>
    <n v="4.6589999999999998"/>
    <n v="4.6589999999999998"/>
    <n v="6"/>
    <x v="1"/>
    <n v="0"/>
    <n v="0"/>
    <n v="47"/>
    <n v="87"/>
    <n v="0"/>
    <n v="406.52"/>
    <n v="199.03"/>
    <m/>
    <n v="506.43176911815436"/>
    <n v="205.52329867469447"/>
    <n v="0"/>
    <n v="1893.9766799999998"/>
    <n v="927.28076999999996"/>
    <n v="0"/>
    <n v="2359.4656123214809"/>
    <n v="957.53304852540145"/>
  </r>
  <r>
    <s v="Regular"/>
    <x v="3"/>
    <x v="3"/>
    <x v="2"/>
    <x v="0"/>
    <x v="1"/>
    <x v="1"/>
    <x v="1"/>
    <x v="9"/>
    <n v="0"/>
    <n v="0"/>
    <n v="66.563000000000002"/>
    <n v="66.563000000000002"/>
    <n v="66.563000000000002"/>
    <n v="66.563000000000002"/>
    <n v="50"/>
    <x v="1"/>
    <n v="0"/>
    <n v="0"/>
    <n v="47"/>
    <n v="87"/>
    <n v="0"/>
    <n v="406.52"/>
    <n v="199.03"/>
    <m/>
    <n v="506.43176911815436"/>
    <n v="205.52329867469447"/>
    <n v="0"/>
    <n v="27059.190760000001"/>
    <n v="13248.033890000001"/>
    <n v="0"/>
    <n v="33709.617847811707"/>
    <n v="13680.247329683689"/>
  </r>
  <r>
    <s v="Sistema de Compensação"/>
    <x v="3"/>
    <x v="3"/>
    <x v="2"/>
    <x v="0"/>
    <x v="1"/>
    <x v="1"/>
    <x v="1"/>
    <x v="9"/>
    <n v="0"/>
    <n v="0"/>
    <n v="1.9670000000000001"/>
    <n v="1.9670000000000001"/>
    <n v="1.9670000000000001"/>
    <n v="1.9670000000000001"/>
    <n v="6"/>
    <x v="1"/>
    <n v="0"/>
    <n v="0"/>
    <n v="47"/>
    <n v="87"/>
    <n v="0"/>
    <n v="406.52"/>
    <n v="199.03"/>
    <m/>
    <n v="506.43176911815436"/>
    <n v="205.52329867469447"/>
    <n v="0"/>
    <n v="799.62483999999995"/>
    <n v="391.49200999999999"/>
    <n v="0"/>
    <n v="996.15128985540969"/>
    <n v="404.26432849312403"/>
  </r>
  <r>
    <s v="Regular"/>
    <x v="3"/>
    <x v="3"/>
    <x v="2"/>
    <x v="0"/>
    <x v="1"/>
    <x v="1"/>
    <x v="1"/>
    <x v="10"/>
    <n v="0"/>
    <n v="0"/>
    <n v="56.606999999999999"/>
    <n v="56.606999999999999"/>
    <n v="56.606999999999999"/>
    <n v="56.606999999999999"/>
    <n v="49"/>
    <x v="1"/>
    <n v="0"/>
    <n v="0"/>
    <n v="47"/>
    <n v="87"/>
    <n v="0"/>
    <n v="406.52"/>
    <n v="199.03"/>
    <m/>
    <n v="506.43176911815436"/>
    <n v="205.52329867469447"/>
    <n v="0"/>
    <n v="23011.877639999999"/>
    <n v="11266.49121"/>
    <n v="0"/>
    <n v="28667.583154471362"/>
    <n v="11634.057368078429"/>
  </r>
  <r>
    <s v="Sistema de Compensação"/>
    <x v="3"/>
    <x v="3"/>
    <x v="2"/>
    <x v="0"/>
    <x v="1"/>
    <x v="1"/>
    <x v="1"/>
    <x v="10"/>
    <n v="0"/>
    <n v="0"/>
    <n v="2.5289999999999999"/>
    <n v="2.5289999999999999"/>
    <n v="2.5289999999999999"/>
    <n v="2.5289999999999999"/>
    <n v="6"/>
    <x v="1"/>
    <n v="0"/>
    <n v="0"/>
    <n v="47"/>
    <n v="87"/>
    <n v="0"/>
    <n v="406.52"/>
    <n v="199.03"/>
    <m/>
    <n v="506.43176911815436"/>
    <n v="205.52329867469447"/>
    <n v="0"/>
    <n v="1028.08908"/>
    <n v="503.34686999999997"/>
    <n v="0"/>
    <n v="1280.7659440998123"/>
    <n v="519.76842234830235"/>
  </r>
  <r>
    <s v="Regular"/>
    <x v="3"/>
    <x v="3"/>
    <x v="2"/>
    <x v="0"/>
    <x v="1"/>
    <x v="1"/>
    <x v="1"/>
    <x v="11"/>
    <n v="0"/>
    <n v="0"/>
    <n v="62.561"/>
    <n v="62.561"/>
    <n v="62.561"/>
    <n v="62.561"/>
    <n v="48"/>
    <x v="1"/>
    <n v="0"/>
    <n v="0"/>
    <n v="47"/>
    <n v="87"/>
    <n v="0"/>
    <n v="406.52"/>
    <n v="199.03"/>
    <m/>
    <n v="506.43176911815436"/>
    <n v="205.52329867469447"/>
    <n v="0"/>
    <n v="25432.297719999999"/>
    <n v="12451.51583"/>
    <n v="0"/>
    <n v="31682.877907800856"/>
    <n v="12857.74308838756"/>
  </r>
  <r>
    <s v="Sistema de Compensação"/>
    <x v="3"/>
    <x v="3"/>
    <x v="2"/>
    <x v="0"/>
    <x v="1"/>
    <x v="1"/>
    <x v="1"/>
    <x v="11"/>
    <n v="0"/>
    <n v="0"/>
    <n v="3.5859999999999999"/>
    <n v="3.5859999999999999"/>
    <n v="3.5859999999999999"/>
    <n v="3.5859999999999999"/>
    <n v="6"/>
    <x v="1"/>
    <n v="0"/>
    <n v="0"/>
    <n v="47"/>
    <n v="87"/>
    <n v="0"/>
    <n v="406.52"/>
    <n v="199.03"/>
    <m/>
    <n v="506.43176911815436"/>
    <n v="205.52329867469447"/>
    <n v="0"/>
    <n v="1457.78072"/>
    <n v="713.72158000000002"/>
    <n v="0"/>
    <n v="1816.0643240577015"/>
    <n v="737.00654904745431"/>
  </r>
  <r>
    <s v="Regular"/>
    <x v="3"/>
    <x v="3"/>
    <x v="3"/>
    <x v="0"/>
    <x v="1"/>
    <x v="1"/>
    <x v="1"/>
    <x v="0"/>
    <n v="0"/>
    <n v="0"/>
    <n v="143.16200000000001"/>
    <n v="143.16200000000001"/>
    <n v="143.16200000000001"/>
    <n v="143.16200000000001"/>
    <n v="344"/>
    <x v="1"/>
    <n v="0"/>
    <n v="0"/>
    <n v="47"/>
    <n v="87"/>
    <n v="0"/>
    <n v="406.52"/>
    <n v="199.03"/>
    <m/>
    <n v="506.43176911815436"/>
    <n v="205.52329867469447"/>
    <n v="0"/>
    <n v="58198.216240000002"/>
    <n v="28493.532860000003"/>
    <n v="0"/>
    <n v="72501.784930493217"/>
    <n v="29423.126484866611"/>
  </r>
  <r>
    <s v="Regular"/>
    <x v="3"/>
    <x v="3"/>
    <x v="3"/>
    <x v="0"/>
    <x v="1"/>
    <x v="1"/>
    <x v="1"/>
    <x v="1"/>
    <n v="0"/>
    <n v="0"/>
    <n v="154.30500000000001"/>
    <n v="154.30500000000001"/>
    <n v="154.30500000000001"/>
    <n v="154.30500000000001"/>
    <n v="346"/>
    <x v="1"/>
    <n v="0"/>
    <n v="0"/>
    <n v="47"/>
    <n v="87"/>
    <n v="0"/>
    <n v="406.52"/>
    <n v="199.03"/>
    <m/>
    <n v="506.43176911815436"/>
    <n v="205.52329867469447"/>
    <n v="0"/>
    <n v="62728.068599999999"/>
    <n v="30711.32415"/>
    <n v="0"/>
    <n v="78144.954133776817"/>
    <n v="31713.272601998731"/>
  </r>
  <r>
    <s v="Regular"/>
    <x v="3"/>
    <x v="3"/>
    <x v="3"/>
    <x v="0"/>
    <x v="1"/>
    <x v="1"/>
    <x v="1"/>
    <x v="2"/>
    <n v="0"/>
    <n v="0"/>
    <n v="131.02699999999999"/>
    <n v="131.02699999999999"/>
    <n v="131.02699999999999"/>
    <n v="131.02699999999999"/>
    <n v="349"/>
    <x v="1"/>
    <n v="0"/>
    <n v="0"/>
    <n v="47"/>
    <n v="87"/>
    <n v="0"/>
    <n v="406.52"/>
    <n v="199.03"/>
    <m/>
    <n v="506.43176911815436"/>
    <n v="205.52329867469447"/>
    <n v="0"/>
    <n v="53265.096039999989"/>
    <n v="26078.303809999998"/>
    <n v="0"/>
    <n v="66356.235412244409"/>
    <n v="26929.10125544919"/>
  </r>
  <r>
    <s v="Regular"/>
    <x v="3"/>
    <x v="3"/>
    <x v="3"/>
    <x v="0"/>
    <x v="1"/>
    <x v="1"/>
    <x v="1"/>
    <x v="3"/>
    <n v="0"/>
    <n v="0"/>
    <n v="128.584"/>
    <n v="128.584"/>
    <n v="128.584"/>
    <n v="128.584"/>
    <n v="348"/>
    <x v="1"/>
    <n v="0"/>
    <n v="0"/>
    <n v="47"/>
    <n v="87"/>
    <n v="0"/>
    <n v="406.52"/>
    <n v="199.03"/>
    <m/>
    <n v="506.43176911815436"/>
    <n v="205.52329867469447"/>
    <n v="0"/>
    <n v="52271.967680000002"/>
    <n v="25592.073520000002"/>
    <n v="0"/>
    <n v="65119.022600288765"/>
    <n v="26427.007836786914"/>
  </r>
  <r>
    <s v="Regular"/>
    <x v="3"/>
    <x v="3"/>
    <x v="3"/>
    <x v="0"/>
    <x v="1"/>
    <x v="1"/>
    <x v="1"/>
    <x v="4"/>
    <n v="0"/>
    <n v="0"/>
    <n v="155.291"/>
    <n v="155.291"/>
    <n v="155.291"/>
    <n v="155.291"/>
    <n v="349"/>
    <x v="1"/>
    <n v="0"/>
    <n v="0"/>
    <n v="47"/>
    <n v="87"/>
    <n v="0"/>
    <n v="406.52"/>
    <n v="199.03"/>
    <m/>
    <n v="506.43176911815436"/>
    <n v="205.52329867469447"/>
    <n v="0"/>
    <n v="63128.897319999996"/>
    <n v="30907.567729999999"/>
    <n v="0"/>
    <n v="78644.295858127312"/>
    <n v="31915.918574491978"/>
  </r>
  <r>
    <s v="Regular"/>
    <x v="3"/>
    <x v="3"/>
    <x v="3"/>
    <x v="0"/>
    <x v="1"/>
    <x v="1"/>
    <x v="1"/>
    <x v="5"/>
    <n v="0"/>
    <n v="0"/>
    <n v="171.53299999999999"/>
    <n v="171.53299999999999"/>
    <n v="171.53299999999999"/>
    <n v="171.53299999999999"/>
    <n v="350"/>
    <x v="1"/>
    <n v="0"/>
    <n v="0"/>
    <n v="47"/>
    <n v="87"/>
    <n v="0"/>
    <n v="406.52"/>
    <n v="199.03"/>
    <m/>
    <n v="506.43176911815436"/>
    <n v="205.52329867469447"/>
    <n v="0"/>
    <n v="69731.595159999997"/>
    <n v="34140.21299"/>
    <n v="0"/>
    <n v="86869.760652144367"/>
    <n v="35254.027991566363"/>
  </r>
  <r>
    <s v="Regular"/>
    <x v="3"/>
    <x v="3"/>
    <x v="3"/>
    <x v="0"/>
    <x v="1"/>
    <x v="1"/>
    <x v="1"/>
    <x v="6"/>
    <n v="0"/>
    <n v="0"/>
    <n v="195.52199999999999"/>
    <n v="195.52199999999999"/>
    <n v="195.52199999999999"/>
    <n v="195.52199999999999"/>
    <n v="359"/>
    <x v="1"/>
    <n v="0"/>
    <n v="0"/>
    <n v="47"/>
    <n v="87"/>
    <n v="0"/>
    <n v="406.52"/>
    <n v="199.03"/>
    <m/>
    <n v="506.43176911815436"/>
    <n v="205.52329867469447"/>
    <n v="0"/>
    <n v="79483.603439999992"/>
    <n v="38914.74366"/>
    <n v="0"/>
    <n v="99018.552361519774"/>
    <n v="40184.326403473613"/>
  </r>
  <r>
    <s v="Refaturamento - Regular"/>
    <x v="3"/>
    <x v="3"/>
    <x v="3"/>
    <x v="0"/>
    <x v="1"/>
    <x v="1"/>
    <x v="1"/>
    <x v="6"/>
    <n v="0"/>
    <n v="0"/>
    <n v="-0.85699999999999998"/>
    <n v="-0.85699999999999998"/>
    <n v="-0.85699999999999998"/>
    <n v="-0.85699999999999998"/>
    <n v="0"/>
    <x v="1"/>
    <n v="0"/>
    <n v="0"/>
    <n v="47"/>
    <n v="87"/>
    <n v="0"/>
    <n v="406.52"/>
    <n v="199.03"/>
    <m/>
    <n v="506.43176911815436"/>
    <n v="205.52329867469447"/>
    <n v="0"/>
    <n v="-348.38763999999998"/>
    <n v="-170.56871000000001"/>
    <n v="0"/>
    <n v="-434.01202613425829"/>
    <n v="-176.13346696421317"/>
  </r>
  <r>
    <s v="Regular"/>
    <x v="3"/>
    <x v="3"/>
    <x v="3"/>
    <x v="0"/>
    <x v="1"/>
    <x v="1"/>
    <x v="1"/>
    <x v="7"/>
    <n v="0"/>
    <n v="0"/>
    <n v="232.274"/>
    <n v="232.274"/>
    <n v="232.274"/>
    <n v="232.274"/>
    <n v="361"/>
    <x v="1"/>
    <n v="0"/>
    <n v="0"/>
    <n v="47"/>
    <n v="87"/>
    <n v="0"/>
    <n v="406.52"/>
    <n v="199.03"/>
    <m/>
    <n v="506.43176911815436"/>
    <n v="205.52329867469447"/>
    <n v="0"/>
    <n v="94424.02648"/>
    <n v="46229.49422"/>
    <n v="0"/>
    <n v="117630.93274015019"/>
    <n v="47737.718676365985"/>
  </r>
  <r>
    <s v="Refaturamento - Regular"/>
    <x v="3"/>
    <x v="3"/>
    <x v="3"/>
    <x v="0"/>
    <x v="1"/>
    <x v="1"/>
    <x v="1"/>
    <x v="7"/>
    <n v="0"/>
    <n v="0"/>
    <n v="1.075"/>
    <n v="1.075"/>
    <n v="1.075"/>
    <n v="1.075"/>
    <n v="0"/>
    <x v="1"/>
    <n v="0"/>
    <n v="0"/>
    <n v="47"/>
    <n v="87"/>
    <n v="0"/>
    <n v="406.52"/>
    <n v="199.03"/>
    <m/>
    <n v="506.43176911815436"/>
    <n v="205.52329867469447"/>
    <n v="0"/>
    <n v="437.00899999999996"/>
    <n v="213.95724999999999"/>
    <n v="0"/>
    <n v="544.41415180201591"/>
    <n v="220.93754607529655"/>
  </r>
  <r>
    <s v="Regular"/>
    <x v="3"/>
    <x v="3"/>
    <x v="3"/>
    <x v="0"/>
    <x v="1"/>
    <x v="1"/>
    <x v="1"/>
    <x v="8"/>
    <n v="0"/>
    <n v="0"/>
    <n v="213.52600000000001"/>
    <n v="213.52600000000001"/>
    <n v="213.52600000000001"/>
    <n v="213.52600000000001"/>
    <n v="360"/>
    <x v="1"/>
    <n v="0"/>
    <n v="0"/>
    <n v="47"/>
    <n v="87"/>
    <n v="0"/>
    <n v="406.52"/>
    <n v="199.03"/>
    <m/>
    <n v="506.43176911815436"/>
    <n v="205.52329867469447"/>
    <n v="0"/>
    <n v="86802.589519999994"/>
    <n v="42498.07978"/>
    <n v="0"/>
    <n v="108136.34993272304"/>
    <n v="43884.567872812811"/>
  </r>
  <r>
    <s v="Regular"/>
    <x v="3"/>
    <x v="3"/>
    <x v="3"/>
    <x v="0"/>
    <x v="1"/>
    <x v="1"/>
    <x v="1"/>
    <x v="9"/>
    <n v="0"/>
    <n v="0"/>
    <n v="144.05799999999999"/>
    <n v="144.05799999999999"/>
    <n v="144.05799999999999"/>
    <n v="144.05799999999999"/>
    <n v="358"/>
    <x v="1"/>
    <n v="0"/>
    <n v="0"/>
    <n v="47"/>
    <n v="87"/>
    <n v="0"/>
    <n v="406.52"/>
    <n v="199.03"/>
    <m/>
    <n v="506.43176911815436"/>
    <n v="205.52329867469447"/>
    <n v="0"/>
    <n v="58562.458159999995"/>
    <n v="28671.863739999997"/>
    <n v="0"/>
    <n v="72955.547795623075"/>
    <n v="29607.275360479136"/>
  </r>
  <r>
    <s v="Regular"/>
    <x v="3"/>
    <x v="3"/>
    <x v="3"/>
    <x v="0"/>
    <x v="1"/>
    <x v="1"/>
    <x v="1"/>
    <x v="10"/>
    <n v="0"/>
    <n v="0"/>
    <n v="138.90100000000001"/>
    <n v="138.90100000000001"/>
    <n v="138.90100000000001"/>
    <n v="138.90100000000001"/>
    <n v="356"/>
    <x v="1"/>
    <n v="0"/>
    <n v="0"/>
    <n v="47"/>
    <n v="87"/>
    <n v="0"/>
    <n v="406.52"/>
    <n v="199.03"/>
    <m/>
    <n v="506.43176911815436"/>
    <n v="205.52329867469447"/>
    <n v="0"/>
    <n v="56466.034520000001"/>
    <n v="27645.466030000003"/>
    <n v="0"/>
    <n v="70343.879162280762"/>
    <n v="28547.391709213738"/>
  </r>
  <r>
    <s v="Regular"/>
    <x v="3"/>
    <x v="3"/>
    <x v="3"/>
    <x v="0"/>
    <x v="1"/>
    <x v="1"/>
    <x v="1"/>
    <x v="11"/>
    <n v="0"/>
    <n v="0"/>
    <n v="168.69499999999999"/>
    <n v="168.69499999999999"/>
    <n v="168.69499999999999"/>
    <n v="168.69499999999999"/>
    <n v="356"/>
    <x v="1"/>
    <n v="0"/>
    <n v="0"/>
    <n v="47"/>
    <n v="87"/>
    <n v="0"/>
    <n v="406.52"/>
    <n v="199.03"/>
    <m/>
    <n v="506.43176911815436"/>
    <n v="205.52329867469447"/>
    <n v="0"/>
    <n v="68577.891399999993"/>
    <n v="33575.365850000002"/>
    <n v="0"/>
    <n v="85432.507291387054"/>
    <n v="34670.752869927586"/>
  </r>
  <r>
    <s v="Regular"/>
    <x v="3"/>
    <x v="3"/>
    <x v="6"/>
    <x v="7"/>
    <x v="1"/>
    <x v="1"/>
    <x v="1"/>
    <x v="0"/>
    <n v="0"/>
    <n v="0"/>
    <n v="74.566999999999993"/>
    <n v="70.092979999999983"/>
    <n v="74.566999999999993"/>
    <n v="70.092979999999983"/>
    <n v="29"/>
    <x v="1"/>
    <n v="0"/>
    <n v="0"/>
    <n v="47"/>
    <n v="87"/>
    <n v="0"/>
    <n v="406.52"/>
    <n v="199.03"/>
    <m/>
    <n v="506.43176911815436"/>
    <n v="205.52329867469447"/>
    <n v="0"/>
    <n v="28494.198229599991"/>
    <n v="13950.605809399996"/>
    <n v="0"/>
    <n v="35497.311864163406"/>
    <n v="14405.740463539383"/>
  </r>
  <r>
    <s v="Regular"/>
    <x v="3"/>
    <x v="3"/>
    <x v="6"/>
    <x v="7"/>
    <x v="1"/>
    <x v="1"/>
    <x v="1"/>
    <x v="1"/>
    <n v="0"/>
    <n v="0"/>
    <n v="72.856999999999999"/>
    <n v="68.485579999999999"/>
    <n v="72.856999999999999"/>
    <n v="68.485579999999999"/>
    <n v="29"/>
    <x v="1"/>
    <n v="0"/>
    <n v="0"/>
    <n v="47"/>
    <n v="87"/>
    <n v="0"/>
    <n v="406.52"/>
    <n v="199.03"/>
    <m/>
    <n v="506.43176911815436"/>
    <n v="205.52329867469447"/>
    <n v="0"/>
    <n v="27840.7579816"/>
    <n v="13630.6849874"/>
    <n v="0"/>
    <n v="34683.273438482887"/>
    <n v="14075.382313249682"/>
  </r>
  <r>
    <s v="Regular"/>
    <x v="3"/>
    <x v="3"/>
    <x v="6"/>
    <x v="7"/>
    <x v="1"/>
    <x v="1"/>
    <x v="1"/>
    <x v="2"/>
    <n v="0"/>
    <n v="0"/>
    <n v="73.664000000000001"/>
    <n v="69.244159999999994"/>
    <n v="73.664000000000001"/>
    <n v="69.244159999999994"/>
    <n v="29"/>
    <x v="1"/>
    <n v="0"/>
    <n v="0"/>
    <n v="47"/>
    <n v="87"/>
    <n v="0"/>
    <n v="406.52"/>
    <n v="199.03"/>
    <m/>
    <n v="506.43176911815436"/>
    <n v="205.52329867469447"/>
    <n v="0"/>
    <n v="28149.135923199996"/>
    <n v="13781.665164799999"/>
    <n v="0"/>
    <n v="35067.44244990054"/>
    <n v="14231.288177158331"/>
  </r>
  <r>
    <s v="Regular"/>
    <x v="3"/>
    <x v="3"/>
    <x v="6"/>
    <x v="7"/>
    <x v="1"/>
    <x v="1"/>
    <x v="1"/>
    <x v="3"/>
    <n v="0"/>
    <n v="0"/>
    <n v="76.557000000000002"/>
    <n v="71.963579999999993"/>
    <n v="76.557000000000002"/>
    <n v="71.963579999999993"/>
    <n v="29"/>
    <x v="1"/>
    <n v="0"/>
    <n v="0"/>
    <n v="47"/>
    <n v="87"/>
    <n v="0"/>
    <n v="406.52"/>
    <n v="199.03"/>
    <m/>
    <n v="506.43176911815436"/>
    <n v="205.52329867469447"/>
    <n v="0"/>
    <n v="29254.634541599997"/>
    <n v="14322.911327399999"/>
    <n v="0"/>
    <n v="36444.64313147583"/>
    <n v="14790.192346040269"/>
  </r>
  <r>
    <s v="Regular"/>
    <x v="3"/>
    <x v="3"/>
    <x v="6"/>
    <x v="7"/>
    <x v="1"/>
    <x v="1"/>
    <x v="1"/>
    <x v="4"/>
    <n v="0"/>
    <n v="0"/>
    <n v="71.665999999999997"/>
    <n v="67.366039999999998"/>
    <n v="71.665999999999997"/>
    <n v="67.366039999999998"/>
    <n v="30"/>
    <x v="1"/>
    <n v="0"/>
    <n v="0"/>
    <n v="47"/>
    <n v="87"/>
    <n v="0"/>
    <n v="406.52"/>
    <n v="199.03"/>
    <m/>
    <n v="506.43176911815436"/>
    <n v="205.52329867469447"/>
    <n v="0"/>
    <n v="27385.642580799999"/>
    <n v="13407.862941199999"/>
    <n v="0"/>
    <n v="34116.30281568435"/>
    <n v="13845.290759451414"/>
  </r>
  <r>
    <s v="Regular"/>
    <x v="3"/>
    <x v="3"/>
    <x v="6"/>
    <x v="7"/>
    <x v="1"/>
    <x v="1"/>
    <x v="1"/>
    <x v="5"/>
    <n v="0"/>
    <n v="0"/>
    <n v="79.037000000000006"/>
    <n v="74.294780000000003"/>
    <n v="79.037000000000006"/>
    <n v="74.294780000000003"/>
    <n v="30"/>
    <x v="1"/>
    <n v="0"/>
    <n v="0"/>
    <n v="47"/>
    <n v="87"/>
    <n v="0"/>
    <n v="406.52"/>
    <n v="199.03"/>
    <m/>
    <n v="506.43176911815436"/>
    <n v="205.52329867469447"/>
    <n v="0"/>
    <n v="30202.313965599998"/>
    <n v="14786.8900634"/>
    <n v="0"/>
    <n v="37625.236871644076"/>
    <n v="15269.308259910718"/>
  </r>
  <r>
    <s v="Regular"/>
    <x v="3"/>
    <x v="3"/>
    <x v="6"/>
    <x v="7"/>
    <x v="1"/>
    <x v="1"/>
    <x v="1"/>
    <x v="6"/>
    <n v="0"/>
    <n v="0"/>
    <n v="82.933000000000007"/>
    <n v="77.95702"/>
    <n v="82.933000000000007"/>
    <n v="77.95702"/>
    <n v="31"/>
    <x v="1"/>
    <n v="0"/>
    <n v="0"/>
    <n v="47"/>
    <n v="87"/>
    <n v="0"/>
    <n v="406.52"/>
    <n v="199.03"/>
    <m/>
    <n v="506.43176911815436"/>
    <n v="205.52329867469447"/>
    <n v="0"/>
    <n v="31691.087770399998"/>
    <n v="15515.7856906"/>
    <n v="0"/>
    <n v="39479.91155377934"/>
    <n v="16021.98390524913"/>
  </r>
  <r>
    <s v="Regular"/>
    <x v="3"/>
    <x v="3"/>
    <x v="6"/>
    <x v="7"/>
    <x v="1"/>
    <x v="1"/>
    <x v="1"/>
    <x v="7"/>
    <n v="0"/>
    <n v="0"/>
    <n v="102.13200000000001"/>
    <n v="96.004080000000002"/>
    <n v="102.13200000000001"/>
    <n v="96.004080000000002"/>
    <n v="31"/>
    <x v="1"/>
    <n v="0"/>
    <n v="0"/>
    <n v="47"/>
    <n v="87"/>
    <n v="0"/>
    <n v="406.52"/>
    <n v="199.03"/>
    <m/>
    <n v="506.43176911815436"/>
    <n v="205.52329867469447"/>
    <n v="0"/>
    <n v="39027.578601599998"/>
    <n v="19107.692042400002"/>
    <n v="0"/>
    <n v="48619.516076960819"/>
    <n v="19731.075207829261"/>
  </r>
  <r>
    <s v="Refaturamento - Regular"/>
    <x v="3"/>
    <x v="3"/>
    <x v="6"/>
    <x v="7"/>
    <x v="1"/>
    <x v="1"/>
    <x v="1"/>
    <x v="7"/>
    <n v="0"/>
    <n v="0"/>
    <n v="0.69399999999999995"/>
    <n v="0.65235999999999994"/>
    <n v="0.69399999999999995"/>
    <n v="0.65235999999999994"/>
    <n v="0"/>
    <x v="1"/>
    <n v="0"/>
    <n v="0"/>
    <n v="47"/>
    <n v="87"/>
    <n v="0"/>
    <n v="406.52"/>
    <n v="199.03"/>
    <m/>
    <n v="506.43176911815436"/>
    <n v="205.52329867469447"/>
    <n v="0"/>
    <n v="265.19738719999998"/>
    <n v="129.83921079999999"/>
    <n v="0"/>
    <n v="330.37582890191914"/>
    <n v="134.07517912342368"/>
  </r>
  <r>
    <s v="Regular"/>
    <x v="3"/>
    <x v="3"/>
    <x v="6"/>
    <x v="7"/>
    <x v="1"/>
    <x v="1"/>
    <x v="1"/>
    <x v="8"/>
    <n v="0"/>
    <n v="0"/>
    <n v="94.444000000000003"/>
    <n v="88.777360000000002"/>
    <n v="94.444000000000003"/>
    <n v="88.777360000000002"/>
    <n v="31"/>
    <x v="1"/>
    <n v="0"/>
    <n v="0"/>
    <n v="47"/>
    <n v="87"/>
    <n v="0"/>
    <n v="406.52"/>
    <n v="199.03"/>
    <m/>
    <n v="506.43176911815436"/>
    <n v="205.52329867469447"/>
    <n v="0"/>
    <n v="36089.772387199999"/>
    <n v="17669.3579608"/>
    <n v="0"/>
    <n v="44959.67548243927"/>
    <n v="18245.815874830874"/>
  </r>
  <r>
    <s v="Regular"/>
    <x v="3"/>
    <x v="3"/>
    <x v="6"/>
    <x v="7"/>
    <x v="1"/>
    <x v="1"/>
    <x v="1"/>
    <x v="9"/>
    <n v="0"/>
    <n v="0"/>
    <n v="81.756"/>
    <n v="76.850639999999999"/>
    <n v="81.756"/>
    <n v="76.850639999999999"/>
    <n v="31"/>
    <x v="1"/>
    <n v="0"/>
    <n v="0"/>
    <n v="47"/>
    <n v="87"/>
    <n v="0"/>
    <n v="406.52"/>
    <n v="199.03"/>
    <m/>
    <n v="506.43176911815436"/>
    <n v="205.52329867469447"/>
    <n v="0"/>
    <n v="31241.322172799999"/>
    <n v="15295.582879199999"/>
    <n v="0"/>
    <n v="38919.605573062399"/>
    <n v="15794.597038061422"/>
  </r>
  <r>
    <s v="Regular"/>
    <x v="3"/>
    <x v="3"/>
    <x v="6"/>
    <x v="7"/>
    <x v="1"/>
    <x v="1"/>
    <x v="1"/>
    <x v="10"/>
    <n v="0"/>
    <n v="0"/>
    <n v="80.668999999999997"/>
    <n v="75.828859999999992"/>
    <n v="80.668999999999997"/>
    <n v="75.828859999999992"/>
    <n v="32"/>
    <x v="1"/>
    <n v="0"/>
    <n v="0"/>
    <n v="47"/>
    <n v="87"/>
    <n v="0"/>
    <n v="406.52"/>
    <n v="199.03"/>
    <m/>
    <n v="506.43176911815436"/>
    <n v="205.52329867469447"/>
    <n v="0"/>
    <n v="30825.948167199997"/>
    <n v="15092.218005799998"/>
    <n v="0"/>
    <n v="38402.143720012849"/>
    <n v="15584.597441941591"/>
  </r>
  <r>
    <s v="Regular"/>
    <x v="3"/>
    <x v="3"/>
    <x v="6"/>
    <x v="7"/>
    <x v="1"/>
    <x v="1"/>
    <x v="1"/>
    <x v="11"/>
    <n v="0"/>
    <n v="0"/>
    <n v="77.650999999999996"/>
    <n v="72.991939999999985"/>
    <n v="77.650999999999996"/>
    <n v="72.991939999999985"/>
    <n v="32"/>
    <x v="1"/>
    <n v="0"/>
    <n v="0"/>
    <n v="47"/>
    <n v="87"/>
    <n v="0"/>
    <n v="406.52"/>
    <n v="199.03"/>
    <m/>
    <n v="506.43176911815436"/>
    <n v="205.52329867469447"/>
    <n v="0"/>
    <n v="29672.683448799991"/>
    <n v="14527.585818199997"/>
    <n v="0"/>
    <n v="36965.437305566171"/>
    <n v="15001.544285465376"/>
  </r>
  <r>
    <s v="Regular"/>
    <x v="4"/>
    <x v="3"/>
    <x v="8"/>
    <x v="8"/>
    <x v="1"/>
    <x v="1"/>
    <x v="1"/>
    <x v="0"/>
    <n v="0"/>
    <n v="0"/>
    <n v="364.88"/>
    <n v="364.88"/>
    <n v="364.88"/>
    <n v="364.88"/>
    <n v="24"/>
    <x v="1"/>
    <n v="0"/>
    <n v="0"/>
    <n v="49"/>
    <n v="89"/>
    <n v="0"/>
    <n v="223.59"/>
    <n v="109.47"/>
    <m/>
    <n v="278.53747301498493"/>
    <n v="113.03781427108197"/>
    <n v="0"/>
    <n v="81583.519199999995"/>
    <n v="39943.4136"/>
    <n v="0"/>
    <n v="101632.7531537077"/>
    <n v="41245.237671232389"/>
  </r>
  <r>
    <s v="Regular"/>
    <x v="4"/>
    <x v="3"/>
    <x v="8"/>
    <x v="8"/>
    <x v="1"/>
    <x v="1"/>
    <x v="1"/>
    <x v="1"/>
    <n v="0"/>
    <n v="0"/>
    <n v="368.59399999999999"/>
    <n v="368.59399999999999"/>
    <n v="368.59399999999999"/>
    <n v="368.59399999999999"/>
    <n v="24"/>
    <x v="1"/>
    <n v="0"/>
    <n v="0"/>
    <n v="49"/>
    <n v="89"/>
    <n v="0"/>
    <n v="223.59"/>
    <n v="109.47"/>
    <m/>
    <n v="278.53747301498493"/>
    <n v="113.03781427108197"/>
    <n v="0"/>
    <n v="82413.932459999996"/>
    <n v="40349.985179999996"/>
    <n v="0"/>
    <n v="102667.24132848535"/>
    <n v="41665.060113435189"/>
  </r>
  <r>
    <s v="Regular"/>
    <x v="4"/>
    <x v="3"/>
    <x v="8"/>
    <x v="8"/>
    <x v="1"/>
    <x v="1"/>
    <x v="1"/>
    <x v="2"/>
    <n v="0"/>
    <n v="0"/>
    <n v="356.62299999999999"/>
    <n v="356.62299999999999"/>
    <n v="356.62299999999999"/>
    <n v="356.62299999999999"/>
    <n v="24"/>
    <x v="1"/>
    <n v="0"/>
    <n v="0"/>
    <n v="49"/>
    <n v="89"/>
    <n v="0"/>
    <n v="223.59"/>
    <n v="109.47"/>
    <m/>
    <n v="278.53747301498493"/>
    <n v="113.03781427108197"/>
    <n v="0"/>
    <n v="79737.336569999999"/>
    <n v="39039.519809999998"/>
    <n v="0"/>
    <n v="99332.86923902297"/>
    <n v="40311.884438796063"/>
  </r>
  <r>
    <s v="Regular"/>
    <x v="4"/>
    <x v="3"/>
    <x v="8"/>
    <x v="8"/>
    <x v="1"/>
    <x v="1"/>
    <x v="1"/>
    <x v="3"/>
    <n v="0"/>
    <n v="0"/>
    <n v="364.07400000000001"/>
    <n v="364.07400000000001"/>
    <n v="364.07400000000001"/>
    <n v="364.07400000000001"/>
    <n v="24"/>
    <x v="1"/>
    <n v="0"/>
    <n v="0"/>
    <n v="49"/>
    <n v="89"/>
    <n v="0"/>
    <n v="223.59"/>
    <n v="109.47"/>
    <m/>
    <n v="278.53747301498493"/>
    <n v="113.03781427108197"/>
    <n v="0"/>
    <n v="81403.305659999998"/>
    <n v="39855.180780000002"/>
    <n v="0"/>
    <n v="101408.25195045762"/>
    <n v="41154.129192929897"/>
  </r>
  <r>
    <s v="Regular"/>
    <x v="4"/>
    <x v="3"/>
    <x v="8"/>
    <x v="8"/>
    <x v="1"/>
    <x v="1"/>
    <x v="1"/>
    <x v="4"/>
    <n v="0"/>
    <n v="0"/>
    <n v="351.61599999999999"/>
    <n v="351.61599999999999"/>
    <n v="351.61599999999999"/>
    <n v="351.61599999999999"/>
    <n v="24"/>
    <x v="1"/>
    <n v="0"/>
    <n v="0"/>
    <n v="49"/>
    <n v="89"/>
    <n v="0"/>
    <n v="223.59"/>
    <n v="109.47"/>
    <m/>
    <n v="278.53747301498493"/>
    <n v="113.03781427108197"/>
    <n v="0"/>
    <n v="78617.82144"/>
    <n v="38491.40352"/>
    <n v="0"/>
    <n v="97938.232111636942"/>
    <n v="39745.904102740758"/>
  </r>
  <r>
    <s v="Regular"/>
    <x v="4"/>
    <x v="3"/>
    <x v="8"/>
    <x v="8"/>
    <x v="1"/>
    <x v="1"/>
    <x v="1"/>
    <x v="5"/>
    <n v="0"/>
    <n v="0"/>
    <n v="362.399"/>
    <n v="362.399"/>
    <n v="362.399"/>
    <n v="362.399"/>
    <n v="24"/>
    <x v="1"/>
    <n v="0"/>
    <n v="0"/>
    <n v="49"/>
    <n v="89"/>
    <n v="0"/>
    <n v="223.59"/>
    <n v="109.47"/>
    <m/>
    <n v="278.53747301498493"/>
    <n v="113.03781427108197"/>
    <n v="0"/>
    <n v="81028.792409999995"/>
    <n v="39671.818529999997"/>
    <n v="0"/>
    <n v="100941.70168315752"/>
    <n v="40964.790854025836"/>
  </r>
  <r>
    <s v="Regular"/>
    <x v="4"/>
    <x v="3"/>
    <x v="8"/>
    <x v="8"/>
    <x v="1"/>
    <x v="1"/>
    <x v="1"/>
    <x v="6"/>
    <n v="0"/>
    <n v="0"/>
    <n v="362.43400000000003"/>
    <n v="362.43400000000003"/>
    <n v="362.43400000000003"/>
    <n v="362.43400000000003"/>
    <n v="24"/>
    <x v="1"/>
    <n v="0"/>
    <n v="0"/>
    <n v="49"/>
    <n v="89"/>
    <n v="0"/>
    <n v="223.59"/>
    <n v="109.47"/>
    <m/>
    <n v="278.53747301498493"/>
    <n v="113.03781427108197"/>
    <n v="0"/>
    <n v="81036.618060000008"/>
    <n v="39675.649980000002"/>
    <n v="0"/>
    <n v="100951.45049471305"/>
    <n v="40968.747177525329"/>
  </r>
  <r>
    <s v="Regular"/>
    <x v="4"/>
    <x v="3"/>
    <x v="8"/>
    <x v="8"/>
    <x v="1"/>
    <x v="1"/>
    <x v="1"/>
    <x v="7"/>
    <n v="0"/>
    <n v="0"/>
    <n v="329.58800000000002"/>
    <n v="329.58800000000002"/>
    <n v="329.58800000000002"/>
    <n v="329.58800000000002"/>
    <n v="24"/>
    <x v="1"/>
    <n v="0"/>
    <n v="0"/>
    <n v="49"/>
    <n v="89"/>
    <n v="0"/>
    <n v="223.59"/>
    <n v="109.47"/>
    <m/>
    <n v="278.53747301498493"/>
    <n v="113.03781427108197"/>
    <n v="0"/>
    <n v="73692.580920000008"/>
    <n v="36079.998360000005"/>
    <n v="0"/>
    <n v="91802.608656062861"/>
    <n v="37255.907129977364"/>
  </r>
  <r>
    <s v="Regular"/>
    <x v="4"/>
    <x v="3"/>
    <x v="8"/>
    <x v="8"/>
    <x v="1"/>
    <x v="1"/>
    <x v="1"/>
    <x v="8"/>
    <n v="0"/>
    <n v="0"/>
    <n v="379.38499999999999"/>
    <n v="379.38499999999999"/>
    <n v="379.38499999999999"/>
    <n v="379.38499999999999"/>
    <n v="24"/>
    <x v="1"/>
    <n v="0"/>
    <n v="0"/>
    <n v="49"/>
    <n v="89"/>
    <n v="0"/>
    <n v="223.59"/>
    <n v="109.47"/>
    <m/>
    <n v="278.53747301498493"/>
    <n v="113.03781427108197"/>
    <n v="0"/>
    <n v="84826.692150000003"/>
    <n v="41531.275949999996"/>
    <n v="0"/>
    <n v="105672.93919979005"/>
    <n v="42884.851167234432"/>
  </r>
  <r>
    <s v="Refaturamento - Regular"/>
    <x v="4"/>
    <x v="3"/>
    <x v="8"/>
    <x v="8"/>
    <x v="1"/>
    <x v="1"/>
    <x v="1"/>
    <x v="8"/>
    <n v="0"/>
    <n v="0"/>
    <n v="4.008"/>
    <n v="4.008"/>
    <n v="4.008"/>
    <n v="4.008"/>
    <n v="0"/>
    <x v="1"/>
    <n v="0"/>
    <n v="0"/>
    <n v="49"/>
    <n v="89"/>
    <n v="0"/>
    <n v="223.59"/>
    <n v="109.47"/>
    <m/>
    <n v="278.53747301498493"/>
    <n v="113.03781427108197"/>
    <n v="0"/>
    <n v="896.14872000000003"/>
    <n v="438.75576000000001"/>
    <n v="0"/>
    <n v="1116.3781918440595"/>
    <n v="453.05555959849653"/>
  </r>
  <r>
    <s v="Regular"/>
    <x v="4"/>
    <x v="3"/>
    <x v="8"/>
    <x v="8"/>
    <x v="1"/>
    <x v="1"/>
    <x v="1"/>
    <x v="9"/>
    <n v="0"/>
    <n v="0"/>
    <n v="368.34699999999998"/>
    <n v="368.34699999999998"/>
    <n v="368.34699999999998"/>
    <n v="368.34699999999998"/>
    <n v="24"/>
    <x v="1"/>
    <n v="0"/>
    <n v="0"/>
    <n v="49"/>
    <n v="89"/>
    <n v="0"/>
    <n v="223.59"/>
    <n v="109.47"/>
    <m/>
    <n v="278.53747301498493"/>
    <n v="113.03781427108197"/>
    <n v="0"/>
    <n v="82358.705730000001"/>
    <n v="40322.946089999998"/>
    <n v="0"/>
    <n v="102598.44257265065"/>
    <n v="41637.139773310228"/>
  </r>
  <r>
    <s v="Regular"/>
    <x v="4"/>
    <x v="3"/>
    <x v="8"/>
    <x v="8"/>
    <x v="1"/>
    <x v="1"/>
    <x v="1"/>
    <x v="10"/>
    <n v="0"/>
    <n v="0"/>
    <n v="382.18"/>
    <n v="382.18"/>
    <n v="382.18"/>
    <n v="382.18"/>
    <n v="24"/>
    <x v="1"/>
    <n v="0"/>
    <n v="0"/>
    <n v="49"/>
    <n v="89"/>
    <n v="0"/>
    <n v="223.59"/>
    <n v="109.47"/>
    <m/>
    <n v="278.53747301498493"/>
    <n v="113.03781427108197"/>
    <n v="0"/>
    <n v="85451.626199999999"/>
    <n v="41837.244599999998"/>
    <n v="0"/>
    <n v="106451.45143686695"/>
    <n v="43200.791858122109"/>
  </r>
  <r>
    <s v="Regular"/>
    <x v="4"/>
    <x v="3"/>
    <x v="8"/>
    <x v="8"/>
    <x v="1"/>
    <x v="1"/>
    <x v="1"/>
    <x v="11"/>
    <n v="0"/>
    <n v="0"/>
    <n v="371.30099999999999"/>
    <n v="371.30099999999999"/>
    <n v="371.30099999999999"/>
    <n v="371.30099999999999"/>
    <n v="24"/>
    <x v="1"/>
    <n v="0"/>
    <n v="0"/>
    <n v="49"/>
    <n v="89"/>
    <n v="0"/>
    <n v="223.59"/>
    <n v="109.47"/>
    <m/>
    <n v="278.53747301498493"/>
    <n v="113.03781427108197"/>
    <n v="0"/>
    <n v="83019.190589999998"/>
    <n v="40646.320469999999"/>
    <n v="0"/>
    <n v="103421.24226793692"/>
    <n v="41971.053476667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">
  <r>
    <s v="Regular"/>
    <x v="0"/>
    <x v="0"/>
    <x v="0"/>
    <x v="0"/>
    <x v="0"/>
    <x v="0"/>
    <x v="0"/>
    <x v="0"/>
    <n v="1083"/>
    <n v="1083"/>
    <n v="292.06900000000002"/>
    <n v="292.06900000000002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1"/>
    <n v="1058"/>
    <n v="1058"/>
    <n v="315.666"/>
    <n v="315.666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2"/>
    <n v="1067"/>
    <n v="1067"/>
    <n v="290.14600000000002"/>
    <n v="290.14600000000002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3"/>
    <n v="1154"/>
    <n v="1154"/>
    <n v="296.44299999999998"/>
    <n v="296.44299999999998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4"/>
    <n v="1511"/>
    <n v="1511"/>
    <n v="431.755"/>
    <n v="431.755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5"/>
    <n v="1813"/>
    <n v="1813"/>
    <n v="603.375"/>
    <n v="603.375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6"/>
    <n v="2086"/>
    <n v="2086"/>
    <n v="632.43200000000002"/>
    <n v="632.43200000000002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7"/>
    <n v="1549"/>
    <n v="1549"/>
    <n v="438.084"/>
    <n v="438.084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8"/>
    <n v="1215"/>
    <n v="1215"/>
    <n v="410.32900000000001"/>
    <n v="410.32900000000001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9"/>
    <n v="1322"/>
    <n v="1322"/>
    <n v="395.52"/>
    <n v="395.52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10"/>
    <n v="1251"/>
    <n v="1251"/>
    <n v="348.14400000000001"/>
    <n v="348.14400000000001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0"/>
    <x v="11"/>
    <n v="1345"/>
    <n v="1345"/>
    <n v="354.02800000000002"/>
    <n v="354.02800000000002"/>
    <n v="0"/>
    <n v="0"/>
    <n v="0"/>
    <s v="SUPRIMENTO"/>
    <n v="5343"/>
    <n v="6"/>
    <n v="7"/>
    <n v="0"/>
    <n v="23.37"/>
    <n v="12.96"/>
    <n v="0"/>
    <n v="23.819711465050677"/>
    <n v="11.103927165111529"/>
    <n v="233.70080441251889"/>
    <n v="0"/>
    <n v="0"/>
    <n v="0"/>
    <n v="0"/>
    <x v="0"/>
  </r>
  <r>
    <s v="Regular"/>
    <x v="0"/>
    <x v="0"/>
    <x v="0"/>
    <x v="0"/>
    <x v="0"/>
    <x v="0"/>
    <x v="1"/>
    <x v="0"/>
    <n v="0"/>
    <n v="0"/>
    <n v="0"/>
    <n v="0"/>
    <n v="342.21800000000002"/>
    <n v="293.41771319999998"/>
    <n v="0"/>
    <s v="SUPRIMENTO"/>
    <n v="5343"/>
    <n v="0"/>
    <n v="0"/>
    <n v="54"/>
    <n v="0"/>
    <n v="0"/>
    <n v="215.96"/>
    <n v="54.216386816965695"/>
    <n v="11.103927165111529"/>
    <n v="233.70080441251889"/>
    <n v="0"/>
    <n v="10538.909937328008"/>
    <n v="0"/>
    <n v="11404.666280721636"/>
    <x v="0"/>
  </r>
  <r>
    <s v="Regular"/>
    <x v="0"/>
    <x v="0"/>
    <x v="0"/>
    <x v="0"/>
    <x v="0"/>
    <x v="0"/>
    <x v="1"/>
    <x v="1"/>
    <n v="0"/>
    <n v="0"/>
    <n v="0"/>
    <n v="0"/>
    <n v="369.23899999999998"/>
    <n v="316.58551859999994"/>
    <n v="0"/>
    <s v="SUPRIMENTO"/>
    <n v="5343"/>
    <n v="0"/>
    <n v="0"/>
    <n v="54"/>
    <n v="0"/>
    <n v="0"/>
    <n v="215.96"/>
    <n v="54.216386816965695"/>
    <n v="11.103927165111529"/>
    <n v="233.70080441251889"/>
    <n v="0"/>
    <n v="11371.045843144007"/>
    <n v="0"/>
    <n v="12305.16095829961"/>
    <x v="0"/>
  </r>
  <r>
    <s v="Regular"/>
    <x v="0"/>
    <x v="0"/>
    <x v="0"/>
    <x v="0"/>
    <x v="0"/>
    <x v="0"/>
    <x v="1"/>
    <x v="2"/>
    <n v="0"/>
    <n v="0"/>
    <n v="0"/>
    <n v="0"/>
    <n v="336.33800000000002"/>
    <n v="288.37620120000003"/>
    <n v="0"/>
    <s v="SUPRIMENTO"/>
    <n v="5343"/>
    <n v="0"/>
    <n v="0"/>
    <n v="54"/>
    <n v="0"/>
    <n v="0"/>
    <n v="215.96"/>
    <n v="54.216386816965695"/>
    <n v="11.103927165111529"/>
    <n v="233.70080441251889"/>
    <n v="0"/>
    <n v="10357.830068847999"/>
    <n v="0"/>
    <n v="11208.710960631382"/>
    <x v="0"/>
  </r>
  <r>
    <s v="Regular"/>
    <x v="0"/>
    <x v="0"/>
    <x v="0"/>
    <x v="0"/>
    <x v="0"/>
    <x v="0"/>
    <x v="1"/>
    <x v="3"/>
    <n v="0"/>
    <n v="0"/>
    <n v="0"/>
    <n v="0"/>
    <n v="343.803"/>
    <n v="294.77669219999996"/>
    <n v="0"/>
    <s v="SUPRIMENTO"/>
    <n v="5343"/>
    <n v="0"/>
    <n v="0"/>
    <n v="54"/>
    <n v="0"/>
    <n v="0"/>
    <n v="215.96"/>
    <n v="54.216386816965695"/>
    <n v="11.103927165111529"/>
    <n v="233.70080441251889"/>
    <n v="0"/>
    <n v="10587.72143248801"/>
    <n v="0"/>
    <n v="11457.487570235759"/>
    <x v="0"/>
  </r>
  <r>
    <s v="Regular"/>
    <x v="0"/>
    <x v="0"/>
    <x v="0"/>
    <x v="0"/>
    <x v="0"/>
    <x v="0"/>
    <x v="1"/>
    <x v="4"/>
    <n v="0"/>
    <n v="0"/>
    <n v="0"/>
    <n v="0"/>
    <n v="490.92599999999999"/>
    <n v="420.91995239999994"/>
    <n v="0"/>
    <s v="SUPRIMENTO"/>
    <n v="5343"/>
    <n v="0"/>
    <n v="0"/>
    <n v="54"/>
    <n v="0"/>
    <n v="0"/>
    <n v="215.96"/>
    <n v="54.216386816965695"/>
    <n v="11.103927165111529"/>
    <n v="233.70080441251889"/>
    <n v="0"/>
    <n v="15118.506039696011"/>
    <n v="0"/>
    <n v="16360.469637861099"/>
    <x v="0"/>
  </r>
  <r>
    <s v="Regular"/>
    <x v="0"/>
    <x v="0"/>
    <x v="0"/>
    <x v="0"/>
    <x v="0"/>
    <x v="0"/>
    <x v="1"/>
    <x v="5"/>
    <n v="0"/>
    <n v="0"/>
    <n v="0"/>
    <n v="0"/>
    <n v="681.79300000000001"/>
    <n v="584.5693182"/>
    <n v="0"/>
    <s v="SUPRIMENTO"/>
    <n v="5343"/>
    <n v="0"/>
    <n v="0"/>
    <n v="54"/>
    <n v="0"/>
    <n v="0"/>
    <n v="215.96"/>
    <n v="54.216386816965695"/>
    <n v="11.103927165111529"/>
    <n v="233.70080441251889"/>
    <n v="0"/>
    <n v="20996.426321528004"/>
    <n v="0"/>
    <n v="22721.252644606775"/>
    <x v="0"/>
  </r>
  <r>
    <s v="Regular"/>
    <x v="0"/>
    <x v="0"/>
    <x v="0"/>
    <x v="0"/>
    <x v="0"/>
    <x v="0"/>
    <x v="1"/>
    <x v="6"/>
    <n v="0"/>
    <n v="0"/>
    <n v="0"/>
    <n v="0"/>
    <n v="709.2"/>
    <n v="608.06808000000001"/>
    <n v="0"/>
    <s v="SUPRIMENTO"/>
    <n v="5343"/>
    <n v="0"/>
    <n v="0"/>
    <n v="54"/>
    <n v="0"/>
    <n v="0"/>
    <n v="215.96"/>
    <n v="54.216386816965695"/>
    <n v="11.103927165111529"/>
    <n v="233.70080441251889"/>
    <n v="0"/>
    <n v="21840.44944320001"/>
    <n v="0"/>
    <n v="23634.611055782516"/>
    <x v="0"/>
  </r>
  <r>
    <s v="Regular"/>
    <x v="0"/>
    <x v="0"/>
    <x v="0"/>
    <x v="0"/>
    <x v="0"/>
    <x v="0"/>
    <x v="1"/>
    <x v="7"/>
    <n v="0"/>
    <n v="0"/>
    <n v="0"/>
    <n v="0"/>
    <n v="498.80799999999999"/>
    <n v="427.67797919999998"/>
    <n v="0"/>
    <s v="SUPRIMENTO"/>
    <n v="5343"/>
    <n v="0"/>
    <n v="0"/>
    <n v="54"/>
    <n v="0"/>
    <n v="0"/>
    <n v="215.96"/>
    <n v="54.216386816965695"/>
    <n v="11.103927165111529"/>
    <n v="233.70080441251889"/>
    <n v="0"/>
    <n v="15361.239291968002"/>
    <n v="0"/>
    <n v="16623.143078839203"/>
    <x v="0"/>
  </r>
  <r>
    <s v="Regular"/>
    <x v="0"/>
    <x v="0"/>
    <x v="0"/>
    <x v="0"/>
    <x v="0"/>
    <x v="0"/>
    <x v="1"/>
    <x v="8"/>
    <n v="0"/>
    <n v="0"/>
    <n v="0"/>
    <n v="0"/>
    <n v="469.10599999999999"/>
    <n v="402.21148439999996"/>
    <n v="0"/>
    <s v="SUPRIMENTO"/>
    <n v="5343"/>
    <n v="0"/>
    <n v="0"/>
    <n v="54"/>
    <n v="0"/>
    <n v="0"/>
    <n v="215.96"/>
    <n v="54.216386816965695"/>
    <n v="11.103927165111529"/>
    <n v="233.70080441251889"/>
    <n v="0"/>
    <n v="14446.539588976008"/>
    <n v="0"/>
    <n v="15633.302106505802"/>
    <x v="0"/>
  </r>
  <r>
    <s v="Regular"/>
    <x v="0"/>
    <x v="0"/>
    <x v="0"/>
    <x v="0"/>
    <x v="0"/>
    <x v="0"/>
    <x v="1"/>
    <x v="9"/>
    <n v="0"/>
    <n v="0"/>
    <n v="0"/>
    <n v="0"/>
    <n v="444.86500000000001"/>
    <n v="381.42725099999996"/>
    <n v="0"/>
    <s v="SUPRIMENTO"/>
    <n v="5343"/>
    <n v="0"/>
    <n v="0"/>
    <n v="54"/>
    <n v="0"/>
    <n v="0"/>
    <n v="215.96"/>
    <n v="54.216386816965695"/>
    <n v="11.103927165111529"/>
    <n v="233.70080441251889"/>
    <n v="0"/>
    <n v="13700.016274040012"/>
    <n v="0"/>
    <n v="14825.452971419478"/>
    <x v="0"/>
  </r>
  <r>
    <s v="Regular"/>
    <x v="0"/>
    <x v="0"/>
    <x v="0"/>
    <x v="0"/>
    <x v="0"/>
    <x v="0"/>
    <x v="1"/>
    <x v="10"/>
    <n v="0"/>
    <n v="0"/>
    <n v="0"/>
    <n v="0"/>
    <n v="398.43"/>
    <n v="341.61388199999999"/>
    <n v="0"/>
    <s v="SUPRIMENTO"/>
    <n v="5343"/>
    <n v="0"/>
    <n v="0"/>
    <n v="54"/>
    <n v="0"/>
    <n v="0"/>
    <n v="215.96"/>
    <n v="54.216386816965695"/>
    <n v="11.103927165111529"/>
    <n v="233.70080441251889"/>
    <n v="0"/>
    <n v="12270.008843280004"/>
    <n v="0"/>
    <n v="13277.972480196599"/>
    <x v="0"/>
  </r>
  <r>
    <s v="Regular"/>
    <x v="0"/>
    <x v="0"/>
    <x v="0"/>
    <x v="0"/>
    <x v="0"/>
    <x v="0"/>
    <x v="1"/>
    <x v="11"/>
    <n v="0"/>
    <n v="0"/>
    <n v="0"/>
    <n v="0"/>
    <n v="404.363"/>
    <n v="346.70083619999997"/>
    <n v="0"/>
    <s v="SUPRIMENTO"/>
    <n v="5343"/>
    <n v="0"/>
    <n v="0"/>
    <n v="54"/>
    <n v="0"/>
    <n v="0"/>
    <n v="215.96"/>
    <n v="54.216386816965695"/>
    <n v="11.103927165111529"/>
    <n v="233.70080441251889"/>
    <n v="0"/>
    <n v="12452.720894248007"/>
    <n v="0"/>
    <n v="13475.694064226434"/>
    <x v="0"/>
  </r>
  <r>
    <s v="Regular"/>
    <x v="0"/>
    <x v="0"/>
    <x v="0"/>
    <x v="0"/>
    <x v="0"/>
    <x v="0"/>
    <x v="2"/>
    <x v="0"/>
    <n v="1074"/>
    <n v="1074"/>
    <n v="50.149000000000001"/>
    <n v="50.149000000000001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1"/>
    <n v="1206"/>
    <n v="1206"/>
    <n v="53.573"/>
    <n v="53.573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2"/>
    <n v="1022"/>
    <n v="1022"/>
    <n v="46.192"/>
    <n v="46.192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3"/>
    <n v="1327"/>
    <n v="1327"/>
    <n v="47.36"/>
    <n v="47.36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4"/>
    <n v="1479"/>
    <n v="1479"/>
    <n v="59.170999999999999"/>
    <n v="59.170999999999999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5"/>
    <n v="1755"/>
    <n v="1755"/>
    <n v="78.418000000000006"/>
    <n v="78.418000000000006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6"/>
    <n v="2111"/>
    <n v="2111"/>
    <n v="76.768000000000001"/>
    <n v="76.768000000000001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7"/>
    <n v="1529"/>
    <n v="1529"/>
    <n v="60.723999999999997"/>
    <n v="60.723999999999997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8"/>
    <n v="1264"/>
    <n v="1264"/>
    <n v="58.777000000000001"/>
    <n v="58.777000000000001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9"/>
    <n v="1361"/>
    <n v="1361"/>
    <n v="49.344999999999999"/>
    <n v="49.344999999999999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10"/>
    <n v="1251"/>
    <n v="1251"/>
    <n v="50.286000000000001"/>
    <n v="50.286000000000001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0"/>
    <x v="0"/>
    <x v="0"/>
    <x v="0"/>
    <x v="0"/>
    <x v="2"/>
    <x v="11"/>
    <n v="1161"/>
    <n v="1161"/>
    <n v="50.335000000000001"/>
    <n v="50.335000000000001"/>
    <n v="0"/>
    <n v="0"/>
    <n v="0"/>
    <s v="SUPRIMENTO"/>
    <n v="5343"/>
    <n v="5"/>
    <n v="7"/>
    <n v="0"/>
    <n v="23.23"/>
    <n v="12.96"/>
    <n v="0"/>
    <n v="42.217604655437526"/>
    <n v="11.103927165111529"/>
    <n v="233.70080441251889"/>
    <n v="0"/>
    <n v="0"/>
    <n v="0"/>
    <n v="0"/>
    <x v="0"/>
  </r>
  <r>
    <s v="Regular"/>
    <x v="0"/>
    <x v="1"/>
    <x v="1"/>
    <x v="0"/>
    <x v="1"/>
    <x v="1"/>
    <x v="0"/>
    <x v="0"/>
    <n v="0"/>
    <n v="0"/>
    <n v="576.83600000000001"/>
    <n v="576.83600000000001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1"/>
    <n v="0"/>
    <n v="0"/>
    <n v="659.55899999999997"/>
    <n v="659.55899999999997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2"/>
    <n v="0"/>
    <n v="0"/>
    <n v="566.03899999999999"/>
    <n v="566.03899999999999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3"/>
    <n v="0"/>
    <n v="0"/>
    <n v="480.84199999999998"/>
    <n v="480.84199999999998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4"/>
    <n v="0"/>
    <n v="0"/>
    <n v="584.78099999999995"/>
    <n v="584.78099999999995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5"/>
    <n v="0"/>
    <n v="0"/>
    <n v="625.28099999999995"/>
    <n v="625.28099999999995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6"/>
    <n v="0"/>
    <n v="0"/>
    <n v="608.40499999999997"/>
    <n v="608.40499999999997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7"/>
    <n v="0"/>
    <n v="0"/>
    <n v="526.81399999999996"/>
    <n v="526.81399999999996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8"/>
    <n v="0"/>
    <n v="0"/>
    <n v="1022.5549999999999"/>
    <n v="1022.5549999999999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9"/>
    <n v="0"/>
    <n v="0"/>
    <n v="677.24199999999996"/>
    <n v="677.24199999999996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10"/>
    <n v="0"/>
    <n v="0"/>
    <n v="790.68499999999995"/>
    <n v="790.68499999999995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0"/>
    <x v="11"/>
    <n v="0"/>
    <n v="0"/>
    <n v="784.33"/>
    <n v="784.33"/>
    <n v="0"/>
    <n v="0"/>
    <n v="0"/>
    <s v="LIVRE"/>
    <n v="0"/>
    <n v="0"/>
    <n v="11"/>
    <n v="0"/>
    <n v="0"/>
    <n v="90.54"/>
    <n v="0"/>
    <m/>
    <n v="116.01030172172926"/>
    <m/>
    <n v="0"/>
    <n v="0"/>
    <n v="0"/>
    <n v="0"/>
    <x v="1"/>
  </r>
  <r>
    <s v="Regular"/>
    <x v="0"/>
    <x v="1"/>
    <x v="1"/>
    <x v="0"/>
    <x v="1"/>
    <x v="1"/>
    <x v="1"/>
    <x v="0"/>
    <n v="3029"/>
    <n v="816.91287938000005"/>
    <n v="0"/>
    <n v="0"/>
    <n v="0"/>
    <n v="0"/>
    <n v="6"/>
    <s v="LIVRE"/>
    <n v="0"/>
    <n v="9"/>
    <n v="0"/>
    <n v="0"/>
    <n v="33.97"/>
    <n v="0"/>
    <n v="0"/>
    <n v="44.835700557621209"/>
    <m/>
    <m/>
    <n v="75144.599487461397"/>
    <n v="0"/>
    <n v="99180.475747488832"/>
    <n v="0"/>
    <x v="1"/>
  </r>
  <r>
    <s v="Regular"/>
    <x v="0"/>
    <x v="1"/>
    <x v="1"/>
    <x v="0"/>
    <x v="1"/>
    <x v="1"/>
    <x v="1"/>
    <x v="1"/>
    <n v="3396"/>
    <n v="915.89175911999996"/>
    <n v="0"/>
    <n v="0"/>
    <n v="0"/>
    <n v="0"/>
    <n v="8"/>
    <s v="LIVRE"/>
    <n v="0"/>
    <n v="9"/>
    <n v="0"/>
    <n v="0"/>
    <n v="33.97"/>
    <n v="0"/>
    <n v="0"/>
    <n v="44.835700557621209"/>
    <m/>
    <m/>
    <n v="84249.276942693599"/>
    <n v="0"/>
    <n v="111197.39043858438"/>
    <n v="0"/>
    <x v="1"/>
  </r>
  <r>
    <s v="Regular"/>
    <x v="0"/>
    <x v="1"/>
    <x v="1"/>
    <x v="0"/>
    <x v="1"/>
    <x v="1"/>
    <x v="1"/>
    <x v="2"/>
    <n v="3368"/>
    <n v="908.34023695999997"/>
    <n v="0"/>
    <n v="0"/>
    <n v="0"/>
    <n v="0"/>
    <n v="8"/>
    <s v="LIVRE"/>
    <n v="0"/>
    <n v="9"/>
    <n v="0"/>
    <n v="0"/>
    <n v="33.97"/>
    <n v="0"/>
    <n v="0"/>
    <n v="44.835700557621209"/>
    <m/>
    <m/>
    <n v="83554.642150468804"/>
    <n v="0"/>
    <n v="110280.56860929099"/>
    <n v="0"/>
    <x v="1"/>
  </r>
  <r>
    <s v="Regular"/>
    <x v="0"/>
    <x v="1"/>
    <x v="1"/>
    <x v="0"/>
    <x v="1"/>
    <x v="1"/>
    <x v="1"/>
    <x v="3"/>
    <n v="3368"/>
    <n v="908.34023695999997"/>
    <n v="0"/>
    <n v="0"/>
    <n v="0"/>
    <n v="0"/>
    <n v="8"/>
    <s v="LIVRE"/>
    <n v="0"/>
    <n v="9"/>
    <n v="0"/>
    <n v="0"/>
    <n v="33.97"/>
    <n v="0"/>
    <n v="0"/>
    <n v="44.835700557621209"/>
    <m/>
    <m/>
    <n v="83554.642150468804"/>
    <n v="0"/>
    <n v="110280.56860929099"/>
    <n v="0"/>
    <x v="1"/>
  </r>
  <r>
    <s v="Regular"/>
    <x v="0"/>
    <x v="1"/>
    <x v="1"/>
    <x v="0"/>
    <x v="1"/>
    <x v="1"/>
    <x v="1"/>
    <x v="4"/>
    <n v="3368"/>
    <n v="908.34023695999997"/>
    <n v="0"/>
    <n v="0"/>
    <n v="0"/>
    <n v="0"/>
    <n v="8"/>
    <s v="LIVRE"/>
    <n v="0"/>
    <n v="9"/>
    <n v="0"/>
    <n v="0"/>
    <n v="33.97"/>
    <n v="0"/>
    <n v="0"/>
    <n v="44.835700557621209"/>
    <m/>
    <m/>
    <n v="83554.642150468804"/>
    <n v="0"/>
    <n v="110280.56860929099"/>
    <n v="0"/>
    <x v="1"/>
  </r>
  <r>
    <s v="Regular"/>
    <x v="0"/>
    <x v="1"/>
    <x v="1"/>
    <x v="0"/>
    <x v="1"/>
    <x v="1"/>
    <x v="1"/>
    <x v="5"/>
    <n v="3368"/>
    <n v="908.34023695999997"/>
    <n v="0"/>
    <n v="0"/>
    <n v="0"/>
    <n v="0"/>
    <n v="8"/>
    <s v="LIVRE"/>
    <n v="0"/>
    <n v="9"/>
    <n v="0"/>
    <n v="0"/>
    <n v="33.97"/>
    <n v="0"/>
    <n v="0"/>
    <n v="44.835700557621209"/>
    <m/>
    <m/>
    <n v="83554.642150468804"/>
    <n v="0"/>
    <n v="110280.56860929099"/>
    <n v="0"/>
    <x v="1"/>
  </r>
  <r>
    <s v="Regular"/>
    <x v="0"/>
    <x v="1"/>
    <x v="1"/>
    <x v="0"/>
    <x v="1"/>
    <x v="1"/>
    <x v="1"/>
    <x v="6"/>
    <n v="3368"/>
    <n v="908.34023695999997"/>
    <n v="0"/>
    <n v="0"/>
    <n v="0"/>
    <n v="0"/>
    <n v="8"/>
    <s v="LIVRE"/>
    <n v="0"/>
    <n v="9"/>
    <n v="0"/>
    <n v="0"/>
    <n v="33.97"/>
    <n v="0"/>
    <n v="0"/>
    <n v="44.835700557621209"/>
    <m/>
    <m/>
    <n v="83554.642150468804"/>
    <n v="0"/>
    <n v="110280.56860929099"/>
    <n v="0"/>
    <x v="1"/>
  </r>
  <r>
    <s v="Regular"/>
    <x v="0"/>
    <x v="1"/>
    <x v="1"/>
    <x v="0"/>
    <x v="1"/>
    <x v="1"/>
    <x v="1"/>
    <x v="7"/>
    <n v="3168"/>
    <n v="854.40079295999999"/>
    <n v="0"/>
    <n v="0"/>
    <n v="0"/>
    <n v="0"/>
    <n v="8"/>
    <s v="LIVRE"/>
    <n v="0"/>
    <n v="9"/>
    <n v="0"/>
    <n v="0"/>
    <n v="33.97"/>
    <n v="0"/>
    <n v="0"/>
    <n v="44.835700557621209"/>
    <m/>
    <m/>
    <n v="78592.965063148789"/>
    <n v="0"/>
    <n v="103731.84125719531"/>
    <n v="0"/>
    <x v="1"/>
  </r>
  <r>
    <s v="Regular"/>
    <x v="0"/>
    <x v="1"/>
    <x v="1"/>
    <x v="0"/>
    <x v="1"/>
    <x v="1"/>
    <x v="1"/>
    <x v="8"/>
    <n v="3457"/>
    <n v="932.34328954"/>
    <n v="0"/>
    <n v="0"/>
    <n v="0"/>
    <n v="0"/>
    <n v="8"/>
    <s v="LIVRE"/>
    <n v="0"/>
    <n v="9"/>
    <n v="0"/>
    <n v="0"/>
    <n v="33.97"/>
    <n v="0"/>
    <n v="0"/>
    <n v="44.835700557621209"/>
    <m/>
    <m/>
    <n v="85762.588454326193"/>
    <n v="0"/>
    <n v="113194.75228097354"/>
    <n v="0"/>
    <x v="1"/>
  </r>
  <r>
    <s v="Regular"/>
    <x v="0"/>
    <x v="1"/>
    <x v="1"/>
    <x v="0"/>
    <x v="1"/>
    <x v="1"/>
    <x v="1"/>
    <x v="9"/>
    <n v="3507"/>
    <n v="945.82815054000002"/>
    <n v="0"/>
    <n v="0"/>
    <n v="0"/>
    <n v="0"/>
    <n v="8"/>
    <s v="LIVRE"/>
    <n v="0"/>
    <n v="9"/>
    <n v="0"/>
    <n v="0"/>
    <n v="33.97"/>
    <n v="0"/>
    <n v="0"/>
    <n v="44.835700557621209"/>
    <m/>
    <m/>
    <n v="87003.007726156196"/>
    <n v="0"/>
    <n v="114831.93411899747"/>
    <n v="0"/>
    <x v="1"/>
  </r>
  <r>
    <s v="Regular"/>
    <x v="0"/>
    <x v="1"/>
    <x v="1"/>
    <x v="0"/>
    <x v="1"/>
    <x v="1"/>
    <x v="1"/>
    <x v="10"/>
    <n v="3585"/>
    <n v="966.86453370000004"/>
    <n v="0"/>
    <n v="0"/>
    <n v="0"/>
    <n v="0"/>
    <n v="8"/>
    <s v="LIVRE"/>
    <n v="0"/>
    <n v="9"/>
    <n v="0"/>
    <n v="0"/>
    <n v="33.97"/>
    <n v="0"/>
    <n v="0"/>
    <n v="44.835700557621209"/>
    <m/>
    <m/>
    <n v="88938.06179021101"/>
    <n v="0"/>
    <n v="117385.93778631478"/>
    <n v="0"/>
    <x v="1"/>
  </r>
  <r>
    <s v="Regular"/>
    <x v="0"/>
    <x v="1"/>
    <x v="1"/>
    <x v="0"/>
    <x v="1"/>
    <x v="1"/>
    <x v="1"/>
    <x v="11"/>
    <n v="3577"/>
    <n v="964.70695593999994"/>
    <n v="0"/>
    <n v="0"/>
    <n v="0"/>
    <n v="0"/>
    <n v="8"/>
    <s v="LIVRE"/>
    <n v="0"/>
    <n v="9"/>
    <n v="0"/>
    <n v="0"/>
    <n v="33.97"/>
    <n v="0"/>
    <n v="0"/>
    <n v="44.835700557621209"/>
    <m/>
    <m/>
    <n v="88739.594706718213"/>
    <n v="0"/>
    <n v="117123.98869223097"/>
    <n v="0"/>
    <x v="1"/>
  </r>
  <r>
    <s v="Regular"/>
    <x v="0"/>
    <x v="1"/>
    <x v="1"/>
    <x v="0"/>
    <x v="1"/>
    <x v="1"/>
    <x v="2"/>
    <x v="0"/>
    <n v="0"/>
    <n v="0"/>
    <n v="31.003"/>
    <n v="9.8979709654699999"/>
    <n v="0"/>
    <n v="0"/>
    <n v="0"/>
    <s v="LIVRE"/>
    <n v="0"/>
    <n v="0"/>
    <n v="10"/>
    <n v="0"/>
    <n v="0"/>
    <n v="1755.54"/>
    <n v="0"/>
    <m/>
    <n v="2161.4944324838229"/>
    <m/>
    <n v="0"/>
    <n v="37050.722671278796"/>
    <n v="0"/>
    <n v="45618.402755546027"/>
    <x v="1"/>
  </r>
  <r>
    <s v="Regular"/>
    <x v="0"/>
    <x v="1"/>
    <x v="1"/>
    <x v="0"/>
    <x v="1"/>
    <x v="1"/>
    <x v="2"/>
    <x v="1"/>
    <n v="0"/>
    <n v="0"/>
    <n v="33.430999999999997"/>
    <n v="10.67313057919"/>
    <n v="0"/>
    <n v="0"/>
    <n v="0"/>
    <s v="LIVRE"/>
    <n v="0"/>
    <n v="0"/>
    <n v="10"/>
    <n v="0"/>
    <n v="0"/>
    <n v="1755.54"/>
    <n v="0"/>
    <m/>
    <n v="2161.4944324838229"/>
    <m/>
    <n v="0"/>
    <n v="39952.35008300878"/>
    <n v="0"/>
    <n v="49191.008048274649"/>
    <x v="1"/>
  </r>
  <r>
    <s v="Regular"/>
    <x v="0"/>
    <x v="1"/>
    <x v="1"/>
    <x v="0"/>
    <x v="1"/>
    <x v="1"/>
    <x v="2"/>
    <x v="2"/>
    <n v="0"/>
    <n v="0"/>
    <n v="19.898"/>
    <n v="6.35260543402"/>
    <n v="0"/>
    <n v="0"/>
    <n v="0"/>
    <s v="LIVRE"/>
    <n v="0"/>
    <n v="0"/>
    <n v="10"/>
    <n v="0"/>
    <n v="0"/>
    <n v="1755.54"/>
    <n v="0"/>
    <m/>
    <n v="2161.4944324838229"/>
    <m/>
    <n v="0"/>
    <n v="23779.48197636053"/>
    <n v="0"/>
    <n v="29278.294940162399"/>
    <x v="1"/>
  </r>
  <r>
    <s v="Regular"/>
    <x v="0"/>
    <x v="1"/>
    <x v="1"/>
    <x v="0"/>
    <x v="1"/>
    <x v="1"/>
    <x v="2"/>
    <x v="3"/>
    <n v="0"/>
    <n v="0"/>
    <n v="20.74"/>
    <n v="6.6214210826000004"/>
    <n v="0"/>
    <n v="0"/>
    <n v="0"/>
    <s v="LIVRE"/>
    <n v="0"/>
    <n v="0"/>
    <n v="10"/>
    <n v="0"/>
    <n v="0"/>
    <n v="1755.54"/>
    <n v="0"/>
    <m/>
    <n v="2161.4944324838229"/>
    <m/>
    <n v="0"/>
    <n v="24785.730032652391"/>
    <n v="0"/>
    <n v="30517.229724543573"/>
    <x v="1"/>
  </r>
  <r>
    <s v="Regular"/>
    <x v="0"/>
    <x v="1"/>
    <x v="1"/>
    <x v="0"/>
    <x v="1"/>
    <x v="1"/>
    <x v="2"/>
    <x v="4"/>
    <n v="0"/>
    <n v="0"/>
    <n v="23.716999999999999"/>
    <n v="7.5718536073299996"/>
    <n v="0"/>
    <n v="0"/>
    <n v="0"/>
    <s v="LIVRE"/>
    <n v="0"/>
    <n v="0"/>
    <n v="10"/>
    <n v="0"/>
    <n v="0"/>
    <n v="1755.54"/>
    <n v="0"/>
    <m/>
    <n v="2161.4944324838229"/>
    <m/>
    <n v="0"/>
    <n v="28343.45029818789"/>
    <n v="0"/>
    <n v="34897.644039392486"/>
    <x v="1"/>
  </r>
  <r>
    <s v="Regular"/>
    <x v="0"/>
    <x v="1"/>
    <x v="1"/>
    <x v="0"/>
    <x v="1"/>
    <x v="1"/>
    <x v="2"/>
    <x v="5"/>
    <n v="0"/>
    <n v="0"/>
    <n v="28.638999999999999"/>
    <n v="9.1432438951100004"/>
    <n v="0"/>
    <n v="0"/>
    <n v="0"/>
    <s v="LIVRE"/>
    <n v="0"/>
    <n v="0"/>
    <n v="10"/>
    <n v="0"/>
    <n v="0"/>
    <n v="1755.54"/>
    <n v="0"/>
    <m/>
    <n v="2161.4944324838229"/>
    <m/>
    <n v="0"/>
    <n v="34225.57967237859"/>
    <n v="0"/>
    <n v="42139.968277782238"/>
    <x v="1"/>
  </r>
  <r>
    <s v="Regular"/>
    <x v="0"/>
    <x v="1"/>
    <x v="1"/>
    <x v="0"/>
    <x v="1"/>
    <x v="1"/>
    <x v="2"/>
    <x v="6"/>
    <n v="0"/>
    <n v="0"/>
    <n v="29.315000000000001"/>
    <n v="9.3590626343499999"/>
    <n v="0"/>
    <n v="0"/>
    <n v="0"/>
    <s v="LIVRE"/>
    <n v="0"/>
    <n v="0"/>
    <n v="10"/>
    <n v="0"/>
    <n v="0"/>
    <n v="1755.54"/>
    <n v="0"/>
    <m/>
    <n v="2161.4944324838229"/>
    <m/>
    <n v="0"/>
    <n v="35033.446282893201"/>
    <n v="0"/>
    <n v="43134.647510848365"/>
    <x v="1"/>
  </r>
  <r>
    <s v="Regular"/>
    <x v="0"/>
    <x v="1"/>
    <x v="1"/>
    <x v="0"/>
    <x v="1"/>
    <x v="1"/>
    <x v="2"/>
    <x v="7"/>
    <n v="0"/>
    <n v="0"/>
    <n v="29"/>
    <n v="9.2584962100000006"/>
    <n v="0"/>
    <n v="0"/>
    <n v="0"/>
    <s v="LIVRE"/>
    <n v="0"/>
    <n v="0"/>
    <n v="10"/>
    <n v="0"/>
    <n v="0"/>
    <n v="1755.54"/>
    <n v="0"/>
    <m/>
    <n v="2161.4944324838229"/>
    <m/>
    <n v="0"/>
    <n v="34656.999563496596"/>
    <n v="0"/>
    <n v="42671.150530943291"/>
    <x v="1"/>
  </r>
  <r>
    <s v="Regular"/>
    <x v="0"/>
    <x v="1"/>
    <x v="1"/>
    <x v="0"/>
    <x v="1"/>
    <x v="1"/>
    <x v="2"/>
    <x v="8"/>
    <n v="0"/>
    <n v="0"/>
    <n v="72.227000000000004"/>
    <n v="23.05908295723"/>
    <n v="0"/>
    <n v="0"/>
    <n v="0"/>
    <s v="LIVRE"/>
    <n v="0"/>
    <n v="0"/>
    <n v="10"/>
    <n v="0"/>
    <n v="0"/>
    <n v="1755.54"/>
    <n v="0"/>
    <m/>
    <n v="2161.4944324838229"/>
    <m/>
    <n v="0"/>
    <n v="86316.24508526444"/>
    <n v="0"/>
    <n v="106276.17894477383"/>
    <x v="1"/>
  </r>
  <r>
    <s v="Regular"/>
    <x v="0"/>
    <x v="1"/>
    <x v="1"/>
    <x v="0"/>
    <x v="1"/>
    <x v="1"/>
    <x v="2"/>
    <x v="9"/>
    <n v="0"/>
    <n v="0"/>
    <n v="42.276000000000003"/>
    <n v="13.49697192324"/>
    <n v="0"/>
    <n v="0"/>
    <n v="0"/>
    <s v="LIVRE"/>
    <n v="0"/>
    <n v="0"/>
    <n v="10"/>
    <n v="0"/>
    <n v="0"/>
    <n v="1755.54"/>
    <n v="0"/>
    <m/>
    <n v="2161.4944324838229"/>
    <m/>
    <n v="0"/>
    <n v="50522.734949875252"/>
    <n v="0"/>
    <n v="62205.708960212367"/>
    <x v="1"/>
  </r>
  <r>
    <s v="Regular"/>
    <x v="0"/>
    <x v="1"/>
    <x v="1"/>
    <x v="0"/>
    <x v="1"/>
    <x v="1"/>
    <x v="2"/>
    <x v="10"/>
    <n v="0"/>
    <n v="0"/>
    <n v="53.362000000000002"/>
    <n v="17.03627154338"/>
    <n v="0"/>
    <n v="0"/>
    <n v="0"/>
    <s v="LIVRE"/>
    <n v="0"/>
    <n v="0"/>
    <n v="10"/>
    <n v="0"/>
    <n v="0"/>
    <n v="1755.54"/>
    <n v="0"/>
    <m/>
    <n v="2161.4944324838229"/>
    <m/>
    <n v="0"/>
    <n v="63771.269334734672"/>
    <n v="0"/>
    <n v="78517.859814903306"/>
    <x v="1"/>
  </r>
  <r>
    <s v="Regular"/>
    <x v="0"/>
    <x v="1"/>
    <x v="1"/>
    <x v="0"/>
    <x v="1"/>
    <x v="1"/>
    <x v="2"/>
    <x v="11"/>
    <n v="0"/>
    <n v="0"/>
    <n v="50.908999999999999"/>
    <n v="16.253130467409999"/>
    <n v="0"/>
    <n v="0"/>
    <n v="0"/>
    <s v="LIVRE"/>
    <n v="0"/>
    <n v="0"/>
    <n v="10"/>
    <n v="0"/>
    <n v="0"/>
    <n v="1755.54"/>
    <n v="0"/>
    <m/>
    <n v="2161.4944324838229"/>
    <m/>
    <n v="0"/>
    <n v="60839.765199243055"/>
    <n v="0"/>
    <n v="74908.469047579041"/>
    <x v="1"/>
  </r>
  <r>
    <s v="Regular"/>
    <x v="0"/>
    <x v="1"/>
    <x v="2"/>
    <x v="0"/>
    <x v="2"/>
    <x v="1"/>
    <x v="0"/>
    <x v="0"/>
    <n v="0"/>
    <n v="0"/>
    <n v="8.7330000000000005"/>
    <n v="8.38368"/>
    <n v="8.7330000000000005"/>
    <n v="8.38368"/>
    <n v="0"/>
    <s v="CATIVO"/>
    <n v="0"/>
    <n v="0"/>
    <n v="11"/>
    <n v="52"/>
    <n v="0"/>
    <n v="90.54"/>
    <n v="189.96"/>
    <m/>
    <n v="116.01030172172926"/>
    <n v="195.89707226799715"/>
    <n v="0"/>
    <n v="97.984260000000148"/>
    <n v="0"/>
    <n v="108.9554838820914"/>
    <x v="2"/>
  </r>
  <r>
    <s v="Regular"/>
    <x v="0"/>
    <x v="1"/>
    <x v="2"/>
    <x v="0"/>
    <x v="2"/>
    <x v="1"/>
    <x v="0"/>
    <x v="1"/>
    <n v="0"/>
    <n v="0"/>
    <n v="2.7029999999999998"/>
    <n v="2.5948799999999999"/>
    <n v="2.7029999999999998"/>
    <n v="2.5948799999999999"/>
    <n v="0"/>
    <s v="CATIVO"/>
    <n v="0"/>
    <n v="0"/>
    <n v="11"/>
    <n v="52"/>
    <n v="0"/>
    <n v="90.54"/>
    <n v="189.96"/>
    <m/>
    <n v="116.01030172172926"/>
    <n v="195.89707226799715"/>
    <n v="0"/>
    <n v="30.327660000000002"/>
    <n v="0"/>
    <n v="33.723425275769216"/>
    <x v="2"/>
  </r>
  <r>
    <s v="Regular"/>
    <x v="0"/>
    <x v="1"/>
    <x v="2"/>
    <x v="0"/>
    <x v="2"/>
    <x v="1"/>
    <x v="0"/>
    <x v="2"/>
    <n v="0"/>
    <n v="0"/>
    <n v="3.448"/>
    <n v="3.3100799999999997"/>
    <n v="3.448"/>
    <n v="3.3100799999999997"/>
    <n v="0"/>
    <s v="CATIVO"/>
    <n v="0"/>
    <n v="0"/>
    <n v="11"/>
    <n v="52"/>
    <n v="0"/>
    <n v="90.54"/>
    <n v="189.96"/>
    <m/>
    <n v="116.01030172172926"/>
    <n v="195.89707226799715"/>
    <n v="0"/>
    <n v="38.686560000000071"/>
    <n v="0"/>
    <n v="43.018265020663151"/>
    <x v="2"/>
  </r>
  <r>
    <s v="Regular"/>
    <x v="0"/>
    <x v="1"/>
    <x v="2"/>
    <x v="0"/>
    <x v="2"/>
    <x v="1"/>
    <x v="0"/>
    <x v="3"/>
    <n v="0"/>
    <n v="0"/>
    <n v="4.165"/>
    <n v="3.9983999999999997"/>
    <n v="4.165"/>
    <n v="3.9983999999999997"/>
    <n v="0"/>
    <s v="CATIVO"/>
    <n v="0"/>
    <n v="0"/>
    <n v="11"/>
    <n v="52"/>
    <n v="0"/>
    <n v="90.54"/>
    <n v="189.96"/>
    <m/>
    <n v="116.01030172172926"/>
    <n v="195.89707226799715"/>
    <n v="0"/>
    <n v="46.73130000000009"/>
    <n v="0"/>
    <n v="51.96376850668851"/>
    <x v="2"/>
  </r>
  <r>
    <s v="Regular"/>
    <x v="0"/>
    <x v="1"/>
    <x v="2"/>
    <x v="0"/>
    <x v="2"/>
    <x v="1"/>
    <x v="0"/>
    <x v="4"/>
    <n v="0"/>
    <n v="0"/>
    <n v="2.2269999999999999"/>
    <n v="2.1379199999999998"/>
    <n v="2.2269999999999999"/>
    <n v="2.1379199999999998"/>
    <n v="0"/>
    <s v="CATIVO"/>
    <n v="0"/>
    <n v="0"/>
    <n v="11"/>
    <n v="52"/>
    <n v="0"/>
    <n v="90.54"/>
    <n v="189.96"/>
    <m/>
    <n v="116.01030172172926"/>
    <n v="195.89707226799715"/>
    <n v="0"/>
    <n v="24.986940000000011"/>
    <n v="0"/>
    <n v="27.784708875004842"/>
    <x v="2"/>
  </r>
  <r>
    <s v="Regular"/>
    <x v="0"/>
    <x v="1"/>
    <x v="2"/>
    <x v="0"/>
    <x v="2"/>
    <x v="1"/>
    <x v="0"/>
    <x v="5"/>
    <n v="0"/>
    <n v="0"/>
    <n v="0.65800000000000003"/>
    <n v="0.63168000000000002"/>
    <n v="0.65800000000000003"/>
    <n v="0.63168000000000002"/>
    <n v="0"/>
    <s v="CATIVO"/>
    <n v="0"/>
    <n v="0"/>
    <n v="11"/>
    <n v="52"/>
    <n v="0"/>
    <n v="90.54"/>
    <n v="189.96"/>
    <m/>
    <n v="116.01030172172926"/>
    <n v="195.89707226799715"/>
    <n v="0"/>
    <n v="7.3827600000000038"/>
    <n v="0"/>
    <n v="8.2094020834096018"/>
    <x v="2"/>
  </r>
  <r>
    <s v="Regular"/>
    <x v="0"/>
    <x v="1"/>
    <x v="2"/>
    <x v="0"/>
    <x v="2"/>
    <x v="1"/>
    <x v="0"/>
    <x v="6"/>
    <n v="0"/>
    <n v="0"/>
    <n v="0.996"/>
    <n v="0.95616000000000001"/>
    <n v="0.996"/>
    <n v="0.95616000000000001"/>
    <n v="0"/>
    <s v="CATIVO"/>
    <n v="0"/>
    <n v="0"/>
    <n v="11"/>
    <n v="52"/>
    <n v="0"/>
    <n v="90.54"/>
    <n v="189.96"/>
    <m/>
    <n v="116.01030172172926"/>
    <n v="195.89707226799715"/>
    <n v="0"/>
    <n v="11.175119999999996"/>
    <n v="0"/>
    <n v="12.426389779750696"/>
    <x v="2"/>
  </r>
  <r>
    <s v="Regular"/>
    <x v="0"/>
    <x v="1"/>
    <x v="2"/>
    <x v="0"/>
    <x v="2"/>
    <x v="1"/>
    <x v="0"/>
    <x v="7"/>
    <n v="0"/>
    <n v="0"/>
    <n v="3.266"/>
    <n v="3.1353599999999999"/>
    <n v="3.266"/>
    <n v="3.1353599999999999"/>
    <n v="0"/>
    <s v="CATIVO"/>
    <n v="0"/>
    <n v="0"/>
    <n v="11"/>
    <n v="52"/>
    <n v="0"/>
    <n v="90.54"/>
    <n v="189.96"/>
    <m/>
    <n v="116.01030172172926"/>
    <n v="195.89707226799715"/>
    <n v="0"/>
    <n v="36.644520000000028"/>
    <n v="0"/>
    <n v="40.747579338017886"/>
    <x v="2"/>
  </r>
  <r>
    <s v="Regular"/>
    <x v="0"/>
    <x v="1"/>
    <x v="2"/>
    <x v="0"/>
    <x v="2"/>
    <x v="1"/>
    <x v="0"/>
    <x v="8"/>
    <n v="0"/>
    <n v="0"/>
    <n v="20.085000000000001"/>
    <n v="19.281600000000001"/>
    <n v="20.085000000000001"/>
    <n v="19.281600000000001"/>
    <n v="0"/>
    <s v="CATIVO"/>
    <n v="0"/>
    <n v="0"/>
    <n v="11"/>
    <n v="52"/>
    <n v="0"/>
    <n v="90.54"/>
    <n v="189.96"/>
    <m/>
    <n v="116.01030172172926"/>
    <n v="195.89707226799715"/>
    <n v="0"/>
    <n v="225.35369999999998"/>
    <n v="0"/>
    <n v="250.58638426334619"/>
    <x v="2"/>
  </r>
  <r>
    <s v="Regular"/>
    <x v="0"/>
    <x v="1"/>
    <x v="2"/>
    <x v="0"/>
    <x v="2"/>
    <x v="1"/>
    <x v="0"/>
    <x v="9"/>
    <n v="0"/>
    <n v="0"/>
    <n v="24.28"/>
    <n v="23.308800000000002"/>
    <n v="24.28"/>
    <n v="23.308800000000002"/>
    <n v="0"/>
    <s v="CATIVO"/>
    <n v="0"/>
    <n v="0"/>
    <n v="11"/>
    <n v="52"/>
    <n v="0"/>
    <n v="90.54"/>
    <n v="189.96"/>
    <m/>
    <n v="116.01030172172926"/>
    <n v="195.89707226799715"/>
    <n v="0"/>
    <n v="272.4215999999999"/>
    <n v="0"/>
    <n v="302.92444161882219"/>
    <x v="2"/>
  </r>
  <r>
    <s v="Regular"/>
    <x v="0"/>
    <x v="1"/>
    <x v="2"/>
    <x v="0"/>
    <x v="2"/>
    <x v="1"/>
    <x v="0"/>
    <x v="10"/>
    <n v="0"/>
    <n v="0"/>
    <n v="12.068"/>
    <n v="11.585279999999999"/>
    <n v="12.068"/>
    <n v="11.585279999999999"/>
    <n v="0"/>
    <s v="CATIVO"/>
    <n v="0"/>
    <n v="0"/>
    <n v="11"/>
    <n v="52"/>
    <n v="0"/>
    <n v="90.54"/>
    <n v="189.96"/>
    <m/>
    <n v="116.01030172172926"/>
    <n v="195.89707226799715"/>
    <n v="0"/>
    <n v="135.40296000000015"/>
    <n v="0"/>
    <n v="150.56392757232089"/>
    <x v="2"/>
  </r>
  <r>
    <s v="Regular"/>
    <x v="0"/>
    <x v="1"/>
    <x v="2"/>
    <x v="0"/>
    <x v="2"/>
    <x v="1"/>
    <x v="0"/>
    <x v="11"/>
    <n v="0"/>
    <n v="0"/>
    <n v="9.1359999999999992"/>
    <n v="8.7705599999999997"/>
    <n v="9.1359999999999992"/>
    <n v="8.7705599999999997"/>
    <n v="0"/>
    <s v="CATIVO"/>
    <n v="0"/>
    <n v="0"/>
    <n v="11"/>
    <n v="52"/>
    <n v="0"/>
    <n v="90.54"/>
    <n v="189.96"/>
    <m/>
    <n v="116.01030172172926"/>
    <n v="195.89707226799715"/>
    <n v="0"/>
    <n v="102.50591999999989"/>
    <n v="0"/>
    <n v="113.98343075080547"/>
    <x v="2"/>
  </r>
  <r>
    <s v="Regular"/>
    <x v="0"/>
    <x v="1"/>
    <x v="2"/>
    <x v="0"/>
    <x v="2"/>
    <x v="1"/>
    <x v="1"/>
    <x v="0"/>
    <n v="150"/>
    <n v="144"/>
    <n v="0"/>
    <n v="0"/>
    <n v="0"/>
    <n v="0"/>
    <n v="2"/>
    <s v="CATIVO"/>
    <n v="0"/>
    <n v="9"/>
    <n v="0"/>
    <n v="0"/>
    <n v="33.97"/>
    <n v="0"/>
    <n v="0"/>
    <n v="44.835700557621209"/>
    <m/>
    <m/>
    <n v="203.82"/>
    <n v="0"/>
    <n v="269.01420334572725"/>
    <n v="0"/>
    <x v="2"/>
  </r>
  <r>
    <s v="Regular"/>
    <x v="0"/>
    <x v="1"/>
    <x v="2"/>
    <x v="0"/>
    <x v="2"/>
    <x v="1"/>
    <x v="1"/>
    <x v="1"/>
    <n v="91"/>
    <n v="87.36"/>
    <n v="0"/>
    <n v="0"/>
    <n v="0"/>
    <n v="0"/>
    <n v="2"/>
    <s v="CATIVO"/>
    <n v="0"/>
    <n v="9"/>
    <n v="0"/>
    <n v="0"/>
    <n v="33.97"/>
    <n v="0"/>
    <n v="0"/>
    <n v="44.835700557621209"/>
    <m/>
    <m/>
    <n v="123.65080000000002"/>
    <n v="0"/>
    <n v="163.20195002974123"/>
    <n v="0"/>
    <x v="2"/>
  </r>
  <r>
    <s v="Regular"/>
    <x v="0"/>
    <x v="1"/>
    <x v="2"/>
    <x v="0"/>
    <x v="2"/>
    <x v="1"/>
    <x v="1"/>
    <x v="2"/>
    <n v="84"/>
    <n v="80.64"/>
    <n v="0"/>
    <n v="0"/>
    <n v="0"/>
    <n v="0"/>
    <n v="2"/>
    <s v="CATIVO"/>
    <n v="0"/>
    <n v="9"/>
    <n v="0"/>
    <n v="0"/>
    <n v="33.97"/>
    <n v="0"/>
    <n v="0"/>
    <n v="44.835700557621209"/>
    <m/>
    <m/>
    <n v="114.13919999999997"/>
    <n v="0"/>
    <n v="150.64795387360724"/>
    <n v="0"/>
    <x v="2"/>
  </r>
  <r>
    <s v="Regular"/>
    <x v="0"/>
    <x v="1"/>
    <x v="2"/>
    <x v="0"/>
    <x v="2"/>
    <x v="1"/>
    <x v="1"/>
    <x v="3"/>
    <n v="83"/>
    <n v="79.679999999999993"/>
    <n v="0"/>
    <n v="0"/>
    <n v="0"/>
    <n v="0"/>
    <n v="2"/>
    <s v="CATIVO"/>
    <n v="0"/>
    <n v="9"/>
    <n v="0"/>
    <n v="0"/>
    <n v="33.97"/>
    <n v="0"/>
    <n v="0"/>
    <n v="44.835700557621209"/>
    <m/>
    <m/>
    <n v="112.78040000000024"/>
    <n v="0"/>
    <n v="148.85452585130275"/>
    <n v="0"/>
    <x v="2"/>
  </r>
  <r>
    <s v="Regular"/>
    <x v="0"/>
    <x v="1"/>
    <x v="2"/>
    <x v="0"/>
    <x v="2"/>
    <x v="1"/>
    <x v="1"/>
    <x v="4"/>
    <n v="89"/>
    <n v="85.44"/>
    <n v="0"/>
    <n v="0"/>
    <n v="0"/>
    <n v="0"/>
    <n v="2"/>
    <s v="CATIVO"/>
    <n v="0"/>
    <n v="9"/>
    <n v="0"/>
    <n v="0"/>
    <n v="33.97"/>
    <n v="0"/>
    <n v="0"/>
    <n v="44.835700557621209"/>
    <m/>
    <m/>
    <n v="120.93320000000007"/>
    <n v="0"/>
    <n v="159.61509398513161"/>
    <n v="0"/>
    <x v="2"/>
  </r>
  <r>
    <s v="Regular"/>
    <x v="0"/>
    <x v="1"/>
    <x v="2"/>
    <x v="0"/>
    <x v="2"/>
    <x v="1"/>
    <x v="1"/>
    <x v="5"/>
    <n v="44"/>
    <n v="42.239999999999995"/>
    <n v="0"/>
    <n v="0"/>
    <n v="0"/>
    <n v="0"/>
    <n v="2"/>
    <s v="CATIVO"/>
    <n v="0"/>
    <n v="9"/>
    <n v="0"/>
    <n v="0"/>
    <n v="33.97"/>
    <n v="0"/>
    <n v="0"/>
    <n v="44.835700557621209"/>
    <m/>
    <m/>
    <n v="59.787200000000169"/>
    <n v="0"/>
    <n v="78.910832981413563"/>
    <n v="0"/>
    <x v="2"/>
  </r>
  <r>
    <s v="Regular"/>
    <x v="0"/>
    <x v="1"/>
    <x v="2"/>
    <x v="0"/>
    <x v="2"/>
    <x v="1"/>
    <x v="1"/>
    <x v="6"/>
    <n v="46"/>
    <n v="44.16"/>
    <n v="0"/>
    <n v="0"/>
    <n v="0"/>
    <n v="0"/>
    <n v="2"/>
    <s v="CATIVO"/>
    <n v="0"/>
    <n v="9"/>
    <n v="0"/>
    <n v="0"/>
    <n v="33.97"/>
    <n v="0"/>
    <n v="0"/>
    <n v="44.835700557621209"/>
    <m/>
    <m/>
    <n v="62.504800000000117"/>
    <n v="0"/>
    <n v="82.497689026023181"/>
    <n v="0"/>
    <x v="2"/>
  </r>
  <r>
    <s v="Regular"/>
    <x v="0"/>
    <x v="1"/>
    <x v="2"/>
    <x v="0"/>
    <x v="2"/>
    <x v="1"/>
    <x v="1"/>
    <x v="7"/>
    <n v="57"/>
    <n v="54.72"/>
    <n v="0"/>
    <n v="0"/>
    <n v="0"/>
    <n v="0"/>
    <n v="2"/>
    <s v="CATIVO"/>
    <n v="0"/>
    <n v="9"/>
    <n v="0"/>
    <n v="0"/>
    <n v="33.97"/>
    <n v="0"/>
    <n v="0"/>
    <n v="44.835700557621209"/>
    <m/>
    <m/>
    <n v="77.451600000000042"/>
    <n v="0"/>
    <n v="102.22539727137641"/>
    <n v="0"/>
    <x v="2"/>
  </r>
  <r>
    <s v="Regular"/>
    <x v="0"/>
    <x v="1"/>
    <x v="2"/>
    <x v="0"/>
    <x v="2"/>
    <x v="1"/>
    <x v="1"/>
    <x v="8"/>
    <n v="117"/>
    <n v="112.32"/>
    <n v="0"/>
    <n v="0"/>
    <n v="0"/>
    <n v="0"/>
    <n v="2"/>
    <s v="CATIVO"/>
    <n v="0"/>
    <n v="9"/>
    <n v="0"/>
    <n v="0"/>
    <n v="33.97"/>
    <n v="0"/>
    <n v="0"/>
    <n v="44.835700557621209"/>
    <m/>
    <m/>
    <n v="158.97960000000023"/>
    <n v="0"/>
    <n v="209.83107860966757"/>
    <n v="0"/>
    <x v="2"/>
  </r>
  <r>
    <s v="Regular"/>
    <x v="0"/>
    <x v="1"/>
    <x v="2"/>
    <x v="0"/>
    <x v="2"/>
    <x v="1"/>
    <x v="1"/>
    <x v="9"/>
    <n v="156"/>
    <n v="149.76"/>
    <n v="0"/>
    <n v="0"/>
    <n v="0"/>
    <n v="0"/>
    <n v="2"/>
    <s v="CATIVO"/>
    <n v="0"/>
    <n v="9"/>
    <n v="0"/>
    <n v="0"/>
    <n v="33.97"/>
    <n v="0"/>
    <n v="0"/>
    <n v="44.835700557621209"/>
    <m/>
    <m/>
    <n v="211.97280000000029"/>
    <n v="0"/>
    <n v="279.77477147955676"/>
    <n v="0"/>
    <x v="2"/>
  </r>
  <r>
    <s v="Regular"/>
    <x v="0"/>
    <x v="1"/>
    <x v="2"/>
    <x v="0"/>
    <x v="2"/>
    <x v="1"/>
    <x v="1"/>
    <x v="10"/>
    <n v="120"/>
    <n v="115.19999999999999"/>
    <n v="0"/>
    <n v="0"/>
    <n v="0"/>
    <n v="0"/>
    <n v="2"/>
    <s v="CATIVO"/>
    <n v="0"/>
    <n v="9"/>
    <n v="0"/>
    <n v="0"/>
    <n v="33.97"/>
    <n v="0"/>
    <n v="0"/>
    <n v="44.835700557621209"/>
    <m/>
    <m/>
    <n v="163.05600000000038"/>
    <n v="0"/>
    <n v="215.21136267658233"/>
    <n v="0"/>
    <x v="2"/>
  </r>
  <r>
    <s v="Regular"/>
    <x v="0"/>
    <x v="1"/>
    <x v="2"/>
    <x v="0"/>
    <x v="2"/>
    <x v="1"/>
    <x v="1"/>
    <x v="11"/>
    <n v="98"/>
    <n v="94.08"/>
    <n v="0"/>
    <n v="0"/>
    <n v="0"/>
    <n v="0"/>
    <n v="2"/>
    <s v="CATIVO"/>
    <n v="0"/>
    <n v="9"/>
    <n v="0"/>
    <n v="0"/>
    <n v="33.97"/>
    <n v="0"/>
    <n v="0"/>
    <n v="44.835700557621209"/>
    <m/>
    <m/>
    <n v="133.16240000000005"/>
    <n v="0"/>
    <n v="175.75594618587522"/>
    <n v="0"/>
    <x v="2"/>
  </r>
  <r>
    <s v="Regular"/>
    <x v="0"/>
    <x v="1"/>
    <x v="2"/>
    <x v="0"/>
    <x v="2"/>
    <x v="1"/>
    <x v="2"/>
    <x v="0"/>
    <n v="0"/>
    <n v="0"/>
    <n v="0.56100000000000005"/>
    <n v="0.53856000000000004"/>
    <n v="0.56100000000000005"/>
    <n v="0.53856000000000004"/>
    <n v="0"/>
    <s v="CATIVO"/>
    <n v="0"/>
    <n v="0"/>
    <n v="10"/>
    <n v="51"/>
    <n v="0"/>
    <n v="1755.54"/>
    <n v="298.83999999999997"/>
    <m/>
    <n v="2161.4944324838229"/>
    <n v="311.4117891483653"/>
    <n v="0"/>
    <n v="46.100287200000032"/>
    <n v="0"/>
    <n v="55.492015613426339"/>
    <x v="2"/>
  </r>
  <r>
    <s v="Regular"/>
    <x v="0"/>
    <x v="1"/>
    <x v="2"/>
    <x v="0"/>
    <x v="2"/>
    <x v="1"/>
    <x v="2"/>
    <x v="1"/>
    <n v="0"/>
    <n v="0"/>
    <n v="0.27"/>
    <n v="0.25919999999999999"/>
    <n v="0.27"/>
    <n v="0.25919999999999999"/>
    <n v="0"/>
    <s v="CATIVO"/>
    <n v="0"/>
    <n v="0"/>
    <n v="10"/>
    <n v="51"/>
    <n v="0"/>
    <n v="1755.54"/>
    <n v="298.83999999999997"/>
    <m/>
    <n v="2161.4944324838229"/>
    <n v="311.4117891483653"/>
    <n v="0"/>
    <n v="22.187304000000065"/>
    <n v="0"/>
    <n v="26.70738719362771"/>
    <x v="2"/>
  </r>
  <r>
    <s v="Regular"/>
    <x v="0"/>
    <x v="1"/>
    <x v="2"/>
    <x v="0"/>
    <x v="2"/>
    <x v="1"/>
    <x v="2"/>
    <x v="2"/>
    <n v="0"/>
    <n v="0"/>
    <n v="0.59899999999999998"/>
    <n v="0.57504"/>
    <n v="0.59899999999999998"/>
    <n v="0.57504"/>
    <n v="0"/>
    <s v="CATIVO"/>
    <n v="0"/>
    <n v="0"/>
    <n v="10"/>
    <n v="51"/>
    <n v="0"/>
    <n v="1755.54"/>
    <n v="298.83999999999997"/>
    <m/>
    <n v="2161.4944324838229"/>
    <n v="311.4117891483653"/>
    <n v="0"/>
    <n v="49.222944799999958"/>
    <n v="0"/>
    <n v="59.250833070307181"/>
    <x v="2"/>
  </r>
  <r>
    <s v="Regular"/>
    <x v="0"/>
    <x v="1"/>
    <x v="2"/>
    <x v="0"/>
    <x v="2"/>
    <x v="1"/>
    <x v="2"/>
    <x v="3"/>
    <n v="0"/>
    <n v="0"/>
    <n v="1.0640000000000001"/>
    <n v="1.0214400000000001"/>
    <n v="1.0640000000000001"/>
    <n v="1.0214400000000001"/>
    <n v="0"/>
    <s v="CATIVO"/>
    <n v="0"/>
    <n v="0"/>
    <n v="10"/>
    <n v="51"/>
    <n v="0"/>
    <n v="1755.54"/>
    <n v="298.83999999999997"/>
    <m/>
    <n v="2161.4944324838229"/>
    <n v="311.4117891483653"/>
    <n v="0"/>
    <n v="87.434412799999862"/>
    <n v="0"/>
    <n v="105.24688879266576"/>
    <x v="2"/>
  </r>
  <r>
    <s v="Regular"/>
    <x v="0"/>
    <x v="1"/>
    <x v="2"/>
    <x v="0"/>
    <x v="2"/>
    <x v="1"/>
    <x v="2"/>
    <x v="4"/>
    <n v="0"/>
    <n v="0"/>
    <n v="6.4000000000000001E-2"/>
    <n v="6.1440000000000002E-2"/>
    <n v="6.4000000000000001E-2"/>
    <n v="6.1440000000000002E-2"/>
    <n v="0"/>
    <s v="CATIVO"/>
    <n v="0"/>
    <n v="0"/>
    <n v="10"/>
    <n v="51"/>
    <n v="0"/>
    <n v="1755.54"/>
    <n v="298.83999999999997"/>
    <m/>
    <n v="2161.4944324838229"/>
    <n v="311.4117891483653"/>
    <n v="0"/>
    <n v="5.2592127999999994"/>
    <n v="0"/>
    <n v="6.3306399273784013"/>
    <x v="2"/>
  </r>
  <r>
    <s v="Regular"/>
    <x v="0"/>
    <x v="1"/>
    <x v="2"/>
    <x v="0"/>
    <x v="2"/>
    <x v="1"/>
    <x v="2"/>
    <x v="5"/>
    <n v="0"/>
    <n v="0"/>
    <n v="6.5000000000000002E-2"/>
    <n v="6.2399999999999997E-2"/>
    <n v="6.5000000000000002E-2"/>
    <n v="6.2399999999999997E-2"/>
    <n v="0"/>
    <s v="CATIVO"/>
    <n v="0"/>
    <n v="0"/>
    <n v="10"/>
    <n v="51"/>
    <n v="0"/>
    <n v="1755.54"/>
    <n v="298.83999999999997"/>
    <m/>
    <n v="2161.4944324838229"/>
    <n v="311.4117891483653"/>
    <n v="0"/>
    <n v="5.34138800000001"/>
    <n v="0"/>
    <n v="6.4295561762437021"/>
    <x v="2"/>
  </r>
  <r>
    <s v="Regular"/>
    <x v="0"/>
    <x v="1"/>
    <x v="2"/>
    <x v="0"/>
    <x v="2"/>
    <x v="1"/>
    <x v="2"/>
    <x v="6"/>
    <n v="0"/>
    <n v="0"/>
    <n v="7.1999999999999995E-2"/>
    <n v="6.9119999999999987E-2"/>
    <n v="7.1999999999999995E-2"/>
    <n v="6.9119999999999987E-2"/>
    <n v="0"/>
    <s v="CATIVO"/>
    <n v="0"/>
    <n v="0"/>
    <n v="10"/>
    <n v="51"/>
    <n v="0"/>
    <n v="1755.54"/>
    <n v="298.83999999999997"/>
    <m/>
    <n v="2161.4944324838229"/>
    <n v="311.4117891483653"/>
    <n v="0"/>
    <n v="5.9166144000000154"/>
    <n v="0"/>
    <n v="7.1219699183007208"/>
    <x v="2"/>
  </r>
  <r>
    <s v="Regular"/>
    <x v="0"/>
    <x v="1"/>
    <x v="2"/>
    <x v="0"/>
    <x v="2"/>
    <x v="1"/>
    <x v="2"/>
    <x v="7"/>
    <n v="0"/>
    <n v="0"/>
    <n v="0.27100000000000002"/>
    <n v="0.26016"/>
    <n v="0.27100000000000002"/>
    <n v="0.26016"/>
    <n v="0"/>
    <s v="CATIVO"/>
    <n v="0"/>
    <n v="0"/>
    <n v="10"/>
    <n v="51"/>
    <n v="0"/>
    <n v="1755.54"/>
    <n v="298.83999999999997"/>
    <m/>
    <n v="2161.4944324838229"/>
    <n v="311.4117891483653"/>
    <n v="0"/>
    <n v="22.269479200000031"/>
    <n v="0"/>
    <n v="26.806303442492961"/>
    <x v="2"/>
  </r>
  <r>
    <s v="Regular"/>
    <x v="0"/>
    <x v="1"/>
    <x v="2"/>
    <x v="0"/>
    <x v="2"/>
    <x v="1"/>
    <x v="2"/>
    <x v="8"/>
    <n v="0"/>
    <n v="0"/>
    <n v="2.4649999999999999"/>
    <n v="2.3663999999999996"/>
    <n v="2.4649999999999999"/>
    <n v="2.3663999999999996"/>
    <n v="0"/>
    <s v="CATIVO"/>
    <n v="0"/>
    <n v="0"/>
    <n v="10"/>
    <n v="51"/>
    <n v="0"/>
    <n v="1755.54"/>
    <n v="298.83999999999997"/>
    <m/>
    <n v="2161.4944324838229"/>
    <n v="311.4117891483653"/>
    <n v="0"/>
    <n v="202.56186800000049"/>
    <n v="0"/>
    <n v="243.82855345293436"/>
    <x v="2"/>
  </r>
  <r>
    <s v="Regular"/>
    <x v="0"/>
    <x v="1"/>
    <x v="2"/>
    <x v="0"/>
    <x v="2"/>
    <x v="1"/>
    <x v="2"/>
    <x v="9"/>
    <n v="0"/>
    <n v="0"/>
    <n v="2.4"/>
    <n v="2.3039999999999998"/>
    <n v="2.4"/>
    <n v="2.3039999999999998"/>
    <n v="0"/>
    <s v="CATIVO"/>
    <n v="0"/>
    <n v="0"/>
    <n v="10"/>
    <n v="51"/>
    <n v="0"/>
    <n v="1755.54"/>
    <n v="298.83999999999997"/>
    <m/>
    <n v="2161.4944324838229"/>
    <n v="311.4117891483653"/>
    <n v="0"/>
    <n v="197.22048000000018"/>
    <n v="0"/>
    <n v="237.3989972766903"/>
    <x v="2"/>
  </r>
  <r>
    <s v="Regular"/>
    <x v="0"/>
    <x v="1"/>
    <x v="2"/>
    <x v="0"/>
    <x v="2"/>
    <x v="1"/>
    <x v="2"/>
    <x v="10"/>
    <n v="0"/>
    <n v="0"/>
    <n v="1.9390000000000001"/>
    <n v="1.86144"/>
    <n v="1.9390000000000001"/>
    <n v="1.86144"/>
    <n v="0"/>
    <s v="CATIVO"/>
    <n v="0"/>
    <n v="0"/>
    <n v="10"/>
    <n v="51"/>
    <n v="0"/>
    <n v="1755.54"/>
    <n v="298.83999999999997"/>
    <m/>
    <n v="2161.4944324838229"/>
    <n v="311.4117891483653"/>
    <n v="0"/>
    <n v="159.33771280000013"/>
    <n v="0"/>
    <n v="191.79860654979268"/>
    <x v="2"/>
  </r>
  <r>
    <s v="Regular"/>
    <x v="0"/>
    <x v="1"/>
    <x v="2"/>
    <x v="0"/>
    <x v="2"/>
    <x v="1"/>
    <x v="2"/>
    <x v="11"/>
    <n v="0"/>
    <n v="0"/>
    <n v="1.1779999999999999"/>
    <n v="1.1308799999999999"/>
    <n v="1.1779999999999999"/>
    <n v="1.1308799999999999"/>
    <n v="0"/>
    <s v="CATIVO"/>
    <n v="0"/>
    <n v="0"/>
    <n v="10"/>
    <n v="51"/>
    <n v="0"/>
    <n v="1755.54"/>
    <n v="298.83999999999997"/>
    <m/>
    <n v="2161.4944324838229"/>
    <n v="311.4117891483653"/>
    <n v="0"/>
    <n v="96.802385600000093"/>
    <n v="0"/>
    <n v="116.52334116330884"/>
    <x v="2"/>
  </r>
  <r>
    <s v="Regular"/>
    <x v="1"/>
    <x v="2"/>
    <x v="3"/>
    <x v="1"/>
    <x v="2"/>
    <x v="1"/>
    <x v="1"/>
    <x v="0"/>
    <n v="0"/>
    <n v="0"/>
    <n v="1503.675"/>
    <n v="1503.675"/>
    <n v="1503.675"/>
    <n v="1503.675"/>
    <n v="9100"/>
    <s v="CATIVO"/>
    <n v="0"/>
    <n v="0"/>
    <n v="19"/>
    <n v="59"/>
    <n v="0"/>
    <n v="406.52"/>
    <n v="199.03"/>
    <m/>
    <n v="506.43176911815436"/>
    <n v="205.52329867469447"/>
    <n v="0"/>
    <n v="0"/>
    <n v="0"/>
    <n v="0"/>
    <x v="3"/>
  </r>
  <r>
    <s v="Regular"/>
    <x v="1"/>
    <x v="2"/>
    <x v="3"/>
    <x v="2"/>
    <x v="2"/>
    <x v="1"/>
    <x v="1"/>
    <x v="0"/>
    <n v="0"/>
    <n v="0"/>
    <n v="32.19"/>
    <n v="32.19"/>
    <n v="32.19"/>
    <n v="32.19"/>
    <n v="64"/>
    <s v="CATIVO"/>
    <n v="0"/>
    <n v="0"/>
    <n v="20"/>
    <n v="60"/>
    <n v="0"/>
    <n v="112.15"/>
    <n v="69.66"/>
    <m/>
    <n v="135.19523572213743"/>
    <n v="71.933154536143064"/>
    <n v="0"/>
    <n v="10869.275400000002"/>
    <n v="0"/>
    <n v="12382.431067340376"/>
    <x v="4"/>
  </r>
  <r>
    <s v="Sistema de Compensação"/>
    <x v="1"/>
    <x v="2"/>
    <x v="3"/>
    <x v="2"/>
    <x v="2"/>
    <x v="1"/>
    <x v="1"/>
    <x v="0"/>
    <n v="0"/>
    <n v="0"/>
    <n v="0.06"/>
    <n v="0.06"/>
    <n v="0.06"/>
    <n v="0.06"/>
    <n v="1"/>
    <s v="CATIVO"/>
    <n v="0"/>
    <n v="0"/>
    <n v="20"/>
    <n v="60"/>
    <n v="0"/>
    <n v="112.15"/>
    <n v="69.66"/>
    <m/>
    <n v="135.19523572213743"/>
    <n v="71.933154536143064"/>
    <n v="0"/>
    <n v="20.259600000000002"/>
    <n v="0"/>
    <n v="23.080020628779824"/>
    <x v="4"/>
  </r>
  <r>
    <s v="Regular"/>
    <x v="1"/>
    <x v="2"/>
    <x v="3"/>
    <x v="2"/>
    <x v="2"/>
    <x v="1"/>
    <x v="1"/>
    <x v="1"/>
    <n v="0"/>
    <n v="0"/>
    <n v="32.31"/>
    <n v="32.31"/>
    <n v="32.31"/>
    <n v="32.31"/>
    <n v="63"/>
    <s v="CATIVO"/>
    <n v="0"/>
    <n v="0"/>
    <n v="20"/>
    <n v="60"/>
    <n v="0"/>
    <n v="112.15"/>
    <n v="69.66"/>
    <m/>
    <n v="135.19523572213743"/>
    <n v="71.933154536143064"/>
    <n v="0"/>
    <n v="10909.794600000003"/>
    <n v="0"/>
    <n v="12428.591108597937"/>
    <x v="4"/>
  </r>
  <r>
    <s v="Sistema de Compensação"/>
    <x v="1"/>
    <x v="2"/>
    <x v="3"/>
    <x v="2"/>
    <x v="2"/>
    <x v="1"/>
    <x v="1"/>
    <x v="1"/>
    <n v="0"/>
    <n v="0"/>
    <n v="0.03"/>
    <n v="0.03"/>
    <n v="0.03"/>
    <n v="0.03"/>
    <n v="1"/>
    <s v="CATIVO"/>
    <n v="0"/>
    <n v="0"/>
    <n v="20"/>
    <n v="60"/>
    <n v="0"/>
    <n v="112.15"/>
    <n v="69.66"/>
    <m/>
    <n v="135.19523572213743"/>
    <n v="71.933154536143064"/>
    <n v="0"/>
    <n v="10.129800000000001"/>
    <n v="0"/>
    <n v="11.540010314389912"/>
    <x v="4"/>
  </r>
  <r>
    <s v="Regular"/>
    <x v="1"/>
    <x v="2"/>
    <x v="3"/>
    <x v="2"/>
    <x v="2"/>
    <x v="1"/>
    <x v="1"/>
    <x v="2"/>
    <n v="0"/>
    <n v="0"/>
    <n v="32.58"/>
    <n v="32.58"/>
    <n v="32.58"/>
    <n v="32.58"/>
    <n v="51"/>
    <s v="CATIVO"/>
    <n v="0"/>
    <n v="0"/>
    <n v="20"/>
    <n v="60"/>
    <n v="0"/>
    <n v="112.15"/>
    <n v="69.66"/>
    <m/>
    <n v="135.19523572213743"/>
    <n v="71.933154536143064"/>
    <n v="0"/>
    <n v="11000.962800000003"/>
    <n v="0"/>
    <n v="12532.451201427444"/>
    <x v="4"/>
  </r>
  <r>
    <s v="Sistema de Compensação"/>
    <x v="1"/>
    <x v="2"/>
    <x v="3"/>
    <x v="2"/>
    <x v="2"/>
    <x v="1"/>
    <x v="1"/>
    <x v="2"/>
    <n v="0"/>
    <n v="0"/>
    <n v="0.03"/>
    <n v="0.03"/>
    <n v="0.03"/>
    <n v="0.03"/>
    <n v="1"/>
    <s v="CATIVO"/>
    <n v="0"/>
    <n v="0"/>
    <n v="20"/>
    <n v="60"/>
    <n v="0"/>
    <n v="112.15"/>
    <n v="69.66"/>
    <m/>
    <n v="135.19523572213743"/>
    <n v="71.933154536143064"/>
    <n v="0"/>
    <n v="10.129800000000001"/>
    <n v="0"/>
    <n v="11.540010314389912"/>
    <x v="4"/>
  </r>
  <r>
    <s v="Regular"/>
    <x v="1"/>
    <x v="2"/>
    <x v="3"/>
    <x v="2"/>
    <x v="2"/>
    <x v="1"/>
    <x v="1"/>
    <x v="3"/>
    <n v="0"/>
    <n v="0"/>
    <n v="32.700000000000003"/>
    <n v="32.700000000000003"/>
    <n v="32.700000000000003"/>
    <n v="32.700000000000003"/>
    <n v="53"/>
    <s v="CATIVO"/>
    <n v="0"/>
    <n v="0"/>
    <n v="20"/>
    <n v="60"/>
    <n v="0"/>
    <n v="112.15"/>
    <n v="69.66"/>
    <m/>
    <n v="135.19523572213743"/>
    <n v="71.933154536143064"/>
    <n v="0"/>
    <n v="11041.482000000004"/>
    <n v="0"/>
    <n v="12578.611242685007"/>
    <x v="4"/>
  </r>
  <r>
    <s v="Sistema de Compensação"/>
    <x v="1"/>
    <x v="2"/>
    <x v="3"/>
    <x v="2"/>
    <x v="2"/>
    <x v="1"/>
    <x v="1"/>
    <x v="3"/>
    <n v="0"/>
    <n v="0"/>
    <n v="0.03"/>
    <n v="0.03"/>
    <n v="0.03"/>
    <n v="0.03"/>
    <n v="1"/>
    <s v="CATIVO"/>
    <n v="0"/>
    <n v="0"/>
    <n v="20"/>
    <n v="60"/>
    <n v="0"/>
    <n v="112.15"/>
    <n v="69.66"/>
    <m/>
    <n v="135.19523572213743"/>
    <n v="71.933154536143064"/>
    <n v="0"/>
    <n v="10.129800000000001"/>
    <n v="0"/>
    <n v="11.540010314389912"/>
    <x v="4"/>
  </r>
  <r>
    <s v="Regular"/>
    <x v="1"/>
    <x v="2"/>
    <x v="3"/>
    <x v="2"/>
    <x v="2"/>
    <x v="1"/>
    <x v="1"/>
    <x v="4"/>
    <n v="0"/>
    <n v="0"/>
    <n v="32.880000000000003"/>
    <n v="32.880000000000003"/>
    <n v="32.880000000000003"/>
    <n v="32.880000000000003"/>
    <n v="43"/>
    <s v="CATIVO"/>
    <n v="0"/>
    <n v="0"/>
    <n v="20"/>
    <n v="60"/>
    <n v="0"/>
    <n v="112.15"/>
    <n v="69.66"/>
    <m/>
    <n v="135.19523572213743"/>
    <n v="71.933154536143064"/>
    <n v="0"/>
    <n v="11102.260800000004"/>
    <n v="0"/>
    <n v="12647.851304571346"/>
    <x v="4"/>
  </r>
  <r>
    <s v="Sistema de Compensação"/>
    <x v="1"/>
    <x v="2"/>
    <x v="3"/>
    <x v="2"/>
    <x v="2"/>
    <x v="1"/>
    <x v="1"/>
    <x v="4"/>
    <n v="0"/>
    <n v="0"/>
    <n v="0.03"/>
    <n v="0.03"/>
    <n v="0.03"/>
    <n v="0.03"/>
    <n v="1"/>
    <s v="CATIVO"/>
    <n v="0"/>
    <n v="0"/>
    <n v="20"/>
    <n v="60"/>
    <n v="0"/>
    <n v="112.15"/>
    <n v="69.66"/>
    <m/>
    <n v="135.19523572213743"/>
    <n v="71.933154536143064"/>
    <n v="0"/>
    <n v="10.129800000000001"/>
    <n v="0"/>
    <n v="11.540010314389912"/>
    <x v="4"/>
  </r>
  <r>
    <s v="Regular"/>
    <x v="1"/>
    <x v="2"/>
    <x v="3"/>
    <x v="2"/>
    <x v="2"/>
    <x v="1"/>
    <x v="1"/>
    <x v="5"/>
    <n v="0"/>
    <n v="0"/>
    <n v="33.526000000000003"/>
    <n v="33.526000000000003"/>
    <n v="33.526000000000003"/>
    <n v="33.526000000000003"/>
    <n v="45"/>
    <s v="CATIVO"/>
    <n v="0"/>
    <n v="0"/>
    <n v="20"/>
    <n v="60"/>
    <n v="0"/>
    <n v="112.15"/>
    <n v="69.66"/>
    <m/>
    <n v="135.19523572213743"/>
    <n v="71.933154536143064"/>
    <n v="0"/>
    <n v="11320.389160000004"/>
    <n v="0"/>
    <n v="12896.346193341209"/>
    <x v="4"/>
  </r>
  <r>
    <s v="Sistema de Compensação"/>
    <x v="1"/>
    <x v="2"/>
    <x v="3"/>
    <x v="2"/>
    <x v="2"/>
    <x v="1"/>
    <x v="1"/>
    <x v="5"/>
    <n v="0"/>
    <n v="0"/>
    <n v="0.03"/>
    <n v="1.0500000000000001E-2"/>
    <n v="0.03"/>
    <n v="1.0500000000000001E-2"/>
    <n v="0"/>
    <s v="CATIVO"/>
    <n v="0"/>
    <n v="0"/>
    <n v="20"/>
    <n v="60"/>
    <n v="0"/>
    <n v="112.15"/>
    <n v="69.66"/>
    <m/>
    <n v="135.19523572213743"/>
    <n v="71.933154536143064"/>
    <n v="0"/>
    <n v="13.675095000000001"/>
    <n v="0"/>
    <n v="15.579013924426381"/>
    <x v="4"/>
  </r>
  <r>
    <s v="Regular"/>
    <x v="1"/>
    <x v="2"/>
    <x v="3"/>
    <x v="2"/>
    <x v="2"/>
    <x v="1"/>
    <x v="1"/>
    <x v="6"/>
    <n v="0"/>
    <n v="0"/>
    <n v="33.99"/>
    <n v="33.99"/>
    <n v="33.99"/>
    <n v="33.99"/>
    <n v="44"/>
    <s v="CATIVO"/>
    <n v="0"/>
    <n v="0"/>
    <n v="20"/>
    <n v="60"/>
    <n v="0"/>
    <n v="112.15"/>
    <n v="69.66"/>
    <m/>
    <n v="135.19523572213743"/>
    <n v="71.933154536143064"/>
    <n v="0"/>
    <n v="11477.063400000003"/>
    <n v="0"/>
    <n v="13074.831686203772"/>
    <x v="4"/>
  </r>
  <r>
    <s v="Sistema de Compensação"/>
    <x v="1"/>
    <x v="2"/>
    <x v="3"/>
    <x v="2"/>
    <x v="2"/>
    <x v="1"/>
    <x v="1"/>
    <x v="6"/>
    <n v="0"/>
    <n v="0"/>
    <n v="0.03"/>
    <n v="1.0500000000000001E-2"/>
    <n v="0.03"/>
    <n v="1.0500000000000001E-2"/>
    <n v="0"/>
    <s v="CATIVO"/>
    <n v="0"/>
    <n v="0"/>
    <n v="20"/>
    <n v="60"/>
    <n v="0"/>
    <n v="112.15"/>
    <n v="69.66"/>
    <m/>
    <n v="135.19523572213743"/>
    <n v="71.933154536143064"/>
    <n v="0"/>
    <n v="13.675095000000001"/>
    <n v="0"/>
    <n v="15.579013924426381"/>
    <x v="4"/>
  </r>
  <r>
    <s v="Regular"/>
    <x v="1"/>
    <x v="2"/>
    <x v="3"/>
    <x v="2"/>
    <x v="2"/>
    <x v="1"/>
    <x v="1"/>
    <x v="7"/>
    <n v="0"/>
    <n v="0"/>
    <n v="34.17"/>
    <n v="34.17"/>
    <n v="34.17"/>
    <n v="34.17"/>
    <n v="35"/>
    <s v="CATIVO"/>
    <n v="0"/>
    <n v="0"/>
    <n v="20"/>
    <n v="60"/>
    <n v="0"/>
    <n v="112.15"/>
    <n v="69.66"/>
    <m/>
    <n v="135.19523572213743"/>
    <n v="71.933154536143064"/>
    <n v="0"/>
    <n v="11537.842200000003"/>
    <n v="0"/>
    <n v="13144.071748090111"/>
    <x v="4"/>
  </r>
  <r>
    <s v="Sistema de Compensação"/>
    <x v="1"/>
    <x v="2"/>
    <x v="3"/>
    <x v="2"/>
    <x v="2"/>
    <x v="1"/>
    <x v="1"/>
    <x v="7"/>
    <n v="0"/>
    <n v="0"/>
    <n v="0.03"/>
    <n v="1.0500000000000001E-2"/>
    <n v="0.03"/>
    <n v="1.0500000000000001E-2"/>
    <n v="0"/>
    <s v="CATIVO"/>
    <n v="0"/>
    <n v="0"/>
    <n v="20"/>
    <n v="60"/>
    <n v="0"/>
    <n v="112.15"/>
    <n v="69.66"/>
    <m/>
    <n v="135.19523572213743"/>
    <n v="71.933154536143064"/>
    <n v="0"/>
    <n v="13.675095000000001"/>
    <n v="0"/>
    <n v="15.579013924426381"/>
    <x v="4"/>
  </r>
  <r>
    <s v="Regular"/>
    <x v="1"/>
    <x v="2"/>
    <x v="3"/>
    <x v="2"/>
    <x v="2"/>
    <x v="1"/>
    <x v="1"/>
    <x v="8"/>
    <n v="0"/>
    <n v="0"/>
    <n v="34.92"/>
    <n v="34.92"/>
    <n v="34.92"/>
    <n v="34.92"/>
    <n v="42"/>
    <s v="CATIVO"/>
    <n v="0"/>
    <n v="0"/>
    <n v="20"/>
    <n v="60"/>
    <n v="0"/>
    <n v="112.15"/>
    <n v="69.66"/>
    <m/>
    <n v="135.19523572213743"/>
    <n v="71.933154536143064"/>
    <n v="0"/>
    <n v="11791.087200000004"/>
    <n v="0"/>
    <n v="13432.57200594986"/>
    <x v="4"/>
  </r>
  <r>
    <s v="Sistema de Compensação"/>
    <x v="1"/>
    <x v="2"/>
    <x v="3"/>
    <x v="2"/>
    <x v="2"/>
    <x v="1"/>
    <x v="1"/>
    <x v="8"/>
    <n v="0"/>
    <n v="0"/>
    <n v="0.03"/>
    <n v="1.0500000000000001E-2"/>
    <n v="0.03"/>
    <n v="1.0500000000000001E-2"/>
    <n v="0"/>
    <s v="CATIVO"/>
    <n v="0"/>
    <n v="0"/>
    <n v="20"/>
    <n v="60"/>
    <n v="0"/>
    <n v="112.15"/>
    <n v="69.66"/>
    <m/>
    <n v="135.19523572213743"/>
    <n v="71.933154536143064"/>
    <n v="0"/>
    <n v="13.675095000000001"/>
    <n v="0"/>
    <n v="15.579013924426381"/>
    <x v="4"/>
  </r>
  <r>
    <s v="Regular"/>
    <x v="1"/>
    <x v="2"/>
    <x v="3"/>
    <x v="2"/>
    <x v="2"/>
    <x v="1"/>
    <x v="1"/>
    <x v="9"/>
    <n v="0"/>
    <n v="0"/>
    <n v="35.58"/>
    <n v="35.58"/>
    <n v="35.58"/>
    <n v="35.58"/>
    <n v="40"/>
    <s v="CATIVO"/>
    <n v="0"/>
    <n v="0"/>
    <n v="20"/>
    <n v="60"/>
    <n v="0"/>
    <n v="112.15"/>
    <n v="69.66"/>
    <m/>
    <n v="135.19523572213743"/>
    <n v="71.933154536143064"/>
    <n v="0"/>
    <n v="12013.942800000003"/>
    <n v="0"/>
    <n v="13686.452232866435"/>
    <x v="4"/>
  </r>
  <r>
    <s v="Sistema de Compensação"/>
    <x v="1"/>
    <x v="2"/>
    <x v="3"/>
    <x v="2"/>
    <x v="2"/>
    <x v="1"/>
    <x v="1"/>
    <x v="9"/>
    <n v="0"/>
    <n v="0"/>
    <n v="0.03"/>
    <n v="1.0500000000000001E-2"/>
    <n v="0.03"/>
    <n v="1.0500000000000001E-2"/>
    <n v="0"/>
    <s v="CATIVO"/>
    <n v="0"/>
    <n v="0"/>
    <n v="20"/>
    <n v="60"/>
    <n v="0"/>
    <n v="112.15"/>
    <n v="69.66"/>
    <m/>
    <n v="135.19523572213743"/>
    <n v="71.933154536143064"/>
    <n v="0"/>
    <n v="13.675095000000001"/>
    <n v="0"/>
    <n v="15.579013924426381"/>
    <x v="4"/>
  </r>
  <r>
    <s v="Regular"/>
    <x v="1"/>
    <x v="2"/>
    <x v="3"/>
    <x v="2"/>
    <x v="2"/>
    <x v="1"/>
    <x v="1"/>
    <x v="10"/>
    <n v="0"/>
    <n v="0"/>
    <n v="45.710999999999999"/>
    <n v="45.710999999999999"/>
    <n v="45.710999999999999"/>
    <n v="45.710999999999999"/>
    <n v="70"/>
    <s v="CATIVO"/>
    <n v="0"/>
    <n v="0"/>
    <n v="20"/>
    <n v="60"/>
    <n v="0"/>
    <n v="112.15"/>
    <n v="69.66"/>
    <m/>
    <n v="135.19523572213743"/>
    <n v="71.933154536143064"/>
    <n v="0"/>
    <n v="15434.776260000002"/>
    <n v="0"/>
    <n v="17583.513716035908"/>
    <x v="4"/>
  </r>
  <r>
    <s v="Sistema de Compensação"/>
    <x v="1"/>
    <x v="2"/>
    <x v="3"/>
    <x v="2"/>
    <x v="2"/>
    <x v="1"/>
    <x v="1"/>
    <x v="10"/>
    <n v="0"/>
    <n v="0"/>
    <n v="0.03"/>
    <n v="1.0500000000000001E-2"/>
    <n v="0.03"/>
    <n v="1.0500000000000001E-2"/>
    <n v="0"/>
    <s v="CATIVO"/>
    <n v="0"/>
    <n v="0"/>
    <n v="20"/>
    <n v="60"/>
    <n v="0"/>
    <n v="112.15"/>
    <n v="69.66"/>
    <m/>
    <n v="135.19523572213743"/>
    <n v="71.933154536143064"/>
    <n v="0"/>
    <n v="13.675095000000001"/>
    <n v="0"/>
    <n v="15.579013924426381"/>
    <x v="4"/>
  </r>
  <r>
    <s v="Regular"/>
    <x v="1"/>
    <x v="2"/>
    <x v="3"/>
    <x v="2"/>
    <x v="2"/>
    <x v="1"/>
    <x v="1"/>
    <x v="11"/>
    <n v="0"/>
    <n v="0"/>
    <n v="44.174999999999997"/>
    <n v="44.174999999999997"/>
    <n v="44.174999999999997"/>
    <n v="44.174999999999997"/>
    <n v="59"/>
    <s v="CATIVO"/>
    <n v="0"/>
    <n v="0"/>
    <n v="20"/>
    <n v="60"/>
    <n v="0"/>
    <n v="112.15"/>
    <n v="69.66"/>
    <m/>
    <n v="135.19523572213743"/>
    <n v="71.933154536143064"/>
    <n v="0"/>
    <n v="14916.130500000003"/>
    <n v="0"/>
    <n v="16992.665187939147"/>
    <x v="4"/>
  </r>
  <r>
    <s v="Sistema de Compensação"/>
    <x v="1"/>
    <x v="2"/>
    <x v="3"/>
    <x v="2"/>
    <x v="2"/>
    <x v="1"/>
    <x v="1"/>
    <x v="11"/>
    <n v="0"/>
    <n v="0"/>
    <n v="0.03"/>
    <n v="-8.9999999999999993E-3"/>
    <n v="0.03"/>
    <n v="-8.9999999999999993E-3"/>
    <n v="0"/>
    <s v="CATIVO"/>
    <n v="0"/>
    <n v="0"/>
    <n v="20"/>
    <n v="60"/>
    <n v="0"/>
    <n v="112.15"/>
    <n v="69.66"/>
    <m/>
    <n v="135.19523572213743"/>
    <n v="71.933154536143064"/>
    <n v="0"/>
    <n v="17.220390000000002"/>
    <n v="0"/>
    <n v="19.618017534462851"/>
    <x v="4"/>
  </r>
  <r>
    <s v="Regular"/>
    <x v="1"/>
    <x v="2"/>
    <x v="3"/>
    <x v="3"/>
    <x v="2"/>
    <x v="1"/>
    <x v="1"/>
    <x v="0"/>
    <n v="0"/>
    <n v="0"/>
    <n v="62.991"/>
    <n v="62.991"/>
    <n v="62.991"/>
    <n v="62.991"/>
    <n v="268"/>
    <s v="CATIVO"/>
    <n v="0"/>
    <n v="0"/>
    <n v="21"/>
    <n v="61"/>
    <n v="0"/>
    <n v="192.27"/>
    <n v="119.42"/>
    <m/>
    <n v="231.76326123794988"/>
    <n v="123.31397920481668"/>
    <n v="0"/>
    <n v="13088.269980000001"/>
    <n v="0"/>
    <n v="14911.113635153539"/>
    <x v="4"/>
  </r>
  <r>
    <s v="Refaturamento - Regular"/>
    <x v="1"/>
    <x v="2"/>
    <x v="3"/>
    <x v="3"/>
    <x v="2"/>
    <x v="1"/>
    <x v="1"/>
    <x v="0"/>
    <n v="0"/>
    <n v="0"/>
    <n v="-6.6000000000000003E-2"/>
    <n v="-6.6000000000000003E-2"/>
    <n v="-6.6000000000000003E-2"/>
    <n v="-6.6000000000000003E-2"/>
    <n v="0"/>
    <s v="CATIVO"/>
    <n v="0"/>
    <n v="0"/>
    <n v="21"/>
    <n v="61"/>
    <n v="0"/>
    <n v="192.27"/>
    <n v="119.42"/>
    <m/>
    <n v="231.76326123794988"/>
    <n v="123.31397920481668"/>
    <n v="0"/>
    <n v="-13.713480000000002"/>
    <n v="0"/>
    <n v="-15.62339857948173"/>
    <x v="4"/>
  </r>
  <r>
    <s v="Sistema de Compensação"/>
    <x v="1"/>
    <x v="2"/>
    <x v="3"/>
    <x v="3"/>
    <x v="2"/>
    <x v="1"/>
    <x v="1"/>
    <x v="0"/>
    <n v="0"/>
    <n v="0"/>
    <n v="0.14000000000000001"/>
    <n v="0.14000000000000001"/>
    <n v="0.14000000000000001"/>
    <n v="0.14000000000000001"/>
    <n v="0"/>
    <s v="CATIVO"/>
    <n v="0"/>
    <n v="0"/>
    <n v="21"/>
    <n v="61"/>
    <n v="0"/>
    <n v="192.27"/>
    <n v="119.42"/>
    <m/>
    <n v="231.76326123794988"/>
    <n v="123.31397920481668"/>
    <n v="0"/>
    <n v="29.089200000000005"/>
    <n v="0"/>
    <n v="33.140542441324882"/>
    <x v="4"/>
  </r>
  <r>
    <s v="Regular"/>
    <x v="1"/>
    <x v="2"/>
    <x v="3"/>
    <x v="3"/>
    <x v="2"/>
    <x v="1"/>
    <x v="1"/>
    <x v="1"/>
    <n v="0"/>
    <n v="0"/>
    <n v="64.536000000000001"/>
    <n v="64.536000000000001"/>
    <n v="64.536000000000001"/>
    <n v="64.536000000000001"/>
    <n v="215"/>
    <s v="CATIVO"/>
    <n v="0"/>
    <n v="0"/>
    <n v="21"/>
    <n v="61"/>
    <n v="0"/>
    <n v="192.27"/>
    <n v="119.42"/>
    <m/>
    <n v="231.76326123794988"/>
    <n v="123.31397920481668"/>
    <n v="0"/>
    <n v="13409.290080000002"/>
    <n v="0"/>
    <n v="15276.843192809589"/>
    <x v="4"/>
  </r>
  <r>
    <s v="Refaturamento - Regular"/>
    <x v="1"/>
    <x v="2"/>
    <x v="3"/>
    <x v="3"/>
    <x v="2"/>
    <x v="1"/>
    <x v="1"/>
    <x v="1"/>
    <n v="0"/>
    <n v="0"/>
    <n v="0.14000000000000001"/>
    <n v="0.14000000000000001"/>
    <n v="0.14000000000000001"/>
    <n v="0.14000000000000001"/>
    <n v="0"/>
    <s v="CATIVO"/>
    <n v="0"/>
    <n v="0"/>
    <n v="21"/>
    <n v="61"/>
    <n v="0"/>
    <n v="192.27"/>
    <n v="119.42"/>
    <m/>
    <n v="231.76326123794988"/>
    <n v="123.31397920481668"/>
    <n v="0"/>
    <n v="29.089200000000005"/>
    <n v="0"/>
    <n v="33.140542441324882"/>
    <x v="4"/>
  </r>
  <r>
    <s v="Sistema de Compensação"/>
    <x v="1"/>
    <x v="2"/>
    <x v="3"/>
    <x v="3"/>
    <x v="2"/>
    <x v="1"/>
    <x v="1"/>
    <x v="1"/>
    <n v="0"/>
    <n v="0"/>
    <n v="6.2E-2"/>
    <n v="6.2E-2"/>
    <n v="6.2E-2"/>
    <n v="6.2E-2"/>
    <n v="0"/>
    <s v="CATIVO"/>
    <n v="0"/>
    <n v="0"/>
    <n v="21"/>
    <n v="61"/>
    <n v="0"/>
    <n v="192.27"/>
    <n v="119.42"/>
    <m/>
    <n v="231.76326123794988"/>
    <n v="123.31397920481668"/>
    <n v="0"/>
    <n v="12.882360000000002"/>
    <n v="0"/>
    <n v="14.676525938301017"/>
    <x v="4"/>
  </r>
  <r>
    <s v="Regular"/>
    <x v="1"/>
    <x v="2"/>
    <x v="3"/>
    <x v="3"/>
    <x v="2"/>
    <x v="1"/>
    <x v="1"/>
    <x v="2"/>
    <n v="0"/>
    <n v="0"/>
    <n v="65.968999999999994"/>
    <n v="65.968999999999994"/>
    <n v="65.968999999999994"/>
    <n v="65.968999999999994"/>
    <n v="234"/>
    <s v="CATIVO"/>
    <n v="0"/>
    <n v="0"/>
    <n v="21"/>
    <n v="61"/>
    <n v="0"/>
    <n v="192.27"/>
    <n v="119.42"/>
    <m/>
    <n v="231.76326123794988"/>
    <n v="123.31397920481668"/>
    <n v="0"/>
    <n v="13707.038820000002"/>
    <n v="0"/>
    <n v="15616.060316512578"/>
    <x v="4"/>
  </r>
  <r>
    <s v="Sistema de Compensação"/>
    <x v="1"/>
    <x v="2"/>
    <x v="3"/>
    <x v="3"/>
    <x v="2"/>
    <x v="1"/>
    <x v="1"/>
    <x v="2"/>
    <n v="0"/>
    <n v="0"/>
    <n v="7.0000000000000007E-2"/>
    <n v="7.0000000000000007E-2"/>
    <n v="7.0000000000000007E-2"/>
    <n v="7.0000000000000007E-2"/>
    <n v="0"/>
    <s v="CATIVO"/>
    <n v="0"/>
    <n v="0"/>
    <n v="21"/>
    <n v="61"/>
    <n v="0"/>
    <n v="192.27"/>
    <n v="119.42"/>
    <m/>
    <n v="231.76326123794988"/>
    <n v="123.31397920481668"/>
    <n v="0"/>
    <n v="14.544600000000003"/>
    <n v="0"/>
    <n v="16.570271220662441"/>
    <x v="4"/>
  </r>
  <r>
    <s v="Regular"/>
    <x v="1"/>
    <x v="2"/>
    <x v="3"/>
    <x v="3"/>
    <x v="2"/>
    <x v="1"/>
    <x v="1"/>
    <x v="3"/>
    <n v="0"/>
    <n v="0"/>
    <n v="67.483999999999995"/>
    <n v="67.483999999999995"/>
    <n v="67.483999999999995"/>
    <n v="67.483999999999995"/>
    <n v="198"/>
    <s v="CATIVO"/>
    <n v="0"/>
    <n v="0"/>
    <n v="21"/>
    <n v="61"/>
    <n v="0"/>
    <n v="192.27"/>
    <n v="119.42"/>
    <m/>
    <n v="231.76326123794988"/>
    <n v="123.31397920481668"/>
    <n v="0"/>
    <n v="14021.82552"/>
    <n v="0"/>
    <n v="15974.688329359771"/>
    <x v="4"/>
  </r>
  <r>
    <s v="Sistema de Compensação"/>
    <x v="1"/>
    <x v="2"/>
    <x v="3"/>
    <x v="3"/>
    <x v="2"/>
    <x v="1"/>
    <x v="1"/>
    <x v="3"/>
    <n v="0"/>
    <n v="0"/>
    <n v="7.0000000000000007E-2"/>
    <n v="7.0000000000000007E-2"/>
    <n v="7.0000000000000007E-2"/>
    <n v="7.0000000000000007E-2"/>
    <n v="0"/>
    <s v="CATIVO"/>
    <n v="0"/>
    <n v="0"/>
    <n v="21"/>
    <n v="61"/>
    <n v="0"/>
    <n v="192.27"/>
    <n v="119.42"/>
    <m/>
    <n v="231.76326123794988"/>
    <n v="123.31397920481668"/>
    <n v="0"/>
    <n v="14.544600000000003"/>
    <n v="0"/>
    <n v="16.570271220662441"/>
    <x v="4"/>
  </r>
  <r>
    <s v="Regular"/>
    <x v="1"/>
    <x v="2"/>
    <x v="3"/>
    <x v="3"/>
    <x v="2"/>
    <x v="1"/>
    <x v="1"/>
    <x v="4"/>
    <n v="0"/>
    <n v="0"/>
    <n v="68.765000000000001"/>
    <n v="68.765000000000001"/>
    <n v="68.765000000000001"/>
    <n v="68.765000000000001"/>
    <n v="185"/>
    <s v="CATIVO"/>
    <n v="0"/>
    <n v="0"/>
    <n v="21"/>
    <n v="61"/>
    <n v="0"/>
    <n v="192.27"/>
    <n v="119.42"/>
    <m/>
    <n v="231.76326123794988"/>
    <n v="123.31397920481668"/>
    <n v="0"/>
    <n v="14287.991700000002"/>
    <n v="0"/>
    <n v="16277.924292697895"/>
    <x v="4"/>
  </r>
  <r>
    <s v="Sistema de Compensação"/>
    <x v="1"/>
    <x v="2"/>
    <x v="3"/>
    <x v="3"/>
    <x v="2"/>
    <x v="1"/>
    <x v="1"/>
    <x v="4"/>
    <n v="0"/>
    <n v="0"/>
    <n v="0.14000000000000001"/>
    <n v="0.14000000000000001"/>
    <n v="0.14000000000000001"/>
    <n v="0.14000000000000001"/>
    <n v="0"/>
    <s v="CATIVO"/>
    <n v="0"/>
    <n v="0"/>
    <n v="21"/>
    <n v="61"/>
    <n v="0"/>
    <n v="192.27"/>
    <n v="119.42"/>
    <m/>
    <n v="231.76326123794988"/>
    <n v="123.31397920481668"/>
    <n v="0"/>
    <n v="29.089200000000005"/>
    <n v="0"/>
    <n v="33.140542441324882"/>
    <x v="4"/>
  </r>
  <r>
    <s v="Regular"/>
    <x v="1"/>
    <x v="2"/>
    <x v="3"/>
    <x v="3"/>
    <x v="2"/>
    <x v="1"/>
    <x v="1"/>
    <x v="5"/>
    <n v="0"/>
    <n v="0"/>
    <n v="70.614000000000004"/>
    <n v="70.614000000000004"/>
    <n v="70.614000000000004"/>
    <n v="70.614000000000004"/>
    <n v="162"/>
    <s v="CATIVO"/>
    <n v="0"/>
    <n v="0"/>
    <n v="21"/>
    <n v="61"/>
    <n v="0"/>
    <n v="192.27"/>
    <n v="119.42"/>
    <m/>
    <n v="231.76326123794988"/>
    <n v="123.31397920481668"/>
    <n v="0"/>
    <n v="14672.176920000004"/>
    <n v="0"/>
    <n v="16715.616171083679"/>
    <x v="4"/>
  </r>
  <r>
    <s v="Sistema de Compensação"/>
    <x v="1"/>
    <x v="2"/>
    <x v="3"/>
    <x v="3"/>
    <x v="2"/>
    <x v="1"/>
    <x v="1"/>
    <x v="5"/>
    <n v="0"/>
    <n v="0"/>
    <n v="3.1E-2"/>
    <n v="1.8599999999999998E-2"/>
    <n v="3.1E-2"/>
    <n v="1.8599999999999998E-2"/>
    <n v="0"/>
    <s v="CATIVO"/>
    <n v="0"/>
    <n v="0"/>
    <n v="21"/>
    <n v="61"/>
    <n v="0"/>
    <n v="192.27"/>
    <n v="119.42"/>
    <m/>
    <n v="231.76326123794988"/>
    <n v="123.31397920481668"/>
    <n v="0"/>
    <n v="10.306136000000002"/>
    <n v="0"/>
    <n v="11.741220750640814"/>
    <x v="4"/>
  </r>
  <r>
    <s v="Regular"/>
    <x v="1"/>
    <x v="2"/>
    <x v="3"/>
    <x v="3"/>
    <x v="2"/>
    <x v="1"/>
    <x v="1"/>
    <x v="6"/>
    <n v="0"/>
    <n v="0"/>
    <n v="73.241"/>
    <n v="73.241"/>
    <n v="73.241"/>
    <n v="73.241"/>
    <n v="122"/>
    <s v="CATIVO"/>
    <n v="0"/>
    <n v="0"/>
    <n v="21"/>
    <n v="61"/>
    <n v="0"/>
    <n v="192.27"/>
    <n v="119.42"/>
    <m/>
    <n v="231.76326123794988"/>
    <n v="123.31397920481668"/>
    <n v="0"/>
    <n v="15218.014980000002"/>
    <n v="0"/>
    <n v="17337.474778179112"/>
    <x v="4"/>
  </r>
  <r>
    <s v="Sistema de Compensação"/>
    <x v="1"/>
    <x v="2"/>
    <x v="3"/>
    <x v="3"/>
    <x v="2"/>
    <x v="1"/>
    <x v="1"/>
    <x v="6"/>
    <n v="0"/>
    <n v="0"/>
    <n v="7.0000000000000007E-2"/>
    <n v="4.2000000000000003E-2"/>
    <n v="7.0000000000000007E-2"/>
    <n v="4.2000000000000003E-2"/>
    <n v="0"/>
    <s v="CATIVO"/>
    <n v="0"/>
    <n v="0"/>
    <n v="21"/>
    <n v="61"/>
    <n v="0"/>
    <n v="192.27"/>
    <n v="119.42"/>
    <m/>
    <n v="231.76326123794988"/>
    <n v="123.31397920481668"/>
    <n v="0"/>
    <n v="23.271920000000001"/>
    <n v="0"/>
    <n v="26.512433953059904"/>
    <x v="4"/>
  </r>
  <r>
    <s v="Regular"/>
    <x v="1"/>
    <x v="2"/>
    <x v="3"/>
    <x v="3"/>
    <x v="2"/>
    <x v="1"/>
    <x v="1"/>
    <x v="7"/>
    <n v="0"/>
    <n v="0"/>
    <n v="74.933000000000007"/>
    <n v="74.933000000000007"/>
    <n v="74.933000000000007"/>
    <n v="74.933000000000007"/>
    <n v="103"/>
    <s v="CATIVO"/>
    <n v="0"/>
    <n v="0"/>
    <n v="21"/>
    <n v="61"/>
    <n v="0"/>
    <n v="192.27"/>
    <n v="119.42"/>
    <m/>
    <n v="231.76326123794988"/>
    <n v="123.31397920481668"/>
    <n v="0"/>
    <n v="15569.578740000004"/>
    <n v="0"/>
    <n v="17738.001905398552"/>
    <x v="4"/>
  </r>
  <r>
    <s v="Sistema de Compensação"/>
    <x v="1"/>
    <x v="2"/>
    <x v="3"/>
    <x v="3"/>
    <x v="2"/>
    <x v="1"/>
    <x v="1"/>
    <x v="7"/>
    <n v="0"/>
    <n v="0"/>
    <n v="7.0000000000000007E-2"/>
    <n v="4.2000000000000003E-2"/>
    <n v="7.0000000000000007E-2"/>
    <n v="4.2000000000000003E-2"/>
    <n v="0"/>
    <s v="CATIVO"/>
    <n v="0"/>
    <n v="0"/>
    <n v="21"/>
    <n v="61"/>
    <n v="0"/>
    <n v="192.27"/>
    <n v="119.42"/>
    <m/>
    <n v="231.76326123794988"/>
    <n v="123.31397920481668"/>
    <n v="0"/>
    <n v="23.271920000000001"/>
    <n v="0"/>
    <n v="26.512433953059904"/>
    <x v="4"/>
  </r>
  <r>
    <s v="Regular"/>
    <x v="1"/>
    <x v="2"/>
    <x v="3"/>
    <x v="3"/>
    <x v="2"/>
    <x v="1"/>
    <x v="1"/>
    <x v="8"/>
    <n v="0"/>
    <n v="0"/>
    <n v="75.010000000000005"/>
    <n v="75.010000000000005"/>
    <n v="75.010000000000005"/>
    <n v="75.010000000000005"/>
    <n v="138"/>
    <s v="CATIVO"/>
    <n v="0"/>
    <n v="0"/>
    <n v="21"/>
    <n v="61"/>
    <n v="0"/>
    <n v="192.27"/>
    <n v="119.42"/>
    <m/>
    <n v="231.76326123794988"/>
    <n v="123.31397920481668"/>
    <n v="0"/>
    <n v="15585.577800000003"/>
    <n v="0"/>
    <n v="17756.229203741281"/>
    <x v="4"/>
  </r>
  <r>
    <s v="Sistema de Compensação"/>
    <x v="1"/>
    <x v="2"/>
    <x v="3"/>
    <x v="3"/>
    <x v="2"/>
    <x v="1"/>
    <x v="1"/>
    <x v="8"/>
    <n v="0"/>
    <n v="0"/>
    <n v="7.0000000000000007E-2"/>
    <n v="4.2000000000000003E-2"/>
    <n v="7.0000000000000007E-2"/>
    <n v="4.2000000000000003E-2"/>
    <n v="0"/>
    <s v="CATIVO"/>
    <n v="0"/>
    <n v="0"/>
    <n v="21"/>
    <n v="61"/>
    <n v="0"/>
    <n v="192.27"/>
    <n v="119.42"/>
    <m/>
    <n v="231.76326123794988"/>
    <n v="123.31397920481668"/>
    <n v="0"/>
    <n v="23.271920000000001"/>
    <n v="0"/>
    <n v="26.512433953059904"/>
    <x v="4"/>
  </r>
  <r>
    <s v="Regular"/>
    <x v="1"/>
    <x v="2"/>
    <x v="3"/>
    <x v="3"/>
    <x v="2"/>
    <x v="1"/>
    <x v="1"/>
    <x v="9"/>
    <n v="0"/>
    <n v="0"/>
    <n v="73.043000000000006"/>
    <n v="73.043000000000006"/>
    <n v="73.043000000000006"/>
    <n v="73.043000000000006"/>
    <n v="265"/>
    <s v="CATIVO"/>
    <n v="0"/>
    <n v="0"/>
    <n v="21"/>
    <n v="61"/>
    <n v="0"/>
    <n v="192.27"/>
    <n v="119.42"/>
    <m/>
    <n v="231.76326123794988"/>
    <n v="123.31397920481668"/>
    <n v="0"/>
    <n v="15176.874540000004"/>
    <n v="0"/>
    <n v="17290.604582440668"/>
    <x v="4"/>
  </r>
  <r>
    <s v="Sistema de Compensação"/>
    <x v="1"/>
    <x v="2"/>
    <x v="3"/>
    <x v="3"/>
    <x v="2"/>
    <x v="1"/>
    <x v="1"/>
    <x v="9"/>
    <n v="0"/>
    <n v="0"/>
    <n v="5.8999999999999997E-2"/>
    <n v="3.5400000000000001E-2"/>
    <n v="5.8999999999999997E-2"/>
    <n v="3.5400000000000001E-2"/>
    <n v="0"/>
    <s v="CATIVO"/>
    <n v="0"/>
    <n v="0"/>
    <n v="21"/>
    <n v="61"/>
    <n v="0"/>
    <n v="192.27"/>
    <n v="119.42"/>
    <m/>
    <n v="231.76326123794988"/>
    <n v="123.31397920481668"/>
    <n v="0"/>
    <n v="19.614903999999999"/>
    <n v="0"/>
    <n v="22.346194331864773"/>
    <x v="4"/>
  </r>
  <r>
    <s v="Regular"/>
    <x v="1"/>
    <x v="2"/>
    <x v="3"/>
    <x v="3"/>
    <x v="2"/>
    <x v="1"/>
    <x v="1"/>
    <x v="10"/>
    <n v="0"/>
    <n v="0"/>
    <n v="90.843999999999994"/>
    <n v="90.843999999999994"/>
    <n v="90.843999999999994"/>
    <n v="90.843999999999994"/>
    <n v="370"/>
    <s v="CATIVO"/>
    <n v="0"/>
    <n v="0"/>
    <n v="21"/>
    <n v="61"/>
    <n v="0"/>
    <n v="192.27"/>
    <n v="119.42"/>
    <m/>
    <n v="231.76326123794988"/>
    <n v="123.31397920481668"/>
    <n v="0"/>
    <n v="18875.566320000002"/>
    <n v="0"/>
    <n v="21504.424553855122"/>
    <x v="4"/>
  </r>
  <r>
    <s v="Sistema de Compensação"/>
    <x v="1"/>
    <x v="2"/>
    <x v="3"/>
    <x v="3"/>
    <x v="2"/>
    <x v="1"/>
    <x v="1"/>
    <x v="10"/>
    <n v="0"/>
    <n v="0"/>
    <n v="7.0000000000000007E-2"/>
    <n v="4.2000000000000003E-2"/>
    <n v="7.0000000000000007E-2"/>
    <n v="4.2000000000000003E-2"/>
    <n v="0"/>
    <s v="CATIVO"/>
    <n v="0"/>
    <n v="0"/>
    <n v="21"/>
    <n v="61"/>
    <n v="0"/>
    <n v="192.27"/>
    <n v="119.42"/>
    <m/>
    <n v="231.76326123794988"/>
    <n v="123.31397920481668"/>
    <n v="0"/>
    <n v="23.271920000000001"/>
    <n v="0"/>
    <n v="26.512433953059904"/>
    <x v="4"/>
  </r>
  <r>
    <s v="Regular"/>
    <x v="1"/>
    <x v="2"/>
    <x v="3"/>
    <x v="3"/>
    <x v="2"/>
    <x v="1"/>
    <x v="1"/>
    <x v="11"/>
    <n v="0"/>
    <n v="0"/>
    <n v="88.426000000000002"/>
    <n v="88.426000000000002"/>
    <n v="88.426000000000002"/>
    <n v="88.426000000000002"/>
    <n v="339"/>
    <s v="CATIVO"/>
    <n v="0"/>
    <n v="0"/>
    <n v="21"/>
    <n v="61"/>
    <n v="0"/>
    <n v="192.27"/>
    <n v="119.42"/>
    <m/>
    <n v="231.76326123794988"/>
    <n v="123.31397920481668"/>
    <n v="0"/>
    <n v="18373.154280000002"/>
    <n v="0"/>
    <n v="20932.040042261386"/>
    <x v="4"/>
  </r>
  <r>
    <s v="Sistema de Compensação"/>
    <x v="1"/>
    <x v="2"/>
    <x v="3"/>
    <x v="3"/>
    <x v="2"/>
    <x v="1"/>
    <x v="1"/>
    <x v="11"/>
    <n v="0"/>
    <n v="0"/>
    <n v="7.0000000000000007E-2"/>
    <n v="1.4E-2"/>
    <n v="7.0000000000000007E-2"/>
    <n v="1.4E-2"/>
    <n v="0"/>
    <s v="CATIVO"/>
    <n v="0"/>
    <n v="0"/>
    <n v="21"/>
    <n v="61"/>
    <n v="0"/>
    <n v="192.27"/>
    <n v="119.42"/>
    <m/>
    <n v="231.76326123794988"/>
    <n v="123.31397920481668"/>
    <n v="0"/>
    <n v="31.999240000000004"/>
    <n v="0"/>
    <n v="36.454596685457375"/>
    <x v="4"/>
  </r>
  <r>
    <s v="Regular"/>
    <x v="1"/>
    <x v="2"/>
    <x v="3"/>
    <x v="4"/>
    <x v="2"/>
    <x v="1"/>
    <x v="1"/>
    <x v="0"/>
    <n v="0"/>
    <n v="0"/>
    <n v="52.960999999999999"/>
    <n v="52.960999999999999"/>
    <n v="52.960999999999999"/>
    <n v="52.960999999999999"/>
    <n v="545"/>
    <s v="CATIVO"/>
    <n v="0"/>
    <n v="0"/>
    <n v="22"/>
    <n v="62"/>
    <n v="0"/>
    <n v="288.39999999999998"/>
    <n v="179.13"/>
    <m/>
    <n v="347.64489185692486"/>
    <n v="184.97096880722503"/>
    <n v="0"/>
    <n v="2750.7943400000026"/>
    <n v="0"/>
    <n v="3134.2076218482257"/>
    <x v="4"/>
  </r>
  <r>
    <s v="Refaturamento - Regular"/>
    <x v="1"/>
    <x v="2"/>
    <x v="3"/>
    <x v="4"/>
    <x v="2"/>
    <x v="1"/>
    <x v="1"/>
    <x v="0"/>
    <n v="0"/>
    <n v="0"/>
    <n v="-0.12"/>
    <n v="-0.12"/>
    <n v="-0.12"/>
    <n v="-0.12"/>
    <n v="0"/>
    <s v="CATIVO"/>
    <n v="0"/>
    <n v="0"/>
    <n v="22"/>
    <n v="62"/>
    <n v="0"/>
    <n v="288.39999999999998"/>
    <n v="179.13"/>
    <m/>
    <n v="347.64489185692486"/>
    <n v="184.97096880722503"/>
    <n v="0"/>
    <n v="-6.2328000000000063"/>
    <n v="0"/>
    <n v="-7.101544808855329"/>
    <x v="4"/>
  </r>
  <r>
    <s v="Sistema de Compensação"/>
    <x v="1"/>
    <x v="2"/>
    <x v="3"/>
    <x v="4"/>
    <x v="2"/>
    <x v="1"/>
    <x v="1"/>
    <x v="0"/>
    <n v="0"/>
    <n v="0"/>
    <n v="4.3999999999999997E-2"/>
    <n v="4.3999999999999997E-2"/>
    <n v="4.3999999999999997E-2"/>
    <n v="4.3999999999999997E-2"/>
    <n v="0"/>
    <s v="CATIVO"/>
    <n v="0"/>
    <n v="0"/>
    <n v="22"/>
    <n v="62"/>
    <n v="0"/>
    <n v="288.39999999999998"/>
    <n v="179.13"/>
    <m/>
    <n v="347.64489185692486"/>
    <n v="184.97096880722503"/>
    <n v="0"/>
    <n v="2.2853600000000021"/>
    <n v="0"/>
    <n v="2.6038997632469538"/>
    <x v="4"/>
  </r>
  <r>
    <s v="Regular"/>
    <x v="1"/>
    <x v="2"/>
    <x v="3"/>
    <x v="4"/>
    <x v="2"/>
    <x v="1"/>
    <x v="1"/>
    <x v="1"/>
    <n v="0"/>
    <n v="0"/>
    <n v="61.317999999999998"/>
    <n v="61.317999999999998"/>
    <n v="61.317999999999998"/>
    <n v="61.317999999999998"/>
    <n v="566"/>
    <s v="CATIVO"/>
    <n v="0"/>
    <n v="0"/>
    <n v="22"/>
    <n v="62"/>
    <n v="0"/>
    <n v="288.39999999999998"/>
    <n v="179.13"/>
    <m/>
    <n v="347.64489185692486"/>
    <n v="184.97096880722503"/>
    <n v="0"/>
    <n v="3184.8569200000034"/>
    <n v="0"/>
    <n v="3628.7710382449259"/>
    <x v="4"/>
  </r>
  <r>
    <s v="Refaturamento - Regular"/>
    <x v="1"/>
    <x v="2"/>
    <x v="3"/>
    <x v="4"/>
    <x v="2"/>
    <x v="1"/>
    <x v="1"/>
    <x v="1"/>
    <n v="0"/>
    <n v="0"/>
    <n v="0.23799999999999999"/>
    <n v="0.23799999999999999"/>
    <n v="0.23799999999999999"/>
    <n v="0.23799999999999999"/>
    <n v="0"/>
    <s v="CATIVO"/>
    <n v="0"/>
    <n v="0"/>
    <n v="22"/>
    <n v="62"/>
    <n v="0"/>
    <n v="288.39999999999998"/>
    <n v="179.13"/>
    <m/>
    <n v="347.64489185692486"/>
    <n v="184.97096880722503"/>
    <n v="0"/>
    <n v="12.361720000000012"/>
    <n v="0"/>
    <n v="14.08473053756307"/>
    <x v="4"/>
  </r>
  <r>
    <s v="Regular"/>
    <x v="1"/>
    <x v="2"/>
    <x v="3"/>
    <x v="4"/>
    <x v="2"/>
    <x v="1"/>
    <x v="1"/>
    <x v="2"/>
    <n v="0"/>
    <n v="0"/>
    <n v="58.665999999999997"/>
    <n v="58.665999999999997"/>
    <n v="58.665999999999997"/>
    <n v="58.665999999999997"/>
    <n v="579"/>
    <s v="CATIVO"/>
    <n v="0"/>
    <n v="0"/>
    <n v="22"/>
    <n v="62"/>
    <n v="0"/>
    <n v="288.39999999999998"/>
    <n v="179.13"/>
    <m/>
    <n v="347.64489185692486"/>
    <n v="184.97096880722503"/>
    <n v="0"/>
    <n v="3047.1120400000032"/>
    <n v="0"/>
    <n v="3471.826897969223"/>
    <x v="4"/>
  </r>
  <r>
    <s v="Sistema de Compensação"/>
    <x v="1"/>
    <x v="2"/>
    <x v="3"/>
    <x v="4"/>
    <x v="2"/>
    <x v="1"/>
    <x v="1"/>
    <x v="2"/>
    <n v="0"/>
    <n v="0"/>
    <n v="3.0000000000000001E-3"/>
    <n v="3.0000000000000001E-3"/>
    <n v="3.0000000000000001E-3"/>
    <n v="3.0000000000000001E-3"/>
    <n v="0"/>
    <s v="CATIVO"/>
    <n v="0"/>
    <n v="0"/>
    <n v="22"/>
    <n v="62"/>
    <n v="0"/>
    <n v="288.39999999999998"/>
    <n v="179.13"/>
    <m/>
    <n v="347.64489185692486"/>
    <n v="184.97096880722503"/>
    <n v="0"/>
    <n v="0.15582000000000018"/>
    <n v="0"/>
    <n v="0.17753862022138325"/>
    <x v="4"/>
  </r>
  <r>
    <s v="Regular"/>
    <x v="1"/>
    <x v="2"/>
    <x v="3"/>
    <x v="4"/>
    <x v="2"/>
    <x v="1"/>
    <x v="1"/>
    <x v="3"/>
    <n v="0"/>
    <n v="0"/>
    <n v="62.91"/>
    <n v="62.91"/>
    <n v="62.91"/>
    <n v="62.91"/>
    <n v="595"/>
    <s v="CATIVO"/>
    <n v="0"/>
    <n v="0"/>
    <n v="22"/>
    <n v="62"/>
    <n v="0"/>
    <n v="288.39999999999998"/>
    <n v="179.13"/>
    <m/>
    <n v="347.64489185692486"/>
    <n v="184.97096880722503"/>
    <n v="0"/>
    <n v="3267.5454000000032"/>
    <n v="0"/>
    <n v="3722.9848660424063"/>
    <x v="4"/>
  </r>
  <r>
    <s v="Regular"/>
    <x v="1"/>
    <x v="2"/>
    <x v="3"/>
    <x v="4"/>
    <x v="2"/>
    <x v="1"/>
    <x v="1"/>
    <x v="4"/>
    <n v="0"/>
    <n v="0"/>
    <n v="70.632000000000005"/>
    <n v="70.632000000000005"/>
    <n v="70.632000000000005"/>
    <n v="70.632000000000005"/>
    <n v="564"/>
    <s v="CATIVO"/>
    <n v="0"/>
    <n v="0"/>
    <n v="22"/>
    <n v="62"/>
    <n v="0"/>
    <n v="288.39999999999998"/>
    <n v="179.13"/>
    <m/>
    <n v="347.64489185692486"/>
    <n v="184.97096880722503"/>
    <n v="0"/>
    <n v="3668.6260800000041"/>
    <n v="0"/>
    <n v="4179.9692744922477"/>
    <x v="4"/>
  </r>
  <r>
    <s v="Regular"/>
    <x v="1"/>
    <x v="2"/>
    <x v="3"/>
    <x v="4"/>
    <x v="2"/>
    <x v="1"/>
    <x v="1"/>
    <x v="5"/>
    <n v="0"/>
    <n v="0"/>
    <n v="75.957999999999998"/>
    <n v="75.957999999999998"/>
    <n v="75.957999999999998"/>
    <n v="75.957999999999998"/>
    <n v="557"/>
    <s v="CATIVO"/>
    <n v="0"/>
    <n v="0"/>
    <n v="22"/>
    <n v="62"/>
    <n v="0"/>
    <n v="288.39999999999998"/>
    <n v="179.13"/>
    <m/>
    <n v="347.64489185692486"/>
    <n v="184.97096880722503"/>
    <n v="0"/>
    <n v="3945.258520000004"/>
    <n v="0"/>
    <n v="4495.1595049252755"/>
    <x v="4"/>
  </r>
  <r>
    <s v="Regular"/>
    <x v="1"/>
    <x v="2"/>
    <x v="3"/>
    <x v="4"/>
    <x v="2"/>
    <x v="1"/>
    <x v="1"/>
    <x v="6"/>
    <n v="0"/>
    <n v="0"/>
    <n v="86.519000000000005"/>
    <n v="86.519000000000005"/>
    <n v="86.519000000000005"/>
    <n v="86.519000000000005"/>
    <n v="513"/>
    <s v="CATIVO"/>
    <n v="0"/>
    <n v="0"/>
    <n v="22"/>
    <n v="62"/>
    <n v="0"/>
    <n v="288.39999999999998"/>
    <n v="179.13"/>
    <m/>
    <n v="347.64489185692486"/>
    <n v="184.97096880722503"/>
    <n v="0"/>
    <n v="4493.7968600000049"/>
    <n v="0"/>
    <n v="5120.1546276446188"/>
    <x v="4"/>
  </r>
  <r>
    <s v="Sistema de Compensação"/>
    <x v="1"/>
    <x v="2"/>
    <x v="3"/>
    <x v="4"/>
    <x v="2"/>
    <x v="1"/>
    <x v="1"/>
    <x v="6"/>
    <n v="0"/>
    <n v="0"/>
    <n v="2.5000000000000001E-2"/>
    <n v="2.2499999999999999E-2"/>
    <n v="2.5000000000000001E-2"/>
    <n v="2.2499999999999999E-2"/>
    <n v="0"/>
    <s v="CATIVO"/>
    <n v="0"/>
    <n v="0"/>
    <n v="22"/>
    <n v="62"/>
    <n v="0"/>
    <n v="288.39999999999998"/>
    <n v="179.13"/>
    <m/>
    <n v="347.64489185692486"/>
    <n v="184.97096880722503"/>
    <n v="0"/>
    <n v="2.4673250000000024"/>
    <n v="0"/>
    <n v="2.8110281535052364"/>
    <x v="4"/>
  </r>
  <r>
    <s v="Regular"/>
    <x v="1"/>
    <x v="2"/>
    <x v="3"/>
    <x v="4"/>
    <x v="2"/>
    <x v="1"/>
    <x v="1"/>
    <x v="7"/>
    <n v="0"/>
    <n v="0"/>
    <n v="96.45"/>
    <n v="96.45"/>
    <n v="96.45"/>
    <n v="96.45"/>
    <n v="437"/>
    <s v="CATIVO"/>
    <n v="0"/>
    <n v="0"/>
    <n v="22"/>
    <n v="62"/>
    <n v="0"/>
    <n v="288.39999999999998"/>
    <n v="179.13"/>
    <m/>
    <n v="347.64489185692486"/>
    <n v="184.97096880722503"/>
    <n v="0"/>
    <n v="5009.6130000000057"/>
    <n v="0"/>
    <n v="5707.8666401174714"/>
    <x v="4"/>
  </r>
  <r>
    <s v="Refaturamento - Regular"/>
    <x v="1"/>
    <x v="2"/>
    <x v="3"/>
    <x v="4"/>
    <x v="2"/>
    <x v="1"/>
    <x v="1"/>
    <x v="7"/>
    <n v="0"/>
    <n v="0"/>
    <n v="-9.4E-2"/>
    <n v="-9.4E-2"/>
    <n v="-9.4E-2"/>
    <n v="-9.4E-2"/>
    <n v="0"/>
    <s v="CATIVO"/>
    <n v="0"/>
    <n v="0"/>
    <n v="22"/>
    <n v="62"/>
    <n v="0"/>
    <n v="288.39999999999998"/>
    <n v="179.13"/>
    <m/>
    <n v="347.64489185692486"/>
    <n v="184.97096880722503"/>
    <n v="0"/>
    <n v="-4.8823600000000056"/>
    <n v="0"/>
    <n v="-5.5628767669366752"/>
    <x v="4"/>
  </r>
  <r>
    <s v="Sistema de Compensação"/>
    <x v="1"/>
    <x v="2"/>
    <x v="3"/>
    <x v="4"/>
    <x v="2"/>
    <x v="1"/>
    <x v="1"/>
    <x v="7"/>
    <n v="0"/>
    <n v="0"/>
    <n v="0.12"/>
    <n v="0.108"/>
    <n v="0.12"/>
    <n v="0.108"/>
    <n v="0"/>
    <s v="CATIVO"/>
    <n v="0"/>
    <n v="0"/>
    <n v="22"/>
    <n v="62"/>
    <n v="0"/>
    <n v="288.39999999999998"/>
    <n v="179.13"/>
    <m/>
    <n v="347.64489185692486"/>
    <n v="184.97096880722503"/>
    <n v="0"/>
    <n v="11.843160000000005"/>
    <n v="0"/>
    <n v="13.492935136825125"/>
    <x v="4"/>
  </r>
  <r>
    <s v="Regular"/>
    <x v="1"/>
    <x v="2"/>
    <x v="3"/>
    <x v="4"/>
    <x v="2"/>
    <x v="1"/>
    <x v="1"/>
    <x v="8"/>
    <n v="0"/>
    <n v="0"/>
    <n v="87.647000000000006"/>
    <n v="87.647000000000006"/>
    <n v="87.647000000000006"/>
    <n v="87.647000000000006"/>
    <n v="538"/>
    <s v="CATIVO"/>
    <n v="0"/>
    <n v="0"/>
    <n v="22"/>
    <n v="62"/>
    <n v="0"/>
    <n v="288.39999999999998"/>
    <n v="179.13"/>
    <m/>
    <n v="347.64489185692486"/>
    <n v="184.97096880722503"/>
    <n v="0"/>
    <n v="4552.3851800000048"/>
    <n v="0"/>
    <n v="5186.9091488478589"/>
    <x v="4"/>
  </r>
  <r>
    <s v="Refaturamento - Regular"/>
    <x v="1"/>
    <x v="2"/>
    <x v="3"/>
    <x v="4"/>
    <x v="2"/>
    <x v="1"/>
    <x v="1"/>
    <x v="8"/>
    <n v="0"/>
    <n v="0"/>
    <n v="-8.4000000000000005E-2"/>
    <n v="-8.4000000000000005E-2"/>
    <n v="-8.4000000000000005E-2"/>
    <n v="-8.4000000000000005E-2"/>
    <n v="0"/>
    <s v="CATIVO"/>
    <n v="0"/>
    <n v="0"/>
    <n v="22"/>
    <n v="62"/>
    <n v="0"/>
    <n v="288.39999999999998"/>
    <n v="179.13"/>
    <m/>
    <n v="347.64489185692486"/>
    <n v="184.97096880722503"/>
    <n v="0"/>
    <n v="-4.3629600000000046"/>
    <n v="0"/>
    <n v="-4.9710813661987308"/>
    <x v="4"/>
  </r>
  <r>
    <s v="Sistema de Compensação"/>
    <x v="1"/>
    <x v="2"/>
    <x v="3"/>
    <x v="4"/>
    <x v="2"/>
    <x v="1"/>
    <x v="1"/>
    <x v="8"/>
    <n v="0"/>
    <n v="0"/>
    <n v="6.5000000000000002E-2"/>
    <n v="5.8500000000000003E-2"/>
    <n v="6.5000000000000002E-2"/>
    <n v="5.8500000000000003E-2"/>
    <n v="0"/>
    <s v="CATIVO"/>
    <n v="0"/>
    <n v="0"/>
    <n v="22"/>
    <n v="62"/>
    <n v="0"/>
    <n v="288.39999999999998"/>
    <n v="179.13"/>
    <m/>
    <n v="347.64489185692486"/>
    <n v="184.97096880722503"/>
    <n v="0"/>
    <n v="6.4150450000000028"/>
    <n v="0"/>
    <n v="7.3086731991136107"/>
    <x v="4"/>
  </r>
  <r>
    <s v="Regular"/>
    <x v="1"/>
    <x v="2"/>
    <x v="3"/>
    <x v="4"/>
    <x v="2"/>
    <x v="1"/>
    <x v="1"/>
    <x v="9"/>
    <n v="0"/>
    <n v="0"/>
    <n v="65.495000000000005"/>
    <n v="65.495000000000005"/>
    <n v="65.495000000000005"/>
    <n v="65.495000000000005"/>
    <n v="636"/>
    <s v="CATIVO"/>
    <n v="0"/>
    <n v="0"/>
    <n v="22"/>
    <n v="62"/>
    <n v="0"/>
    <n v="288.39999999999998"/>
    <n v="179.13"/>
    <m/>
    <n v="347.64489185692486"/>
    <n v="184.97096880722503"/>
    <n v="0"/>
    <n v="3401.8103000000037"/>
    <n v="0"/>
    <n v="3875.9639771331654"/>
    <x v="4"/>
  </r>
  <r>
    <s v="Regular"/>
    <x v="1"/>
    <x v="2"/>
    <x v="3"/>
    <x v="4"/>
    <x v="2"/>
    <x v="1"/>
    <x v="1"/>
    <x v="10"/>
    <n v="0"/>
    <n v="0"/>
    <n v="77.677999999999997"/>
    <n v="77.677999999999997"/>
    <n v="77.677999999999997"/>
    <n v="77.677999999999997"/>
    <n v="771"/>
    <s v="CATIVO"/>
    <n v="0"/>
    <n v="0"/>
    <n v="22"/>
    <n v="62"/>
    <n v="0"/>
    <n v="288.39999999999998"/>
    <n v="179.13"/>
    <m/>
    <n v="347.64489185692486"/>
    <n v="184.97096880722503"/>
    <n v="0"/>
    <n v="4034.595320000004"/>
    <n v="0"/>
    <n v="4596.9483138522019"/>
    <x v="4"/>
  </r>
  <r>
    <s v="Sistema de Compensação"/>
    <x v="1"/>
    <x v="2"/>
    <x v="3"/>
    <x v="4"/>
    <x v="2"/>
    <x v="1"/>
    <x v="1"/>
    <x v="10"/>
    <n v="0"/>
    <n v="0"/>
    <n v="4.7E-2"/>
    <n v="4.2299999999999997E-2"/>
    <n v="4.7E-2"/>
    <n v="4.2299999999999997E-2"/>
    <n v="0"/>
    <s v="CATIVO"/>
    <n v="0"/>
    <n v="0"/>
    <n v="22"/>
    <n v="62"/>
    <n v="0"/>
    <n v="288.39999999999998"/>
    <n v="179.13"/>
    <m/>
    <n v="347.64489185692486"/>
    <n v="184.97096880722503"/>
    <n v="0"/>
    <n v="4.6385710000000042"/>
    <n v="0"/>
    <n v="5.2847329285898432"/>
    <x v="4"/>
  </r>
  <r>
    <s v="Regular"/>
    <x v="1"/>
    <x v="2"/>
    <x v="3"/>
    <x v="4"/>
    <x v="2"/>
    <x v="1"/>
    <x v="1"/>
    <x v="11"/>
    <n v="0"/>
    <n v="0"/>
    <n v="79.436999999999998"/>
    <n v="79.436999999999998"/>
    <n v="79.436999999999998"/>
    <n v="79.436999999999998"/>
    <n v="738"/>
    <s v="CATIVO"/>
    <n v="0"/>
    <n v="0"/>
    <n v="22"/>
    <n v="62"/>
    <n v="0"/>
    <n v="288.39999999999998"/>
    <n v="179.13"/>
    <m/>
    <n v="347.64489185692486"/>
    <n v="184.97096880722503"/>
    <n v="0"/>
    <n v="4125.9577800000043"/>
    <n v="0"/>
    <n v="4701.0451248420068"/>
    <x v="4"/>
  </r>
  <r>
    <s v="Sistema de Compensação"/>
    <x v="1"/>
    <x v="2"/>
    <x v="3"/>
    <x v="4"/>
    <x v="2"/>
    <x v="1"/>
    <x v="1"/>
    <x v="11"/>
    <n v="0"/>
    <n v="0"/>
    <n v="8.5999999999999993E-2"/>
    <n v="6.88E-2"/>
    <n v="8.5999999999999993E-2"/>
    <n v="6.88E-2"/>
    <n v="1"/>
    <s v="CATIVO"/>
    <n v="0"/>
    <n v="0"/>
    <n v="22"/>
    <n v="62"/>
    <n v="0"/>
    <n v="288.39999999999998"/>
    <n v="179.13"/>
    <m/>
    <n v="347.64489185692486"/>
    <n v="184.97096880722503"/>
    <n v="0"/>
    <n v="12.508355999999999"/>
    <n v="0"/>
    <n v="14.250433249769692"/>
    <x v="4"/>
  </r>
  <r>
    <s v="Regular"/>
    <x v="1"/>
    <x v="2"/>
    <x v="3"/>
    <x v="5"/>
    <x v="2"/>
    <x v="1"/>
    <x v="1"/>
    <x v="0"/>
    <n v="0"/>
    <n v="0"/>
    <n v="12.297000000000001"/>
    <n v="12.297000000000001"/>
    <n v="12.297000000000001"/>
    <n v="12.297000000000001"/>
    <n v="196"/>
    <s v="CATIVO"/>
    <n v="0"/>
    <n v="0"/>
    <n v="23"/>
    <n v="63"/>
    <n v="0"/>
    <n v="320.44"/>
    <n v="199.03"/>
    <m/>
    <n v="386.2721020632498"/>
    <n v="205.52329867469447"/>
    <n v="0"/>
    <n v="3.495017608656781E-13"/>
    <n v="0"/>
    <n v="3.495017608656781E-13"/>
    <x v="4"/>
  </r>
  <r>
    <s v="Refaturamento - Regular"/>
    <x v="1"/>
    <x v="2"/>
    <x v="3"/>
    <x v="5"/>
    <x v="2"/>
    <x v="1"/>
    <x v="1"/>
    <x v="0"/>
    <n v="0"/>
    <n v="0"/>
    <n v="-0.03"/>
    <n v="-0.03"/>
    <n v="-0.03"/>
    <n v="-0.03"/>
    <n v="0"/>
    <s v="CATIVO"/>
    <n v="0"/>
    <n v="0"/>
    <n v="23"/>
    <n v="63"/>
    <n v="0"/>
    <n v="320.44"/>
    <n v="199.03"/>
    <m/>
    <n v="386.2721020632498"/>
    <n v="205.52329867469447"/>
    <n v="0"/>
    <n v="-8.5265128291212019E-16"/>
    <n v="0"/>
    <n v="-8.5265128291212019E-16"/>
    <x v="4"/>
  </r>
  <r>
    <s v="Regular"/>
    <x v="1"/>
    <x v="2"/>
    <x v="3"/>
    <x v="5"/>
    <x v="2"/>
    <x v="1"/>
    <x v="1"/>
    <x v="1"/>
    <n v="0"/>
    <n v="0"/>
    <n v="16.533000000000001"/>
    <n v="16.533000000000001"/>
    <n v="16.533000000000001"/>
    <n v="16.533000000000001"/>
    <n v="233"/>
    <s v="CATIVO"/>
    <n v="0"/>
    <n v="0"/>
    <n v="23"/>
    <n v="63"/>
    <n v="0"/>
    <n v="320.44"/>
    <n v="199.03"/>
    <m/>
    <n v="386.2721020632498"/>
    <n v="205.52329867469447"/>
    <n v="0"/>
    <n v="4.6989612201286949E-13"/>
    <n v="0"/>
    <n v="4.6989612201286949E-13"/>
    <x v="4"/>
  </r>
  <r>
    <s v="Regular"/>
    <x v="1"/>
    <x v="2"/>
    <x v="3"/>
    <x v="5"/>
    <x v="2"/>
    <x v="1"/>
    <x v="1"/>
    <x v="2"/>
    <n v="0"/>
    <n v="0"/>
    <n v="14.256"/>
    <n v="14.256"/>
    <n v="14.256"/>
    <n v="14.256"/>
    <n v="222"/>
    <s v="CATIVO"/>
    <n v="0"/>
    <n v="0"/>
    <n v="23"/>
    <n v="63"/>
    <n v="0"/>
    <n v="320.44"/>
    <n v="199.03"/>
    <m/>
    <n v="386.2721020632498"/>
    <n v="205.52329867469447"/>
    <n v="0"/>
    <n v="4.0517988963983954E-13"/>
    <n v="0"/>
    <n v="4.0517988963983954E-13"/>
    <x v="4"/>
  </r>
  <r>
    <s v="Regular"/>
    <x v="1"/>
    <x v="2"/>
    <x v="3"/>
    <x v="5"/>
    <x v="2"/>
    <x v="1"/>
    <x v="1"/>
    <x v="3"/>
    <n v="0"/>
    <n v="0"/>
    <n v="15.997999999999999"/>
    <n v="15.997999999999999"/>
    <n v="15.997999999999999"/>
    <n v="15.997999999999999"/>
    <n v="244"/>
    <s v="CATIVO"/>
    <n v="0"/>
    <n v="0"/>
    <n v="23"/>
    <n v="63"/>
    <n v="0"/>
    <n v="320.44"/>
    <n v="199.03"/>
    <m/>
    <n v="386.2721020632498"/>
    <n v="205.52329867469447"/>
    <n v="0"/>
    <n v="4.5469050746760329E-13"/>
    <n v="0"/>
    <n v="4.5469050746760329E-13"/>
    <x v="4"/>
  </r>
  <r>
    <s v="Regular"/>
    <x v="1"/>
    <x v="2"/>
    <x v="3"/>
    <x v="5"/>
    <x v="2"/>
    <x v="1"/>
    <x v="1"/>
    <x v="4"/>
    <n v="0"/>
    <n v="0"/>
    <n v="22.010999999999999"/>
    <n v="22.010999999999999"/>
    <n v="22.010999999999999"/>
    <n v="22.010999999999999"/>
    <n v="303"/>
    <s v="CATIVO"/>
    <n v="0"/>
    <n v="0"/>
    <n v="23"/>
    <n v="63"/>
    <n v="0"/>
    <n v="320.44"/>
    <n v="199.03"/>
    <m/>
    <n v="386.2721020632498"/>
    <n v="205.52329867469447"/>
    <n v="0"/>
    <n v="6.2559024627262259E-13"/>
    <n v="0"/>
    <n v="6.2559024627262259E-13"/>
    <x v="4"/>
  </r>
  <r>
    <s v="Regular"/>
    <x v="1"/>
    <x v="2"/>
    <x v="3"/>
    <x v="5"/>
    <x v="2"/>
    <x v="1"/>
    <x v="1"/>
    <x v="5"/>
    <n v="0"/>
    <n v="0"/>
    <n v="25.661000000000001"/>
    <n v="25.661000000000001"/>
    <n v="25.661000000000001"/>
    <n v="25.661000000000001"/>
    <n v="354"/>
    <s v="CATIVO"/>
    <n v="0"/>
    <n v="0"/>
    <n v="23"/>
    <n v="63"/>
    <n v="0"/>
    <n v="320.44"/>
    <n v="199.03"/>
    <m/>
    <n v="386.2721020632498"/>
    <n v="205.52329867469447"/>
    <n v="0"/>
    <n v="7.2932948569359727E-13"/>
    <n v="0"/>
    <n v="7.2932948569359727E-13"/>
    <x v="4"/>
  </r>
  <r>
    <s v="Regular"/>
    <x v="1"/>
    <x v="2"/>
    <x v="3"/>
    <x v="5"/>
    <x v="2"/>
    <x v="1"/>
    <x v="1"/>
    <x v="6"/>
    <n v="0"/>
    <n v="0"/>
    <n v="47.101999999999997"/>
    <n v="47.101999999999997"/>
    <n v="47.101999999999997"/>
    <n v="47.101999999999997"/>
    <n v="453"/>
    <s v="CATIVO"/>
    <n v="0"/>
    <n v="0"/>
    <n v="23"/>
    <n v="63"/>
    <n v="0"/>
    <n v="320.44"/>
    <n v="199.03"/>
    <m/>
    <n v="386.2721020632498"/>
    <n v="205.52329867469447"/>
    <n v="0"/>
    <n v="1.3387193575908895E-12"/>
    <n v="0"/>
    <n v="1.3387193575908895E-12"/>
    <x v="4"/>
  </r>
  <r>
    <s v="Refaturamento - Regular"/>
    <x v="1"/>
    <x v="2"/>
    <x v="3"/>
    <x v="5"/>
    <x v="2"/>
    <x v="1"/>
    <x v="1"/>
    <x v="6"/>
    <n v="0"/>
    <n v="0"/>
    <n v="0.24"/>
    <n v="0.24"/>
    <n v="0.24"/>
    <n v="0.24"/>
    <n v="0"/>
    <s v="CATIVO"/>
    <n v="0"/>
    <n v="0"/>
    <n v="23"/>
    <n v="63"/>
    <n v="0"/>
    <n v="320.44"/>
    <n v="199.03"/>
    <m/>
    <n v="386.2721020632498"/>
    <n v="205.52329867469447"/>
    <n v="0"/>
    <n v="6.8212102632969615E-15"/>
    <n v="0"/>
    <n v="6.8212102632969615E-15"/>
    <x v="4"/>
  </r>
  <r>
    <s v="Regular"/>
    <x v="1"/>
    <x v="2"/>
    <x v="3"/>
    <x v="5"/>
    <x v="2"/>
    <x v="1"/>
    <x v="1"/>
    <x v="7"/>
    <n v="0"/>
    <n v="0"/>
    <n v="70.347999999999999"/>
    <n v="70.347999999999999"/>
    <n v="70.347999999999999"/>
    <n v="70.347999999999999"/>
    <n v="564"/>
    <s v="CATIVO"/>
    <n v="0"/>
    <n v="0"/>
    <n v="23"/>
    <n v="63"/>
    <n v="0"/>
    <n v="320.44"/>
    <n v="199.03"/>
    <m/>
    <n v="386.2721020632498"/>
    <n v="205.52329867469447"/>
    <n v="0"/>
    <n v="1.9994104150100611E-12"/>
    <n v="0"/>
    <n v="1.9994104150100611E-12"/>
    <x v="4"/>
  </r>
  <r>
    <s v="Refaturamento - Regular"/>
    <x v="1"/>
    <x v="2"/>
    <x v="3"/>
    <x v="5"/>
    <x v="2"/>
    <x v="1"/>
    <x v="1"/>
    <x v="7"/>
    <n v="0"/>
    <n v="0"/>
    <n v="-0.61499999999999999"/>
    <n v="-0.61499999999999999"/>
    <n v="-0.61499999999999999"/>
    <n v="-0.61499999999999999"/>
    <n v="0"/>
    <s v="CATIVO"/>
    <n v="0"/>
    <n v="0"/>
    <n v="23"/>
    <n v="63"/>
    <n v="0"/>
    <n v="320.44"/>
    <n v="199.03"/>
    <m/>
    <n v="386.2721020632498"/>
    <n v="205.52329867469447"/>
    <n v="0"/>
    <n v="-1.7479351299698464E-14"/>
    <n v="0"/>
    <n v="-1.7479351299698464E-14"/>
    <x v="4"/>
  </r>
  <r>
    <s v="Sistema de Compensação"/>
    <x v="1"/>
    <x v="2"/>
    <x v="3"/>
    <x v="5"/>
    <x v="2"/>
    <x v="1"/>
    <x v="1"/>
    <x v="7"/>
    <n v="0"/>
    <n v="0"/>
    <n v="1.4E-2"/>
    <n v="1.4E-2"/>
    <n v="1.4E-2"/>
    <n v="1.4E-2"/>
    <n v="1"/>
    <s v="CATIVO"/>
    <n v="0"/>
    <n v="0"/>
    <n v="23"/>
    <n v="63"/>
    <n v="0"/>
    <n v="320.44"/>
    <n v="199.03"/>
    <m/>
    <n v="386.2721020632498"/>
    <n v="205.52329867469447"/>
    <n v="0"/>
    <n v="3.9790393202565611E-16"/>
    <n v="0"/>
    <n v="3.9790393202565611E-16"/>
    <x v="4"/>
  </r>
  <r>
    <s v="Regular"/>
    <x v="1"/>
    <x v="2"/>
    <x v="3"/>
    <x v="5"/>
    <x v="2"/>
    <x v="1"/>
    <x v="1"/>
    <x v="8"/>
    <n v="0"/>
    <n v="0"/>
    <n v="43.421999999999997"/>
    <n v="43.421999999999997"/>
    <n v="43.421999999999997"/>
    <n v="43.421999999999997"/>
    <n v="447"/>
    <s v="CATIVO"/>
    <n v="0"/>
    <n v="0"/>
    <n v="23"/>
    <n v="63"/>
    <n v="0"/>
    <n v="320.44"/>
    <n v="199.03"/>
    <m/>
    <n v="386.2721020632498"/>
    <n v="205.52329867469447"/>
    <n v="0"/>
    <n v="1.2341274668870027E-12"/>
    <n v="0"/>
    <n v="1.2341274668870027E-12"/>
    <x v="4"/>
  </r>
  <r>
    <s v="Refaturamento - Regular"/>
    <x v="1"/>
    <x v="2"/>
    <x v="3"/>
    <x v="5"/>
    <x v="2"/>
    <x v="1"/>
    <x v="1"/>
    <x v="8"/>
    <n v="0"/>
    <n v="0"/>
    <n v="-0.43099999999999999"/>
    <n v="-0.43099999999999999"/>
    <n v="-0.43099999999999999"/>
    <n v="-0.43099999999999999"/>
    <n v="0"/>
    <s v="CATIVO"/>
    <n v="0"/>
    <n v="0"/>
    <n v="23"/>
    <n v="63"/>
    <n v="0"/>
    <n v="320.44"/>
    <n v="199.03"/>
    <m/>
    <n v="386.2721020632498"/>
    <n v="205.52329867469447"/>
    <n v="0"/>
    <n v="-1.2249756764504127E-14"/>
    <n v="0"/>
    <n v="-1.2249756764504127E-14"/>
    <x v="4"/>
  </r>
  <r>
    <s v="Regular"/>
    <x v="1"/>
    <x v="2"/>
    <x v="3"/>
    <x v="5"/>
    <x v="2"/>
    <x v="1"/>
    <x v="1"/>
    <x v="9"/>
    <n v="0"/>
    <n v="0"/>
    <n v="17.241"/>
    <n v="17.241"/>
    <n v="17.241"/>
    <n v="17.241"/>
    <n v="245"/>
    <s v="CATIVO"/>
    <n v="0"/>
    <n v="0"/>
    <n v="23"/>
    <n v="63"/>
    <n v="0"/>
    <n v="320.44"/>
    <n v="199.03"/>
    <m/>
    <n v="386.2721020632498"/>
    <n v="205.52329867469447"/>
    <n v="0"/>
    <n v="4.9001869228959548E-13"/>
    <n v="0"/>
    <n v="4.9001869228959548E-13"/>
    <x v="4"/>
  </r>
  <r>
    <s v="Regular"/>
    <x v="1"/>
    <x v="2"/>
    <x v="3"/>
    <x v="5"/>
    <x v="2"/>
    <x v="1"/>
    <x v="1"/>
    <x v="10"/>
    <n v="0"/>
    <n v="0"/>
    <n v="22.236000000000001"/>
    <n v="22.236000000000001"/>
    <n v="22.236000000000001"/>
    <n v="22.236000000000001"/>
    <n v="294"/>
    <s v="CATIVO"/>
    <n v="0"/>
    <n v="0"/>
    <n v="23"/>
    <n v="63"/>
    <n v="0"/>
    <n v="320.44"/>
    <n v="199.03"/>
    <m/>
    <n v="386.2721020632498"/>
    <n v="205.52329867469447"/>
    <n v="0"/>
    <n v="6.3198513089446353E-13"/>
    <n v="0"/>
    <n v="6.3198513089446353E-13"/>
    <x v="4"/>
  </r>
  <r>
    <s v="Regular"/>
    <x v="1"/>
    <x v="2"/>
    <x v="3"/>
    <x v="5"/>
    <x v="2"/>
    <x v="1"/>
    <x v="1"/>
    <x v="11"/>
    <n v="0"/>
    <n v="0"/>
    <n v="25.146999999999998"/>
    <n v="25.146999999999998"/>
    <n v="25.146999999999998"/>
    <n v="25.146999999999998"/>
    <n v="316"/>
    <s v="CATIVO"/>
    <n v="0"/>
    <n v="0"/>
    <n v="23"/>
    <n v="63"/>
    <n v="0"/>
    <n v="320.44"/>
    <n v="199.03"/>
    <m/>
    <n v="386.2721020632498"/>
    <n v="205.52329867469447"/>
    <n v="0"/>
    <n v="7.1472072704636953E-13"/>
    <n v="0"/>
    <n v="7.1472072704636953E-13"/>
    <x v="4"/>
  </r>
  <r>
    <s v="Regular"/>
    <x v="2"/>
    <x v="3"/>
    <x v="2"/>
    <x v="0"/>
    <x v="2"/>
    <x v="1"/>
    <x v="0"/>
    <x v="1"/>
    <n v="0"/>
    <n v="0"/>
    <n v="0.13700000000000001"/>
    <n v="0.13700000000000001"/>
    <n v="0.13700000000000001"/>
    <n v="0.13700000000000001"/>
    <n v="0"/>
    <s v="CATIVO"/>
    <n v="0"/>
    <n v="0"/>
    <n v="31"/>
    <n v="71"/>
    <n v="0"/>
    <n v="243.73"/>
    <n v="167.16"/>
    <m/>
    <n v="349.78137190437343"/>
    <n v="184.1432479319173"/>
    <n v="0"/>
    <n v="3.5931019148936176"/>
    <n v="0"/>
    <n v="4.6690003989939477"/>
    <x v="2"/>
  </r>
  <r>
    <s v="Regular"/>
    <x v="2"/>
    <x v="3"/>
    <x v="2"/>
    <x v="0"/>
    <x v="2"/>
    <x v="1"/>
    <x v="0"/>
    <x v="3"/>
    <n v="0"/>
    <n v="0"/>
    <n v="0.44500000000000001"/>
    <n v="0.44500000000000001"/>
    <n v="0.44500000000000001"/>
    <n v="0.44500000000000001"/>
    <n v="0"/>
    <s v="CATIVO"/>
    <n v="0"/>
    <n v="0"/>
    <n v="31"/>
    <n v="71"/>
    <n v="0"/>
    <n v="243.73"/>
    <n v="167.16"/>
    <m/>
    <n v="349.78137190437343"/>
    <n v="184.1432479319173"/>
    <n v="0"/>
    <n v="11.671024468085106"/>
    <n v="0"/>
    <n v="15.165731223009535"/>
    <x v="2"/>
  </r>
  <r>
    <s v="Regular"/>
    <x v="2"/>
    <x v="3"/>
    <x v="2"/>
    <x v="0"/>
    <x v="2"/>
    <x v="1"/>
    <x v="0"/>
    <x v="4"/>
    <n v="0"/>
    <n v="0"/>
    <n v="0.26400000000000001"/>
    <n v="0.26400000000000001"/>
    <n v="0.26400000000000001"/>
    <n v="0.26400000000000001"/>
    <n v="0"/>
    <s v="CATIVO"/>
    <n v="0"/>
    <n v="0"/>
    <n v="31"/>
    <n v="71"/>
    <n v="0"/>
    <n v="243.73"/>
    <n v="167.16"/>
    <m/>
    <n v="349.78137190437343"/>
    <n v="184.1432479319173"/>
    <n v="0"/>
    <n v="6.9239336170212757"/>
    <n v="0"/>
    <n v="8.997197849156219"/>
    <x v="2"/>
  </r>
  <r>
    <s v="Regular"/>
    <x v="2"/>
    <x v="3"/>
    <x v="2"/>
    <x v="0"/>
    <x v="2"/>
    <x v="1"/>
    <x v="0"/>
    <x v="5"/>
    <n v="0"/>
    <n v="0"/>
    <n v="0.33200000000000002"/>
    <n v="0.33200000000000002"/>
    <n v="0.33200000000000002"/>
    <n v="0.33200000000000002"/>
    <n v="0"/>
    <s v="CATIVO"/>
    <n v="0"/>
    <n v="0"/>
    <n v="31"/>
    <n v="71"/>
    <n v="0"/>
    <n v="243.73"/>
    <n v="167.16"/>
    <m/>
    <n v="349.78137190437343"/>
    <n v="184.1432479319173"/>
    <n v="0"/>
    <n v="8.7073710638297861"/>
    <n v="0"/>
    <n v="11.314657901211609"/>
    <x v="2"/>
  </r>
  <r>
    <s v="Regular"/>
    <x v="2"/>
    <x v="3"/>
    <x v="2"/>
    <x v="0"/>
    <x v="2"/>
    <x v="1"/>
    <x v="0"/>
    <x v="6"/>
    <n v="0"/>
    <n v="0"/>
    <n v="0.27600000000000002"/>
    <n v="0.27600000000000002"/>
    <n v="0.27600000000000002"/>
    <n v="0.27600000000000002"/>
    <n v="0"/>
    <s v="CATIVO"/>
    <n v="0"/>
    <n v="0"/>
    <n v="31"/>
    <n v="71"/>
    <n v="0"/>
    <n v="243.73"/>
    <n v="167.16"/>
    <m/>
    <n v="349.78137190437343"/>
    <n v="184.1432479319173"/>
    <n v="0"/>
    <n v="7.2386578723404265"/>
    <n v="0"/>
    <n v="9.4061613877542278"/>
    <x v="2"/>
  </r>
  <r>
    <s v="Regular"/>
    <x v="2"/>
    <x v="3"/>
    <x v="2"/>
    <x v="0"/>
    <x v="2"/>
    <x v="1"/>
    <x v="0"/>
    <x v="7"/>
    <n v="0"/>
    <n v="0"/>
    <n v="0.28100000000000003"/>
    <n v="0.28100000000000003"/>
    <n v="0.28100000000000003"/>
    <n v="0.28100000000000003"/>
    <n v="0"/>
    <s v="CATIVO"/>
    <n v="0"/>
    <n v="0"/>
    <n v="31"/>
    <n v="71"/>
    <n v="0"/>
    <n v="243.73"/>
    <n v="167.16"/>
    <m/>
    <n v="349.78137190437343"/>
    <n v="184.1432479319173"/>
    <n v="0"/>
    <n v="7.3697929787234049"/>
    <n v="0"/>
    <n v="9.5765628621700678"/>
    <x v="2"/>
  </r>
  <r>
    <s v="Regular"/>
    <x v="2"/>
    <x v="3"/>
    <x v="2"/>
    <x v="0"/>
    <x v="2"/>
    <x v="1"/>
    <x v="0"/>
    <x v="8"/>
    <n v="0"/>
    <n v="0"/>
    <n v="0.24199999999999999"/>
    <n v="0.24199999999999999"/>
    <n v="0.24199999999999999"/>
    <n v="0.24199999999999999"/>
    <n v="0"/>
    <s v="CATIVO"/>
    <n v="0"/>
    <n v="0"/>
    <n v="31"/>
    <n v="71"/>
    <n v="0"/>
    <n v="243.73"/>
    <n v="167.16"/>
    <m/>
    <n v="349.78137190437343"/>
    <n v="184.1432479319173"/>
    <n v="0"/>
    <n v="6.3469391489361699"/>
    <n v="0"/>
    <n v="8.2474313617265338"/>
    <x v="2"/>
  </r>
  <r>
    <s v="Regular"/>
    <x v="2"/>
    <x v="3"/>
    <x v="2"/>
    <x v="0"/>
    <x v="2"/>
    <x v="1"/>
    <x v="0"/>
    <x v="9"/>
    <n v="0"/>
    <n v="0"/>
    <n v="0.2"/>
    <n v="0.2"/>
    <n v="0.2"/>
    <n v="0.2"/>
    <n v="0"/>
    <s v="CATIVO"/>
    <n v="0"/>
    <n v="0"/>
    <n v="31"/>
    <n v="71"/>
    <n v="0"/>
    <n v="243.73"/>
    <n v="167.16"/>
    <m/>
    <n v="349.78137190437343"/>
    <n v="184.1432479319173"/>
    <n v="0"/>
    <n v="5.2454042553191496"/>
    <n v="0"/>
    <n v="6.8160589766334985"/>
    <x v="2"/>
  </r>
  <r>
    <s v="Regular"/>
    <x v="2"/>
    <x v="3"/>
    <x v="2"/>
    <x v="0"/>
    <x v="2"/>
    <x v="1"/>
    <x v="0"/>
    <x v="10"/>
    <n v="0"/>
    <n v="0"/>
    <n v="0.16"/>
    <n v="0.16"/>
    <n v="0.16"/>
    <n v="0.16"/>
    <n v="0"/>
    <s v="CATIVO"/>
    <n v="0"/>
    <n v="0"/>
    <n v="31"/>
    <n v="71"/>
    <n v="0"/>
    <n v="243.73"/>
    <n v="167.16"/>
    <m/>
    <n v="349.78137190437343"/>
    <n v="184.1432479319173"/>
    <n v="0"/>
    <n v="4.1963234042553195"/>
    <n v="0"/>
    <n v="5.4528471813067991"/>
    <x v="2"/>
  </r>
  <r>
    <s v="Regular"/>
    <x v="2"/>
    <x v="3"/>
    <x v="2"/>
    <x v="0"/>
    <x v="2"/>
    <x v="1"/>
    <x v="0"/>
    <x v="11"/>
    <n v="0"/>
    <n v="0"/>
    <n v="0.16"/>
    <n v="0.16"/>
    <n v="0.16"/>
    <n v="0.16"/>
    <n v="0"/>
    <s v="CATIVO"/>
    <n v="0"/>
    <n v="0"/>
    <n v="31"/>
    <n v="71"/>
    <n v="0"/>
    <n v="243.73"/>
    <n v="167.16"/>
    <m/>
    <n v="349.78137190437343"/>
    <n v="184.1432479319173"/>
    <n v="0"/>
    <n v="4.1963234042553195"/>
    <n v="0"/>
    <n v="5.4528471813067991"/>
    <x v="2"/>
  </r>
  <r>
    <s v="Regular"/>
    <x v="2"/>
    <x v="3"/>
    <x v="2"/>
    <x v="0"/>
    <x v="2"/>
    <x v="1"/>
    <x v="3"/>
    <x v="1"/>
    <n v="0"/>
    <n v="0"/>
    <n v="1.7000000000000001E-2"/>
    <n v="1.7000000000000001E-2"/>
    <n v="1.7000000000000001E-2"/>
    <n v="1.7000000000000001E-2"/>
    <n v="0"/>
    <s v="CATIVO"/>
    <n v="0"/>
    <n v="0"/>
    <n v="30"/>
    <n v="70"/>
    <n v="0"/>
    <n v="533.92999999999995"/>
    <n v="167.16"/>
    <m/>
    <n v="779.76311905780517"/>
    <n v="184.1432479319173"/>
    <n v="0"/>
    <n v="0.76075723404255324"/>
    <n v="0"/>
    <n v="1.0459409514143798"/>
    <x v="2"/>
  </r>
  <r>
    <s v="Regular"/>
    <x v="2"/>
    <x v="3"/>
    <x v="2"/>
    <x v="0"/>
    <x v="2"/>
    <x v="1"/>
    <x v="3"/>
    <x v="3"/>
    <n v="0"/>
    <n v="0"/>
    <n v="1.4999999999999999E-2"/>
    <n v="1.4999999999999999E-2"/>
    <n v="1.4999999999999999E-2"/>
    <n v="1.4999999999999999E-2"/>
    <n v="0"/>
    <s v="CATIVO"/>
    <n v="0"/>
    <n v="0"/>
    <n v="30"/>
    <n v="70"/>
    <n v="0"/>
    <n v="533.92999999999995"/>
    <n v="167.16"/>
    <m/>
    <n v="779.76311905780517"/>
    <n v="184.1432479319173"/>
    <n v="0"/>
    <n v="0.67125638297872336"/>
    <n v="0"/>
    <n v="0.9228890747773939"/>
    <x v="2"/>
  </r>
  <r>
    <s v="Regular"/>
    <x v="2"/>
    <x v="3"/>
    <x v="2"/>
    <x v="0"/>
    <x v="2"/>
    <x v="1"/>
    <x v="3"/>
    <x v="4"/>
    <n v="0"/>
    <n v="0"/>
    <n v="2.5999999999999999E-2"/>
    <n v="2.5999999999999999E-2"/>
    <n v="2.5999999999999999E-2"/>
    <n v="2.5999999999999999E-2"/>
    <n v="0"/>
    <s v="CATIVO"/>
    <n v="0"/>
    <n v="0"/>
    <n v="30"/>
    <n v="70"/>
    <n v="0"/>
    <n v="533.92999999999995"/>
    <n v="167.16"/>
    <m/>
    <n v="779.76311905780517"/>
    <n v="184.1432479319173"/>
    <n v="0"/>
    <n v="1.163511063829787"/>
    <n v="0"/>
    <n v="1.599674396280816"/>
    <x v="2"/>
  </r>
  <r>
    <s v="Regular"/>
    <x v="2"/>
    <x v="3"/>
    <x v="2"/>
    <x v="0"/>
    <x v="2"/>
    <x v="1"/>
    <x v="3"/>
    <x v="5"/>
    <n v="0"/>
    <n v="0"/>
    <n v="3.3000000000000002E-2"/>
    <n v="3.3000000000000002E-2"/>
    <n v="3.3000000000000002E-2"/>
    <n v="3.3000000000000002E-2"/>
    <n v="0"/>
    <s v="CATIVO"/>
    <n v="0"/>
    <n v="0"/>
    <n v="30"/>
    <n v="70"/>
    <n v="0"/>
    <n v="533.92999999999995"/>
    <n v="167.16"/>
    <m/>
    <n v="779.76311905780517"/>
    <n v="184.1432479319173"/>
    <n v="0"/>
    <n v="1.4767640425531916"/>
    <n v="0"/>
    <n v="2.0303559645102665"/>
    <x v="2"/>
  </r>
  <r>
    <s v="Regular"/>
    <x v="2"/>
    <x v="3"/>
    <x v="2"/>
    <x v="0"/>
    <x v="2"/>
    <x v="1"/>
    <x v="3"/>
    <x v="6"/>
    <n v="0"/>
    <n v="0"/>
    <n v="2.4E-2"/>
    <n v="2.4E-2"/>
    <n v="2.4E-2"/>
    <n v="2.4E-2"/>
    <n v="0"/>
    <s v="CATIVO"/>
    <n v="0"/>
    <n v="0"/>
    <n v="30"/>
    <n v="70"/>
    <n v="0"/>
    <n v="533.92999999999995"/>
    <n v="167.16"/>
    <m/>
    <n v="779.76311905780517"/>
    <n v="184.1432479319173"/>
    <n v="0"/>
    <n v="1.0740102127659574"/>
    <n v="0"/>
    <n v="1.4766225196438303"/>
    <x v="2"/>
  </r>
  <r>
    <s v="Regular"/>
    <x v="2"/>
    <x v="3"/>
    <x v="2"/>
    <x v="0"/>
    <x v="2"/>
    <x v="1"/>
    <x v="3"/>
    <x v="7"/>
    <n v="0"/>
    <n v="0"/>
    <n v="2.1000000000000001E-2"/>
    <n v="2.1000000000000001E-2"/>
    <n v="2.1000000000000001E-2"/>
    <n v="2.1000000000000001E-2"/>
    <n v="0"/>
    <s v="CATIVO"/>
    <n v="0"/>
    <n v="0"/>
    <n v="30"/>
    <n v="70"/>
    <n v="0"/>
    <n v="533.92999999999995"/>
    <n v="167.16"/>
    <m/>
    <n v="779.76311905780517"/>
    <n v="184.1432479319173"/>
    <n v="0"/>
    <n v="0.93975893617021267"/>
    <n v="0"/>
    <n v="1.2920447046883514"/>
    <x v="2"/>
  </r>
  <r>
    <s v="Regular"/>
    <x v="2"/>
    <x v="3"/>
    <x v="2"/>
    <x v="0"/>
    <x v="2"/>
    <x v="1"/>
    <x v="3"/>
    <x v="8"/>
    <n v="0"/>
    <n v="0"/>
    <n v="1.6E-2"/>
    <n v="1.6E-2"/>
    <n v="1.6E-2"/>
    <n v="1.6E-2"/>
    <n v="0"/>
    <s v="CATIVO"/>
    <n v="0"/>
    <n v="0"/>
    <n v="30"/>
    <n v="70"/>
    <n v="0"/>
    <n v="533.92999999999995"/>
    <n v="167.16"/>
    <m/>
    <n v="779.76311905780517"/>
    <n v="184.1432479319173"/>
    <n v="0"/>
    <n v="0.71600680851063825"/>
    <n v="0"/>
    <n v="0.98441501309588686"/>
    <x v="2"/>
  </r>
  <r>
    <s v="Regular"/>
    <x v="2"/>
    <x v="3"/>
    <x v="2"/>
    <x v="0"/>
    <x v="2"/>
    <x v="1"/>
    <x v="3"/>
    <x v="9"/>
    <n v="0"/>
    <n v="0"/>
    <n v="1.7999999999999999E-2"/>
    <n v="1.7999999999999999E-2"/>
    <n v="1.7999999999999999E-2"/>
    <n v="1.7999999999999999E-2"/>
    <n v="0"/>
    <s v="CATIVO"/>
    <n v="0"/>
    <n v="0"/>
    <n v="30"/>
    <n v="70"/>
    <n v="0"/>
    <n v="533.92999999999995"/>
    <n v="167.16"/>
    <m/>
    <n v="779.76311905780517"/>
    <n v="184.1432479319173"/>
    <n v="0"/>
    <n v="0.8055076595744679"/>
    <n v="0"/>
    <n v="1.1074668897328723"/>
    <x v="2"/>
  </r>
  <r>
    <s v="Regular"/>
    <x v="2"/>
    <x v="3"/>
    <x v="2"/>
    <x v="0"/>
    <x v="2"/>
    <x v="1"/>
    <x v="3"/>
    <x v="10"/>
    <n v="0"/>
    <n v="0"/>
    <n v="2.1999999999999999E-2"/>
    <n v="2.1999999999999999E-2"/>
    <n v="2.1999999999999999E-2"/>
    <n v="2.1999999999999999E-2"/>
    <n v="0"/>
    <s v="CATIVO"/>
    <n v="0"/>
    <n v="0"/>
    <n v="30"/>
    <n v="70"/>
    <n v="0"/>
    <n v="533.92999999999995"/>
    <n v="167.16"/>
    <m/>
    <n v="779.76311905780517"/>
    <n v="184.1432479319173"/>
    <n v="0"/>
    <n v="0.98450936170212755"/>
    <n v="0"/>
    <n v="1.3535706430068446"/>
    <x v="2"/>
  </r>
  <r>
    <s v="Regular"/>
    <x v="2"/>
    <x v="3"/>
    <x v="2"/>
    <x v="0"/>
    <x v="2"/>
    <x v="1"/>
    <x v="3"/>
    <x v="11"/>
    <n v="0"/>
    <n v="0"/>
    <n v="2.1999999999999999E-2"/>
    <n v="2.1999999999999999E-2"/>
    <n v="2.1999999999999999E-2"/>
    <n v="2.1999999999999999E-2"/>
    <n v="0"/>
    <s v="CATIVO"/>
    <n v="0"/>
    <n v="0"/>
    <n v="30"/>
    <n v="70"/>
    <n v="0"/>
    <n v="533.92999999999995"/>
    <n v="167.16"/>
    <m/>
    <n v="779.76311905780517"/>
    <n v="184.1432479319173"/>
    <n v="0"/>
    <n v="0.98450936170212755"/>
    <n v="0"/>
    <n v="1.3535706430068446"/>
    <x v="2"/>
  </r>
  <r>
    <s v="Regular"/>
    <x v="2"/>
    <x v="3"/>
    <x v="2"/>
    <x v="0"/>
    <x v="2"/>
    <x v="1"/>
    <x v="2"/>
    <x v="1"/>
    <n v="0"/>
    <n v="0"/>
    <n v="3.2000000000000001E-2"/>
    <n v="3.2000000000000001E-2"/>
    <n v="3.2000000000000001E-2"/>
    <n v="3.2000000000000001E-2"/>
    <n v="0"/>
    <s v="CATIVO"/>
    <n v="0"/>
    <n v="0"/>
    <n v="29"/>
    <n v="69"/>
    <n v="0"/>
    <n v="824.14"/>
    <n v="262.98"/>
    <m/>
    <n v="1209.7449786714869"/>
    <n v="292.72708179946335"/>
    <n v="0"/>
    <n v="2.220500425531915"/>
    <n v="0"/>
    <n v="3.0688791022385367"/>
    <x v="2"/>
  </r>
  <r>
    <s v="Regular"/>
    <x v="2"/>
    <x v="3"/>
    <x v="2"/>
    <x v="0"/>
    <x v="2"/>
    <x v="1"/>
    <x v="2"/>
    <x v="3"/>
    <n v="0"/>
    <n v="0"/>
    <n v="2.9000000000000001E-2"/>
    <n v="2.9000000000000001E-2"/>
    <n v="2.9000000000000001E-2"/>
    <n v="2.9000000000000001E-2"/>
    <n v="0"/>
    <s v="CATIVO"/>
    <n v="0"/>
    <n v="0"/>
    <n v="29"/>
    <n v="69"/>
    <n v="0"/>
    <n v="824.14"/>
    <n v="262.98"/>
    <m/>
    <n v="1209.7449786714869"/>
    <n v="292.72708179946335"/>
    <n v="0"/>
    <n v="2.012328510638298"/>
    <n v="0"/>
    <n v="2.7811716864036744"/>
    <x v="2"/>
  </r>
  <r>
    <s v="Regular"/>
    <x v="2"/>
    <x v="3"/>
    <x v="2"/>
    <x v="0"/>
    <x v="2"/>
    <x v="1"/>
    <x v="2"/>
    <x v="4"/>
    <n v="0"/>
    <n v="0"/>
    <n v="3.4000000000000002E-2"/>
    <n v="3.4000000000000002E-2"/>
    <n v="3.4000000000000002E-2"/>
    <n v="3.4000000000000002E-2"/>
    <n v="0"/>
    <s v="CATIVO"/>
    <n v="0"/>
    <n v="0"/>
    <n v="29"/>
    <n v="69"/>
    <n v="0"/>
    <n v="824.14"/>
    <n v="262.98"/>
    <m/>
    <n v="1209.7449786714869"/>
    <n v="292.72708179946335"/>
    <n v="0"/>
    <n v="2.3592817021276598"/>
    <n v="0"/>
    <n v="3.260684046128445"/>
    <x v="2"/>
  </r>
  <r>
    <s v="Regular"/>
    <x v="2"/>
    <x v="3"/>
    <x v="2"/>
    <x v="0"/>
    <x v="2"/>
    <x v="1"/>
    <x v="2"/>
    <x v="5"/>
    <n v="0"/>
    <n v="0"/>
    <n v="0.05"/>
    <n v="0.05"/>
    <n v="0.05"/>
    <n v="0.05"/>
    <n v="0"/>
    <s v="CATIVO"/>
    <n v="0"/>
    <n v="0"/>
    <n v="29"/>
    <n v="69"/>
    <n v="0"/>
    <n v="824.14"/>
    <n v="262.98"/>
    <m/>
    <n v="1209.7449786714869"/>
    <n v="292.72708179946335"/>
    <n v="0"/>
    <n v="3.4695319148936172"/>
    <n v="0"/>
    <n v="4.7951235972477146"/>
    <x v="2"/>
  </r>
  <r>
    <s v="Regular"/>
    <x v="2"/>
    <x v="3"/>
    <x v="2"/>
    <x v="0"/>
    <x v="2"/>
    <x v="1"/>
    <x v="2"/>
    <x v="6"/>
    <n v="0"/>
    <n v="0"/>
    <n v="3.5000000000000003E-2"/>
    <n v="3.5000000000000003E-2"/>
    <n v="3.5000000000000003E-2"/>
    <n v="3.5000000000000003E-2"/>
    <n v="0"/>
    <s v="CATIVO"/>
    <n v="0"/>
    <n v="0"/>
    <n v="29"/>
    <n v="69"/>
    <n v="0"/>
    <n v="824.14"/>
    <n v="262.98"/>
    <m/>
    <n v="1209.7449786714869"/>
    <n v="292.72708179946335"/>
    <n v="0"/>
    <n v="2.4286723404255324"/>
    <n v="0"/>
    <n v="3.3565865180733994"/>
    <x v="2"/>
  </r>
  <r>
    <s v="Regular"/>
    <x v="2"/>
    <x v="3"/>
    <x v="2"/>
    <x v="0"/>
    <x v="2"/>
    <x v="1"/>
    <x v="2"/>
    <x v="7"/>
    <n v="0"/>
    <n v="0"/>
    <n v="3.5999999999999997E-2"/>
    <n v="3.5999999999999997E-2"/>
    <n v="3.5999999999999997E-2"/>
    <n v="3.5999999999999997E-2"/>
    <n v="0"/>
    <s v="CATIVO"/>
    <n v="0"/>
    <n v="0"/>
    <n v="29"/>
    <n v="69"/>
    <n v="0"/>
    <n v="824.14"/>
    <n v="262.98"/>
    <m/>
    <n v="1209.7449786714869"/>
    <n v="292.72708179946335"/>
    <n v="0"/>
    <n v="2.4980629787234041"/>
    <n v="0"/>
    <n v="3.4524889900183537"/>
    <x v="2"/>
  </r>
  <r>
    <s v="Regular"/>
    <x v="2"/>
    <x v="3"/>
    <x v="2"/>
    <x v="0"/>
    <x v="2"/>
    <x v="1"/>
    <x v="2"/>
    <x v="8"/>
    <n v="0"/>
    <n v="0"/>
    <n v="0.03"/>
    <n v="0.03"/>
    <n v="0.03"/>
    <n v="0.03"/>
    <n v="0"/>
    <s v="CATIVO"/>
    <n v="0"/>
    <n v="0"/>
    <n v="29"/>
    <n v="69"/>
    <n v="0"/>
    <n v="824.14"/>
    <n v="262.98"/>
    <m/>
    <n v="1209.7449786714869"/>
    <n v="292.72708179946335"/>
    <n v="0"/>
    <n v="2.0817191489361702"/>
    <n v="0"/>
    <n v="2.8770741583486275"/>
    <x v="2"/>
  </r>
  <r>
    <s v="Regular"/>
    <x v="2"/>
    <x v="3"/>
    <x v="2"/>
    <x v="0"/>
    <x v="2"/>
    <x v="1"/>
    <x v="2"/>
    <x v="9"/>
    <n v="0"/>
    <n v="0"/>
    <n v="3.1E-2"/>
    <n v="3.1E-2"/>
    <n v="3.1E-2"/>
    <n v="3.1E-2"/>
    <n v="0"/>
    <s v="CATIVO"/>
    <n v="0"/>
    <n v="0"/>
    <n v="29"/>
    <n v="69"/>
    <n v="0"/>
    <n v="824.14"/>
    <n v="262.98"/>
    <m/>
    <n v="1209.7449786714869"/>
    <n v="292.72708179946335"/>
    <n v="0"/>
    <n v="2.1511097872340428"/>
    <n v="0"/>
    <n v="2.9729766302935827"/>
    <x v="2"/>
  </r>
  <r>
    <s v="Regular"/>
    <x v="2"/>
    <x v="3"/>
    <x v="2"/>
    <x v="0"/>
    <x v="2"/>
    <x v="1"/>
    <x v="2"/>
    <x v="10"/>
    <n v="0"/>
    <n v="0"/>
    <n v="4.2000000000000003E-2"/>
    <n v="4.2000000000000003E-2"/>
    <n v="4.2000000000000003E-2"/>
    <n v="4.2000000000000003E-2"/>
    <n v="0"/>
    <s v="CATIVO"/>
    <n v="0"/>
    <n v="0"/>
    <n v="29"/>
    <n v="69"/>
    <n v="0"/>
    <n v="824.14"/>
    <n v="262.98"/>
    <m/>
    <n v="1209.7449786714869"/>
    <n v="292.72708179946335"/>
    <n v="0"/>
    <n v="2.9144068085106385"/>
    <n v="0"/>
    <n v="4.0279038216880796"/>
    <x v="2"/>
  </r>
  <r>
    <s v="Regular"/>
    <x v="2"/>
    <x v="3"/>
    <x v="2"/>
    <x v="0"/>
    <x v="2"/>
    <x v="1"/>
    <x v="2"/>
    <x v="11"/>
    <n v="0"/>
    <n v="0"/>
    <n v="4.2000000000000003E-2"/>
    <n v="4.2000000000000003E-2"/>
    <n v="4.2000000000000003E-2"/>
    <n v="4.2000000000000003E-2"/>
    <n v="0"/>
    <s v="CATIVO"/>
    <n v="0"/>
    <n v="0"/>
    <n v="29"/>
    <n v="69"/>
    <n v="0"/>
    <n v="824.14"/>
    <n v="262.98"/>
    <m/>
    <n v="1209.7449786714869"/>
    <n v="292.72708179946335"/>
    <n v="0"/>
    <n v="2.9144068085106385"/>
    <n v="0"/>
    <n v="4.0279038216880796"/>
    <x v="2"/>
  </r>
  <r>
    <s v="Regular"/>
    <x v="2"/>
    <x v="2"/>
    <x v="2"/>
    <x v="6"/>
    <x v="3"/>
    <x v="1"/>
    <x v="1"/>
    <x v="0"/>
    <n v="0"/>
    <n v="0"/>
    <n v="4.2359999999999998"/>
    <n v="4.2359999999999998"/>
    <n v="4.2359999999999998"/>
    <n v="4.2359999999999998"/>
    <n v="0"/>
    <s v="CATIVO"/>
    <n v="0"/>
    <n v="0"/>
    <n v="32"/>
    <n v="72"/>
    <n v="0"/>
    <n v="357.74"/>
    <n v="175.15"/>
    <m/>
    <n v="476.04586297106505"/>
    <n v="193.19190075421278"/>
    <n v="0"/>
    <n v="307.78775999999971"/>
    <n v="0"/>
    <n v="180.95050003023064"/>
    <x v="2"/>
  </r>
  <r>
    <s v="Regular"/>
    <x v="2"/>
    <x v="2"/>
    <x v="2"/>
    <x v="6"/>
    <x v="3"/>
    <x v="1"/>
    <x v="1"/>
    <x v="1"/>
    <n v="0"/>
    <n v="0"/>
    <n v="5.0670000000000002"/>
    <n v="5.0670000000000002"/>
    <n v="5.0670000000000002"/>
    <n v="5.0670000000000002"/>
    <n v="0"/>
    <s v="CATIVO"/>
    <n v="0"/>
    <n v="0"/>
    <n v="32"/>
    <n v="72"/>
    <n v="0"/>
    <n v="357.74"/>
    <n v="175.15"/>
    <m/>
    <n v="476.04586297106505"/>
    <n v="193.19190075421278"/>
    <n v="0"/>
    <n v="368.16821999999974"/>
    <n v="0"/>
    <n v="216.44857971038215"/>
    <x v="2"/>
  </r>
  <r>
    <s v="Regular"/>
    <x v="2"/>
    <x v="2"/>
    <x v="2"/>
    <x v="6"/>
    <x v="3"/>
    <x v="1"/>
    <x v="1"/>
    <x v="2"/>
    <n v="0"/>
    <n v="0"/>
    <n v="2.8380000000000001"/>
    <n v="2.8380000000000001"/>
    <n v="2.8380000000000001"/>
    <n v="2.8380000000000001"/>
    <n v="0"/>
    <s v="CATIVO"/>
    <n v="0"/>
    <n v="0"/>
    <n v="32"/>
    <n v="72"/>
    <n v="0"/>
    <n v="357.74"/>
    <n v="175.15"/>
    <m/>
    <n v="476.04586297106505"/>
    <n v="193.19190075421278"/>
    <n v="0"/>
    <n v="206.20907999999983"/>
    <n v="0"/>
    <n v="121.23170894376644"/>
    <x v="2"/>
  </r>
  <r>
    <s v="Regular"/>
    <x v="2"/>
    <x v="2"/>
    <x v="2"/>
    <x v="6"/>
    <x v="3"/>
    <x v="1"/>
    <x v="1"/>
    <x v="3"/>
    <n v="0"/>
    <n v="0"/>
    <n v="5.6070000000000002"/>
    <n v="5.6070000000000002"/>
    <n v="5.6070000000000002"/>
    <n v="5.6070000000000002"/>
    <n v="0"/>
    <s v="CATIVO"/>
    <n v="0"/>
    <n v="0"/>
    <n v="32"/>
    <n v="72"/>
    <n v="0"/>
    <n v="357.74"/>
    <n v="175.15"/>
    <m/>
    <n v="476.04586297106505"/>
    <n v="193.19190075421278"/>
    <n v="0"/>
    <n v="407.40461999999968"/>
    <n v="0"/>
    <n v="239.51592390687048"/>
    <x v="2"/>
  </r>
  <r>
    <s v="Regular"/>
    <x v="2"/>
    <x v="2"/>
    <x v="2"/>
    <x v="6"/>
    <x v="3"/>
    <x v="1"/>
    <x v="1"/>
    <x v="4"/>
    <n v="0"/>
    <n v="0"/>
    <n v="29.422000000000001"/>
    <n v="29.422000000000001"/>
    <n v="29.422000000000001"/>
    <n v="29.422000000000001"/>
    <n v="0"/>
    <s v="CATIVO"/>
    <n v="0"/>
    <n v="0"/>
    <n v="32"/>
    <n v="72"/>
    <n v="0"/>
    <n v="357.74"/>
    <n v="175.15"/>
    <m/>
    <n v="476.04586297106505"/>
    <n v="193.19190075421278"/>
    <n v="0"/>
    <n v="2137.8025199999984"/>
    <n v="0"/>
    <n v="1256.8285202760733"/>
    <x v="2"/>
  </r>
  <r>
    <s v="Regular"/>
    <x v="2"/>
    <x v="2"/>
    <x v="2"/>
    <x v="6"/>
    <x v="3"/>
    <x v="1"/>
    <x v="1"/>
    <x v="5"/>
    <n v="0"/>
    <n v="0"/>
    <n v="40.567999999999998"/>
    <n v="40.567999999999998"/>
    <n v="40.567999999999998"/>
    <n v="40.567999999999998"/>
    <n v="0"/>
    <s v="CATIVO"/>
    <n v="0"/>
    <n v="0"/>
    <n v="32"/>
    <n v="72"/>
    <n v="0"/>
    <n v="357.74"/>
    <n v="175.15"/>
    <m/>
    <n v="476.04586297106505"/>
    <n v="193.19190075421278"/>
    <n v="0"/>
    <n v="2947.6708799999974"/>
    <n v="0"/>
    <n v="1732.9555914132193"/>
    <x v="2"/>
  </r>
  <r>
    <s v="Regular"/>
    <x v="2"/>
    <x v="2"/>
    <x v="2"/>
    <x v="6"/>
    <x v="3"/>
    <x v="1"/>
    <x v="1"/>
    <x v="6"/>
    <n v="0"/>
    <n v="0"/>
    <n v="38.094000000000001"/>
    <n v="38.094000000000001"/>
    <n v="38.094000000000001"/>
    <n v="38.094000000000001"/>
    <n v="0"/>
    <s v="CATIVO"/>
    <n v="0"/>
    <n v="0"/>
    <n v="32"/>
    <n v="72"/>
    <n v="0"/>
    <n v="357.74"/>
    <n v="175.15"/>
    <m/>
    <n v="476.04586297106505"/>
    <n v="193.19190075421278"/>
    <n v="0"/>
    <n v="2767.9100399999979"/>
    <n v="0"/>
    <n v="1627.272981150049"/>
    <x v="2"/>
  </r>
  <r>
    <s v="Regular"/>
    <x v="2"/>
    <x v="2"/>
    <x v="2"/>
    <x v="6"/>
    <x v="3"/>
    <x v="1"/>
    <x v="1"/>
    <x v="7"/>
    <n v="0"/>
    <n v="0"/>
    <n v="27.29"/>
    <n v="27.29"/>
    <n v="27.29"/>
    <n v="27.29"/>
    <n v="0"/>
    <s v="CATIVO"/>
    <n v="0"/>
    <n v="0"/>
    <n v="32"/>
    <n v="72"/>
    <n v="0"/>
    <n v="357.74"/>
    <n v="175.15"/>
    <m/>
    <n v="476.04586297106505"/>
    <n v="193.19190075421278"/>
    <n v="0"/>
    <n v="1982.8913999999984"/>
    <n v="0"/>
    <n v="1165.755228004012"/>
    <x v="2"/>
  </r>
  <r>
    <s v="Regular"/>
    <x v="2"/>
    <x v="2"/>
    <x v="2"/>
    <x v="6"/>
    <x v="3"/>
    <x v="1"/>
    <x v="1"/>
    <x v="8"/>
    <n v="0"/>
    <n v="0"/>
    <n v="3.7909999999999999"/>
    <n v="3.7909999999999999"/>
    <n v="3.7909999999999999"/>
    <n v="3.7909999999999999"/>
    <n v="0"/>
    <s v="CATIVO"/>
    <n v="0"/>
    <n v="0"/>
    <n v="32"/>
    <n v="72"/>
    <n v="0"/>
    <n v="357.74"/>
    <n v="175.15"/>
    <m/>
    <n v="476.04586297106505"/>
    <n v="193.19190075421278"/>
    <n v="0"/>
    <n v="275.45405999999974"/>
    <n v="0"/>
    <n v="161.94129972016157"/>
    <x v="2"/>
  </r>
  <r>
    <s v="Regular"/>
    <x v="2"/>
    <x v="2"/>
    <x v="2"/>
    <x v="6"/>
    <x v="3"/>
    <x v="1"/>
    <x v="1"/>
    <x v="9"/>
    <n v="0"/>
    <n v="0"/>
    <n v="1.879"/>
    <n v="1.879"/>
    <n v="1.879"/>
    <n v="1.879"/>
    <n v="0"/>
    <s v="CATIVO"/>
    <n v="0"/>
    <n v="0"/>
    <n v="32"/>
    <n v="72"/>
    <n v="0"/>
    <n v="357.74"/>
    <n v="175.15"/>
    <m/>
    <n v="476.04586297106505"/>
    <n v="193.19190075421278"/>
    <n v="0"/>
    <n v="136.52813999999989"/>
    <n v="0"/>
    <n v="80.265814342965868"/>
    <x v="2"/>
  </r>
  <r>
    <s v="Regular"/>
    <x v="2"/>
    <x v="2"/>
    <x v="2"/>
    <x v="6"/>
    <x v="3"/>
    <x v="1"/>
    <x v="1"/>
    <x v="10"/>
    <n v="0"/>
    <n v="0"/>
    <n v="1.1619999999999999"/>
    <n v="1.1619999999999999"/>
    <n v="1.1619999999999999"/>
    <n v="1.1619999999999999"/>
    <n v="0"/>
    <s v="CATIVO"/>
    <n v="0"/>
    <n v="0"/>
    <n v="32"/>
    <n v="72"/>
    <n v="0"/>
    <n v="357.74"/>
    <n v="175.15"/>
    <m/>
    <n v="476.04586297106505"/>
    <n v="193.19190075421278"/>
    <n v="0"/>
    <n v="84.430919999999929"/>
    <n v="0"/>
    <n v="49.637507326517472"/>
    <x v="2"/>
  </r>
  <r>
    <s v="Regular"/>
    <x v="2"/>
    <x v="2"/>
    <x v="2"/>
    <x v="6"/>
    <x v="3"/>
    <x v="1"/>
    <x v="1"/>
    <x v="11"/>
    <n v="0"/>
    <n v="0"/>
    <n v="0.8"/>
    <n v="0.8"/>
    <n v="0.8"/>
    <n v="0.8"/>
    <n v="0"/>
    <s v="CATIVO"/>
    <n v="0"/>
    <n v="0"/>
    <n v="32"/>
    <n v="72"/>
    <n v="0"/>
    <n v="357.74"/>
    <n v="175.15"/>
    <m/>
    <n v="476.04586297106505"/>
    <n v="193.19190075421278"/>
    <n v="0"/>
    <n v="58.127999999999957"/>
    <n v="0"/>
    <n v="34.173843254056784"/>
    <x v="2"/>
  </r>
  <r>
    <s v="Regular"/>
    <x v="2"/>
    <x v="2"/>
    <x v="2"/>
    <x v="6"/>
    <x v="4"/>
    <x v="1"/>
    <x v="1"/>
    <x v="0"/>
    <n v="0"/>
    <n v="0"/>
    <n v="0.82299999999999995"/>
    <n v="0.32919999999999999"/>
    <n v="0.82299999999999995"/>
    <n v="0.32919999999999999"/>
    <n v="0"/>
    <s v="CATIVO"/>
    <n v="0"/>
    <n v="0"/>
    <n v="32"/>
    <n v="72"/>
    <n v="0"/>
    <n v="357.74"/>
    <n v="175.15"/>
    <m/>
    <n v="476.04586297106505"/>
    <n v="193.19190075421278"/>
    <n v="0"/>
    <n v="322.94026199999996"/>
    <n v="0"/>
    <n v="365.62594897515305"/>
    <x v="5"/>
  </r>
  <r>
    <s v="Regular"/>
    <x v="2"/>
    <x v="2"/>
    <x v="2"/>
    <x v="6"/>
    <x v="4"/>
    <x v="1"/>
    <x v="1"/>
    <x v="1"/>
    <n v="0"/>
    <n v="0"/>
    <n v="1.702"/>
    <n v="0.68079999999999996"/>
    <n v="1.702"/>
    <n v="0.68079999999999996"/>
    <n v="0"/>
    <s v="CATIVO"/>
    <n v="0"/>
    <n v="0"/>
    <n v="32"/>
    <n v="72"/>
    <n v="0"/>
    <n v="357.74"/>
    <n v="175.15"/>
    <m/>
    <n v="476.04586297106505"/>
    <n v="193.19190075421278"/>
    <n v="0"/>
    <n v="667.85458799999981"/>
    <n v="0"/>
    <n v="756.13045583925941"/>
    <x v="5"/>
  </r>
  <r>
    <s v="Regular"/>
    <x v="2"/>
    <x v="2"/>
    <x v="2"/>
    <x v="6"/>
    <x v="4"/>
    <x v="1"/>
    <x v="1"/>
    <x v="2"/>
    <n v="0"/>
    <n v="0"/>
    <n v="1.234"/>
    <n v="0.49359999999999998"/>
    <n v="1.234"/>
    <n v="0.49359999999999998"/>
    <n v="0"/>
    <s v="CATIVO"/>
    <n v="0"/>
    <n v="0"/>
    <n v="32"/>
    <n v="72"/>
    <n v="0"/>
    <n v="357.74"/>
    <n v="175.15"/>
    <m/>
    <n v="476.04586297106505"/>
    <n v="193.19190075421278"/>
    <n v="0"/>
    <n v="484.2141959999999"/>
    <n v="0"/>
    <n v="548.21679348157818"/>
    <x v="5"/>
  </r>
  <r>
    <s v="Regular"/>
    <x v="2"/>
    <x v="2"/>
    <x v="2"/>
    <x v="6"/>
    <x v="4"/>
    <x v="1"/>
    <x v="1"/>
    <x v="3"/>
    <n v="0"/>
    <n v="0"/>
    <n v="2.4849999999999999"/>
    <n v="0.99399999999999999"/>
    <n v="2.4849999999999999"/>
    <n v="0.99399999999999999"/>
    <n v="0"/>
    <s v="CATIVO"/>
    <n v="0"/>
    <n v="0"/>
    <n v="32"/>
    <n v="72"/>
    <n v="0"/>
    <n v="357.74"/>
    <n v="175.15"/>
    <m/>
    <n v="476.04586297106505"/>
    <n v="193.19190075421278"/>
    <n v="0"/>
    <n v="975.09908999999971"/>
    <n v="0"/>
    <n v="1103.986006322303"/>
    <x v="5"/>
  </r>
  <r>
    <s v="Regular"/>
    <x v="2"/>
    <x v="2"/>
    <x v="2"/>
    <x v="6"/>
    <x v="4"/>
    <x v="1"/>
    <x v="1"/>
    <x v="4"/>
    <n v="0"/>
    <n v="0"/>
    <n v="12.452"/>
    <n v="4.9808000000000003"/>
    <n v="12.452"/>
    <n v="4.9808000000000003"/>
    <n v="0"/>
    <s v="CATIVO"/>
    <n v="0"/>
    <n v="0"/>
    <n v="32"/>
    <n v="72"/>
    <n v="0"/>
    <n v="357.74"/>
    <n v="175.15"/>
    <m/>
    <n v="476.04586297106505"/>
    <n v="193.19190075421278"/>
    <n v="0"/>
    <n v="4886.090087999999"/>
    <n v="0"/>
    <n v="5531.9250505936889"/>
    <x v="5"/>
  </r>
  <r>
    <s v="Regular"/>
    <x v="2"/>
    <x v="2"/>
    <x v="2"/>
    <x v="6"/>
    <x v="4"/>
    <x v="1"/>
    <x v="1"/>
    <x v="5"/>
    <n v="0"/>
    <n v="0"/>
    <n v="17.614999999999998"/>
    <n v="7.0460000000000003"/>
    <n v="17.614999999999998"/>
    <n v="7.0460000000000003"/>
    <n v="0"/>
    <s v="CATIVO"/>
    <n v="0"/>
    <n v="0"/>
    <n v="32"/>
    <n v="72"/>
    <n v="0"/>
    <n v="357.74"/>
    <n v="175.15"/>
    <m/>
    <n v="476.04586297106505"/>
    <n v="193.19190075421278"/>
    <n v="0"/>
    <n v="6912.0203099999981"/>
    <n v="0"/>
    <n v="7825.6392359627234"/>
    <x v="5"/>
  </r>
  <r>
    <s v="Regular"/>
    <x v="2"/>
    <x v="2"/>
    <x v="2"/>
    <x v="6"/>
    <x v="4"/>
    <x v="1"/>
    <x v="1"/>
    <x v="6"/>
    <n v="0"/>
    <n v="0"/>
    <n v="19.951000000000001"/>
    <n v="7.9804000000000004"/>
    <n v="19.951000000000001"/>
    <n v="7.9804000000000004"/>
    <n v="0"/>
    <s v="CATIVO"/>
    <n v="0"/>
    <n v="0"/>
    <n v="32"/>
    <n v="72"/>
    <n v="0"/>
    <n v="357.74"/>
    <n v="175.15"/>
    <m/>
    <n v="476.04586297106505"/>
    <n v="193.19190075421278"/>
    <n v="0"/>
    <n v="7828.6526939999994"/>
    <n v="0"/>
    <n v="8863.4305079019196"/>
    <x v="5"/>
  </r>
  <r>
    <s v="Regular"/>
    <x v="2"/>
    <x v="2"/>
    <x v="2"/>
    <x v="6"/>
    <x v="4"/>
    <x v="1"/>
    <x v="1"/>
    <x v="7"/>
    <n v="0"/>
    <n v="0"/>
    <n v="13.702999999999999"/>
    <n v="5.4812000000000003"/>
    <n v="13.702999999999999"/>
    <n v="5.4812000000000003"/>
    <n v="0"/>
    <s v="CATIVO"/>
    <n v="0"/>
    <n v="0"/>
    <n v="32"/>
    <n v="72"/>
    <n v="0"/>
    <n v="357.74"/>
    <n v="175.15"/>
    <m/>
    <n v="476.04586297106505"/>
    <n v="193.19190075421278"/>
    <n v="0"/>
    <n v="5376.9749819999988"/>
    <n v="0"/>
    <n v="6087.6942634344132"/>
    <x v="5"/>
  </r>
  <r>
    <s v="Regular"/>
    <x v="2"/>
    <x v="2"/>
    <x v="2"/>
    <x v="6"/>
    <x v="4"/>
    <x v="1"/>
    <x v="1"/>
    <x v="8"/>
    <n v="0"/>
    <n v="0"/>
    <n v="1.51"/>
    <n v="0.60399999999999998"/>
    <n v="1.51"/>
    <n v="0.60399999999999998"/>
    <n v="0"/>
    <s v="CATIVO"/>
    <n v="0"/>
    <n v="0"/>
    <n v="32"/>
    <n v="72"/>
    <n v="0"/>
    <n v="357.74"/>
    <n v="175.15"/>
    <m/>
    <n v="476.04586297106505"/>
    <n v="193.19190075421278"/>
    <n v="0"/>
    <n v="592.51493999999991"/>
    <n v="0"/>
    <n v="670.83254307713389"/>
    <x v="5"/>
  </r>
  <r>
    <s v="Regular"/>
    <x v="2"/>
    <x v="2"/>
    <x v="2"/>
    <x v="6"/>
    <x v="4"/>
    <x v="1"/>
    <x v="1"/>
    <x v="9"/>
    <n v="0"/>
    <n v="0"/>
    <n v="0.372"/>
    <n v="0.14879999999999999"/>
    <n v="0.372"/>
    <n v="0.14879999999999999"/>
    <n v="0"/>
    <s v="CATIVO"/>
    <n v="0"/>
    <n v="0"/>
    <n v="32"/>
    <n v="72"/>
    <n v="0"/>
    <n v="357.74"/>
    <n v="175.15"/>
    <m/>
    <n v="476.04586297106505"/>
    <n v="193.19190075421278"/>
    <n v="0"/>
    <n v="145.97056799999996"/>
    <n v="0"/>
    <n v="165.26470597661842"/>
    <x v="5"/>
  </r>
  <r>
    <s v="Regular"/>
    <x v="2"/>
    <x v="2"/>
    <x v="2"/>
    <x v="6"/>
    <x v="4"/>
    <x v="1"/>
    <x v="1"/>
    <x v="10"/>
    <n v="0"/>
    <n v="0"/>
    <n v="0.152"/>
    <n v="6.08E-2"/>
    <n v="0.152"/>
    <n v="6.08E-2"/>
    <n v="0"/>
    <s v="CATIVO"/>
    <n v="0"/>
    <n v="0"/>
    <n v="32"/>
    <n v="72"/>
    <n v="0"/>
    <n v="357.74"/>
    <n v="175.15"/>
    <m/>
    <n v="476.04586297106505"/>
    <n v="193.19190075421278"/>
    <n v="0"/>
    <n v="59.64388799999999"/>
    <n v="0"/>
    <n v="67.527514270016127"/>
    <x v="5"/>
  </r>
  <r>
    <s v="Regular"/>
    <x v="2"/>
    <x v="2"/>
    <x v="2"/>
    <x v="0"/>
    <x v="2"/>
    <x v="1"/>
    <x v="1"/>
    <x v="0"/>
    <n v="0"/>
    <n v="0"/>
    <n v="1126.674"/>
    <n v="1126.674"/>
    <n v="1126.674"/>
    <n v="1126.674"/>
    <n v="4531"/>
    <s v="CATIVO"/>
    <n v="0"/>
    <n v="0"/>
    <n v="32"/>
    <n v="72"/>
    <n v="0"/>
    <n v="357.74"/>
    <n v="175.15"/>
    <m/>
    <n v="476.04586297106505"/>
    <n v="193.19190075421278"/>
    <n v="0"/>
    <n v="81864.132839999933"/>
    <n v="0"/>
    <n v="48128.475843026463"/>
    <x v="2"/>
  </r>
  <r>
    <s v="Refaturamento - Regular"/>
    <x v="2"/>
    <x v="2"/>
    <x v="2"/>
    <x v="0"/>
    <x v="2"/>
    <x v="1"/>
    <x v="1"/>
    <x v="0"/>
    <n v="0"/>
    <n v="0"/>
    <n v="-1.522"/>
    <n v="-1.522"/>
    <n v="-1.522"/>
    <n v="-1.522"/>
    <n v="0"/>
    <s v="CATIVO"/>
    <n v="0"/>
    <n v="0"/>
    <n v="32"/>
    <n v="72"/>
    <n v="0"/>
    <n v="357.74"/>
    <n v="175.15"/>
    <m/>
    <n v="476.04586297106505"/>
    <n v="193.19190075421278"/>
    <n v="0"/>
    <n v="-110.5885199999999"/>
    <n v="0"/>
    <n v="-65.015736790843036"/>
    <x v="2"/>
  </r>
  <r>
    <s v="Sistema de Compensação"/>
    <x v="2"/>
    <x v="2"/>
    <x v="2"/>
    <x v="0"/>
    <x v="2"/>
    <x v="1"/>
    <x v="1"/>
    <x v="0"/>
    <n v="0"/>
    <n v="0"/>
    <n v="12.750999999999999"/>
    <n v="12.750999999999999"/>
    <n v="12.750999999999999"/>
    <n v="12.750999999999999"/>
    <n v="37"/>
    <s v="CATIVO"/>
    <n v="0"/>
    <n v="0"/>
    <n v="32"/>
    <n v="72"/>
    <n v="0"/>
    <n v="357.74"/>
    <n v="175.15"/>
    <m/>
    <n v="476.04586297106505"/>
    <n v="193.19190075421278"/>
    <n v="0"/>
    <n v="926.48765999999921"/>
    <n v="0"/>
    <n v="544.68834416559753"/>
    <x v="2"/>
  </r>
  <r>
    <s v="Regular"/>
    <x v="2"/>
    <x v="2"/>
    <x v="2"/>
    <x v="0"/>
    <x v="2"/>
    <x v="1"/>
    <x v="1"/>
    <x v="1"/>
    <n v="0"/>
    <n v="0"/>
    <n v="1124.0170000000001"/>
    <n v="1124.0170000000001"/>
    <n v="1124.0170000000001"/>
    <n v="1124.0170000000001"/>
    <n v="4536"/>
    <s v="CATIVO"/>
    <n v="0"/>
    <n v="0"/>
    <n v="32"/>
    <n v="72"/>
    <n v="0"/>
    <n v="357.74"/>
    <n v="175.15"/>
    <m/>
    <n v="476.04586297106505"/>
    <n v="193.19190075421278"/>
    <n v="0"/>
    <n v="81671.075219999941"/>
    <n v="0"/>
    <n v="48014.975966118931"/>
    <x v="2"/>
  </r>
  <r>
    <s v="Refaturamento - Regular"/>
    <x v="2"/>
    <x v="2"/>
    <x v="2"/>
    <x v="0"/>
    <x v="2"/>
    <x v="1"/>
    <x v="1"/>
    <x v="1"/>
    <n v="0"/>
    <n v="0"/>
    <n v="1.9E-2"/>
    <n v="1.9E-2"/>
    <n v="1.9E-2"/>
    <n v="1.9E-2"/>
    <n v="0"/>
    <s v="CATIVO"/>
    <n v="0"/>
    <n v="0"/>
    <n v="32"/>
    <n v="72"/>
    <n v="0"/>
    <n v="357.74"/>
    <n v="175.15"/>
    <m/>
    <n v="476.04586297106505"/>
    <n v="193.19190075421278"/>
    <n v="0"/>
    <n v="1.3805399999999988"/>
    <n v="0"/>
    <n v="0.81162877728384852"/>
    <x v="2"/>
  </r>
  <r>
    <s v="Sistema de Compensação"/>
    <x v="2"/>
    <x v="2"/>
    <x v="2"/>
    <x v="0"/>
    <x v="2"/>
    <x v="1"/>
    <x v="1"/>
    <x v="1"/>
    <n v="0"/>
    <n v="0"/>
    <n v="12.103999999999999"/>
    <n v="12.103999999999999"/>
    <n v="12.103999999999999"/>
    <n v="12.103999999999999"/>
    <n v="39"/>
    <s v="CATIVO"/>
    <n v="0"/>
    <n v="0"/>
    <n v="32"/>
    <n v="72"/>
    <n v="0"/>
    <n v="357.74"/>
    <n v="175.15"/>
    <m/>
    <n v="476.04586297106505"/>
    <n v="193.19190075421278"/>
    <n v="0"/>
    <n v="879.47663999999918"/>
    <n v="0"/>
    <n v="517.05024843387912"/>
    <x v="2"/>
  </r>
  <r>
    <s v="Regular"/>
    <x v="2"/>
    <x v="2"/>
    <x v="2"/>
    <x v="0"/>
    <x v="2"/>
    <x v="1"/>
    <x v="1"/>
    <x v="2"/>
    <n v="0"/>
    <n v="0"/>
    <n v="1096.153"/>
    <n v="1096.153"/>
    <n v="1096.153"/>
    <n v="1096.153"/>
    <n v="4534"/>
    <s v="CATIVO"/>
    <n v="0"/>
    <n v="0"/>
    <n v="32"/>
    <n v="72"/>
    <n v="0"/>
    <n v="357.74"/>
    <n v="175.15"/>
    <m/>
    <n v="476.04586297106505"/>
    <n v="193.19190075421278"/>
    <n v="0"/>
    <n v="79646.476979999934"/>
    <n v="0"/>
    <n v="46824.701005580129"/>
    <x v="2"/>
  </r>
  <r>
    <s v="Refaturamento - Regular"/>
    <x v="2"/>
    <x v="2"/>
    <x v="2"/>
    <x v="0"/>
    <x v="2"/>
    <x v="1"/>
    <x v="1"/>
    <x v="2"/>
    <n v="0"/>
    <n v="0"/>
    <n v="-2.4340000000000002"/>
    <n v="-2.4340000000000002"/>
    <n v="-2.4340000000000002"/>
    <n v="-2.4340000000000002"/>
    <n v="0"/>
    <s v="CATIVO"/>
    <n v="0"/>
    <n v="0"/>
    <n v="32"/>
    <n v="72"/>
    <n v="0"/>
    <n v="357.74"/>
    <n v="175.15"/>
    <m/>
    <n v="476.04586297106505"/>
    <n v="193.19190075421278"/>
    <n v="0"/>
    <n v="-176.85443999999987"/>
    <n v="0"/>
    <n v="-103.97391810046777"/>
    <x v="2"/>
  </r>
  <r>
    <s v="Sistema de Compensação"/>
    <x v="2"/>
    <x v="2"/>
    <x v="2"/>
    <x v="0"/>
    <x v="2"/>
    <x v="1"/>
    <x v="1"/>
    <x v="2"/>
    <n v="0"/>
    <n v="0"/>
    <n v="10.117000000000001"/>
    <n v="10.117000000000001"/>
    <n v="10.117000000000001"/>
    <n v="10.117000000000001"/>
    <n v="40"/>
    <s v="CATIVO"/>
    <n v="0"/>
    <n v="0"/>
    <n v="32"/>
    <n v="72"/>
    <n v="0"/>
    <n v="357.74"/>
    <n v="175.15"/>
    <m/>
    <n v="476.04586297106505"/>
    <n v="193.19190075421278"/>
    <n v="0"/>
    <n v="735.10121999999944"/>
    <n v="0"/>
    <n v="432.17096525161566"/>
    <x v="2"/>
  </r>
  <r>
    <s v="Regular"/>
    <x v="2"/>
    <x v="2"/>
    <x v="2"/>
    <x v="0"/>
    <x v="2"/>
    <x v="1"/>
    <x v="1"/>
    <x v="3"/>
    <n v="0"/>
    <n v="0"/>
    <n v="1158.865"/>
    <n v="1158.865"/>
    <n v="1158.865"/>
    <n v="1158.865"/>
    <n v="4539"/>
    <s v="CATIVO"/>
    <n v="0"/>
    <n v="0"/>
    <n v="32"/>
    <n v="72"/>
    <n v="0"/>
    <n v="357.74"/>
    <n v="175.15"/>
    <m/>
    <n v="476.04586297106505"/>
    <n v="193.19190075421278"/>
    <n v="0"/>
    <n v="84203.130899999931"/>
    <n v="0"/>
    <n v="49503.588578265641"/>
    <x v="2"/>
  </r>
  <r>
    <s v="Refaturamento - Regular"/>
    <x v="2"/>
    <x v="2"/>
    <x v="2"/>
    <x v="0"/>
    <x v="2"/>
    <x v="1"/>
    <x v="1"/>
    <x v="3"/>
    <n v="0"/>
    <n v="0"/>
    <n v="-1.619"/>
    <n v="-1.619"/>
    <n v="-1.619"/>
    <n v="-1.619"/>
    <n v="0"/>
    <s v="CATIVO"/>
    <n v="0"/>
    <n v="0"/>
    <n v="32"/>
    <n v="72"/>
    <n v="0"/>
    <n v="357.74"/>
    <n v="175.15"/>
    <m/>
    <n v="476.04586297106505"/>
    <n v="193.19190075421278"/>
    <n v="0"/>
    <n v="-117.6365399999999"/>
    <n v="0"/>
    <n v="-69.159315285397412"/>
    <x v="2"/>
  </r>
  <r>
    <s v="Sistema de Compensação"/>
    <x v="2"/>
    <x v="2"/>
    <x v="2"/>
    <x v="0"/>
    <x v="2"/>
    <x v="1"/>
    <x v="1"/>
    <x v="3"/>
    <n v="0"/>
    <n v="0"/>
    <n v="11.327"/>
    <n v="11.327"/>
    <n v="11.327"/>
    <n v="11.327"/>
    <n v="45"/>
    <s v="CATIVO"/>
    <n v="0"/>
    <n v="0"/>
    <n v="32"/>
    <n v="72"/>
    <n v="0"/>
    <n v="357.74"/>
    <n v="175.15"/>
    <m/>
    <n v="476.04586297106505"/>
    <n v="193.19190075421278"/>
    <n v="0"/>
    <n v="823.0198199999993"/>
    <n v="0"/>
    <n v="483.85890317337646"/>
    <x v="2"/>
  </r>
  <r>
    <s v="Regular"/>
    <x v="2"/>
    <x v="2"/>
    <x v="2"/>
    <x v="0"/>
    <x v="2"/>
    <x v="1"/>
    <x v="1"/>
    <x v="4"/>
    <n v="0"/>
    <n v="0"/>
    <n v="1383.107"/>
    <n v="1383.107"/>
    <n v="1383.107"/>
    <n v="1383.107"/>
    <n v="4514"/>
    <s v="CATIVO"/>
    <n v="0"/>
    <n v="0"/>
    <n v="32"/>
    <n v="72"/>
    <n v="0"/>
    <n v="357.74"/>
    <n v="175.15"/>
    <m/>
    <n v="476.04586297106505"/>
    <n v="193.19190075421278"/>
    <n v="0"/>
    <n v="100496.55461999991"/>
    <n v="0"/>
    <n v="59082.60227698589"/>
    <x v="2"/>
  </r>
  <r>
    <s v="Refaturamento - Regular"/>
    <x v="2"/>
    <x v="2"/>
    <x v="2"/>
    <x v="0"/>
    <x v="2"/>
    <x v="1"/>
    <x v="1"/>
    <x v="4"/>
    <n v="0"/>
    <n v="0"/>
    <n v="-8.7420000000000009"/>
    <n v="-8.7420000000000009"/>
    <n v="-8.7420000000000009"/>
    <n v="-8.7420000000000009"/>
    <n v="0"/>
    <s v="CATIVO"/>
    <n v="0"/>
    <n v="0"/>
    <n v="32"/>
    <n v="72"/>
    <n v="0"/>
    <n v="357.74"/>
    <n v="175.15"/>
    <m/>
    <n v="476.04586297106505"/>
    <n v="193.19190075421278"/>
    <n v="0"/>
    <n v="-635.19371999999953"/>
    <n v="0"/>
    <n v="-373.43467215870555"/>
    <x v="2"/>
  </r>
  <r>
    <s v="Sistema de Compensação"/>
    <x v="2"/>
    <x v="2"/>
    <x v="2"/>
    <x v="0"/>
    <x v="2"/>
    <x v="1"/>
    <x v="1"/>
    <x v="4"/>
    <n v="0"/>
    <n v="0"/>
    <n v="16.164999999999999"/>
    <n v="16.164999999999999"/>
    <n v="16.164999999999999"/>
    <n v="16.164999999999999"/>
    <n v="47"/>
    <s v="CATIVO"/>
    <n v="0"/>
    <n v="0"/>
    <n v="32"/>
    <n v="72"/>
    <n v="0"/>
    <n v="357.74"/>
    <n v="175.15"/>
    <m/>
    <n v="476.04586297106505"/>
    <n v="193.19190075421278"/>
    <n v="0"/>
    <n v="1174.5488999999989"/>
    <n v="0"/>
    <n v="690.52522025228484"/>
    <x v="2"/>
  </r>
  <r>
    <s v="Regular"/>
    <x v="2"/>
    <x v="2"/>
    <x v="2"/>
    <x v="0"/>
    <x v="2"/>
    <x v="1"/>
    <x v="1"/>
    <x v="5"/>
    <n v="0"/>
    <n v="0"/>
    <n v="1749.32"/>
    <n v="1749.32"/>
    <n v="1749.32"/>
    <n v="1749.32"/>
    <n v="4519"/>
    <s v="CATIVO"/>
    <n v="0"/>
    <n v="0"/>
    <n v="32"/>
    <n v="72"/>
    <n v="0"/>
    <n v="357.74"/>
    <n v="175.15"/>
    <m/>
    <n v="476.04586297106505"/>
    <n v="193.19190075421278"/>
    <n v="0"/>
    <n v="127105.59119999989"/>
    <n v="0"/>
    <n v="74726.234351483261"/>
    <x v="2"/>
  </r>
  <r>
    <s v="Refaturamento - Regular"/>
    <x v="2"/>
    <x v="2"/>
    <x v="2"/>
    <x v="0"/>
    <x v="2"/>
    <x v="1"/>
    <x v="1"/>
    <x v="5"/>
    <n v="0"/>
    <n v="0"/>
    <n v="3.4449999999999998"/>
    <n v="3.4449999999999998"/>
    <n v="3.4449999999999998"/>
    <n v="3.4449999999999998"/>
    <n v="0"/>
    <s v="CATIVO"/>
    <n v="0"/>
    <n v="0"/>
    <n v="32"/>
    <n v="72"/>
    <n v="0"/>
    <n v="357.74"/>
    <n v="175.15"/>
    <m/>
    <n v="476.04586297106505"/>
    <n v="193.19190075421278"/>
    <n v="0"/>
    <n v="250.31369999999978"/>
    <n v="0"/>
    <n v="147.16111251278201"/>
    <x v="2"/>
  </r>
  <r>
    <s v="Sistema de Compensação"/>
    <x v="2"/>
    <x v="2"/>
    <x v="2"/>
    <x v="0"/>
    <x v="2"/>
    <x v="1"/>
    <x v="1"/>
    <x v="5"/>
    <n v="0"/>
    <n v="0"/>
    <n v="26.19"/>
    <n v="26.19"/>
    <n v="26.19"/>
    <n v="26.19"/>
    <n v="49"/>
    <s v="CATIVO"/>
    <n v="0"/>
    <n v="0"/>
    <n v="32"/>
    <n v="72"/>
    <n v="0"/>
    <n v="357.74"/>
    <n v="175.15"/>
    <m/>
    <n v="476.04586297106505"/>
    <n v="193.19190075421278"/>
    <n v="0"/>
    <n v="1902.9653999999985"/>
    <n v="0"/>
    <n v="1118.766193529684"/>
    <x v="2"/>
  </r>
  <r>
    <s v="Regular"/>
    <x v="2"/>
    <x v="2"/>
    <x v="2"/>
    <x v="0"/>
    <x v="2"/>
    <x v="1"/>
    <x v="1"/>
    <x v="6"/>
    <n v="0"/>
    <n v="0"/>
    <n v="2106.8679999999999"/>
    <n v="2106.8679999999999"/>
    <n v="2106.8679999999999"/>
    <n v="2106.8679999999999"/>
    <n v="4514"/>
    <s v="CATIVO"/>
    <n v="0"/>
    <n v="0"/>
    <n v="32"/>
    <n v="72"/>
    <n v="0"/>
    <n v="357.74"/>
    <n v="175.15"/>
    <m/>
    <n v="476.04586297106505"/>
    <n v="193.19190075421278"/>
    <n v="0"/>
    <n v="153085.02887999988"/>
    <n v="0"/>
    <n v="89999.72098623513"/>
    <x v="2"/>
  </r>
  <r>
    <s v="Refaturamento - Regular"/>
    <x v="2"/>
    <x v="2"/>
    <x v="2"/>
    <x v="0"/>
    <x v="2"/>
    <x v="1"/>
    <x v="1"/>
    <x v="6"/>
    <n v="0"/>
    <n v="0"/>
    <n v="1.38"/>
    <n v="1.38"/>
    <n v="1.38"/>
    <n v="1.38"/>
    <n v="0"/>
    <s v="CATIVO"/>
    <n v="0"/>
    <n v="0"/>
    <n v="32"/>
    <n v="72"/>
    <n v="0"/>
    <n v="357.74"/>
    <n v="175.15"/>
    <m/>
    <n v="476.04586297106505"/>
    <n v="193.19190075421278"/>
    <n v="0"/>
    <n v="100.27079999999991"/>
    <n v="0"/>
    <n v="58.949879613247944"/>
    <x v="2"/>
  </r>
  <r>
    <s v="Sistema de Compensação"/>
    <x v="2"/>
    <x v="2"/>
    <x v="2"/>
    <x v="0"/>
    <x v="2"/>
    <x v="1"/>
    <x v="1"/>
    <x v="6"/>
    <n v="0"/>
    <n v="0"/>
    <n v="26.847999999999999"/>
    <n v="26.847999999999999"/>
    <n v="26.847999999999999"/>
    <n v="26.847999999999999"/>
    <n v="50"/>
    <s v="CATIVO"/>
    <n v="0"/>
    <n v="0"/>
    <n v="32"/>
    <n v="72"/>
    <n v="0"/>
    <n v="357.74"/>
    <n v="175.15"/>
    <m/>
    <n v="476.04586297106505"/>
    <n v="193.19190075421278"/>
    <n v="0"/>
    <n v="1950.7756799999984"/>
    <n v="0"/>
    <n v="1146.8741796061456"/>
    <x v="2"/>
  </r>
  <r>
    <s v="Regular"/>
    <x v="2"/>
    <x v="2"/>
    <x v="2"/>
    <x v="0"/>
    <x v="2"/>
    <x v="1"/>
    <x v="1"/>
    <x v="7"/>
    <n v="0"/>
    <n v="0"/>
    <n v="2103.116"/>
    <n v="2103.116"/>
    <n v="2103.116"/>
    <n v="2103.116"/>
    <n v="4485"/>
    <s v="CATIVO"/>
    <n v="0"/>
    <n v="0"/>
    <n v="32"/>
    <n v="72"/>
    <n v="0"/>
    <n v="357.74"/>
    <n v="175.15"/>
    <m/>
    <n v="476.04586297106505"/>
    <n v="193.19190075421278"/>
    <n v="0"/>
    <n v="152812.40855999987"/>
    <n v="0"/>
    <n v="89839.445661373611"/>
    <x v="2"/>
  </r>
  <r>
    <s v="Refaturamento - Regular"/>
    <x v="2"/>
    <x v="2"/>
    <x v="2"/>
    <x v="0"/>
    <x v="2"/>
    <x v="1"/>
    <x v="1"/>
    <x v="7"/>
    <n v="0"/>
    <n v="0"/>
    <n v="15.670999999999999"/>
    <n v="15.670999999999999"/>
    <n v="15.670999999999999"/>
    <n v="15.670999999999999"/>
    <n v="0"/>
    <s v="CATIVO"/>
    <n v="0"/>
    <n v="0"/>
    <n v="32"/>
    <n v="72"/>
    <n v="0"/>
    <n v="357.74"/>
    <n v="175.15"/>
    <m/>
    <n v="476.04586297106505"/>
    <n v="193.19190075421278"/>
    <n v="0"/>
    <n v="1138.654859999999"/>
    <n v="0"/>
    <n v="669.42287204290483"/>
    <x v="2"/>
  </r>
  <r>
    <s v="Sistema de Compensação"/>
    <x v="2"/>
    <x v="2"/>
    <x v="2"/>
    <x v="0"/>
    <x v="2"/>
    <x v="1"/>
    <x v="1"/>
    <x v="7"/>
    <n v="0"/>
    <n v="0"/>
    <n v="17.902999999999999"/>
    <n v="17.902999999999999"/>
    <n v="17.902999999999999"/>
    <n v="17.902999999999999"/>
    <n v="50"/>
    <s v="CATIVO"/>
    <n v="0"/>
    <n v="0"/>
    <n v="32"/>
    <n v="72"/>
    <n v="0"/>
    <n v="357.74"/>
    <n v="175.15"/>
    <m/>
    <n v="476.04586297106505"/>
    <n v="193.19190075421278"/>
    <n v="0"/>
    <n v="1300.8319799999988"/>
    <n v="0"/>
    <n v="764.76789472172322"/>
    <x v="2"/>
  </r>
  <r>
    <s v="Regular"/>
    <x v="2"/>
    <x v="2"/>
    <x v="2"/>
    <x v="0"/>
    <x v="2"/>
    <x v="1"/>
    <x v="1"/>
    <x v="8"/>
    <n v="0"/>
    <n v="0"/>
    <n v="1813.027"/>
    <n v="1813.027"/>
    <n v="1813.027"/>
    <n v="1813.027"/>
    <n v="4493"/>
    <s v="CATIVO"/>
    <n v="0"/>
    <n v="0"/>
    <n v="32"/>
    <n v="72"/>
    <n v="0"/>
    <n v="357.74"/>
    <n v="175.15"/>
    <m/>
    <n v="476.04586297106505"/>
    <n v="193.19190075421278"/>
    <n v="0"/>
    <n v="131734.5418199999"/>
    <n v="0"/>
    <n v="77447.625641716004"/>
    <x v="2"/>
  </r>
  <r>
    <s v="Refaturamento - Regular"/>
    <x v="2"/>
    <x v="2"/>
    <x v="2"/>
    <x v="0"/>
    <x v="2"/>
    <x v="1"/>
    <x v="1"/>
    <x v="8"/>
    <n v="0"/>
    <n v="0"/>
    <n v="1.29"/>
    <n v="1.29"/>
    <n v="1.29"/>
    <n v="1.29"/>
    <n v="0"/>
    <s v="CATIVO"/>
    <n v="0"/>
    <n v="0"/>
    <n v="32"/>
    <n v="72"/>
    <n v="0"/>
    <n v="357.74"/>
    <n v="175.15"/>
    <m/>
    <n v="476.04586297106505"/>
    <n v="193.19190075421278"/>
    <n v="0"/>
    <n v="93.731399999999923"/>
    <n v="0"/>
    <n v="55.105322247166562"/>
    <x v="2"/>
  </r>
  <r>
    <s v="Sistema de Compensação"/>
    <x v="2"/>
    <x v="2"/>
    <x v="2"/>
    <x v="0"/>
    <x v="2"/>
    <x v="1"/>
    <x v="1"/>
    <x v="8"/>
    <n v="0"/>
    <n v="0"/>
    <n v="34.594000000000001"/>
    <n v="34.594000000000001"/>
    <n v="34.594000000000001"/>
    <n v="34.594000000000001"/>
    <n v="45"/>
    <s v="CATIVO"/>
    <n v="0"/>
    <n v="0"/>
    <n v="32"/>
    <n v="72"/>
    <n v="0"/>
    <n v="357.74"/>
    <n v="175.15"/>
    <m/>
    <n v="476.04586297106505"/>
    <n v="193.19190075421278"/>
    <n v="0"/>
    <n v="2513.600039999998"/>
    <n v="0"/>
    <n v="1477.7624169135504"/>
    <x v="2"/>
  </r>
  <r>
    <s v="Regular"/>
    <x v="2"/>
    <x v="2"/>
    <x v="2"/>
    <x v="0"/>
    <x v="2"/>
    <x v="1"/>
    <x v="1"/>
    <x v="9"/>
    <n v="0"/>
    <n v="0"/>
    <n v="1764.9369999999999"/>
    <n v="1764.9369999999999"/>
    <n v="1764.9369999999999"/>
    <n v="1764.9369999999999"/>
    <n v="4502"/>
    <s v="CATIVO"/>
    <n v="0"/>
    <n v="0"/>
    <n v="32"/>
    <n v="72"/>
    <n v="0"/>
    <n v="357.74"/>
    <n v="175.15"/>
    <m/>
    <n v="476.04586297106505"/>
    <n v="193.19190075421278"/>
    <n v="0"/>
    <n v="128240.32241999988"/>
    <n v="0"/>
    <n v="75393.350489106509"/>
    <x v="2"/>
  </r>
  <r>
    <s v="Refaturamento - Regular"/>
    <x v="2"/>
    <x v="2"/>
    <x v="2"/>
    <x v="0"/>
    <x v="2"/>
    <x v="1"/>
    <x v="1"/>
    <x v="9"/>
    <n v="0"/>
    <n v="0"/>
    <n v="-3.8220000000000001"/>
    <n v="-3.8220000000000001"/>
    <n v="-3.8220000000000001"/>
    <n v="-3.8220000000000001"/>
    <n v="0"/>
    <s v="CATIVO"/>
    <n v="0"/>
    <n v="0"/>
    <n v="32"/>
    <n v="72"/>
    <n v="0"/>
    <n v="357.74"/>
    <n v="175.15"/>
    <m/>
    <n v="476.04586297106505"/>
    <n v="193.19190075421278"/>
    <n v="0"/>
    <n v="-277.70651999999978"/>
    <n v="0"/>
    <n v="-163.2655361462563"/>
    <x v="2"/>
  </r>
  <r>
    <s v="Sistema de Compensação"/>
    <x v="2"/>
    <x v="2"/>
    <x v="2"/>
    <x v="0"/>
    <x v="2"/>
    <x v="1"/>
    <x v="1"/>
    <x v="9"/>
    <n v="0"/>
    <n v="0"/>
    <n v="25.048999999999999"/>
    <n v="25.048999999999999"/>
    <n v="25.048999999999999"/>
    <n v="25.048999999999999"/>
    <n v="40"/>
    <s v="CATIVO"/>
    <n v="0"/>
    <n v="0"/>
    <n v="32"/>
    <n v="72"/>
    <n v="0"/>
    <n v="357.74"/>
    <n v="175.15"/>
    <m/>
    <n v="476.04586297106505"/>
    <n v="193.19190075421278"/>
    <n v="0"/>
    <n v="1820.0603399999984"/>
    <n v="0"/>
    <n v="1070.0257495885853"/>
    <x v="2"/>
  </r>
  <r>
    <s v="Regular"/>
    <x v="2"/>
    <x v="2"/>
    <x v="2"/>
    <x v="0"/>
    <x v="2"/>
    <x v="1"/>
    <x v="1"/>
    <x v="10"/>
    <n v="0"/>
    <n v="0"/>
    <n v="1466.04"/>
    <n v="1466.04"/>
    <n v="1466.04"/>
    <n v="1466.04"/>
    <n v="4505"/>
    <s v="CATIVO"/>
    <n v="0"/>
    <n v="0"/>
    <n v="32"/>
    <n v="72"/>
    <n v="0"/>
    <n v="357.74"/>
    <n v="175.15"/>
    <m/>
    <n v="476.04586297106505"/>
    <n v="193.19190075421278"/>
    <n v="0"/>
    <n v="106522.4663999999"/>
    <n v="0"/>
    <n v="62625.276455221756"/>
    <x v="2"/>
  </r>
  <r>
    <s v="Refaturamento - Regular"/>
    <x v="2"/>
    <x v="2"/>
    <x v="2"/>
    <x v="0"/>
    <x v="2"/>
    <x v="1"/>
    <x v="1"/>
    <x v="10"/>
    <n v="0"/>
    <n v="0"/>
    <n v="0.58299999999999996"/>
    <n v="0.58299999999999996"/>
    <n v="0.58299999999999996"/>
    <n v="0.58299999999999996"/>
    <n v="0"/>
    <s v="CATIVO"/>
    <n v="0"/>
    <n v="0"/>
    <n v="32"/>
    <n v="72"/>
    <n v="0"/>
    <n v="357.74"/>
    <n v="175.15"/>
    <m/>
    <n v="476.04586297106505"/>
    <n v="193.19190075421278"/>
    <n v="0"/>
    <n v="42.360779999999963"/>
    <n v="0"/>
    <n v="24.904188271393878"/>
    <x v="2"/>
  </r>
  <r>
    <s v="Sistema de Compensação"/>
    <x v="2"/>
    <x v="2"/>
    <x v="2"/>
    <x v="0"/>
    <x v="2"/>
    <x v="1"/>
    <x v="1"/>
    <x v="10"/>
    <n v="0"/>
    <n v="0"/>
    <n v="14.222"/>
    <n v="14.222"/>
    <n v="14.222"/>
    <n v="14.222"/>
    <n v="48"/>
    <s v="CATIVO"/>
    <n v="0"/>
    <n v="0"/>
    <n v="32"/>
    <n v="72"/>
    <n v="0"/>
    <n v="357.74"/>
    <n v="175.15"/>
    <m/>
    <n v="476.04586297106505"/>
    <n v="193.19190075421278"/>
    <n v="0"/>
    <n v="1033.370519999999"/>
    <n v="0"/>
    <n v="607.52549844899443"/>
    <x v="2"/>
  </r>
  <r>
    <s v="Regular"/>
    <x v="2"/>
    <x v="2"/>
    <x v="2"/>
    <x v="0"/>
    <x v="2"/>
    <x v="1"/>
    <x v="1"/>
    <x v="11"/>
    <n v="0"/>
    <n v="0"/>
    <n v="1335.79"/>
    <n v="1335.79"/>
    <n v="1335.79"/>
    <n v="1335.79"/>
    <n v="4496"/>
    <s v="CATIVO"/>
    <n v="0"/>
    <n v="0"/>
    <n v="32"/>
    <n v="72"/>
    <n v="0"/>
    <n v="357.74"/>
    <n v="175.15"/>
    <m/>
    <n v="476.04586297106505"/>
    <n v="193.19190075421278"/>
    <n v="0"/>
    <n v="97058.501399999921"/>
    <n v="0"/>
    <n v="57061.347600420639"/>
    <x v="2"/>
  </r>
  <r>
    <s v="Refaturamento - Regular"/>
    <x v="2"/>
    <x v="2"/>
    <x v="2"/>
    <x v="0"/>
    <x v="2"/>
    <x v="1"/>
    <x v="1"/>
    <x v="11"/>
    <n v="0"/>
    <n v="0"/>
    <n v="-2.8180000000000001"/>
    <n v="-2.8180000000000001"/>
    <n v="-2.8180000000000001"/>
    <n v="-2.8180000000000001"/>
    <n v="0"/>
    <s v="CATIVO"/>
    <n v="0"/>
    <n v="0"/>
    <n v="32"/>
    <n v="72"/>
    <n v="0"/>
    <n v="357.74"/>
    <n v="175.15"/>
    <m/>
    <n v="476.04586297106505"/>
    <n v="193.19190075421278"/>
    <n v="0"/>
    <n v="-204.75587999999985"/>
    <n v="0"/>
    <n v="-120.37736286241503"/>
    <x v="2"/>
  </r>
  <r>
    <s v="Sistema de Compensação"/>
    <x v="2"/>
    <x v="2"/>
    <x v="2"/>
    <x v="0"/>
    <x v="2"/>
    <x v="1"/>
    <x v="1"/>
    <x v="11"/>
    <n v="0"/>
    <n v="0"/>
    <n v="22.350999999999999"/>
    <n v="22.350999999999999"/>
    <n v="22.350999999999999"/>
    <n v="22.350999999999999"/>
    <n v="52"/>
    <s v="CATIVO"/>
    <n v="0"/>
    <n v="0"/>
    <n v="32"/>
    <n v="72"/>
    <n v="0"/>
    <n v="357.74"/>
    <n v="175.15"/>
    <m/>
    <n v="476.04586297106505"/>
    <n v="193.19190075421278"/>
    <n v="0"/>
    <n v="1624.0236599999987"/>
    <n v="0"/>
    <n v="954.77446321427885"/>
    <x v="2"/>
  </r>
  <r>
    <s v="Regular"/>
    <x v="3"/>
    <x v="3"/>
    <x v="4"/>
    <x v="7"/>
    <x v="2"/>
    <x v="1"/>
    <x v="2"/>
    <x v="6"/>
    <n v="0"/>
    <n v="0"/>
    <n v="0.69399999999999995"/>
    <n v="0.65235999999999994"/>
    <n v="0.69399999999999995"/>
    <n v="0.65235999999999994"/>
    <n v="0"/>
    <s v="CATIVO"/>
    <n v="0"/>
    <n v="0"/>
    <n v="44"/>
    <n v="84"/>
    <n v="0"/>
    <n v="1127.9100000000001"/>
    <n v="298.83999999999997"/>
    <m/>
    <n v="1450.329666462862"/>
    <n v="311.4117891483653"/>
    <n v="0"/>
    <n v="59.409870000000012"/>
    <n v="0"/>
    <n v="73.358914211651523"/>
    <x v="6"/>
  </r>
  <r>
    <s v="Regular"/>
    <x v="3"/>
    <x v="2"/>
    <x v="4"/>
    <x v="7"/>
    <x v="2"/>
    <x v="1"/>
    <x v="1"/>
    <x v="0"/>
    <n v="0"/>
    <n v="0"/>
    <n v="74.566999999999993"/>
    <n v="70.092979999999983"/>
    <n v="74.566999999999993"/>
    <n v="70.092979999999983"/>
    <n v="29"/>
    <s v="CATIVO"/>
    <n v="0"/>
    <n v="0"/>
    <n v="47"/>
    <n v="87"/>
    <n v="0"/>
    <n v="406.52"/>
    <n v="199.03"/>
    <m/>
    <n v="506.43176911815436"/>
    <n v="205.52329867469447"/>
    <n v="0"/>
    <n v="2709.242811000006"/>
    <n v="0"/>
    <n v="3185.301212406569"/>
    <x v="6"/>
  </r>
  <r>
    <s v="Regular"/>
    <x v="3"/>
    <x v="2"/>
    <x v="4"/>
    <x v="7"/>
    <x v="2"/>
    <x v="1"/>
    <x v="1"/>
    <x v="1"/>
    <n v="0"/>
    <n v="0"/>
    <n v="72.856999999999999"/>
    <n v="68.485579999999999"/>
    <n v="72.856999999999999"/>
    <n v="68.485579999999999"/>
    <n v="29"/>
    <s v="CATIVO"/>
    <n v="0"/>
    <n v="0"/>
    <n v="47"/>
    <n v="87"/>
    <n v="0"/>
    <n v="406.52"/>
    <n v="199.03"/>
    <m/>
    <n v="506.43176911815436"/>
    <n v="205.52329867469447"/>
    <n v="0"/>
    <n v="2647.1133810000001"/>
    <n v="0"/>
    <n v="3112.2546224510156"/>
    <x v="6"/>
  </r>
  <r>
    <s v="Regular"/>
    <x v="3"/>
    <x v="2"/>
    <x v="4"/>
    <x v="7"/>
    <x v="2"/>
    <x v="1"/>
    <x v="1"/>
    <x v="2"/>
    <n v="0"/>
    <n v="0"/>
    <n v="73.664000000000001"/>
    <n v="69.244159999999994"/>
    <n v="73.664000000000001"/>
    <n v="69.244159999999994"/>
    <n v="29"/>
    <s v="CATIVO"/>
    <n v="0"/>
    <n v="0"/>
    <n v="47"/>
    <n v="87"/>
    <n v="0"/>
    <n v="406.52"/>
    <n v="199.03"/>
    <m/>
    <n v="506.43176911815436"/>
    <n v="205.52329867469447"/>
    <n v="0"/>
    <n v="2676.4341120000045"/>
    <n v="0"/>
    <n v="3146.7274868335508"/>
    <x v="6"/>
  </r>
  <r>
    <s v="Regular"/>
    <x v="3"/>
    <x v="2"/>
    <x v="4"/>
    <x v="7"/>
    <x v="2"/>
    <x v="1"/>
    <x v="1"/>
    <x v="3"/>
    <n v="0"/>
    <n v="0"/>
    <n v="76.557000000000002"/>
    <n v="71.963579999999993"/>
    <n v="76.557000000000002"/>
    <n v="71.963579999999993"/>
    <n v="29"/>
    <s v="CATIVO"/>
    <n v="0"/>
    <n v="0"/>
    <n v="47"/>
    <n v="87"/>
    <n v="0"/>
    <n v="406.52"/>
    <n v="199.03"/>
    <m/>
    <n v="506.43176911815436"/>
    <n v="205.52329867469447"/>
    <n v="0"/>
    <n v="2781.5454810000051"/>
    <n v="0"/>
    <n v="3270.3086475010341"/>
    <x v="6"/>
  </r>
  <r>
    <s v="Regular"/>
    <x v="3"/>
    <x v="2"/>
    <x v="4"/>
    <x v="7"/>
    <x v="2"/>
    <x v="1"/>
    <x v="1"/>
    <x v="4"/>
    <n v="0"/>
    <n v="0"/>
    <n v="71.665999999999997"/>
    <n v="67.366039999999998"/>
    <n v="71.665999999999997"/>
    <n v="67.366039999999998"/>
    <n v="30"/>
    <s v="CATIVO"/>
    <n v="0"/>
    <n v="0"/>
    <n v="47"/>
    <n v="87"/>
    <n v="0"/>
    <n v="406.52"/>
    <n v="199.03"/>
    <m/>
    <n v="506.43176911815436"/>
    <n v="205.52329867469447"/>
    <n v="0"/>
    <n v="2603.8407779999989"/>
    <n v="0"/>
    <n v="3061.3783133065372"/>
    <x v="6"/>
  </r>
  <r>
    <s v="Regular"/>
    <x v="3"/>
    <x v="2"/>
    <x v="4"/>
    <x v="7"/>
    <x v="2"/>
    <x v="1"/>
    <x v="1"/>
    <x v="5"/>
    <n v="0"/>
    <n v="0"/>
    <n v="79.037000000000006"/>
    <n v="74.294780000000003"/>
    <n v="79.037000000000006"/>
    <n v="74.294780000000003"/>
    <n v="30"/>
    <s v="CATIVO"/>
    <n v="0"/>
    <n v="0"/>
    <n v="47"/>
    <n v="87"/>
    <n v="0"/>
    <n v="406.52"/>
    <n v="199.03"/>
    <m/>
    <n v="506.43176911815436"/>
    <n v="205.52329867469447"/>
    <n v="0"/>
    <n v="2871.6513210000021"/>
    <n v="0"/>
    <n v="3376.247561588606"/>
    <x v="6"/>
  </r>
  <r>
    <s v="Regular"/>
    <x v="3"/>
    <x v="2"/>
    <x v="4"/>
    <x v="7"/>
    <x v="2"/>
    <x v="1"/>
    <x v="1"/>
    <x v="6"/>
    <n v="0"/>
    <n v="0"/>
    <n v="82.933000000000007"/>
    <n v="77.95702"/>
    <n v="82.933000000000007"/>
    <n v="77.95702"/>
    <n v="31"/>
    <s v="CATIVO"/>
    <n v="0"/>
    <n v="0"/>
    <n v="47"/>
    <n v="87"/>
    <n v="0"/>
    <n v="406.52"/>
    <n v="199.03"/>
    <m/>
    <n v="506.43176911815436"/>
    <n v="205.52329867469447"/>
    <n v="0"/>
    <n v="3013.2046890000042"/>
    <n v="0"/>
    <n v="3542.6741782358649"/>
    <x v="6"/>
  </r>
  <r>
    <s v="Regular"/>
    <x v="3"/>
    <x v="2"/>
    <x v="4"/>
    <x v="7"/>
    <x v="2"/>
    <x v="1"/>
    <x v="1"/>
    <x v="7"/>
    <n v="0"/>
    <n v="0"/>
    <n v="102.13200000000001"/>
    <n v="96.004080000000002"/>
    <n v="102.13200000000001"/>
    <n v="96.004080000000002"/>
    <n v="31"/>
    <s v="CATIVO"/>
    <n v="0"/>
    <n v="0"/>
    <n v="47"/>
    <n v="87"/>
    <n v="0"/>
    <n v="406.52"/>
    <n v="199.03"/>
    <m/>
    <n v="506.43176911815436"/>
    <n v="205.52329867469447"/>
    <n v="0"/>
    <n v="3710.7619560000021"/>
    <n v="0"/>
    <n v="4362.8036990291566"/>
    <x v="6"/>
  </r>
  <r>
    <s v="Refaturamento - Regular"/>
    <x v="3"/>
    <x v="2"/>
    <x v="4"/>
    <x v="7"/>
    <x v="2"/>
    <x v="1"/>
    <x v="1"/>
    <x v="7"/>
    <n v="0"/>
    <n v="0"/>
    <n v="0.69399999999999995"/>
    <n v="0.65235999999999994"/>
    <n v="0.69399999999999995"/>
    <n v="0.65235999999999994"/>
    <n v="0"/>
    <s v="CATIVO"/>
    <n v="0"/>
    <n v="0"/>
    <n v="47"/>
    <n v="87"/>
    <n v="0"/>
    <n v="406.52"/>
    <n v="199.03"/>
    <m/>
    <n v="506.43176911815436"/>
    <n v="205.52329867469447"/>
    <n v="0"/>
    <n v="25.215102000000005"/>
    <n v="0"/>
    <n v="29.645809022894234"/>
    <x v="6"/>
  </r>
  <r>
    <s v="Regular"/>
    <x v="3"/>
    <x v="2"/>
    <x v="4"/>
    <x v="7"/>
    <x v="2"/>
    <x v="1"/>
    <x v="1"/>
    <x v="8"/>
    <n v="0"/>
    <n v="0"/>
    <n v="94.444000000000003"/>
    <n v="88.777360000000002"/>
    <n v="94.444000000000003"/>
    <n v="88.777360000000002"/>
    <n v="31"/>
    <s v="CATIVO"/>
    <n v="0"/>
    <n v="0"/>
    <n v="47"/>
    <n v="87"/>
    <n v="0"/>
    <n v="406.52"/>
    <n v="199.03"/>
    <m/>
    <n v="506.43176911815436"/>
    <n v="205.52329867469447"/>
    <n v="0"/>
    <n v="3431.4338520000001"/>
    <n v="0"/>
    <n v="4034.3930653576699"/>
    <x v="6"/>
  </r>
  <r>
    <s v="Regular"/>
    <x v="3"/>
    <x v="2"/>
    <x v="4"/>
    <x v="7"/>
    <x v="2"/>
    <x v="1"/>
    <x v="1"/>
    <x v="9"/>
    <n v="0"/>
    <n v="0"/>
    <n v="81.756"/>
    <n v="76.850639999999999"/>
    <n v="81.756"/>
    <n v="76.850639999999999"/>
    <n v="31"/>
    <s v="CATIVO"/>
    <n v="0"/>
    <n v="0"/>
    <n v="47"/>
    <n v="87"/>
    <n v="0"/>
    <n v="406.52"/>
    <n v="199.03"/>
    <m/>
    <n v="506.43176911815436"/>
    <n v="205.52329867469447"/>
    <n v="0"/>
    <n v="2970.4407480000009"/>
    <n v="0"/>
    <n v="3492.3959113483302"/>
    <x v="6"/>
  </r>
  <r>
    <s v="Regular"/>
    <x v="3"/>
    <x v="2"/>
    <x v="4"/>
    <x v="7"/>
    <x v="2"/>
    <x v="1"/>
    <x v="1"/>
    <x v="10"/>
    <n v="0"/>
    <n v="0"/>
    <n v="80.668999999999997"/>
    <n v="75.828859999999992"/>
    <n v="80.668999999999997"/>
    <n v="75.828859999999992"/>
    <n v="32"/>
    <s v="CATIVO"/>
    <n v="0"/>
    <n v="0"/>
    <n v="47"/>
    <n v="87"/>
    <n v="0"/>
    <n v="406.52"/>
    <n v="199.03"/>
    <m/>
    <n v="506.43176911815436"/>
    <n v="205.52329867469447"/>
    <n v="0"/>
    <n v="2930.9467770000028"/>
    <n v="0"/>
    <n v="3445.9622018268833"/>
    <x v="6"/>
  </r>
  <r>
    <s v="Regular"/>
    <x v="3"/>
    <x v="2"/>
    <x v="4"/>
    <x v="7"/>
    <x v="2"/>
    <x v="1"/>
    <x v="1"/>
    <x v="11"/>
    <n v="0"/>
    <n v="0"/>
    <n v="77.650999999999996"/>
    <n v="72.991939999999985"/>
    <n v="77.650999999999996"/>
    <n v="72.991939999999985"/>
    <n v="32"/>
    <s v="CATIVO"/>
    <n v="0"/>
    <n v="0"/>
    <n v="47"/>
    <n v="87"/>
    <n v="0"/>
    <n v="406.52"/>
    <n v="199.03"/>
    <m/>
    <n v="506.43176911815436"/>
    <n v="205.52329867469447"/>
    <n v="0"/>
    <n v="2821.2937830000064"/>
    <n v="0"/>
    <n v="3317.0413781509578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">
  <r>
    <s v="Regular"/>
    <x v="0"/>
    <x v="0"/>
    <x v="0"/>
    <x v="0"/>
    <x v="0"/>
    <x v="0"/>
    <x v="0"/>
    <x v="0"/>
    <n v="1083"/>
    <n v="1083"/>
    <n v="292.06900000000002"/>
    <n v="292.069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5309.710000000003"/>
    <n v="3785.2142400000002"/>
    <n v="0"/>
    <n v="25796.747516649884"/>
    <n v="3243.1129031869591"/>
    <n v="0"/>
  </r>
  <r>
    <s v="Regular"/>
    <x v="0"/>
    <x v="0"/>
    <x v="0"/>
    <x v="0"/>
    <x v="0"/>
    <x v="0"/>
    <x v="0"/>
    <x v="1"/>
    <n v="1058"/>
    <n v="1058"/>
    <n v="315.666"/>
    <n v="315.666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4725.460000000003"/>
    <n v="4091.0313600000004"/>
    <n v="0"/>
    <n v="25201.254730023615"/>
    <n v="3505.1322725020959"/>
    <n v="0"/>
  </r>
  <r>
    <s v="Regular"/>
    <x v="0"/>
    <x v="0"/>
    <x v="0"/>
    <x v="0"/>
    <x v="0"/>
    <x v="0"/>
    <x v="0"/>
    <x v="2"/>
    <n v="1067"/>
    <n v="1067"/>
    <n v="290.14600000000002"/>
    <n v="290.146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4935.79"/>
    <n v="3760.2921600000004"/>
    <n v="0"/>
    <n v="25415.632133209074"/>
    <n v="3221.7600512484496"/>
    <n v="0"/>
  </r>
  <r>
    <s v="Regular"/>
    <x v="0"/>
    <x v="0"/>
    <x v="0"/>
    <x v="0"/>
    <x v="0"/>
    <x v="0"/>
    <x v="0"/>
    <x v="3"/>
    <n v="1154"/>
    <n v="1154"/>
    <n v="296.44299999999998"/>
    <n v="296.44299999999998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6968.98"/>
    <n v="3841.90128"/>
    <n v="0"/>
    <n v="27487.947030668482"/>
    <n v="3291.6814806071566"/>
    <n v="0"/>
  </r>
  <r>
    <s v="Regular"/>
    <x v="0"/>
    <x v="0"/>
    <x v="0"/>
    <x v="0"/>
    <x v="0"/>
    <x v="0"/>
    <x v="0"/>
    <x v="4"/>
    <n v="1511"/>
    <n v="1511"/>
    <n v="431.755"/>
    <n v="431.755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5312.07"/>
    <n v="5595.5448000000006"/>
    <n v="0"/>
    <n v="35991.584023691576"/>
    <n v="4794.1760731727281"/>
    <n v="0"/>
  </r>
  <r>
    <s v="Regular"/>
    <x v="0"/>
    <x v="0"/>
    <x v="0"/>
    <x v="0"/>
    <x v="0"/>
    <x v="0"/>
    <x v="0"/>
    <x v="5"/>
    <n v="1813"/>
    <n v="1813"/>
    <n v="603.375"/>
    <n v="603.375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42369.810000000005"/>
    <n v="7819.7400000000007"/>
    <n v="0"/>
    <n v="43185.136886136876"/>
    <n v="6699.8320532491689"/>
    <n v="0"/>
  </r>
  <r>
    <s v="Regular"/>
    <x v="0"/>
    <x v="0"/>
    <x v="0"/>
    <x v="0"/>
    <x v="0"/>
    <x v="0"/>
    <x v="0"/>
    <x v="6"/>
    <n v="2086"/>
    <n v="2086"/>
    <n v="632.43200000000002"/>
    <n v="632.432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48749.82"/>
    <n v="8196.3187200000011"/>
    <n v="0"/>
    <n v="49687.918116095709"/>
    <n v="7022.4788648858148"/>
    <n v="0"/>
  </r>
  <r>
    <s v="Regular"/>
    <x v="0"/>
    <x v="0"/>
    <x v="0"/>
    <x v="0"/>
    <x v="0"/>
    <x v="0"/>
    <x v="0"/>
    <x v="7"/>
    <n v="1549"/>
    <n v="1549"/>
    <n v="438.084"/>
    <n v="438.084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6200.130000000005"/>
    <n v="5677.5686400000004"/>
    <n v="0"/>
    <n v="36896.733059363498"/>
    <n v="4864.4528282007186"/>
    <n v="0"/>
  </r>
  <r>
    <s v="Regular"/>
    <x v="0"/>
    <x v="0"/>
    <x v="0"/>
    <x v="0"/>
    <x v="0"/>
    <x v="0"/>
    <x v="0"/>
    <x v="8"/>
    <n v="1215"/>
    <n v="1215"/>
    <n v="410.32900000000001"/>
    <n v="410.32900000000001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8394.550000000003"/>
    <n v="5317.8638400000009"/>
    <n v="0"/>
    <n v="28940.949430036573"/>
    <n v="4556.2633297330485"/>
    <n v="0"/>
  </r>
  <r>
    <s v="Regular"/>
    <x v="0"/>
    <x v="0"/>
    <x v="0"/>
    <x v="0"/>
    <x v="0"/>
    <x v="0"/>
    <x v="0"/>
    <x v="9"/>
    <n v="1322"/>
    <n v="1322"/>
    <n v="395.52"/>
    <n v="395.5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0895.140000000003"/>
    <n v="5125.9391999999998"/>
    <n v="0"/>
    <n v="31489.658556796996"/>
    <n v="4391.8252723449114"/>
    <n v="0"/>
  </r>
  <r>
    <s v="Regular"/>
    <x v="0"/>
    <x v="0"/>
    <x v="0"/>
    <x v="0"/>
    <x v="0"/>
    <x v="0"/>
    <x v="0"/>
    <x v="10"/>
    <n v="1251"/>
    <n v="1251"/>
    <n v="348.14400000000001"/>
    <n v="348.14400000000001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29235.870000000003"/>
    <n v="4511.9462400000002"/>
    <n v="0"/>
    <n v="29798.459042778395"/>
    <n v="3865.7656189705881"/>
    <n v="0"/>
  </r>
  <r>
    <s v="Regular"/>
    <x v="0"/>
    <x v="0"/>
    <x v="0"/>
    <x v="0"/>
    <x v="0"/>
    <x v="0"/>
    <x v="0"/>
    <x v="11"/>
    <n v="1345"/>
    <n v="1345"/>
    <n v="354.02800000000002"/>
    <n v="354.02800000000002"/>
    <n v="0"/>
    <n v="0"/>
    <n v="0"/>
    <x v="0"/>
    <n v="5343"/>
    <n v="6"/>
    <n v="7"/>
    <n v="0"/>
    <n v="23.37"/>
    <n v="12.96"/>
    <n v="0"/>
    <n v="23.819711465050677"/>
    <n v="11.103927165111529"/>
    <n v="233.70080441251889"/>
    <n v="31432.65"/>
    <n v="4588.2028800000007"/>
    <n v="0"/>
    <n v="32037.511920493162"/>
    <n v="3931.1011264101044"/>
    <n v="0"/>
  </r>
  <r>
    <s v="Regular"/>
    <x v="0"/>
    <x v="0"/>
    <x v="0"/>
    <x v="0"/>
    <x v="0"/>
    <x v="0"/>
    <x v="1"/>
    <x v="0"/>
    <n v="0"/>
    <n v="0"/>
    <n v="0"/>
    <n v="0"/>
    <n v="342.21800000000002"/>
    <n v="293.41771319999998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3366.489342672001"/>
    <n v="0"/>
    <n v="0"/>
    <n v="68571.955603721755"/>
  </r>
  <r>
    <s v="Regular"/>
    <x v="0"/>
    <x v="0"/>
    <x v="0"/>
    <x v="0"/>
    <x v="0"/>
    <x v="0"/>
    <x v="1"/>
    <x v="1"/>
    <n v="0"/>
    <n v="0"/>
    <n v="0"/>
    <n v="0"/>
    <n v="369.23899999999998"/>
    <n v="316.58551859999994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8369.80859685599"/>
    <n v="0"/>
    <n v="0"/>
    <n v="73986.290362174448"/>
  </r>
  <r>
    <s v="Regular"/>
    <x v="0"/>
    <x v="0"/>
    <x v="0"/>
    <x v="0"/>
    <x v="0"/>
    <x v="0"/>
    <x v="1"/>
    <x v="2"/>
    <n v="0"/>
    <n v="0"/>
    <n v="0"/>
    <n v="0"/>
    <n v="336.33800000000002"/>
    <n v="288.37620120000003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2277.724411152005"/>
    <n v="0"/>
    <n v="0"/>
    <n v="67393.750193866406"/>
  </r>
  <r>
    <s v="Regular"/>
    <x v="0"/>
    <x v="0"/>
    <x v="0"/>
    <x v="0"/>
    <x v="0"/>
    <x v="0"/>
    <x v="1"/>
    <x v="3"/>
    <n v="0"/>
    <n v="0"/>
    <n v="0"/>
    <n v="0"/>
    <n v="343.803"/>
    <n v="294.77669219999996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63659.974447511995"/>
    <n v="0"/>
    <n v="0"/>
    <n v="68889.550089201468"/>
  </r>
  <r>
    <s v="Regular"/>
    <x v="0"/>
    <x v="0"/>
    <x v="0"/>
    <x v="0"/>
    <x v="0"/>
    <x v="0"/>
    <x v="1"/>
    <x v="4"/>
    <n v="0"/>
    <n v="0"/>
    <n v="0"/>
    <n v="0"/>
    <n v="490.92599999999999"/>
    <n v="420.91995239999994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90901.872920303984"/>
    <n v="0"/>
    <n v="0"/>
    <n v="98369.331469159151"/>
  </r>
  <r>
    <s v="Regular"/>
    <x v="0"/>
    <x v="0"/>
    <x v="0"/>
    <x v="0"/>
    <x v="0"/>
    <x v="0"/>
    <x v="1"/>
    <x v="5"/>
    <n v="0"/>
    <n v="0"/>
    <n v="0"/>
    <n v="0"/>
    <n v="681.79300000000001"/>
    <n v="584.5693182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126243.589958472"/>
    <n v="0"/>
    <n v="0"/>
    <n v="136614.31989821771"/>
  </r>
  <r>
    <s v="Regular"/>
    <x v="0"/>
    <x v="0"/>
    <x v="0"/>
    <x v="0"/>
    <x v="0"/>
    <x v="0"/>
    <x v="1"/>
    <x v="6"/>
    <n v="0"/>
    <n v="0"/>
    <n v="0"/>
    <n v="0"/>
    <n v="709.2"/>
    <n v="608.06808000000001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131318.3825568"/>
    <n v="0"/>
    <n v="0"/>
    <n v="142105.9994335759"/>
  </r>
  <r>
    <s v="Regular"/>
    <x v="0"/>
    <x v="0"/>
    <x v="0"/>
    <x v="0"/>
    <x v="0"/>
    <x v="0"/>
    <x v="1"/>
    <x v="7"/>
    <n v="0"/>
    <n v="0"/>
    <n v="0"/>
    <n v="0"/>
    <n v="498.80799999999999"/>
    <n v="427.67797919999998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92361.336388031996"/>
    <n v="0"/>
    <n v="0"/>
    <n v="99948.687768560514"/>
  </r>
  <r>
    <s v="Regular"/>
    <x v="0"/>
    <x v="0"/>
    <x v="0"/>
    <x v="0"/>
    <x v="0"/>
    <x v="0"/>
    <x v="1"/>
    <x v="8"/>
    <n v="0"/>
    <n v="0"/>
    <n v="0"/>
    <n v="0"/>
    <n v="469.10599999999999"/>
    <n v="402.21148439999996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86861.592171023993"/>
    <n v="0"/>
    <n v="0"/>
    <n v="93997.147448233285"/>
  </r>
  <r>
    <s v="Regular"/>
    <x v="0"/>
    <x v="0"/>
    <x v="0"/>
    <x v="0"/>
    <x v="0"/>
    <x v="0"/>
    <x v="1"/>
    <x v="9"/>
    <n v="0"/>
    <n v="0"/>
    <n v="0"/>
    <n v="0"/>
    <n v="444.86500000000001"/>
    <n v="381.42725099999996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82373.029125959991"/>
    <n v="0"/>
    <n v="0"/>
    <n v="89139.85538355574"/>
  </r>
  <r>
    <s v="Regular"/>
    <x v="0"/>
    <x v="0"/>
    <x v="0"/>
    <x v="0"/>
    <x v="0"/>
    <x v="0"/>
    <x v="1"/>
    <x v="10"/>
    <n v="0"/>
    <n v="0"/>
    <n v="0"/>
    <n v="0"/>
    <n v="398.43"/>
    <n v="341.61388199999999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73774.933956720008"/>
    <n v="0"/>
    <n v="0"/>
    <n v="79835.4390218833"/>
  </r>
  <r>
    <s v="Regular"/>
    <x v="0"/>
    <x v="0"/>
    <x v="0"/>
    <x v="0"/>
    <x v="0"/>
    <x v="0"/>
    <x v="1"/>
    <x v="11"/>
    <n v="0"/>
    <n v="0"/>
    <n v="0"/>
    <n v="0"/>
    <n v="404.363"/>
    <n v="346.70083619999997"/>
    <n v="0"/>
    <x v="0"/>
    <n v="5343"/>
    <n v="0"/>
    <n v="0"/>
    <n v="54"/>
    <n v="0"/>
    <n v="0"/>
    <n v="215.96"/>
    <n v="54.216386816965695"/>
    <n v="11.103927165111529"/>
    <n v="233.70080441251889"/>
    <n v="0"/>
    <n v="0"/>
    <n v="74873.512585752003"/>
    <n v="0"/>
    <n v="0"/>
    <n v="81024.264310432947"/>
  </r>
  <r>
    <s v="Regular"/>
    <x v="0"/>
    <x v="0"/>
    <x v="0"/>
    <x v="0"/>
    <x v="0"/>
    <x v="0"/>
    <x v="2"/>
    <x v="0"/>
    <n v="1074"/>
    <n v="1074"/>
    <n v="50.149000000000001"/>
    <n v="50.149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4949.02"/>
    <n v="649.93104000000005"/>
    <n v="0"/>
    <n v="45341.7073999399"/>
    <n v="556.85084340317803"/>
    <n v="0"/>
  </r>
  <r>
    <s v="Regular"/>
    <x v="0"/>
    <x v="0"/>
    <x v="0"/>
    <x v="0"/>
    <x v="0"/>
    <x v="0"/>
    <x v="2"/>
    <x v="1"/>
    <n v="1206"/>
    <n v="1206"/>
    <n v="53.573"/>
    <n v="53.573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8015.38"/>
    <n v="694.30608000000007"/>
    <n v="0"/>
    <n v="50914.431214457654"/>
    <n v="594.87069001651992"/>
    <n v="0"/>
  </r>
  <r>
    <s v="Regular"/>
    <x v="0"/>
    <x v="0"/>
    <x v="0"/>
    <x v="0"/>
    <x v="0"/>
    <x v="0"/>
    <x v="2"/>
    <x v="2"/>
    <n v="1022"/>
    <n v="1022"/>
    <n v="46.192"/>
    <n v="46.192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3741.06"/>
    <n v="598.64832000000001"/>
    <n v="0"/>
    <n v="43146.391957857151"/>
    <n v="512.91260361083175"/>
    <n v="0"/>
  </r>
  <r>
    <s v="Regular"/>
    <x v="0"/>
    <x v="0"/>
    <x v="0"/>
    <x v="0"/>
    <x v="0"/>
    <x v="0"/>
    <x v="2"/>
    <x v="3"/>
    <n v="1327"/>
    <n v="1327"/>
    <n v="47.36"/>
    <n v="47.36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0826.21"/>
    <n v="613.78560000000004"/>
    <n v="0"/>
    <n v="56022.761377765601"/>
    <n v="525.88199053968196"/>
    <n v="0"/>
  </r>
  <r>
    <s v="Regular"/>
    <x v="0"/>
    <x v="0"/>
    <x v="0"/>
    <x v="0"/>
    <x v="0"/>
    <x v="0"/>
    <x v="2"/>
    <x v="4"/>
    <n v="1479"/>
    <n v="1479"/>
    <n v="59.170999999999999"/>
    <n v="59.170999999999999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4357.17"/>
    <n v="766.85616000000005"/>
    <n v="0"/>
    <n v="62439.837285392103"/>
    <n v="657.0304742868143"/>
    <n v="0"/>
  </r>
  <r>
    <s v="Regular"/>
    <x v="0"/>
    <x v="0"/>
    <x v="0"/>
    <x v="0"/>
    <x v="0"/>
    <x v="0"/>
    <x v="2"/>
    <x v="5"/>
    <n v="1755"/>
    <n v="1755"/>
    <n v="78.418000000000006"/>
    <n v="78.418000000000006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40768.65"/>
    <n v="1016.2972800000001"/>
    <n v="0"/>
    <n v="74091.896170292865"/>
    <n v="870.74776043371594"/>
    <n v="0"/>
  </r>
  <r>
    <s v="Regular"/>
    <x v="0"/>
    <x v="0"/>
    <x v="0"/>
    <x v="0"/>
    <x v="0"/>
    <x v="0"/>
    <x v="2"/>
    <x v="6"/>
    <n v="2111"/>
    <n v="2111"/>
    <n v="76.768000000000001"/>
    <n v="76.768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49038.53"/>
    <n v="994.9132800000001"/>
    <n v="0"/>
    <n v="89121.363427628618"/>
    <n v="852.42628061128187"/>
    <n v="0"/>
  </r>
  <r>
    <s v="Regular"/>
    <x v="0"/>
    <x v="0"/>
    <x v="0"/>
    <x v="0"/>
    <x v="0"/>
    <x v="0"/>
    <x v="2"/>
    <x v="7"/>
    <n v="1529"/>
    <n v="1529"/>
    <n v="60.723999999999997"/>
    <n v="60.723999999999997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5518.67"/>
    <n v="786.98303999999996"/>
    <n v="0"/>
    <n v="64550.717518163976"/>
    <n v="674.27487317423243"/>
    <n v="0"/>
  </r>
  <r>
    <s v="Regular"/>
    <x v="0"/>
    <x v="0"/>
    <x v="0"/>
    <x v="0"/>
    <x v="0"/>
    <x v="0"/>
    <x v="2"/>
    <x v="8"/>
    <n v="1264"/>
    <n v="1264"/>
    <n v="58.777000000000001"/>
    <n v="58.777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9362.720000000001"/>
    <n v="761.74992000000009"/>
    <n v="0"/>
    <n v="53363.052284473029"/>
    <n v="652.6555269837603"/>
    <n v="0"/>
  </r>
  <r>
    <s v="Regular"/>
    <x v="0"/>
    <x v="0"/>
    <x v="0"/>
    <x v="0"/>
    <x v="0"/>
    <x v="0"/>
    <x v="2"/>
    <x v="9"/>
    <n v="1361"/>
    <n v="1361"/>
    <n v="49.344999999999999"/>
    <n v="49.344999999999999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31616.03"/>
    <n v="639.51120000000003"/>
    <n v="0"/>
    <n v="57458.15993605047"/>
    <n v="547.92328596242839"/>
    <n v="0"/>
  </r>
  <r>
    <s v="Regular"/>
    <x v="0"/>
    <x v="0"/>
    <x v="0"/>
    <x v="0"/>
    <x v="0"/>
    <x v="0"/>
    <x v="2"/>
    <x v="10"/>
    <n v="1251"/>
    <n v="1251"/>
    <n v="50.286000000000001"/>
    <n v="50.286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9060.73"/>
    <n v="651.70656000000008"/>
    <n v="0"/>
    <n v="52814.223423952346"/>
    <n v="558.37208142479835"/>
    <n v="0"/>
  </r>
  <r>
    <s v="Regular"/>
    <x v="0"/>
    <x v="0"/>
    <x v="0"/>
    <x v="0"/>
    <x v="0"/>
    <x v="0"/>
    <x v="2"/>
    <x v="11"/>
    <n v="1161"/>
    <n v="1161"/>
    <n v="50.335000000000001"/>
    <n v="50.335000000000001"/>
    <n v="0"/>
    <n v="0"/>
    <n v="0"/>
    <x v="0"/>
    <n v="5343"/>
    <n v="5"/>
    <n v="7"/>
    <n v="0"/>
    <n v="23.23"/>
    <n v="12.96"/>
    <n v="0"/>
    <n v="42.217604655437526"/>
    <n v="11.103927165111529"/>
    <n v="233.70080441251889"/>
    <n v="26970.03"/>
    <n v="652.34160000000008"/>
    <n v="0"/>
    <n v="49014.63900496297"/>
    <n v="558.91617385588881"/>
    <n v="0"/>
  </r>
  <r>
    <s v="Regular"/>
    <x v="0"/>
    <x v="1"/>
    <x v="1"/>
    <x v="0"/>
    <x v="1"/>
    <x v="1"/>
    <x v="0"/>
    <x v="0"/>
    <n v="0"/>
    <n v="0"/>
    <n v="381.26100000000002"/>
    <n v="381.26100000000002"/>
    <n v="381.26100000000002"/>
    <n v="381.26100000000002"/>
    <n v="0"/>
    <x v="1"/>
    <n v="0"/>
    <n v="0"/>
    <n v="11"/>
    <n v="52"/>
    <n v="0"/>
    <n v="90.54"/>
    <n v="189.96"/>
    <m/>
    <n v="116.79000000000002"/>
    <n v="195.89707226799715"/>
    <n v="0"/>
    <n v="34519.370940000008"/>
    <n v="72424.339560000008"/>
    <n v="0"/>
    <n v="44527.472190000008"/>
    <n v="74687.913669968868"/>
  </r>
  <r>
    <s v="Refaturamento - Regular"/>
    <x v="0"/>
    <x v="1"/>
    <x v="1"/>
    <x v="0"/>
    <x v="1"/>
    <x v="1"/>
    <x v="0"/>
    <x v="0"/>
    <n v="0"/>
    <n v="0"/>
    <n v="-61.5"/>
    <n v="-61.5"/>
    <n v="-61.5"/>
    <n v="-61.5"/>
    <n v="0"/>
    <x v="1"/>
    <n v="0"/>
    <n v="0"/>
    <n v="11"/>
    <n v="52"/>
    <n v="0"/>
    <n v="90.54"/>
    <n v="189.96"/>
    <m/>
    <n v="116.79000000000002"/>
    <n v="195.89707226799715"/>
    <n v="0"/>
    <n v="-5568.21"/>
    <n v="-11682.54"/>
    <n v="0"/>
    <n v="-7182.5850000000009"/>
    <n v="-12047.669944481824"/>
  </r>
  <r>
    <s v="Sistema de Compensação"/>
    <x v="0"/>
    <x v="1"/>
    <x v="1"/>
    <x v="0"/>
    <x v="1"/>
    <x v="1"/>
    <x v="0"/>
    <x v="0"/>
    <n v="0"/>
    <n v="0"/>
    <n v="3.1920000000000002"/>
    <n v="3.1920000000000002"/>
    <n v="3.1920000000000002"/>
    <n v="3.1920000000000002"/>
    <n v="0"/>
    <x v="1"/>
    <n v="0"/>
    <n v="0"/>
    <n v="11"/>
    <n v="52"/>
    <n v="0"/>
    <n v="90.54"/>
    <n v="189.96"/>
    <m/>
    <n v="116.79000000000002"/>
    <n v="195.89707226799715"/>
    <n v="0"/>
    <n v="289.00368000000003"/>
    <n v="606.35232000000008"/>
    <n v="0"/>
    <n v="372.79368000000011"/>
    <n v="625.30345467944687"/>
  </r>
  <r>
    <s v="Regular"/>
    <x v="0"/>
    <x v="1"/>
    <x v="1"/>
    <x v="0"/>
    <x v="1"/>
    <x v="1"/>
    <x v="0"/>
    <x v="1"/>
    <n v="0"/>
    <n v="0"/>
    <n v="263.887"/>
    <n v="263.887"/>
    <n v="263.887"/>
    <n v="263.887"/>
    <n v="0"/>
    <x v="1"/>
    <n v="0"/>
    <n v="0"/>
    <n v="11"/>
    <n v="52"/>
    <n v="0"/>
    <n v="90.54"/>
    <n v="189.96"/>
    <m/>
    <n v="116.79000000000002"/>
    <n v="195.89707226799715"/>
    <n v="0"/>
    <n v="23892.328980000002"/>
    <n v="50127.974520000003"/>
    <n v="0"/>
    <n v="30819.362730000004"/>
    <n v="51694.69070958496"/>
  </r>
  <r>
    <s v="Refaturamento - Regular"/>
    <x v="0"/>
    <x v="1"/>
    <x v="1"/>
    <x v="0"/>
    <x v="1"/>
    <x v="1"/>
    <x v="0"/>
    <x v="1"/>
    <n v="0"/>
    <n v="0"/>
    <n v="-61.5"/>
    <n v="-61.5"/>
    <n v="-61.5"/>
    <n v="-61.5"/>
    <n v="0"/>
    <x v="1"/>
    <n v="0"/>
    <n v="0"/>
    <n v="11"/>
    <n v="52"/>
    <n v="0"/>
    <n v="90.54"/>
    <n v="189.96"/>
    <m/>
    <n v="116.79000000000002"/>
    <n v="195.89707226799715"/>
    <n v="0"/>
    <n v="-5568.21"/>
    <n v="-11682.54"/>
    <n v="0"/>
    <n v="-7182.5850000000009"/>
    <n v="-12047.669944481824"/>
  </r>
  <r>
    <s v="Sistema de Compensação"/>
    <x v="0"/>
    <x v="1"/>
    <x v="1"/>
    <x v="0"/>
    <x v="1"/>
    <x v="1"/>
    <x v="0"/>
    <x v="1"/>
    <n v="0"/>
    <n v="0"/>
    <n v="0.71099999999999997"/>
    <n v="0.71099999999999997"/>
    <n v="0.71099999999999997"/>
    <n v="0.71099999999999997"/>
    <n v="0"/>
    <x v="1"/>
    <n v="0"/>
    <n v="0"/>
    <n v="11"/>
    <n v="52"/>
    <n v="0"/>
    <n v="90.54"/>
    <n v="189.96"/>
    <m/>
    <n v="116.79000000000002"/>
    <n v="195.89707226799715"/>
    <n v="0"/>
    <n v="64.373940000000005"/>
    <n v="135.06155999999999"/>
    <n v="0"/>
    <n v="83.037690000000012"/>
    <n v="139.28281838254597"/>
  </r>
  <r>
    <s v="Regular"/>
    <x v="0"/>
    <x v="1"/>
    <x v="1"/>
    <x v="0"/>
    <x v="1"/>
    <x v="1"/>
    <x v="0"/>
    <x v="2"/>
    <n v="0"/>
    <n v="0"/>
    <n v="287.11900000000003"/>
    <n v="287.11900000000003"/>
    <n v="287.11900000000003"/>
    <n v="287.11900000000003"/>
    <n v="0"/>
    <x v="1"/>
    <n v="0"/>
    <n v="0"/>
    <n v="11"/>
    <n v="52"/>
    <n v="0"/>
    <n v="90.54"/>
    <n v="189.96"/>
    <m/>
    <n v="116.79000000000002"/>
    <n v="195.89707226799715"/>
    <n v="0"/>
    <n v="25995.754260000005"/>
    <n v="54541.125240000008"/>
    <n v="0"/>
    <n v="33532.628010000008"/>
    <n v="56245.771492515079"/>
  </r>
  <r>
    <s v="Regular"/>
    <x v="0"/>
    <x v="1"/>
    <x v="1"/>
    <x v="0"/>
    <x v="1"/>
    <x v="1"/>
    <x v="0"/>
    <x v="3"/>
    <n v="0"/>
    <n v="0"/>
    <n v="333.03199999999998"/>
    <n v="333.03199999999998"/>
    <n v="333.03199999999998"/>
    <n v="333.03199999999998"/>
    <n v="0"/>
    <x v="1"/>
    <n v="0"/>
    <n v="0"/>
    <n v="11"/>
    <n v="52"/>
    <n v="0"/>
    <n v="90.54"/>
    <n v="189.96"/>
    <m/>
    <n v="116.79000000000002"/>
    <n v="195.89707226799715"/>
    <n v="0"/>
    <n v="30152.717280000001"/>
    <n v="63262.758719999998"/>
    <n v="0"/>
    <n v="38894.807280000008"/>
    <n v="65239.993771555623"/>
  </r>
  <r>
    <s v="Regular"/>
    <x v="0"/>
    <x v="1"/>
    <x v="1"/>
    <x v="0"/>
    <x v="1"/>
    <x v="1"/>
    <x v="0"/>
    <x v="4"/>
    <n v="0"/>
    <n v="0"/>
    <n v="368.75799999999998"/>
    <n v="368.75799999999998"/>
    <n v="368.75799999999998"/>
    <n v="368.75799999999998"/>
    <n v="0"/>
    <x v="1"/>
    <n v="0"/>
    <n v="0"/>
    <n v="11"/>
    <n v="52"/>
    <n v="0"/>
    <n v="90.54"/>
    <n v="189.96"/>
    <m/>
    <n v="116.79000000000002"/>
    <n v="195.89707226799715"/>
    <n v="0"/>
    <n v="33387.349320000001"/>
    <n v="70049.269679999998"/>
    <n v="0"/>
    <n v="43067.246820000008"/>
    <n v="72238.61257540209"/>
  </r>
  <r>
    <s v="Regular"/>
    <x v="0"/>
    <x v="1"/>
    <x v="1"/>
    <x v="0"/>
    <x v="1"/>
    <x v="1"/>
    <x v="0"/>
    <x v="5"/>
    <n v="0"/>
    <n v="0"/>
    <n v="427.34500000000003"/>
    <n v="427.34500000000003"/>
    <n v="427.34500000000003"/>
    <n v="427.34500000000003"/>
    <n v="0"/>
    <x v="1"/>
    <n v="0"/>
    <n v="0"/>
    <n v="11"/>
    <n v="52"/>
    <n v="0"/>
    <n v="90.54"/>
    <n v="189.96"/>
    <m/>
    <n v="116.79000000000002"/>
    <n v="195.89707226799715"/>
    <n v="0"/>
    <n v="38691.816300000006"/>
    <n v="81178.456200000015"/>
    <n v="0"/>
    <n v="49909.622550000015"/>
    <n v="83715.634348367239"/>
  </r>
  <r>
    <s v="Regular"/>
    <x v="0"/>
    <x v="1"/>
    <x v="1"/>
    <x v="0"/>
    <x v="1"/>
    <x v="1"/>
    <x v="0"/>
    <x v="6"/>
    <n v="0"/>
    <n v="0"/>
    <n v="474.13299999999998"/>
    <n v="474.13299999999998"/>
    <n v="474.13299999999998"/>
    <n v="474.13299999999998"/>
    <n v="0"/>
    <x v="1"/>
    <n v="0"/>
    <n v="0"/>
    <n v="11"/>
    <n v="52"/>
    <n v="0"/>
    <n v="90.54"/>
    <n v="189.96"/>
    <m/>
    <n v="116.79000000000002"/>
    <n v="195.89707226799715"/>
    <n v="0"/>
    <n v="42928.001819999998"/>
    <n v="90066.304680000001"/>
    <n v="0"/>
    <n v="55373.993070000004"/>
    <n v="92881.266565642291"/>
  </r>
  <r>
    <s v="Regular"/>
    <x v="0"/>
    <x v="1"/>
    <x v="1"/>
    <x v="0"/>
    <x v="1"/>
    <x v="1"/>
    <x v="0"/>
    <x v="7"/>
    <n v="0"/>
    <n v="0"/>
    <n v="421.13200000000001"/>
    <n v="421.13200000000001"/>
    <n v="421.13200000000001"/>
    <n v="421.13200000000001"/>
    <n v="0"/>
    <x v="1"/>
    <n v="0"/>
    <n v="0"/>
    <n v="11"/>
    <n v="52"/>
    <n v="0"/>
    <n v="90.54"/>
    <n v="189.96"/>
    <m/>
    <n v="116.79000000000002"/>
    <n v="195.89707226799715"/>
    <n v="0"/>
    <n v="38129.291280000005"/>
    <n v="79998.234720000008"/>
    <n v="0"/>
    <n v="49184.006280000009"/>
    <n v="82498.525838366171"/>
  </r>
  <r>
    <s v="Regular"/>
    <x v="0"/>
    <x v="1"/>
    <x v="1"/>
    <x v="0"/>
    <x v="1"/>
    <x v="1"/>
    <x v="0"/>
    <x v="8"/>
    <n v="0"/>
    <n v="0"/>
    <n v="502.01299999999998"/>
    <n v="502.01299999999998"/>
    <n v="502.01299999999998"/>
    <n v="502.01299999999998"/>
    <n v="0"/>
    <x v="1"/>
    <n v="0"/>
    <n v="0"/>
    <n v="11"/>
    <n v="52"/>
    <n v="0"/>
    <n v="90.54"/>
    <n v="189.96"/>
    <m/>
    <n v="116.79000000000002"/>
    <n v="195.89707226799715"/>
    <n v="0"/>
    <n v="45452.257020000005"/>
    <n v="95362.389479999998"/>
    <n v="0"/>
    <n v="58630.09827000001"/>
    <n v="98342.876940474045"/>
  </r>
  <r>
    <s v="Regular"/>
    <x v="0"/>
    <x v="1"/>
    <x v="1"/>
    <x v="0"/>
    <x v="1"/>
    <x v="1"/>
    <x v="0"/>
    <x v="9"/>
    <n v="0"/>
    <n v="0"/>
    <n v="547.298"/>
    <n v="547.298"/>
    <n v="547.298"/>
    <n v="547.298"/>
    <n v="0"/>
    <x v="1"/>
    <n v="0"/>
    <n v="0"/>
    <n v="11"/>
    <n v="52"/>
    <n v="0"/>
    <n v="90.54"/>
    <n v="189.96"/>
    <m/>
    <n v="116.79000000000002"/>
    <n v="195.89707226799715"/>
    <n v="0"/>
    <n v="49552.360920000006"/>
    <n v="103964.72808"/>
    <n v="0"/>
    <n v="63918.933420000008"/>
    <n v="107214.07585813031"/>
  </r>
  <r>
    <s v="Regular"/>
    <x v="0"/>
    <x v="1"/>
    <x v="1"/>
    <x v="0"/>
    <x v="1"/>
    <x v="1"/>
    <x v="0"/>
    <x v="10"/>
    <n v="0"/>
    <n v="0"/>
    <n v="493.75799999999998"/>
    <n v="493.75799999999998"/>
    <n v="493.75799999999998"/>
    <n v="493.75799999999998"/>
    <n v="0"/>
    <x v="1"/>
    <n v="0"/>
    <n v="0"/>
    <n v="11"/>
    <n v="52"/>
    <n v="0"/>
    <n v="90.54"/>
    <n v="189.96"/>
    <m/>
    <n v="116.79000000000002"/>
    <n v="195.89707226799715"/>
    <n v="0"/>
    <n v="44704.849320000001"/>
    <n v="93794.269679999998"/>
    <n v="0"/>
    <n v="57665.996820000008"/>
    <n v="96725.746608901725"/>
  </r>
  <r>
    <s v="Regular"/>
    <x v="0"/>
    <x v="1"/>
    <x v="1"/>
    <x v="0"/>
    <x v="1"/>
    <x v="1"/>
    <x v="0"/>
    <x v="11"/>
    <n v="0"/>
    <n v="0"/>
    <n v="409.387"/>
    <n v="409.387"/>
    <n v="409.387"/>
    <n v="409.387"/>
    <n v="0"/>
    <x v="1"/>
    <n v="0"/>
    <n v="0"/>
    <n v="11"/>
    <n v="52"/>
    <n v="0"/>
    <n v="90.54"/>
    <n v="189.96"/>
    <m/>
    <n v="116.79000000000002"/>
    <n v="195.89707226799715"/>
    <n v="0"/>
    <n v="37065.898980000005"/>
    <n v="77767.154519999996"/>
    <n v="0"/>
    <n v="47812.307730000008"/>
    <n v="80197.714724578545"/>
  </r>
  <r>
    <s v="Sistema de Compensação"/>
    <x v="0"/>
    <x v="1"/>
    <x v="1"/>
    <x v="0"/>
    <x v="1"/>
    <x v="1"/>
    <x v="0"/>
    <x v="11"/>
    <n v="0"/>
    <n v="0"/>
    <n v="2.411"/>
    <n v="2.411"/>
    <n v="2.411"/>
    <n v="2.411"/>
    <n v="0"/>
    <x v="1"/>
    <n v="0"/>
    <n v="0"/>
    <n v="11"/>
    <n v="52"/>
    <n v="0"/>
    <n v="90.54"/>
    <n v="189.96"/>
    <m/>
    <n v="116.79000000000002"/>
    <n v="195.89707226799715"/>
    <n v="0"/>
    <n v="218.29194000000001"/>
    <n v="457.99356"/>
    <n v="0"/>
    <n v="281.58069000000006"/>
    <n v="472.30784123814112"/>
  </r>
  <r>
    <s v="Regular"/>
    <x v="0"/>
    <x v="1"/>
    <x v="1"/>
    <x v="0"/>
    <x v="1"/>
    <x v="1"/>
    <x v="1"/>
    <x v="0"/>
    <n v="2876"/>
    <n v="2876"/>
    <n v="0"/>
    <n v="0"/>
    <n v="0"/>
    <n v="0"/>
    <n v="23"/>
    <x v="1"/>
    <n v="0"/>
    <n v="9"/>
    <n v="0"/>
    <n v="0"/>
    <n v="33.97"/>
    <n v="0"/>
    <n v="0"/>
    <n v="32.31"/>
    <m/>
    <m/>
    <n v="97697.72"/>
    <n v="0"/>
    <n v="0"/>
    <n v="92923.560000000012"/>
    <n v="0"/>
    <n v="0"/>
  </r>
  <r>
    <s v="Sistema de Compensação"/>
    <x v="0"/>
    <x v="1"/>
    <x v="1"/>
    <x v="0"/>
    <x v="1"/>
    <x v="1"/>
    <x v="1"/>
    <x v="0"/>
    <n v="54"/>
    <n v="54"/>
    <n v="0"/>
    <n v="0"/>
    <n v="0"/>
    <n v="0"/>
    <n v="1"/>
    <x v="1"/>
    <n v="0"/>
    <n v="9"/>
    <n v="0"/>
    <n v="0"/>
    <n v="33.97"/>
    <n v="0"/>
    <n v="0"/>
    <n v="32.31"/>
    <m/>
    <m/>
    <n v="1834.3799999999999"/>
    <n v="0"/>
    <n v="0"/>
    <n v="1744.7400000000002"/>
    <n v="0"/>
    <n v="0"/>
  </r>
  <r>
    <s v="Regular"/>
    <x v="0"/>
    <x v="1"/>
    <x v="1"/>
    <x v="0"/>
    <x v="1"/>
    <x v="1"/>
    <x v="1"/>
    <x v="1"/>
    <n v="2539"/>
    <n v="2539"/>
    <n v="0"/>
    <n v="0"/>
    <n v="0"/>
    <n v="0"/>
    <n v="22"/>
    <x v="1"/>
    <n v="0"/>
    <n v="9"/>
    <n v="0"/>
    <n v="0"/>
    <n v="33.97"/>
    <n v="0"/>
    <n v="0"/>
    <n v="32.31"/>
    <m/>
    <m/>
    <n v="86249.83"/>
    <n v="0"/>
    <n v="0"/>
    <n v="82035.090000000011"/>
    <n v="0"/>
    <n v="0"/>
  </r>
  <r>
    <s v="Sistema de Compensação"/>
    <x v="0"/>
    <x v="1"/>
    <x v="1"/>
    <x v="0"/>
    <x v="1"/>
    <x v="1"/>
    <x v="1"/>
    <x v="1"/>
    <n v="53"/>
    <n v="53"/>
    <n v="0"/>
    <n v="0"/>
    <n v="0"/>
    <n v="0"/>
    <n v="1"/>
    <x v="1"/>
    <n v="0"/>
    <n v="9"/>
    <n v="0"/>
    <n v="0"/>
    <n v="33.97"/>
    <n v="0"/>
    <n v="0"/>
    <n v="32.31"/>
    <m/>
    <m/>
    <n v="1800.4099999999999"/>
    <n v="0"/>
    <n v="0"/>
    <n v="1712.43"/>
    <n v="0"/>
    <n v="0"/>
  </r>
  <r>
    <s v="Regular"/>
    <x v="0"/>
    <x v="1"/>
    <x v="1"/>
    <x v="0"/>
    <x v="1"/>
    <x v="1"/>
    <x v="1"/>
    <x v="2"/>
    <n v="2605"/>
    <n v="2605"/>
    <n v="0"/>
    <n v="0"/>
    <n v="0"/>
    <n v="0"/>
    <n v="22"/>
    <x v="1"/>
    <n v="0"/>
    <n v="9"/>
    <n v="0"/>
    <n v="0"/>
    <n v="33.97"/>
    <n v="0"/>
    <n v="0"/>
    <n v="32.31"/>
    <m/>
    <m/>
    <n v="88491.849999999991"/>
    <n v="0"/>
    <n v="0"/>
    <n v="84167.55"/>
    <n v="0"/>
    <n v="0"/>
  </r>
  <r>
    <s v="Sistema de Compensação"/>
    <x v="0"/>
    <x v="1"/>
    <x v="1"/>
    <x v="0"/>
    <x v="1"/>
    <x v="1"/>
    <x v="1"/>
    <x v="2"/>
    <n v="31"/>
    <n v="31"/>
    <n v="0"/>
    <n v="0"/>
    <n v="0"/>
    <n v="0"/>
    <n v="1"/>
    <x v="1"/>
    <n v="0"/>
    <n v="9"/>
    <n v="0"/>
    <n v="0"/>
    <n v="33.97"/>
    <n v="0"/>
    <n v="0"/>
    <n v="32.31"/>
    <m/>
    <m/>
    <n v="1053.07"/>
    <n v="0"/>
    <n v="0"/>
    <n v="1001.6100000000001"/>
    <n v="0"/>
    <n v="0"/>
  </r>
  <r>
    <s v="Regular"/>
    <x v="0"/>
    <x v="1"/>
    <x v="1"/>
    <x v="0"/>
    <x v="1"/>
    <x v="1"/>
    <x v="1"/>
    <x v="3"/>
    <n v="2778"/>
    <n v="2778"/>
    <n v="0"/>
    <n v="0"/>
    <n v="0"/>
    <n v="0"/>
    <n v="22"/>
    <x v="1"/>
    <n v="0"/>
    <n v="9"/>
    <n v="0"/>
    <n v="0"/>
    <n v="33.97"/>
    <n v="0"/>
    <n v="0"/>
    <n v="32.31"/>
    <m/>
    <m/>
    <n v="94368.66"/>
    <n v="0"/>
    <n v="0"/>
    <n v="89757.180000000008"/>
    <n v="0"/>
    <n v="0"/>
  </r>
  <r>
    <s v="Sistema de Compensação"/>
    <x v="0"/>
    <x v="1"/>
    <x v="1"/>
    <x v="0"/>
    <x v="1"/>
    <x v="1"/>
    <x v="1"/>
    <x v="3"/>
    <n v="30"/>
    <n v="30"/>
    <n v="0"/>
    <n v="0"/>
    <n v="0"/>
    <n v="0"/>
    <n v="1"/>
    <x v="1"/>
    <n v="0"/>
    <n v="9"/>
    <n v="0"/>
    <n v="0"/>
    <n v="33.97"/>
    <n v="0"/>
    <n v="0"/>
    <n v="32.31"/>
    <m/>
    <m/>
    <n v="1019.0999999999999"/>
    <n v="0"/>
    <n v="0"/>
    <n v="969.30000000000007"/>
    <n v="0"/>
    <n v="0"/>
  </r>
  <r>
    <s v="Regular"/>
    <x v="0"/>
    <x v="1"/>
    <x v="1"/>
    <x v="0"/>
    <x v="1"/>
    <x v="1"/>
    <x v="1"/>
    <x v="4"/>
    <n v="2850"/>
    <n v="2850"/>
    <n v="0"/>
    <n v="0"/>
    <n v="0"/>
    <n v="0"/>
    <n v="22"/>
    <x v="1"/>
    <n v="0"/>
    <n v="9"/>
    <n v="0"/>
    <n v="0"/>
    <n v="33.97"/>
    <n v="0"/>
    <n v="0"/>
    <n v="32.31"/>
    <m/>
    <m/>
    <n v="96814.5"/>
    <n v="0"/>
    <n v="0"/>
    <n v="92083.5"/>
    <n v="0"/>
    <n v="0"/>
  </r>
  <r>
    <s v="Sistema de Compensação"/>
    <x v="0"/>
    <x v="1"/>
    <x v="1"/>
    <x v="0"/>
    <x v="1"/>
    <x v="1"/>
    <x v="1"/>
    <x v="4"/>
    <n v="35"/>
    <n v="35"/>
    <n v="0"/>
    <n v="0"/>
    <n v="0"/>
    <n v="0"/>
    <n v="1"/>
    <x v="1"/>
    <n v="0"/>
    <n v="9"/>
    <n v="0"/>
    <n v="0"/>
    <n v="33.97"/>
    <n v="0"/>
    <n v="0"/>
    <n v="32.31"/>
    <m/>
    <m/>
    <n v="1188.95"/>
    <n v="0"/>
    <n v="0"/>
    <n v="1130.8500000000001"/>
    <n v="0"/>
    <n v="0"/>
  </r>
  <r>
    <s v="Regular"/>
    <x v="0"/>
    <x v="1"/>
    <x v="1"/>
    <x v="0"/>
    <x v="1"/>
    <x v="1"/>
    <x v="1"/>
    <x v="5"/>
    <n v="3018"/>
    <n v="3018"/>
    <n v="0"/>
    <n v="0"/>
    <n v="0"/>
    <n v="0"/>
    <n v="22"/>
    <x v="1"/>
    <n v="0"/>
    <n v="9"/>
    <n v="0"/>
    <n v="0"/>
    <n v="33.97"/>
    <n v="0"/>
    <n v="0"/>
    <n v="32.31"/>
    <m/>
    <m/>
    <n v="102521.45999999999"/>
    <n v="0"/>
    <n v="0"/>
    <n v="97511.58"/>
    <n v="0"/>
    <n v="0"/>
  </r>
  <r>
    <s v="Sistema de Compensação"/>
    <x v="0"/>
    <x v="1"/>
    <x v="1"/>
    <x v="0"/>
    <x v="1"/>
    <x v="1"/>
    <x v="1"/>
    <x v="5"/>
    <n v="31"/>
    <n v="31"/>
    <n v="0"/>
    <n v="0"/>
    <n v="0"/>
    <n v="0"/>
    <n v="1"/>
    <x v="1"/>
    <n v="0"/>
    <n v="9"/>
    <n v="0"/>
    <n v="0"/>
    <n v="33.97"/>
    <n v="0"/>
    <n v="0"/>
    <n v="32.31"/>
    <m/>
    <m/>
    <n v="1053.07"/>
    <n v="0"/>
    <n v="0"/>
    <n v="1001.6100000000001"/>
    <n v="0"/>
    <n v="0"/>
  </r>
  <r>
    <s v="Regular"/>
    <x v="0"/>
    <x v="1"/>
    <x v="1"/>
    <x v="0"/>
    <x v="1"/>
    <x v="1"/>
    <x v="1"/>
    <x v="6"/>
    <n v="3076"/>
    <n v="3076"/>
    <n v="0"/>
    <n v="0"/>
    <n v="0"/>
    <n v="0"/>
    <n v="22"/>
    <x v="1"/>
    <n v="0"/>
    <n v="9"/>
    <n v="0"/>
    <n v="0"/>
    <n v="33.97"/>
    <n v="0"/>
    <n v="0"/>
    <n v="32.31"/>
    <m/>
    <m/>
    <n v="104491.72"/>
    <n v="0"/>
    <n v="0"/>
    <n v="99385.560000000012"/>
    <n v="0"/>
    <n v="0"/>
  </r>
  <r>
    <s v="Sistema de Compensação"/>
    <x v="0"/>
    <x v="1"/>
    <x v="1"/>
    <x v="0"/>
    <x v="1"/>
    <x v="1"/>
    <x v="1"/>
    <x v="6"/>
    <n v="40"/>
    <n v="40"/>
    <n v="0"/>
    <n v="0"/>
    <n v="0"/>
    <n v="0"/>
    <n v="1"/>
    <x v="1"/>
    <n v="0"/>
    <n v="9"/>
    <n v="0"/>
    <n v="0"/>
    <n v="33.97"/>
    <n v="0"/>
    <n v="0"/>
    <n v="32.31"/>
    <m/>
    <m/>
    <n v="1358.8"/>
    <n v="0"/>
    <n v="0"/>
    <n v="1292.4000000000001"/>
    <n v="0"/>
    <n v="0"/>
  </r>
  <r>
    <s v="Regular"/>
    <x v="0"/>
    <x v="1"/>
    <x v="1"/>
    <x v="0"/>
    <x v="1"/>
    <x v="1"/>
    <x v="1"/>
    <x v="7"/>
    <n v="3078"/>
    <n v="3078"/>
    <n v="0"/>
    <n v="0"/>
    <n v="0"/>
    <n v="0"/>
    <n v="21"/>
    <x v="1"/>
    <n v="0"/>
    <n v="9"/>
    <n v="0"/>
    <n v="0"/>
    <n v="33.97"/>
    <n v="0"/>
    <n v="0"/>
    <n v="32.31"/>
    <m/>
    <m/>
    <n v="104559.66"/>
    <n v="0"/>
    <n v="0"/>
    <n v="99450.180000000008"/>
    <n v="0"/>
    <n v="0"/>
  </r>
  <r>
    <s v="Sistema de Compensação"/>
    <x v="0"/>
    <x v="1"/>
    <x v="1"/>
    <x v="0"/>
    <x v="1"/>
    <x v="1"/>
    <x v="1"/>
    <x v="7"/>
    <n v="40"/>
    <n v="40"/>
    <n v="0"/>
    <n v="0"/>
    <n v="0"/>
    <n v="0"/>
    <n v="1"/>
    <x v="1"/>
    <n v="0"/>
    <n v="9"/>
    <n v="0"/>
    <n v="0"/>
    <n v="33.97"/>
    <n v="0"/>
    <n v="0"/>
    <n v="32.31"/>
    <m/>
    <m/>
    <n v="1358.8"/>
    <n v="0"/>
    <n v="0"/>
    <n v="1292.4000000000001"/>
    <n v="0"/>
    <n v="0"/>
  </r>
  <r>
    <s v="Regular"/>
    <x v="0"/>
    <x v="1"/>
    <x v="1"/>
    <x v="0"/>
    <x v="1"/>
    <x v="1"/>
    <x v="1"/>
    <x v="8"/>
    <n v="3372"/>
    <n v="3372"/>
    <n v="0"/>
    <n v="0"/>
    <n v="0"/>
    <n v="0"/>
    <n v="21"/>
    <x v="1"/>
    <n v="0"/>
    <n v="9"/>
    <n v="0"/>
    <n v="0"/>
    <n v="33.97"/>
    <n v="0"/>
    <n v="0"/>
    <n v="32.31"/>
    <m/>
    <m/>
    <n v="114546.84"/>
    <n v="0"/>
    <n v="0"/>
    <n v="108949.32"/>
    <n v="0"/>
    <n v="0"/>
  </r>
  <r>
    <s v="Sistema de Compensação"/>
    <x v="0"/>
    <x v="1"/>
    <x v="1"/>
    <x v="0"/>
    <x v="1"/>
    <x v="1"/>
    <x v="1"/>
    <x v="8"/>
    <n v="36"/>
    <n v="36"/>
    <n v="0"/>
    <n v="0"/>
    <n v="0"/>
    <n v="0"/>
    <n v="1"/>
    <x v="1"/>
    <n v="0"/>
    <n v="9"/>
    <n v="0"/>
    <n v="0"/>
    <n v="33.97"/>
    <n v="0"/>
    <n v="0"/>
    <n v="32.31"/>
    <m/>
    <m/>
    <n v="1222.92"/>
    <n v="0"/>
    <n v="0"/>
    <n v="1163.1600000000001"/>
    <n v="0"/>
    <n v="0"/>
  </r>
  <r>
    <s v="Regular"/>
    <x v="0"/>
    <x v="1"/>
    <x v="1"/>
    <x v="0"/>
    <x v="1"/>
    <x v="1"/>
    <x v="1"/>
    <x v="9"/>
    <n v="3218"/>
    <n v="3218"/>
    <n v="0"/>
    <n v="0"/>
    <n v="0"/>
    <n v="0"/>
    <n v="21"/>
    <x v="1"/>
    <n v="0"/>
    <n v="9"/>
    <n v="0"/>
    <n v="0"/>
    <n v="33.97"/>
    <n v="0"/>
    <n v="0"/>
    <n v="32.31"/>
    <m/>
    <m/>
    <n v="109315.45999999999"/>
    <n v="0"/>
    <n v="0"/>
    <n v="103973.58"/>
    <n v="0"/>
    <n v="0"/>
  </r>
  <r>
    <s v="Sistema de Compensação"/>
    <x v="0"/>
    <x v="1"/>
    <x v="1"/>
    <x v="0"/>
    <x v="1"/>
    <x v="1"/>
    <x v="1"/>
    <x v="9"/>
    <n v="68"/>
    <n v="68"/>
    <n v="0"/>
    <n v="0"/>
    <n v="0"/>
    <n v="0"/>
    <n v="1"/>
    <x v="1"/>
    <n v="0"/>
    <n v="9"/>
    <n v="0"/>
    <n v="0"/>
    <n v="33.97"/>
    <n v="0"/>
    <n v="0"/>
    <n v="32.31"/>
    <m/>
    <m/>
    <n v="2309.96"/>
    <n v="0"/>
    <n v="0"/>
    <n v="2197.08"/>
    <n v="0"/>
    <n v="0"/>
  </r>
  <r>
    <s v="Regular"/>
    <x v="0"/>
    <x v="1"/>
    <x v="1"/>
    <x v="0"/>
    <x v="1"/>
    <x v="1"/>
    <x v="1"/>
    <x v="10"/>
    <n v="3318"/>
    <n v="3318"/>
    <n v="0"/>
    <n v="0"/>
    <n v="0"/>
    <n v="0"/>
    <n v="21"/>
    <x v="1"/>
    <n v="0"/>
    <n v="9"/>
    <n v="0"/>
    <n v="0"/>
    <n v="33.97"/>
    <n v="0"/>
    <n v="0"/>
    <n v="32.31"/>
    <m/>
    <m/>
    <n v="112712.45999999999"/>
    <n v="0"/>
    <n v="0"/>
    <n v="107204.58"/>
    <n v="0"/>
    <n v="0"/>
  </r>
  <r>
    <s v="Sistema de Compensação"/>
    <x v="0"/>
    <x v="1"/>
    <x v="1"/>
    <x v="0"/>
    <x v="1"/>
    <x v="1"/>
    <x v="1"/>
    <x v="10"/>
    <n v="50"/>
    <n v="50"/>
    <n v="0"/>
    <n v="0"/>
    <n v="0"/>
    <n v="0"/>
    <n v="1"/>
    <x v="1"/>
    <n v="0"/>
    <n v="9"/>
    <n v="0"/>
    <n v="0"/>
    <n v="33.97"/>
    <n v="0"/>
    <n v="0"/>
    <n v="32.31"/>
    <m/>
    <m/>
    <n v="1698.5"/>
    <n v="0"/>
    <n v="0"/>
    <n v="1615.5"/>
    <n v="0"/>
    <n v="0"/>
  </r>
  <r>
    <s v="Regular"/>
    <x v="0"/>
    <x v="1"/>
    <x v="1"/>
    <x v="0"/>
    <x v="1"/>
    <x v="1"/>
    <x v="1"/>
    <x v="11"/>
    <n v="3163"/>
    <n v="3163"/>
    <n v="0"/>
    <n v="0"/>
    <n v="0"/>
    <n v="0"/>
    <n v="21"/>
    <x v="1"/>
    <n v="0"/>
    <n v="9"/>
    <n v="0"/>
    <n v="0"/>
    <n v="33.97"/>
    <n v="0"/>
    <n v="0"/>
    <n v="32.31"/>
    <m/>
    <m/>
    <n v="107447.11"/>
    <n v="0"/>
    <n v="0"/>
    <n v="102196.53000000001"/>
    <n v="0"/>
    <n v="0"/>
  </r>
  <r>
    <s v="Sistema de Compensação"/>
    <x v="0"/>
    <x v="1"/>
    <x v="1"/>
    <x v="0"/>
    <x v="1"/>
    <x v="1"/>
    <x v="1"/>
    <x v="11"/>
    <n v="54"/>
    <n v="54"/>
    <n v="0"/>
    <n v="0"/>
    <n v="0"/>
    <n v="0"/>
    <n v="1"/>
    <x v="1"/>
    <n v="0"/>
    <n v="9"/>
    <n v="0"/>
    <n v="0"/>
    <n v="33.97"/>
    <n v="0"/>
    <n v="0"/>
    <n v="32.31"/>
    <m/>
    <m/>
    <n v="1834.3799999999999"/>
    <n v="0"/>
    <n v="0"/>
    <n v="1744.7400000000002"/>
    <n v="0"/>
    <n v="0"/>
  </r>
  <r>
    <s v="Regular"/>
    <x v="0"/>
    <x v="1"/>
    <x v="1"/>
    <x v="0"/>
    <x v="1"/>
    <x v="1"/>
    <x v="2"/>
    <x v="0"/>
    <n v="0"/>
    <n v="0"/>
    <n v="23.748999999999999"/>
    <n v="23.748999999999999"/>
    <n v="23.748999999999999"/>
    <n v="23.748999999999999"/>
    <n v="0"/>
    <x v="1"/>
    <n v="0"/>
    <n v="0"/>
    <n v="10"/>
    <n v="51"/>
    <n v="0"/>
    <n v="1755.54"/>
    <n v="298.83999999999997"/>
    <m/>
    <n v="1283.23"/>
    <n v="311.4117891483653"/>
    <n v="0"/>
    <n v="41692.319459999999"/>
    <n v="7097.1511599999994"/>
    <n v="0"/>
    <n v="30475.429270000001"/>
    <n v="7395.7185804845276"/>
  </r>
  <r>
    <s v="Sistema de Compensação"/>
    <x v="0"/>
    <x v="1"/>
    <x v="1"/>
    <x v="0"/>
    <x v="1"/>
    <x v="1"/>
    <x v="2"/>
    <x v="0"/>
    <n v="0"/>
    <n v="0"/>
    <n v="1.258"/>
    <n v="1.258"/>
    <n v="1.258"/>
    <n v="1.258"/>
    <n v="0"/>
    <x v="1"/>
    <n v="0"/>
    <n v="0"/>
    <n v="10"/>
    <n v="51"/>
    <n v="0"/>
    <n v="1755.54"/>
    <n v="298.83999999999997"/>
    <m/>
    <n v="1283.23"/>
    <n v="311.4117891483653"/>
    <n v="0"/>
    <n v="2208.4693200000002"/>
    <n v="375.94072"/>
    <n v="0"/>
    <n v="1614.3033399999999"/>
    <n v="391.75603074864352"/>
  </r>
  <r>
    <s v="Regular"/>
    <x v="0"/>
    <x v="1"/>
    <x v="1"/>
    <x v="0"/>
    <x v="1"/>
    <x v="1"/>
    <x v="2"/>
    <x v="1"/>
    <n v="0"/>
    <n v="0"/>
    <n v="19.725999999999999"/>
    <n v="19.725999999999999"/>
    <n v="19.725999999999999"/>
    <n v="19.725999999999999"/>
    <n v="0"/>
    <x v="1"/>
    <n v="0"/>
    <n v="0"/>
    <n v="10"/>
    <n v="51"/>
    <n v="0"/>
    <n v="1755.54"/>
    <n v="298.83999999999997"/>
    <m/>
    <n v="1283.23"/>
    <n v="311.4117891483653"/>
    <n v="0"/>
    <n v="34629.782039999998"/>
    <n v="5894.9178399999992"/>
    <n v="0"/>
    <n v="25312.994979999999"/>
    <n v="6142.9089527406541"/>
  </r>
  <r>
    <s v="Sistema de Compensação"/>
    <x v="0"/>
    <x v="1"/>
    <x v="1"/>
    <x v="0"/>
    <x v="1"/>
    <x v="1"/>
    <x v="2"/>
    <x v="1"/>
    <n v="0"/>
    <n v="0"/>
    <n v="1.046"/>
    <n v="1.046"/>
    <n v="1.046"/>
    <n v="1.046"/>
    <n v="0"/>
    <x v="1"/>
    <n v="0"/>
    <n v="0"/>
    <n v="10"/>
    <n v="51"/>
    <n v="0"/>
    <n v="1755.54"/>
    <n v="298.83999999999997"/>
    <m/>
    <n v="1283.23"/>
    <n v="311.4117891483653"/>
    <n v="0"/>
    <n v="1836.29484"/>
    <n v="312.58663999999999"/>
    <n v="0"/>
    <n v="1342.2585800000002"/>
    <n v="325.73673144919013"/>
  </r>
  <r>
    <s v="Regular"/>
    <x v="0"/>
    <x v="1"/>
    <x v="1"/>
    <x v="0"/>
    <x v="1"/>
    <x v="1"/>
    <x v="2"/>
    <x v="2"/>
    <n v="0"/>
    <n v="0"/>
    <n v="21.129000000000001"/>
    <n v="21.129000000000001"/>
    <n v="21.129000000000001"/>
    <n v="21.129000000000001"/>
    <n v="0"/>
    <x v="1"/>
    <n v="0"/>
    <n v="0"/>
    <n v="10"/>
    <n v="51"/>
    <n v="0"/>
    <n v="1755.54"/>
    <n v="298.83999999999997"/>
    <m/>
    <n v="1283.23"/>
    <n v="311.4117891483653"/>
    <n v="0"/>
    <n v="37092.804660000002"/>
    <n v="6314.1903599999996"/>
    <n v="0"/>
    <n v="27113.366670000003"/>
    <n v="6579.8196929158112"/>
  </r>
  <r>
    <s v="Regular"/>
    <x v="0"/>
    <x v="1"/>
    <x v="1"/>
    <x v="0"/>
    <x v="1"/>
    <x v="1"/>
    <x v="2"/>
    <x v="3"/>
    <n v="0"/>
    <n v="0"/>
    <n v="23.539000000000001"/>
    <n v="23.539000000000001"/>
    <n v="23.539000000000001"/>
    <n v="23.539000000000001"/>
    <n v="0"/>
    <x v="1"/>
    <n v="0"/>
    <n v="0"/>
    <n v="10"/>
    <n v="51"/>
    <n v="0"/>
    <n v="1755.54"/>
    <n v="298.83999999999997"/>
    <m/>
    <n v="1283.23"/>
    <n v="311.4117891483653"/>
    <n v="0"/>
    <n v="41323.656060000001"/>
    <n v="7034.3947600000001"/>
    <n v="0"/>
    <n v="30205.950970000002"/>
    <n v="7330.3221047633715"/>
  </r>
  <r>
    <s v="Regular"/>
    <x v="0"/>
    <x v="1"/>
    <x v="1"/>
    <x v="0"/>
    <x v="1"/>
    <x v="1"/>
    <x v="2"/>
    <x v="4"/>
    <n v="0"/>
    <n v="0"/>
    <n v="28.260999999999999"/>
    <n v="28.260999999999999"/>
    <n v="28.260999999999999"/>
    <n v="28.260999999999999"/>
    <n v="0"/>
    <x v="1"/>
    <n v="0"/>
    <n v="0"/>
    <n v="10"/>
    <n v="51"/>
    <n v="0"/>
    <n v="1755.54"/>
    <n v="298.83999999999997"/>
    <m/>
    <n v="1283.23"/>
    <n v="311.4117891483653"/>
    <n v="0"/>
    <n v="49613.31594"/>
    <n v="8445.5172399999992"/>
    <n v="0"/>
    <n v="36265.36303"/>
    <n v="8800.8085731219508"/>
  </r>
  <r>
    <s v="Regular"/>
    <x v="0"/>
    <x v="1"/>
    <x v="1"/>
    <x v="0"/>
    <x v="1"/>
    <x v="1"/>
    <x v="2"/>
    <x v="5"/>
    <n v="0"/>
    <n v="0"/>
    <n v="35.386000000000003"/>
    <n v="35.386000000000003"/>
    <n v="35.386000000000003"/>
    <n v="35.386000000000003"/>
    <n v="0"/>
    <x v="1"/>
    <n v="0"/>
    <n v="0"/>
    <n v="10"/>
    <n v="51"/>
    <n v="0"/>
    <n v="1755.54"/>
    <n v="298.83999999999997"/>
    <m/>
    <n v="1283.23"/>
    <n v="311.4117891483653"/>
    <n v="0"/>
    <n v="62121.538440000004"/>
    <n v="10574.75224"/>
    <n v="0"/>
    <n v="45408.376780000006"/>
    <n v="11019.617570804056"/>
  </r>
  <r>
    <s v="Regular"/>
    <x v="0"/>
    <x v="1"/>
    <x v="1"/>
    <x v="0"/>
    <x v="1"/>
    <x v="1"/>
    <x v="2"/>
    <x v="6"/>
    <n v="0"/>
    <n v="0"/>
    <n v="30.181999999999999"/>
    <n v="30.181999999999999"/>
    <n v="30.181999999999999"/>
    <n v="30.181999999999999"/>
    <n v="0"/>
    <x v="1"/>
    <n v="0"/>
    <n v="0"/>
    <n v="10"/>
    <n v="51"/>
    <n v="0"/>
    <n v="1755.54"/>
    <n v="298.83999999999997"/>
    <m/>
    <n v="1283.23"/>
    <n v="311.4117891483653"/>
    <n v="0"/>
    <n v="52985.708279999999"/>
    <n v="9019.5888799999993"/>
    <n v="0"/>
    <n v="38730.44786"/>
    <n v="9399.0306200759605"/>
  </r>
  <r>
    <s v="Regular"/>
    <x v="0"/>
    <x v="1"/>
    <x v="1"/>
    <x v="0"/>
    <x v="1"/>
    <x v="1"/>
    <x v="2"/>
    <x v="7"/>
    <n v="0"/>
    <n v="0"/>
    <n v="30.413"/>
    <n v="30.413"/>
    <n v="30.413"/>
    <n v="30.413"/>
    <n v="0"/>
    <x v="1"/>
    <n v="0"/>
    <n v="0"/>
    <n v="10"/>
    <n v="51"/>
    <n v="0"/>
    <n v="1755.54"/>
    <n v="298.83999999999997"/>
    <m/>
    <n v="1283.23"/>
    <n v="311.4117891483653"/>
    <n v="0"/>
    <n v="53391.238019999997"/>
    <n v="9088.6209199999994"/>
    <n v="0"/>
    <n v="39026.87399"/>
    <n v="9470.9667433692339"/>
  </r>
  <r>
    <s v="Regular"/>
    <x v="0"/>
    <x v="1"/>
    <x v="1"/>
    <x v="0"/>
    <x v="1"/>
    <x v="1"/>
    <x v="2"/>
    <x v="8"/>
    <n v="0"/>
    <n v="0"/>
    <n v="43.679000000000002"/>
    <n v="43.679000000000002"/>
    <n v="43.679000000000002"/>
    <n v="43.679000000000002"/>
    <n v="0"/>
    <x v="1"/>
    <n v="0"/>
    <n v="0"/>
    <n v="10"/>
    <n v="51"/>
    <n v="0"/>
    <n v="1755.54"/>
    <n v="298.83999999999997"/>
    <m/>
    <n v="1283.23"/>
    <n v="311.4117891483653"/>
    <n v="0"/>
    <n v="76680.231660000005"/>
    <n v="13053.032359999999"/>
    <n v="0"/>
    <n v="56050.203170000001"/>
    <n v="13602.155538211449"/>
  </r>
  <r>
    <s v="Regular"/>
    <x v="0"/>
    <x v="1"/>
    <x v="1"/>
    <x v="0"/>
    <x v="1"/>
    <x v="1"/>
    <x v="2"/>
    <x v="9"/>
    <n v="0"/>
    <n v="0"/>
    <n v="39.534999999999997"/>
    <n v="39.534999999999997"/>
    <n v="39.534999999999997"/>
    <n v="39.534999999999997"/>
    <n v="0"/>
    <x v="1"/>
    <n v="0"/>
    <n v="0"/>
    <n v="10"/>
    <n v="51"/>
    <n v="0"/>
    <n v="1755.54"/>
    <n v="298.83999999999997"/>
    <m/>
    <n v="1283.23"/>
    <n v="311.4117891483653"/>
    <n v="0"/>
    <n v="69405.273899999986"/>
    <n v="11814.639399999998"/>
    <n v="0"/>
    <n v="50732.498049999995"/>
    <n v="12311.665083980621"/>
  </r>
  <r>
    <s v="Regular"/>
    <x v="0"/>
    <x v="1"/>
    <x v="1"/>
    <x v="0"/>
    <x v="1"/>
    <x v="1"/>
    <x v="2"/>
    <x v="10"/>
    <n v="0"/>
    <n v="0"/>
    <n v="40.744999999999997"/>
    <n v="40.744999999999997"/>
    <n v="40.744999999999997"/>
    <n v="40.744999999999997"/>
    <n v="0"/>
    <x v="1"/>
    <n v="0"/>
    <n v="0"/>
    <n v="10"/>
    <n v="51"/>
    <n v="0"/>
    <n v="1755.54"/>
    <n v="298.83999999999997"/>
    <m/>
    <n v="1283.23"/>
    <n v="311.4117891483653"/>
    <n v="0"/>
    <n v="71529.477299999999"/>
    <n v="12176.235799999999"/>
    <n v="0"/>
    <n v="52285.20635"/>
    <n v="12688.473348850144"/>
  </r>
  <r>
    <s v="Regular"/>
    <x v="0"/>
    <x v="1"/>
    <x v="1"/>
    <x v="0"/>
    <x v="1"/>
    <x v="1"/>
    <x v="2"/>
    <x v="11"/>
    <n v="0"/>
    <n v="0"/>
    <n v="33.603999999999999"/>
    <n v="33.603999999999999"/>
    <n v="33.603999999999999"/>
    <n v="33.603999999999999"/>
    <n v="0"/>
    <x v="1"/>
    <n v="0"/>
    <n v="0"/>
    <n v="10"/>
    <n v="51"/>
    <n v="0"/>
    <n v="1755.54"/>
    <n v="298.83999999999997"/>
    <m/>
    <n v="1283.23"/>
    <n v="311.4117891483653"/>
    <n v="0"/>
    <n v="58993.166160000001"/>
    <n v="10042.219359999999"/>
    <n v="0"/>
    <n v="43121.660920000002"/>
    <n v="10464.681762541668"/>
  </r>
  <r>
    <s v="Sistema de Compensação"/>
    <x v="0"/>
    <x v="1"/>
    <x v="1"/>
    <x v="0"/>
    <x v="1"/>
    <x v="1"/>
    <x v="2"/>
    <x v="11"/>
    <n v="0"/>
    <n v="0"/>
    <n v="1.1970000000000001"/>
    <n v="1.1970000000000001"/>
    <n v="1.1970000000000001"/>
    <n v="1.1970000000000001"/>
    <n v="0"/>
    <x v="1"/>
    <n v="0"/>
    <n v="0"/>
    <n v="10"/>
    <n v="51"/>
    <n v="0"/>
    <n v="1755.54"/>
    <n v="298.83999999999997"/>
    <m/>
    <n v="1283.23"/>
    <n v="311.4117891483653"/>
    <n v="0"/>
    <n v="2101.3813800000003"/>
    <n v="357.71147999999999"/>
    <n v="0"/>
    <n v="1536.0263100000002"/>
    <n v="372.75991161059329"/>
  </r>
  <r>
    <s v="Regular"/>
    <x v="0"/>
    <x v="1"/>
    <x v="2"/>
    <x v="0"/>
    <x v="2"/>
    <x v="1"/>
    <x v="0"/>
    <x v="0"/>
    <n v="0"/>
    <n v="0"/>
    <n v="576.83600000000001"/>
    <n v="576.83600000000001"/>
    <n v="0"/>
    <n v="0"/>
    <n v="0"/>
    <x v="2"/>
    <n v="0"/>
    <n v="0"/>
    <n v="11"/>
    <n v="0"/>
    <n v="0"/>
    <n v="90.54"/>
    <n v="0"/>
    <m/>
    <n v="116.79000000000002"/>
    <m/>
    <n v="0"/>
    <n v="52226.731440000003"/>
    <n v="0"/>
    <n v="0"/>
    <n v="67368.67644000001"/>
    <n v="0"/>
  </r>
  <r>
    <s v="Regular"/>
    <x v="0"/>
    <x v="1"/>
    <x v="2"/>
    <x v="0"/>
    <x v="2"/>
    <x v="1"/>
    <x v="0"/>
    <x v="1"/>
    <n v="0"/>
    <n v="0"/>
    <n v="659.55899999999997"/>
    <n v="659.55899999999997"/>
    <n v="0"/>
    <n v="0"/>
    <n v="0"/>
    <x v="2"/>
    <n v="0"/>
    <n v="0"/>
    <n v="11"/>
    <n v="0"/>
    <n v="0"/>
    <n v="90.54"/>
    <n v="0"/>
    <m/>
    <n v="116.79000000000002"/>
    <m/>
    <n v="0"/>
    <n v="59716.471859999998"/>
    <n v="0"/>
    <n v="0"/>
    <n v="77029.895610000007"/>
    <n v="0"/>
  </r>
  <r>
    <s v="Regular"/>
    <x v="0"/>
    <x v="1"/>
    <x v="2"/>
    <x v="0"/>
    <x v="2"/>
    <x v="1"/>
    <x v="0"/>
    <x v="2"/>
    <n v="0"/>
    <n v="0"/>
    <n v="566.03899999999999"/>
    <n v="566.03899999999999"/>
    <n v="0"/>
    <n v="0"/>
    <n v="0"/>
    <x v="2"/>
    <n v="0"/>
    <n v="0"/>
    <n v="11"/>
    <n v="0"/>
    <n v="0"/>
    <n v="90.54"/>
    <n v="0"/>
    <m/>
    <n v="116.79000000000002"/>
    <m/>
    <n v="0"/>
    <n v="51249.171060000001"/>
    <n v="0"/>
    <n v="0"/>
    <n v="66107.694810000015"/>
    <n v="0"/>
  </r>
  <r>
    <s v="Regular"/>
    <x v="0"/>
    <x v="1"/>
    <x v="2"/>
    <x v="0"/>
    <x v="2"/>
    <x v="1"/>
    <x v="0"/>
    <x v="3"/>
    <n v="0"/>
    <n v="0"/>
    <n v="480.84199999999998"/>
    <n v="480.84199999999998"/>
    <n v="0"/>
    <n v="0"/>
    <n v="0"/>
    <x v="2"/>
    <n v="0"/>
    <n v="0"/>
    <n v="11"/>
    <n v="0"/>
    <n v="0"/>
    <n v="90.54"/>
    <n v="0"/>
    <m/>
    <n v="116.79000000000002"/>
    <m/>
    <n v="0"/>
    <n v="43535.434679999998"/>
    <n v="0"/>
    <n v="0"/>
    <n v="56157.537180000007"/>
    <n v="0"/>
  </r>
  <r>
    <s v="Regular"/>
    <x v="0"/>
    <x v="1"/>
    <x v="2"/>
    <x v="0"/>
    <x v="2"/>
    <x v="1"/>
    <x v="0"/>
    <x v="4"/>
    <n v="0"/>
    <n v="0"/>
    <n v="584.78099999999995"/>
    <n v="584.78099999999995"/>
    <n v="0"/>
    <n v="0"/>
    <n v="0"/>
    <x v="2"/>
    <n v="0"/>
    <n v="0"/>
    <n v="11"/>
    <n v="0"/>
    <n v="0"/>
    <n v="90.54"/>
    <n v="0"/>
    <m/>
    <n v="116.79000000000002"/>
    <m/>
    <n v="0"/>
    <n v="52946.071739999999"/>
    <n v="0"/>
    <n v="0"/>
    <n v="68296.572990000001"/>
    <n v="0"/>
  </r>
  <r>
    <s v="Regular"/>
    <x v="0"/>
    <x v="1"/>
    <x v="2"/>
    <x v="0"/>
    <x v="2"/>
    <x v="1"/>
    <x v="0"/>
    <x v="5"/>
    <n v="0"/>
    <n v="0"/>
    <n v="625.28099999999995"/>
    <n v="625.28099999999995"/>
    <n v="0"/>
    <n v="0"/>
    <n v="0"/>
    <x v="2"/>
    <n v="0"/>
    <n v="0"/>
    <n v="11"/>
    <n v="0"/>
    <n v="0"/>
    <n v="90.54"/>
    <n v="0"/>
    <m/>
    <n v="116.79000000000002"/>
    <m/>
    <n v="0"/>
    <n v="56612.941740000002"/>
    <n v="0"/>
    <n v="0"/>
    <n v="73026.56799000001"/>
    <n v="0"/>
  </r>
  <r>
    <s v="Regular"/>
    <x v="0"/>
    <x v="1"/>
    <x v="2"/>
    <x v="0"/>
    <x v="2"/>
    <x v="1"/>
    <x v="0"/>
    <x v="6"/>
    <n v="0"/>
    <n v="0"/>
    <n v="608.40499999999997"/>
    <n v="608.40499999999997"/>
    <n v="0"/>
    <n v="0"/>
    <n v="0"/>
    <x v="2"/>
    <n v="0"/>
    <n v="0"/>
    <n v="11"/>
    <n v="0"/>
    <n v="0"/>
    <n v="90.54"/>
    <n v="0"/>
    <m/>
    <n v="116.79000000000002"/>
    <m/>
    <n v="0"/>
    <n v="55084.988700000002"/>
    <n v="0"/>
    <n v="0"/>
    <n v="71055.619950000008"/>
    <n v="0"/>
  </r>
  <r>
    <s v="Regular"/>
    <x v="0"/>
    <x v="1"/>
    <x v="2"/>
    <x v="0"/>
    <x v="2"/>
    <x v="1"/>
    <x v="0"/>
    <x v="7"/>
    <n v="0"/>
    <n v="0"/>
    <n v="526.81399999999996"/>
    <n v="526.81399999999996"/>
    <n v="0"/>
    <n v="0"/>
    <n v="0"/>
    <x v="2"/>
    <n v="0"/>
    <n v="0"/>
    <n v="11"/>
    <n v="0"/>
    <n v="0"/>
    <n v="90.54"/>
    <n v="0"/>
    <m/>
    <n v="116.79000000000002"/>
    <m/>
    <n v="0"/>
    <n v="47697.739560000002"/>
    <n v="0"/>
    <n v="0"/>
    <n v="61526.607060000009"/>
    <n v="0"/>
  </r>
  <r>
    <s v="Regular"/>
    <x v="0"/>
    <x v="1"/>
    <x v="2"/>
    <x v="0"/>
    <x v="2"/>
    <x v="1"/>
    <x v="0"/>
    <x v="8"/>
    <n v="0"/>
    <n v="0"/>
    <n v="1022.5549999999999"/>
    <n v="1022.5549999999999"/>
    <n v="0"/>
    <n v="0"/>
    <n v="0"/>
    <x v="2"/>
    <n v="0"/>
    <n v="0"/>
    <n v="11"/>
    <n v="0"/>
    <n v="0"/>
    <n v="90.54"/>
    <n v="0"/>
    <m/>
    <n v="116.79000000000002"/>
    <m/>
    <n v="0"/>
    <n v="92582.129700000005"/>
    <n v="0"/>
    <n v="0"/>
    <n v="119424.19845000001"/>
    <n v="0"/>
  </r>
  <r>
    <s v="Regular"/>
    <x v="0"/>
    <x v="1"/>
    <x v="2"/>
    <x v="0"/>
    <x v="2"/>
    <x v="1"/>
    <x v="0"/>
    <x v="9"/>
    <n v="0"/>
    <n v="0"/>
    <n v="677.24199999999996"/>
    <n v="677.24199999999996"/>
    <n v="0"/>
    <n v="0"/>
    <n v="0"/>
    <x v="2"/>
    <n v="0"/>
    <n v="0"/>
    <n v="11"/>
    <n v="0"/>
    <n v="0"/>
    <n v="90.54"/>
    <n v="0"/>
    <m/>
    <n v="116.79000000000002"/>
    <m/>
    <n v="0"/>
    <n v="61317.490680000003"/>
    <n v="0"/>
    <n v="0"/>
    <n v="79095.093180000011"/>
    <n v="0"/>
  </r>
  <r>
    <s v="Regular"/>
    <x v="0"/>
    <x v="1"/>
    <x v="2"/>
    <x v="0"/>
    <x v="2"/>
    <x v="1"/>
    <x v="0"/>
    <x v="10"/>
    <n v="0"/>
    <n v="0"/>
    <n v="790.68499999999995"/>
    <n v="790.68499999999995"/>
    <n v="0"/>
    <n v="0"/>
    <n v="0"/>
    <x v="2"/>
    <n v="0"/>
    <n v="0"/>
    <n v="11"/>
    <n v="0"/>
    <n v="0"/>
    <n v="90.54"/>
    <n v="0"/>
    <m/>
    <n v="116.79000000000002"/>
    <m/>
    <n v="0"/>
    <n v="71588.619900000005"/>
    <n v="0"/>
    <n v="0"/>
    <n v="92344.101150000017"/>
    <n v="0"/>
  </r>
  <r>
    <s v="Regular"/>
    <x v="0"/>
    <x v="1"/>
    <x v="2"/>
    <x v="0"/>
    <x v="2"/>
    <x v="1"/>
    <x v="0"/>
    <x v="11"/>
    <n v="0"/>
    <n v="0"/>
    <n v="784.33"/>
    <n v="784.33"/>
    <n v="0"/>
    <n v="0"/>
    <n v="0"/>
    <x v="2"/>
    <n v="0"/>
    <n v="0"/>
    <n v="11"/>
    <n v="0"/>
    <n v="0"/>
    <n v="90.54"/>
    <n v="0"/>
    <m/>
    <n v="116.79000000000002"/>
    <m/>
    <n v="0"/>
    <n v="71013.238200000007"/>
    <n v="0"/>
    <n v="0"/>
    <n v="91601.900700000027"/>
    <n v="0"/>
  </r>
  <r>
    <s v="Regular"/>
    <x v="0"/>
    <x v="1"/>
    <x v="2"/>
    <x v="0"/>
    <x v="2"/>
    <x v="1"/>
    <x v="1"/>
    <x v="0"/>
    <n v="3029"/>
    <n v="816.91287938000005"/>
    <n v="0"/>
    <n v="0"/>
    <n v="0"/>
    <n v="0"/>
    <n v="6"/>
    <x v="2"/>
    <n v="0"/>
    <n v="9"/>
    <n v="0"/>
    <n v="0"/>
    <n v="33.97"/>
    <n v="0"/>
    <n v="0"/>
    <n v="32.31"/>
    <m/>
    <m/>
    <n v="27750.5305125386"/>
    <n v="0"/>
    <n v="0"/>
    <n v="26394.455132767802"/>
    <n v="0"/>
    <n v="0"/>
  </r>
  <r>
    <s v="Regular"/>
    <x v="0"/>
    <x v="1"/>
    <x v="2"/>
    <x v="0"/>
    <x v="2"/>
    <x v="1"/>
    <x v="1"/>
    <x v="1"/>
    <n v="3396"/>
    <n v="915.89175911999996"/>
    <n v="0"/>
    <n v="0"/>
    <n v="0"/>
    <n v="0"/>
    <n v="8"/>
    <x v="2"/>
    <n v="0"/>
    <n v="9"/>
    <n v="0"/>
    <n v="0"/>
    <n v="33.97"/>
    <n v="0"/>
    <n v="0"/>
    <n v="32.31"/>
    <m/>
    <m/>
    <n v="31112.843057306396"/>
    <n v="0"/>
    <n v="0"/>
    <n v="29592.4627371672"/>
    <n v="0"/>
    <n v="0"/>
  </r>
  <r>
    <s v="Regular"/>
    <x v="0"/>
    <x v="1"/>
    <x v="2"/>
    <x v="0"/>
    <x v="2"/>
    <x v="1"/>
    <x v="1"/>
    <x v="2"/>
    <n v="3368"/>
    <n v="908.34023695999997"/>
    <n v="0"/>
    <n v="0"/>
    <n v="0"/>
    <n v="0"/>
    <n v="8"/>
    <x v="2"/>
    <n v="0"/>
    <n v="9"/>
    <n v="0"/>
    <n v="0"/>
    <n v="33.97"/>
    <n v="0"/>
    <n v="0"/>
    <n v="32.31"/>
    <m/>
    <m/>
    <n v="30856.317849531199"/>
    <n v="0"/>
    <n v="0"/>
    <n v="29348.473056177601"/>
    <n v="0"/>
    <n v="0"/>
  </r>
  <r>
    <s v="Regular"/>
    <x v="0"/>
    <x v="1"/>
    <x v="2"/>
    <x v="0"/>
    <x v="2"/>
    <x v="1"/>
    <x v="1"/>
    <x v="3"/>
    <n v="3368"/>
    <n v="908.34023695999997"/>
    <n v="0"/>
    <n v="0"/>
    <n v="0"/>
    <n v="0"/>
    <n v="8"/>
    <x v="2"/>
    <n v="0"/>
    <n v="9"/>
    <n v="0"/>
    <n v="0"/>
    <n v="33.97"/>
    <n v="0"/>
    <n v="0"/>
    <n v="32.31"/>
    <m/>
    <m/>
    <n v="30856.317849531199"/>
    <n v="0"/>
    <n v="0"/>
    <n v="29348.473056177601"/>
    <n v="0"/>
    <n v="0"/>
  </r>
  <r>
    <s v="Regular"/>
    <x v="0"/>
    <x v="1"/>
    <x v="2"/>
    <x v="0"/>
    <x v="2"/>
    <x v="1"/>
    <x v="1"/>
    <x v="4"/>
    <n v="3368"/>
    <n v="908.34023695999997"/>
    <n v="0"/>
    <n v="0"/>
    <n v="0"/>
    <n v="0"/>
    <n v="8"/>
    <x v="2"/>
    <n v="0"/>
    <n v="9"/>
    <n v="0"/>
    <n v="0"/>
    <n v="33.97"/>
    <n v="0"/>
    <n v="0"/>
    <n v="32.31"/>
    <m/>
    <m/>
    <n v="30856.317849531199"/>
    <n v="0"/>
    <n v="0"/>
    <n v="29348.473056177601"/>
    <n v="0"/>
    <n v="0"/>
  </r>
  <r>
    <s v="Regular"/>
    <x v="0"/>
    <x v="1"/>
    <x v="2"/>
    <x v="0"/>
    <x v="2"/>
    <x v="1"/>
    <x v="1"/>
    <x v="5"/>
    <n v="3368"/>
    <n v="908.34023695999997"/>
    <n v="0"/>
    <n v="0"/>
    <n v="0"/>
    <n v="0"/>
    <n v="8"/>
    <x v="2"/>
    <n v="0"/>
    <n v="9"/>
    <n v="0"/>
    <n v="0"/>
    <n v="33.97"/>
    <n v="0"/>
    <n v="0"/>
    <n v="32.31"/>
    <m/>
    <m/>
    <n v="30856.317849531199"/>
    <n v="0"/>
    <n v="0"/>
    <n v="29348.473056177601"/>
    <n v="0"/>
    <n v="0"/>
  </r>
  <r>
    <s v="Regular"/>
    <x v="0"/>
    <x v="1"/>
    <x v="2"/>
    <x v="0"/>
    <x v="2"/>
    <x v="1"/>
    <x v="1"/>
    <x v="6"/>
    <n v="3368"/>
    <n v="908.34023695999997"/>
    <n v="0"/>
    <n v="0"/>
    <n v="0"/>
    <n v="0"/>
    <n v="8"/>
    <x v="2"/>
    <n v="0"/>
    <n v="9"/>
    <n v="0"/>
    <n v="0"/>
    <n v="33.97"/>
    <n v="0"/>
    <n v="0"/>
    <n v="32.31"/>
    <m/>
    <m/>
    <n v="30856.317849531199"/>
    <n v="0"/>
    <n v="0"/>
    <n v="29348.473056177601"/>
    <n v="0"/>
    <n v="0"/>
  </r>
  <r>
    <s v="Regular"/>
    <x v="0"/>
    <x v="1"/>
    <x v="2"/>
    <x v="0"/>
    <x v="2"/>
    <x v="1"/>
    <x v="1"/>
    <x v="7"/>
    <n v="3168"/>
    <n v="854.40079295999999"/>
    <n v="0"/>
    <n v="0"/>
    <n v="0"/>
    <n v="0"/>
    <n v="8"/>
    <x v="2"/>
    <n v="0"/>
    <n v="9"/>
    <n v="0"/>
    <n v="0"/>
    <n v="33.97"/>
    <n v="0"/>
    <n v="0"/>
    <n v="32.31"/>
    <m/>
    <m/>
    <n v="29023.994936851199"/>
    <n v="0"/>
    <n v="0"/>
    <n v="27605.689620537603"/>
    <n v="0"/>
    <n v="0"/>
  </r>
  <r>
    <s v="Regular"/>
    <x v="0"/>
    <x v="1"/>
    <x v="2"/>
    <x v="0"/>
    <x v="2"/>
    <x v="1"/>
    <x v="1"/>
    <x v="8"/>
    <n v="3457"/>
    <n v="932.34328954"/>
    <n v="0"/>
    <n v="0"/>
    <n v="0"/>
    <n v="0"/>
    <n v="8"/>
    <x v="2"/>
    <n v="0"/>
    <n v="9"/>
    <n v="0"/>
    <n v="0"/>
    <n v="33.97"/>
    <n v="0"/>
    <n v="0"/>
    <n v="32.31"/>
    <m/>
    <m/>
    <n v="31671.701545673797"/>
    <n v="0"/>
    <n v="0"/>
    <n v="30124.011685037403"/>
    <n v="0"/>
    <n v="0"/>
  </r>
  <r>
    <s v="Regular"/>
    <x v="0"/>
    <x v="1"/>
    <x v="2"/>
    <x v="0"/>
    <x v="2"/>
    <x v="1"/>
    <x v="1"/>
    <x v="9"/>
    <n v="3507"/>
    <n v="945.82815054000002"/>
    <n v="0"/>
    <n v="0"/>
    <n v="0"/>
    <n v="0"/>
    <n v="8"/>
    <x v="2"/>
    <n v="0"/>
    <n v="9"/>
    <n v="0"/>
    <n v="0"/>
    <n v="33.97"/>
    <n v="0"/>
    <n v="0"/>
    <n v="32.31"/>
    <m/>
    <m/>
    <n v="32129.782273843801"/>
    <n v="0"/>
    <n v="0"/>
    <n v="30559.707543947403"/>
    <n v="0"/>
    <n v="0"/>
  </r>
  <r>
    <s v="Regular"/>
    <x v="0"/>
    <x v="1"/>
    <x v="2"/>
    <x v="0"/>
    <x v="2"/>
    <x v="1"/>
    <x v="1"/>
    <x v="10"/>
    <n v="3585"/>
    <n v="966.86453370000004"/>
    <n v="0"/>
    <n v="0"/>
    <n v="0"/>
    <n v="0"/>
    <n v="8"/>
    <x v="2"/>
    <n v="0"/>
    <n v="9"/>
    <n v="0"/>
    <n v="0"/>
    <n v="33.97"/>
    <n v="0"/>
    <n v="0"/>
    <n v="32.31"/>
    <m/>
    <m/>
    <n v="32844.388209789002"/>
    <n v="0"/>
    <n v="0"/>
    <n v="31239.393083847004"/>
    <n v="0"/>
    <n v="0"/>
  </r>
  <r>
    <s v="Regular"/>
    <x v="0"/>
    <x v="1"/>
    <x v="2"/>
    <x v="0"/>
    <x v="2"/>
    <x v="1"/>
    <x v="1"/>
    <x v="11"/>
    <n v="3577"/>
    <n v="964.70695593999994"/>
    <n v="0"/>
    <n v="0"/>
    <n v="0"/>
    <n v="0"/>
    <n v="8"/>
    <x v="2"/>
    <n v="0"/>
    <n v="9"/>
    <n v="0"/>
    <n v="0"/>
    <n v="33.97"/>
    <n v="0"/>
    <n v="0"/>
    <n v="32.31"/>
    <m/>
    <m/>
    <n v="32771.095293281796"/>
    <n v="0"/>
    <n v="0"/>
    <n v="31169.6817464214"/>
    <n v="0"/>
    <n v="0"/>
  </r>
  <r>
    <s v="Regular"/>
    <x v="0"/>
    <x v="1"/>
    <x v="2"/>
    <x v="0"/>
    <x v="2"/>
    <x v="1"/>
    <x v="2"/>
    <x v="0"/>
    <n v="0"/>
    <n v="0"/>
    <n v="31.003"/>
    <n v="9.8979709654699999"/>
    <n v="0"/>
    <n v="0"/>
    <n v="0"/>
    <x v="2"/>
    <n v="0"/>
    <n v="0"/>
    <n v="10"/>
    <n v="0"/>
    <n v="0"/>
    <n v="1755.54"/>
    <n v="0"/>
    <m/>
    <n v="1283.23"/>
    <m/>
    <n v="0"/>
    <n v="17376.283948721204"/>
    <n v="0"/>
    <n v="0"/>
    <n v="12701.373282020068"/>
    <n v="0"/>
  </r>
  <r>
    <s v="Regular"/>
    <x v="0"/>
    <x v="1"/>
    <x v="2"/>
    <x v="0"/>
    <x v="2"/>
    <x v="1"/>
    <x v="2"/>
    <x v="1"/>
    <n v="0"/>
    <n v="0"/>
    <n v="33.430999999999997"/>
    <n v="10.67313057919"/>
    <n v="0"/>
    <n v="0"/>
    <n v="0"/>
    <x v="2"/>
    <n v="0"/>
    <n v="0"/>
    <n v="10"/>
    <n v="0"/>
    <n v="0"/>
    <n v="1755.54"/>
    <n v="0"/>
    <m/>
    <n v="1283.23"/>
    <m/>
    <n v="0"/>
    <n v="18737.107656991211"/>
    <n v="0"/>
    <n v="0"/>
    <n v="13696.081353133983"/>
    <n v="0"/>
  </r>
  <r>
    <s v="Regular"/>
    <x v="0"/>
    <x v="1"/>
    <x v="2"/>
    <x v="0"/>
    <x v="2"/>
    <x v="1"/>
    <x v="2"/>
    <x v="2"/>
    <n v="0"/>
    <n v="0"/>
    <n v="19.898"/>
    <n v="6.35260543402"/>
    <n v="0"/>
    <n v="0"/>
    <n v="0"/>
    <x v="2"/>
    <n v="0"/>
    <n v="0"/>
    <n v="10"/>
    <n v="0"/>
    <n v="0"/>
    <n v="1755.54"/>
    <n v="0"/>
    <m/>
    <n v="1283.23"/>
    <m/>
    <n v="0"/>
    <n v="11152.252943639471"/>
    <n v="0"/>
    <n v="0"/>
    <n v="8151.8538710974844"/>
    <n v="0"/>
  </r>
  <r>
    <s v="Regular"/>
    <x v="0"/>
    <x v="1"/>
    <x v="2"/>
    <x v="0"/>
    <x v="2"/>
    <x v="1"/>
    <x v="2"/>
    <x v="3"/>
    <n v="0"/>
    <n v="0"/>
    <n v="20.74"/>
    <n v="6.6214210826000004"/>
    <n v="0"/>
    <n v="0"/>
    <n v="0"/>
    <x v="2"/>
    <n v="0"/>
    <n v="0"/>
    <n v="10"/>
    <n v="0"/>
    <n v="0"/>
    <n v="1755.54"/>
    <n v="0"/>
    <m/>
    <n v="1283.23"/>
    <m/>
    <n v="0"/>
    <n v="11624.169567347604"/>
    <n v="0"/>
    <n v="0"/>
    <n v="8496.8061758247986"/>
    <n v="0"/>
  </r>
  <r>
    <s v="Regular"/>
    <x v="0"/>
    <x v="1"/>
    <x v="2"/>
    <x v="0"/>
    <x v="2"/>
    <x v="1"/>
    <x v="2"/>
    <x v="4"/>
    <n v="0"/>
    <n v="0"/>
    <n v="23.716999999999999"/>
    <n v="7.5718536073299996"/>
    <n v="0"/>
    <n v="0"/>
    <n v="0"/>
    <x v="2"/>
    <n v="0"/>
    <n v="0"/>
    <n v="10"/>
    <n v="0"/>
    <n v="0"/>
    <n v="1755.54"/>
    <n v="0"/>
    <m/>
    <n v="1283.23"/>
    <m/>
    <n v="0"/>
    <n v="13292.691881812107"/>
    <n v="0"/>
    <n v="0"/>
    <n v="9716.4297045340754"/>
    <n v="0"/>
  </r>
  <r>
    <s v="Regular"/>
    <x v="0"/>
    <x v="1"/>
    <x v="2"/>
    <x v="0"/>
    <x v="2"/>
    <x v="1"/>
    <x v="2"/>
    <x v="5"/>
    <n v="0"/>
    <n v="0"/>
    <n v="28.638999999999999"/>
    <n v="9.1432438951100004"/>
    <n v="0"/>
    <n v="0"/>
    <n v="0"/>
    <x v="2"/>
    <n v="0"/>
    <n v="0"/>
    <n v="10"/>
    <n v="0"/>
    <n v="0"/>
    <n v="1755.54"/>
    <n v="0"/>
    <m/>
    <n v="1283.23"/>
    <m/>
    <n v="0"/>
    <n v="16051.33038762141"/>
    <n v="0"/>
    <n v="0"/>
    <n v="11732.884863522006"/>
    <n v="0"/>
  </r>
  <r>
    <s v="Regular"/>
    <x v="0"/>
    <x v="1"/>
    <x v="2"/>
    <x v="0"/>
    <x v="2"/>
    <x v="1"/>
    <x v="2"/>
    <x v="6"/>
    <n v="0"/>
    <n v="0"/>
    <n v="29.315000000000001"/>
    <n v="9.3590626343499999"/>
    <n v="0"/>
    <n v="0"/>
    <n v="0"/>
    <x v="2"/>
    <n v="0"/>
    <n v="0"/>
    <n v="10"/>
    <n v="0"/>
    <n v="0"/>
    <n v="1755.54"/>
    <n v="0"/>
    <m/>
    <n v="1283.23"/>
    <m/>
    <n v="0"/>
    <n v="16430.208817106799"/>
    <n v="0"/>
    <n v="0"/>
    <n v="12009.829944276951"/>
    <n v="0"/>
  </r>
  <r>
    <s v="Regular"/>
    <x v="0"/>
    <x v="1"/>
    <x v="2"/>
    <x v="0"/>
    <x v="2"/>
    <x v="1"/>
    <x v="2"/>
    <x v="7"/>
    <n v="0"/>
    <n v="0"/>
    <n v="29"/>
    <n v="9.2584962100000006"/>
    <n v="0"/>
    <n v="0"/>
    <n v="0"/>
    <x v="2"/>
    <n v="0"/>
    <n v="0"/>
    <n v="10"/>
    <n v="0"/>
    <n v="0"/>
    <n v="1755.54"/>
    <n v="0"/>
    <m/>
    <n v="1283.23"/>
    <m/>
    <n v="0"/>
    <n v="16253.6604365034"/>
    <n v="0"/>
    <n v="0"/>
    <n v="11880.780091558301"/>
    <n v="0"/>
  </r>
  <r>
    <s v="Regular"/>
    <x v="0"/>
    <x v="1"/>
    <x v="2"/>
    <x v="0"/>
    <x v="2"/>
    <x v="1"/>
    <x v="2"/>
    <x v="8"/>
    <n v="0"/>
    <n v="0"/>
    <n v="72.227000000000004"/>
    <n v="23.05908295723"/>
    <n v="0"/>
    <n v="0"/>
    <n v="0"/>
    <x v="2"/>
    <n v="0"/>
    <n v="0"/>
    <n v="10"/>
    <n v="0"/>
    <n v="0"/>
    <n v="1755.54"/>
    <n v="0"/>
    <m/>
    <n v="1283.23"/>
    <m/>
    <n v="0"/>
    <n v="40481.142494735555"/>
    <n v="0"/>
    <n v="0"/>
    <n v="29590.107023206252"/>
    <n v="0"/>
  </r>
  <r>
    <s v="Regular"/>
    <x v="0"/>
    <x v="1"/>
    <x v="2"/>
    <x v="0"/>
    <x v="2"/>
    <x v="1"/>
    <x v="2"/>
    <x v="9"/>
    <n v="0"/>
    <n v="0"/>
    <n v="42.276000000000003"/>
    <n v="13.49697192324"/>
    <n v="0"/>
    <n v="0"/>
    <n v="0"/>
    <x v="2"/>
    <n v="0"/>
    <n v="0"/>
    <n v="10"/>
    <n v="0"/>
    <n v="0"/>
    <n v="1755.54"/>
    <n v="0"/>
    <m/>
    <n v="1283.23"/>
    <m/>
    <n v="0"/>
    <n v="23694.47409012475"/>
    <n v="0"/>
    <n v="0"/>
    <n v="17319.719281059264"/>
    <n v="0"/>
  </r>
  <r>
    <s v="Regular"/>
    <x v="0"/>
    <x v="1"/>
    <x v="2"/>
    <x v="0"/>
    <x v="2"/>
    <x v="1"/>
    <x v="2"/>
    <x v="10"/>
    <n v="0"/>
    <n v="0"/>
    <n v="53.362000000000002"/>
    <n v="17.03627154338"/>
    <n v="0"/>
    <n v="0"/>
    <n v="0"/>
    <x v="2"/>
    <n v="0"/>
    <n v="0"/>
    <n v="10"/>
    <n v="0"/>
    <n v="0"/>
    <n v="1755.54"/>
    <n v="0"/>
    <m/>
    <n v="1283.23"/>
    <m/>
    <n v="0"/>
    <n v="29907.856145265323"/>
    <n v="0"/>
    <n v="0"/>
    <n v="21861.454732611517"/>
    <n v="0"/>
  </r>
  <r>
    <s v="Regular"/>
    <x v="0"/>
    <x v="1"/>
    <x v="2"/>
    <x v="0"/>
    <x v="2"/>
    <x v="1"/>
    <x v="2"/>
    <x v="11"/>
    <n v="0"/>
    <n v="0"/>
    <n v="50.908999999999999"/>
    <n v="16.253130467409999"/>
    <n v="0"/>
    <n v="0"/>
    <n v="0"/>
    <x v="2"/>
    <n v="0"/>
    <n v="0"/>
    <n v="10"/>
    <n v="0"/>
    <n v="0"/>
    <n v="1755.54"/>
    <n v="0"/>
    <m/>
    <n v="1283.23"/>
    <m/>
    <n v="0"/>
    <n v="28533.020660756949"/>
    <n v="0"/>
    <n v="0"/>
    <n v="20856.504609694533"/>
    <n v="0"/>
  </r>
  <r>
    <s v="Regular"/>
    <x v="0"/>
    <x v="1"/>
    <x v="2"/>
    <x v="0"/>
    <x v="1"/>
    <x v="1"/>
    <x v="0"/>
    <x v="0"/>
    <n v="0"/>
    <n v="0"/>
    <n v="621.16399999999999"/>
    <n v="621.16399999999999"/>
    <n v="621.16399999999999"/>
    <n v="621.16399999999999"/>
    <n v="0"/>
    <x v="1"/>
    <n v="0"/>
    <n v="0"/>
    <n v="11"/>
    <n v="52"/>
    <n v="0"/>
    <n v="90.54"/>
    <n v="189.96"/>
    <m/>
    <n v="116.79000000000002"/>
    <n v="195.89707226799715"/>
    <n v="0"/>
    <n v="56240.188560000002"/>
    <n v="117996.31344"/>
    <n v="0"/>
    <n v="72545.743560000017"/>
    <n v="121684.20899827818"/>
  </r>
  <r>
    <s v="Regular"/>
    <x v="0"/>
    <x v="1"/>
    <x v="2"/>
    <x v="0"/>
    <x v="1"/>
    <x v="1"/>
    <x v="0"/>
    <x v="1"/>
    <n v="0"/>
    <n v="0"/>
    <n v="503.04599999999999"/>
    <n v="503.04599999999999"/>
    <n v="503.04599999999999"/>
    <n v="503.04599999999999"/>
    <n v="0"/>
    <x v="1"/>
    <n v="0"/>
    <n v="0"/>
    <n v="11"/>
    <n v="52"/>
    <n v="0"/>
    <n v="90.54"/>
    <n v="189.96"/>
    <m/>
    <n v="116.79000000000002"/>
    <n v="195.89707226799715"/>
    <n v="0"/>
    <n v="45545.78484"/>
    <n v="95558.618159999998"/>
    <n v="0"/>
    <n v="58750.742340000012"/>
    <n v="98545.238616126895"/>
  </r>
  <r>
    <s v="Regular"/>
    <x v="0"/>
    <x v="1"/>
    <x v="2"/>
    <x v="0"/>
    <x v="1"/>
    <x v="1"/>
    <x v="0"/>
    <x v="2"/>
    <n v="0"/>
    <n v="0"/>
    <n v="525.95500000000004"/>
    <n v="525.95500000000004"/>
    <n v="525.95500000000004"/>
    <n v="525.95500000000004"/>
    <n v="0"/>
    <x v="1"/>
    <n v="0"/>
    <n v="0"/>
    <n v="11"/>
    <n v="52"/>
    <n v="0"/>
    <n v="90.54"/>
    <n v="189.96"/>
    <m/>
    <n v="116.79000000000002"/>
    <n v="195.89707226799715"/>
    <n v="0"/>
    <n v="47619.965700000008"/>
    <n v="99910.411800000016"/>
    <n v="0"/>
    <n v="61426.284450000014"/>
    <n v="103033.04464471445"/>
  </r>
  <r>
    <s v="Regular"/>
    <x v="0"/>
    <x v="1"/>
    <x v="2"/>
    <x v="0"/>
    <x v="1"/>
    <x v="1"/>
    <x v="0"/>
    <x v="3"/>
    <n v="0"/>
    <n v="0"/>
    <n v="494.71499999999997"/>
    <n v="494.71499999999997"/>
    <n v="494.71499999999997"/>
    <n v="494.71499999999997"/>
    <n v="0"/>
    <x v="1"/>
    <n v="0"/>
    <n v="0"/>
    <n v="11"/>
    <n v="52"/>
    <n v="0"/>
    <n v="90.54"/>
    <n v="189.96"/>
    <m/>
    <n v="116.79000000000002"/>
    <n v="195.89707226799715"/>
    <n v="0"/>
    <n v="44791.496100000004"/>
    <n v="93976.061400000006"/>
    <n v="0"/>
    <n v="57777.764850000007"/>
    <n v="96913.220107062196"/>
  </r>
  <r>
    <s v="Regular"/>
    <x v="0"/>
    <x v="1"/>
    <x v="2"/>
    <x v="0"/>
    <x v="1"/>
    <x v="1"/>
    <x v="0"/>
    <x v="4"/>
    <n v="0"/>
    <n v="0"/>
    <n v="503.90899999999999"/>
    <n v="503.90899999999999"/>
    <n v="503.90899999999999"/>
    <n v="503.90899999999999"/>
    <n v="0"/>
    <x v="1"/>
    <n v="0"/>
    <n v="0"/>
    <n v="11"/>
    <n v="52"/>
    <n v="0"/>
    <n v="90.54"/>
    <n v="189.96"/>
    <m/>
    <n v="116.79000000000002"/>
    <n v="195.89707226799715"/>
    <n v="0"/>
    <n v="45623.920860000006"/>
    <n v="95722.553639999998"/>
    <n v="0"/>
    <n v="58851.532110000007"/>
    <n v="98714.297789494172"/>
  </r>
  <r>
    <s v="Regular"/>
    <x v="0"/>
    <x v="1"/>
    <x v="2"/>
    <x v="0"/>
    <x v="1"/>
    <x v="1"/>
    <x v="0"/>
    <x v="5"/>
    <n v="0"/>
    <n v="0"/>
    <n v="412.214"/>
    <n v="412.214"/>
    <n v="412.214"/>
    <n v="412.214"/>
    <n v="0"/>
    <x v="1"/>
    <n v="0"/>
    <n v="0"/>
    <n v="11"/>
    <n v="52"/>
    <n v="0"/>
    <n v="90.54"/>
    <n v="189.96"/>
    <m/>
    <n v="116.79000000000002"/>
    <n v="195.89707226799715"/>
    <n v="0"/>
    <n v="37321.855560000004"/>
    <n v="78304.171440000006"/>
    <n v="0"/>
    <n v="48142.473060000011"/>
    <n v="80751.51574788017"/>
  </r>
  <r>
    <s v="Sistema de Compensação"/>
    <x v="0"/>
    <x v="1"/>
    <x v="2"/>
    <x v="0"/>
    <x v="1"/>
    <x v="1"/>
    <x v="0"/>
    <x v="5"/>
    <n v="0"/>
    <n v="0"/>
    <n v="61.837000000000003"/>
    <n v="61.837000000000003"/>
    <n v="61.837000000000003"/>
    <n v="61.837000000000003"/>
    <n v="0"/>
    <x v="1"/>
    <n v="0"/>
    <n v="0"/>
    <n v="11"/>
    <n v="52"/>
    <n v="0"/>
    <n v="90.54"/>
    <n v="189.96"/>
    <m/>
    <n v="116.79000000000002"/>
    <n v="195.89707226799715"/>
    <n v="0"/>
    <n v="5598.7219800000003"/>
    <n v="11746.556520000002"/>
    <n v="0"/>
    <n v="7221.9432300000017"/>
    <n v="12113.68725783614"/>
  </r>
  <r>
    <s v="Regular"/>
    <x v="0"/>
    <x v="1"/>
    <x v="2"/>
    <x v="0"/>
    <x v="1"/>
    <x v="1"/>
    <x v="0"/>
    <x v="6"/>
    <n v="0"/>
    <n v="0"/>
    <n v="388.90199999999999"/>
    <n v="388.90199999999999"/>
    <n v="388.90199999999999"/>
    <n v="388.90199999999999"/>
    <n v="0"/>
    <x v="1"/>
    <n v="0"/>
    <n v="0"/>
    <n v="11"/>
    <n v="52"/>
    <n v="0"/>
    <n v="90.54"/>
    <n v="189.96"/>
    <m/>
    <n v="116.79000000000002"/>
    <n v="195.89707226799715"/>
    <n v="0"/>
    <n v="35211.187080000003"/>
    <n v="73875.823919999995"/>
    <n v="0"/>
    <n v="45419.864580000009"/>
    <n v="76184.763199168621"/>
  </r>
  <r>
    <s v="Sistema de Compensação"/>
    <x v="0"/>
    <x v="1"/>
    <x v="2"/>
    <x v="0"/>
    <x v="1"/>
    <x v="1"/>
    <x v="0"/>
    <x v="6"/>
    <n v="0"/>
    <n v="0"/>
    <n v="29.521000000000001"/>
    <n v="29.521000000000001"/>
    <n v="29.521000000000001"/>
    <n v="29.521000000000001"/>
    <n v="0"/>
    <x v="1"/>
    <n v="0"/>
    <n v="0"/>
    <n v="11"/>
    <n v="52"/>
    <n v="0"/>
    <n v="90.54"/>
    <n v="189.96"/>
    <m/>
    <n v="116.79000000000002"/>
    <n v="195.89707226799715"/>
    <n v="0"/>
    <n v="2672.8313400000002"/>
    <n v="5607.8091600000007"/>
    <n v="0"/>
    <n v="3447.7575900000006"/>
    <n v="5783.0774704235437"/>
  </r>
  <r>
    <s v="Regular"/>
    <x v="0"/>
    <x v="1"/>
    <x v="2"/>
    <x v="0"/>
    <x v="1"/>
    <x v="1"/>
    <x v="0"/>
    <x v="7"/>
    <n v="0"/>
    <n v="0"/>
    <n v="426.92399999999998"/>
    <n v="426.92399999999998"/>
    <n v="426.92399999999998"/>
    <n v="426.92399999999998"/>
    <n v="0"/>
    <x v="1"/>
    <n v="0"/>
    <n v="0"/>
    <n v="11"/>
    <n v="52"/>
    <n v="0"/>
    <n v="90.54"/>
    <n v="189.96"/>
    <m/>
    <n v="116.79000000000002"/>
    <n v="195.89707226799715"/>
    <n v="0"/>
    <n v="38653.698960000002"/>
    <n v="81098.483040000006"/>
    <n v="0"/>
    <n v="49860.453960000006"/>
    <n v="83633.161680942416"/>
  </r>
  <r>
    <s v="Sistema de Compensação"/>
    <x v="0"/>
    <x v="1"/>
    <x v="2"/>
    <x v="0"/>
    <x v="1"/>
    <x v="1"/>
    <x v="0"/>
    <x v="7"/>
    <n v="0"/>
    <n v="0"/>
    <n v="8.1969999999999992"/>
    <n v="8.1969999999999992"/>
    <n v="8.1969999999999992"/>
    <n v="8.1969999999999992"/>
    <n v="0"/>
    <x v="1"/>
    <n v="0"/>
    <n v="0"/>
    <n v="11"/>
    <n v="52"/>
    <n v="0"/>
    <n v="90.54"/>
    <n v="189.96"/>
    <m/>
    <n v="116.79000000000002"/>
    <n v="195.89707226799715"/>
    <n v="0"/>
    <n v="742.15638000000001"/>
    <n v="1557.10212"/>
    <n v="0"/>
    <n v="957.32763000000011"/>
    <n v="1605.7683013807725"/>
  </r>
  <r>
    <s v="Regular"/>
    <x v="0"/>
    <x v="1"/>
    <x v="2"/>
    <x v="0"/>
    <x v="1"/>
    <x v="1"/>
    <x v="0"/>
    <x v="8"/>
    <n v="0"/>
    <n v="0"/>
    <n v="462.54199999999997"/>
    <n v="462.54199999999997"/>
    <n v="462.54199999999997"/>
    <n v="462.54199999999997"/>
    <n v="0"/>
    <x v="1"/>
    <n v="0"/>
    <n v="0"/>
    <n v="11"/>
    <n v="52"/>
    <n v="0"/>
    <n v="90.54"/>
    <n v="189.96"/>
    <m/>
    <n v="116.79000000000002"/>
    <n v="195.89707226799715"/>
    <n v="0"/>
    <n v="41878.552680000001"/>
    <n v="87864.478319999995"/>
    <n v="0"/>
    <n v="54020.280180000009"/>
    <n v="90610.623600983934"/>
  </r>
  <r>
    <s v="Sistema de Compensação"/>
    <x v="0"/>
    <x v="1"/>
    <x v="2"/>
    <x v="0"/>
    <x v="1"/>
    <x v="1"/>
    <x v="0"/>
    <x v="8"/>
    <n v="0"/>
    <n v="0"/>
    <n v="46.783999999999999"/>
    <n v="46.783999999999999"/>
    <n v="46.783999999999999"/>
    <n v="46.783999999999999"/>
    <n v="0"/>
    <x v="1"/>
    <n v="0"/>
    <n v="0"/>
    <n v="11"/>
    <n v="52"/>
    <n v="0"/>
    <n v="90.54"/>
    <n v="189.96"/>
    <m/>
    <n v="116.79000000000002"/>
    <n v="195.89707226799715"/>
    <n v="0"/>
    <n v="4235.8233600000003"/>
    <n v="8887.0886399999999"/>
    <n v="0"/>
    <n v="5463.9033600000012"/>
    <n v="9164.8486289859775"/>
  </r>
  <r>
    <s v="Regular"/>
    <x v="0"/>
    <x v="1"/>
    <x v="2"/>
    <x v="0"/>
    <x v="1"/>
    <x v="1"/>
    <x v="0"/>
    <x v="9"/>
    <n v="0"/>
    <n v="0"/>
    <n v="412.99400000000003"/>
    <n v="412.99400000000003"/>
    <n v="412.99400000000003"/>
    <n v="412.99400000000003"/>
    <n v="0"/>
    <x v="1"/>
    <n v="0"/>
    <n v="0"/>
    <n v="11"/>
    <n v="52"/>
    <n v="0"/>
    <n v="90.54"/>
    <n v="189.96"/>
    <m/>
    <n v="116.79000000000002"/>
    <n v="195.89707226799715"/>
    <n v="0"/>
    <n v="37392.476760000005"/>
    <n v="78452.340240000005"/>
    <n v="0"/>
    <n v="48233.569260000011"/>
    <n v="80904.315464249215"/>
  </r>
  <r>
    <s v="Sistema de Compensação"/>
    <x v="0"/>
    <x v="1"/>
    <x v="2"/>
    <x v="0"/>
    <x v="1"/>
    <x v="1"/>
    <x v="0"/>
    <x v="9"/>
    <n v="0"/>
    <n v="0"/>
    <n v="69.320999999999998"/>
    <n v="69.320999999999998"/>
    <n v="69.320999999999998"/>
    <n v="69.320999999999998"/>
    <n v="0"/>
    <x v="1"/>
    <n v="0"/>
    <n v="0"/>
    <n v="11"/>
    <n v="52"/>
    <n v="0"/>
    <n v="90.54"/>
    <n v="189.96"/>
    <m/>
    <n v="116.79000000000002"/>
    <n v="195.89707226799715"/>
    <n v="0"/>
    <n v="6276.3233399999999"/>
    <n v="13168.21716"/>
    <n v="0"/>
    <n v="8095.9995900000013"/>
    <n v="13579.780946689829"/>
  </r>
  <r>
    <s v="Regular"/>
    <x v="0"/>
    <x v="1"/>
    <x v="2"/>
    <x v="0"/>
    <x v="1"/>
    <x v="1"/>
    <x v="0"/>
    <x v="10"/>
    <n v="0"/>
    <n v="0"/>
    <n v="494.01600000000002"/>
    <n v="494.01600000000002"/>
    <n v="494.01600000000002"/>
    <n v="494.01600000000002"/>
    <n v="0"/>
    <x v="1"/>
    <n v="0"/>
    <n v="0"/>
    <n v="11"/>
    <n v="52"/>
    <n v="0"/>
    <n v="90.54"/>
    <n v="189.96"/>
    <m/>
    <n v="116.79000000000002"/>
    <n v="195.89707226799715"/>
    <n v="0"/>
    <n v="44728.208640000004"/>
    <n v="93843.27936"/>
    <n v="0"/>
    <n v="57696.12864000001"/>
    <n v="96776.288053546887"/>
  </r>
  <r>
    <s v="Sistema de Compensação"/>
    <x v="0"/>
    <x v="1"/>
    <x v="2"/>
    <x v="0"/>
    <x v="1"/>
    <x v="1"/>
    <x v="0"/>
    <x v="10"/>
    <n v="0"/>
    <n v="0"/>
    <n v="64.748999999999995"/>
    <n v="64.748999999999995"/>
    <n v="64.748999999999995"/>
    <n v="64.748999999999995"/>
    <n v="0"/>
    <x v="1"/>
    <n v="0"/>
    <n v="0"/>
    <n v="11"/>
    <n v="52"/>
    <n v="0"/>
    <n v="90.54"/>
    <n v="189.96"/>
    <m/>
    <n v="116.79000000000002"/>
    <n v="195.89707226799715"/>
    <n v="0"/>
    <n v="5862.37446"/>
    <n v="12299.72004"/>
    <n v="0"/>
    <n v="7562.035710000001"/>
    <n v="12684.139532280546"/>
  </r>
  <r>
    <s v="Regular"/>
    <x v="0"/>
    <x v="1"/>
    <x v="2"/>
    <x v="0"/>
    <x v="1"/>
    <x v="1"/>
    <x v="0"/>
    <x v="11"/>
    <n v="0"/>
    <n v="0"/>
    <n v="362.99599999999998"/>
    <n v="362.99599999999998"/>
    <n v="362.99599999999998"/>
    <n v="362.99599999999998"/>
    <n v="0"/>
    <x v="1"/>
    <n v="0"/>
    <n v="0"/>
    <n v="11"/>
    <n v="52"/>
    <n v="0"/>
    <n v="90.54"/>
    <n v="189.96"/>
    <m/>
    <n v="116.79000000000002"/>
    <n v="195.89707226799715"/>
    <n v="0"/>
    <n v="32865.65784"/>
    <n v="68954.720159999997"/>
    <n v="0"/>
    <n v="42394.302840000004"/>
    <n v="71109.853644993884"/>
  </r>
  <r>
    <s v="Sistema de Compensação"/>
    <x v="0"/>
    <x v="1"/>
    <x v="2"/>
    <x v="0"/>
    <x v="1"/>
    <x v="1"/>
    <x v="0"/>
    <x v="11"/>
    <n v="0"/>
    <n v="0"/>
    <n v="59.744"/>
    <n v="59.744"/>
    <n v="59.744"/>
    <n v="59.744"/>
    <n v="0"/>
    <x v="1"/>
    <n v="0"/>
    <n v="0"/>
    <n v="11"/>
    <n v="52"/>
    <n v="0"/>
    <n v="90.54"/>
    <n v="189.96"/>
    <m/>
    <n v="116.79000000000002"/>
    <n v="195.89707226799715"/>
    <n v="0"/>
    <n v="5409.2217600000004"/>
    <n v="11348.970240000001"/>
    <n v="0"/>
    <n v="6977.501760000001"/>
    <n v="11703.674685579221"/>
  </r>
  <r>
    <s v="Regular"/>
    <x v="0"/>
    <x v="1"/>
    <x v="2"/>
    <x v="0"/>
    <x v="1"/>
    <x v="1"/>
    <x v="1"/>
    <x v="0"/>
    <n v="3473"/>
    <n v="3473"/>
    <n v="0"/>
    <n v="0"/>
    <n v="0"/>
    <n v="0"/>
    <n v="21"/>
    <x v="1"/>
    <n v="0"/>
    <n v="9"/>
    <n v="0"/>
    <n v="0"/>
    <n v="33.97"/>
    <n v="0"/>
    <n v="0"/>
    <n v="32.31"/>
    <m/>
    <m/>
    <n v="117977.81"/>
    <n v="0"/>
    <n v="0"/>
    <n v="112212.63"/>
    <n v="0"/>
    <n v="0"/>
  </r>
  <r>
    <s v="Regular"/>
    <x v="0"/>
    <x v="1"/>
    <x v="2"/>
    <x v="0"/>
    <x v="1"/>
    <x v="1"/>
    <x v="1"/>
    <x v="1"/>
    <n v="3138"/>
    <n v="3138"/>
    <n v="0"/>
    <n v="0"/>
    <n v="0"/>
    <n v="0"/>
    <n v="20"/>
    <x v="1"/>
    <n v="0"/>
    <n v="9"/>
    <n v="0"/>
    <n v="0"/>
    <n v="33.97"/>
    <n v="0"/>
    <n v="0"/>
    <n v="32.31"/>
    <m/>
    <m/>
    <n v="106597.86"/>
    <n v="0"/>
    <n v="0"/>
    <n v="101388.78000000001"/>
    <n v="0"/>
    <n v="0"/>
  </r>
  <r>
    <s v="Regular"/>
    <x v="0"/>
    <x v="1"/>
    <x v="2"/>
    <x v="0"/>
    <x v="1"/>
    <x v="1"/>
    <x v="1"/>
    <x v="2"/>
    <n v="3201"/>
    <n v="3201"/>
    <n v="0"/>
    <n v="0"/>
    <n v="0"/>
    <n v="0"/>
    <n v="20"/>
    <x v="1"/>
    <n v="0"/>
    <n v="9"/>
    <n v="0"/>
    <n v="0"/>
    <n v="33.97"/>
    <n v="0"/>
    <n v="0"/>
    <n v="32.31"/>
    <m/>
    <m/>
    <n v="108737.97"/>
    <n v="0"/>
    <n v="0"/>
    <n v="103424.31000000001"/>
    <n v="0"/>
    <n v="0"/>
  </r>
  <r>
    <s v="Regular"/>
    <x v="0"/>
    <x v="1"/>
    <x v="2"/>
    <x v="0"/>
    <x v="1"/>
    <x v="1"/>
    <x v="1"/>
    <x v="3"/>
    <n v="3185"/>
    <n v="3185"/>
    <n v="0"/>
    <n v="0"/>
    <n v="0"/>
    <n v="0"/>
    <n v="20"/>
    <x v="1"/>
    <n v="0"/>
    <n v="9"/>
    <n v="0"/>
    <n v="0"/>
    <n v="33.97"/>
    <n v="0"/>
    <n v="0"/>
    <n v="32.31"/>
    <m/>
    <m/>
    <n v="108194.45"/>
    <n v="0"/>
    <n v="0"/>
    <n v="102907.35"/>
    <n v="0"/>
    <n v="0"/>
  </r>
  <r>
    <s v="Regular"/>
    <x v="0"/>
    <x v="1"/>
    <x v="2"/>
    <x v="0"/>
    <x v="1"/>
    <x v="1"/>
    <x v="1"/>
    <x v="4"/>
    <n v="3171"/>
    <n v="3171"/>
    <n v="0"/>
    <n v="0"/>
    <n v="0"/>
    <n v="0"/>
    <n v="19"/>
    <x v="1"/>
    <n v="0"/>
    <n v="9"/>
    <n v="0"/>
    <n v="0"/>
    <n v="33.97"/>
    <n v="0"/>
    <n v="0"/>
    <n v="32.31"/>
    <m/>
    <m/>
    <n v="107718.87"/>
    <n v="0"/>
    <n v="0"/>
    <n v="102455.01000000001"/>
    <n v="0"/>
    <n v="0"/>
  </r>
  <r>
    <s v="Regular"/>
    <x v="0"/>
    <x v="1"/>
    <x v="2"/>
    <x v="0"/>
    <x v="1"/>
    <x v="1"/>
    <x v="1"/>
    <x v="5"/>
    <n v="2834"/>
    <n v="2834"/>
    <n v="0"/>
    <n v="0"/>
    <n v="0"/>
    <n v="0"/>
    <n v="18"/>
    <x v="1"/>
    <n v="0"/>
    <n v="9"/>
    <n v="0"/>
    <n v="0"/>
    <n v="33.97"/>
    <n v="0"/>
    <n v="0"/>
    <n v="32.31"/>
    <m/>
    <m/>
    <n v="96270.98"/>
    <n v="0"/>
    <n v="0"/>
    <n v="91566.540000000008"/>
    <n v="0"/>
    <n v="0"/>
  </r>
  <r>
    <s v="Sistema de Compensação"/>
    <x v="0"/>
    <x v="1"/>
    <x v="2"/>
    <x v="0"/>
    <x v="1"/>
    <x v="1"/>
    <x v="1"/>
    <x v="5"/>
    <n v="290"/>
    <n v="290"/>
    <n v="0"/>
    <n v="0"/>
    <n v="0"/>
    <n v="0"/>
    <n v="1"/>
    <x v="1"/>
    <n v="0"/>
    <n v="9"/>
    <n v="0"/>
    <n v="0"/>
    <n v="33.97"/>
    <n v="0"/>
    <n v="0"/>
    <n v="32.31"/>
    <m/>
    <m/>
    <n v="9851.2999999999993"/>
    <n v="0"/>
    <n v="0"/>
    <n v="9369.9000000000015"/>
    <n v="0"/>
    <n v="0"/>
  </r>
  <r>
    <s v="Regular"/>
    <x v="0"/>
    <x v="1"/>
    <x v="2"/>
    <x v="0"/>
    <x v="1"/>
    <x v="1"/>
    <x v="1"/>
    <x v="6"/>
    <n v="2862"/>
    <n v="2862"/>
    <n v="0"/>
    <n v="0"/>
    <n v="0"/>
    <n v="0"/>
    <n v="18"/>
    <x v="1"/>
    <n v="0"/>
    <n v="9"/>
    <n v="0"/>
    <n v="0"/>
    <n v="33.97"/>
    <n v="0"/>
    <n v="0"/>
    <n v="32.31"/>
    <m/>
    <m/>
    <n v="97222.14"/>
    <n v="0"/>
    <n v="0"/>
    <n v="92471.22"/>
    <n v="0"/>
    <n v="0"/>
  </r>
  <r>
    <s v="Refaturamento - Regular"/>
    <x v="0"/>
    <x v="1"/>
    <x v="2"/>
    <x v="0"/>
    <x v="1"/>
    <x v="1"/>
    <x v="1"/>
    <x v="6"/>
    <n v="-40"/>
    <n v="-40"/>
    <n v="0"/>
    <n v="0"/>
    <n v="0"/>
    <n v="0"/>
    <n v="0"/>
    <x v="1"/>
    <n v="0"/>
    <n v="9"/>
    <n v="0"/>
    <n v="0"/>
    <n v="33.97"/>
    <n v="0"/>
    <n v="0"/>
    <n v="32.31"/>
    <m/>
    <m/>
    <n v="-1358.8"/>
    <n v="0"/>
    <n v="0"/>
    <n v="-1292.4000000000001"/>
    <n v="0"/>
    <n v="0"/>
  </r>
  <r>
    <s v="Sistema de Compensação"/>
    <x v="0"/>
    <x v="1"/>
    <x v="2"/>
    <x v="0"/>
    <x v="1"/>
    <x v="1"/>
    <x v="1"/>
    <x v="6"/>
    <n v="268"/>
    <n v="268"/>
    <n v="0"/>
    <n v="0"/>
    <n v="0"/>
    <n v="0"/>
    <n v="1"/>
    <x v="1"/>
    <n v="0"/>
    <n v="9"/>
    <n v="0"/>
    <n v="0"/>
    <n v="33.97"/>
    <n v="0"/>
    <n v="0"/>
    <n v="32.31"/>
    <m/>
    <m/>
    <n v="9103.9599999999991"/>
    <n v="0"/>
    <n v="0"/>
    <n v="8659.08"/>
    <n v="0"/>
    <n v="0"/>
  </r>
  <r>
    <s v="Regular"/>
    <x v="0"/>
    <x v="1"/>
    <x v="2"/>
    <x v="0"/>
    <x v="1"/>
    <x v="1"/>
    <x v="1"/>
    <x v="7"/>
    <n v="3012"/>
    <n v="3012"/>
    <n v="0"/>
    <n v="0"/>
    <n v="0"/>
    <n v="0"/>
    <n v="19"/>
    <x v="1"/>
    <n v="0"/>
    <n v="9"/>
    <n v="0"/>
    <n v="0"/>
    <n v="33.97"/>
    <n v="0"/>
    <n v="0"/>
    <n v="32.31"/>
    <m/>
    <m/>
    <n v="102317.64"/>
    <n v="0"/>
    <n v="0"/>
    <n v="97317.72"/>
    <n v="0"/>
    <n v="0"/>
  </r>
  <r>
    <s v="Sistema de Compensação"/>
    <x v="0"/>
    <x v="1"/>
    <x v="2"/>
    <x v="0"/>
    <x v="1"/>
    <x v="1"/>
    <x v="1"/>
    <x v="7"/>
    <n v="262"/>
    <n v="262"/>
    <n v="0"/>
    <n v="0"/>
    <n v="0"/>
    <n v="0"/>
    <n v="1"/>
    <x v="1"/>
    <n v="0"/>
    <n v="9"/>
    <n v="0"/>
    <n v="0"/>
    <n v="33.97"/>
    <n v="0"/>
    <n v="0"/>
    <n v="32.31"/>
    <m/>
    <m/>
    <n v="8900.14"/>
    <n v="0"/>
    <n v="0"/>
    <n v="8465.2200000000012"/>
    <n v="0"/>
    <n v="0"/>
  </r>
  <r>
    <s v="Regular"/>
    <x v="0"/>
    <x v="1"/>
    <x v="2"/>
    <x v="0"/>
    <x v="1"/>
    <x v="1"/>
    <x v="1"/>
    <x v="8"/>
    <n v="3139"/>
    <n v="3139"/>
    <n v="0"/>
    <n v="0"/>
    <n v="0"/>
    <n v="0"/>
    <n v="19"/>
    <x v="1"/>
    <n v="0"/>
    <n v="9"/>
    <n v="0"/>
    <n v="0"/>
    <n v="33.97"/>
    <n v="0"/>
    <n v="0"/>
    <n v="32.31"/>
    <m/>
    <m/>
    <n v="106631.83"/>
    <n v="0"/>
    <n v="0"/>
    <n v="101421.09000000001"/>
    <n v="0"/>
    <n v="0"/>
  </r>
  <r>
    <s v="Sistema de Compensação"/>
    <x v="0"/>
    <x v="1"/>
    <x v="2"/>
    <x v="0"/>
    <x v="1"/>
    <x v="1"/>
    <x v="1"/>
    <x v="8"/>
    <n v="282"/>
    <n v="282"/>
    <n v="0"/>
    <n v="0"/>
    <n v="0"/>
    <n v="0"/>
    <n v="1"/>
    <x v="1"/>
    <n v="0"/>
    <n v="9"/>
    <n v="0"/>
    <n v="0"/>
    <n v="33.97"/>
    <n v="0"/>
    <n v="0"/>
    <n v="32.31"/>
    <m/>
    <m/>
    <n v="9579.5399999999991"/>
    <n v="0"/>
    <n v="0"/>
    <n v="9111.42"/>
    <n v="0"/>
    <n v="0"/>
  </r>
  <r>
    <s v="Regular"/>
    <x v="0"/>
    <x v="1"/>
    <x v="2"/>
    <x v="0"/>
    <x v="1"/>
    <x v="1"/>
    <x v="1"/>
    <x v="9"/>
    <n v="3130"/>
    <n v="3130"/>
    <n v="0"/>
    <n v="0"/>
    <n v="0"/>
    <n v="0"/>
    <n v="19"/>
    <x v="1"/>
    <n v="0"/>
    <n v="9"/>
    <n v="0"/>
    <n v="0"/>
    <n v="33.97"/>
    <n v="0"/>
    <n v="0"/>
    <n v="32.31"/>
    <m/>
    <m/>
    <n v="106326.09999999999"/>
    <n v="0"/>
    <n v="0"/>
    <n v="101130.3"/>
    <n v="0"/>
    <n v="0"/>
  </r>
  <r>
    <s v="Sistema de Compensação"/>
    <x v="0"/>
    <x v="1"/>
    <x v="2"/>
    <x v="0"/>
    <x v="1"/>
    <x v="1"/>
    <x v="1"/>
    <x v="9"/>
    <n v="348"/>
    <n v="348"/>
    <n v="0"/>
    <n v="0"/>
    <n v="0"/>
    <n v="0"/>
    <n v="1"/>
    <x v="1"/>
    <n v="0"/>
    <n v="9"/>
    <n v="0"/>
    <n v="0"/>
    <n v="33.97"/>
    <n v="0"/>
    <n v="0"/>
    <n v="32.31"/>
    <m/>
    <m/>
    <n v="11821.56"/>
    <n v="0"/>
    <n v="0"/>
    <n v="11243.880000000001"/>
    <n v="0"/>
    <n v="0"/>
  </r>
  <r>
    <s v="Regular"/>
    <x v="0"/>
    <x v="1"/>
    <x v="2"/>
    <x v="0"/>
    <x v="1"/>
    <x v="1"/>
    <x v="1"/>
    <x v="10"/>
    <n v="3100"/>
    <n v="3100"/>
    <n v="0"/>
    <n v="0"/>
    <n v="0"/>
    <n v="0"/>
    <n v="19"/>
    <x v="1"/>
    <n v="0"/>
    <n v="9"/>
    <n v="0"/>
    <n v="0"/>
    <n v="33.97"/>
    <n v="0"/>
    <n v="0"/>
    <n v="32.31"/>
    <m/>
    <m/>
    <n v="105307"/>
    <n v="0"/>
    <n v="0"/>
    <n v="100161"/>
    <n v="0"/>
    <n v="0"/>
  </r>
  <r>
    <s v="Sistema de Compensação"/>
    <x v="0"/>
    <x v="1"/>
    <x v="2"/>
    <x v="0"/>
    <x v="1"/>
    <x v="1"/>
    <x v="1"/>
    <x v="10"/>
    <n v="348"/>
    <n v="348"/>
    <n v="0"/>
    <n v="0"/>
    <n v="0"/>
    <n v="0"/>
    <n v="1"/>
    <x v="1"/>
    <n v="0"/>
    <n v="9"/>
    <n v="0"/>
    <n v="0"/>
    <n v="33.97"/>
    <n v="0"/>
    <n v="0"/>
    <n v="32.31"/>
    <m/>
    <m/>
    <n v="11821.56"/>
    <n v="0"/>
    <n v="0"/>
    <n v="11243.880000000001"/>
    <n v="0"/>
    <n v="0"/>
  </r>
  <r>
    <s v="Regular"/>
    <x v="0"/>
    <x v="1"/>
    <x v="2"/>
    <x v="0"/>
    <x v="1"/>
    <x v="1"/>
    <x v="1"/>
    <x v="11"/>
    <n v="3088"/>
    <n v="3088"/>
    <n v="0"/>
    <n v="0"/>
    <n v="0"/>
    <n v="0"/>
    <n v="18"/>
    <x v="1"/>
    <n v="0"/>
    <n v="9"/>
    <n v="0"/>
    <n v="0"/>
    <n v="33.97"/>
    <n v="0"/>
    <n v="0"/>
    <n v="32.31"/>
    <m/>
    <m/>
    <n v="104899.36"/>
    <n v="0"/>
    <n v="0"/>
    <n v="99773.280000000013"/>
    <n v="0"/>
    <n v="0"/>
  </r>
  <r>
    <s v="Sistema de Compensação"/>
    <x v="0"/>
    <x v="1"/>
    <x v="2"/>
    <x v="0"/>
    <x v="1"/>
    <x v="1"/>
    <x v="1"/>
    <x v="11"/>
    <n v="378"/>
    <n v="378"/>
    <n v="0"/>
    <n v="0"/>
    <n v="0"/>
    <n v="0"/>
    <n v="2"/>
    <x v="1"/>
    <n v="0"/>
    <n v="9"/>
    <n v="0"/>
    <n v="0"/>
    <n v="33.97"/>
    <n v="0"/>
    <n v="0"/>
    <n v="32.31"/>
    <m/>
    <m/>
    <n v="12840.66"/>
    <n v="0"/>
    <n v="0"/>
    <n v="12213.18"/>
    <n v="0"/>
    <n v="0"/>
  </r>
  <r>
    <s v="Regular"/>
    <x v="0"/>
    <x v="1"/>
    <x v="2"/>
    <x v="0"/>
    <x v="1"/>
    <x v="1"/>
    <x v="2"/>
    <x v="0"/>
    <n v="0"/>
    <n v="0"/>
    <n v="12.768000000000001"/>
    <n v="12.768000000000001"/>
    <n v="12.768000000000001"/>
    <n v="12.768000000000001"/>
    <n v="0"/>
    <x v="1"/>
    <n v="0"/>
    <n v="0"/>
    <n v="10"/>
    <n v="51"/>
    <n v="0"/>
    <n v="1755.54"/>
    <n v="298.83999999999997"/>
    <m/>
    <n v="1283.23"/>
    <n v="311.4117891483653"/>
    <n v="0"/>
    <n v="22414.73472"/>
    <n v="3815.5891200000001"/>
    <n v="0"/>
    <n v="16384.280640000001"/>
    <n v="3976.1057238463286"/>
  </r>
  <r>
    <s v="Regular"/>
    <x v="0"/>
    <x v="1"/>
    <x v="2"/>
    <x v="0"/>
    <x v="1"/>
    <x v="1"/>
    <x v="2"/>
    <x v="1"/>
    <n v="0"/>
    <n v="0"/>
    <n v="10.007"/>
    <n v="10.007"/>
    <n v="10.007"/>
    <n v="10.007"/>
    <n v="0"/>
    <x v="1"/>
    <n v="0"/>
    <n v="0"/>
    <n v="10"/>
    <n v="51"/>
    <n v="0"/>
    <n v="1755.54"/>
    <n v="298.83999999999997"/>
    <m/>
    <n v="1283.23"/>
    <n v="311.4117891483653"/>
    <n v="0"/>
    <n v="17567.68878"/>
    <n v="2990.4918799999996"/>
    <n v="0"/>
    <n v="12841.28261"/>
    <n v="3116.2977740076913"/>
  </r>
  <r>
    <s v="Regular"/>
    <x v="0"/>
    <x v="1"/>
    <x v="2"/>
    <x v="0"/>
    <x v="1"/>
    <x v="1"/>
    <x v="2"/>
    <x v="2"/>
    <n v="0"/>
    <n v="0"/>
    <n v="10.247"/>
    <n v="10.247"/>
    <n v="10.247"/>
    <n v="10.247"/>
    <n v="0"/>
    <x v="1"/>
    <n v="0"/>
    <n v="0"/>
    <n v="10"/>
    <n v="51"/>
    <n v="0"/>
    <n v="1755.54"/>
    <n v="298.83999999999997"/>
    <m/>
    <n v="1283.23"/>
    <n v="311.4117891483653"/>
    <n v="0"/>
    <n v="17989.018379999998"/>
    <n v="3062.2134799999999"/>
    <n v="0"/>
    <n v="13149.257809999999"/>
    <n v="3191.0366034032991"/>
  </r>
  <r>
    <s v="Regular"/>
    <x v="0"/>
    <x v="1"/>
    <x v="2"/>
    <x v="0"/>
    <x v="1"/>
    <x v="1"/>
    <x v="2"/>
    <x v="3"/>
    <n v="0"/>
    <n v="0"/>
    <n v="8.77"/>
    <n v="8.77"/>
    <n v="8.77"/>
    <n v="8.77"/>
    <n v="0"/>
    <x v="1"/>
    <n v="0"/>
    <n v="0"/>
    <n v="10"/>
    <n v="51"/>
    <n v="0"/>
    <n v="1755.54"/>
    <n v="298.83999999999997"/>
    <m/>
    <n v="1283.23"/>
    <n v="311.4117891483653"/>
    <n v="0"/>
    <n v="15396.085799999999"/>
    <n v="2620.8267999999998"/>
    <n v="0"/>
    <n v="11253.927099999999"/>
    <n v="2731.0813908311634"/>
  </r>
  <r>
    <s v="Regular"/>
    <x v="0"/>
    <x v="1"/>
    <x v="2"/>
    <x v="0"/>
    <x v="1"/>
    <x v="1"/>
    <x v="2"/>
    <x v="4"/>
    <n v="0"/>
    <n v="0"/>
    <n v="10.711"/>
    <n v="10.711"/>
    <n v="10.711"/>
    <n v="10.711"/>
    <n v="0"/>
    <x v="1"/>
    <n v="0"/>
    <n v="0"/>
    <n v="10"/>
    <n v="51"/>
    <n v="0"/>
    <n v="1755.54"/>
    <n v="298.83999999999997"/>
    <m/>
    <n v="1283.23"/>
    <n v="311.4117891483653"/>
    <n v="0"/>
    <n v="18803.588940000001"/>
    <n v="3200.8752399999998"/>
    <n v="0"/>
    <n v="13744.676530000001"/>
    <n v="3335.5316735681408"/>
  </r>
  <r>
    <s v="Regular"/>
    <x v="0"/>
    <x v="1"/>
    <x v="2"/>
    <x v="0"/>
    <x v="1"/>
    <x v="1"/>
    <x v="2"/>
    <x v="5"/>
    <n v="0"/>
    <n v="0"/>
    <n v="11.702"/>
    <n v="11.702"/>
    <n v="11.702"/>
    <n v="11.702"/>
    <n v="0"/>
    <x v="1"/>
    <n v="0"/>
    <n v="0"/>
    <n v="10"/>
    <n v="51"/>
    <n v="0"/>
    <n v="1755.54"/>
    <n v="298.83999999999997"/>
    <m/>
    <n v="1283.23"/>
    <n v="311.4117891483653"/>
    <n v="0"/>
    <n v="20543.32908"/>
    <n v="3497.0256799999997"/>
    <n v="0"/>
    <n v="15016.357459999999"/>
    <n v="3644.1407566141706"/>
  </r>
  <r>
    <s v="Sistema de Compensação"/>
    <x v="0"/>
    <x v="1"/>
    <x v="2"/>
    <x v="0"/>
    <x v="1"/>
    <x v="1"/>
    <x v="2"/>
    <x v="5"/>
    <n v="0"/>
    <n v="0"/>
    <n v="5.7000000000000002E-2"/>
    <n v="5.7000000000000002E-2"/>
    <n v="5.7000000000000002E-2"/>
    <n v="5.7000000000000002E-2"/>
    <n v="0"/>
    <x v="1"/>
    <n v="0"/>
    <n v="0"/>
    <n v="10"/>
    <n v="51"/>
    <n v="0"/>
    <n v="1755.54"/>
    <n v="298.83999999999997"/>
    <m/>
    <n v="1283.23"/>
    <n v="311.4117891483653"/>
    <n v="0"/>
    <n v="100.06578"/>
    <n v="17.03388"/>
    <n v="0"/>
    <n v="73.144109999999998"/>
    <n v="17.750471981456823"/>
  </r>
  <r>
    <s v="Regular"/>
    <x v="0"/>
    <x v="1"/>
    <x v="2"/>
    <x v="0"/>
    <x v="1"/>
    <x v="1"/>
    <x v="2"/>
    <x v="6"/>
    <n v="0"/>
    <n v="0"/>
    <n v="10.856999999999999"/>
    <n v="10.856999999999999"/>
    <n v="10.856999999999999"/>
    <n v="10.856999999999999"/>
    <n v="0"/>
    <x v="1"/>
    <n v="0"/>
    <n v="0"/>
    <n v="10"/>
    <n v="51"/>
    <n v="0"/>
    <n v="1755.54"/>
    <n v="298.83999999999997"/>
    <m/>
    <n v="1283.23"/>
    <n v="311.4117891483653"/>
    <n v="0"/>
    <n v="19059.897779999999"/>
    <n v="3244.5058799999997"/>
    <n v="0"/>
    <n v="13932.028109999999"/>
    <n v="3380.997794783802"/>
  </r>
  <r>
    <s v="Regular"/>
    <x v="0"/>
    <x v="1"/>
    <x v="2"/>
    <x v="0"/>
    <x v="1"/>
    <x v="1"/>
    <x v="2"/>
    <x v="7"/>
    <n v="0"/>
    <n v="0"/>
    <n v="10.52"/>
    <n v="10.52"/>
    <n v="10.52"/>
    <n v="10.52"/>
    <n v="0"/>
    <x v="1"/>
    <n v="0"/>
    <n v="0"/>
    <n v="10"/>
    <n v="51"/>
    <n v="0"/>
    <n v="1755.54"/>
    <n v="298.83999999999997"/>
    <m/>
    <n v="1283.23"/>
    <n v="311.4117891483653"/>
    <n v="0"/>
    <n v="18468.2808"/>
    <n v="3143.7967999999996"/>
    <n v="0"/>
    <n v="13499.579599999999"/>
    <n v="3276.0520218408028"/>
  </r>
  <r>
    <s v="Sistema de Compensação"/>
    <x v="0"/>
    <x v="1"/>
    <x v="2"/>
    <x v="0"/>
    <x v="1"/>
    <x v="1"/>
    <x v="2"/>
    <x v="7"/>
    <n v="0"/>
    <n v="0"/>
    <n v="0.16200000000000001"/>
    <n v="0.16200000000000001"/>
    <n v="0.16200000000000001"/>
    <n v="0.16200000000000001"/>
    <n v="0"/>
    <x v="1"/>
    <n v="0"/>
    <n v="0"/>
    <n v="10"/>
    <n v="51"/>
    <n v="0"/>
    <n v="1755.54"/>
    <n v="298.83999999999997"/>
    <m/>
    <n v="1283.23"/>
    <n v="311.4117891483653"/>
    <n v="0"/>
    <n v="284.39748000000003"/>
    <n v="48.412079999999996"/>
    <n v="0"/>
    <n v="207.88326000000001"/>
    <n v="50.448709842035178"/>
  </r>
  <r>
    <s v="Regular"/>
    <x v="0"/>
    <x v="1"/>
    <x v="2"/>
    <x v="0"/>
    <x v="1"/>
    <x v="1"/>
    <x v="2"/>
    <x v="8"/>
    <n v="0"/>
    <n v="0"/>
    <n v="12.288"/>
    <n v="12.288"/>
    <n v="12.288"/>
    <n v="12.288"/>
    <n v="0"/>
    <x v="1"/>
    <n v="0"/>
    <n v="0"/>
    <n v="10"/>
    <n v="51"/>
    <n v="0"/>
    <n v="1755.54"/>
    <n v="298.83999999999997"/>
    <m/>
    <n v="1283.23"/>
    <n v="311.4117891483653"/>
    <n v="0"/>
    <n v="21572.075519999999"/>
    <n v="3672.1459199999999"/>
    <n v="0"/>
    <n v="15768.330240000001"/>
    <n v="3826.628065055113"/>
  </r>
  <r>
    <s v="Sistema de Compensação"/>
    <x v="0"/>
    <x v="1"/>
    <x v="2"/>
    <x v="0"/>
    <x v="1"/>
    <x v="1"/>
    <x v="2"/>
    <x v="8"/>
    <n v="0"/>
    <n v="0"/>
    <n v="1.0920000000000001"/>
    <n v="1.0920000000000001"/>
    <n v="1.0920000000000001"/>
    <n v="1.0920000000000001"/>
    <n v="0"/>
    <x v="1"/>
    <n v="0"/>
    <n v="0"/>
    <n v="10"/>
    <n v="51"/>
    <n v="0"/>
    <n v="1755.54"/>
    <n v="298.83999999999997"/>
    <m/>
    <n v="1283.23"/>
    <n v="311.4117891483653"/>
    <n v="0"/>
    <n v="1917.0496800000001"/>
    <n v="326.33328"/>
    <n v="0"/>
    <n v="1401.2871600000001"/>
    <n v="340.06167375001496"/>
  </r>
  <r>
    <s v="Regular"/>
    <x v="0"/>
    <x v="1"/>
    <x v="2"/>
    <x v="0"/>
    <x v="1"/>
    <x v="1"/>
    <x v="2"/>
    <x v="9"/>
    <n v="0"/>
    <n v="0"/>
    <n v="10.167"/>
    <n v="10.167"/>
    <n v="10.167"/>
    <n v="10.167"/>
    <n v="0"/>
    <x v="1"/>
    <n v="0"/>
    <n v="0"/>
    <n v="10"/>
    <n v="51"/>
    <n v="0"/>
    <n v="1755.54"/>
    <n v="298.83999999999997"/>
    <m/>
    <n v="1283.23"/>
    <n v="311.4117891483653"/>
    <n v="0"/>
    <n v="17848.57518"/>
    <n v="3038.3062799999998"/>
    <n v="0"/>
    <n v="13046.599410000001"/>
    <n v="3166.1236602714298"/>
  </r>
  <r>
    <s v="Sistema de Compensação"/>
    <x v="0"/>
    <x v="1"/>
    <x v="2"/>
    <x v="0"/>
    <x v="1"/>
    <x v="1"/>
    <x v="2"/>
    <x v="9"/>
    <n v="0"/>
    <n v="0"/>
    <n v="1.2410000000000001"/>
    <n v="1.2410000000000001"/>
    <n v="1.2410000000000001"/>
    <n v="1.2410000000000001"/>
    <n v="0"/>
    <x v="1"/>
    <n v="0"/>
    <n v="0"/>
    <n v="10"/>
    <n v="51"/>
    <n v="0"/>
    <n v="1755.54"/>
    <n v="298.83999999999997"/>
    <m/>
    <n v="1283.23"/>
    <n v="311.4117891483653"/>
    <n v="0"/>
    <n v="2178.6251400000001"/>
    <n v="370.86043999999998"/>
    <n v="0"/>
    <n v="1592.4884300000001"/>
    <n v="386.46203033312139"/>
  </r>
  <r>
    <s v="Regular"/>
    <x v="0"/>
    <x v="1"/>
    <x v="2"/>
    <x v="0"/>
    <x v="1"/>
    <x v="1"/>
    <x v="2"/>
    <x v="10"/>
    <n v="0"/>
    <n v="0"/>
    <n v="12.448"/>
    <n v="12.448"/>
    <n v="12.448"/>
    <n v="12.448"/>
    <n v="0"/>
    <x v="1"/>
    <n v="0"/>
    <n v="0"/>
    <n v="10"/>
    <n v="51"/>
    <n v="0"/>
    <n v="1755.54"/>
    <n v="298.83999999999997"/>
    <m/>
    <n v="1283.23"/>
    <n v="311.4117891483653"/>
    <n v="0"/>
    <n v="21852.961920000002"/>
    <n v="3719.9603199999997"/>
    <n v="0"/>
    <n v="15973.64704"/>
    <n v="3876.4539513188515"/>
  </r>
  <r>
    <s v="Sistema de Compensação"/>
    <x v="0"/>
    <x v="1"/>
    <x v="2"/>
    <x v="0"/>
    <x v="1"/>
    <x v="1"/>
    <x v="2"/>
    <x v="10"/>
    <n v="0"/>
    <n v="0"/>
    <n v="0.84899999999999998"/>
    <n v="0.84899999999999998"/>
    <n v="0.84899999999999998"/>
    <n v="0.84899999999999998"/>
    <n v="0"/>
    <x v="1"/>
    <n v="0"/>
    <n v="0"/>
    <n v="10"/>
    <n v="51"/>
    <n v="0"/>
    <n v="1755.54"/>
    <n v="298.83999999999997"/>
    <m/>
    <n v="1283.23"/>
    <n v="311.4117891483653"/>
    <n v="0"/>
    <n v="1490.45346"/>
    <n v="253.71515999999997"/>
    <n v="0"/>
    <n v="1089.46227"/>
    <n v="264.38860898696214"/>
  </r>
  <r>
    <s v="Regular"/>
    <x v="0"/>
    <x v="1"/>
    <x v="2"/>
    <x v="0"/>
    <x v="1"/>
    <x v="1"/>
    <x v="2"/>
    <x v="11"/>
    <n v="0"/>
    <n v="0"/>
    <n v="11.606999999999999"/>
    <n v="11.606999999999999"/>
    <n v="11.606999999999999"/>
    <n v="11.606999999999999"/>
    <n v="0"/>
    <x v="1"/>
    <n v="0"/>
    <n v="0"/>
    <n v="10"/>
    <n v="51"/>
    <n v="0"/>
    <n v="1755.54"/>
    <n v="298.83999999999997"/>
    <m/>
    <n v="1283.23"/>
    <n v="311.4117891483653"/>
    <n v="0"/>
    <n v="20376.552779999998"/>
    <n v="3468.6358799999994"/>
    <n v="0"/>
    <n v="14894.45061"/>
    <n v="3614.5566366450757"/>
  </r>
  <r>
    <s v="Sistema de Compensação"/>
    <x v="0"/>
    <x v="1"/>
    <x v="2"/>
    <x v="0"/>
    <x v="1"/>
    <x v="1"/>
    <x v="2"/>
    <x v="11"/>
    <n v="0"/>
    <n v="0"/>
    <n v="0.255"/>
    <n v="0.255"/>
    <n v="0.255"/>
    <n v="0.255"/>
    <n v="0"/>
    <x v="1"/>
    <n v="0"/>
    <n v="0"/>
    <n v="10"/>
    <n v="51"/>
    <n v="0"/>
    <n v="1755.54"/>
    <n v="298.83999999999997"/>
    <m/>
    <n v="1283.23"/>
    <n v="311.4117891483653"/>
    <n v="0"/>
    <n v="447.66269999999997"/>
    <n v="76.2042"/>
    <n v="0"/>
    <n v="327.22365000000002"/>
    <n v="79.410006232833155"/>
  </r>
  <r>
    <s v="Regular"/>
    <x v="0"/>
    <x v="1"/>
    <x v="3"/>
    <x v="0"/>
    <x v="1"/>
    <x v="1"/>
    <x v="0"/>
    <x v="0"/>
    <n v="0"/>
    <n v="0"/>
    <n v="8.4309999999999992"/>
    <n v="8.4309999999999992"/>
    <n v="8.4309999999999992"/>
    <n v="8.4309999999999992"/>
    <n v="0"/>
    <x v="1"/>
    <n v="0"/>
    <n v="0"/>
    <n v="11"/>
    <n v="52"/>
    <n v="0"/>
    <n v="90.54"/>
    <n v="189.96"/>
    <m/>
    <n v="116.79000000000002"/>
    <n v="195.89707226799715"/>
    <n v="0"/>
    <n v="763.34273999999994"/>
    <n v="1601.5527599999998"/>
    <n v="0"/>
    <n v="984.65649000000008"/>
    <n v="1651.6082162914838"/>
  </r>
  <r>
    <s v="Regular"/>
    <x v="0"/>
    <x v="1"/>
    <x v="3"/>
    <x v="0"/>
    <x v="1"/>
    <x v="1"/>
    <x v="0"/>
    <x v="1"/>
    <n v="0"/>
    <n v="0"/>
    <n v="8.1370000000000005"/>
    <n v="8.1370000000000005"/>
    <n v="8.1370000000000005"/>
    <n v="8.1370000000000005"/>
    <n v="0"/>
    <x v="1"/>
    <n v="0"/>
    <n v="0"/>
    <n v="11"/>
    <n v="52"/>
    <n v="0"/>
    <n v="90.54"/>
    <n v="189.96"/>
    <m/>
    <n v="116.79000000000002"/>
    <n v="195.89707226799715"/>
    <n v="0"/>
    <n v="736.7239800000001"/>
    <n v="1545.7045200000002"/>
    <n v="0"/>
    <n v="950.32023000000027"/>
    <n v="1594.014477044693"/>
  </r>
  <r>
    <s v="Regular"/>
    <x v="0"/>
    <x v="1"/>
    <x v="3"/>
    <x v="0"/>
    <x v="1"/>
    <x v="1"/>
    <x v="0"/>
    <x v="2"/>
    <n v="0"/>
    <n v="0"/>
    <n v="7.1059999999999999"/>
    <n v="7.1059999999999999"/>
    <n v="7.1059999999999999"/>
    <n v="7.1059999999999999"/>
    <n v="0"/>
    <x v="1"/>
    <n v="0"/>
    <n v="0"/>
    <n v="11"/>
    <n v="52"/>
    <n v="0"/>
    <n v="90.54"/>
    <n v="189.96"/>
    <m/>
    <n v="116.79000000000002"/>
    <n v="195.89707226799715"/>
    <n v="0"/>
    <n v="643.37724000000003"/>
    <n v="1349.8557600000001"/>
    <n v="0"/>
    <n v="829.90974000000017"/>
    <n v="1392.0445955363878"/>
  </r>
  <r>
    <s v="Regular"/>
    <x v="0"/>
    <x v="1"/>
    <x v="3"/>
    <x v="0"/>
    <x v="1"/>
    <x v="1"/>
    <x v="0"/>
    <x v="3"/>
    <n v="0"/>
    <n v="0"/>
    <n v="7.2560000000000002"/>
    <n v="7.2560000000000002"/>
    <n v="7.2560000000000002"/>
    <n v="7.2560000000000002"/>
    <n v="0"/>
    <x v="1"/>
    <n v="0"/>
    <n v="0"/>
    <n v="11"/>
    <n v="52"/>
    <n v="0"/>
    <n v="90.54"/>
    <n v="189.96"/>
    <m/>
    <n v="116.79000000000002"/>
    <n v="195.89707226799715"/>
    <n v="0"/>
    <n v="656.95824000000005"/>
    <n v="1378.3497600000001"/>
    <n v="0"/>
    <n v="847.42824000000019"/>
    <n v="1421.4291563765873"/>
  </r>
  <r>
    <s v="Regular"/>
    <x v="0"/>
    <x v="1"/>
    <x v="3"/>
    <x v="0"/>
    <x v="1"/>
    <x v="1"/>
    <x v="0"/>
    <x v="4"/>
    <n v="0"/>
    <n v="0"/>
    <n v="8.3689999999999998"/>
    <n v="8.3689999999999998"/>
    <n v="8.3689999999999998"/>
    <n v="8.3689999999999998"/>
    <n v="0"/>
    <x v="1"/>
    <n v="0"/>
    <n v="0"/>
    <n v="11"/>
    <n v="52"/>
    <n v="0"/>
    <n v="90.54"/>
    <n v="189.96"/>
    <m/>
    <n v="116.79000000000002"/>
    <n v="195.89707226799715"/>
    <n v="0"/>
    <n v="757.72926000000007"/>
    <n v="1589.7752399999999"/>
    <n v="0"/>
    <n v="977.41551000000015"/>
    <n v="1639.4625978108681"/>
  </r>
  <r>
    <s v="Regular"/>
    <x v="0"/>
    <x v="1"/>
    <x v="3"/>
    <x v="0"/>
    <x v="1"/>
    <x v="1"/>
    <x v="0"/>
    <x v="5"/>
    <n v="0"/>
    <n v="0"/>
    <n v="8.6419999999999995"/>
    <n v="8.6419999999999995"/>
    <n v="8.6419999999999995"/>
    <n v="8.6419999999999995"/>
    <n v="0"/>
    <x v="1"/>
    <n v="0"/>
    <n v="0"/>
    <n v="11"/>
    <n v="52"/>
    <n v="0"/>
    <n v="90.54"/>
    <n v="189.96"/>
    <m/>
    <n v="116.79000000000002"/>
    <n v="195.89707226799715"/>
    <n v="0"/>
    <n v="782.44668000000001"/>
    <n v="1641.6343199999999"/>
    <n v="0"/>
    <n v="1009.2991800000001"/>
    <n v="1692.9424985400312"/>
  </r>
  <r>
    <s v="Regular"/>
    <x v="0"/>
    <x v="1"/>
    <x v="3"/>
    <x v="0"/>
    <x v="1"/>
    <x v="1"/>
    <x v="0"/>
    <x v="6"/>
    <n v="0"/>
    <n v="0"/>
    <n v="10.266999999999999"/>
    <n v="10.266999999999999"/>
    <n v="10.266999999999999"/>
    <n v="10.266999999999999"/>
    <n v="0"/>
    <x v="1"/>
    <n v="0"/>
    <n v="0"/>
    <n v="11"/>
    <n v="52"/>
    <n v="0"/>
    <n v="90.54"/>
    <n v="189.96"/>
    <m/>
    <n v="116.79000000000002"/>
    <n v="195.89707226799715"/>
    <n v="0"/>
    <n v="929.57418000000007"/>
    <n v="1950.3193200000001"/>
    <n v="0"/>
    <n v="1199.0829300000003"/>
    <n v="2011.2752409755267"/>
  </r>
  <r>
    <s v="Regular"/>
    <x v="0"/>
    <x v="1"/>
    <x v="3"/>
    <x v="0"/>
    <x v="1"/>
    <x v="1"/>
    <x v="0"/>
    <x v="7"/>
    <n v="0"/>
    <n v="0"/>
    <n v="9.8369999999999997"/>
    <n v="9.8369999999999997"/>
    <n v="9.8369999999999997"/>
    <n v="9.8369999999999997"/>
    <n v="0"/>
    <x v="1"/>
    <n v="0"/>
    <n v="0"/>
    <n v="11"/>
    <n v="52"/>
    <n v="0"/>
    <n v="90.54"/>
    <n v="189.96"/>
    <m/>
    <n v="116.79000000000002"/>
    <n v="195.89707226799715"/>
    <n v="0"/>
    <n v="890.64197999999999"/>
    <n v="1868.63652"/>
    <n v="0"/>
    <n v="1148.8632300000002"/>
    <n v="1927.0394999002879"/>
  </r>
  <r>
    <s v="Regular"/>
    <x v="0"/>
    <x v="1"/>
    <x v="3"/>
    <x v="0"/>
    <x v="1"/>
    <x v="1"/>
    <x v="0"/>
    <x v="8"/>
    <n v="0"/>
    <n v="0"/>
    <n v="10.686999999999999"/>
    <n v="10.686999999999999"/>
    <n v="10.686999999999999"/>
    <n v="10.686999999999999"/>
    <n v="0"/>
    <x v="1"/>
    <n v="0"/>
    <n v="0"/>
    <n v="11"/>
    <n v="52"/>
    <n v="0"/>
    <n v="90.54"/>
    <n v="189.96"/>
    <m/>
    <n v="116.79000000000002"/>
    <n v="195.89707226799715"/>
    <n v="0"/>
    <n v="967.60098000000005"/>
    <n v="2030.1025199999999"/>
    <n v="0"/>
    <n v="1248.1347300000002"/>
    <n v="2093.5520113280854"/>
  </r>
  <r>
    <s v="Regular"/>
    <x v="0"/>
    <x v="1"/>
    <x v="3"/>
    <x v="0"/>
    <x v="1"/>
    <x v="1"/>
    <x v="0"/>
    <x v="9"/>
    <n v="0"/>
    <n v="0"/>
    <n v="7.8630000000000004"/>
    <n v="7.8630000000000004"/>
    <n v="7.8630000000000004"/>
    <n v="7.8630000000000004"/>
    <n v="0"/>
    <x v="1"/>
    <n v="0"/>
    <n v="0"/>
    <n v="11"/>
    <n v="52"/>
    <n v="0"/>
    <n v="90.54"/>
    <n v="189.96"/>
    <m/>
    <n v="116.79000000000002"/>
    <n v="195.89707226799715"/>
    <n v="0"/>
    <n v="711.91602000000012"/>
    <n v="1493.6554800000001"/>
    <n v="0"/>
    <n v="918.31977000000018"/>
    <n v="1540.3386792432616"/>
  </r>
  <r>
    <s v="Regular"/>
    <x v="0"/>
    <x v="1"/>
    <x v="3"/>
    <x v="0"/>
    <x v="1"/>
    <x v="1"/>
    <x v="0"/>
    <x v="10"/>
    <n v="0"/>
    <n v="0"/>
    <n v="9.3170000000000002"/>
    <n v="9.3170000000000002"/>
    <n v="9.3170000000000002"/>
    <n v="9.3170000000000002"/>
    <n v="0"/>
    <x v="1"/>
    <n v="0"/>
    <n v="0"/>
    <n v="11"/>
    <n v="52"/>
    <n v="0"/>
    <n v="90.54"/>
    <n v="189.96"/>
    <m/>
    <n v="116.79000000000002"/>
    <n v="195.89707226799715"/>
    <n v="0"/>
    <n v="843.56118000000004"/>
    <n v="1769.8573200000001"/>
    <n v="0"/>
    <n v="1088.1324300000001"/>
    <n v="1825.1730223209295"/>
  </r>
  <r>
    <s v="Regular"/>
    <x v="0"/>
    <x v="1"/>
    <x v="3"/>
    <x v="0"/>
    <x v="1"/>
    <x v="1"/>
    <x v="0"/>
    <x v="11"/>
    <n v="0"/>
    <n v="0"/>
    <n v="10.135999999999999"/>
    <n v="10.135999999999999"/>
    <n v="10.135999999999999"/>
    <n v="10.135999999999999"/>
    <n v="0"/>
    <x v="1"/>
    <n v="0"/>
    <n v="0"/>
    <n v="11"/>
    <n v="52"/>
    <n v="0"/>
    <n v="90.54"/>
    <n v="189.96"/>
    <m/>
    <n v="116.79000000000002"/>
    <n v="195.89707226799715"/>
    <n v="0"/>
    <n v="917.71343999999999"/>
    <n v="1925.4345599999999"/>
    <n v="0"/>
    <n v="1183.7834400000002"/>
    <n v="1985.612724508419"/>
  </r>
  <r>
    <s v="Regular"/>
    <x v="0"/>
    <x v="1"/>
    <x v="3"/>
    <x v="0"/>
    <x v="1"/>
    <x v="1"/>
    <x v="1"/>
    <x v="0"/>
    <n v="133"/>
    <n v="133"/>
    <n v="0"/>
    <n v="0"/>
    <n v="0"/>
    <n v="0"/>
    <n v="4"/>
    <x v="1"/>
    <n v="0"/>
    <n v="9"/>
    <n v="0"/>
    <n v="0"/>
    <n v="33.97"/>
    <n v="0"/>
    <n v="0"/>
    <n v="32.31"/>
    <m/>
    <m/>
    <n v="4518.01"/>
    <n v="0"/>
    <n v="0"/>
    <n v="4297.2300000000005"/>
    <n v="0"/>
    <n v="0"/>
  </r>
  <r>
    <s v="Regular"/>
    <x v="0"/>
    <x v="1"/>
    <x v="3"/>
    <x v="0"/>
    <x v="1"/>
    <x v="1"/>
    <x v="1"/>
    <x v="1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2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3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4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5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6"/>
    <n v="138"/>
    <n v="138"/>
    <n v="0"/>
    <n v="0"/>
    <n v="0"/>
    <n v="0"/>
    <n v="4"/>
    <x v="1"/>
    <n v="0"/>
    <n v="9"/>
    <n v="0"/>
    <n v="0"/>
    <n v="33.97"/>
    <n v="0"/>
    <n v="0"/>
    <n v="32.31"/>
    <m/>
    <m/>
    <n v="4687.8599999999997"/>
    <n v="0"/>
    <n v="0"/>
    <n v="4458.7800000000007"/>
    <n v="0"/>
    <n v="0"/>
  </r>
  <r>
    <s v="Regular"/>
    <x v="0"/>
    <x v="1"/>
    <x v="3"/>
    <x v="0"/>
    <x v="1"/>
    <x v="1"/>
    <x v="1"/>
    <x v="7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8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9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10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1"/>
    <x v="11"/>
    <n v="130"/>
    <n v="130"/>
    <n v="0"/>
    <n v="0"/>
    <n v="0"/>
    <n v="0"/>
    <n v="4"/>
    <x v="1"/>
    <n v="0"/>
    <n v="9"/>
    <n v="0"/>
    <n v="0"/>
    <n v="33.97"/>
    <n v="0"/>
    <n v="0"/>
    <n v="32.31"/>
    <m/>
    <m/>
    <n v="4416.0999999999995"/>
    <n v="0"/>
    <n v="0"/>
    <n v="4200.3"/>
    <n v="0"/>
    <n v="0"/>
  </r>
  <r>
    <s v="Regular"/>
    <x v="0"/>
    <x v="1"/>
    <x v="3"/>
    <x v="0"/>
    <x v="1"/>
    <x v="1"/>
    <x v="2"/>
    <x v="0"/>
    <n v="0"/>
    <n v="0"/>
    <n v="0.82199999999999995"/>
    <n v="0.82199999999999995"/>
    <n v="0.82199999999999995"/>
    <n v="0.82199999999999995"/>
    <n v="0"/>
    <x v="1"/>
    <n v="0"/>
    <n v="0"/>
    <n v="10"/>
    <n v="51"/>
    <n v="0"/>
    <n v="1755.54"/>
    <n v="298.83999999999997"/>
    <m/>
    <n v="1283.23"/>
    <n v="311.4117891483653"/>
    <n v="0"/>
    <n v="1443.0538799999999"/>
    <n v="245.64647999999997"/>
    <n v="0"/>
    <n v="1054.8150599999999"/>
    <n v="255.98049067995626"/>
  </r>
  <r>
    <s v="Regular"/>
    <x v="0"/>
    <x v="1"/>
    <x v="3"/>
    <x v="0"/>
    <x v="1"/>
    <x v="1"/>
    <x v="2"/>
    <x v="1"/>
    <n v="0"/>
    <n v="0"/>
    <n v="0.78800000000000003"/>
    <n v="0.78800000000000003"/>
    <n v="0.78800000000000003"/>
    <n v="0.78800000000000003"/>
    <n v="0"/>
    <x v="1"/>
    <n v="0"/>
    <n v="0"/>
    <n v="10"/>
    <n v="51"/>
    <n v="0"/>
    <n v="1755.54"/>
    <n v="298.83999999999997"/>
    <m/>
    <n v="1283.23"/>
    <n v="311.4117891483653"/>
    <n v="0"/>
    <n v="1383.3655200000001"/>
    <n v="235.48591999999999"/>
    <n v="0"/>
    <n v="1011.18524"/>
    <n v="245.39248984891188"/>
  </r>
  <r>
    <s v="Regular"/>
    <x v="0"/>
    <x v="1"/>
    <x v="3"/>
    <x v="0"/>
    <x v="1"/>
    <x v="1"/>
    <x v="2"/>
    <x v="2"/>
    <n v="0"/>
    <n v="0"/>
    <n v="0.69499999999999995"/>
    <n v="0.69499999999999995"/>
    <n v="0.69499999999999995"/>
    <n v="0.69499999999999995"/>
    <n v="0"/>
    <x v="1"/>
    <n v="0"/>
    <n v="0"/>
    <n v="10"/>
    <n v="51"/>
    <n v="0"/>
    <n v="1755.54"/>
    <n v="298.83999999999997"/>
    <m/>
    <n v="1283.23"/>
    <n v="311.4117891483653"/>
    <n v="0"/>
    <n v="1220.1002999999998"/>
    <n v="207.69379999999998"/>
    <n v="0"/>
    <n v="891.84484999999995"/>
    <n v="216.43119345811388"/>
  </r>
  <r>
    <s v="Regular"/>
    <x v="0"/>
    <x v="1"/>
    <x v="3"/>
    <x v="0"/>
    <x v="1"/>
    <x v="1"/>
    <x v="2"/>
    <x v="3"/>
    <n v="0"/>
    <n v="0"/>
    <n v="0.625"/>
    <n v="0.625"/>
    <n v="0.625"/>
    <n v="0.625"/>
    <n v="0"/>
    <x v="1"/>
    <n v="0"/>
    <n v="0"/>
    <n v="10"/>
    <n v="51"/>
    <n v="0"/>
    <n v="1755.54"/>
    <n v="298.83999999999997"/>
    <m/>
    <n v="1283.23"/>
    <n v="311.4117891483653"/>
    <n v="0"/>
    <n v="1097.2125000000001"/>
    <n v="186.77499999999998"/>
    <n v="0"/>
    <n v="802.01874999999995"/>
    <n v="194.6323682177283"/>
  </r>
  <r>
    <s v="Regular"/>
    <x v="0"/>
    <x v="1"/>
    <x v="3"/>
    <x v="0"/>
    <x v="1"/>
    <x v="1"/>
    <x v="2"/>
    <x v="4"/>
    <n v="0"/>
    <n v="0"/>
    <n v="0.66100000000000003"/>
    <n v="0.66100000000000003"/>
    <n v="0.66100000000000003"/>
    <n v="0.66100000000000003"/>
    <n v="0"/>
    <x v="1"/>
    <n v="0"/>
    <n v="0"/>
    <n v="10"/>
    <n v="51"/>
    <n v="0"/>
    <n v="1755.54"/>
    <n v="298.83999999999997"/>
    <m/>
    <n v="1283.23"/>
    <n v="311.4117891483653"/>
    <n v="0"/>
    <n v="1160.41194"/>
    <n v="197.53324000000001"/>
    <n v="0"/>
    <n v="848.21503000000007"/>
    <n v="205.84319262706947"/>
  </r>
  <r>
    <s v="Regular"/>
    <x v="0"/>
    <x v="1"/>
    <x v="3"/>
    <x v="0"/>
    <x v="1"/>
    <x v="1"/>
    <x v="2"/>
    <x v="5"/>
    <n v="0"/>
    <n v="0"/>
    <n v="0.71899999999999997"/>
    <n v="0.71899999999999997"/>
    <n v="0.71899999999999997"/>
    <n v="0.71899999999999997"/>
    <n v="0"/>
    <x v="1"/>
    <n v="0"/>
    <n v="0"/>
    <n v="10"/>
    <n v="51"/>
    <n v="0"/>
    <n v="1755.54"/>
    <n v="298.83999999999997"/>
    <m/>
    <n v="1283.23"/>
    <n v="311.4117891483653"/>
    <n v="0"/>
    <n v="1262.23326"/>
    <n v="214.86595999999997"/>
    <n v="0"/>
    <n v="922.64237000000003"/>
    <n v="223.90507639767463"/>
  </r>
  <r>
    <s v="Regular"/>
    <x v="0"/>
    <x v="1"/>
    <x v="3"/>
    <x v="0"/>
    <x v="1"/>
    <x v="1"/>
    <x v="2"/>
    <x v="6"/>
    <n v="0"/>
    <n v="0"/>
    <n v="0.84599999999999997"/>
    <n v="0.84599999999999997"/>
    <n v="0.84599999999999997"/>
    <n v="0.84599999999999997"/>
    <n v="0"/>
    <x v="1"/>
    <n v="0"/>
    <n v="0"/>
    <n v="10"/>
    <n v="51"/>
    <n v="0"/>
    <n v="1755.54"/>
    <n v="298.83999999999997"/>
    <m/>
    <n v="1283.23"/>
    <n v="311.4117891483653"/>
    <n v="0"/>
    <n v="1485.1868399999998"/>
    <n v="252.81863999999996"/>
    <n v="0"/>
    <n v="1085.61258"/>
    <n v="263.45437361951701"/>
  </r>
  <r>
    <s v="Regular"/>
    <x v="0"/>
    <x v="1"/>
    <x v="3"/>
    <x v="0"/>
    <x v="1"/>
    <x v="1"/>
    <x v="2"/>
    <x v="7"/>
    <n v="0"/>
    <n v="0"/>
    <n v="0.86299999999999999"/>
    <n v="0.86299999999999999"/>
    <n v="0.86299999999999999"/>
    <n v="0.86299999999999999"/>
    <n v="0"/>
    <x v="1"/>
    <n v="0"/>
    <n v="0"/>
    <n v="10"/>
    <n v="51"/>
    <n v="0"/>
    <n v="1755.54"/>
    <n v="298.83999999999997"/>
    <m/>
    <n v="1283.23"/>
    <n v="311.4117891483653"/>
    <n v="0"/>
    <n v="1515.0310199999999"/>
    <n v="257.89891999999998"/>
    <n v="0"/>
    <n v="1107.42749"/>
    <n v="268.74837403503926"/>
  </r>
  <r>
    <s v="Regular"/>
    <x v="0"/>
    <x v="1"/>
    <x v="3"/>
    <x v="0"/>
    <x v="1"/>
    <x v="1"/>
    <x v="2"/>
    <x v="8"/>
    <n v="0"/>
    <n v="0"/>
    <n v="0.94699999999999995"/>
    <n v="0.94699999999999995"/>
    <n v="0.94699999999999995"/>
    <n v="0.94699999999999995"/>
    <n v="0"/>
    <x v="1"/>
    <n v="0"/>
    <n v="0"/>
    <n v="10"/>
    <n v="51"/>
    <n v="0"/>
    <n v="1755.54"/>
    <n v="298.83999999999997"/>
    <m/>
    <n v="1283.23"/>
    <n v="311.4117891483653"/>
    <n v="0"/>
    <n v="1662.4963799999998"/>
    <n v="283.00147999999996"/>
    <n v="0"/>
    <n v="1215.2188099999998"/>
    <n v="294.90696432350194"/>
  </r>
  <r>
    <s v="Regular"/>
    <x v="0"/>
    <x v="1"/>
    <x v="3"/>
    <x v="0"/>
    <x v="1"/>
    <x v="1"/>
    <x v="2"/>
    <x v="9"/>
    <n v="0"/>
    <n v="0"/>
    <n v="0.76200000000000001"/>
    <n v="0.76200000000000001"/>
    <n v="0.76200000000000001"/>
    <n v="0.76200000000000001"/>
    <n v="0"/>
    <x v="1"/>
    <n v="0"/>
    <n v="0"/>
    <n v="10"/>
    <n v="51"/>
    <n v="0"/>
    <n v="1755.54"/>
    <n v="298.83999999999997"/>
    <m/>
    <n v="1283.23"/>
    <n v="311.4117891483653"/>
    <n v="0"/>
    <n v="1337.7214799999999"/>
    <n v="227.71607999999998"/>
    <n v="0"/>
    <n v="977.82126000000005"/>
    <n v="237.29578333105437"/>
  </r>
  <r>
    <s v="Regular"/>
    <x v="0"/>
    <x v="1"/>
    <x v="3"/>
    <x v="0"/>
    <x v="1"/>
    <x v="1"/>
    <x v="2"/>
    <x v="10"/>
    <n v="0"/>
    <n v="0"/>
    <n v="1.0860000000000001"/>
    <n v="1.0860000000000001"/>
    <n v="1.0860000000000001"/>
    <n v="1.0860000000000001"/>
    <n v="0"/>
    <x v="1"/>
    <n v="0"/>
    <n v="0"/>
    <n v="10"/>
    <n v="51"/>
    <n v="0"/>
    <n v="1755.54"/>
    <n v="298.83999999999997"/>
    <m/>
    <n v="1283.23"/>
    <n v="311.4117891483653"/>
    <n v="0"/>
    <n v="1906.5164400000001"/>
    <n v="324.54023999999998"/>
    <n v="0"/>
    <n v="1393.5877800000001"/>
    <n v="338.19320301512477"/>
  </r>
  <r>
    <s v="Regular"/>
    <x v="0"/>
    <x v="1"/>
    <x v="3"/>
    <x v="0"/>
    <x v="1"/>
    <x v="1"/>
    <x v="2"/>
    <x v="11"/>
    <n v="0"/>
    <n v="0"/>
    <n v="1.032"/>
    <n v="1.032"/>
    <n v="1.032"/>
    <n v="1.032"/>
    <n v="0"/>
    <x v="1"/>
    <n v="0"/>
    <n v="0"/>
    <n v="10"/>
    <n v="51"/>
    <n v="0"/>
    <n v="1755.54"/>
    <n v="298.83999999999997"/>
    <m/>
    <n v="1283.23"/>
    <n v="311.4117891483653"/>
    <n v="0"/>
    <n v="1811.7172800000001"/>
    <n v="308.40287999999998"/>
    <n v="0"/>
    <n v="1324.2933600000001"/>
    <n v="321.37696640111301"/>
  </r>
  <r>
    <s v="Regular"/>
    <x v="0"/>
    <x v="1"/>
    <x v="4"/>
    <x v="0"/>
    <x v="1"/>
    <x v="1"/>
    <x v="0"/>
    <x v="0"/>
    <n v="0"/>
    <n v="0"/>
    <n v="8.7330000000000005"/>
    <n v="8.7330000000000005"/>
    <n v="8.7330000000000005"/>
    <n v="8.7330000000000005"/>
    <n v="0"/>
    <x v="1"/>
    <n v="0"/>
    <n v="0"/>
    <n v="11"/>
    <n v="52"/>
    <n v="0"/>
    <n v="86.918400000000005"/>
    <n v="182.36160000000001"/>
    <m/>
    <n v="114.45420000000001"/>
    <n v="191.97913082263719"/>
    <n v="0"/>
    <n v="759.05838720000008"/>
    <n v="1592.5638528000002"/>
    <n v="0"/>
    <n v="999.52852860000019"/>
    <n v="1676.5537494740906"/>
  </r>
  <r>
    <s v="Regular"/>
    <x v="0"/>
    <x v="1"/>
    <x v="4"/>
    <x v="0"/>
    <x v="1"/>
    <x v="1"/>
    <x v="0"/>
    <x v="1"/>
    <n v="0"/>
    <n v="0"/>
    <n v="2.7029999999999998"/>
    <n v="2.7029999999999998"/>
    <n v="2.7029999999999998"/>
    <n v="2.7029999999999998"/>
    <n v="0"/>
    <x v="1"/>
    <n v="0"/>
    <n v="0"/>
    <n v="11"/>
    <n v="52"/>
    <n v="0"/>
    <n v="86.918400000000005"/>
    <n v="182.36160000000001"/>
    <m/>
    <n v="114.45420000000001"/>
    <n v="191.97913082263719"/>
    <n v="0"/>
    <n v="234.9404352"/>
    <n v="492.92340480000001"/>
    <n v="0"/>
    <n v="309.36970260000004"/>
    <n v="518.9195906135883"/>
  </r>
  <r>
    <s v="Regular"/>
    <x v="0"/>
    <x v="1"/>
    <x v="4"/>
    <x v="0"/>
    <x v="1"/>
    <x v="1"/>
    <x v="0"/>
    <x v="2"/>
    <n v="0"/>
    <n v="0"/>
    <n v="3.448"/>
    <n v="3.448"/>
    <n v="3.448"/>
    <n v="3.448"/>
    <n v="0"/>
    <x v="1"/>
    <n v="0"/>
    <n v="0"/>
    <n v="11"/>
    <n v="52"/>
    <n v="0"/>
    <n v="86.918400000000005"/>
    <n v="182.36160000000001"/>
    <m/>
    <n v="114.45420000000001"/>
    <n v="191.97913082263719"/>
    <n v="0"/>
    <n v="299.69464320000003"/>
    <n v="628.78279680000003"/>
    <n v="0"/>
    <n v="394.63808160000002"/>
    <n v="661.944043076453"/>
  </r>
  <r>
    <s v="Regular"/>
    <x v="0"/>
    <x v="1"/>
    <x v="4"/>
    <x v="0"/>
    <x v="1"/>
    <x v="1"/>
    <x v="0"/>
    <x v="3"/>
    <n v="0"/>
    <n v="0"/>
    <n v="4.165"/>
    <n v="4.165"/>
    <n v="4.165"/>
    <n v="4.165"/>
    <n v="0"/>
    <x v="1"/>
    <n v="0"/>
    <n v="0"/>
    <n v="11"/>
    <n v="52"/>
    <n v="0"/>
    <n v="86.918400000000005"/>
    <n v="182.36160000000001"/>
    <m/>
    <n v="114.45420000000001"/>
    <n v="191.97913082263719"/>
    <n v="0"/>
    <n v="362.01513600000004"/>
    <n v="759.53606400000001"/>
    <n v="0"/>
    <n v="476.70174300000008"/>
    <n v="799.59307987628392"/>
  </r>
  <r>
    <s v="Regular"/>
    <x v="0"/>
    <x v="1"/>
    <x v="4"/>
    <x v="0"/>
    <x v="1"/>
    <x v="1"/>
    <x v="0"/>
    <x v="4"/>
    <n v="0"/>
    <n v="0"/>
    <n v="2.2269999999999999"/>
    <n v="2.2269999999999999"/>
    <n v="2.2269999999999999"/>
    <n v="2.2269999999999999"/>
    <n v="0"/>
    <x v="1"/>
    <n v="0"/>
    <n v="0"/>
    <n v="11"/>
    <n v="52"/>
    <n v="0"/>
    <n v="86.918400000000005"/>
    <n v="182.36160000000001"/>
    <m/>
    <n v="114.45420000000001"/>
    <n v="191.97913082263719"/>
    <n v="0"/>
    <n v="193.5672768"/>
    <n v="406.11928319999998"/>
    <n v="0"/>
    <n v="254.88950340000002"/>
    <n v="427.537524342013"/>
  </r>
  <r>
    <s v="Regular"/>
    <x v="0"/>
    <x v="1"/>
    <x v="4"/>
    <x v="0"/>
    <x v="1"/>
    <x v="1"/>
    <x v="0"/>
    <x v="5"/>
    <n v="0"/>
    <n v="0"/>
    <n v="0.65800000000000003"/>
    <n v="0.65800000000000003"/>
    <n v="0.65800000000000003"/>
    <n v="0.65800000000000003"/>
    <n v="0"/>
    <x v="1"/>
    <n v="0"/>
    <n v="0"/>
    <n v="11"/>
    <n v="52"/>
    <n v="0"/>
    <n v="86.918400000000005"/>
    <n v="182.36160000000001"/>
    <m/>
    <n v="114.45420000000001"/>
    <n v="191.97913082263719"/>
    <n v="0"/>
    <n v="57.192307200000009"/>
    <n v="119.99393280000001"/>
    <n v="0"/>
    <n v="75.310863600000019"/>
    <n v="126.32226808129528"/>
  </r>
  <r>
    <s v="Regular"/>
    <x v="0"/>
    <x v="1"/>
    <x v="4"/>
    <x v="0"/>
    <x v="1"/>
    <x v="1"/>
    <x v="0"/>
    <x v="6"/>
    <n v="0"/>
    <n v="0"/>
    <n v="0.996"/>
    <n v="0.996"/>
    <n v="0.996"/>
    <n v="0.996"/>
    <n v="0"/>
    <x v="1"/>
    <n v="0"/>
    <n v="0"/>
    <n v="11"/>
    <n v="52"/>
    <n v="0"/>
    <n v="86.918400000000005"/>
    <n v="182.36160000000001"/>
    <m/>
    <n v="114.45420000000001"/>
    <n v="191.97913082263719"/>
    <n v="0"/>
    <n v="86.570726399999998"/>
    <n v="181.63215360000001"/>
    <n v="0"/>
    <n v="113.99638320000001"/>
    <n v="191.21121429934664"/>
  </r>
  <r>
    <s v="Regular"/>
    <x v="0"/>
    <x v="1"/>
    <x v="4"/>
    <x v="0"/>
    <x v="1"/>
    <x v="1"/>
    <x v="0"/>
    <x v="7"/>
    <n v="0"/>
    <n v="0"/>
    <n v="3.266"/>
    <n v="3.266"/>
    <n v="3.266"/>
    <n v="3.266"/>
    <n v="0"/>
    <x v="1"/>
    <n v="0"/>
    <n v="0"/>
    <n v="11"/>
    <n v="52"/>
    <n v="0"/>
    <n v="86.918400000000005"/>
    <n v="182.36160000000001"/>
    <m/>
    <n v="114.45420000000001"/>
    <n v="191.97913082263719"/>
    <n v="0"/>
    <n v="283.87549440000004"/>
    <n v="595.59298560000002"/>
    <n v="0"/>
    <n v="373.80741720000003"/>
    <n v="627.00384126673305"/>
  </r>
  <r>
    <s v="Regular"/>
    <x v="0"/>
    <x v="1"/>
    <x v="4"/>
    <x v="0"/>
    <x v="1"/>
    <x v="1"/>
    <x v="0"/>
    <x v="8"/>
    <n v="0"/>
    <n v="0"/>
    <n v="20.085000000000001"/>
    <n v="20.085000000000001"/>
    <n v="20.085000000000001"/>
    <n v="20.085000000000001"/>
    <n v="0"/>
    <x v="1"/>
    <n v="0"/>
    <n v="0"/>
    <n v="11"/>
    <n v="52"/>
    <n v="0"/>
    <n v="86.918400000000005"/>
    <n v="182.36160000000001"/>
    <m/>
    <n v="114.45420000000001"/>
    <n v="191.97913082263719"/>
    <n v="0"/>
    <n v="1745.7560640000002"/>
    <n v="3662.7327360000004"/>
    <n v="0"/>
    <n v="2298.8126070000003"/>
    <n v="3855.9008425726679"/>
  </r>
  <r>
    <s v="Regular"/>
    <x v="0"/>
    <x v="1"/>
    <x v="4"/>
    <x v="0"/>
    <x v="1"/>
    <x v="1"/>
    <x v="0"/>
    <x v="9"/>
    <n v="0"/>
    <n v="0"/>
    <n v="24.28"/>
    <n v="24.28"/>
    <n v="24.28"/>
    <n v="24.28"/>
    <n v="0"/>
    <x v="1"/>
    <n v="0"/>
    <n v="0"/>
    <n v="11"/>
    <n v="52"/>
    <n v="0"/>
    <n v="86.918400000000005"/>
    <n v="182.36160000000001"/>
    <m/>
    <n v="114.45420000000001"/>
    <n v="191.97913082263719"/>
    <n v="0"/>
    <n v="2110.3787520000001"/>
    <n v="4427.7396480000007"/>
    <n v="0"/>
    <n v="2778.9479760000004"/>
    <n v="4661.2532963736312"/>
  </r>
  <r>
    <s v="Regular"/>
    <x v="0"/>
    <x v="1"/>
    <x v="4"/>
    <x v="0"/>
    <x v="1"/>
    <x v="1"/>
    <x v="0"/>
    <x v="10"/>
    <n v="0"/>
    <n v="0"/>
    <n v="12.068"/>
    <n v="12.068"/>
    <n v="12.068"/>
    <n v="12.068"/>
    <n v="0"/>
    <x v="1"/>
    <n v="0"/>
    <n v="0"/>
    <n v="11"/>
    <n v="52"/>
    <n v="0"/>
    <n v="86.918400000000005"/>
    <n v="182.36160000000001"/>
    <m/>
    <n v="114.45420000000001"/>
    <n v="191.97913082263719"/>
    <n v="0"/>
    <n v="1048.9312512000001"/>
    <n v="2200.7397888"/>
    <n v="0"/>
    <n v="1381.2332856"/>
    <n v="2316.8041507675857"/>
  </r>
  <r>
    <s v="Regular"/>
    <x v="0"/>
    <x v="1"/>
    <x v="4"/>
    <x v="0"/>
    <x v="1"/>
    <x v="1"/>
    <x v="0"/>
    <x v="11"/>
    <n v="0"/>
    <n v="0"/>
    <n v="9.1359999999999992"/>
    <n v="9.1359999999999992"/>
    <n v="9.1359999999999992"/>
    <n v="9.1359999999999992"/>
    <n v="0"/>
    <x v="1"/>
    <n v="0"/>
    <n v="0"/>
    <n v="11"/>
    <n v="52"/>
    <n v="0"/>
    <n v="86.918400000000005"/>
    <n v="182.36160000000001"/>
    <m/>
    <n v="114.45420000000001"/>
    <n v="191.97913082263719"/>
    <n v="0"/>
    <n v="794.08650239999997"/>
    <n v="1666.0555775999999"/>
    <n v="0"/>
    <n v="1045.6535712"/>
    <n v="1753.9213391956132"/>
  </r>
  <r>
    <s v="Regular"/>
    <x v="0"/>
    <x v="1"/>
    <x v="4"/>
    <x v="0"/>
    <x v="1"/>
    <x v="1"/>
    <x v="1"/>
    <x v="0"/>
    <n v="150"/>
    <n v="150"/>
    <n v="0"/>
    <n v="0"/>
    <n v="0"/>
    <n v="0"/>
    <n v="2"/>
    <x v="1"/>
    <n v="0"/>
    <n v="9"/>
    <n v="0"/>
    <n v="0"/>
    <n v="32.611199999999997"/>
    <n v="0"/>
    <n v="0"/>
    <n v="31.663800000000002"/>
    <m/>
    <m/>
    <n v="4891.6799999999994"/>
    <n v="0"/>
    <n v="0"/>
    <n v="4749.5700000000006"/>
    <n v="0"/>
    <n v="0"/>
  </r>
  <r>
    <s v="Regular"/>
    <x v="0"/>
    <x v="1"/>
    <x v="4"/>
    <x v="0"/>
    <x v="1"/>
    <x v="1"/>
    <x v="1"/>
    <x v="1"/>
    <n v="91"/>
    <n v="91"/>
    <n v="0"/>
    <n v="0"/>
    <n v="0"/>
    <n v="0"/>
    <n v="2"/>
    <x v="1"/>
    <n v="0"/>
    <n v="9"/>
    <n v="0"/>
    <n v="0"/>
    <n v="32.611199999999997"/>
    <n v="0"/>
    <n v="0"/>
    <n v="31.663800000000002"/>
    <m/>
    <m/>
    <n v="2967.6191999999996"/>
    <n v="0"/>
    <n v="0"/>
    <n v="2881.4058"/>
    <n v="0"/>
    <n v="0"/>
  </r>
  <r>
    <s v="Regular"/>
    <x v="0"/>
    <x v="1"/>
    <x v="4"/>
    <x v="0"/>
    <x v="1"/>
    <x v="1"/>
    <x v="1"/>
    <x v="2"/>
    <n v="84"/>
    <n v="84"/>
    <n v="0"/>
    <n v="0"/>
    <n v="0"/>
    <n v="0"/>
    <n v="2"/>
    <x v="1"/>
    <n v="0"/>
    <n v="9"/>
    <n v="0"/>
    <n v="0"/>
    <n v="32.611199999999997"/>
    <n v="0"/>
    <n v="0"/>
    <n v="31.663800000000002"/>
    <m/>
    <m/>
    <n v="2739.3407999999999"/>
    <n v="0"/>
    <n v="0"/>
    <n v="2659.7592"/>
    <n v="0"/>
    <n v="0"/>
  </r>
  <r>
    <s v="Regular"/>
    <x v="0"/>
    <x v="1"/>
    <x v="4"/>
    <x v="0"/>
    <x v="1"/>
    <x v="1"/>
    <x v="1"/>
    <x v="3"/>
    <n v="83"/>
    <n v="83"/>
    <n v="0"/>
    <n v="0"/>
    <n v="0"/>
    <n v="0"/>
    <n v="2"/>
    <x v="1"/>
    <n v="0"/>
    <n v="9"/>
    <n v="0"/>
    <n v="0"/>
    <n v="32.611199999999997"/>
    <n v="0"/>
    <n v="0"/>
    <n v="31.663800000000002"/>
    <m/>
    <m/>
    <n v="2706.7295999999997"/>
    <n v="0"/>
    <n v="0"/>
    <n v="2628.0954000000002"/>
    <n v="0"/>
    <n v="0"/>
  </r>
  <r>
    <s v="Regular"/>
    <x v="0"/>
    <x v="1"/>
    <x v="4"/>
    <x v="0"/>
    <x v="1"/>
    <x v="1"/>
    <x v="1"/>
    <x v="4"/>
    <n v="89"/>
    <n v="89"/>
    <n v="0"/>
    <n v="0"/>
    <n v="0"/>
    <n v="0"/>
    <n v="2"/>
    <x v="1"/>
    <n v="0"/>
    <n v="9"/>
    <n v="0"/>
    <n v="0"/>
    <n v="32.611199999999997"/>
    <n v="0"/>
    <n v="0"/>
    <n v="31.663800000000002"/>
    <m/>
    <m/>
    <n v="2902.3967999999995"/>
    <n v="0"/>
    <n v="0"/>
    <n v="2818.0782000000004"/>
    <n v="0"/>
    <n v="0"/>
  </r>
  <r>
    <s v="Regular"/>
    <x v="0"/>
    <x v="1"/>
    <x v="4"/>
    <x v="0"/>
    <x v="1"/>
    <x v="1"/>
    <x v="1"/>
    <x v="5"/>
    <n v="44"/>
    <n v="44"/>
    <n v="0"/>
    <n v="0"/>
    <n v="0"/>
    <n v="0"/>
    <n v="2"/>
    <x v="1"/>
    <n v="0"/>
    <n v="9"/>
    <n v="0"/>
    <n v="0"/>
    <n v="32.611199999999997"/>
    <n v="0"/>
    <n v="0"/>
    <n v="31.663800000000002"/>
    <m/>
    <m/>
    <n v="1434.8927999999999"/>
    <n v="0"/>
    <n v="0"/>
    <n v="1393.2072000000001"/>
    <n v="0"/>
    <n v="0"/>
  </r>
  <r>
    <s v="Regular"/>
    <x v="0"/>
    <x v="1"/>
    <x v="4"/>
    <x v="0"/>
    <x v="1"/>
    <x v="1"/>
    <x v="1"/>
    <x v="6"/>
    <n v="46"/>
    <n v="46"/>
    <n v="0"/>
    <n v="0"/>
    <n v="0"/>
    <n v="0"/>
    <n v="2"/>
    <x v="1"/>
    <n v="0"/>
    <n v="9"/>
    <n v="0"/>
    <n v="0"/>
    <n v="32.611199999999997"/>
    <n v="0"/>
    <n v="0"/>
    <n v="31.663800000000002"/>
    <m/>
    <m/>
    <n v="1500.1151999999997"/>
    <n v="0"/>
    <n v="0"/>
    <n v="1456.5348000000001"/>
    <n v="0"/>
    <n v="0"/>
  </r>
  <r>
    <s v="Regular"/>
    <x v="0"/>
    <x v="1"/>
    <x v="4"/>
    <x v="0"/>
    <x v="1"/>
    <x v="1"/>
    <x v="1"/>
    <x v="7"/>
    <n v="57"/>
    <n v="57"/>
    <n v="0"/>
    <n v="0"/>
    <n v="0"/>
    <n v="0"/>
    <n v="2"/>
    <x v="1"/>
    <n v="0"/>
    <n v="9"/>
    <n v="0"/>
    <n v="0"/>
    <n v="32.611199999999997"/>
    <n v="0"/>
    <n v="0"/>
    <n v="31.663800000000002"/>
    <m/>
    <m/>
    <n v="1858.8383999999999"/>
    <n v="0"/>
    <n v="0"/>
    <n v="1804.8366000000001"/>
    <n v="0"/>
    <n v="0"/>
  </r>
  <r>
    <s v="Regular"/>
    <x v="0"/>
    <x v="1"/>
    <x v="4"/>
    <x v="0"/>
    <x v="1"/>
    <x v="1"/>
    <x v="1"/>
    <x v="8"/>
    <n v="117"/>
    <n v="117"/>
    <n v="0"/>
    <n v="0"/>
    <n v="0"/>
    <n v="0"/>
    <n v="2"/>
    <x v="1"/>
    <n v="0"/>
    <n v="9"/>
    <n v="0"/>
    <n v="0"/>
    <n v="32.611199999999997"/>
    <n v="0"/>
    <n v="0"/>
    <n v="31.663800000000002"/>
    <m/>
    <m/>
    <n v="3815.5103999999997"/>
    <n v="0"/>
    <n v="0"/>
    <n v="3704.6646000000001"/>
    <n v="0"/>
    <n v="0"/>
  </r>
  <r>
    <s v="Regular"/>
    <x v="0"/>
    <x v="1"/>
    <x v="4"/>
    <x v="0"/>
    <x v="1"/>
    <x v="1"/>
    <x v="1"/>
    <x v="9"/>
    <n v="156"/>
    <n v="156"/>
    <n v="0"/>
    <n v="0"/>
    <n v="0"/>
    <n v="0"/>
    <n v="2"/>
    <x v="1"/>
    <n v="0"/>
    <n v="9"/>
    <n v="0"/>
    <n v="0"/>
    <n v="32.611199999999997"/>
    <n v="0"/>
    <n v="0"/>
    <n v="31.663800000000002"/>
    <m/>
    <m/>
    <n v="5087.3471999999992"/>
    <n v="0"/>
    <n v="0"/>
    <n v="4939.5528000000004"/>
    <n v="0"/>
    <n v="0"/>
  </r>
  <r>
    <s v="Regular"/>
    <x v="0"/>
    <x v="1"/>
    <x v="4"/>
    <x v="0"/>
    <x v="1"/>
    <x v="1"/>
    <x v="1"/>
    <x v="10"/>
    <n v="120"/>
    <n v="120"/>
    <n v="0"/>
    <n v="0"/>
    <n v="0"/>
    <n v="0"/>
    <n v="2"/>
    <x v="1"/>
    <n v="0"/>
    <n v="9"/>
    <n v="0"/>
    <n v="0"/>
    <n v="32.611199999999997"/>
    <n v="0"/>
    <n v="0"/>
    <n v="31.663800000000002"/>
    <m/>
    <m/>
    <n v="3913.3439999999996"/>
    <n v="0"/>
    <n v="0"/>
    <n v="3799.6560000000004"/>
    <n v="0"/>
    <n v="0"/>
  </r>
  <r>
    <s v="Regular"/>
    <x v="0"/>
    <x v="1"/>
    <x v="4"/>
    <x v="0"/>
    <x v="1"/>
    <x v="1"/>
    <x v="1"/>
    <x v="11"/>
    <n v="98"/>
    <n v="98"/>
    <n v="0"/>
    <n v="0"/>
    <n v="0"/>
    <n v="0"/>
    <n v="2"/>
    <x v="1"/>
    <n v="0"/>
    <n v="9"/>
    <n v="0"/>
    <n v="0"/>
    <n v="32.611199999999997"/>
    <n v="0"/>
    <n v="0"/>
    <n v="31.663800000000002"/>
    <m/>
    <m/>
    <n v="3195.8975999999998"/>
    <n v="0"/>
    <n v="0"/>
    <n v="3103.0524"/>
    <n v="0"/>
    <n v="0"/>
  </r>
  <r>
    <s v="Regular"/>
    <x v="0"/>
    <x v="1"/>
    <x v="4"/>
    <x v="0"/>
    <x v="1"/>
    <x v="1"/>
    <x v="2"/>
    <x v="0"/>
    <n v="0"/>
    <n v="0"/>
    <n v="0.56100000000000005"/>
    <n v="0.56100000000000005"/>
    <n v="0.56100000000000005"/>
    <n v="0.56100000000000005"/>
    <n v="0"/>
    <x v="1"/>
    <n v="0"/>
    <n v="0"/>
    <n v="10"/>
    <n v="51"/>
    <n v="0"/>
    <n v="1685.3183999999999"/>
    <n v="286.88639999999998"/>
    <m/>
    <n v="1257.5654"/>
    <n v="305.18355336539798"/>
    <n v="0"/>
    <n v="945.46362240000008"/>
    <n v="160.94327040000002"/>
    <n v="0"/>
    <n v="705.4941894000001"/>
    <n v="171.20797343798827"/>
  </r>
  <r>
    <s v="Regular"/>
    <x v="0"/>
    <x v="1"/>
    <x v="4"/>
    <x v="0"/>
    <x v="1"/>
    <x v="1"/>
    <x v="2"/>
    <x v="1"/>
    <n v="0"/>
    <n v="0"/>
    <n v="0.27"/>
    <n v="0.27"/>
    <n v="0.27"/>
    <n v="0.27"/>
    <n v="0"/>
    <x v="1"/>
    <n v="0"/>
    <n v="0"/>
    <n v="10"/>
    <n v="51"/>
    <n v="0"/>
    <n v="1685.3183999999999"/>
    <n v="286.88639999999998"/>
    <m/>
    <n v="1257.5654"/>
    <n v="305.18355336539798"/>
    <n v="0"/>
    <n v="455.03596800000003"/>
    <n v="77.459327999999999"/>
    <n v="0"/>
    <n v="339.54265800000002"/>
    <n v="82.399559408657467"/>
  </r>
  <r>
    <s v="Regular"/>
    <x v="0"/>
    <x v="1"/>
    <x v="4"/>
    <x v="0"/>
    <x v="1"/>
    <x v="1"/>
    <x v="2"/>
    <x v="2"/>
    <n v="0"/>
    <n v="0"/>
    <n v="0.59899999999999998"/>
    <n v="0.59899999999999998"/>
    <n v="0.59899999999999998"/>
    <n v="0.59899999999999998"/>
    <n v="0"/>
    <x v="1"/>
    <n v="0"/>
    <n v="0"/>
    <n v="10"/>
    <n v="51"/>
    <n v="0"/>
    <n v="1685.3183999999999"/>
    <n v="286.88639999999998"/>
    <m/>
    <n v="1257.5654"/>
    <n v="305.18355336539798"/>
    <n v="0"/>
    <n v="1009.5057215999999"/>
    <n v="171.84495359999997"/>
    <n v="0"/>
    <n v="753.28167459999997"/>
    <n v="182.80494846587339"/>
  </r>
  <r>
    <s v="Regular"/>
    <x v="0"/>
    <x v="1"/>
    <x v="4"/>
    <x v="0"/>
    <x v="1"/>
    <x v="1"/>
    <x v="2"/>
    <x v="3"/>
    <n v="0"/>
    <n v="0"/>
    <n v="1.0640000000000001"/>
    <n v="1.0640000000000001"/>
    <n v="1.0640000000000001"/>
    <n v="1.0640000000000001"/>
    <n v="0"/>
    <x v="1"/>
    <n v="0"/>
    <n v="0"/>
    <n v="10"/>
    <n v="51"/>
    <n v="0"/>
    <n v="1685.3183999999999"/>
    <n v="286.88639999999998"/>
    <m/>
    <n v="1257.5654"/>
    <n v="305.18355336539798"/>
    <n v="0"/>
    <n v="1793.1787775999999"/>
    <n v="305.24712959999999"/>
    <n v="0"/>
    <n v="1338.0495856"/>
    <n v="324.71530078078348"/>
  </r>
  <r>
    <s v="Regular"/>
    <x v="0"/>
    <x v="1"/>
    <x v="4"/>
    <x v="0"/>
    <x v="1"/>
    <x v="1"/>
    <x v="2"/>
    <x v="4"/>
    <n v="0"/>
    <n v="0"/>
    <n v="6.4000000000000001E-2"/>
    <n v="6.4000000000000001E-2"/>
    <n v="6.4000000000000001E-2"/>
    <n v="6.4000000000000001E-2"/>
    <n v="0"/>
    <x v="1"/>
    <n v="0"/>
    <n v="0"/>
    <n v="10"/>
    <n v="51"/>
    <n v="0"/>
    <n v="1685.3183999999999"/>
    <n v="286.88639999999998"/>
    <m/>
    <n v="1257.5654"/>
    <n v="305.18355336539798"/>
    <n v="0"/>
    <n v="107.86037759999999"/>
    <n v="18.360729599999999"/>
    <n v="0"/>
    <n v="80.484185600000004"/>
    <n v="19.531747415385471"/>
  </r>
  <r>
    <s v="Regular"/>
    <x v="0"/>
    <x v="1"/>
    <x v="4"/>
    <x v="0"/>
    <x v="1"/>
    <x v="1"/>
    <x v="2"/>
    <x v="5"/>
    <n v="0"/>
    <n v="0"/>
    <n v="6.5000000000000002E-2"/>
    <n v="6.5000000000000002E-2"/>
    <n v="6.5000000000000002E-2"/>
    <n v="6.5000000000000002E-2"/>
    <n v="0"/>
    <x v="1"/>
    <n v="0"/>
    <n v="0"/>
    <n v="10"/>
    <n v="51"/>
    <n v="0"/>
    <n v="1685.3183999999999"/>
    <n v="286.88639999999998"/>
    <m/>
    <n v="1257.5654"/>
    <n v="305.18355336539798"/>
    <n v="0"/>
    <n v="109.54569599999999"/>
    <n v="18.647615999999999"/>
    <n v="0"/>
    <n v="81.741750999999994"/>
    <n v="19.83693096875087"/>
  </r>
  <r>
    <s v="Regular"/>
    <x v="0"/>
    <x v="1"/>
    <x v="4"/>
    <x v="0"/>
    <x v="1"/>
    <x v="1"/>
    <x v="2"/>
    <x v="6"/>
    <n v="0"/>
    <n v="0"/>
    <n v="7.1999999999999995E-2"/>
    <n v="7.1999999999999995E-2"/>
    <n v="7.1999999999999995E-2"/>
    <n v="7.1999999999999995E-2"/>
    <n v="0"/>
    <x v="1"/>
    <n v="0"/>
    <n v="0"/>
    <n v="10"/>
    <n v="51"/>
    <n v="0"/>
    <n v="1685.3183999999999"/>
    <n v="286.88639999999998"/>
    <m/>
    <n v="1257.5654"/>
    <n v="305.18355336539798"/>
    <n v="0"/>
    <n v="121.34292479999998"/>
    <n v="20.655820799999997"/>
    <n v="0"/>
    <n v="90.544708799999995"/>
    <n v="21.973215842308655"/>
  </r>
  <r>
    <s v="Regular"/>
    <x v="0"/>
    <x v="1"/>
    <x v="4"/>
    <x v="0"/>
    <x v="1"/>
    <x v="1"/>
    <x v="2"/>
    <x v="7"/>
    <n v="0"/>
    <n v="0"/>
    <n v="0.27100000000000002"/>
    <n v="0.27100000000000002"/>
    <n v="0.27100000000000002"/>
    <n v="0.27100000000000002"/>
    <n v="0"/>
    <x v="1"/>
    <n v="0"/>
    <n v="0"/>
    <n v="10"/>
    <n v="51"/>
    <n v="0"/>
    <n v="1685.3183999999999"/>
    <n v="286.88639999999998"/>
    <m/>
    <n v="1257.5654"/>
    <n v="305.18355336539798"/>
    <n v="0"/>
    <n v="456.7212864"/>
    <n v="77.7462144"/>
    <n v="0"/>
    <n v="340.80022339999999"/>
    <n v="82.704742962022863"/>
  </r>
  <r>
    <s v="Regular"/>
    <x v="0"/>
    <x v="1"/>
    <x v="4"/>
    <x v="0"/>
    <x v="1"/>
    <x v="1"/>
    <x v="2"/>
    <x v="8"/>
    <n v="0"/>
    <n v="0"/>
    <n v="2.4649999999999999"/>
    <n v="2.4649999999999999"/>
    <n v="2.4649999999999999"/>
    <n v="2.4649999999999999"/>
    <n v="0"/>
    <x v="1"/>
    <n v="0"/>
    <n v="0"/>
    <n v="10"/>
    <n v="51"/>
    <n v="0"/>
    <n v="1685.3183999999999"/>
    <n v="286.88639999999998"/>
    <m/>
    <n v="1257.5654"/>
    <n v="305.18355336539798"/>
    <n v="0"/>
    <n v="4154.3098559999999"/>
    <n v="707.1749759999999"/>
    <n v="0"/>
    <n v="3099.8987109999998"/>
    <n v="752.277459045706"/>
  </r>
  <r>
    <s v="Regular"/>
    <x v="0"/>
    <x v="1"/>
    <x v="4"/>
    <x v="0"/>
    <x v="1"/>
    <x v="1"/>
    <x v="2"/>
    <x v="9"/>
    <n v="0"/>
    <n v="0"/>
    <n v="2.4"/>
    <n v="2.4"/>
    <n v="2.4"/>
    <n v="2.4"/>
    <n v="0"/>
    <x v="1"/>
    <n v="0"/>
    <n v="0"/>
    <n v="10"/>
    <n v="51"/>
    <n v="0"/>
    <n v="1685.3183999999999"/>
    <n v="286.88639999999998"/>
    <m/>
    <n v="1257.5654"/>
    <n v="305.18355336539798"/>
    <n v="0"/>
    <n v="4044.7641599999997"/>
    <n v="688.52735999999993"/>
    <n v="0"/>
    <n v="3018.1569599999998"/>
    <n v="732.44052807695516"/>
  </r>
  <r>
    <s v="Regular"/>
    <x v="0"/>
    <x v="1"/>
    <x v="4"/>
    <x v="0"/>
    <x v="1"/>
    <x v="1"/>
    <x v="2"/>
    <x v="10"/>
    <n v="0"/>
    <n v="0"/>
    <n v="1.9390000000000001"/>
    <n v="1.9390000000000001"/>
    <n v="1.9390000000000001"/>
    <n v="1.9390000000000001"/>
    <n v="0"/>
    <x v="1"/>
    <n v="0"/>
    <n v="0"/>
    <n v="10"/>
    <n v="51"/>
    <n v="0"/>
    <n v="1685.3183999999999"/>
    <n v="286.88639999999998"/>
    <m/>
    <n v="1257.5654"/>
    <n v="305.18355336539798"/>
    <n v="0"/>
    <n v="3267.8323775999997"/>
    <n v="556.27272959999993"/>
    <n v="0"/>
    <n v="2438.4193105999998"/>
    <n v="591.75090997550672"/>
  </r>
  <r>
    <s v="Regular"/>
    <x v="0"/>
    <x v="1"/>
    <x v="4"/>
    <x v="0"/>
    <x v="1"/>
    <x v="1"/>
    <x v="2"/>
    <x v="11"/>
    <n v="0"/>
    <n v="0"/>
    <n v="1.1779999999999999"/>
    <n v="1.1779999999999999"/>
    <n v="1.1779999999999999"/>
    <n v="1.1779999999999999"/>
    <n v="0"/>
    <x v="1"/>
    <n v="0"/>
    <n v="0"/>
    <n v="10"/>
    <n v="51"/>
    <n v="0"/>
    <n v="1685.3183999999999"/>
    <n v="286.88639999999998"/>
    <m/>
    <n v="1257.5654"/>
    <n v="305.18355336539798"/>
    <n v="0"/>
    <n v="1985.3050751999997"/>
    <n v="337.95217919999993"/>
    <n v="0"/>
    <n v="1481.4120412"/>
    <n v="359.50622586443882"/>
  </r>
  <r>
    <s v="Regular"/>
    <x v="1"/>
    <x v="2"/>
    <x v="5"/>
    <x v="1"/>
    <x v="1"/>
    <x v="1"/>
    <x v="0"/>
    <x v="0"/>
    <n v="0"/>
    <n v="0"/>
    <n v="0.318"/>
    <n v="0.318"/>
    <n v="0.318"/>
    <n v="0.318"/>
    <n v="0"/>
    <x v="1"/>
    <n v="0"/>
    <n v="0"/>
    <n v="18"/>
    <n v="58"/>
    <n v="0"/>
    <n v="271.08"/>
    <n v="189.96"/>
    <m/>
    <n v="318.93064710349933"/>
    <n v="195.89707226799715"/>
    <n v="0"/>
    <n v="86.203440000000001"/>
    <n v="60.40728"/>
    <n v="0"/>
    <n v="101.41994577891279"/>
    <n v="62.295268981223096"/>
  </r>
  <r>
    <s v="Regular"/>
    <x v="1"/>
    <x v="2"/>
    <x v="5"/>
    <x v="1"/>
    <x v="1"/>
    <x v="1"/>
    <x v="0"/>
    <x v="1"/>
    <n v="0"/>
    <n v="0"/>
    <n v="0.35799999999999998"/>
    <n v="0.35799999999999998"/>
    <n v="0.35799999999999998"/>
    <n v="0.35799999999999998"/>
    <n v="0"/>
    <x v="1"/>
    <n v="0"/>
    <n v="0"/>
    <n v="18"/>
    <n v="58"/>
    <n v="0"/>
    <n v="271.08"/>
    <n v="189.96"/>
    <m/>
    <n v="318.93064710349933"/>
    <n v="195.89707226799715"/>
    <n v="0"/>
    <n v="97.046639999999996"/>
    <n v="68.005679999999998"/>
    <n v="0"/>
    <n v="114.17717166305276"/>
    <n v="70.131151871942976"/>
  </r>
  <r>
    <s v="Regular"/>
    <x v="1"/>
    <x v="2"/>
    <x v="5"/>
    <x v="1"/>
    <x v="1"/>
    <x v="1"/>
    <x v="0"/>
    <x v="2"/>
    <n v="0"/>
    <n v="0"/>
    <n v="0.37"/>
    <n v="0.37"/>
    <n v="0.37"/>
    <n v="0.37"/>
    <n v="0"/>
    <x v="1"/>
    <n v="0"/>
    <n v="0"/>
    <n v="18"/>
    <n v="58"/>
    <n v="0"/>
    <n v="271.08"/>
    <n v="189.96"/>
    <m/>
    <n v="318.93064710349933"/>
    <n v="195.89707226799715"/>
    <n v="0"/>
    <n v="100.2996"/>
    <n v="70.285200000000003"/>
    <n v="0"/>
    <n v="118.00433942829476"/>
    <n v="72.481916739158947"/>
  </r>
  <r>
    <s v="Regular"/>
    <x v="1"/>
    <x v="2"/>
    <x v="5"/>
    <x v="1"/>
    <x v="1"/>
    <x v="1"/>
    <x v="0"/>
    <x v="3"/>
    <n v="0"/>
    <n v="0"/>
    <n v="0.378"/>
    <n v="0.378"/>
    <n v="0.378"/>
    <n v="0.378"/>
    <n v="0"/>
    <x v="1"/>
    <n v="0"/>
    <n v="0"/>
    <n v="18"/>
    <n v="58"/>
    <n v="0"/>
    <n v="271.08"/>
    <n v="189.96"/>
    <m/>
    <n v="318.93064710349933"/>
    <n v="195.89707226799715"/>
    <n v="0"/>
    <n v="102.46823999999999"/>
    <n v="71.804879999999997"/>
    <n v="0"/>
    <n v="120.55578460512274"/>
    <n v="74.049093317302919"/>
  </r>
  <r>
    <s v="Regular"/>
    <x v="1"/>
    <x v="2"/>
    <x v="5"/>
    <x v="1"/>
    <x v="1"/>
    <x v="1"/>
    <x v="0"/>
    <x v="4"/>
    <n v="0"/>
    <n v="0"/>
    <n v="0.49199999999999999"/>
    <n v="0.49199999999999999"/>
    <n v="0.49199999999999999"/>
    <n v="0.49199999999999999"/>
    <n v="0"/>
    <x v="1"/>
    <n v="0"/>
    <n v="0"/>
    <n v="18"/>
    <n v="58"/>
    <n v="0"/>
    <n v="271.08"/>
    <n v="189.96"/>
    <m/>
    <n v="318.93064710349933"/>
    <n v="195.89707226799715"/>
    <n v="0"/>
    <n v="133.37135999999998"/>
    <n v="93.460319999999996"/>
    <n v="0"/>
    <n v="156.91387837492167"/>
    <n v="96.381359555854601"/>
  </r>
  <r>
    <s v="Regular"/>
    <x v="1"/>
    <x v="2"/>
    <x v="5"/>
    <x v="1"/>
    <x v="1"/>
    <x v="1"/>
    <x v="0"/>
    <x v="5"/>
    <n v="0"/>
    <n v="0"/>
    <n v="0.54100000000000004"/>
    <n v="0.54100000000000004"/>
    <n v="0.54100000000000004"/>
    <n v="0.54100000000000004"/>
    <n v="0"/>
    <x v="1"/>
    <n v="0"/>
    <n v="0"/>
    <n v="18"/>
    <n v="58"/>
    <n v="0"/>
    <n v="271.08"/>
    <n v="189.96"/>
    <m/>
    <n v="318.93064710349933"/>
    <n v="195.89707226799715"/>
    <n v="0"/>
    <n v="146.65428"/>
    <n v="102.76836000000002"/>
    <n v="0"/>
    <n v="172.54148008299313"/>
    <n v="105.98031609698646"/>
  </r>
  <r>
    <s v="Regular"/>
    <x v="1"/>
    <x v="2"/>
    <x v="5"/>
    <x v="1"/>
    <x v="1"/>
    <x v="1"/>
    <x v="0"/>
    <x v="6"/>
    <n v="0"/>
    <n v="0"/>
    <n v="0.66900000000000004"/>
    <n v="0.66900000000000004"/>
    <n v="0.66900000000000004"/>
    <n v="0.66900000000000004"/>
    <n v="0"/>
    <x v="1"/>
    <n v="0"/>
    <n v="0"/>
    <n v="18"/>
    <n v="58"/>
    <n v="0"/>
    <n v="271.08"/>
    <n v="189.96"/>
    <m/>
    <n v="318.93064710349933"/>
    <n v="195.89707226799715"/>
    <n v="0"/>
    <n v="181.35252"/>
    <n v="127.08324000000002"/>
    <n v="0"/>
    <n v="213.36460291224105"/>
    <n v="131.05514134729009"/>
  </r>
  <r>
    <s v="Regular"/>
    <x v="1"/>
    <x v="2"/>
    <x v="5"/>
    <x v="1"/>
    <x v="1"/>
    <x v="1"/>
    <x v="0"/>
    <x v="7"/>
    <n v="0"/>
    <n v="0"/>
    <n v="0.77100000000000002"/>
    <n v="0.77100000000000002"/>
    <n v="0.77100000000000002"/>
    <n v="0.77100000000000002"/>
    <n v="0"/>
    <x v="1"/>
    <n v="0"/>
    <n v="0"/>
    <n v="18"/>
    <n v="58"/>
    <n v="0"/>
    <n v="271.08"/>
    <n v="189.96"/>
    <m/>
    <n v="318.93064710349933"/>
    <n v="195.89707226799715"/>
    <n v="0"/>
    <n v="209.00268"/>
    <n v="146.45916"/>
    <n v="0"/>
    <n v="245.89552891679799"/>
    <n v="151.03664271862581"/>
  </r>
  <r>
    <s v="Regular"/>
    <x v="1"/>
    <x v="2"/>
    <x v="5"/>
    <x v="1"/>
    <x v="1"/>
    <x v="1"/>
    <x v="0"/>
    <x v="8"/>
    <n v="0"/>
    <n v="0"/>
    <n v="0.61899999999999999"/>
    <n v="0.61899999999999999"/>
    <n v="0.61899999999999999"/>
    <n v="0.61899999999999999"/>
    <n v="0"/>
    <x v="1"/>
    <n v="0"/>
    <n v="0"/>
    <n v="18"/>
    <n v="58"/>
    <n v="0"/>
    <n v="271.08"/>
    <n v="189.96"/>
    <m/>
    <n v="318.93064710349933"/>
    <n v="195.89707226799715"/>
    <n v="0"/>
    <n v="167.79852"/>
    <n v="117.58524"/>
    <n v="0"/>
    <n v="197.41807055706607"/>
    <n v="121.26028773389024"/>
  </r>
  <r>
    <s v="Regular"/>
    <x v="1"/>
    <x v="2"/>
    <x v="5"/>
    <x v="1"/>
    <x v="1"/>
    <x v="1"/>
    <x v="0"/>
    <x v="9"/>
    <n v="0"/>
    <n v="0"/>
    <n v="0.376"/>
    <n v="0.376"/>
    <n v="0.376"/>
    <n v="0.376"/>
    <n v="0"/>
    <x v="1"/>
    <n v="0"/>
    <n v="0"/>
    <n v="18"/>
    <n v="58"/>
    <n v="0"/>
    <n v="271.08"/>
    <n v="189.96"/>
    <m/>
    <n v="318.93064710349933"/>
    <n v="195.89707226799715"/>
    <n v="0"/>
    <n v="101.92608"/>
    <n v="71.424959999999999"/>
    <n v="0"/>
    <n v="119.91792331091574"/>
    <n v="73.657299172766926"/>
  </r>
  <r>
    <s v="Regular"/>
    <x v="1"/>
    <x v="2"/>
    <x v="5"/>
    <x v="1"/>
    <x v="1"/>
    <x v="1"/>
    <x v="0"/>
    <x v="10"/>
    <n v="0"/>
    <n v="0"/>
    <n v="0.33100000000000002"/>
    <n v="0.33100000000000002"/>
    <n v="0.33100000000000002"/>
    <n v="0.33100000000000002"/>
    <n v="0"/>
    <x v="1"/>
    <n v="0"/>
    <n v="0"/>
    <n v="18"/>
    <n v="58"/>
    <n v="0"/>
    <n v="271.08"/>
    <n v="189.96"/>
    <m/>
    <n v="318.93064710349933"/>
    <n v="195.89707226799715"/>
    <n v="0"/>
    <n v="89.72748"/>
    <n v="62.876760000000004"/>
    <n v="0"/>
    <n v="105.56604419125829"/>
    <n v="64.841930920707057"/>
  </r>
  <r>
    <s v="Regular"/>
    <x v="1"/>
    <x v="2"/>
    <x v="5"/>
    <x v="1"/>
    <x v="1"/>
    <x v="1"/>
    <x v="0"/>
    <x v="11"/>
    <n v="0"/>
    <n v="0"/>
    <n v="0.46200000000000002"/>
    <n v="0.46200000000000002"/>
    <n v="0.46200000000000002"/>
    <n v="0.46200000000000002"/>
    <n v="0"/>
    <x v="1"/>
    <n v="0"/>
    <n v="0"/>
    <n v="18"/>
    <n v="58"/>
    <n v="0"/>
    <n v="271.08"/>
    <n v="189.96"/>
    <m/>
    <n v="318.93064710349933"/>
    <n v="195.89707226799715"/>
    <n v="0"/>
    <n v="125.23895999999999"/>
    <n v="87.761520000000004"/>
    <n v="0"/>
    <n v="147.34595896181671"/>
    <n v="90.504447387814679"/>
  </r>
  <r>
    <s v="Regular"/>
    <x v="1"/>
    <x v="2"/>
    <x v="5"/>
    <x v="1"/>
    <x v="1"/>
    <x v="1"/>
    <x v="3"/>
    <x v="0"/>
    <n v="0"/>
    <n v="0"/>
    <n v="2.3E-2"/>
    <n v="2.3E-2"/>
    <n v="2.3E-2"/>
    <n v="2.3E-2"/>
    <n v="0"/>
    <x v="1"/>
    <n v="0"/>
    <n v="0"/>
    <n v="17"/>
    <n v="57"/>
    <n v="0"/>
    <n v="589.08000000000004"/>
    <n v="189.96"/>
    <m/>
    <n v="700.20680179490989"/>
    <n v="195.89707226799715"/>
    <n v="0"/>
    <n v="13.54884"/>
    <n v="4.3690800000000003"/>
    <n v="0"/>
    <n v="16.104756441282927"/>
    <n v="4.5056326621639347"/>
  </r>
  <r>
    <s v="Regular"/>
    <x v="1"/>
    <x v="2"/>
    <x v="5"/>
    <x v="1"/>
    <x v="1"/>
    <x v="1"/>
    <x v="3"/>
    <x v="1"/>
    <n v="0"/>
    <n v="0"/>
    <n v="2.7E-2"/>
    <n v="2.7E-2"/>
    <n v="2.7E-2"/>
    <n v="2.7E-2"/>
    <n v="0"/>
    <x v="1"/>
    <n v="0"/>
    <n v="0"/>
    <n v="17"/>
    <n v="57"/>
    <n v="0"/>
    <n v="589.08000000000004"/>
    <n v="189.96"/>
    <m/>
    <n v="700.20680179490989"/>
    <n v="195.89707226799715"/>
    <n v="0"/>
    <n v="15.90516"/>
    <n v="5.1289199999999999"/>
    <n v="0"/>
    <n v="18.905583648462567"/>
    <n v="5.2892209512359232"/>
  </r>
  <r>
    <s v="Regular"/>
    <x v="1"/>
    <x v="2"/>
    <x v="5"/>
    <x v="1"/>
    <x v="1"/>
    <x v="1"/>
    <x v="3"/>
    <x v="2"/>
    <n v="0"/>
    <n v="0"/>
    <n v="2.7E-2"/>
    <n v="2.7E-2"/>
    <n v="2.7E-2"/>
    <n v="2.7E-2"/>
    <n v="0"/>
    <x v="1"/>
    <n v="0"/>
    <n v="0"/>
    <n v="17"/>
    <n v="57"/>
    <n v="0"/>
    <n v="589.08000000000004"/>
    <n v="189.96"/>
    <m/>
    <n v="700.20680179490989"/>
    <n v="195.89707226799715"/>
    <n v="0"/>
    <n v="15.90516"/>
    <n v="5.1289199999999999"/>
    <n v="0"/>
    <n v="18.905583648462567"/>
    <n v="5.2892209512359232"/>
  </r>
  <r>
    <s v="Regular"/>
    <x v="1"/>
    <x v="2"/>
    <x v="5"/>
    <x v="1"/>
    <x v="1"/>
    <x v="1"/>
    <x v="3"/>
    <x v="3"/>
    <n v="0"/>
    <n v="0"/>
    <n v="2.5999999999999999E-2"/>
    <n v="2.5999999999999999E-2"/>
    <n v="2.5999999999999999E-2"/>
    <n v="2.5999999999999999E-2"/>
    <n v="0"/>
    <x v="1"/>
    <n v="0"/>
    <n v="0"/>
    <n v="17"/>
    <n v="57"/>
    <n v="0"/>
    <n v="589.08000000000004"/>
    <n v="189.96"/>
    <m/>
    <n v="700.20680179490989"/>
    <n v="195.89707226799715"/>
    <n v="0"/>
    <n v="15.316079999999999"/>
    <n v="4.9389599999999998"/>
    <n v="0"/>
    <n v="18.205376846667658"/>
    <n v="5.0933238789679258"/>
  </r>
  <r>
    <s v="Regular"/>
    <x v="1"/>
    <x v="2"/>
    <x v="5"/>
    <x v="1"/>
    <x v="1"/>
    <x v="1"/>
    <x v="3"/>
    <x v="4"/>
    <n v="0"/>
    <n v="0"/>
    <n v="4.1000000000000002E-2"/>
    <n v="4.1000000000000002E-2"/>
    <n v="4.1000000000000002E-2"/>
    <n v="4.1000000000000002E-2"/>
    <n v="0"/>
    <x v="1"/>
    <n v="0"/>
    <n v="0"/>
    <n v="17"/>
    <n v="57"/>
    <n v="0"/>
    <n v="589.08000000000004"/>
    <n v="189.96"/>
    <m/>
    <n v="700.20680179490989"/>
    <n v="195.89707226799715"/>
    <n v="0"/>
    <n v="24.152280000000001"/>
    <n v="7.7883600000000008"/>
    <n v="0"/>
    <n v="28.708478873591307"/>
    <n v="8.0317799629878834"/>
  </r>
  <r>
    <s v="Regular"/>
    <x v="1"/>
    <x v="2"/>
    <x v="5"/>
    <x v="1"/>
    <x v="1"/>
    <x v="1"/>
    <x v="3"/>
    <x v="5"/>
    <n v="0"/>
    <n v="0"/>
    <n v="4.3999999999999997E-2"/>
    <n v="4.3999999999999997E-2"/>
    <n v="4.3999999999999997E-2"/>
    <n v="4.3999999999999997E-2"/>
    <n v="0"/>
    <x v="1"/>
    <n v="0"/>
    <n v="0"/>
    <n v="17"/>
    <n v="57"/>
    <n v="0"/>
    <n v="589.08000000000004"/>
    <n v="189.96"/>
    <m/>
    <n v="700.20680179490989"/>
    <n v="195.89707226799715"/>
    <n v="0"/>
    <n v="25.919519999999999"/>
    <n v="8.3582400000000003"/>
    <n v="0"/>
    <n v="30.809099278976035"/>
    <n v="8.6194711797918746"/>
  </r>
  <r>
    <s v="Regular"/>
    <x v="1"/>
    <x v="2"/>
    <x v="5"/>
    <x v="1"/>
    <x v="1"/>
    <x v="1"/>
    <x v="3"/>
    <x v="6"/>
    <n v="0"/>
    <n v="0"/>
    <n v="5.8999999999999997E-2"/>
    <n v="5.8999999999999997E-2"/>
    <n v="5.8999999999999997E-2"/>
    <n v="5.8999999999999997E-2"/>
    <n v="0"/>
    <x v="1"/>
    <n v="0"/>
    <n v="0"/>
    <n v="17"/>
    <n v="57"/>
    <n v="0"/>
    <n v="589.08000000000004"/>
    <n v="189.96"/>
    <m/>
    <n v="700.20680179490989"/>
    <n v="195.89707226799715"/>
    <n v="0"/>
    <n v="34.755720000000004"/>
    <n v="11.20764"/>
    <n v="0"/>
    <n v="41.312201305899684"/>
    <n v="11.55792726381183"/>
  </r>
  <r>
    <s v="Regular"/>
    <x v="1"/>
    <x v="2"/>
    <x v="5"/>
    <x v="1"/>
    <x v="1"/>
    <x v="1"/>
    <x v="3"/>
    <x v="7"/>
    <n v="0"/>
    <n v="0"/>
    <n v="7.0999999999999994E-2"/>
    <n v="7.0999999999999994E-2"/>
    <n v="7.0999999999999994E-2"/>
    <n v="7.0999999999999994E-2"/>
    <n v="0"/>
    <x v="1"/>
    <n v="0"/>
    <n v="0"/>
    <n v="17"/>
    <n v="57"/>
    <n v="0"/>
    <n v="589.08000000000004"/>
    <n v="189.96"/>
    <m/>
    <n v="700.20680179490989"/>
    <n v="195.89707226799715"/>
    <n v="0"/>
    <n v="41.824680000000001"/>
    <n v="13.487159999999999"/>
    <n v="0"/>
    <n v="49.714682927438595"/>
    <n v="13.908692131027797"/>
  </r>
  <r>
    <s v="Regular"/>
    <x v="1"/>
    <x v="2"/>
    <x v="5"/>
    <x v="1"/>
    <x v="1"/>
    <x v="1"/>
    <x v="3"/>
    <x v="8"/>
    <n v="0"/>
    <n v="0"/>
    <n v="5.5E-2"/>
    <n v="5.5E-2"/>
    <n v="5.5E-2"/>
    <n v="5.5E-2"/>
    <n v="0"/>
    <x v="1"/>
    <n v="0"/>
    <n v="0"/>
    <n v="17"/>
    <n v="57"/>
    <n v="0"/>
    <n v="589.08000000000004"/>
    <n v="189.96"/>
    <m/>
    <n v="700.20680179490989"/>
    <n v="195.89707226799715"/>
    <n v="0"/>
    <n v="32.3994"/>
    <n v="10.447800000000001"/>
    <n v="0"/>
    <n v="38.511374098720047"/>
    <n v="10.774338974739843"/>
  </r>
  <r>
    <s v="Regular"/>
    <x v="1"/>
    <x v="2"/>
    <x v="5"/>
    <x v="1"/>
    <x v="1"/>
    <x v="1"/>
    <x v="3"/>
    <x v="9"/>
    <n v="0"/>
    <n v="0"/>
    <n v="2.7E-2"/>
    <n v="2.7E-2"/>
    <n v="2.7E-2"/>
    <n v="2.7E-2"/>
    <n v="0"/>
    <x v="1"/>
    <n v="0"/>
    <n v="0"/>
    <n v="17"/>
    <n v="57"/>
    <n v="0"/>
    <n v="589.08000000000004"/>
    <n v="189.96"/>
    <m/>
    <n v="700.20680179490989"/>
    <n v="195.89707226799715"/>
    <n v="0"/>
    <n v="15.90516"/>
    <n v="5.1289199999999999"/>
    <n v="0"/>
    <n v="18.905583648462567"/>
    <n v="5.2892209512359232"/>
  </r>
  <r>
    <s v="Regular"/>
    <x v="1"/>
    <x v="2"/>
    <x v="5"/>
    <x v="1"/>
    <x v="1"/>
    <x v="1"/>
    <x v="3"/>
    <x v="10"/>
    <n v="0"/>
    <n v="0"/>
    <n v="2.1999999999999999E-2"/>
    <n v="2.1999999999999999E-2"/>
    <n v="2.1999999999999999E-2"/>
    <n v="2.1999999999999999E-2"/>
    <n v="0"/>
    <x v="1"/>
    <n v="0"/>
    <n v="0"/>
    <n v="17"/>
    <n v="57"/>
    <n v="0"/>
    <n v="589.08000000000004"/>
    <n v="189.96"/>
    <m/>
    <n v="700.20680179490989"/>
    <n v="195.89707226799715"/>
    <n v="0"/>
    <n v="12.959759999999999"/>
    <n v="4.1791200000000002"/>
    <n v="0"/>
    <n v="15.404549639488017"/>
    <n v="4.3097355898959373"/>
  </r>
  <r>
    <s v="Regular"/>
    <x v="1"/>
    <x v="2"/>
    <x v="5"/>
    <x v="1"/>
    <x v="1"/>
    <x v="1"/>
    <x v="3"/>
    <x v="11"/>
    <n v="0"/>
    <n v="0"/>
    <n v="3.7999999999999999E-2"/>
    <n v="3.7999999999999999E-2"/>
    <n v="3.7999999999999999E-2"/>
    <n v="3.7999999999999999E-2"/>
    <n v="0"/>
    <x v="1"/>
    <n v="0"/>
    <n v="0"/>
    <n v="17"/>
    <n v="57"/>
    <n v="0"/>
    <n v="589.08000000000004"/>
    <n v="189.96"/>
    <m/>
    <n v="700.20680179490989"/>
    <n v="195.89707226799715"/>
    <n v="0"/>
    <n v="22.38504"/>
    <n v="7.2184800000000005"/>
    <n v="0"/>
    <n v="26.607858468206576"/>
    <n v="7.4440887461838914"/>
  </r>
  <r>
    <s v="Regular"/>
    <x v="1"/>
    <x v="2"/>
    <x v="5"/>
    <x v="1"/>
    <x v="1"/>
    <x v="1"/>
    <x v="2"/>
    <x v="0"/>
    <n v="0"/>
    <n v="0"/>
    <n v="4.9000000000000002E-2"/>
    <n v="4.9000000000000002E-2"/>
    <n v="4.9000000000000002E-2"/>
    <n v="4.9000000000000002E-2"/>
    <n v="0"/>
    <x v="1"/>
    <n v="0"/>
    <n v="0"/>
    <n v="16"/>
    <n v="56"/>
    <n v="0"/>
    <n v="907.08"/>
    <n v="298.83999999999997"/>
    <m/>
    <n v="1081.4828785686461"/>
    <n v="311.4117891483653"/>
    <n v="0"/>
    <n v="44.446920000000006"/>
    <n v="14.64316"/>
    <n v="0"/>
    <n v="52.992661049863663"/>
    <n v="15.259177668269901"/>
  </r>
  <r>
    <s v="Regular"/>
    <x v="1"/>
    <x v="2"/>
    <x v="5"/>
    <x v="1"/>
    <x v="1"/>
    <x v="1"/>
    <x v="2"/>
    <x v="1"/>
    <n v="0"/>
    <n v="0"/>
    <n v="0.06"/>
    <n v="0.06"/>
    <n v="0.06"/>
    <n v="0.06"/>
    <n v="0"/>
    <x v="1"/>
    <n v="0"/>
    <n v="0"/>
    <n v="16"/>
    <n v="56"/>
    <n v="0"/>
    <n v="907.08"/>
    <n v="298.83999999999997"/>
    <m/>
    <n v="1081.4828785686461"/>
    <n v="311.4117891483653"/>
    <n v="0"/>
    <n v="54.424799999999998"/>
    <n v="17.930399999999999"/>
    <n v="0"/>
    <n v="64.888972714118765"/>
    <n v="18.684707348901917"/>
  </r>
  <r>
    <s v="Regular"/>
    <x v="1"/>
    <x v="2"/>
    <x v="5"/>
    <x v="1"/>
    <x v="1"/>
    <x v="1"/>
    <x v="2"/>
    <x v="2"/>
    <n v="0"/>
    <n v="0"/>
    <n v="5.3999999999999999E-2"/>
    <n v="5.3999999999999999E-2"/>
    <n v="5.3999999999999999E-2"/>
    <n v="5.3999999999999999E-2"/>
    <n v="0"/>
    <x v="1"/>
    <n v="0"/>
    <n v="0"/>
    <n v="16"/>
    <n v="56"/>
    <n v="0"/>
    <n v="907.08"/>
    <n v="298.83999999999997"/>
    <m/>
    <n v="1081.4828785686461"/>
    <n v="311.4117891483653"/>
    <n v="0"/>
    <n v="48.982320000000001"/>
    <n v="16.137359999999997"/>
    <n v="0"/>
    <n v="58.400075442706893"/>
    <n v="16.816236614011725"/>
  </r>
  <r>
    <s v="Regular"/>
    <x v="1"/>
    <x v="2"/>
    <x v="5"/>
    <x v="1"/>
    <x v="1"/>
    <x v="1"/>
    <x v="2"/>
    <x v="3"/>
    <n v="0"/>
    <n v="0"/>
    <n v="5.2999999999999999E-2"/>
    <n v="5.2999999999999999E-2"/>
    <n v="5.2999999999999999E-2"/>
    <n v="5.2999999999999999E-2"/>
    <n v="0"/>
    <x v="1"/>
    <n v="0"/>
    <n v="0"/>
    <n v="16"/>
    <n v="56"/>
    <n v="0"/>
    <n v="907.08"/>
    <n v="298.83999999999997"/>
    <m/>
    <n v="1081.4828785686461"/>
    <n v="311.4117891483653"/>
    <n v="0"/>
    <n v="48.075240000000001"/>
    <n v="15.838519999999999"/>
    <n v="0"/>
    <n v="57.318592564138243"/>
    <n v="16.504824824863359"/>
  </r>
  <r>
    <s v="Regular"/>
    <x v="1"/>
    <x v="2"/>
    <x v="5"/>
    <x v="1"/>
    <x v="1"/>
    <x v="1"/>
    <x v="2"/>
    <x v="4"/>
    <n v="0"/>
    <n v="0"/>
    <n v="5.0999999999999997E-2"/>
    <n v="5.0999999999999997E-2"/>
    <n v="5.0999999999999997E-2"/>
    <n v="5.0999999999999997E-2"/>
    <n v="0"/>
    <x v="1"/>
    <n v="0"/>
    <n v="0"/>
    <n v="16"/>
    <n v="56"/>
    <n v="0"/>
    <n v="907.08"/>
    <n v="298.83999999999997"/>
    <m/>
    <n v="1081.4828785686461"/>
    <n v="311.4117891483653"/>
    <n v="0"/>
    <n v="46.26108"/>
    <n v="15.240839999999999"/>
    <n v="0"/>
    <n v="55.155626807000949"/>
    <n v="15.882001246566629"/>
  </r>
  <r>
    <s v="Regular"/>
    <x v="1"/>
    <x v="2"/>
    <x v="5"/>
    <x v="1"/>
    <x v="1"/>
    <x v="1"/>
    <x v="2"/>
    <x v="5"/>
    <n v="0"/>
    <n v="0"/>
    <n v="5.5E-2"/>
    <n v="5.5E-2"/>
    <n v="5.5E-2"/>
    <n v="5.5E-2"/>
    <n v="0"/>
    <x v="1"/>
    <n v="0"/>
    <n v="0"/>
    <n v="16"/>
    <n v="56"/>
    <n v="0"/>
    <n v="907.08"/>
    <n v="298.83999999999997"/>
    <m/>
    <n v="1081.4828785686461"/>
    <n v="311.4117891483653"/>
    <n v="0"/>
    <n v="49.889400000000002"/>
    <n v="16.436199999999999"/>
    <n v="0"/>
    <n v="59.481558321275536"/>
    <n v="17.127648403160091"/>
  </r>
  <r>
    <s v="Regular"/>
    <x v="1"/>
    <x v="2"/>
    <x v="5"/>
    <x v="1"/>
    <x v="1"/>
    <x v="1"/>
    <x v="2"/>
    <x v="6"/>
    <n v="0"/>
    <n v="0"/>
    <n v="6.3E-2"/>
    <n v="6.3E-2"/>
    <n v="6.3E-2"/>
    <n v="6.3E-2"/>
    <n v="0"/>
    <x v="1"/>
    <n v="0"/>
    <n v="0"/>
    <n v="16"/>
    <n v="56"/>
    <n v="0"/>
    <n v="907.08"/>
    <n v="298.83999999999997"/>
    <m/>
    <n v="1081.4828785686461"/>
    <n v="311.4117891483653"/>
    <n v="0"/>
    <n v="57.146040000000006"/>
    <n v="18.826919999999998"/>
    <n v="0"/>
    <n v="68.133421349824701"/>
    <n v="19.618942716347014"/>
  </r>
  <r>
    <s v="Regular"/>
    <x v="1"/>
    <x v="2"/>
    <x v="5"/>
    <x v="1"/>
    <x v="1"/>
    <x v="1"/>
    <x v="2"/>
    <x v="7"/>
    <n v="0"/>
    <n v="0"/>
    <n v="7.8E-2"/>
    <n v="7.8E-2"/>
    <n v="7.8E-2"/>
    <n v="7.8E-2"/>
    <n v="0"/>
    <x v="1"/>
    <n v="0"/>
    <n v="0"/>
    <n v="16"/>
    <n v="56"/>
    <n v="0"/>
    <n v="907.08"/>
    <n v="298.83999999999997"/>
    <m/>
    <n v="1081.4828785686461"/>
    <n v="311.4117891483653"/>
    <n v="0"/>
    <n v="70.75224"/>
    <n v="23.309519999999999"/>
    <n v="0"/>
    <n v="84.355664528354396"/>
    <n v="24.290119553572495"/>
  </r>
  <r>
    <s v="Regular"/>
    <x v="1"/>
    <x v="2"/>
    <x v="5"/>
    <x v="1"/>
    <x v="1"/>
    <x v="1"/>
    <x v="2"/>
    <x v="8"/>
    <n v="0"/>
    <n v="0"/>
    <n v="6.9000000000000006E-2"/>
    <n v="6.9000000000000006E-2"/>
    <n v="6.9000000000000006E-2"/>
    <n v="6.9000000000000006E-2"/>
    <n v="0"/>
    <x v="1"/>
    <n v="0"/>
    <n v="0"/>
    <n v="16"/>
    <n v="56"/>
    <n v="0"/>
    <n v="907.08"/>
    <n v="298.83999999999997"/>
    <m/>
    <n v="1081.4828785686461"/>
    <n v="311.4117891483653"/>
    <n v="0"/>
    <n v="62.58852000000001"/>
    <n v="20.619959999999999"/>
    <n v="0"/>
    <n v="74.622318621236587"/>
    <n v="21.487413451237206"/>
  </r>
  <r>
    <s v="Regular"/>
    <x v="1"/>
    <x v="2"/>
    <x v="5"/>
    <x v="1"/>
    <x v="1"/>
    <x v="1"/>
    <x v="2"/>
    <x v="9"/>
    <n v="0"/>
    <n v="0"/>
    <n v="4.2000000000000003E-2"/>
    <n v="4.2000000000000003E-2"/>
    <n v="4.2000000000000003E-2"/>
    <n v="4.2000000000000003E-2"/>
    <n v="0"/>
    <x v="1"/>
    <n v="0"/>
    <n v="0"/>
    <n v="16"/>
    <n v="56"/>
    <n v="0"/>
    <n v="907.08"/>
    <n v="298.83999999999997"/>
    <m/>
    <n v="1081.4828785686461"/>
    <n v="311.4117891483653"/>
    <n v="0"/>
    <n v="38.097360000000002"/>
    <n v="12.55128"/>
    <n v="0"/>
    <n v="45.422280899883141"/>
    <n v="13.079295144231343"/>
  </r>
  <r>
    <s v="Regular"/>
    <x v="1"/>
    <x v="2"/>
    <x v="5"/>
    <x v="1"/>
    <x v="1"/>
    <x v="1"/>
    <x v="2"/>
    <x v="10"/>
    <n v="0"/>
    <n v="0"/>
    <n v="4.3999999999999997E-2"/>
    <n v="4.3999999999999997E-2"/>
    <n v="4.3999999999999997E-2"/>
    <n v="4.3999999999999997E-2"/>
    <n v="0"/>
    <x v="1"/>
    <n v="0"/>
    <n v="0"/>
    <n v="16"/>
    <n v="56"/>
    <n v="0"/>
    <n v="907.08"/>
    <n v="298.83999999999997"/>
    <m/>
    <n v="1081.4828785686461"/>
    <n v="311.4117891483653"/>
    <n v="0"/>
    <n v="39.911520000000003"/>
    <n v="13.148959999999999"/>
    <n v="0"/>
    <n v="47.585246657020427"/>
    <n v="13.702118722528072"/>
  </r>
  <r>
    <s v="Regular"/>
    <x v="1"/>
    <x v="2"/>
    <x v="5"/>
    <x v="1"/>
    <x v="1"/>
    <x v="1"/>
    <x v="2"/>
    <x v="11"/>
    <n v="0"/>
    <n v="0"/>
    <n v="7.0000000000000007E-2"/>
    <n v="7.0000000000000007E-2"/>
    <n v="7.0000000000000007E-2"/>
    <n v="7.0000000000000007E-2"/>
    <n v="0"/>
    <x v="1"/>
    <n v="0"/>
    <n v="0"/>
    <n v="16"/>
    <n v="56"/>
    <n v="0"/>
    <n v="907.08"/>
    <n v="298.83999999999997"/>
    <m/>
    <n v="1081.4828785686461"/>
    <n v="311.4117891483653"/>
    <n v="0"/>
    <n v="63.49560000000001"/>
    <n v="20.918800000000001"/>
    <n v="0"/>
    <n v="75.703801499805238"/>
    <n v="21.798825240385572"/>
  </r>
  <r>
    <s v="Regular"/>
    <x v="1"/>
    <x v="3"/>
    <x v="5"/>
    <x v="1"/>
    <x v="1"/>
    <x v="1"/>
    <x v="1"/>
    <x v="0"/>
    <n v="0"/>
    <n v="0"/>
    <n v="1503.675"/>
    <n v="1503.675"/>
    <n v="1503.675"/>
    <n v="1503.675"/>
    <n v="9100"/>
    <x v="1"/>
    <n v="0"/>
    <n v="0"/>
    <n v="19"/>
    <n v="59"/>
    <n v="0"/>
    <n v="406.52"/>
    <n v="199.03"/>
    <m/>
    <n v="446.02270810064761"/>
    <n v="205.52329867469447"/>
    <n v="0"/>
    <n v="611273.96100000001"/>
    <n v="299276.43524999998"/>
    <n v="0"/>
    <n v="670673.19560324121"/>
    <n v="309040.24613467121"/>
  </r>
  <r>
    <s v="Refaturamento - Regular"/>
    <x v="1"/>
    <x v="3"/>
    <x v="5"/>
    <x v="1"/>
    <x v="1"/>
    <x v="1"/>
    <x v="1"/>
    <x v="0"/>
    <n v="0"/>
    <n v="0"/>
    <n v="-2.8140000000000001"/>
    <n v="-2.8140000000000001"/>
    <n v="-2.8140000000000001"/>
    <n v="-2.8140000000000001"/>
    <n v="0"/>
    <x v="1"/>
    <n v="0"/>
    <n v="0"/>
    <n v="19"/>
    <n v="59"/>
    <n v="0"/>
    <n v="406.52"/>
    <n v="199.03"/>
    <m/>
    <n v="446.02270810064761"/>
    <n v="205.52329867469447"/>
    <n v="0"/>
    <n v="-1143.9472799999999"/>
    <n v="-560.07042000000001"/>
    <n v="0"/>
    <n v="-1255.1079005952224"/>
    <n v="-578.34256247059022"/>
  </r>
  <r>
    <s v="Sistema de Compensação"/>
    <x v="1"/>
    <x v="3"/>
    <x v="5"/>
    <x v="1"/>
    <x v="1"/>
    <x v="1"/>
    <x v="1"/>
    <x v="0"/>
    <n v="0"/>
    <n v="0"/>
    <n v="38.305999999999997"/>
    <n v="38.305999999999997"/>
    <n v="38.305999999999997"/>
    <n v="38.305999999999997"/>
    <n v="150"/>
    <x v="1"/>
    <n v="0"/>
    <n v="0"/>
    <n v="19"/>
    <n v="59"/>
    <n v="0"/>
    <n v="406.52"/>
    <n v="199.03"/>
    <m/>
    <n v="446.02270810064761"/>
    <n v="205.52329867469447"/>
    <n v="0"/>
    <n v="15572.155119999998"/>
    <n v="7624.0431799999997"/>
    <n v="0"/>
    <n v="17085.345856503405"/>
    <n v="7872.7754790328463"/>
  </r>
  <r>
    <s v="Regular"/>
    <x v="1"/>
    <x v="3"/>
    <x v="5"/>
    <x v="1"/>
    <x v="1"/>
    <x v="1"/>
    <x v="1"/>
    <x v="1"/>
    <n v="0"/>
    <n v="0"/>
    <n v="1619.2529999999999"/>
    <n v="1619.2529999999999"/>
    <n v="1619.2529999999999"/>
    <n v="1619.2529999999999"/>
    <n v="9125"/>
    <x v="1"/>
    <n v="0"/>
    <n v="0"/>
    <n v="19"/>
    <n v="59"/>
    <n v="0"/>
    <n v="406.52"/>
    <n v="199.03"/>
    <m/>
    <n v="446.02270810064761"/>
    <n v="205.52329867469447"/>
    <n v="0"/>
    <n v="658258.72955999989"/>
    <n v="322279.92459000001"/>
    <n v="0"/>
    <n v="722223.60816009785"/>
    <n v="332794.21794889506"/>
  </r>
  <r>
    <s v="Refaturamento - Regular"/>
    <x v="1"/>
    <x v="3"/>
    <x v="5"/>
    <x v="1"/>
    <x v="1"/>
    <x v="1"/>
    <x v="1"/>
    <x v="1"/>
    <n v="0"/>
    <n v="0"/>
    <n v="-8.343"/>
    <n v="-8.343"/>
    <n v="-8.343"/>
    <n v="-8.343"/>
    <n v="0"/>
    <x v="1"/>
    <n v="0"/>
    <n v="0"/>
    <n v="19"/>
    <n v="59"/>
    <n v="0"/>
    <n v="406.52"/>
    <n v="199.03"/>
    <m/>
    <n v="446.02270810064761"/>
    <n v="205.52329867469447"/>
    <n v="0"/>
    <n v="-3391.59636"/>
    <n v="-1660.50729"/>
    <n v="0"/>
    <n v="-3721.1674536837031"/>
    <n v="-1714.680880842976"/>
  </r>
  <r>
    <s v="Sistema de Compensação"/>
    <x v="1"/>
    <x v="3"/>
    <x v="5"/>
    <x v="1"/>
    <x v="1"/>
    <x v="1"/>
    <x v="1"/>
    <x v="1"/>
    <n v="0"/>
    <n v="0"/>
    <n v="23.1"/>
    <n v="23.1"/>
    <n v="23.1"/>
    <n v="23.1"/>
    <n v="154"/>
    <x v="1"/>
    <n v="0"/>
    <n v="0"/>
    <n v="19"/>
    <n v="59"/>
    <n v="0"/>
    <n v="406.52"/>
    <n v="199.03"/>
    <m/>
    <n v="446.02270810064761"/>
    <n v="205.52329867469447"/>
    <n v="0"/>
    <n v="9390.612000000001"/>
    <n v="4597.5930000000008"/>
    <n v="0"/>
    <n v="10303.12455712496"/>
    <n v="4747.5881993854427"/>
  </r>
  <r>
    <s v="Sistema de Compensação"/>
    <x v="1"/>
    <x v="3"/>
    <x v="5"/>
    <x v="1"/>
    <x v="1"/>
    <x v="1"/>
    <x v="1"/>
    <x v="1"/>
    <n v="0"/>
    <n v="0"/>
    <n v="-7.8010000000000002"/>
    <n v="-7.8010000000000002"/>
    <n v="-7.8010000000000002"/>
    <n v="-7.8010000000000002"/>
    <n v="1"/>
    <x v="1"/>
    <n v="0"/>
    <n v="0"/>
    <n v="19"/>
    <n v="59"/>
    <n v="0"/>
    <n v="406.52"/>
    <n v="199.03"/>
    <m/>
    <n v="446.02270810064761"/>
    <n v="205.52329867469447"/>
    <n v="0"/>
    <n v="-3171.2625199999998"/>
    <n v="-1552.63303"/>
    <n v="0"/>
    <n v="-3479.4231458931522"/>
    <n v="-1603.2872529612916"/>
  </r>
  <r>
    <s v="Regular"/>
    <x v="1"/>
    <x v="3"/>
    <x v="5"/>
    <x v="1"/>
    <x v="1"/>
    <x v="1"/>
    <x v="1"/>
    <x v="2"/>
    <n v="0"/>
    <n v="0"/>
    <n v="1433.952"/>
    <n v="1433.952"/>
    <n v="1433.952"/>
    <n v="1433.952"/>
    <n v="9152"/>
    <x v="1"/>
    <n v="0"/>
    <n v="0"/>
    <n v="19"/>
    <n v="59"/>
    <n v="0"/>
    <n v="406.52"/>
    <n v="199.03"/>
    <m/>
    <n v="446.02270810064761"/>
    <n v="205.52329867469447"/>
    <n v="0"/>
    <n v="582930.16703999997"/>
    <n v="285399.46656000003"/>
    <n v="0"/>
    <n v="639575.15432633983"/>
    <n v="294710.54518117546"/>
  </r>
  <r>
    <s v="Refaturamento - Regular"/>
    <x v="1"/>
    <x v="3"/>
    <x v="5"/>
    <x v="1"/>
    <x v="1"/>
    <x v="1"/>
    <x v="1"/>
    <x v="2"/>
    <n v="0"/>
    <n v="0"/>
    <n v="0.79500000000000004"/>
    <n v="0.79500000000000004"/>
    <n v="0.79500000000000004"/>
    <n v="0.79500000000000004"/>
    <n v="0"/>
    <x v="1"/>
    <n v="0"/>
    <n v="0"/>
    <n v="19"/>
    <n v="59"/>
    <n v="0"/>
    <n v="406.52"/>
    <n v="199.03"/>
    <m/>
    <n v="446.02270810064761"/>
    <n v="205.52329867469447"/>
    <n v="0"/>
    <n v="323.18340000000001"/>
    <n v="158.22885000000002"/>
    <n v="0"/>
    <n v="354.58805294001485"/>
    <n v="163.39102244638212"/>
  </r>
  <r>
    <s v="Sistema de Compensação"/>
    <x v="1"/>
    <x v="3"/>
    <x v="5"/>
    <x v="1"/>
    <x v="1"/>
    <x v="1"/>
    <x v="1"/>
    <x v="2"/>
    <n v="0"/>
    <n v="0"/>
    <n v="21.585000000000001"/>
    <n v="21.585000000000001"/>
    <n v="21.585000000000001"/>
    <n v="21.585000000000001"/>
    <n v="157"/>
    <x v="1"/>
    <n v="0"/>
    <n v="0"/>
    <n v="19"/>
    <n v="59"/>
    <n v="0"/>
    <n v="406.52"/>
    <n v="199.03"/>
    <m/>
    <n v="446.02270810064761"/>
    <n v="205.52329867469447"/>
    <n v="0"/>
    <n v="8774.7342000000008"/>
    <n v="4296.0625500000006"/>
    <n v="0"/>
    <n v="9627.4001543524791"/>
    <n v="4436.2204018932807"/>
  </r>
  <r>
    <s v="Regular"/>
    <x v="1"/>
    <x v="3"/>
    <x v="5"/>
    <x v="1"/>
    <x v="1"/>
    <x v="1"/>
    <x v="1"/>
    <x v="3"/>
    <n v="0"/>
    <n v="0"/>
    <n v="1494.028"/>
    <n v="1494.028"/>
    <n v="1494.028"/>
    <n v="1494.028"/>
    <n v="9140"/>
    <x v="1"/>
    <n v="0"/>
    <n v="0"/>
    <n v="19"/>
    <n v="59"/>
    <n v="0"/>
    <n v="406.52"/>
    <n v="199.03"/>
    <m/>
    <n v="446.02270810064761"/>
    <n v="205.52329867469447"/>
    <n v="0"/>
    <n v="607352.26255999994"/>
    <n v="297356.39283999999"/>
    <n v="0"/>
    <n v="666370.41453819431"/>
    <n v="307057.56287235644"/>
  </r>
  <r>
    <s v="Refaturamento - Regular"/>
    <x v="1"/>
    <x v="3"/>
    <x v="5"/>
    <x v="1"/>
    <x v="1"/>
    <x v="1"/>
    <x v="1"/>
    <x v="3"/>
    <n v="0"/>
    <n v="0"/>
    <n v="-1.1319999999999999"/>
    <n v="-1.1319999999999999"/>
    <n v="-1.1319999999999999"/>
    <n v="-1.1319999999999999"/>
    <n v="0"/>
    <x v="1"/>
    <n v="0"/>
    <n v="0"/>
    <n v="19"/>
    <n v="59"/>
    <n v="0"/>
    <n v="406.52"/>
    <n v="199.03"/>
    <m/>
    <n v="446.02270810064761"/>
    <n v="205.52329867469447"/>
    <n v="0"/>
    <n v="-460.18063999999993"/>
    <n v="-225.30195999999998"/>
    <n v="0"/>
    <n v="-504.89770556993307"/>
    <n v="-232.65237409975413"/>
  </r>
  <r>
    <s v="Sistema de Compensação"/>
    <x v="1"/>
    <x v="3"/>
    <x v="5"/>
    <x v="1"/>
    <x v="1"/>
    <x v="1"/>
    <x v="1"/>
    <x v="3"/>
    <n v="0"/>
    <n v="0"/>
    <n v="17.795999999999999"/>
    <n v="17.795999999999999"/>
    <n v="17.795999999999999"/>
    <n v="17.795999999999999"/>
    <n v="164"/>
    <x v="1"/>
    <n v="0"/>
    <n v="0"/>
    <n v="19"/>
    <n v="59"/>
    <n v="0"/>
    <n v="406.52"/>
    <n v="199.03"/>
    <m/>
    <n v="446.02270810064761"/>
    <n v="205.52329867469447"/>
    <n v="0"/>
    <n v="7234.4299199999996"/>
    <n v="3541.93788"/>
    <n v="0"/>
    <n v="7937.4201133591241"/>
    <n v="3657.4926232148628"/>
  </r>
  <r>
    <s v="Regular"/>
    <x v="1"/>
    <x v="3"/>
    <x v="5"/>
    <x v="1"/>
    <x v="1"/>
    <x v="1"/>
    <x v="1"/>
    <x v="4"/>
    <n v="0"/>
    <n v="0"/>
    <n v="1608.471"/>
    <n v="1608.471"/>
    <n v="1608.471"/>
    <n v="1608.471"/>
    <n v="9148"/>
    <x v="1"/>
    <n v="0"/>
    <n v="0"/>
    <n v="19"/>
    <n v="59"/>
    <n v="0"/>
    <n v="406.52"/>
    <n v="199.03"/>
    <m/>
    <n v="446.02270810064761"/>
    <n v="205.52329867469447"/>
    <n v="0"/>
    <n v="653875.63092000003"/>
    <n v="320133.98313000001"/>
    <n v="0"/>
    <n v="717414.59132135671"/>
    <n v="330578.26574258448"/>
  </r>
  <r>
    <s v="Refaturamento - Regular"/>
    <x v="1"/>
    <x v="3"/>
    <x v="5"/>
    <x v="1"/>
    <x v="1"/>
    <x v="1"/>
    <x v="1"/>
    <x v="4"/>
    <n v="0"/>
    <n v="0"/>
    <n v="-0.13500000000000001"/>
    <n v="-0.13500000000000001"/>
    <n v="-0.13500000000000001"/>
    <n v="-0.13500000000000001"/>
    <n v="0"/>
    <x v="1"/>
    <n v="0"/>
    <n v="0"/>
    <n v="19"/>
    <n v="59"/>
    <n v="0"/>
    <n v="406.52"/>
    <n v="199.03"/>
    <m/>
    <n v="446.02270810064761"/>
    <n v="205.52329867469447"/>
    <n v="0"/>
    <n v="-54.880200000000002"/>
    <n v="-26.869050000000001"/>
    <n v="0"/>
    <n v="-60.21306559358743"/>
    <n v="-27.745645321083757"/>
  </r>
  <r>
    <s v="Sistema de Compensação"/>
    <x v="1"/>
    <x v="3"/>
    <x v="5"/>
    <x v="1"/>
    <x v="1"/>
    <x v="1"/>
    <x v="1"/>
    <x v="4"/>
    <n v="0"/>
    <n v="0"/>
    <n v="18.366"/>
    <n v="18.366"/>
    <n v="18.366"/>
    <n v="18.366"/>
    <n v="170"/>
    <x v="1"/>
    <n v="0"/>
    <n v="0"/>
    <n v="19"/>
    <n v="59"/>
    <n v="0"/>
    <n v="406.52"/>
    <n v="199.03"/>
    <m/>
    <n v="446.02270810064761"/>
    <n v="205.52329867469447"/>
    <n v="0"/>
    <n v="7466.1463199999998"/>
    <n v="3655.3849799999998"/>
    <n v="0"/>
    <n v="8191.6530569764936"/>
    <n v="3774.6409034594385"/>
  </r>
  <r>
    <s v="Regular"/>
    <x v="1"/>
    <x v="3"/>
    <x v="5"/>
    <x v="1"/>
    <x v="1"/>
    <x v="1"/>
    <x v="1"/>
    <x v="5"/>
    <n v="0"/>
    <n v="0"/>
    <n v="1688.9179999999999"/>
    <n v="1688.9179999999999"/>
    <n v="1688.9179999999999"/>
    <n v="1688.9179999999999"/>
    <n v="9151"/>
    <x v="1"/>
    <n v="0"/>
    <n v="0"/>
    <n v="19"/>
    <n v="59"/>
    <n v="0"/>
    <n v="406.52"/>
    <n v="199.03"/>
    <m/>
    <n v="446.02270810064761"/>
    <n v="205.52329867469447"/>
    <n v="0"/>
    <n v="686578.9453599999"/>
    <n v="336145.34953999997"/>
    <n v="0"/>
    <n v="753295.78011992946"/>
    <n v="347111.99855106761"/>
  </r>
  <r>
    <s v="Refaturamento - Regular"/>
    <x v="1"/>
    <x v="3"/>
    <x v="5"/>
    <x v="1"/>
    <x v="1"/>
    <x v="1"/>
    <x v="1"/>
    <x v="5"/>
    <n v="0"/>
    <n v="0"/>
    <n v="8.3000000000000004E-2"/>
    <n v="8.3000000000000004E-2"/>
    <n v="8.3000000000000004E-2"/>
    <n v="8.3000000000000004E-2"/>
    <n v="0"/>
    <x v="1"/>
    <n v="0"/>
    <n v="0"/>
    <n v="19"/>
    <n v="59"/>
    <n v="0"/>
    <n v="406.52"/>
    <n v="199.03"/>
    <m/>
    <n v="446.02270810064761"/>
    <n v="205.52329867469447"/>
    <n v="0"/>
    <n v="33.741160000000001"/>
    <n v="16.519490000000001"/>
    <n v="0"/>
    <n v="37.019884772353755"/>
    <n v="17.058433789999643"/>
  </r>
  <r>
    <s v="Sistema de Compensação"/>
    <x v="1"/>
    <x v="3"/>
    <x v="5"/>
    <x v="1"/>
    <x v="1"/>
    <x v="1"/>
    <x v="1"/>
    <x v="5"/>
    <n v="0"/>
    <n v="0"/>
    <n v="22.138000000000002"/>
    <n v="22.138000000000002"/>
    <n v="22.138000000000002"/>
    <n v="22.138000000000002"/>
    <n v="175"/>
    <x v="1"/>
    <n v="0"/>
    <n v="0"/>
    <n v="19"/>
    <n v="59"/>
    <n v="0"/>
    <n v="406.52"/>
    <n v="199.03"/>
    <m/>
    <n v="446.02270810064761"/>
    <n v="205.52329867469447"/>
    <n v="0"/>
    <n v="8999.5397599999997"/>
    <n v="4406.1261400000003"/>
    <n v="0"/>
    <n v="9874.0507119321373"/>
    <n v="4549.8747860603862"/>
  </r>
  <r>
    <s v="Regular"/>
    <x v="1"/>
    <x v="3"/>
    <x v="5"/>
    <x v="1"/>
    <x v="1"/>
    <x v="1"/>
    <x v="1"/>
    <x v="6"/>
    <n v="0"/>
    <n v="0"/>
    <n v="2105.7750000000001"/>
    <n v="2105.7750000000001"/>
    <n v="2105.7750000000001"/>
    <n v="2105.7750000000001"/>
    <n v="9136"/>
    <x v="1"/>
    <n v="0"/>
    <n v="0"/>
    <n v="19"/>
    <n v="59"/>
    <n v="0"/>
    <n v="406.52"/>
    <n v="199.03"/>
    <m/>
    <n v="446.02270810064761"/>
    <n v="205.52329867469447"/>
    <n v="0"/>
    <n v="856039.65300000005"/>
    <n v="419112.39825000003"/>
    <n v="0"/>
    <n v="939223.4681506413"/>
    <n v="432785.82426670479"/>
  </r>
  <r>
    <s v="Refaturamento - Regular"/>
    <x v="1"/>
    <x v="3"/>
    <x v="5"/>
    <x v="1"/>
    <x v="1"/>
    <x v="1"/>
    <x v="1"/>
    <x v="6"/>
    <n v="0"/>
    <n v="0"/>
    <n v="-0.67300000000000004"/>
    <n v="-0.67300000000000004"/>
    <n v="-0.67300000000000004"/>
    <n v="-0.67300000000000004"/>
    <n v="0"/>
    <x v="1"/>
    <n v="0"/>
    <n v="0"/>
    <n v="19"/>
    <n v="59"/>
    <n v="0"/>
    <n v="406.52"/>
    <n v="199.03"/>
    <m/>
    <n v="446.02270810064761"/>
    <n v="205.52329867469447"/>
    <n v="0"/>
    <n v="-273.58796000000001"/>
    <n v="-133.94719000000001"/>
    <n v="0"/>
    <n v="-300.17328255173584"/>
    <n v="-138.31718000806939"/>
  </r>
  <r>
    <s v="Sistema de Compensação"/>
    <x v="1"/>
    <x v="3"/>
    <x v="5"/>
    <x v="1"/>
    <x v="1"/>
    <x v="1"/>
    <x v="1"/>
    <x v="6"/>
    <n v="0"/>
    <n v="0"/>
    <n v="33.433999999999997"/>
    <n v="33.433999999999997"/>
    <n v="33.433999999999997"/>
    <n v="33.433999999999997"/>
    <n v="185"/>
    <x v="1"/>
    <n v="0"/>
    <n v="0"/>
    <n v="19"/>
    <n v="59"/>
    <n v="0"/>
    <n v="406.52"/>
    <n v="199.03"/>
    <m/>
    <n v="446.02270810064761"/>
    <n v="205.52329867469447"/>
    <n v="0"/>
    <n v="13591.589679999999"/>
    <n v="6654.3690199999992"/>
    <n v="0"/>
    <n v="14912.323222637051"/>
    <n v="6871.4659678897342"/>
  </r>
  <r>
    <s v="Regular"/>
    <x v="1"/>
    <x v="3"/>
    <x v="5"/>
    <x v="1"/>
    <x v="1"/>
    <x v="1"/>
    <x v="1"/>
    <x v="7"/>
    <n v="0"/>
    <n v="0"/>
    <n v="2474.37"/>
    <n v="2474.37"/>
    <n v="2474.37"/>
    <n v="2474.37"/>
    <n v="9092"/>
    <x v="1"/>
    <n v="0"/>
    <n v="0"/>
    <n v="19"/>
    <n v="59"/>
    <n v="0"/>
    <n v="406.52"/>
    <n v="199.03"/>
    <m/>
    <n v="446.02270810064761"/>
    <n v="205.52329867469447"/>
    <n v="0"/>
    <n v="1005880.8923999999"/>
    <n v="492473.86109999998"/>
    <n v="0"/>
    <n v="1103625.2082429994"/>
    <n v="508540.68454170373"/>
  </r>
  <r>
    <s v="Refaturamento - Regular"/>
    <x v="1"/>
    <x v="3"/>
    <x v="5"/>
    <x v="1"/>
    <x v="1"/>
    <x v="1"/>
    <x v="1"/>
    <x v="7"/>
    <n v="0"/>
    <n v="0"/>
    <n v="68.471000000000004"/>
    <n v="68.471000000000004"/>
    <n v="68.471000000000004"/>
    <n v="68.471000000000004"/>
    <n v="0"/>
    <x v="1"/>
    <n v="0"/>
    <n v="0"/>
    <n v="19"/>
    <n v="59"/>
    <n v="0"/>
    <n v="406.52"/>
    <n v="199.03"/>
    <m/>
    <n v="446.02270810064761"/>
    <n v="205.52329867469447"/>
    <n v="0"/>
    <n v="27834.83092"/>
    <n v="13627.783130000002"/>
    <n v="0"/>
    <n v="30539.620846359445"/>
    <n v="14072.385783555006"/>
  </r>
  <r>
    <s v="Sistema de Compensação"/>
    <x v="1"/>
    <x v="3"/>
    <x v="5"/>
    <x v="1"/>
    <x v="1"/>
    <x v="1"/>
    <x v="1"/>
    <x v="7"/>
    <n v="0"/>
    <n v="0"/>
    <n v="37.749000000000002"/>
    <n v="37.749000000000002"/>
    <n v="37.749000000000002"/>
    <n v="37.749000000000002"/>
    <n v="193"/>
    <x v="1"/>
    <n v="0"/>
    <n v="0"/>
    <n v="19"/>
    <n v="59"/>
    <n v="0"/>
    <n v="406.52"/>
    <n v="199.03"/>
    <m/>
    <n v="446.02270810064761"/>
    <n v="205.52329867469447"/>
    <n v="0"/>
    <n v="15345.723480000001"/>
    <n v="7513.1834700000009"/>
    <n v="0"/>
    <n v="16836.911208091347"/>
    <n v="7758.2990016710419"/>
  </r>
  <r>
    <s v="Regular"/>
    <x v="1"/>
    <x v="3"/>
    <x v="5"/>
    <x v="1"/>
    <x v="1"/>
    <x v="1"/>
    <x v="1"/>
    <x v="8"/>
    <n v="0"/>
    <n v="0"/>
    <n v="1978.396"/>
    <n v="1978.396"/>
    <n v="1978.396"/>
    <n v="1978.396"/>
    <n v="9119"/>
    <x v="1"/>
    <n v="0"/>
    <n v="0"/>
    <n v="19"/>
    <n v="59"/>
    <n v="0"/>
    <n v="406.52"/>
    <n v="199.03"/>
    <m/>
    <n v="446.02270810064761"/>
    <n v="205.52329867469447"/>
    <n v="0"/>
    <n v="804257.54191999999"/>
    <n v="393760.15587999998"/>
    <n v="0"/>
    <n v="882409.54161548882"/>
    <n v="406606.47200482083"/>
  </r>
  <r>
    <s v="Refaturamento - Regular"/>
    <x v="1"/>
    <x v="3"/>
    <x v="5"/>
    <x v="1"/>
    <x v="1"/>
    <x v="1"/>
    <x v="1"/>
    <x v="8"/>
    <n v="0"/>
    <n v="0"/>
    <n v="-8.8420000000000005"/>
    <n v="-8.8420000000000005"/>
    <n v="-8.8420000000000005"/>
    <n v="-8.8420000000000005"/>
    <n v="0"/>
    <x v="1"/>
    <n v="0"/>
    <n v="0"/>
    <n v="19"/>
    <n v="59"/>
    <n v="0"/>
    <n v="406.52"/>
    <n v="199.03"/>
    <m/>
    <n v="446.02270810064761"/>
    <n v="205.52329867469447"/>
    <n v="0"/>
    <n v="-3594.4498400000002"/>
    <n v="-1759.8232600000001"/>
    <n v="0"/>
    <n v="-3943.7327850259262"/>
    <n v="-1817.2370068816485"/>
  </r>
  <r>
    <s v="Sistema de Compensação"/>
    <x v="1"/>
    <x v="3"/>
    <x v="5"/>
    <x v="1"/>
    <x v="1"/>
    <x v="1"/>
    <x v="1"/>
    <x v="8"/>
    <n v="0"/>
    <n v="0"/>
    <n v="34.399000000000001"/>
    <n v="34.399000000000001"/>
    <n v="34.399000000000001"/>
    <n v="34.399000000000001"/>
    <n v="201"/>
    <x v="1"/>
    <n v="0"/>
    <n v="0"/>
    <n v="19"/>
    <n v="59"/>
    <n v="0"/>
    <n v="406.52"/>
    <n v="199.03"/>
    <m/>
    <n v="446.02270810064761"/>
    <n v="205.52329867469447"/>
    <n v="0"/>
    <n v="13983.88148"/>
    <n v="6846.4329699999998"/>
    <n v="0"/>
    <n v="15342.735135954177"/>
    <n v="7069.7959511108156"/>
  </r>
  <r>
    <s v="Regular"/>
    <x v="1"/>
    <x v="3"/>
    <x v="5"/>
    <x v="1"/>
    <x v="1"/>
    <x v="1"/>
    <x v="1"/>
    <x v="9"/>
    <n v="0"/>
    <n v="0"/>
    <n v="1361.423"/>
    <n v="1361.423"/>
    <n v="1361.423"/>
    <n v="1361.423"/>
    <n v="9150"/>
    <x v="1"/>
    <n v="0"/>
    <n v="0"/>
    <n v="19"/>
    <n v="59"/>
    <n v="0"/>
    <n v="406.52"/>
    <n v="199.03"/>
    <m/>
    <n v="446.02270810064761"/>
    <n v="205.52329867469447"/>
    <n v="0"/>
    <n v="553445.67796"/>
    <n v="270964.01968999999"/>
    <n v="0"/>
    <n v="607225.57333050796"/>
    <n v="279804.14585159859"/>
  </r>
  <r>
    <s v="Refaturamento - Regular"/>
    <x v="1"/>
    <x v="3"/>
    <x v="5"/>
    <x v="1"/>
    <x v="1"/>
    <x v="1"/>
    <x v="1"/>
    <x v="9"/>
    <n v="0"/>
    <n v="0"/>
    <n v="-0.24"/>
    <n v="-0.24"/>
    <n v="-0.24"/>
    <n v="-0.24"/>
    <n v="0"/>
    <x v="1"/>
    <n v="0"/>
    <n v="0"/>
    <n v="19"/>
    <n v="59"/>
    <n v="0"/>
    <n v="406.52"/>
    <n v="199.03"/>
    <m/>
    <n v="446.02270810064761"/>
    <n v="205.52329867469447"/>
    <n v="0"/>
    <n v="-97.564799999999991"/>
    <n v="-47.767199999999995"/>
    <n v="0"/>
    <n v="-107.04544994415542"/>
    <n v="-49.325591681926674"/>
  </r>
  <r>
    <s v="Sistema de Compensação"/>
    <x v="1"/>
    <x v="3"/>
    <x v="5"/>
    <x v="1"/>
    <x v="1"/>
    <x v="1"/>
    <x v="1"/>
    <x v="9"/>
    <n v="0"/>
    <n v="0"/>
    <n v="22.411999999999999"/>
    <n v="22.411999999999999"/>
    <n v="22.411999999999999"/>
    <n v="22.411999999999999"/>
    <n v="212"/>
    <x v="1"/>
    <n v="0"/>
    <n v="0"/>
    <n v="19"/>
    <n v="59"/>
    <n v="0"/>
    <n v="406.52"/>
    <n v="199.03"/>
    <m/>
    <n v="446.02270810064761"/>
    <n v="205.52329867469447"/>
    <n v="0"/>
    <n v="9110.9262399999989"/>
    <n v="4460.6603599999999"/>
    <n v="0"/>
    <n v="9996.260933951713"/>
    <n v="4606.188169897252"/>
  </r>
  <r>
    <s v="Regular"/>
    <x v="1"/>
    <x v="3"/>
    <x v="5"/>
    <x v="1"/>
    <x v="1"/>
    <x v="1"/>
    <x v="1"/>
    <x v="10"/>
    <n v="0"/>
    <n v="0"/>
    <n v="1350.643"/>
    <n v="1350.643"/>
    <n v="1350.643"/>
    <n v="1350.643"/>
    <n v="8818"/>
    <x v="1"/>
    <n v="0"/>
    <n v="0"/>
    <n v="19"/>
    <n v="59"/>
    <n v="0"/>
    <n v="406.52"/>
    <n v="199.03"/>
    <m/>
    <n v="446.02270810064761"/>
    <n v="205.52329867469447"/>
    <n v="0"/>
    <n v="549063.39235999994"/>
    <n v="268818.47629000002"/>
    <n v="0"/>
    <n v="602417.44853718299"/>
    <n v="277588.60469188535"/>
  </r>
  <r>
    <s v="Refaturamento - Regular"/>
    <x v="1"/>
    <x v="3"/>
    <x v="5"/>
    <x v="1"/>
    <x v="1"/>
    <x v="1"/>
    <x v="1"/>
    <x v="10"/>
    <n v="0"/>
    <n v="0"/>
    <n v="-1.476"/>
    <n v="-1.476"/>
    <n v="-1.476"/>
    <n v="-1.476"/>
    <n v="0"/>
    <x v="1"/>
    <n v="0"/>
    <n v="0"/>
    <n v="19"/>
    <n v="59"/>
    <n v="0"/>
    <n v="406.52"/>
    <n v="199.03"/>
    <m/>
    <n v="446.02270810064761"/>
    <n v="205.52329867469447"/>
    <n v="0"/>
    <n v="-600.02351999999996"/>
    <n v="-293.76828"/>
    <n v="0"/>
    <n v="-658.32951715655588"/>
    <n v="-303.35238884384904"/>
  </r>
  <r>
    <s v="Sistema de Compensação"/>
    <x v="1"/>
    <x v="3"/>
    <x v="5"/>
    <x v="1"/>
    <x v="1"/>
    <x v="1"/>
    <x v="1"/>
    <x v="10"/>
    <n v="0"/>
    <n v="0"/>
    <n v="26.657"/>
    <n v="26.657"/>
    <n v="26.657"/>
    <n v="26.657"/>
    <n v="225"/>
    <x v="1"/>
    <n v="0"/>
    <n v="0"/>
    <n v="19"/>
    <n v="59"/>
    <n v="0"/>
    <n v="406.52"/>
    <n v="199.03"/>
    <m/>
    <n v="446.02270810064761"/>
    <n v="205.52329867469447"/>
    <n v="0"/>
    <n v="10836.603639999999"/>
    <n v="5305.5427099999997"/>
    <n v="0"/>
    <n v="11889.627329838962"/>
    <n v="5478.6345727713306"/>
  </r>
  <r>
    <s v="Regular"/>
    <x v="1"/>
    <x v="3"/>
    <x v="5"/>
    <x v="1"/>
    <x v="1"/>
    <x v="1"/>
    <x v="1"/>
    <x v="11"/>
    <n v="0"/>
    <n v="0"/>
    <n v="1479.26"/>
    <n v="1479.26"/>
    <n v="1479.26"/>
    <n v="1479.26"/>
    <n v="8837"/>
    <x v="1"/>
    <n v="0"/>
    <n v="0"/>
    <n v="19"/>
    <n v="59"/>
    <n v="0"/>
    <n v="406.52"/>
    <n v="199.03"/>
    <m/>
    <n v="446.02270810064761"/>
    <n v="205.52329867469447"/>
    <n v="0"/>
    <n v="601348.77519999992"/>
    <n v="294417.11780000001"/>
    <n v="0"/>
    <n v="659783.55118496402"/>
    <n v="304022.39479752857"/>
  </r>
  <r>
    <s v="Sistema de Compensação"/>
    <x v="1"/>
    <x v="3"/>
    <x v="5"/>
    <x v="1"/>
    <x v="1"/>
    <x v="1"/>
    <x v="1"/>
    <x v="11"/>
    <n v="0"/>
    <n v="0"/>
    <n v="38.671999999999997"/>
    <n v="38.671999999999997"/>
    <n v="38.671999999999997"/>
    <n v="38.671999999999997"/>
    <n v="251"/>
    <x v="1"/>
    <n v="0"/>
    <n v="0"/>
    <n v="19"/>
    <n v="59"/>
    <n v="0"/>
    <n v="406.52"/>
    <n v="199.03"/>
    <m/>
    <n v="446.02270810064761"/>
    <n v="205.52329867469447"/>
    <n v="0"/>
    <n v="15720.941439999999"/>
    <n v="7696.8881599999995"/>
    <n v="0"/>
    <n v="17248.590167668244"/>
    <n v="7947.997006347784"/>
  </r>
  <r>
    <s v="Regular"/>
    <x v="1"/>
    <x v="3"/>
    <x v="5"/>
    <x v="2"/>
    <x v="1"/>
    <x v="1"/>
    <x v="1"/>
    <x v="0"/>
    <n v="0"/>
    <n v="0"/>
    <n v="32.19"/>
    <n v="32.19"/>
    <n v="32.19"/>
    <n v="32.19"/>
    <n v="64"/>
    <x v="1"/>
    <n v="0"/>
    <n v="0"/>
    <n v="20"/>
    <n v="60"/>
    <n v="0"/>
    <n v="112.15"/>
    <n v="69.66"/>
    <m/>
    <n v="118.64909511799327"/>
    <n v="71.933154536143064"/>
    <n v="0"/>
    <n v="3610.1084999999998"/>
    <n v="2242.3553999999999"/>
    <n v="0"/>
    <n v="3819.3143718482029"/>
    <n v="2315.5282445184453"/>
  </r>
  <r>
    <s v="Sistema de Compensação"/>
    <x v="1"/>
    <x v="3"/>
    <x v="5"/>
    <x v="2"/>
    <x v="1"/>
    <x v="1"/>
    <x v="1"/>
    <x v="0"/>
    <n v="0"/>
    <n v="0"/>
    <n v="0.06"/>
    <n v="0.06"/>
    <n v="0.06"/>
    <n v="0.06"/>
    <n v="1"/>
    <x v="1"/>
    <n v="0"/>
    <n v="0"/>
    <n v="20"/>
    <n v="60"/>
    <n v="0"/>
    <n v="112.15"/>
    <n v="69.66"/>
    <m/>
    <n v="118.64909511799327"/>
    <n v="71.933154536143064"/>
    <n v="0"/>
    <n v="6.7290000000000001"/>
    <n v="4.1795999999999998"/>
    <n v="0"/>
    <n v="7.1189457070795958"/>
    <n v="4.3159892721685837"/>
  </r>
  <r>
    <s v="Regular"/>
    <x v="1"/>
    <x v="3"/>
    <x v="5"/>
    <x v="2"/>
    <x v="1"/>
    <x v="1"/>
    <x v="1"/>
    <x v="1"/>
    <n v="0"/>
    <n v="0"/>
    <n v="32.31"/>
    <n v="32.31"/>
    <n v="32.31"/>
    <n v="32.31"/>
    <n v="63"/>
    <x v="1"/>
    <n v="0"/>
    <n v="0"/>
    <n v="20"/>
    <n v="60"/>
    <n v="0"/>
    <n v="112.15"/>
    <n v="69.66"/>
    <m/>
    <n v="118.64909511799327"/>
    <n v="71.933154536143064"/>
    <n v="0"/>
    <n v="3623.5665000000004"/>
    <n v="2250.7146000000002"/>
    <n v="0"/>
    <n v="3833.5522632623629"/>
    <n v="2324.1602230627827"/>
  </r>
  <r>
    <s v="Sistema de Compensação"/>
    <x v="1"/>
    <x v="3"/>
    <x v="5"/>
    <x v="2"/>
    <x v="1"/>
    <x v="1"/>
    <x v="1"/>
    <x v="1"/>
    <n v="0"/>
    <n v="0"/>
    <n v="0.03"/>
    <n v="0.03"/>
    <n v="0.03"/>
    <n v="0.03"/>
    <n v="1"/>
    <x v="1"/>
    <n v="0"/>
    <n v="0"/>
    <n v="20"/>
    <n v="60"/>
    <n v="0"/>
    <n v="112.15"/>
    <n v="69.66"/>
    <m/>
    <n v="118.64909511799327"/>
    <n v="71.933154536143064"/>
    <n v="0"/>
    <n v="3.3645"/>
    <n v="2.0897999999999999"/>
    <n v="0"/>
    <n v="3.5594728535397979"/>
    <n v="2.1579946360842919"/>
  </r>
  <r>
    <s v="Regular"/>
    <x v="1"/>
    <x v="3"/>
    <x v="5"/>
    <x v="2"/>
    <x v="1"/>
    <x v="1"/>
    <x v="1"/>
    <x v="2"/>
    <n v="0"/>
    <n v="0"/>
    <n v="32.58"/>
    <n v="32.58"/>
    <n v="32.58"/>
    <n v="32.58"/>
    <n v="51"/>
    <x v="1"/>
    <n v="0"/>
    <n v="0"/>
    <n v="20"/>
    <n v="60"/>
    <n v="0"/>
    <n v="112.15"/>
    <n v="69.66"/>
    <m/>
    <n v="118.64909511799327"/>
    <n v="71.933154536143064"/>
    <n v="0"/>
    <n v="3653.8470000000002"/>
    <n v="2269.5227999999997"/>
    <n v="0"/>
    <n v="3865.5875189442204"/>
    <n v="2343.5821747875411"/>
  </r>
  <r>
    <s v="Sistema de Compensação"/>
    <x v="1"/>
    <x v="3"/>
    <x v="5"/>
    <x v="2"/>
    <x v="1"/>
    <x v="1"/>
    <x v="1"/>
    <x v="2"/>
    <n v="0"/>
    <n v="0"/>
    <n v="0.03"/>
    <n v="0.03"/>
    <n v="0.03"/>
    <n v="0.03"/>
    <n v="1"/>
    <x v="1"/>
    <n v="0"/>
    <n v="0"/>
    <n v="20"/>
    <n v="60"/>
    <n v="0"/>
    <n v="112.15"/>
    <n v="69.66"/>
    <m/>
    <n v="118.64909511799327"/>
    <n v="71.933154536143064"/>
    <n v="0"/>
    <n v="3.3645"/>
    <n v="2.0897999999999999"/>
    <n v="0"/>
    <n v="3.5594728535397979"/>
    <n v="2.1579946360842919"/>
  </r>
  <r>
    <s v="Regular"/>
    <x v="1"/>
    <x v="3"/>
    <x v="5"/>
    <x v="2"/>
    <x v="1"/>
    <x v="1"/>
    <x v="1"/>
    <x v="3"/>
    <n v="0"/>
    <n v="0"/>
    <n v="32.700000000000003"/>
    <n v="32.700000000000003"/>
    <n v="32.700000000000003"/>
    <n v="32.700000000000003"/>
    <n v="53"/>
    <x v="1"/>
    <n v="0"/>
    <n v="0"/>
    <n v="20"/>
    <n v="60"/>
    <n v="0"/>
    <n v="112.15"/>
    <n v="69.66"/>
    <m/>
    <n v="118.64909511799327"/>
    <n v="71.933154536143064"/>
    <n v="0"/>
    <n v="3667.3050000000003"/>
    <n v="2277.8820000000001"/>
    <n v="0"/>
    <n v="3879.8254103583804"/>
    <n v="2352.2141533318786"/>
  </r>
  <r>
    <s v="Sistema de Compensação"/>
    <x v="1"/>
    <x v="3"/>
    <x v="5"/>
    <x v="2"/>
    <x v="1"/>
    <x v="1"/>
    <x v="1"/>
    <x v="3"/>
    <n v="0"/>
    <n v="0"/>
    <n v="0.03"/>
    <n v="0.03"/>
    <n v="0.03"/>
    <n v="0.03"/>
    <n v="1"/>
    <x v="1"/>
    <n v="0"/>
    <n v="0"/>
    <n v="20"/>
    <n v="60"/>
    <n v="0"/>
    <n v="112.15"/>
    <n v="69.66"/>
    <m/>
    <n v="118.64909511799327"/>
    <n v="71.933154536143064"/>
    <n v="0"/>
    <n v="3.3645"/>
    <n v="2.0897999999999999"/>
    <n v="0"/>
    <n v="3.5594728535397979"/>
    <n v="2.1579946360842919"/>
  </r>
  <r>
    <s v="Regular"/>
    <x v="1"/>
    <x v="3"/>
    <x v="5"/>
    <x v="2"/>
    <x v="1"/>
    <x v="1"/>
    <x v="1"/>
    <x v="4"/>
    <n v="0"/>
    <n v="0"/>
    <n v="32.880000000000003"/>
    <n v="32.880000000000003"/>
    <n v="32.880000000000003"/>
    <n v="32.880000000000003"/>
    <n v="43"/>
    <x v="1"/>
    <n v="0"/>
    <n v="0"/>
    <n v="20"/>
    <n v="60"/>
    <n v="0"/>
    <n v="112.15"/>
    <n v="69.66"/>
    <m/>
    <n v="118.64909511799327"/>
    <n v="71.933154536143064"/>
    <n v="0"/>
    <n v="3687.4920000000006"/>
    <n v="2290.4207999999999"/>
    <n v="0"/>
    <n v="3901.182247479619"/>
    <n v="2365.1621211483844"/>
  </r>
  <r>
    <s v="Sistema de Compensação"/>
    <x v="1"/>
    <x v="3"/>
    <x v="5"/>
    <x v="2"/>
    <x v="1"/>
    <x v="1"/>
    <x v="1"/>
    <x v="4"/>
    <n v="0"/>
    <n v="0"/>
    <n v="0.03"/>
    <n v="0.03"/>
    <n v="0.03"/>
    <n v="0.03"/>
    <n v="1"/>
    <x v="1"/>
    <n v="0"/>
    <n v="0"/>
    <n v="20"/>
    <n v="60"/>
    <n v="0"/>
    <n v="112.15"/>
    <n v="69.66"/>
    <m/>
    <n v="118.64909511799327"/>
    <n v="71.933154536143064"/>
    <n v="0"/>
    <n v="3.3645"/>
    <n v="2.0897999999999999"/>
    <n v="0"/>
    <n v="3.5594728535397979"/>
    <n v="2.1579946360842919"/>
  </r>
  <r>
    <s v="Regular"/>
    <x v="1"/>
    <x v="3"/>
    <x v="5"/>
    <x v="2"/>
    <x v="1"/>
    <x v="1"/>
    <x v="1"/>
    <x v="5"/>
    <n v="0"/>
    <n v="0"/>
    <n v="33.526000000000003"/>
    <n v="33.526000000000003"/>
    <n v="33.526000000000003"/>
    <n v="33.526000000000003"/>
    <n v="45"/>
    <x v="1"/>
    <n v="0"/>
    <n v="0"/>
    <n v="20"/>
    <n v="60"/>
    <n v="0"/>
    <n v="112.15"/>
    <n v="69.66"/>
    <m/>
    <n v="118.64909511799327"/>
    <n v="71.933154536143064"/>
    <n v="0"/>
    <n v="3759.9409000000005"/>
    <n v="2335.4211600000003"/>
    <n v="0"/>
    <n v="3977.8295629258428"/>
    <n v="2411.6309389787325"/>
  </r>
  <r>
    <s v="Sistema de Compensação"/>
    <x v="1"/>
    <x v="3"/>
    <x v="5"/>
    <x v="2"/>
    <x v="1"/>
    <x v="1"/>
    <x v="1"/>
    <x v="5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18.64909511799327"/>
    <n v="71.933154536143064"/>
    <n v="0"/>
    <n v="1.177575"/>
    <n v="0.73143000000000002"/>
    <n v="0"/>
    <n v="1.2458154987389294"/>
    <n v="0.75529812262950224"/>
  </r>
  <r>
    <s v="Regular"/>
    <x v="1"/>
    <x v="3"/>
    <x v="5"/>
    <x v="2"/>
    <x v="1"/>
    <x v="1"/>
    <x v="1"/>
    <x v="6"/>
    <n v="0"/>
    <n v="0"/>
    <n v="33.99"/>
    <n v="33.99"/>
    <n v="33.99"/>
    <n v="33.99"/>
    <n v="44"/>
    <x v="1"/>
    <n v="0"/>
    <n v="0"/>
    <n v="20"/>
    <n v="60"/>
    <n v="0"/>
    <n v="112.15"/>
    <n v="69.66"/>
    <m/>
    <n v="118.64909511799327"/>
    <n v="71.933154536143064"/>
    <n v="0"/>
    <n v="3811.9785000000006"/>
    <n v="2367.7433999999998"/>
    <n v="0"/>
    <n v="4032.8827430605916"/>
    <n v="2445.0079226835028"/>
  </r>
  <r>
    <s v="Sistema de Compensação"/>
    <x v="1"/>
    <x v="3"/>
    <x v="5"/>
    <x v="2"/>
    <x v="1"/>
    <x v="1"/>
    <x v="1"/>
    <x v="6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18.64909511799327"/>
    <n v="71.933154536143064"/>
    <n v="0"/>
    <n v="1.177575"/>
    <n v="0.73143000000000002"/>
    <n v="0"/>
    <n v="1.2458154987389294"/>
    <n v="0.75529812262950224"/>
  </r>
  <r>
    <s v="Regular"/>
    <x v="1"/>
    <x v="3"/>
    <x v="5"/>
    <x v="2"/>
    <x v="1"/>
    <x v="1"/>
    <x v="1"/>
    <x v="7"/>
    <n v="0"/>
    <n v="0"/>
    <n v="34.17"/>
    <n v="34.17"/>
    <n v="34.17"/>
    <n v="34.17"/>
    <n v="35"/>
    <x v="1"/>
    <n v="0"/>
    <n v="0"/>
    <n v="20"/>
    <n v="60"/>
    <n v="0"/>
    <n v="112.15"/>
    <n v="69.66"/>
    <m/>
    <n v="118.64909511799327"/>
    <n v="71.933154536143064"/>
    <n v="0"/>
    <n v="3832.1655000000005"/>
    <n v="2380.2822000000001"/>
    <n v="0"/>
    <n v="4054.2395801818302"/>
    <n v="2457.9558905000085"/>
  </r>
  <r>
    <s v="Sistema de Compensação"/>
    <x v="1"/>
    <x v="3"/>
    <x v="5"/>
    <x v="2"/>
    <x v="1"/>
    <x v="1"/>
    <x v="1"/>
    <x v="7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18.64909511799327"/>
    <n v="71.933154536143064"/>
    <n v="0"/>
    <n v="1.177575"/>
    <n v="0.73143000000000002"/>
    <n v="0"/>
    <n v="1.2458154987389294"/>
    <n v="0.75529812262950224"/>
  </r>
  <r>
    <s v="Regular"/>
    <x v="1"/>
    <x v="3"/>
    <x v="5"/>
    <x v="2"/>
    <x v="1"/>
    <x v="1"/>
    <x v="1"/>
    <x v="8"/>
    <n v="0"/>
    <n v="0"/>
    <n v="34.92"/>
    <n v="34.92"/>
    <n v="34.92"/>
    <n v="34.92"/>
    <n v="42"/>
    <x v="1"/>
    <n v="0"/>
    <n v="0"/>
    <n v="20"/>
    <n v="60"/>
    <n v="0"/>
    <n v="112.15"/>
    <n v="69.66"/>
    <m/>
    <n v="118.64909511799327"/>
    <n v="71.933154536143064"/>
    <n v="0"/>
    <n v="3916.2780000000002"/>
    <n v="2432.5272"/>
    <n v="0"/>
    <n v="4143.2264015203255"/>
    <n v="2511.9057564021159"/>
  </r>
  <r>
    <s v="Sistema de Compensação"/>
    <x v="1"/>
    <x v="3"/>
    <x v="5"/>
    <x v="2"/>
    <x v="1"/>
    <x v="1"/>
    <x v="1"/>
    <x v="8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18.64909511799327"/>
    <n v="71.933154536143064"/>
    <n v="0"/>
    <n v="1.177575"/>
    <n v="0.73143000000000002"/>
    <n v="0"/>
    <n v="1.2458154987389294"/>
    <n v="0.75529812262950224"/>
  </r>
  <r>
    <s v="Regular"/>
    <x v="1"/>
    <x v="3"/>
    <x v="5"/>
    <x v="2"/>
    <x v="1"/>
    <x v="1"/>
    <x v="1"/>
    <x v="9"/>
    <n v="0"/>
    <n v="0"/>
    <n v="35.58"/>
    <n v="35.58"/>
    <n v="35.58"/>
    <n v="35.58"/>
    <n v="40"/>
    <x v="1"/>
    <n v="0"/>
    <n v="0"/>
    <n v="20"/>
    <n v="60"/>
    <n v="0"/>
    <n v="112.15"/>
    <n v="69.66"/>
    <m/>
    <n v="118.64909511799327"/>
    <n v="71.933154536143064"/>
    <n v="0"/>
    <n v="3990.297"/>
    <n v="2478.5027999999998"/>
    <n v="0"/>
    <n v="4221.5348042982005"/>
    <n v="2559.3816383959702"/>
  </r>
  <r>
    <s v="Sistema de Compensação"/>
    <x v="1"/>
    <x v="3"/>
    <x v="5"/>
    <x v="2"/>
    <x v="1"/>
    <x v="1"/>
    <x v="1"/>
    <x v="9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18.64909511799327"/>
    <n v="71.933154536143064"/>
    <n v="0"/>
    <n v="1.177575"/>
    <n v="0.73143000000000002"/>
    <n v="0"/>
    <n v="1.2458154987389294"/>
    <n v="0.75529812262950224"/>
  </r>
  <r>
    <s v="Regular"/>
    <x v="1"/>
    <x v="3"/>
    <x v="5"/>
    <x v="2"/>
    <x v="1"/>
    <x v="1"/>
    <x v="1"/>
    <x v="10"/>
    <n v="0"/>
    <n v="0"/>
    <n v="45.710999999999999"/>
    <n v="45.710999999999999"/>
    <n v="45.710999999999999"/>
    <n v="45.710999999999999"/>
    <n v="70"/>
    <x v="1"/>
    <n v="0"/>
    <n v="0"/>
    <n v="20"/>
    <n v="60"/>
    <n v="0"/>
    <n v="112.15"/>
    <n v="69.66"/>
    <m/>
    <n v="118.64909511799327"/>
    <n v="71.933154536143064"/>
    <n v="0"/>
    <n v="5126.4886500000002"/>
    <n v="3184.2282599999999"/>
    <n v="0"/>
    <n v="5423.5687869385902"/>
    <n v="3288.1364270016356"/>
  </r>
  <r>
    <s v="Sistema de Compensação"/>
    <x v="1"/>
    <x v="3"/>
    <x v="5"/>
    <x v="2"/>
    <x v="1"/>
    <x v="1"/>
    <x v="1"/>
    <x v="10"/>
    <n v="0"/>
    <n v="0"/>
    <n v="0.03"/>
    <n v="1.0500000000000001E-2"/>
    <n v="0.03"/>
    <n v="1.0500000000000001E-2"/>
    <n v="0"/>
    <x v="1"/>
    <n v="0"/>
    <n v="0"/>
    <n v="20"/>
    <n v="60"/>
    <n v="0"/>
    <n v="112.15"/>
    <n v="69.66"/>
    <m/>
    <n v="118.64909511799327"/>
    <n v="71.933154536143064"/>
    <n v="0"/>
    <n v="1.177575"/>
    <n v="0.73143000000000002"/>
    <n v="0"/>
    <n v="1.2458154987389294"/>
    <n v="0.75529812262950224"/>
  </r>
  <r>
    <s v="Regular"/>
    <x v="1"/>
    <x v="3"/>
    <x v="5"/>
    <x v="2"/>
    <x v="1"/>
    <x v="1"/>
    <x v="1"/>
    <x v="11"/>
    <n v="0"/>
    <n v="0"/>
    <n v="44.174999999999997"/>
    <n v="44.174999999999997"/>
    <n v="44.174999999999997"/>
    <n v="44.174999999999997"/>
    <n v="59"/>
    <x v="1"/>
    <n v="0"/>
    <n v="0"/>
    <n v="20"/>
    <n v="60"/>
    <n v="0"/>
    <n v="112.15"/>
    <n v="69.66"/>
    <m/>
    <n v="118.64909511799327"/>
    <n v="71.933154536143064"/>
    <n v="0"/>
    <n v="4954.2262499999997"/>
    <n v="3077.2304999999997"/>
    <n v="0"/>
    <n v="5241.3237768373519"/>
    <n v="3177.6471016341197"/>
  </r>
  <r>
    <s v="Sistema de Compensação"/>
    <x v="1"/>
    <x v="3"/>
    <x v="5"/>
    <x v="2"/>
    <x v="1"/>
    <x v="1"/>
    <x v="1"/>
    <x v="11"/>
    <n v="0"/>
    <n v="0"/>
    <n v="0.03"/>
    <n v="-8.9999999999999993E-3"/>
    <n v="0.03"/>
    <n v="-8.9999999999999993E-3"/>
    <n v="0"/>
    <x v="1"/>
    <n v="0"/>
    <n v="0"/>
    <n v="20"/>
    <n v="60"/>
    <n v="0"/>
    <n v="112.15"/>
    <n v="69.66"/>
    <m/>
    <n v="118.64909511799327"/>
    <n v="71.933154536143064"/>
    <n v="0"/>
    <n v="-1.00935"/>
    <n v="-0.62693999999999994"/>
    <n v="0"/>
    <n v="-1.0678418560619394"/>
    <n v="-0.6473983908252875"/>
  </r>
  <r>
    <s v="Regular"/>
    <x v="1"/>
    <x v="3"/>
    <x v="5"/>
    <x v="3"/>
    <x v="1"/>
    <x v="1"/>
    <x v="1"/>
    <x v="0"/>
    <n v="0"/>
    <n v="0"/>
    <n v="62.991"/>
    <n v="62.991"/>
    <n v="62.991"/>
    <n v="62.991"/>
    <n v="268"/>
    <x v="1"/>
    <n v="0"/>
    <n v="0"/>
    <n v="21"/>
    <n v="61"/>
    <n v="0"/>
    <n v="192.27"/>
    <n v="119.42"/>
    <m/>
    <n v="203.39844877370277"/>
    <n v="123.31397920481668"/>
    <n v="0"/>
    <n v="12111.279570000001"/>
    <n v="7522.3852200000001"/>
    <n v="0"/>
    <n v="12812.271686704311"/>
    <n v="7767.6708640906072"/>
  </r>
  <r>
    <s v="Refaturamento - Regular"/>
    <x v="1"/>
    <x v="3"/>
    <x v="5"/>
    <x v="3"/>
    <x v="1"/>
    <x v="1"/>
    <x v="1"/>
    <x v="0"/>
    <n v="0"/>
    <n v="0"/>
    <n v="-6.6000000000000003E-2"/>
    <n v="-6.6000000000000003E-2"/>
    <n v="-6.6000000000000003E-2"/>
    <n v="-6.6000000000000003E-2"/>
    <n v="0"/>
    <x v="1"/>
    <n v="0"/>
    <n v="0"/>
    <n v="21"/>
    <n v="61"/>
    <n v="0"/>
    <n v="192.27"/>
    <n v="119.42"/>
    <m/>
    <n v="203.39844877370277"/>
    <n v="123.31397920481668"/>
    <n v="0"/>
    <n v="-12.689820000000001"/>
    <n v="-7.8817200000000005"/>
    <n v="0"/>
    <n v="-13.424297619064383"/>
    <n v="-8.1387226275179003"/>
  </r>
  <r>
    <s v="Sistema de Compensação"/>
    <x v="1"/>
    <x v="3"/>
    <x v="5"/>
    <x v="3"/>
    <x v="1"/>
    <x v="1"/>
    <x v="1"/>
    <x v="0"/>
    <n v="0"/>
    <n v="0"/>
    <n v="0.14000000000000001"/>
    <n v="0.14000000000000001"/>
    <n v="0.14000000000000001"/>
    <n v="0.14000000000000001"/>
    <n v="0"/>
    <x v="1"/>
    <n v="0"/>
    <n v="0"/>
    <n v="21"/>
    <n v="61"/>
    <n v="0"/>
    <n v="192.27"/>
    <n v="119.42"/>
    <m/>
    <n v="203.39844877370277"/>
    <n v="123.31397920481668"/>
    <n v="0"/>
    <n v="26.917800000000003"/>
    <n v="16.718800000000002"/>
    <n v="0"/>
    <n v="28.47578282831839"/>
    <n v="17.263957088674335"/>
  </r>
  <r>
    <s v="Regular"/>
    <x v="1"/>
    <x v="3"/>
    <x v="5"/>
    <x v="3"/>
    <x v="1"/>
    <x v="1"/>
    <x v="1"/>
    <x v="1"/>
    <n v="0"/>
    <n v="0"/>
    <n v="64.536000000000001"/>
    <n v="64.536000000000001"/>
    <n v="64.536000000000001"/>
    <n v="64.536000000000001"/>
    <n v="215"/>
    <x v="1"/>
    <n v="0"/>
    <n v="0"/>
    <n v="21"/>
    <n v="61"/>
    <n v="0"/>
    <n v="192.27"/>
    <n v="119.42"/>
    <m/>
    <n v="203.39844877370277"/>
    <n v="123.31397920481668"/>
    <n v="0"/>
    <n v="12408.336720000001"/>
    <n v="7706.8891199999998"/>
    <n v="0"/>
    <n v="13126.522290059682"/>
    <n v="7958.1909619620492"/>
  </r>
  <r>
    <s v="Refaturamento - Regular"/>
    <x v="1"/>
    <x v="3"/>
    <x v="5"/>
    <x v="3"/>
    <x v="1"/>
    <x v="1"/>
    <x v="1"/>
    <x v="1"/>
    <n v="0"/>
    <n v="0"/>
    <n v="0.14000000000000001"/>
    <n v="0.14000000000000001"/>
    <n v="0.14000000000000001"/>
    <n v="0.14000000000000001"/>
    <n v="0"/>
    <x v="1"/>
    <n v="0"/>
    <n v="0"/>
    <n v="21"/>
    <n v="61"/>
    <n v="0"/>
    <n v="192.27"/>
    <n v="119.42"/>
    <m/>
    <n v="203.39844877370277"/>
    <n v="123.31397920481668"/>
    <n v="0"/>
    <n v="26.917800000000003"/>
    <n v="16.718800000000002"/>
    <n v="0"/>
    <n v="28.47578282831839"/>
    <n v="17.263957088674335"/>
  </r>
  <r>
    <s v="Sistema de Compensação"/>
    <x v="1"/>
    <x v="3"/>
    <x v="5"/>
    <x v="3"/>
    <x v="1"/>
    <x v="1"/>
    <x v="1"/>
    <x v="1"/>
    <n v="0"/>
    <n v="0"/>
    <n v="6.2E-2"/>
    <n v="6.2E-2"/>
    <n v="6.2E-2"/>
    <n v="6.2E-2"/>
    <n v="0"/>
    <x v="1"/>
    <n v="0"/>
    <n v="0"/>
    <n v="21"/>
    <n v="61"/>
    <n v="0"/>
    <n v="192.27"/>
    <n v="119.42"/>
    <m/>
    <n v="203.39844877370277"/>
    <n v="123.31397920481668"/>
    <n v="0"/>
    <n v="11.92074"/>
    <n v="7.4040400000000002"/>
    <n v="0"/>
    <n v="12.610703823969571"/>
    <n v="7.645466710698634"/>
  </r>
  <r>
    <s v="Regular"/>
    <x v="1"/>
    <x v="3"/>
    <x v="5"/>
    <x v="3"/>
    <x v="1"/>
    <x v="1"/>
    <x v="1"/>
    <x v="2"/>
    <n v="0"/>
    <n v="0"/>
    <n v="65.968999999999994"/>
    <n v="65.968999999999994"/>
    <n v="65.968999999999994"/>
    <n v="65.968999999999994"/>
    <n v="234"/>
    <x v="1"/>
    <n v="0"/>
    <n v="0"/>
    <n v="21"/>
    <n v="61"/>
    <n v="0"/>
    <n v="192.27"/>
    <n v="119.42"/>
    <m/>
    <n v="203.39844877370277"/>
    <n v="123.31397920481668"/>
    <n v="0"/>
    <n v="12683.859629999999"/>
    <n v="7878.0179799999996"/>
    <n v="0"/>
    <n v="13417.992267152396"/>
    <n v="8134.8998941625505"/>
  </r>
  <r>
    <s v="Sistema de Compensação"/>
    <x v="1"/>
    <x v="3"/>
    <x v="5"/>
    <x v="3"/>
    <x v="1"/>
    <x v="1"/>
    <x v="1"/>
    <x v="2"/>
    <n v="0"/>
    <n v="0"/>
    <n v="7.0000000000000007E-2"/>
    <n v="7.0000000000000007E-2"/>
    <n v="7.0000000000000007E-2"/>
    <n v="7.0000000000000007E-2"/>
    <n v="0"/>
    <x v="1"/>
    <n v="0"/>
    <n v="0"/>
    <n v="21"/>
    <n v="61"/>
    <n v="0"/>
    <n v="192.27"/>
    <n v="119.42"/>
    <m/>
    <n v="203.39844877370277"/>
    <n v="123.31397920481668"/>
    <n v="0"/>
    <n v="13.458900000000002"/>
    <n v="8.3594000000000008"/>
    <n v="0"/>
    <n v="14.237891414159195"/>
    <n v="8.6319785443371675"/>
  </r>
  <r>
    <s v="Regular"/>
    <x v="1"/>
    <x v="3"/>
    <x v="5"/>
    <x v="3"/>
    <x v="1"/>
    <x v="1"/>
    <x v="1"/>
    <x v="3"/>
    <n v="0"/>
    <n v="0"/>
    <n v="67.483999999999995"/>
    <n v="67.483999999999995"/>
    <n v="67.483999999999995"/>
    <n v="67.483999999999995"/>
    <n v="198"/>
    <x v="1"/>
    <n v="0"/>
    <n v="0"/>
    <n v="21"/>
    <n v="61"/>
    <n v="0"/>
    <n v="192.27"/>
    <n v="119.42"/>
    <m/>
    <n v="203.39844877370277"/>
    <n v="123.31397920481668"/>
    <n v="0"/>
    <n v="12975.14868"/>
    <n v="8058.9392799999996"/>
    <n v="0"/>
    <n v="13726.140917044557"/>
    <n v="8321.7205726578486"/>
  </r>
  <r>
    <s v="Sistema de Compensação"/>
    <x v="1"/>
    <x v="3"/>
    <x v="5"/>
    <x v="3"/>
    <x v="1"/>
    <x v="1"/>
    <x v="1"/>
    <x v="3"/>
    <n v="0"/>
    <n v="0"/>
    <n v="7.0000000000000007E-2"/>
    <n v="7.0000000000000007E-2"/>
    <n v="7.0000000000000007E-2"/>
    <n v="7.0000000000000007E-2"/>
    <n v="0"/>
    <x v="1"/>
    <n v="0"/>
    <n v="0"/>
    <n v="21"/>
    <n v="61"/>
    <n v="0"/>
    <n v="192.27"/>
    <n v="119.42"/>
    <m/>
    <n v="203.39844877370277"/>
    <n v="123.31397920481668"/>
    <n v="0"/>
    <n v="13.458900000000002"/>
    <n v="8.3594000000000008"/>
    <n v="0"/>
    <n v="14.237891414159195"/>
    <n v="8.6319785443371675"/>
  </r>
  <r>
    <s v="Regular"/>
    <x v="1"/>
    <x v="3"/>
    <x v="5"/>
    <x v="3"/>
    <x v="1"/>
    <x v="1"/>
    <x v="1"/>
    <x v="4"/>
    <n v="0"/>
    <n v="0"/>
    <n v="68.765000000000001"/>
    <n v="68.765000000000001"/>
    <n v="68.765000000000001"/>
    <n v="68.765000000000001"/>
    <n v="185"/>
    <x v="1"/>
    <n v="0"/>
    <n v="0"/>
    <n v="21"/>
    <n v="61"/>
    <n v="0"/>
    <n v="192.27"/>
    <n v="119.42"/>
    <m/>
    <n v="203.39844877370277"/>
    <n v="123.31397920481668"/>
    <n v="0"/>
    <n v="13221.446550000001"/>
    <n v="8211.9163000000008"/>
    <n v="0"/>
    <n v="13986.694329923672"/>
    <n v="8479.6857800192192"/>
  </r>
  <r>
    <s v="Sistema de Compensação"/>
    <x v="1"/>
    <x v="3"/>
    <x v="5"/>
    <x v="3"/>
    <x v="1"/>
    <x v="1"/>
    <x v="1"/>
    <x v="4"/>
    <n v="0"/>
    <n v="0"/>
    <n v="0.14000000000000001"/>
    <n v="0.14000000000000001"/>
    <n v="0.14000000000000001"/>
    <n v="0.14000000000000001"/>
    <n v="0"/>
    <x v="1"/>
    <n v="0"/>
    <n v="0"/>
    <n v="21"/>
    <n v="61"/>
    <n v="0"/>
    <n v="192.27"/>
    <n v="119.42"/>
    <m/>
    <n v="203.39844877370277"/>
    <n v="123.31397920481668"/>
    <n v="0"/>
    <n v="26.917800000000003"/>
    <n v="16.718800000000002"/>
    <n v="0"/>
    <n v="28.47578282831839"/>
    <n v="17.263957088674335"/>
  </r>
  <r>
    <s v="Regular"/>
    <x v="1"/>
    <x v="3"/>
    <x v="5"/>
    <x v="3"/>
    <x v="1"/>
    <x v="1"/>
    <x v="1"/>
    <x v="5"/>
    <n v="0"/>
    <n v="0"/>
    <n v="70.614000000000004"/>
    <n v="70.614000000000004"/>
    <n v="70.614000000000004"/>
    <n v="70.614000000000004"/>
    <n v="162"/>
    <x v="1"/>
    <n v="0"/>
    <n v="0"/>
    <n v="21"/>
    <n v="61"/>
    <n v="0"/>
    <n v="192.27"/>
    <n v="119.42"/>
    <m/>
    <n v="203.39844877370277"/>
    <n v="123.31397920481668"/>
    <n v="0"/>
    <n v="13576.953780000002"/>
    <n v="8432.7238800000014"/>
    <n v="0"/>
    <n v="14362.778061706249"/>
    <n v="8707.6933275689244"/>
  </r>
  <r>
    <s v="Sistema de Compensação"/>
    <x v="1"/>
    <x v="3"/>
    <x v="5"/>
    <x v="3"/>
    <x v="1"/>
    <x v="1"/>
    <x v="1"/>
    <x v="5"/>
    <n v="0"/>
    <n v="0"/>
    <n v="3.1E-2"/>
    <n v="1.8599999999999998E-2"/>
    <n v="3.1E-2"/>
    <n v="1.8599999999999998E-2"/>
    <n v="0"/>
    <x v="1"/>
    <n v="0"/>
    <n v="0"/>
    <n v="21"/>
    <n v="61"/>
    <n v="0"/>
    <n v="192.27"/>
    <n v="119.42"/>
    <m/>
    <n v="203.39844877370277"/>
    <n v="123.31397920481668"/>
    <n v="0"/>
    <n v="3.576222"/>
    <n v="2.221212"/>
    <n v="0"/>
    <n v="3.7832111471908711"/>
    <n v="2.2936400132095898"/>
  </r>
  <r>
    <s v="Regular"/>
    <x v="1"/>
    <x v="3"/>
    <x v="5"/>
    <x v="3"/>
    <x v="1"/>
    <x v="1"/>
    <x v="1"/>
    <x v="6"/>
    <n v="0"/>
    <n v="0"/>
    <n v="73.241"/>
    <n v="73.241"/>
    <n v="73.241"/>
    <n v="73.241"/>
    <n v="122"/>
    <x v="1"/>
    <n v="0"/>
    <n v="0"/>
    <n v="21"/>
    <n v="61"/>
    <n v="0"/>
    <n v="192.27"/>
    <n v="119.42"/>
    <m/>
    <n v="203.39844877370277"/>
    <n v="123.31397920481668"/>
    <n v="0"/>
    <n v="14082.047070000001"/>
    <n v="8746.4402200000004"/>
    <n v="0"/>
    <n v="14897.105786634764"/>
    <n v="9031.6391509399782"/>
  </r>
  <r>
    <s v="Sistema de Compensação"/>
    <x v="1"/>
    <x v="3"/>
    <x v="5"/>
    <x v="3"/>
    <x v="1"/>
    <x v="1"/>
    <x v="1"/>
    <x v="6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03.39844877370277"/>
    <n v="123.31397920481668"/>
    <n v="0"/>
    <n v="8.0753400000000006"/>
    <n v="5.0156400000000003"/>
    <n v="0"/>
    <n v="8.5427348484955168"/>
    <n v="5.1791871266023009"/>
  </r>
  <r>
    <s v="Regular"/>
    <x v="1"/>
    <x v="3"/>
    <x v="5"/>
    <x v="3"/>
    <x v="1"/>
    <x v="1"/>
    <x v="1"/>
    <x v="7"/>
    <n v="0"/>
    <n v="0"/>
    <n v="74.933000000000007"/>
    <n v="74.933000000000007"/>
    <n v="74.933000000000007"/>
    <n v="74.933000000000007"/>
    <n v="103"/>
    <x v="1"/>
    <n v="0"/>
    <n v="0"/>
    <n v="21"/>
    <n v="61"/>
    <n v="0"/>
    <n v="192.27"/>
    <n v="119.42"/>
    <m/>
    <n v="203.39844877370277"/>
    <n v="123.31397920481668"/>
    <n v="0"/>
    <n v="14407.367910000003"/>
    <n v="8948.4988600000015"/>
    <n v="0"/>
    <n v="15241.255961959871"/>
    <n v="9240.2864037545296"/>
  </r>
  <r>
    <s v="Sistema de Compensação"/>
    <x v="1"/>
    <x v="3"/>
    <x v="5"/>
    <x v="3"/>
    <x v="1"/>
    <x v="1"/>
    <x v="1"/>
    <x v="7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03.39844877370277"/>
    <n v="123.31397920481668"/>
    <n v="0"/>
    <n v="8.0753400000000006"/>
    <n v="5.0156400000000003"/>
    <n v="0"/>
    <n v="8.5427348484955168"/>
    <n v="5.1791871266023009"/>
  </r>
  <r>
    <s v="Regular"/>
    <x v="1"/>
    <x v="3"/>
    <x v="5"/>
    <x v="3"/>
    <x v="1"/>
    <x v="1"/>
    <x v="1"/>
    <x v="8"/>
    <n v="0"/>
    <n v="0"/>
    <n v="75.010000000000005"/>
    <n v="75.010000000000005"/>
    <n v="75.010000000000005"/>
    <n v="75.010000000000005"/>
    <n v="138"/>
    <x v="1"/>
    <n v="0"/>
    <n v="0"/>
    <n v="21"/>
    <n v="61"/>
    <n v="0"/>
    <n v="192.27"/>
    <n v="119.42"/>
    <m/>
    <n v="203.39844877370277"/>
    <n v="123.31397920481668"/>
    <n v="0"/>
    <n v="14422.172700000001"/>
    <n v="8957.6941999999999"/>
    <n v="0"/>
    <n v="15256.917642515446"/>
    <n v="9249.7815801532997"/>
  </r>
  <r>
    <s v="Sistema de Compensação"/>
    <x v="1"/>
    <x v="3"/>
    <x v="5"/>
    <x v="3"/>
    <x v="1"/>
    <x v="1"/>
    <x v="1"/>
    <x v="8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03.39844877370277"/>
    <n v="123.31397920481668"/>
    <n v="0"/>
    <n v="8.0753400000000006"/>
    <n v="5.0156400000000003"/>
    <n v="0"/>
    <n v="8.5427348484955168"/>
    <n v="5.1791871266023009"/>
  </r>
  <r>
    <s v="Regular"/>
    <x v="1"/>
    <x v="3"/>
    <x v="5"/>
    <x v="3"/>
    <x v="1"/>
    <x v="1"/>
    <x v="1"/>
    <x v="9"/>
    <n v="0"/>
    <n v="0"/>
    <n v="73.043000000000006"/>
    <n v="73.043000000000006"/>
    <n v="73.043000000000006"/>
    <n v="73.043000000000006"/>
    <n v="265"/>
    <x v="1"/>
    <n v="0"/>
    <n v="0"/>
    <n v="21"/>
    <n v="61"/>
    <n v="0"/>
    <n v="192.27"/>
    <n v="119.42"/>
    <m/>
    <n v="203.39844877370277"/>
    <n v="123.31397920481668"/>
    <n v="0"/>
    <n v="14043.977610000002"/>
    <n v="8722.7950600000004"/>
    <n v="0"/>
    <n v="14856.832893777573"/>
    <n v="9007.2229830574252"/>
  </r>
  <r>
    <s v="Sistema de Compensação"/>
    <x v="1"/>
    <x v="3"/>
    <x v="5"/>
    <x v="3"/>
    <x v="1"/>
    <x v="1"/>
    <x v="1"/>
    <x v="9"/>
    <n v="0"/>
    <n v="0"/>
    <n v="5.8999999999999997E-2"/>
    <n v="3.5400000000000001E-2"/>
    <n v="5.8999999999999997E-2"/>
    <n v="3.5400000000000001E-2"/>
    <n v="0"/>
    <x v="1"/>
    <n v="0"/>
    <n v="0"/>
    <n v="21"/>
    <n v="61"/>
    <n v="0"/>
    <n v="192.27"/>
    <n v="119.42"/>
    <m/>
    <n v="203.39844877370277"/>
    <n v="123.31397920481668"/>
    <n v="0"/>
    <n v="6.8063580000000004"/>
    <n v="4.227468"/>
    <n v="0"/>
    <n v="7.2003050865890783"/>
    <n v="4.3653148638505108"/>
  </r>
  <r>
    <s v="Regular"/>
    <x v="1"/>
    <x v="3"/>
    <x v="5"/>
    <x v="3"/>
    <x v="1"/>
    <x v="1"/>
    <x v="1"/>
    <x v="10"/>
    <n v="0"/>
    <n v="0"/>
    <n v="90.843999999999994"/>
    <n v="90.843999999999994"/>
    <n v="90.843999999999994"/>
    <n v="90.843999999999994"/>
    <n v="370"/>
    <x v="1"/>
    <n v="0"/>
    <n v="0"/>
    <n v="21"/>
    <n v="61"/>
    <n v="0"/>
    <n v="192.27"/>
    <n v="119.42"/>
    <m/>
    <n v="203.39844877370277"/>
    <n v="123.31397920481668"/>
    <n v="0"/>
    <n v="17466.57588"/>
    <n v="10848.590479999999"/>
    <n v="0"/>
    <n v="18477.528680398253"/>
    <n v="11202.335126882366"/>
  </r>
  <r>
    <s v="Sistema de Compensação"/>
    <x v="1"/>
    <x v="3"/>
    <x v="5"/>
    <x v="3"/>
    <x v="1"/>
    <x v="1"/>
    <x v="1"/>
    <x v="10"/>
    <n v="0"/>
    <n v="0"/>
    <n v="7.0000000000000007E-2"/>
    <n v="4.2000000000000003E-2"/>
    <n v="7.0000000000000007E-2"/>
    <n v="4.2000000000000003E-2"/>
    <n v="0"/>
    <x v="1"/>
    <n v="0"/>
    <n v="0"/>
    <n v="21"/>
    <n v="61"/>
    <n v="0"/>
    <n v="192.27"/>
    <n v="119.42"/>
    <m/>
    <n v="203.39844877370277"/>
    <n v="123.31397920481668"/>
    <n v="0"/>
    <n v="8.0753400000000006"/>
    <n v="5.0156400000000003"/>
    <n v="0"/>
    <n v="8.5427348484955168"/>
    <n v="5.1791871266023009"/>
  </r>
  <r>
    <s v="Regular"/>
    <x v="1"/>
    <x v="3"/>
    <x v="5"/>
    <x v="3"/>
    <x v="1"/>
    <x v="1"/>
    <x v="1"/>
    <x v="11"/>
    <n v="0"/>
    <n v="0"/>
    <n v="88.426000000000002"/>
    <n v="88.426000000000002"/>
    <n v="88.426000000000002"/>
    <n v="88.426000000000002"/>
    <n v="339"/>
    <x v="1"/>
    <n v="0"/>
    <n v="0"/>
    <n v="21"/>
    <n v="61"/>
    <n v="0"/>
    <n v="192.27"/>
    <n v="119.42"/>
    <m/>
    <n v="203.39844877370277"/>
    <n v="123.31397920481668"/>
    <n v="0"/>
    <n v="17001.667020000001"/>
    <n v="10559.832920000001"/>
    <n v="0"/>
    <n v="17985.711231263442"/>
    <n v="10904.161925165119"/>
  </r>
  <r>
    <s v="Sistema de Compensação"/>
    <x v="1"/>
    <x v="3"/>
    <x v="5"/>
    <x v="3"/>
    <x v="1"/>
    <x v="1"/>
    <x v="1"/>
    <x v="11"/>
    <n v="0"/>
    <n v="0"/>
    <n v="7.0000000000000007E-2"/>
    <n v="1.4E-2"/>
    <n v="7.0000000000000007E-2"/>
    <n v="1.4E-2"/>
    <n v="0"/>
    <x v="1"/>
    <n v="0"/>
    <n v="0"/>
    <n v="21"/>
    <n v="61"/>
    <n v="0"/>
    <n v="192.27"/>
    <n v="119.42"/>
    <m/>
    <n v="203.39844877370277"/>
    <n v="123.31397920481668"/>
    <n v="0"/>
    <n v="2.6917800000000001"/>
    <n v="1.67188"/>
    <n v="0"/>
    <n v="2.8475782828318388"/>
    <n v="1.7263957088674335"/>
  </r>
  <r>
    <s v="Regular"/>
    <x v="1"/>
    <x v="3"/>
    <x v="5"/>
    <x v="4"/>
    <x v="1"/>
    <x v="1"/>
    <x v="1"/>
    <x v="0"/>
    <n v="0"/>
    <n v="0"/>
    <n v="52.960999999999999"/>
    <n v="52.960999999999999"/>
    <n v="52.960999999999999"/>
    <n v="52.960999999999999"/>
    <n v="545"/>
    <x v="1"/>
    <n v="0"/>
    <n v="0"/>
    <n v="22"/>
    <n v="62"/>
    <n v="0"/>
    <n v="288.39999999999998"/>
    <n v="179.13"/>
    <m/>
    <n v="305.09767316055417"/>
    <n v="184.97096880722503"/>
    <n v="0"/>
    <n v="15273.952399999998"/>
    <n v="9486.9039300000004"/>
    <n v="0"/>
    <n v="16158.277868256109"/>
    <n v="9796.2474789994449"/>
  </r>
  <r>
    <s v="Refaturamento - Regular"/>
    <x v="1"/>
    <x v="3"/>
    <x v="5"/>
    <x v="4"/>
    <x v="1"/>
    <x v="1"/>
    <x v="1"/>
    <x v="0"/>
    <n v="0"/>
    <n v="0"/>
    <n v="-0.12"/>
    <n v="-0.12"/>
    <n v="-0.12"/>
    <n v="-0.12"/>
    <n v="0"/>
    <x v="1"/>
    <n v="0"/>
    <n v="0"/>
    <n v="22"/>
    <n v="62"/>
    <n v="0"/>
    <n v="288.39999999999998"/>
    <n v="179.13"/>
    <m/>
    <n v="305.09767316055417"/>
    <n v="184.97096880722503"/>
    <n v="0"/>
    <n v="-34.607999999999997"/>
    <n v="-21.4956"/>
    <n v="0"/>
    <n v="-36.611720779266498"/>
    <n v="-22.196516256867003"/>
  </r>
  <r>
    <s v="Sistema de Compensação"/>
    <x v="1"/>
    <x v="3"/>
    <x v="5"/>
    <x v="4"/>
    <x v="1"/>
    <x v="1"/>
    <x v="1"/>
    <x v="0"/>
    <n v="0"/>
    <n v="0"/>
    <n v="4.3999999999999997E-2"/>
    <n v="4.3999999999999997E-2"/>
    <n v="4.3999999999999997E-2"/>
    <n v="4.3999999999999997E-2"/>
    <n v="0"/>
    <x v="1"/>
    <n v="0"/>
    <n v="0"/>
    <n v="22"/>
    <n v="62"/>
    <n v="0"/>
    <n v="288.39999999999998"/>
    <n v="179.13"/>
    <m/>
    <n v="305.09767316055417"/>
    <n v="184.97096880722503"/>
    <n v="0"/>
    <n v="12.689599999999999"/>
    <n v="7.8817199999999996"/>
    <n v="0"/>
    <n v="13.424297619064383"/>
    <n v="8.1387226275179003"/>
  </r>
  <r>
    <s v="Regular"/>
    <x v="1"/>
    <x v="3"/>
    <x v="5"/>
    <x v="4"/>
    <x v="1"/>
    <x v="1"/>
    <x v="1"/>
    <x v="1"/>
    <n v="0"/>
    <n v="0"/>
    <n v="61.317999999999998"/>
    <n v="61.317999999999998"/>
    <n v="61.317999999999998"/>
    <n v="61.317999999999998"/>
    <n v="566"/>
    <x v="1"/>
    <n v="0"/>
    <n v="0"/>
    <n v="22"/>
    <n v="62"/>
    <n v="0"/>
    <n v="288.39999999999998"/>
    <n v="179.13"/>
    <m/>
    <n v="305.09767316055417"/>
    <n v="184.97096880722503"/>
    <n v="0"/>
    <n v="17684.111199999999"/>
    <n v="10983.893339999999"/>
    <n v="0"/>
    <n v="18707.979122858858"/>
    <n v="11342.049865321424"/>
  </r>
  <r>
    <s v="Refaturamento - Regular"/>
    <x v="1"/>
    <x v="3"/>
    <x v="5"/>
    <x v="4"/>
    <x v="1"/>
    <x v="1"/>
    <x v="1"/>
    <x v="1"/>
    <n v="0"/>
    <n v="0"/>
    <n v="0.23799999999999999"/>
    <n v="0.23799999999999999"/>
    <n v="0.23799999999999999"/>
    <n v="0.23799999999999999"/>
    <n v="0"/>
    <x v="1"/>
    <n v="0"/>
    <n v="0"/>
    <n v="22"/>
    <n v="62"/>
    <n v="0"/>
    <n v="288.39999999999998"/>
    <n v="179.13"/>
    <m/>
    <n v="305.09767316055417"/>
    <n v="184.97096880722503"/>
    <n v="0"/>
    <n v="68.639199999999988"/>
    <n v="42.632939999999998"/>
    <n v="0"/>
    <n v="72.613246212211891"/>
    <n v="44.023090576119557"/>
  </r>
  <r>
    <s v="Regular"/>
    <x v="1"/>
    <x v="3"/>
    <x v="5"/>
    <x v="4"/>
    <x v="1"/>
    <x v="1"/>
    <x v="1"/>
    <x v="2"/>
    <n v="0"/>
    <n v="0"/>
    <n v="58.665999999999997"/>
    <n v="58.665999999999997"/>
    <n v="58.665999999999997"/>
    <n v="58.665999999999997"/>
    <n v="579"/>
    <x v="1"/>
    <n v="0"/>
    <n v="0"/>
    <n v="22"/>
    <n v="62"/>
    <n v="0"/>
    <n v="288.39999999999998"/>
    <n v="179.13"/>
    <m/>
    <n v="305.09767316055417"/>
    <n v="184.97096880722503"/>
    <n v="0"/>
    <n v="16919.274399999998"/>
    <n v="10508.84058"/>
    <n v="0"/>
    <n v="17898.860093637071"/>
    <n v="10851.506856044663"/>
  </r>
  <r>
    <s v="Sistema de Compensação"/>
    <x v="1"/>
    <x v="3"/>
    <x v="5"/>
    <x v="4"/>
    <x v="1"/>
    <x v="1"/>
    <x v="1"/>
    <x v="2"/>
    <n v="0"/>
    <n v="0"/>
    <n v="3.0000000000000001E-3"/>
    <n v="3.0000000000000001E-3"/>
    <n v="3.0000000000000001E-3"/>
    <n v="3.0000000000000001E-3"/>
    <n v="0"/>
    <x v="1"/>
    <n v="0"/>
    <n v="0"/>
    <n v="22"/>
    <n v="62"/>
    <n v="0"/>
    <n v="288.39999999999998"/>
    <n v="179.13"/>
    <m/>
    <n v="305.09767316055417"/>
    <n v="184.97096880722503"/>
    <n v="0"/>
    <n v="0.86519999999999997"/>
    <n v="0.53739000000000003"/>
    <n v="0"/>
    <n v="0.91529301948166253"/>
    <n v="0.55491290642167512"/>
  </r>
  <r>
    <s v="Regular"/>
    <x v="1"/>
    <x v="3"/>
    <x v="5"/>
    <x v="4"/>
    <x v="1"/>
    <x v="1"/>
    <x v="1"/>
    <x v="3"/>
    <n v="0"/>
    <n v="0"/>
    <n v="62.91"/>
    <n v="62.91"/>
    <n v="62.91"/>
    <n v="62.91"/>
    <n v="595"/>
    <x v="1"/>
    <n v="0"/>
    <n v="0"/>
    <n v="22"/>
    <n v="62"/>
    <n v="0"/>
    <n v="288.39999999999998"/>
    <n v="179.13"/>
    <m/>
    <n v="305.09767316055417"/>
    <n v="184.97096880722503"/>
    <n v="0"/>
    <n v="18143.243999999999"/>
    <n v="11269.068299999999"/>
    <n v="0"/>
    <n v="19193.694618530462"/>
    <n v="11636.523647662527"/>
  </r>
  <r>
    <s v="Regular"/>
    <x v="1"/>
    <x v="3"/>
    <x v="5"/>
    <x v="4"/>
    <x v="1"/>
    <x v="1"/>
    <x v="1"/>
    <x v="4"/>
    <n v="0"/>
    <n v="0"/>
    <n v="70.632000000000005"/>
    <n v="70.632000000000005"/>
    <n v="70.632000000000005"/>
    <n v="70.632000000000005"/>
    <n v="564"/>
    <x v="1"/>
    <n v="0"/>
    <n v="0"/>
    <n v="22"/>
    <n v="62"/>
    <n v="0"/>
    <n v="288.39999999999998"/>
    <n v="179.13"/>
    <m/>
    <n v="305.09767316055417"/>
    <n v="184.97096880722503"/>
    <n v="0"/>
    <n v="20370.268800000002"/>
    <n v="12652.310160000001"/>
    <n v="0"/>
    <n v="21549.658850676264"/>
    <n v="13064.86946879192"/>
  </r>
  <r>
    <s v="Regular"/>
    <x v="1"/>
    <x v="3"/>
    <x v="5"/>
    <x v="4"/>
    <x v="1"/>
    <x v="1"/>
    <x v="1"/>
    <x v="5"/>
    <n v="0"/>
    <n v="0"/>
    <n v="75.957999999999998"/>
    <n v="75.957999999999998"/>
    <n v="75.957999999999998"/>
    <n v="75.957999999999998"/>
    <n v="557"/>
    <x v="1"/>
    <n v="0"/>
    <n v="0"/>
    <n v="22"/>
    <n v="62"/>
    <n v="0"/>
    <n v="288.39999999999998"/>
    <n v="179.13"/>
    <m/>
    <n v="305.09767316055417"/>
    <n v="184.97096880722503"/>
    <n v="0"/>
    <n v="21906.287199999999"/>
    <n v="13606.356539999999"/>
    <n v="0"/>
    <n v="23174.609057929374"/>
    <n v="14050.024848659199"/>
  </r>
  <r>
    <s v="Regular"/>
    <x v="1"/>
    <x v="3"/>
    <x v="5"/>
    <x v="4"/>
    <x v="1"/>
    <x v="1"/>
    <x v="1"/>
    <x v="6"/>
    <n v="0"/>
    <n v="0"/>
    <n v="86.519000000000005"/>
    <n v="86.519000000000005"/>
    <n v="86.519000000000005"/>
    <n v="86.519000000000005"/>
    <n v="513"/>
    <x v="1"/>
    <n v="0"/>
    <n v="0"/>
    <n v="22"/>
    <n v="62"/>
    <n v="0"/>
    <n v="288.39999999999998"/>
    <n v="179.13"/>
    <m/>
    <n v="305.09767316055417"/>
    <n v="184.97096880722503"/>
    <n v="0"/>
    <n v="24952.079600000001"/>
    <n v="15498.14847"/>
    <n v="0"/>
    <n v="26396.745584177988"/>
    <n v="16003.503250232303"/>
  </r>
  <r>
    <s v="Sistema de Compensação"/>
    <x v="1"/>
    <x v="3"/>
    <x v="5"/>
    <x v="4"/>
    <x v="1"/>
    <x v="1"/>
    <x v="1"/>
    <x v="6"/>
    <n v="0"/>
    <n v="0"/>
    <n v="2.5000000000000001E-2"/>
    <n v="2.2499999999999999E-2"/>
    <n v="2.5000000000000001E-2"/>
    <n v="2.2499999999999999E-2"/>
    <n v="0"/>
    <x v="1"/>
    <n v="0"/>
    <n v="0"/>
    <n v="22"/>
    <n v="62"/>
    <n v="0"/>
    <n v="288.39999999999998"/>
    <n v="179.13"/>
    <m/>
    <n v="305.09767316055417"/>
    <n v="184.97096880722503"/>
    <n v="0"/>
    <n v="6.488999999999999"/>
    <n v="4.0304250000000001"/>
    <n v="0"/>
    <n v="6.8646976461124689"/>
    <n v="4.1618467981625633"/>
  </r>
  <r>
    <s v="Regular"/>
    <x v="1"/>
    <x v="3"/>
    <x v="5"/>
    <x v="4"/>
    <x v="1"/>
    <x v="1"/>
    <x v="1"/>
    <x v="7"/>
    <n v="0"/>
    <n v="0"/>
    <n v="96.45"/>
    <n v="96.45"/>
    <n v="96.45"/>
    <n v="96.45"/>
    <n v="437"/>
    <x v="1"/>
    <n v="0"/>
    <n v="0"/>
    <n v="22"/>
    <n v="62"/>
    <n v="0"/>
    <n v="288.39999999999998"/>
    <n v="179.13"/>
    <m/>
    <n v="305.09767316055417"/>
    <n v="184.97096880722503"/>
    <n v="0"/>
    <n v="27816.18"/>
    <n v="17277.088500000002"/>
    <n v="0"/>
    <n v="29426.670576335451"/>
    <n v="17840.449941456856"/>
  </r>
  <r>
    <s v="Refaturamento - Regular"/>
    <x v="1"/>
    <x v="3"/>
    <x v="5"/>
    <x v="4"/>
    <x v="1"/>
    <x v="1"/>
    <x v="1"/>
    <x v="7"/>
    <n v="0"/>
    <n v="0"/>
    <n v="-9.4E-2"/>
    <n v="-9.4E-2"/>
    <n v="-9.4E-2"/>
    <n v="-9.4E-2"/>
    <n v="0"/>
    <x v="1"/>
    <n v="0"/>
    <n v="0"/>
    <n v="22"/>
    <n v="62"/>
    <n v="0"/>
    <n v="288.39999999999998"/>
    <n v="179.13"/>
    <m/>
    <n v="305.09767316055417"/>
    <n v="184.97096880722503"/>
    <n v="0"/>
    <n v="-27.109599999999997"/>
    <n v="-16.83822"/>
    <n v="0"/>
    <n v="-28.679181277092091"/>
    <n v="-17.387271067879155"/>
  </r>
  <r>
    <s v="Sistema de Compensação"/>
    <x v="1"/>
    <x v="3"/>
    <x v="5"/>
    <x v="4"/>
    <x v="1"/>
    <x v="1"/>
    <x v="1"/>
    <x v="7"/>
    <n v="0"/>
    <n v="0"/>
    <n v="0.12"/>
    <n v="0.108"/>
    <n v="0.12"/>
    <n v="0.108"/>
    <n v="0"/>
    <x v="1"/>
    <n v="0"/>
    <n v="0"/>
    <n v="22"/>
    <n v="62"/>
    <n v="0"/>
    <n v="288.39999999999998"/>
    <n v="179.13"/>
    <m/>
    <n v="305.09767316055417"/>
    <n v="184.97096880722503"/>
    <n v="0"/>
    <n v="31.147199999999998"/>
    <n v="19.346039999999999"/>
    <n v="0"/>
    <n v="32.950548701339848"/>
    <n v="19.976864631180302"/>
  </r>
  <r>
    <s v="Regular"/>
    <x v="1"/>
    <x v="3"/>
    <x v="5"/>
    <x v="4"/>
    <x v="1"/>
    <x v="1"/>
    <x v="1"/>
    <x v="8"/>
    <n v="0"/>
    <n v="0"/>
    <n v="87.647000000000006"/>
    <n v="87.647000000000006"/>
    <n v="87.647000000000006"/>
    <n v="87.647000000000006"/>
    <n v="538"/>
    <x v="1"/>
    <n v="0"/>
    <n v="0"/>
    <n v="22"/>
    <n v="62"/>
    <n v="0"/>
    <n v="288.39999999999998"/>
    <n v="179.13"/>
    <m/>
    <n v="305.09767316055417"/>
    <n v="184.97096880722503"/>
    <n v="0"/>
    <n v="25277.394799999998"/>
    <n v="15700.207110000001"/>
    <n v="0"/>
    <n v="26740.895759503092"/>
    <n v="16212.150503046854"/>
  </r>
  <r>
    <s v="Refaturamento - Regular"/>
    <x v="1"/>
    <x v="3"/>
    <x v="5"/>
    <x v="4"/>
    <x v="1"/>
    <x v="1"/>
    <x v="1"/>
    <x v="8"/>
    <n v="0"/>
    <n v="0"/>
    <n v="-8.4000000000000005E-2"/>
    <n v="-8.4000000000000005E-2"/>
    <n v="-8.4000000000000005E-2"/>
    <n v="-8.4000000000000005E-2"/>
    <n v="0"/>
    <x v="1"/>
    <n v="0"/>
    <n v="0"/>
    <n v="22"/>
    <n v="62"/>
    <n v="0"/>
    <n v="288.39999999999998"/>
    <n v="179.13"/>
    <m/>
    <n v="305.09767316055417"/>
    <n v="184.97096880722503"/>
    <n v="0"/>
    <n v="-24.2256"/>
    <n v="-15.04692"/>
    <n v="0"/>
    <n v="-25.62820454548655"/>
    <n v="-15.537561379806904"/>
  </r>
  <r>
    <s v="Sistema de Compensação"/>
    <x v="1"/>
    <x v="3"/>
    <x v="5"/>
    <x v="4"/>
    <x v="1"/>
    <x v="1"/>
    <x v="1"/>
    <x v="8"/>
    <n v="0"/>
    <n v="0"/>
    <n v="6.5000000000000002E-2"/>
    <n v="5.8500000000000003E-2"/>
    <n v="6.5000000000000002E-2"/>
    <n v="5.8500000000000003E-2"/>
    <n v="0"/>
    <x v="1"/>
    <n v="0"/>
    <n v="0"/>
    <n v="22"/>
    <n v="62"/>
    <n v="0"/>
    <n v="288.39999999999998"/>
    <n v="179.13"/>
    <m/>
    <n v="305.09767316055417"/>
    <n v="184.97096880722503"/>
    <n v="0"/>
    <n v="16.871400000000001"/>
    <n v="10.479105000000001"/>
    <n v="0"/>
    <n v="17.84821387989242"/>
    <n v="10.820801675222665"/>
  </r>
  <r>
    <s v="Regular"/>
    <x v="1"/>
    <x v="3"/>
    <x v="5"/>
    <x v="4"/>
    <x v="1"/>
    <x v="1"/>
    <x v="1"/>
    <x v="9"/>
    <n v="0"/>
    <n v="0"/>
    <n v="65.495000000000005"/>
    <n v="65.495000000000005"/>
    <n v="65.495000000000005"/>
    <n v="65.495000000000005"/>
    <n v="636"/>
    <x v="1"/>
    <n v="0"/>
    <n v="0"/>
    <n v="22"/>
    <n v="62"/>
    <n v="0"/>
    <n v="288.39999999999998"/>
    <n v="179.13"/>
    <m/>
    <n v="305.09767316055417"/>
    <n v="184.97096880722503"/>
    <n v="0"/>
    <n v="18888.758000000002"/>
    <n v="11732.119350000001"/>
    <n v="0"/>
    <n v="19982.372103650498"/>
    <n v="12114.673602029205"/>
  </r>
  <r>
    <s v="Regular"/>
    <x v="1"/>
    <x v="3"/>
    <x v="5"/>
    <x v="4"/>
    <x v="1"/>
    <x v="1"/>
    <x v="1"/>
    <x v="10"/>
    <n v="0"/>
    <n v="0"/>
    <n v="77.677999999999997"/>
    <n v="77.677999999999997"/>
    <n v="77.677999999999997"/>
    <n v="77.677999999999997"/>
    <n v="771"/>
    <x v="1"/>
    <n v="0"/>
    <n v="0"/>
    <n v="22"/>
    <n v="62"/>
    <n v="0"/>
    <n v="288.39999999999998"/>
    <n v="179.13"/>
    <m/>
    <n v="305.09767316055417"/>
    <n v="184.97096880722503"/>
    <n v="0"/>
    <n v="22402.335199999998"/>
    <n v="13914.460139999999"/>
    <n v="0"/>
    <n v="23699.377055765526"/>
    <n v="14368.174915007627"/>
  </r>
  <r>
    <s v="Sistema de Compensação"/>
    <x v="1"/>
    <x v="3"/>
    <x v="5"/>
    <x v="4"/>
    <x v="1"/>
    <x v="1"/>
    <x v="1"/>
    <x v="10"/>
    <n v="0"/>
    <n v="0"/>
    <n v="4.7E-2"/>
    <n v="4.2299999999999997E-2"/>
    <n v="4.7E-2"/>
    <n v="4.2299999999999997E-2"/>
    <n v="0"/>
    <x v="1"/>
    <n v="0"/>
    <n v="0"/>
    <n v="22"/>
    <n v="62"/>
    <n v="0"/>
    <n v="288.39999999999998"/>
    <n v="179.13"/>
    <m/>
    <n v="305.09767316055417"/>
    <n v="184.97096880722503"/>
    <n v="0"/>
    <n v="12.199319999999998"/>
    <n v="7.5771989999999994"/>
    <n v="0"/>
    <n v="12.905631574691441"/>
    <n v="7.8242719805456185"/>
  </r>
  <r>
    <s v="Regular"/>
    <x v="1"/>
    <x v="3"/>
    <x v="5"/>
    <x v="4"/>
    <x v="1"/>
    <x v="1"/>
    <x v="1"/>
    <x v="11"/>
    <n v="0"/>
    <n v="0"/>
    <n v="79.436999999999998"/>
    <n v="79.436999999999998"/>
    <n v="79.436999999999998"/>
    <n v="79.436999999999998"/>
    <n v="738"/>
    <x v="1"/>
    <n v="0"/>
    <n v="0"/>
    <n v="22"/>
    <n v="62"/>
    <n v="0"/>
    <n v="288.39999999999998"/>
    <n v="179.13"/>
    <m/>
    <n v="305.09767316055417"/>
    <n v="184.97096880722503"/>
    <n v="0"/>
    <n v="22909.630799999999"/>
    <n v="14229.549809999999"/>
    <n v="0"/>
    <n v="24236.043862854942"/>
    <n v="14693.538849139535"/>
  </r>
  <r>
    <s v="Sistema de Compensação"/>
    <x v="1"/>
    <x v="3"/>
    <x v="5"/>
    <x v="4"/>
    <x v="1"/>
    <x v="1"/>
    <x v="1"/>
    <x v="11"/>
    <n v="0"/>
    <n v="0"/>
    <n v="8.5999999999999993E-2"/>
    <n v="6.88E-2"/>
    <n v="8.5999999999999993E-2"/>
    <n v="6.88E-2"/>
    <n v="1"/>
    <x v="1"/>
    <n v="0"/>
    <n v="0"/>
    <n v="22"/>
    <n v="62"/>
    <n v="0"/>
    <n v="288.39999999999998"/>
    <n v="179.13"/>
    <m/>
    <n v="305.09767316055417"/>
    <n v="184.97096880722503"/>
    <n v="0"/>
    <n v="19.841919999999998"/>
    <n v="12.324144"/>
    <n v="0"/>
    <n v="20.990719913446128"/>
    <n v="12.726002653937082"/>
  </r>
  <r>
    <s v="Regular"/>
    <x v="1"/>
    <x v="3"/>
    <x v="5"/>
    <x v="5"/>
    <x v="1"/>
    <x v="1"/>
    <x v="1"/>
    <x v="0"/>
    <n v="0"/>
    <n v="0"/>
    <n v="12.297000000000001"/>
    <n v="12.297000000000001"/>
    <n v="12.297000000000001"/>
    <n v="12.297000000000001"/>
    <n v="196"/>
    <x v="1"/>
    <n v="0"/>
    <n v="0"/>
    <n v="23"/>
    <n v="63"/>
    <n v="0"/>
    <n v="320.44"/>
    <n v="199.03"/>
    <m/>
    <n v="338.99741462283794"/>
    <n v="205.52329867469447"/>
    <n v="0"/>
    <n v="3940.4506800000004"/>
    <n v="2447.4719100000002"/>
    <n v="0"/>
    <n v="4168.6512076170384"/>
    <n v="2527.320003802718"/>
  </r>
  <r>
    <s v="Refaturamento - Regular"/>
    <x v="1"/>
    <x v="3"/>
    <x v="5"/>
    <x v="5"/>
    <x v="1"/>
    <x v="1"/>
    <x v="1"/>
    <x v="0"/>
    <n v="0"/>
    <n v="0"/>
    <n v="-0.03"/>
    <n v="-0.03"/>
    <n v="-0.03"/>
    <n v="-0.03"/>
    <n v="0"/>
    <x v="1"/>
    <n v="0"/>
    <n v="0"/>
    <n v="23"/>
    <n v="63"/>
    <n v="0"/>
    <n v="320.44"/>
    <n v="199.03"/>
    <m/>
    <n v="338.99741462283794"/>
    <n v="205.52329867469447"/>
    <n v="0"/>
    <n v="-9.6131999999999991"/>
    <n v="-5.9708999999999994"/>
    <n v="0"/>
    <n v="-10.169922438685138"/>
    <n v="-6.1656989602408343"/>
  </r>
  <r>
    <s v="Regular"/>
    <x v="1"/>
    <x v="3"/>
    <x v="5"/>
    <x v="5"/>
    <x v="1"/>
    <x v="1"/>
    <x v="1"/>
    <x v="1"/>
    <n v="0"/>
    <n v="0"/>
    <n v="16.533000000000001"/>
    <n v="16.533000000000001"/>
    <n v="16.533000000000001"/>
    <n v="16.533000000000001"/>
    <n v="233"/>
    <x v="1"/>
    <n v="0"/>
    <n v="0"/>
    <n v="23"/>
    <n v="63"/>
    <n v="0"/>
    <n v="320.44"/>
    <n v="199.03"/>
    <m/>
    <n v="338.99741462283794"/>
    <n v="205.52329867469447"/>
    <n v="0"/>
    <n v="5297.8345200000003"/>
    <n v="3290.5629900000004"/>
    <n v="0"/>
    <n v="5604.6442559593797"/>
    <n v="3397.9166969887242"/>
  </r>
  <r>
    <s v="Regular"/>
    <x v="1"/>
    <x v="3"/>
    <x v="5"/>
    <x v="5"/>
    <x v="1"/>
    <x v="1"/>
    <x v="1"/>
    <x v="2"/>
    <n v="0"/>
    <n v="0"/>
    <n v="14.256"/>
    <n v="14.256"/>
    <n v="14.256"/>
    <n v="14.256"/>
    <n v="222"/>
    <x v="1"/>
    <n v="0"/>
    <n v="0"/>
    <n v="23"/>
    <n v="63"/>
    <n v="0"/>
    <n v="320.44"/>
    <n v="199.03"/>
    <m/>
    <n v="338.99741462283794"/>
    <n v="205.52329867469447"/>
    <n v="0"/>
    <n v="4568.1926400000002"/>
    <n v="2837.3716800000002"/>
    <n v="0"/>
    <n v="4832.7471428631779"/>
    <n v="2929.9401459064443"/>
  </r>
  <r>
    <s v="Regular"/>
    <x v="1"/>
    <x v="3"/>
    <x v="5"/>
    <x v="5"/>
    <x v="1"/>
    <x v="1"/>
    <x v="1"/>
    <x v="3"/>
    <n v="0"/>
    <n v="0"/>
    <n v="15.997999999999999"/>
    <n v="15.997999999999999"/>
    <n v="15.997999999999999"/>
    <n v="15.997999999999999"/>
    <n v="244"/>
    <x v="1"/>
    <n v="0"/>
    <n v="0"/>
    <n v="23"/>
    <n v="63"/>
    <n v="0"/>
    <n v="320.44"/>
    <n v="199.03"/>
    <m/>
    <n v="338.99741462283794"/>
    <n v="205.52329867469447"/>
    <n v="0"/>
    <n v="5126.39912"/>
    <n v="3184.08194"/>
    <n v="0"/>
    <n v="5423.280639136161"/>
    <n v="3287.9617321977621"/>
  </r>
  <r>
    <s v="Regular"/>
    <x v="1"/>
    <x v="3"/>
    <x v="5"/>
    <x v="5"/>
    <x v="1"/>
    <x v="1"/>
    <x v="1"/>
    <x v="4"/>
    <n v="0"/>
    <n v="0"/>
    <n v="22.010999999999999"/>
    <n v="22.010999999999999"/>
    <n v="22.010999999999999"/>
    <n v="22.010999999999999"/>
    <n v="303"/>
    <x v="1"/>
    <n v="0"/>
    <n v="0"/>
    <n v="23"/>
    <n v="63"/>
    <n v="0"/>
    <n v="320.44"/>
    <n v="199.03"/>
    <m/>
    <n v="338.99741462283794"/>
    <n v="205.52329867469447"/>
    <n v="0"/>
    <n v="7053.2048399999994"/>
    <n v="4380.84933"/>
    <n v="0"/>
    <n v="7461.6720932632852"/>
    <n v="4523.7733271286997"/>
  </r>
  <r>
    <s v="Regular"/>
    <x v="1"/>
    <x v="3"/>
    <x v="5"/>
    <x v="5"/>
    <x v="1"/>
    <x v="1"/>
    <x v="1"/>
    <x v="5"/>
    <n v="0"/>
    <n v="0"/>
    <n v="25.661000000000001"/>
    <n v="25.661000000000001"/>
    <n v="25.661000000000001"/>
    <n v="25.661000000000001"/>
    <n v="354"/>
    <x v="1"/>
    <n v="0"/>
    <n v="0"/>
    <n v="23"/>
    <n v="63"/>
    <n v="0"/>
    <n v="320.44"/>
    <n v="199.03"/>
    <m/>
    <n v="338.99741462283794"/>
    <n v="205.52329867469447"/>
    <n v="0"/>
    <n v="8222.8108400000001"/>
    <n v="5107.3088299999999"/>
    <n v="0"/>
    <n v="8699.0126566366453"/>
    <n v="5273.9333672913353"/>
  </r>
  <r>
    <s v="Regular"/>
    <x v="1"/>
    <x v="3"/>
    <x v="5"/>
    <x v="5"/>
    <x v="1"/>
    <x v="1"/>
    <x v="1"/>
    <x v="6"/>
    <n v="0"/>
    <n v="0"/>
    <n v="47.101999999999997"/>
    <n v="47.101999999999997"/>
    <n v="47.101999999999997"/>
    <n v="47.101999999999997"/>
    <n v="453"/>
    <x v="1"/>
    <n v="0"/>
    <n v="0"/>
    <n v="23"/>
    <n v="63"/>
    <n v="0"/>
    <n v="320.44"/>
    <n v="199.03"/>
    <m/>
    <n v="338.99741462283794"/>
    <n v="205.52329867469447"/>
    <n v="0"/>
    <n v="15093.364879999999"/>
    <n v="9374.7110599999996"/>
    <n v="0"/>
    <n v="15967.456223564912"/>
    <n v="9680.5584141754589"/>
  </r>
  <r>
    <s v="Refaturamento - Regular"/>
    <x v="1"/>
    <x v="3"/>
    <x v="5"/>
    <x v="5"/>
    <x v="1"/>
    <x v="1"/>
    <x v="1"/>
    <x v="6"/>
    <n v="0"/>
    <n v="0"/>
    <n v="0.24"/>
    <n v="0.24"/>
    <n v="0.24"/>
    <n v="0.24"/>
    <n v="0"/>
    <x v="1"/>
    <n v="0"/>
    <n v="0"/>
    <n v="23"/>
    <n v="63"/>
    <n v="0"/>
    <n v="320.44"/>
    <n v="199.03"/>
    <m/>
    <n v="338.99741462283794"/>
    <n v="205.52329867469447"/>
    <n v="0"/>
    <n v="76.905599999999993"/>
    <n v="47.767199999999995"/>
    <n v="0"/>
    <n v="81.359379509481101"/>
    <n v="49.325591681926674"/>
  </r>
  <r>
    <s v="Regular"/>
    <x v="1"/>
    <x v="3"/>
    <x v="5"/>
    <x v="5"/>
    <x v="1"/>
    <x v="1"/>
    <x v="1"/>
    <x v="7"/>
    <n v="0"/>
    <n v="0"/>
    <n v="70.347999999999999"/>
    <n v="70.347999999999999"/>
    <n v="70.347999999999999"/>
    <n v="70.347999999999999"/>
    <n v="564"/>
    <x v="1"/>
    <n v="0"/>
    <n v="0"/>
    <n v="23"/>
    <n v="63"/>
    <n v="0"/>
    <n v="320.44"/>
    <n v="199.03"/>
    <m/>
    <n v="338.99741462283794"/>
    <n v="205.52329867469447"/>
    <n v="0"/>
    <n v="22542.313119999999"/>
    <n v="14001.362439999999"/>
    <n v="0"/>
    <n v="23847.790123887404"/>
    <n v="14458.153015167407"/>
  </r>
  <r>
    <s v="Refaturamento - Regular"/>
    <x v="1"/>
    <x v="3"/>
    <x v="5"/>
    <x v="5"/>
    <x v="1"/>
    <x v="1"/>
    <x v="1"/>
    <x v="7"/>
    <n v="0"/>
    <n v="0"/>
    <n v="-0.61499999999999999"/>
    <n v="-0.61499999999999999"/>
    <n v="-0.61499999999999999"/>
    <n v="-0.61499999999999999"/>
    <n v="0"/>
    <x v="1"/>
    <n v="0"/>
    <n v="0"/>
    <n v="23"/>
    <n v="63"/>
    <n v="0"/>
    <n v="320.44"/>
    <n v="199.03"/>
    <m/>
    <n v="338.99741462283794"/>
    <n v="205.52329867469447"/>
    <n v="0"/>
    <n v="-197.07059999999998"/>
    <n v="-122.40344999999999"/>
    <n v="0"/>
    <n v="-208.48340999304534"/>
    <n v="-126.39682868493711"/>
  </r>
  <r>
    <s v="Sistema de Compensação"/>
    <x v="1"/>
    <x v="3"/>
    <x v="5"/>
    <x v="5"/>
    <x v="1"/>
    <x v="1"/>
    <x v="1"/>
    <x v="7"/>
    <n v="0"/>
    <n v="0"/>
    <n v="1.4E-2"/>
    <n v="1.4E-2"/>
    <n v="1.4E-2"/>
    <n v="1.4E-2"/>
    <n v="1"/>
    <x v="1"/>
    <n v="0"/>
    <n v="0"/>
    <n v="23"/>
    <n v="63"/>
    <n v="0"/>
    <n v="320.44"/>
    <n v="199.03"/>
    <m/>
    <n v="338.99741462283794"/>
    <n v="205.52329867469447"/>
    <n v="0"/>
    <n v="4.4861599999999999"/>
    <n v="2.7864200000000001"/>
    <n v="0"/>
    <n v="4.7459638047197314"/>
    <n v="2.8773261814457225"/>
  </r>
  <r>
    <s v="Regular"/>
    <x v="1"/>
    <x v="3"/>
    <x v="5"/>
    <x v="5"/>
    <x v="1"/>
    <x v="1"/>
    <x v="1"/>
    <x v="8"/>
    <n v="0"/>
    <n v="0"/>
    <n v="43.421999999999997"/>
    <n v="43.421999999999997"/>
    <n v="43.421999999999997"/>
    <n v="43.421999999999997"/>
    <n v="447"/>
    <x v="1"/>
    <n v="0"/>
    <n v="0"/>
    <n v="23"/>
    <n v="63"/>
    <n v="0"/>
    <n v="320.44"/>
    <n v="199.03"/>
    <m/>
    <n v="338.99741462283794"/>
    <n v="205.52329867469447"/>
    <n v="0"/>
    <n v="13914.14568"/>
    <n v="8642.2806600000004"/>
    <n v="0"/>
    <n v="14719.945737752867"/>
    <n v="8924.2326750525826"/>
  </r>
  <r>
    <s v="Refaturamento - Regular"/>
    <x v="1"/>
    <x v="3"/>
    <x v="5"/>
    <x v="5"/>
    <x v="1"/>
    <x v="1"/>
    <x v="1"/>
    <x v="8"/>
    <n v="0"/>
    <n v="0"/>
    <n v="-0.43099999999999999"/>
    <n v="-0.43099999999999999"/>
    <n v="-0.43099999999999999"/>
    <n v="-0.43099999999999999"/>
    <n v="0"/>
    <x v="1"/>
    <n v="0"/>
    <n v="0"/>
    <n v="23"/>
    <n v="63"/>
    <n v="0"/>
    <n v="320.44"/>
    <n v="199.03"/>
    <m/>
    <n v="338.99741462283794"/>
    <n v="205.52329867469447"/>
    <n v="0"/>
    <n v="-138.10963999999998"/>
    <n v="-85.781930000000003"/>
    <n v="0"/>
    <n v="-146.10788570244316"/>
    <n v="-88.580541728793321"/>
  </r>
  <r>
    <s v="Regular"/>
    <x v="1"/>
    <x v="3"/>
    <x v="5"/>
    <x v="5"/>
    <x v="1"/>
    <x v="1"/>
    <x v="1"/>
    <x v="9"/>
    <n v="0"/>
    <n v="0"/>
    <n v="17.241"/>
    <n v="17.241"/>
    <n v="17.241"/>
    <n v="17.241"/>
    <n v="245"/>
    <x v="1"/>
    <n v="0"/>
    <n v="0"/>
    <n v="23"/>
    <n v="63"/>
    <n v="0"/>
    <n v="320.44"/>
    <n v="199.03"/>
    <m/>
    <n v="338.99741462283794"/>
    <n v="205.52329867469447"/>
    <n v="0"/>
    <n v="5524.70604"/>
    <n v="3431.4762299999998"/>
    <n v="0"/>
    <n v="5844.654425512349"/>
    <n v="3543.4271924504073"/>
  </r>
  <r>
    <s v="Regular"/>
    <x v="1"/>
    <x v="3"/>
    <x v="5"/>
    <x v="5"/>
    <x v="1"/>
    <x v="1"/>
    <x v="1"/>
    <x v="10"/>
    <n v="0"/>
    <n v="0"/>
    <n v="22.236000000000001"/>
    <n v="22.236000000000001"/>
    <n v="22.236000000000001"/>
    <n v="22.236000000000001"/>
    <n v="294"/>
    <x v="1"/>
    <n v="0"/>
    <n v="0"/>
    <n v="23"/>
    <n v="63"/>
    <n v="0"/>
    <n v="320.44"/>
    <n v="199.03"/>
    <m/>
    <n v="338.99741462283794"/>
    <n v="205.52329867469447"/>
    <n v="0"/>
    <n v="7125.3038400000005"/>
    <n v="4425.6310800000001"/>
    <n v="0"/>
    <n v="7537.9465115534249"/>
    <n v="4570.0160693305061"/>
  </r>
  <r>
    <s v="Regular"/>
    <x v="1"/>
    <x v="3"/>
    <x v="5"/>
    <x v="5"/>
    <x v="1"/>
    <x v="1"/>
    <x v="1"/>
    <x v="11"/>
    <n v="0"/>
    <n v="0"/>
    <n v="25.146999999999998"/>
    <n v="25.146999999999998"/>
    <n v="25.146999999999998"/>
    <n v="25.146999999999998"/>
    <n v="316"/>
    <x v="1"/>
    <n v="0"/>
    <n v="0"/>
    <n v="23"/>
    <n v="63"/>
    <n v="0"/>
    <n v="320.44"/>
    <n v="199.03"/>
    <m/>
    <n v="338.99741462283794"/>
    <n v="205.52329867469447"/>
    <n v="0"/>
    <n v="8058.1046799999995"/>
    <n v="5005.0074100000002"/>
    <n v="0"/>
    <n v="8524.7679855205042"/>
    <n v="5168.2943917725415"/>
  </r>
  <r>
    <s v="Regular"/>
    <x v="2"/>
    <x v="2"/>
    <x v="4"/>
    <x v="0"/>
    <x v="1"/>
    <x v="1"/>
    <x v="0"/>
    <x v="1"/>
    <n v="0"/>
    <n v="0"/>
    <n v="0.13700000000000001"/>
    <n v="0.13700000000000001"/>
    <n v="0.13700000000000001"/>
    <n v="0.13700000000000001"/>
    <n v="0"/>
    <x v="1"/>
    <n v="0"/>
    <n v="0"/>
    <n v="31"/>
    <n v="71"/>
    <n v="0"/>
    <n v="243.73"/>
    <n v="167.16"/>
    <m/>
    <n v="308.75483518149031"/>
    <n v="184.1432479319173"/>
    <n v="0"/>
    <n v="33.391010000000001"/>
    <n v="22.900920000000003"/>
    <n v="0"/>
    <n v="42.299412419864176"/>
    <n v="25.227624966672671"/>
  </r>
  <r>
    <s v="Regular"/>
    <x v="2"/>
    <x v="2"/>
    <x v="4"/>
    <x v="0"/>
    <x v="1"/>
    <x v="1"/>
    <x v="0"/>
    <x v="3"/>
    <n v="0"/>
    <n v="0"/>
    <n v="0.44500000000000001"/>
    <n v="0.44500000000000001"/>
    <n v="0.44500000000000001"/>
    <n v="0.44500000000000001"/>
    <n v="0"/>
    <x v="1"/>
    <n v="0"/>
    <n v="0"/>
    <n v="31"/>
    <n v="71"/>
    <n v="0"/>
    <n v="243.73"/>
    <n v="167.16"/>
    <m/>
    <n v="308.75483518149031"/>
    <n v="184.1432479319173"/>
    <n v="0"/>
    <n v="108.45985"/>
    <n v="74.386200000000002"/>
    <n v="0"/>
    <n v="137.3959016557632"/>
    <n v="81.943745329703205"/>
  </r>
  <r>
    <s v="Regular"/>
    <x v="2"/>
    <x v="2"/>
    <x v="4"/>
    <x v="0"/>
    <x v="1"/>
    <x v="1"/>
    <x v="0"/>
    <x v="4"/>
    <n v="0"/>
    <n v="0"/>
    <n v="0.26400000000000001"/>
    <n v="0.26400000000000001"/>
    <n v="0.26400000000000001"/>
    <n v="0.26400000000000001"/>
    <n v="0"/>
    <x v="1"/>
    <n v="0"/>
    <n v="0"/>
    <n v="31"/>
    <n v="71"/>
    <n v="0"/>
    <n v="243.73"/>
    <n v="167.16"/>
    <m/>
    <n v="308.75483518149031"/>
    <n v="184.1432479319173"/>
    <n v="0"/>
    <n v="64.344719999999995"/>
    <n v="44.130240000000001"/>
    <n v="0"/>
    <n v="81.511276487913449"/>
    <n v="48.613817454026169"/>
  </r>
  <r>
    <s v="Regular"/>
    <x v="2"/>
    <x v="2"/>
    <x v="4"/>
    <x v="0"/>
    <x v="1"/>
    <x v="1"/>
    <x v="0"/>
    <x v="5"/>
    <n v="0"/>
    <n v="0"/>
    <n v="0.33200000000000002"/>
    <n v="0.33200000000000002"/>
    <n v="0.33200000000000002"/>
    <n v="0.33200000000000002"/>
    <n v="0"/>
    <x v="1"/>
    <n v="0"/>
    <n v="0"/>
    <n v="31"/>
    <n v="71"/>
    <n v="0"/>
    <n v="243.73"/>
    <n v="167.16"/>
    <m/>
    <n v="308.75483518149031"/>
    <n v="184.1432479319173"/>
    <n v="0"/>
    <n v="80.918360000000007"/>
    <n v="55.497120000000002"/>
    <n v="0"/>
    <n v="102.50660528025479"/>
    <n v="61.135558313396544"/>
  </r>
  <r>
    <s v="Regular"/>
    <x v="2"/>
    <x v="2"/>
    <x v="4"/>
    <x v="0"/>
    <x v="1"/>
    <x v="1"/>
    <x v="0"/>
    <x v="6"/>
    <n v="0"/>
    <n v="0"/>
    <n v="0.27600000000000002"/>
    <n v="0.27600000000000002"/>
    <n v="0.27600000000000002"/>
    <n v="0.27600000000000002"/>
    <n v="0"/>
    <x v="1"/>
    <n v="0"/>
    <n v="0"/>
    <n v="31"/>
    <n v="71"/>
    <n v="0"/>
    <n v="243.73"/>
    <n v="167.16"/>
    <m/>
    <n v="308.75483518149031"/>
    <n v="184.1432479319173"/>
    <n v="0"/>
    <n v="67.269480000000001"/>
    <n v="46.136160000000004"/>
    <n v="0"/>
    <n v="85.216334510091329"/>
    <n v="50.823536429209177"/>
  </r>
  <r>
    <s v="Regular"/>
    <x v="2"/>
    <x v="2"/>
    <x v="4"/>
    <x v="0"/>
    <x v="1"/>
    <x v="1"/>
    <x v="0"/>
    <x v="7"/>
    <n v="0"/>
    <n v="0"/>
    <n v="0.28100000000000003"/>
    <n v="0.28100000000000003"/>
    <n v="0.28100000000000003"/>
    <n v="0.28100000000000003"/>
    <n v="0"/>
    <x v="1"/>
    <n v="0"/>
    <n v="0"/>
    <n v="31"/>
    <n v="71"/>
    <n v="0"/>
    <n v="243.73"/>
    <n v="167.16"/>
    <m/>
    <n v="308.75483518149031"/>
    <n v="184.1432479319173"/>
    <n v="0"/>
    <n v="68.488129999999998"/>
    <n v="46.971960000000003"/>
    <n v="0"/>
    <n v="86.760108685998787"/>
    <n v="51.744252668868768"/>
  </r>
  <r>
    <s v="Regular"/>
    <x v="2"/>
    <x v="2"/>
    <x v="4"/>
    <x v="0"/>
    <x v="1"/>
    <x v="1"/>
    <x v="0"/>
    <x v="8"/>
    <n v="0"/>
    <n v="0"/>
    <n v="0.24199999999999999"/>
    <n v="0.24199999999999999"/>
    <n v="0.24199999999999999"/>
    <n v="0.24199999999999999"/>
    <n v="0"/>
    <x v="1"/>
    <n v="0"/>
    <n v="0"/>
    <n v="31"/>
    <n v="71"/>
    <n v="0"/>
    <n v="243.73"/>
    <n v="167.16"/>
    <m/>
    <n v="308.75483518149031"/>
    <n v="184.1432479319173"/>
    <n v="0"/>
    <n v="58.982659999999996"/>
    <n v="40.452719999999999"/>
    <n v="0"/>
    <n v="74.718670113920652"/>
    <n v="44.562665999523986"/>
  </r>
  <r>
    <s v="Regular"/>
    <x v="2"/>
    <x v="2"/>
    <x v="4"/>
    <x v="0"/>
    <x v="1"/>
    <x v="1"/>
    <x v="0"/>
    <x v="9"/>
    <n v="0"/>
    <n v="0"/>
    <n v="0.2"/>
    <n v="0.2"/>
    <n v="0.2"/>
    <n v="0.2"/>
    <n v="0"/>
    <x v="1"/>
    <n v="0"/>
    <n v="0"/>
    <n v="31"/>
    <n v="71"/>
    <n v="0"/>
    <n v="243.73"/>
    <n v="167.16"/>
    <m/>
    <n v="308.75483518149031"/>
    <n v="184.1432479319173"/>
    <n v="0"/>
    <n v="48.746000000000002"/>
    <n v="33.432000000000002"/>
    <n v="0"/>
    <n v="61.750967036298064"/>
    <n v="36.828649586383463"/>
  </r>
  <r>
    <s v="Regular"/>
    <x v="2"/>
    <x v="2"/>
    <x v="4"/>
    <x v="0"/>
    <x v="1"/>
    <x v="1"/>
    <x v="0"/>
    <x v="10"/>
    <n v="0"/>
    <n v="0"/>
    <n v="0.16"/>
    <n v="0.16"/>
    <n v="0.16"/>
    <n v="0.16"/>
    <n v="0"/>
    <x v="1"/>
    <n v="0"/>
    <n v="0"/>
    <n v="31"/>
    <n v="71"/>
    <n v="0"/>
    <n v="243.73"/>
    <n v="167.16"/>
    <m/>
    <n v="308.75483518149031"/>
    <n v="184.1432479319173"/>
    <n v="0"/>
    <n v="38.9968"/>
    <n v="26.7456"/>
    <n v="0"/>
    <n v="49.400773629038447"/>
    <n v="29.462919669106768"/>
  </r>
  <r>
    <s v="Regular"/>
    <x v="2"/>
    <x v="2"/>
    <x v="4"/>
    <x v="0"/>
    <x v="1"/>
    <x v="1"/>
    <x v="0"/>
    <x v="11"/>
    <n v="0"/>
    <n v="0"/>
    <n v="0.16"/>
    <n v="0.16"/>
    <n v="0.16"/>
    <n v="0.16"/>
    <n v="0"/>
    <x v="1"/>
    <n v="0"/>
    <n v="0"/>
    <n v="31"/>
    <n v="71"/>
    <n v="0"/>
    <n v="243.73"/>
    <n v="167.16"/>
    <m/>
    <n v="308.75483518149031"/>
    <n v="184.1432479319173"/>
    <n v="0"/>
    <n v="38.9968"/>
    <n v="26.7456"/>
    <n v="0"/>
    <n v="49.400773629038447"/>
    <n v="29.462919669106768"/>
  </r>
  <r>
    <s v="Regular"/>
    <x v="2"/>
    <x v="2"/>
    <x v="4"/>
    <x v="0"/>
    <x v="1"/>
    <x v="1"/>
    <x v="3"/>
    <x v="1"/>
    <n v="0"/>
    <n v="0"/>
    <n v="1.7000000000000001E-2"/>
    <n v="1.7000000000000001E-2"/>
    <n v="1.7000000000000001E-2"/>
    <n v="1.7000000000000001E-2"/>
    <n v="0"/>
    <x v="1"/>
    <n v="0"/>
    <n v="0"/>
    <n v="30"/>
    <n v="70"/>
    <n v="0"/>
    <n v="533.92999999999995"/>
    <n v="167.16"/>
    <m/>
    <n v="685.07427471052529"/>
    <n v="184.1432479319173"/>
    <n v="0"/>
    <n v="9.07681"/>
    <n v="2.84172"/>
    <n v="0"/>
    <n v="11.646262670078931"/>
    <n v="3.1304352148425942"/>
  </r>
  <r>
    <s v="Regular"/>
    <x v="2"/>
    <x v="2"/>
    <x v="4"/>
    <x v="0"/>
    <x v="1"/>
    <x v="1"/>
    <x v="3"/>
    <x v="3"/>
    <n v="0"/>
    <n v="0"/>
    <n v="1.4999999999999999E-2"/>
    <n v="1.4999999999999999E-2"/>
    <n v="1.4999999999999999E-2"/>
    <n v="1.4999999999999999E-2"/>
    <n v="0"/>
    <x v="1"/>
    <n v="0"/>
    <n v="0"/>
    <n v="30"/>
    <n v="70"/>
    <n v="0"/>
    <n v="533.92999999999995"/>
    <n v="167.16"/>
    <m/>
    <n v="685.07427471052529"/>
    <n v="184.1432479319173"/>
    <n v="0"/>
    <n v="8.0089499999999987"/>
    <n v="2.5074000000000001"/>
    <n v="0"/>
    <n v="10.276114120657878"/>
    <n v="2.7621487189787595"/>
  </r>
  <r>
    <s v="Regular"/>
    <x v="2"/>
    <x v="2"/>
    <x v="4"/>
    <x v="0"/>
    <x v="1"/>
    <x v="1"/>
    <x v="3"/>
    <x v="4"/>
    <n v="0"/>
    <n v="0"/>
    <n v="2.5999999999999999E-2"/>
    <n v="2.5999999999999999E-2"/>
    <n v="2.5999999999999999E-2"/>
    <n v="2.5999999999999999E-2"/>
    <n v="0"/>
    <x v="1"/>
    <n v="0"/>
    <n v="0"/>
    <n v="30"/>
    <n v="70"/>
    <n v="0"/>
    <n v="533.92999999999995"/>
    <n v="167.16"/>
    <m/>
    <n v="685.07427471052529"/>
    <n v="184.1432479319173"/>
    <n v="0"/>
    <n v="13.882179999999998"/>
    <n v="4.3461599999999994"/>
    <n v="0"/>
    <n v="17.811931142473657"/>
    <n v="4.7877244462298494"/>
  </r>
  <r>
    <s v="Regular"/>
    <x v="2"/>
    <x v="2"/>
    <x v="4"/>
    <x v="0"/>
    <x v="1"/>
    <x v="1"/>
    <x v="3"/>
    <x v="5"/>
    <n v="0"/>
    <n v="0"/>
    <n v="3.3000000000000002E-2"/>
    <n v="3.3000000000000002E-2"/>
    <n v="3.3000000000000002E-2"/>
    <n v="3.3000000000000002E-2"/>
    <n v="0"/>
    <x v="1"/>
    <n v="0"/>
    <n v="0"/>
    <n v="30"/>
    <n v="70"/>
    <n v="0"/>
    <n v="533.92999999999995"/>
    <n v="167.16"/>
    <m/>
    <n v="685.07427471052529"/>
    <n v="184.1432479319173"/>
    <n v="0"/>
    <n v="17.619689999999999"/>
    <n v="5.5162800000000001"/>
    <n v="0"/>
    <n v="22.607451065447336"/>
    <n v="6.0767271817532711"/>
  </r>
  <r>
    <s v="Regular"/>
    <x v="2"/>
    <x v="2"/>
    <x v="4"/>
    <x v="0"/>
    <x v="1"/>
    <x v="1"/>
    <x v="3"/>
    <x v="6"/>
    <n v="0"/>
    <n v="0"/>
    <n v="2.4E-2"/>
    <n v="2.4E-2"/>
    <n v="2.4E-2"/>
    <n v="2.4E-2"/>
    <n v="0"/>
    <x v="1"/>
    <n v="0"/>
    <n v="0"/>
    <n v="30"/>
    <n v="70"/>
    <n v="0"/>
    <n v="533.92999999999995"/>
    <n v="167.16"/>
    <m/>
    <n v="685.07427471052529"/>
    <n v="184.1432479319173"/>
    <n v="0"/>
    <n v="12.814319999999999"/>
    <n v="4.0118400000000003"/>
    <n v="0"/>
    <n v="16.441782593052608"/>
    <n v="4.4194379503660155"/>
  </r>
  <r>
    <s v="Regular"/>
    <x v="2"/>
    <x v="2"/>
    <x v="4"/>
    <x v="0"/>
    <x v="1"/>
    <x v="1"/>
    <x v="3"/>
    <x v="7"/>
    <n v="0"/>
    <n v="0"/>
    <n v="2.1000000000000001E-2"/>
    <n v="2.1000000000000001E-2"/>
    <n v="2.1000000000000001E-2"/>
    <n v="2.1000000000000001E-2"/>
    <n v="0"/>
    <x v="1"/>
    <n v="0"/>
    <n v="0"/>
    <n v="30"/>
    <n v="70"/>
    <n v="0"/>
    <n v="533.92999999999995"/>
    <n v="167.16"/>
    <m/>
    <n v="685.07427471052529"/>
    <n v="184.1432479319173"/>
    <n v="0"/>
    <n v="11.212529999999999"/>
    <n v="3.5103599999999999"/>
    <n v="0"/>
    <n v="14.386559768921032"/>
    <n v="3.8670082065702638"/>
  </r>
  <r>
    <s v="Regular"/>
    <x v="2"/>
    <x v="2"/>
    <x v="4"/>
    <x v="0"/>
    <x v="1"/>
    <x v="1"/>
    <x v="3"/>
    <x v="8"/>
    <n v="0"/>
    <n v="0"/>
    <n v="1.6E-2"/>
    <n v="1.6E-2"/>
    <n v="1.6E-2"/>
    <n v="1.6E-2"/>
    <n v="0"/>
    <x v="1"/>
    <n v="0"/>
    <n v="0"/>
    <n v="30"/>
    <n v="70"/>
    <n v="0"/>
    <n v="533.92999999999995"/>
    <n v="167.16"/>
    <m/>
    <n v="685.07427471052529"/>
    <n v="184.1432479319173"/>
    <n v="0"/>
    <n v="8.5428800000000003"/>
    <n v="2.67456"/>
    <n v="0"/>
    <n v="10.961188395368405"/>
    <n v="2.9462919669106769"/>
  </r>
  <r>
    <s v="Regular"/>
    <x v="2"/>
    <x v="2"/>
    <x v="4"/>
    <x v="0"/>
    <x v="1"/>
    <x v="1"/>
    <x v="3"/>
    <x v="9"/>
    <n v="0"/>
    <n v="0"/>
    <n v="1.7999999999999999E-2"/>
    <n v="1.7999999999999999E-2"/>
    <n v="1.7999999999999999E-2"/>
    <n v="1.7999999999999999E-2"/>
    <n v="0"/>
    <x v="1"/>
    <n v="0"/>
    <n v="0"/>
    <n v="30"/>
    <n v="70"/>
    <n v="0"/>
    <n v="533.92999999999995"/>
    <n v="167.16"/>
    <m/>
    <n v="685.07427471052529"/>
    <n v="184.1432479319173"/>
    <n v="0"/>
    <n v="9.6107399999999981"/>
    <n v="3.0088799999999996"/>
    <n v="0"/>
    <n v="12.331336944789454"/>
    <n v="3.3145784627745112"/>
  </r>
  <r>
    <s v="Regular"/>
    <x v="2"/>
    <x v="2"/>
    <x v="4"/>
    <x v="0"/>
    <x v="1"/>
    <x v="1"/>
    <x v="3"/>
    <x v="10"/>
    <n v="0"/>
    <n v="0"/>
    <n v="2.1999999999999999E-2"/>
    <n v="2.1999999999999999E-2"/>
    <n v="2.1999999999999999E-2"/>
    <n v="2.1999999999999999E-2"/>
    <n v="0"/>
    <x v="1"/>
    <n v="0"/>
    <n v="0"/>
    <n v="30"/>
    <n v="70"/>
    <n v="0"/>
    <n v="533.92999999999995"/>
    <n v="167.16"/>
    <m/>
    <n v="685.07427471052529"/>
    <n v="184.1432479319173"/>
    <n v="0"/>
    <n v="11.746459999999999"/>
    <n v="3.6775199999999999"/>
    <n v="0"/>
    <n v="15.071634043631555"/>
    <n v="4.0511514545021807"/>
  </r>
  <r>
    <s v="Regular"/>
    <x v="2"/>
    <x v="2"/>
    <x v="4"/>
    <x v="0"/>
    <x v="1"/>
    <x v="1"/>
    <x v="3"/>
    <x v="11"/>
    <n v="0"/>
    <n v="0"/>
    <n v="2.1999999999999999E-2"/>
    <n v="2.1999999999999999E-2"/>
    <n v="2.1999999999999999E-2"/>
    <n v="2.1999999999999999E-2"/>
    <n v="0"/>
    <x v="1"/>
    <n v="0"/>
    <n v="0"/>
    <n v="30"/>
    <n v="70"/>
    <n v="0"/>
    <n v="533.92999999999995"/>
    <n v="167.16"/>
    <m/>
    <n v="685.07427471052529"/>
    <n v="184.1432479319173"/>
    <n v="0"/>
    <n v="11.746459999999999"/>
    <n v="3.6775199999999999"/>
    <n v="0"/>
    <n v="15.071634043631555"/>
    <n v="4.0511514545021807"/>
  </r>
  <r>
    <s v="Regular"/>
    <x v="2"/>
    <x v="2"/>
    <x v="4"/>
    <x v="0"/>
    <x v="1"/>
    <x v="1"/>
    <x v="2"/>
    <x v="1"/>
    <n v="0"/>
    <n v="0"/>
    <n v="3.2000000000000001E-2"/>
    <n v="3.2000000000000001E-2"/>
    <n v="3.2000000000000001E-2"/>
    <n v="3.2000000000000001E-2"/>
    <n v="0"/>
    <x v="1"/>
    <n v="0"/>
    <n v="0"/>
    <n v="29"/>
    <n v="69"/>
    <n v="0"/>
    <n v="824.14"/>
    <n v="262.98"/>
    <m/>
    <n v="1061.3938140842067"/>
    <n v="292.72708179946335"/>
    <n v="0"/>
    <n v="26.372479999999999"/>
    <n v="8.4153600000000015"/>
    <n v="0"/>
    <n v="33.964602050694616"/>
    <n v="9.3672666175828265"/>
  </r>
  <r>
    <s v="Regular"/>
    <x v="2"/>
    <x v="2"/>
    <x v="4"/>
    <x v="0"/>
    <x v="1"/>
    <x v="1"/>
    <x v="2"/>
    <x v="3"/>
    <n v="0"/>
    <n v="0"/>
    <n v="2.9000000000000001E-2"/>
    <n v="2.9000000000000001E-2"/>
    <n v="2.9000000000000001E-2"/>
    <n v="2.9000000000000001E-2"/>
    <n v="0"/>
    <x v="1"/>
    <n v="0"/>
    <n v="0"/>
    <n v="29"/>
    <n v="69"/>
    <n v="0"/>
    <n v="824.14"/>
    <n v="262.98"/>
    <m/>
    <n v="1061.3938140842067"/>
    <n v="292.72708179946335"/>
    <n v="0"/>
    <n v="23.90006"/>
    <n v="7.6264200000000013"/>
    <n v="0"/>
    <n v="30.780420608441997"/>
    <n v="8.4890853721844373"/>
  </r>
  <r>
    <s v="Regular"/>
    <x v="2"/>
    <x v="2"/>
    <x v="4"/>
    <x v="0"/>
    <x v="1"/>
    <x v="1"/>
    <x v="2"/>
    <x v="4"/>
    <n v="0"/>
    <n v="0"/>
    <n v="3.4000000000000002E-2"/>
    <n v="3.4000000000000002E-2"/>
    <n v="3.4000000000000002E-2"/>
    <n v="3.4000000000000002E-2"/>
    <n v="0"/>
    <x v="1"/>
    <n v="0"/>
    <n v="0"/>
    <n v="29"/>
    <n v="69"/>
    <n v="0"/>
    <n v="824.14"/>
    <n v="262.98"/>
    <m/>
    <n v="1061.3938140842067"/>
    <n v="292.72708179946335"/>
    <n v="0"/>
    <n v="28.020760000000003"/>
    <n v="8.941320000000001"/>
    <n v="0"/>
    <n v="36.087389678863033"/>
    <n v="9.9527207811817551"/>
  </r>
  <r>
    <s v="Regular"/>
    <x v="2"/>
    <x v="2"/>
    <x v="4"/>
    <x v="0"/>
    <x v="1"/>
    <x v="1"/>
    <x v="2"/>
    <x v="5"/>
    <n v="0"/>
    <n v="0"/>
    <n v="0.05"/>
    <n v="0.05"/>
    <n v="0.05"/>
    <n v="0.05"/>
    <n v="0"/>
    <x v="1"/>
    <n v="0"/>
    <n v="0"/>
    <n v="29"/>
    <n v="69"/>
    <n v="0"/>
    <n v="824.14"/>
    <n v="262.98"/>
    <m/>
    <n v="1061.3938140842067"/>
    <n v="292.72708179946335"/>
    <n v="0"/>
    <n v="41.207000000000001"/>
    <n v="13.149000000000001"/>
    <n v="0"/>
    <n v="53.069690704210338"/>
    <n v="14.636354089973167"/>
  </r>
  <r>
    <s v="Regular"/>
    <x v="2"/>
    <x v="2"/>
    <x v="4"/>
    <x v="0"/>
    <x v="1"/>
    <x v="1"/>
    <x v="2"/>
    <x v="6"/>
    <n v="0"/>
    <n v="0"/>
    <n v="3.5000000000000003E-2"/>
    <n v="3.5000000000000003E-2"/>
    <n v="3.5000000000000003E-2"/>
    <n v="3.5000000000000003E-2"/>
    <n v="0"/>
    <x v="1"/>
    <n v="0"/>
    <n v="0"/>
    <n v="29"/>
    <n v="69"/>
    <n v="0"/>
    <n v="824.14"/>
    <n v="262.98"/>
    <m/>
    <n v="1061.3938140842067"/>
    <n v="292.72708179946335"/>
    <n v="0"/>
    <n v="28.844900000000003"/>
    <n v="9.2043000000000017"/>
    <n v="0"/>
    <n v="37.148783492947238"/>
    <n v="10.245447862981218"/>
  </r>
  <r>
    <s v="Regular"/>
    <x v="2"/>
    <x v="2"/>
    <x v="4"/>
    <x v="0"/>
    <x v="1"/>
    <x v="1"/>
    <x v="2"/>
    <x v="7"/>
    <n v="0"/>
    <n v="0"/>
    <n v="3.5999999999999997E-2"/>
    <n v="3.5999999999999997E-2"/>
    <n v="3.5999999999999997E-2"/>
    <n v="3.5999999999999997E-2"/>
    <n v="0"/>
    <x v="1"/>
    <n v="0"/>
    <n v="0"/>
    <n v="29"/>
    <n v="69"/>
    <n v="0"/>
    <n v="824.14"/>
    <n v="262.98"/>
    <m/>
    <n v="1061.3938140842067"/>
    <n v="292.72708179946335"/>
    <n v="0"/>
    <n v="29.669039999999999"/>
    <n v="9.4672800000000006"/>
    <n v="0"/>
    <n v="38.210177307031437"/>
    <n v="10.53817494478068"/>
  </r>
  <r>
    <s v="Regular"/>
    <x v="2"/>
    <x v="2"/>
    <x v="4"/>
    <x v="0"/>
    <x v="1"/>
    <x v="1"/>
    <x v="2"/>
    <x v="8"/>
    <n v="0"/>
    <n v="0"/>
    <n v="0.03"/>
    <n v="0.03"/>
    <n v="0.03"/>
    <n v="0.03"/>
    <n v="0"/>
    <x v="1"/>
    <n v="0"/>
    <n v="0"/>
    <n v="29"/>
    <n v="69"/>
    <n v="0"/>
    <n v="824.14"/>
    <n v="262.98"/>
    <m/>
    <n v="1061.3938140842067"/>
    <n v="292.72708179946335"/>
    <n v="0"/>
    <n v="24.7242"/>
    <n v="7.8894000000000002"/>
    <n v="0"/>
    <n v="31.841814422526202"/>
    <n v="8.7818124539838998"/>
  </r>
  <r>
    <s v="Regular"/>
    <x v="2"/>
    <x v="2"/>
    <x v="4"/>
    <x v="0"/>
    <x v="1"/>
    <x v="1"/>
    <x v="2"/>
    <x v="9"/>
    <n v="0"/>
    <n v="0"/>
    <n v="3.1E-2"/>
    <n v="3.1E-2"/>
    <n v="3.1E-2"/>
    <n v="3.1E-2"/>
    <n v="0"/>
    <x v="1"/>
    <n v="0"/>
    <n v="0"/>
    <n v="29"/>
    <n v="69"/>
    <n v="0"/>
    <n v="824.14"/>
    <n v="262.98"/>
    <m/>
    <n v="1061.3938140842067"/>
    <n v="292.72708179946335"/>
    <n v="0"/>
    <n v="25.54834"/>
    <n v="8.1523800000000008"/>
    <n v="0"/>
    <n v="32.903208236610411"/>
    <n v="9.074539535783364"/>
  </r>
  <r>
    <s v="Regular"/>
    <x v="2"/>
    <x v="2"/>
    <x v="4"/>
    <x v="0"/>
    <x v="1"/>
    <x v="1"/>
    <x v="2"/>
    <x v="10"/>
    <n v="0"/>
    <n v="0"/>
    <n v="4.2000000000000003E-2"/>
    <n v="4.2000000000000003E-2"/>
    <n v="4.2000000000000003E-2"/>
    <n v="4.2000000000000003E-2"/>
    <n v="0"/>
    <x v="1"/>
    <n v="0"/>
    <n v="0"/>
    <n v="29"/>
    <n v="69"/>
    <n v="0"/>
    <n v="824.14"/>
    <n v="262.98"/>
    <m/>
    <n v="1061.3938140842067"/>
    <n v="292.72708179946335"/>
    <n v="0"/>
    <n v="34.613880000000002"/>
    <n v="11.045160000000001"/>
    <n v="0"/>
    <n v="44.578540191536682"/>
    <n v="12.294537435577462"/>
  </r>
  <r>
    <s v="Regular"/>
    <x v="2"/>
    <x v="2"/>
    <x v="4"/>
    <x v="0"/>
    <x v="1"/>
    <x v="1"/>
    <x v="2"/>
    <x v="11"/>
    <n v="0"/>
    <n v="0"/>
    <n v="4.2000000000000003E-2"/>
    <n v="4.2000000000000003E-2"/>
    <n v="4.2000000000000003E-2"/>
    <n v="4.2000000000000003E-2"/>
    <n v="0"/>
    <x v="1"/>
    <n v="0"/>
    <n v="0"/>
    <n v="29"/>
    <n v="69"/>
    <n v="0"/>
    <n v="824.14"/>
    <n v="262.98"/>
    <m/>
    <n v="1061.3938140842067"/>
    <n v="292.72708179946335"/>
    <n v="0"/>
    <n v="34.613880000000002"/>
    <n v="11.045160000000001"/>
    <n v="0"/>
    <n v="44.578540191536682"/>
    <n v="12.294537435577462"/>
  </r>
  <r>
    <s v="Regular"/>
    <x v="2"/>
    <x v="3"/>
    <x v="4"/>
    <x v="6"/>
    <x v="3"/>
    <x v="1"/>
    <x v="1"/>
    <x v="0"/>
    <n v="0"/>
    <n v="0"/>
    <n v="4.2359999999999998"/>
    <n v="4.2359999999999998"/>
    <n v="4.2359999999999998"/>
    <n v="4.2359999999999998"/>
    <n v="0"/>
    <x v="1"/>
    <n v="0"/>
    <n v="0"/>
    <n v="32"/>
    <n v="72"/>
    <n v="0"/>
    <n v="357.74"/>
    <n v="175.15"/>
    <m/>
    <n v="419.26134561460873"/>
    <n v="193.19190075421278"/>
    <n v="0"/>
    <n v="1515.3866399999999"/>
    <n v="741.93539999999996"/>
    <n v="0"/>
    <n v="1775.9910600234825"/>
    <n v="818.36089159484527"/>
  </r>
  <r>
    <s v="Regular"/>
    <x v="2"/>
    <x v="3"/>
    <x v="4"/>
    <x v="6"/>
    <x v="3"/>
    <x v="1"/>
    <x v="1"/>
    <x v="1"/>
    <n v="0"/>
    <n v="0"/>
    <n v="5.0670000000000002"/>
    <n v="5.0670000000000002"/>
    <n v="5.0670000000000002"/>
    <n v="5.0670000000000002"/>
    <n v="0"/>
    <x v="1"/>
    <n v="0"/>
    <n v="0"/>
    <n v="32"/>
    <n v="72"/>
    <n v="0"/>
    <n v="357.74"/>
    <n v="175.15"/>
    <m/>
    <n v="419.26134561460873"/>
    <n v="193.19190075421278"/>
    <n v="0"/>
    <n v="1812.66858"/>
    <n v="887.48505000000011"/>
    <n v="0"/>
    <n v="2124.3972382292227"/>
    <n v="978.90336112159616"/>
  </r>
  <r>
    <s v="Regular"/>
    <x v="2"/>
    <x v="3"/>
    <x v="4"/>
    <x v="6"/>
    <x v="3"/>
    <x v="1"/>
    <x v="1"/>
    <x v="2"/>
    <n v="0"/>
    <n v="0"/>
    <n v="2.8380000000000001"/>
    <n v="2.8380000000000001"/>
    <n v="2.8380000000000001"/>
    <n v="2.8380000000000001"/>
    <n v="0"/>
    <x v="1"/>
    <n v="0"/>
    <n v="0"/>
    <n v="32"/>
    <n v="72"/>
    <n v="0"/>
    <n v="357.74"/>
    <n v="175.15"/>
    <m/>
    <n v="419.26134561460873"/>
    <n v="193.19190075421278"/>
    <n v="0"/>
    <n v="1015.26612"/>
    <n v="497.07570000000004"/>
    <n v="0"/>
    <n v="1189.8636988542596"/>
    <n v="548.27861434045587"/>
  </r>
  <r>
    <s v="Regular"/>
    <x v="2"/>
    <x v="3"/>
    <x v="4"/>
    <x v="6"/>
    <x v="3"/>
    <x v="1"/>
    <x v="1"/>
    <x v="3"/>
    <n v="0"/>
    <n v="0"/>
    <n v="5.6070000000000002"/>
    <n v="5.6070000000000002"/>
    <n v="5.6070000000000002"/>
    <n v="5.6070000000000002"/>
    <n v="0"/>
    <x v="1"/>
    <n v="0"/>
    <n v="0"/>
    <n v="32"/>
    <n v="72"/>
    <n v="0"/>
    <n v="357.74"/>
    <n v="175.15"/>
    <m/>
    <n v="419.26134561460873"/>
    <n v="193.19190075421278"/>
    <n v="0"/>
    <n v="2005.8481800000002"/>
    <n v="982.06605000000002"/>
    <n v="0"/>
    <n v="2350.7983648611112"/>
    <n v="1083.2269875288712"/>
  </r>
  <r>
    <s v="Regular"/>
    <x v="2"/>
    <x v="3"/>
    <x v="4"/>
    <x v="6"/>
    <x v="3"/>
    <x v="1"/>
    <x v="1"/>
    <x v="4"/>
    <n v="0"/>
    <n v="0"/>
    <n v="29.422000000000001"/>
    <n v="29.422000000000001"/>
    <n v="29.422000000000001"/>
    <n v="29.422000000000001"/>
    <n v="0"/>
    <x v="1"/>
    <n v="0"/>
    <n v="0"/>
    <n v="32"/>
    <n v="72"/>
    <n v="0"/>
    <n v="357.74"/>
    <n v="175.15"/>
    <m/>
    <n v="419.26134561460873"/>
    <n v="193.19190075421278"/>
    <n v="0"/>
    <n v="10525.42628"/>
    <n v="5153.2633000000005"/>
    <n v="0"/>
    <n v="12335.507310673018"/>
    <n v="5684.0921039904488"/>
  </r>
  <r>
    <s v="Regular"/>
    <x v="2"/>
    <x v="3"/>
    <x v="4"/>
    <x v="6"/>
    <x v="3"/>
    <x v="1"/>
    <x v="1"/>
    <x v="5"/>
    <n v="0"/>
    <n v="0"/>
    <n v="40.567999999999998"/>
    <n v="40.567999999999998"/>
    <n v="40.567999999999998"/>
    <n v="40.567999999999998"/>
    <n v="0"/>
    <x v="1"/>
    <n v="0"/>
    <n v="0"/>
    <n v="32"/>
    <n v="72"/>
    <n v="0"/>
    <n v="357.74"/>
    <n v="175.15"/>
    <m/>
    <n v="419.26134561460873"/>
    <n v="193.19190075421278"/>
    <n v="0"/>
    <n v="14512.796319999999"/>
    <n v="7105.4852000000001"/>
    <n v="0"/>
    <n v="17008.594268893445"/>
    <n v="7837.4090297969033"/>
  </r>
  <r>
    <s v="Regular"/>
    <x v="2"/>
    <x v="3"/>
    <x v="4"/>
    <x v="6"/>
    <x v="3"/>
    <x v="1"/>
    <x v="1"/>
    <x v="6"/>
    <n v="0"/>
    <n v="0"/>
    <n v="38.094000000000001"/>
    <n v="38.094000000000001"/>
    <n v="38.094000000000001"/>
    <n v="38.094000000000001"/>
    <n v="0"/>
    <x v="1"/>
    <n v="0"/>
    <n v="0"/>
    <n v="32"/>
    <n v="72"/>
    <n v="0"/>
    <n v="357.74"/>
    <n v="175.15"/>
    <m/>
    <n v="419.26134561460873"/>
    <n v="193.19190075421278"/>
    <n v="0"/>
    <n v="13627.747560000002"/>
    <n v="6672.1641000000009"/>
    <n v="0"/>
    <n v="15971.341699842906"/>
    <n v="7359.4522673309821"/>
  </r>
  <r>
    <s v="Regular"/>
    <x v="2"/>
    <x v="3"/>
    <x v="4"/>
    <x v="6"/>
    <x v="3"/>
    <x v="1"/>
    <x v="1"/>
    <x v="7"/>
    <n v="0"/>
    <n v="0"/>
    <n v="27.29"/>
    <n v="27.29"/>
    <n v="27.29"/>
    <n v="27.29"/>
    <n v="0"/>
    <x v="1"/>
    <n v="0"/>
    <n v="0"/>
    <n v="32"/>
    <n v="72"/>
    <n v="0"/>
    <n v="357.74"/>
    <n v="175.15"/>
    <m/>
    <n v="419.26134561460873"/>
    <n v="193.19190075421278"/>
    <n v="0"/>
    <n v="9762.7245999999996"/>
    <n v="4779.8434999999999"/>
    <n v="0"/>
    <n v="11441.642121822671"/>
    <n v="5272.2069715824664"/>
  </r>
  <r>
    <s v="Regular"/>
    <x v="2"/>
    <x v="3"/>
    <x v="4"/>
    <x v="6"/>
    <x v="3"/>
    <x v="1"/>
    <x v="1"/>
    <x v="8"/>
    <n v="0"/>
    <n v="0"/>
    <n v="3.7909999999999999"/>
    <n v="3.7909999999999999"/>
    <n v="3.7909999999999999"/>
    <n v="3.7909999999999999"/>
    <n v="0"/>
    <x v="1"/>
    <n v="0"/>
    <n v="0"/>
    <n v="32"/>
    <n v="72"/>
    <n v="0"/>
    <n v="357.74"/>
    <n v="175.15"/>
    <m/>
    <n v="419.26134561460873"/>
    <n v="193.19190075421278"/>
    <n v="0"/>
    <n v="1356.1923400000001"/>
    <n v="663.99365"/>
    <n v="0"/>
    <n v="1589.4197612249816"/>
    <n v="732.39049575922058"/>
  </r>
  <r>
    <s v="Regular"/>
    <x v="2"/>
    <x v="3"/>
    <x v="4"/>
    <x v="6"/>
    <x v="3"/>
    <x v="1"/>
    <x v="1"/>
    <x v="9"/>
    <n v="0"/>
    <n v="0"/>
    <n v="1.879"/>
    <n v="1.879"/>
    <n v="1.879"/>
    <n v="1.879"/>
    <n v="0"/>
    <x v="1"/>
    <n v="0"/>
    <n v="0"/>
    <n v="32"/>
    <n v="72"/>
    <n v="0"/>
    <n v="357.74"/>
    <n v="175.15"/>
    <m/>
    <n v="419.26134561460873"/>
    <n v="193.19190075421278"/>
    <n v="0"/>
    <n v="672.19346000000007"/>
    <n v="329.10685000000001"/>
    <n v="0"/>
    <n v="787.79206840984978"/>
    <n v="363.00758151716582"/>
  </r>
  <r>
    <s v="Regular"/>
    <x v="2"/>
    <x v="3"/>
    <x v="4"/>
    <x v="6"/>
    <x v="3"/>
    <x v="1"/>
    <x v="1"/>
    <x v="10"/>
    <n v="0"/>
    <n v="0"/>
    <n v="1.1619999999999999"/>
    <n v="1.1619999999999999"/>
    <n v="1.1619999999999999"/>
    <n v="1.1619999999999999"/>
    <n v="0"/>
    <x v="1"/>
    <n v="0"/>
    <n v="0"/>
    <n v="32"/>
    <n v="72"/>
    <n v="0"/>
    <n v="357.74"/>
    <n v="175.15"/>
    <m/>
    <n v="419.26134561460873"/>
    <n v="193.19190075421278"/>
    <n v="0"/>
    <n v="415.69387999999998"/>
    <n v="203.52429999999998"/>
    <n v="0"/>
    <n v="487.1816836041753"/>
    <n v="224.48898867639522"/>
  </r>
  <r>
    <s v="Regular"/>
    <x v="2"/>
    <x v="3"/>
    <x v="4"/>
    <x v="6"/>
    <x v="3"/>
    <x v="1"/>
    <x v="1"/>
    <x v="11"/>
    <n v="0"/>
    <n v="0"/>
    <n v="0.8"/>
    <n v="0.8"/>
    <n v="0.8"/>
    <n v="0.8"/>
    <n v="0"/>
    <x v="1"/>
    <n v="0"/>
    <n v="0"/>
    <n v="32"/>
    <n v="72"/>
    <n v="0"/>
    <n v="357.74"/>
    <n v="175.15"/>
    <m/>
    <n v="419.26134561460873"/>
    <n v="193.19190075421278"/>
    <n v="0"/>
    <n v="286.19200000000001"/>
    <n v="140.12"/>
    <n v="0"/>
    <n v="335.40907649168702"/>
    <n v="154.55352060337023"/>
  </r>
  <r>
    <s v="Regular"/>
    <x v="2"/>
    <x v="3"/>
    <x v="4"/>
    <x v="6"/>
    <x v="4"/>
    <x v="1"/>
    <x v="1"/>
    <x v="0"/>
    <n v="0"/>
    <n v="0"/>
    <n v="0.82299999999999995"/>
    <n v="0.32919999999999999"/>
    <n v="0.82299999999999995"/>
    <n v="0.32919999999999999"/>
    <n v="0"/>
    <x v="1"/>
    <n v="0"/>
    <n v="0"/>
    <n v="32"/>
    <n v="72"/>
    <n v="0"/>
    <n v="357.74"/>
    <n v="175.15"/>
    <m/>
    <n v="419.26134561460873"/>
    <n v="193.19190075421278"/>
    <n v="0"/>
    <n v="117.76800799999999"/>
    <n v="57.659379999999999"/>
    <n v="0"/>
    <n v="138.02083497632918"/>
    <n v="63.598773728286844"/>
  </r>
  <r>
    <s v="Regular"/>
    <x v="2"/>
    <x v="3"/>
    <x v="4"/>
    <x v="6"/>
    <x v="4"/>
    <x v="1"/>
    <x v="1"/>
    <x v="1"/>
    <n v="0"/>
    <n v="0"/>
    <n v="1.702"/>
    <n v="0.68079999999999996"/>
    <n v="1.702"/>
    <n v="0.68079999999999996"/>
    <n v="0"/>
    <x v="1"/>
    <n v="0"/>
    <n v="0"/>
    <n v="32"/>
    <n v="72"/>
    <n v="0"/>
    <n v="357.74"/>
    <n v="175.15"/>
    <m/>
    <n v="419.26134561460873"/>
    <n v="193.19190075421278"/>
    <n v="0"/>
    <n v="243.54939199999998"/>
    <n v="119.24212"/>
    <n v="0"/>
    <n v="285.43312409442558"/>
    <n v="131.52504603346804"/>
  </r>
  <r>
    <s v="Regular"/>
    <x v="2"/>
    <x v="3"/>
    <x v="4"/>
    <x v="6"/>
    <x v="4"/>
    <x v="1"/>
    <x v="1"/>
    <x v="2"/>
    <n v="0"/>
    <n v="0"/>
    <n v="1.234"/>
    <n v="0.49359999999999998"/>
    <n v="1.234"/>
    <n v="0.49359999999999998"/>
    <n v="0"/>
    <x v="1"/>
    <n v="0"/>
    <n v="0"/>
    <n v="32"/>
    <n v="72"/>
    <n v="0"/>
    <n v="357.74"/>
    <n v="175.15"/>
    <m/>
    <n v="419.26134561460873"/>
    <n v="193.19190075421278"/>
    <n v="0"/>
    <n v="176.58046400000001"/>
    <n v="86.454040000000006"/>
    <n v="0"/>
    <n v="206.94740019537088"/>
    <n v="95.35952221227943"/>
  </r>
  <r>
    <s v="Regular"/>
    <x v="2"/>
    <x v="3"/>
    <x v="4"/>
    <x v="6"/>
    <x v="4"/>
    <x v="1"/>
    <x v="1"/>
    <x v="3"/>
    <n v="0"/>
    <n v="0"/>
    <n v="2.4849999999999999"/>
    <n v="0.99399999999999999"/>
    <n v="2.4849999999999999"/>
    <n v="0.99399999999999999"/>
    <n v="0"/>
    <x v="1"/>
    <n v="0"/>
    <n v="0"/>
    <n v="32"/>
    <n v="72"/>
    <n v="0"/>
    <n v="357.74"/>
    <n v="175.15"/>
    <m/>
    <n v="419.26134561460873"/>
    <n v="193.19190075421278"/>
    <n v="0"/>
    <n v="355.59356000000002"/>
    <n v="174.09909999999999"/>
    <n v="0"/>
    <n v="416.7457775409211"/>
    <n v="192.03274934968749"/>
  </r>
  <r>
    <s v="Regular"/>
    <x v="2"/>
    <x v="3"/>
    <x v="4"/>
    <x v="6"/>
    <x v="4"/>
    <x v="1"/>
    <x v="1"/>
    <x v="4"/>
    <n v="0"/>
    <n v="0"/>
    <n v="12.452"/>
    <n v="4.9808000000000003"/>
    <n v="12.452"/>
    <n v="4.9808000000000003"/>
    <n v="0"/>
    <x v="1"/>
    <n v="0"/>
    <n v="0"/>
    <n v="32"/>
    <n v="72"/>
    <n v="0"/>
    <n v="357.74"/>
    <n v="175.15"/>
    <m/>
    <n v="419.26134561460873"/>
    <n v="193.19190075421278"/>
    <n v="0"/>
    <n v="1781.8313920000003"/>
    <n v="872.3871200000001"/>
    <n v="0"/>
    <n v="2088.2569102372431"/>
    <n v="962.25021927658304"/>
  </r>
  <r>
    <s v="Regular"/>
    <x v="2"/>
    <x v="3"/>
    <x v="4"/>
    <x v="6"/>
    <x v="4"/>
    <x v="1"/>
    <x v="1"/>
    <x v="5"/>
    <n v="0"/>
    <n v="0"/>
    <n v="17.614999999999998"/>
    <n v="7.0460000000000003"/>
    <n v="17.614999999999998"/>
    <n v="7.0460000000000003"/>
    <n v="0"/>
    <x v="1"/>
    <n v="0"/>
    <n v="0"/>
    <n v="32"/>
    <n v="72"/>
    <n v="0"/>
    <n v="357.74"/>
    <n v="175.15"/>
    <m/>
    <n v="419.26134561460873"/>
    <n v="193.19190075421278"/>
    <n v="0"/>
    <n v="2520.6360400000003"/>
    <n v="1234.1069"/>
    <n v="0"/>
    <n v="2954.115441200533"/>
    <n v="1361.2301327141834"/>
  </r>
  <r>
    <s v="Regular"/>
    <x v="2"/>
    <x v="3"/>
    <x v="4"/>
    <x v="6"/>
    <x v="4"/>
    <x v="1"/>
    <x v="1"/>
    <x v="6"/>
    <n v="0"/>
    <n v="0"/>
    <n v="19.951000000000001"/>
    <n v="7.9804000000000004"/>
    <n v="19.951000000000001"/>
    <n v="7.9804000000000004"/>
    <n v="0"/>
    <x v="1"/>
    <n v="0"/>
    <n v="0"/>
    <n v="32"/>
    <n v="72"/>
    <n v="0"/>
    <n v="357.74"/>
    <n v="175.15"/>
    <m/>
    <n v="419.26134561460873"/>
    <n v="193.19190075421278"/>
    <n v="0"/>
    <n v="2854.9082960000001"/>
    <n v="1397.7670600000001"/>
    <n v="0"/>
    <n v="3345.8732425428238"/>
    <n v="1541.7486447789197"/>
  </r>
  <r>
    <s v="Regular"/>
    <x v="2"/>
    <x v="3"/>
    <x v="4"/>
    <x v="6"/>
    <x v="4"/>
    <x v="1"/>
    <x v="1"/>
    <x v="7"/>
    <n v="0"/>
    <n v="0"/>
    <n v="13.702999999999999"/>
    <n v="5.4812000000000003"/>
    <n v="13.702999999999999"/>
    <n v="5.4812000000000003"/>
    <n v="0"/>
    <x v="1"/>
    <n v="0"/>
    <n v="0"/>
    <n v="32"/>
    <n v="72"/>
    <n v="0"/>
    <n v="357.74"/>
    <n v="175.15"/>
    <m/>
    <n v="419.26134561460873"/>
    <n v="193.19190075421278"/>
    <n v="0"/>
    <n v="1960.8444880000002"/>
    <n v="960.03218000000004"/>
    <n v="0"/>
    <n v="2298.0552875827934"/>
    <n v="1058.9234464139911"/>
  </r>
  <r>
    <s v="Regular"/>
    <x v="2"/>
    <x v="3"/>
    <x v="4"/>
    <x v="6"/>
    <x v="4"/>
    <x v="1"/>
    <x v="1"/>
    <x v="8"/>
    <n v="0"/>
    <n v="0"/>
    <n v="1.51"/>
    <n v="0.60399999999999998"/>
    <n v="1.51"/>
    <n v="0.60399999999999998"/>
    <n v="0"/>
    <x v="1"/>
    <n v="0"/>
    <n v="0"/>
    <n v="32"/>
    <n v="72"/>
    <n v="0"/>
    <n v="357.74"/>
    <n v="175.15"/>
    <m/>
    <n v="419.26134561460873"/>
    <n v="193.19190075421278"/>
    <n v="0"/>
    <n v="216.07496"/>
    <n v="105.7906"/>
    <n v="0"/>
    <n v="253.23385275122365"/>
    <n v="116.68790805554451"/>
  </r>
  <r>
    <s v="Regular"/>
    <x v="2"/>
    <x v="3"/>
    <x v="4"/>
    <x v="6"/>
    <x v="4"/>
    <x v="1"/>
    <x v="1"/>
    <x v="9"/>
    <n v="0"/>
    <n v="0"/>
    <n v="0.372"/>
    <n v="0.14879999999999999"/>
    <n v="0.372"/>
    <n v="0.14879999999999999"/>
    <n v="0"/>
    <x v="1"/>
    <n v="0"/>
    <n v="0"/>
    <n v="32"/>
    <n v="72"/>
    <n v="0"/>
    <n v="357.74"/>
    <n v="175.15"/>
    <m/>
    <n v="419.26134561460873"/>
    <n v="193.19190075421278"/>
    <n v="0"/>
    <n v="53.231711999999995"/>
    <n v="26.06232"/>
    <n v="0"/>
    <n v="62.386088227453776"/>
    <n v="28.746954832226859"/>
  </r>
  <r>
    <s v="Regular"/>
    <x v="2"/>
    <x v="3"/>
    <x v="4"/>
    <x v="6"/>
    <x v="4"/>
    <x v="1"/>
    <x v="1"/>
    <x v="10"/>
    <n v="0"/>
    <n v="0"/>
    <n v="0.152"/>
    <n v="6.08E-2"/>
    <n v="0.152"/>
    <n v="6.08E-2"/>
    <n v="0"/>
    <x v="1"/>
    <n v="0"/>
    <n v="0"/>
    <n v="32"/>
    <n v="72"/>
    <n v="0"/>
    <n v="357.74"/>
    <n v="175.15"/>
    <m/>
    <n v="419.26134561460873"/>
    <n v="193.19190075421278"/>
    <n v="0"/>
    <n v="21.750592000000001"/>
    <n v="10.64912"/>
    <n v="0"/>
    <n v="25.491089813368209"/>
    <n v="11.746067565856137"/>
  </r>
  <r>
    <s v="Regular"/>
    <x v="2"/>
    <x v="3"/>
    <x v="4"/>
    <x v="0"/>
    <x v="1"/>
    <x v="1"/>
    <x v="1"/>
    <x v="0"/>
    <n v="0"/>
    <n v="0"/>
    <n v="1126.674"/>
    <n v="1126.674"/>
    <n v="1126.674"/>
    <n v="1126.674"/>
    <n v="4531"/>
    <x v="1"/>
    <n v="0"/>
    <n v="0"/>
    <n v="32"/>
    <n v="72"/>
    <n v="0"/>
    <n v="357.74"/>
    <n v="175.15"/>
    <m/>
    <n v="419.26134561460873"/>
    <n v="193.19190075421278"/>
    <n v="0"/>
    <n v="403056.35676"/>
    <n v="197336.95110000001"/>
    <n v="0"/>
    <n v="472370.85730899364"/>
    <n v="217664.29159035193"/>
  </r>
  <r>
    <s v="Refaturamento - Regular"/>
    <x v="2"/>
    <x v="3"/>
    <x v="4"/>
    <x v="0"/>
    <x v="1"/>
    <x v="1"/>
    <x v="1"/>
    <x v="0"/>
    <n v="0"/>
    <n v="0"/>
    <n v="-1.522"/>
    <n v="-1.522"/>
    <n v="-1.522"/>
    <n v="-1.522"/>
    <n v="0"/>
    <x v="1"/>
    <n v="0"/>
    <n v="0"/>
    <n v="32"/>
    <n v="72"/>
    <n v="0"/>
    <n v="357.74"/>
    <n v="175.15"/>
    <m/>
    <n v="419.26134561460873"/>
    <n v="193.19190075421278"/>
    <n v="0"/>
    <n v="-544.48027999999999"/>
    <n v="-266.57830000000001"/>
    <n v="0"/>
    <n v="-638.11576802543448"/>
    <n v="-294.03807294791187"/>
  </r>
  <r>
    <s v="Sistema de Compensação"/>
    <x v="2"/>
    <x v="3"/>
    <x v="4"/>
    <x v="0"/>
    <x v="1"/>
    <x v="1"/>
    <x v="1"/>
    <x v="0"/>
    <n v="0"/>
    <n v="0"/>
    <n v="12.750999999999999"/>
    <n v="12.750999999999999"/>
    <n v="12.750999999999999"/>
    <n v="12.750999999999999"/>
    <n v="37"/>
    <x v="1"/>
    <n v="0"/>
    <n v="0"/>
    <n v="32"/>
    <n v="72"/>
    <n v="0"/>
    <n v="357.74"/>
    <n v="175.15"/>
    <m/>
    <n v="419.26134561460873"/>
    <n v="193.19190075421278"/>
    <n v="0"/>
    <n v="4561.5427399999999"/>
    <n v="2233.3376499999999"/>
    <n v="0"/>
    <n v="5346.0014179318759"/>
    <n v="2463.3899265169671"/>
  </r>
  <r>
    <s v="Regular"/>
    <x v="2"/>
    <x v="3"/>
    <x v="4"/>
    <x v="0"/>
    <x v="1"/>
    <x v="1"/>
    <x v="1"/>
    <x v="1"/>
    <n v="0"/>
    <n v="0"/>
    <n v="1124.0170000000001"/>
    <n v="1124.0170000000001"/>
    <n v="1124.0170000000001"/>
    <n v="1124.0170000000001"/>
    <n v="4536"/>
    <x v="1"/>
    <n v="0"/>
    <n v="0"/>
    <n v="32"/>
    <n v="72"/>
    <n v="0"/>
    <n v="357.74"/>
    <n v="175.15"/>
    <m/>
    <n v="419.26134561460873"/>
    <n v="193.19190075421278"/>
    <n v="0"/>
    <n v="402105.84158000001"/>
    <n v="196871.57755000002"/>
    <n v="0"/>
    <n v="471256.87991369568"/>
    <n v="217150.980710048"/>
  </r>
  <r>
    <s v="Refaturamento - Regular"/>
    <x v="2"/>
    <x v="3"/>
    <x v="4"/>
    <x v="0"/>
    <x v="1"/>
    <x v="1"/>
    <x v="1"/>
    <x v="1"/>
    <n v="0"/>
    <n v="0"/>
    <n v="1.9E-2"/>
    <n v="1.9E-2"/>
    <n v="1.9E-2"/>
    <n v="1.9E-2"/>
    <n v="0"/>
    <x v="1"/>
    <n v="0"/>
    <n v="0"/>
    <n v="32"/>
    <n v="72"/>
    <n v="0"/>
    <n v="357.74"/>
    <n v="175.15"/>
    <m/>
    <n v="419.26134561460873"/>
    <n v="193.19190075421278"/>
    <n v="0"/>
    <n v="6.7970600000000001"/>
    <n v="3.3278500000000002"/>
    <n v="0"/>
    <n v="7.9659655666775659"/>
    <n v="3.6706461143300428"/>
  </r>
  <r>
    <s v="Sistema de Compensação"/>
    <x v="2"/>
    <x v="3"/>
    <x v="4"/>
    <x v="0"/>
    <x v="1"/>
    <x v="1"/>
    <x v="1"/>
    <x v="1"/>
    <n v="0"/>
    <n v="0"/>
    <n v="12.103999999999999"/>
    <n v="12.103999999999999"/>
    <n v="12.103999999999999"/>
    <n v="12.103999999999999"/>
    <n v="39"/>
    <x v="1"/>
    <n v="0"/>
    <n v="0"/>
    <n v="32"/>
    <n v="72"/>
    <n v="0"/>
    <n v="357.74"/>
    <n v="175.15"/>
    <m/>
    <n v="419.26134561460873"/>
    <n v="193.19190075421278"/>
    <n v="0"/>
    <n v="4330.0849600000001"/>
    <n v="2120.0155999999997"/>
    <n v="0"/>
    <n v="5074.7393273192238"/>
    <n v="2338.3947667289913"/>
  </r>
  <r>
    <s v="Regular"/>
    <x v="2"/>
    <x v="3"/>
    <x v="4"/>
    <x v="0"/>
    <x v="1"/>
    <x v="1"/>
    <x v="1"/>
    <x v="2"/>
    <n v="0"/>
    <n v="0"/>
    <n v="1096.153"/>
    <n v="1096.153"/>
    <n v="1096.153"/>
    <n v="1096.153"/>
    <n v="4534"/>
    <x v="1"/>
    <n v="0"/>
    <n v="0"/>
    <n v="32"/>
    <n v="72"/>
    <n v="0"/>
    <n v="357.74"/>
    <n v="175.15"/>
    <m/>
    <n v="419.26134561460873"/>
    <n v="193.19190075421278"/>
    <n v="0"/>
    <n v="392137.77422000002"/>
    <n v="191991.19795"/>
    <n v="0"/>
    <n v="459574.58177949023"/>
    <n v="211767.88158743261"/>
  </r>
  <r>
    <s v="Refaturamento - Regular"/>
    <x v="2"/>
    <x v="3"/>
    <x v="4"/>
    <x v="0"/>
    <x v="1"/>
    <x v="1"/>
    <x v="1"/>
    <x v="2"/>
    <n v="0"/>
    <n v="0"/>
    <n v="-2.4340000000000002"/>
    <n v="-2.4340000000000002"/>
    <n v="-2.4340000000000002"/>
    <n v="-2.4340000000000002"/>
    <n v="0"/>
    <x v="1"/>
    <n v="0"/>
    <n v="0"/>
    <n v="32"/>
    <n v="72"/>
    <n v="0"/>
    <n v="357.74"/>
    <n v="175.15"/>
    <m/>
    <n v="419.26134561460873"/>
    <n v="193.19190075421278"/>
    <n v="0"/>
    <n v="-870.73916000000008"/>
    <n v="-426.31510000000003"/>
    <n v="0"/>
    <n v="-1020.4821152259577"/>
    <n v="-470.22908643575391"/>
  </r>
  <r>
    <s v="Sistema de Compensação"/>
    <x v="2"/>
    <x v="3"/>
    <x v="4"/>
    <x v="0"/>
    <x v="1"/>
    <x v="1"/>
    <x v="1"/>
    <x v="2"/>
    <n v="0"/>
    <n v="0"/>
    <n v="10.117000000000001"/>
    <n v="10.117000000000001"/>
    <n v="10.117000000000001"/>
    <n v="10.117000000000001"/>
    <n v="40"/>
    <x v="1"/>
    <n v="0"/>
    <n v="0"/>
    <n v="32"/>
    <n v="72"/>
    <n v="0"/>
    <n v="357.74"/>
    <n v="175.15"/>
    <m/>
    <n v="419.26134561460873"/>
    <n v="193.19190075421278"/>
    <n v="0"/>
    <n v="3619.2555800000005"/>
    <n v="1771.9925500000002"/>
    <n v="0"/>
    <n v="4241.6670335829967"/>
    <n v="1954.5224599303708"/>
  </r>
  <r>
    <s v="Regular"/>
    <x v="2"/>
    <x v="3"/>
    <x v="4"/>
    <x v="0"/>
    <x v="1"/>
    <x v="1"/>
    <x v="1"/>
    <x v="3"/>
    <n v="0"/>
    <n v="0"/>
    <n v="1158.865"/>
    <n v="1158.865"/>
    <n v="1158.865"/>
    <n v="1158.865"/>
    <n v="4539"/>
    <x v="1"/>
    <n v="0"/>
    <n v="0"/>
    <n v="32"/>
    <n v="72"/>
    <n v="0"/>
    <n v="357.74"/>
    <n v="175.15"/>
    <m/>
    <n v="419.26134561460873"/>
    <n v="193.19190075421278"/>
    <n v="0"/>
    <n v="414572.3651"/>
    <n v="202975.20475"/>
    <n v="0"/>
    <n v="485867.29928567354"/>
    <n v="223883.33206753081"/>
  </r>
  <r>
    <s v="Refaturamento - Regular"/>
    <x v="2"/>
    <x v="3"/>
    <x v="4"/>
    <x v="0"/>
    <x v="1"/>
    <x v="1"/>
    <x v="1"/>
    <x v="3"/>
    <n v="0"/>
    <n v="0"/>
    <n v="-1.619"/>
    <n v="-1.619"/>
    <n v="-1.619"/>
    <n v="-1.619"/>
    <n v="0"/>
    <x v="1"/>
    <n v="0"/>
    <n v="0"/>
    <n v="32"/>
    <n v="72"/>
    <n v="0"/>
    <n v="357.74"/>
    <n v="175.15"/>
    <m/>
    <n v="419.26134561460873"/>
    <n v="193.19190075421278"/>
    <n v="0"/>
    <n v="-579.18106"/>
    <n v="-283.56785000000002"/>
    <n v="0"/>
    <n v="-678.78411855005152"/>
    <n v="-312.77768732107052"/>
  </r>
  <r>
    <s v="Sistema de Compensação"/>
    <x v="2"/>
    <x v="3"/>
    <x v="4"/>
    <x v="0"/>
    <x v="1"/>
    <x v="1"/>
    <x v="1"/>
    <x v="3"/>
    <n v="0"/>
    <n v="0"/>
    <n v="11.327"/>
    <n v="11.327"/>
    <n v="11.327"/>
    <n v="11.327"/>
    <n v="45"/>
    <x v="1"/>
    <n v="0"/>
    <n v="0"/>
    <n v="32"/>
    <n v="72"/>
    <n v="0"/>
    <n v="357.74"/>
    <n v="175.15"/>
    <m/>
    <n v="419.26134561460873"/>
    <n v="193.19190075421278"/>
    <n v="0"/>
    <n v="4052.1209800000001"/>
    <n v="1983.9240500000001"/>
    <n v="0"/>
    <n v="4748.9732617766731"/>
    <n v="2188.2846598429683"/>
  </r>
  <r>
    <s v="Regular"/>
    <x v="2"/>
    <x v="3"/>
    <x v="4"/>
    <x v="0"/>
    <x v="1"/>
    <x v="1"/>
    <x v="1"/>
    <x v="4"/>
    <n v="0"/>
    <n v="0"/>
    <n v="1383.107"/>
    <n v="1383.107"/>
    <n v="1383.107"/>
    <n v="1383.107"/>
    <n v="4514"/>
    <x v="1"/>
    <n v="0"/>
    <n v="0"/>
    <n v="32"/>
    <n v="72"/>
    <n v="0"/>
    <n v="357.74"/>
    <n v="175.15"/>
    <m/>
    <n v="419.26134561460873"/>
    <n v="193.19190075421278"/>
    <n v="0"/>
    <n v="494792.69818000001"/>
    <n v="242251.19104999999"/>
    <n v="0"/>
    <n v="579883.30194898462"/>
    <n v="267205.07027645694"/>
  </r>
  <r>
    <s v="Refaturamento - Regular"/>
    <x v="2"/>
    <x v="3"/>
    <x v="4"/>
    <x v="0"/>
    <x v="1"/>
    <x v="1"/>
    <x v="1"/>
    <x v="4"/>
    <n v="0"/>
    <n v="0"/>
    <n v="-8.7420000000000009"/>
    <n v="-8.7420000000000009"/>
    <n v="-8.7420000000000009"/>
    <n v="-8.7420000000000009"/>
    <n v="0"/>
    <x v="1"/>
    <n v="0"/>
    <n v="0"/>
    <n v="32"/>
    <n v="72"/>
    <n v="0"/>
    <n v="357.74"/>
    <n v="175.15"/>
    <m/>
    <n v="419.26134561460873"/>
    <n v="193.19190075421278"/>
    <n v="0"/>
    <n v="-3127.3630800000005"/>
    <n v="-1531.1613000000002"/>
    <n v="0"/>
    <n v="-3665.1826833629098"/>
    <n v="-1688.8835963933284"/>
  </r>
  <r>
    <s v="Sistema de Compensação"/>
    <x v="2"/>
    <x v="3"/>
    <x v="4"/>
    <x v="0"/>
    <x v="1"/>
    <x v="1"/>
    <x v="1"/>
    <x v="4"/>
    <n v="0"/>
    <n v="0"/>
    <n v="16.164999999999999"/>
    <n v="16.164999999999999"/>
    <n v="16.164999999999999"/>
    <n v="16.164999999999999"/>
    <n v="47"/>
    <x v="1"/>
    <n v="0"/>
    <n v="0"/>
    <n v="32"/>
    <n v="72"/>
    <n v="0"/>
    <n v="357.74"/>
    <n v="175.15"/>
    <m/>
    <n v="419.26134561460873"/>
    <n v="193.19190075421278"/>
    <n v="0"/>
    <n v="5782.8670999999995"/>
    <n v="2831.2997500000001"/>
    <n v="0"/>
    <n v="6777.3596518601498"/>
    <n v="3122.9470756918495"/>
  </r>
  <r>
    <s v="Regular"/>
    <x v="2"/>
    <x v="3"/>
    <x v="4"/>
    <x v="0"/>
    <x v="1"/>
    <x v="1"/>
    <x v="1"/>
    <x v="5"/>
    <n v="0"/>
    <n v="0"/>
    <n v="1749.32"/>
    <n v="1749.32"/>
    <n v="1749.32"/>
    <n v="1749.32"/>
    <n v="4519"/>
    <x v="1"/>
    <n v="0"/>
    <n v="0"/>
    <n v="32"/>
    <n v="72"/>
    <n v="0"/>
    <n v="357.74"/>
    <n v="175.15"/>
    <m/>
    <n v="419.26134561460873"/>
    <n v="193.19190075421278"/>
    <n v="0"/>
    <n v="625801.73679999996"/>
    <n v="306393.39799999999"/>
    <n v="0"/>
    <n v="733422.25711054727"/>
    <n v="337954.45582735952"/>
  </r>
  <r>
    <s v="Refaturamento - Regular"/>
    <x v="2"/>
    <x v="3"/>
    <x v="4"/>
    <x v="0"/>
    <x v="1"/>
    <x v="1"/>
    <x v="1"/>
    <x v="5"/>
    <n v="0"/>
    <n v="0"/>
    <n v="3.4449999999999998"/>
    <n v="3.4449999999999998"/>
    <n v="3.4449999999999998"/>
    <n v="3.4449999999999998"/>
    <n v="0"/>
    <x v="1"/>
    <n v="0"/>
    <n v="0"/>
    <n v="32"/>
    <n v="72"/>
    <n v="0"/>
    <n v="357.74"/>
    <n v="175.15"/>
    <m/>
    <n v="419.26134561460873"/>
    <n v="193.19190075421278"/>
    <n v="0"/>
    <n v="1232.4142999999999"/>
    <n v="603.39175"/>
    <n v="0"/>
    <n v="1444.355335642327"/>
    <n v="665.54609809826297"/>
  </r>
  <r>
    <s v="Sistema de Compensação"/>
    <x v="2"/>
    <x v="3"/>
    <x v="4"/>
    <x v="0"/>
    <x v="1"/>
    <x v="1"/>
    <x v="1"/>
    <x v="5"/>
    <n v="0"/>
    <n v="0"/>
    <n v="26.19"/>
    <n v="26.19"/>
    <n v="26.19"/>
    <n v="26.19"/>
    <n v="49"/>
    <x v="1"/>
    <n v="0"/>
    <n v="0"/>
    <n v="32"/>
    <n v="72"/>
    <n v="0"/>
    <n v="357.74"/>
    <n v="175.15"/>
    <m/>
    <n v="419.26134561460873"/>
    <n v="193.19190075421278"/>
    <n v="0"/>
    <n v="9369.2106000000003"/>
    <n v="4587.1785"/>
    <n v="0"/>
    <n v="10980.454641646604"/>
    <n v="5059.6958807528326"/>
  </r>
  <r>
    <s v="Regular"/>
    <x v="2"/>
    <x v="3"/>
    <x v="4"/>
    <x v="0"/>
    <x v="1"/>
    <x v="1"/>
    <x v="1"/>
    <x v="6"/>
    <n v="0"/>
    <n v="0"/>
    <n v="2106.8679999999999"/>
    <n v="2106.8679999999999"/>
    <n v="2106.8679999999999"/>
    <n v="2106.8679999999999"/>
    <n v="4514"/>
    <x v="1"/>
    <n v="0"/>
    <n v="0"/>
    <n v="32"/>
    <n v="72"/>
    <n v="0"/>
    <n v="357.74"/>
    <n v="175.15"/>
    <m/>
    <n v="419.26134561460873"/>
    <n v="193.19190075421278"/>
    <n v="0"/>
    <n v="753710.95831999998"/>
    <n v="369017.9302"/>
    <n v="0"/>
    <n v="883328.31271235947"/>
    <n v="407029.83355822676"/>
  </r>
  <r>
    <s v="Refaturamento - Regular"/>
    <x v="2"/>
    <x v="3"/>
    <x v="4"/>
    <x v="0"/>
    <x v="1"/>
    <x v="1"/>
    <x v="1"/>
    <x v="6"/>
    <n v="0"/>
    <n v="0"/>
    <n v="1.38"/>
    <n v="1.38"/>
    <n v="1.38"/>
    <n v="1.38"/>
    <n v="0"/>
    <x v="1"/>
    <n v="0"/>
    <n v="0"/>
    <n v="32"/>
    <n v="72"/>
    <n v="0"/>
    <n v="357.74"/>
    <n v="175.15"/>
    <m/>
    <n v="419.26134561460873"/>
    <n v="193.19190075421278"/>
    <n v="0"/>
    <n v="493.68119999999999"/>
    <n v="241.70699999999999"/>
    <n v="0"/>
    <n v="578.58065694816003"/>
    <n v="266.60482304081364"/>
  </r>
  <r>
    <s v="Sistema de Compensação"/>
    <x v="2"/>
    <x v="3"/>
    <x v="4"/>
    <x v="0"/>
    <x v="1"/>
    <x v="1"/>
    <x v="1"/>
    <x v="6"/>
    <n v="0"/>
    <n v="0"/>
    <n v="26.847999999999999"/>
    <n v="26.847999999999999"/>
    <n v="26.847999999999999"/>
    <n v="26.847999999999999"/>
    <n v="50"/>
    <x v="1"/>
    <n v="0"/>
    <n v="0"/>
    <n v="32"/>
    <n v="72"/>
    <n v="0"/>
    <n v="357.74"/>
    <n v="175.15"/>
    <m/>
    <n v="419.26134561460873"/>
    <n v="193.19190075421278"/>
    <n v="0"/>
    <n v="9604.6035200000006"/>
    <n v="4702.4272000000001"/>
    <n v="0"/>
    <n v="11256.328607061014"/>
    <n v="5186.8161514491048"/>
  </r>
  <r>
    <s v="Regular"/>
    <x v="2"/>
    <x v="3"/>
    <x v="4"/>
    <x v="0"/>
    <x v="1"/>
    <x v="1"/>
    <x v="1"/>
    <x v="7"/>
    <n v="0"/>
    <n v="0"/>
    <n v="2103.116"/>
    <n v="2103.116"/>
    <n v="2103.116"/>
    <n v="2103.116"/>
    <n v="4485"/>
    <x v="1"/>
    <n v="0"/>
    <n v="0"/>
    <n v="32"/>
    <n v="72"/>
    <n v="0"/>
    <n v="357.74"/>
    <n v="175.15"/>
    <m/>
    <n v="419.26134561460873"/>
    <n v="193.19190075421278"/>
    <n v="0"/>
    <n v="752368.71784000006"/>
    <n v="368360.76740000001"/>
    <n v="0"/>
    <n v="881755.2441436135"/>
    <n v="406304.97754659696"/>
  </r>
  <r>
    <s v="Refaturamento - Regular"/>
    <x v="2"/>
    <x v="3"/>
    <x v="4"/>
    <x v="0"/>
    <x v="1"/>
    <x v="1"/>
    <x v="1"/>
    <x v="7"/>
    <n v="0"/>
    <n v="0"/>
    <n v="15.670999999999999"/>
    <n v="15.670999999999999"/>
    <n v="15.670999999999999"/>
    <n v="15.670999999999999"/>
    <n v="0"/>
    <x v="1"/>
    <n v="0"/>
    <n v="0"/>
    <n v="32"/>
    <n v="72"/>
    <n v="0"/>
    <n v="357.74"/>
    <n v="175.15"/>
    <m/>
    <n v="419.26134561460873"/>
    <n v="193.19190075421278"/>
    <n v="0"/>
    <n v="5606.14354"/>
    <n v="2744.77565"/>
    <n v="0"/>
    <n v="6570.2445471265328"/>
    <n v="3027.5102767192684"/>
  </r>
  <r>
    <s v="Sistema de Compensação"/>
    <x v="2"/>
    <x v="3"/>
    <x v="4"/>
    <x v="0"/>
    <x v="1"/>
    <x v="1"/>
    <x v="1"/>
    <x v="7"/>
    <n v="0"/>
    <n v="0"/>
    <n v="17.902999999999999"/>
    <n v="17.902999999999999"/>
    <n v="17.902999999999999"/>
    <n v="17.902999999999999"/>
    <n v="50"/>
    <x v="1"/>
    <n v="0"/>
    <n v="0"/>
    <n v="32"/>
    <n v="72"/>
    <n v="0"/>
    <n v="357.74"/>
    <n v="175.15"/>
    <m/>
    <n v="419.26134561460873"/>
    <n v="193.19190075421278"/>
    <n v="0"/>
    <n v="6404.6192199999996"/>
    <n v="3135.71045"/>
    <n v="0"/>
    <n v="7506.0358705383396"/>
    <n v="3458.7145992026713"/>
  </r>
  <r>
    <s v="Regular"/>
    <x v="2"/>
    <x v="3"/>
    <x v="4"/>
    <x v="0"/>
    <x v="1"/>
    <x v="1"/>
    <x v="1"/>
    <x v="8"/>
    <n v="0"/>
    <n v="0"/>
    <n v="1813.027"/>
    <n v="1813.027"/>
    <n v="1813.027"/>
    <n v="1813.027"/>
    <n v="4493"/>
    <x v="1"/>
    <n v="0"/>
    <n v="0"/>
    <n v="32"/>
    <n v="72"/>
    <n v="0"/>
    <n v="357.74"/>
    <n v="175.15"/>
    <m/>
    <n v="419.26134561460873"/>
    <n v="193.19190075421278"/>
    <n v="0"/>
    <n v="648592.27898000006"/>
    <n v="317551.67905000004"/>
    <n v="0"/>
    <n v="760132.13965561718"/>
    <n v="350262.13224870816"/>
  </r>
  <r>
    <s v="Refaturamento - Regular"/>
    <x v="2"/>
    <x v="3"/>
    <x v="4"/>
    <x v="0"/>
    <x v="1"/>
    <x v="1"/>
    <x v="1"/>
    <x v="8"/>
    <n v="0"/>
    <n v="0"/>
    <n v="1.29"/>
    <n v="1.29"/>
    <n v="1.29"/>
    <n v="1.29"/>
    <n v="0"/>
    <x v="1"/>
    <n v="0"/>
    <n v="0"/>
    <n v="32"/>
    <n v="72"/>
    <n v="0"/>
    <n v="357.74"/>
    <n v="175.15"/>
    <m/>
    <n v="419.26134561460873"/>
    <n v="193.19190075421278"/>
    <n v="0"/>
    <n v="461.4846"/>
    <n v="225.9435"/>
    <n v="0"/>
    <n v="540.84713584284532"/>
    <n v="249.2175519729345"/>
  </r>
  <r>
    <s v="Sistema de Compensação"/>
    <x v="2"/>
    <x v="3"/>
    <x v="4"/>
    <x v="0"/>
    <x v="1"/>
    <x v="1"/>
    <x v="1"/>
    <x v="8"/>
    <n v="0"/>
    <n v="0"/>
    <n v="34.594000000000001"/>
    <n v="34.594000000000001"/>
    <n v="34.594000000000001"/>
    <n v="34.594000000000001"/>
    <n v="45"/>
    <x v="1"/>
    <n v="0"/>
    <n v="0"/>
    <n v="32"/>
    <n v="72"/>
    <n v="0"/>
    <n v="357.74"/>
    <n v="175.15"/>
    <m/>
    <n v="419.26134561460873"/>
    <n v="193.19190075421278"/>
    <n v="0"/>
    <n v="12375.657560000001"/>
    <n v="6059.1391000000003"/>
    <n v="0"/>
    <n v="14503.926990191774"/>
    <n v="6683.2806146912371"/>
  </r>
  <r>
    <s v="Regular"/>
    <x v="2"/>
    <x v="3"/>
    <x v="4"/>
    <x v="0"/>
    <x v="1"/>
    <x v="1"/>
    <x v="1"/>
    <x v="9"/>
    <n v="0"/>
    <n v="0"/>
    <n v="1764.9369999999999"/>
    <n v="1764.9369999999999"/>
    <n v="1764.9369999999999"/>
    <n v="1764.9369999999999"/>
    <n v="4502"/>
    <x v="1"/>
    <n v="0"/>
    <n v="0"/>
    <n v="32"/>
    <n v="72"/>
    <n v="0"/>
    <n v="357.74"/>
    <n v="175.15"/>
    <m/>
    <n v="419.26134561460873"/>
    <n v="193.19190075421278"/>
    <n v="0"/>
    <n v="631388.56238000002"/>
    <n v="309128.71554999996"/>
    <n v="0"/>
    <n v="739969.86154501059"/>
    <n v="340971.533741438"/>
  </r>
  <r>
    <s v="Refaturamento - Regular"/>
    <x v="2"/>
    <x v="3"/>
    <x v="4"/>
    <x v="0"/>
    <x v="1"/>
    <x v="1"/>
    <x v="1"/>
    <x v="9"/>
    <n v="0"/>
    <n v="0"/>
    <n v="-3.8220000000000001"/>
    <n v="-3.8220000000000001"/>
    <n v="-3.8220000000000001"/>
    <n v="-3.8220000000000001"/>
    <n v="0"/>
    <x v="1"/>
    <n v="0"/>
    <n v="0"/>
    <n v="32"/>
    <n v="72"/>
    <n v="0"/>
    <n v="357.74"/>
    <n v="175.15"/>
    <m/>
    <n v="419.26134561460873"/>
    <n v="193.19190075421278"/>
    <n v="0"/>
    <n v="-1367.2822800000001"/>
    <n v="-669.42330000000004"/>
    <n v="0"/>
    <n v="-1602.4168629390347"/>
    <n v="-738.37944468260127"/>
  </r>
  <r>
    <s v="Sistema de Compensação"/>
    <x v="2"/>
    <x v="3"/>
    <x v="4"/>
    <x v="0"/>
    <x v="1"/>
    <x v="1"/>
    <x v="1"/>
    <x v="9"/>
    <n v="0"/>
    <n v="0"/>
    <n v="25.048999999999999"/>
    <n v="25.048999999999999"/>
    <n v="25.048999999999999"/>
    <n v="25.048999999999999"/>
    <n v="40"/>
    <x v="1"/>
    <n v="0"/>
    <n v="0"/>
    <n v="32"/>
    <n v="72"/>
    <n v="0"/>
    <n v="357.74"/>
    <n v="175.15"/>
    <m/>
    <n v="419.26134561460873"/>
    <n v="193.19190075421278"/>
    <n v="0"/>
    <n v="8961.0292599999993"/>
    <n v="4387.3323499999997"/>
    <n v="0"/>
    <n v="10502.077446300334"/>
    <n v="4839.2639219922758"/>
  </r>
  <r>
    <s v="Regular"/>
    <x v="2"/>
    <x v="3"/>
    <x v="4"/>
    <x v="0"/>
    <x v="1"/>
    <x v="1"/>
    <x v="1"/>
    <x v="10"/>
    <n v="0"/>
    <n v="0"/>
    <n v="1466.04"/>
    <n v="1466.04"/>
    <n v="1466.04"/>
    <n v="1466.04"/>
    <n v="4505"/>
    <x v="1"/>
    <n v="0"/>
    <n v="0"/>
    <n v="32"/>
    <n v="72"/>
    <n v="0"/>
    <n v="357.74"/>
    <n v="175.15"/>
    <m/>
    <n v="419.26134561460873"/>
    <n v="193.19190075421278"/>
    <n v="0"/>
    <n v="524461.1496"/>
    <n v="256776.90599999999"/>
    <n v="0"/>
    <n v="614653.90312484093"/>
    <n v="283227.0541817061"/>
  </r>
  <r>
    <s v="Refaturamento - Regular"/>
    <x v="2"/>
    <x v="3"/>
    <x v="4"/>
    <x v="0"/>
    <x v="1"/>
    <x v="1"/>
    <x v="1"/>
    <x v="10"/>
    <n v="0"/>
    <n v="0"/>
    <n v="0.58299999999999996"/>
    <n v="0.58299999999999996"/>
    <n v="0.58299999999999996"/>
    <n v="0.58299999999999996"/>
    <n v="0"/>
    <x v="1"/>
    <n v="0"/>
    <n v="0"/>
    <n v="32"/>
    <n v="72"/>
    <n v="0"/>
    <n v="357.74"/>
    <n v="175.15"/>
    <m/>
    <n v="419.26134561460873"/>
    <n v="193.19190075421278"/>
    <n v="0"/>
    <n v="208.56242"/>
    <n v="102.11245"/>
    <n v="0"/>
    <n v="244.42936449331688"/>
    <n v="112.63087813970604"/>
  </r>
  <r>
    <s v="Sistema de Compensação"/>
    <x v="2"/>
    <x v="3"/>
    <x v="4"/>
    <x v="0"/>
    <x v="1"/>
    <x v="1"/>
    <x v="1"/>
    <x v="10"/>
    <n v="0"/>
    <n v="0"/>
    <n v="14.222"/>
    <n v="14.222"/>
    <n v="14.222"/>
    <n v="14.222"/>
    <n v="48"/>
    <x v="1"/>
    <n v="0"/>
    <n v="0"/>
    <n v="32"/>
    <n v="72"/>
    <n v="0"/>
    <n v="357.74"/>
    <n v="175.15"/>
    <m/>
    <n v="419.26134561460873"/>
    <n v="193.19190075421278"/>
    <n v="0"/>
    <n v="5087.7782799999995"/>
    <n v="2490.9832999999999"/>
    <n v="0"/>
    <n v="5962.7348573309655"/>
    <n v="2747.5752125264139"/>
  </r>
  <r>
    <s v="Regular"/>
    <x v="2"/>
    <x v="3"/>
    <x v="4"/>
    <x v="0"/>
    <x v="1"/>
    <x v="1"/>
    <x v="1"/>
    <x v="11"/>
    <n v="0"/>
    <n v="0"/>
    <n v="1335.79"/>
    <n v="1335.79"/>
    <n v="1335.79"/>
    <n v="1335.79"/>
    <n v="4496"/>
    <x v="1"/>
    <n v="0"/>
    <n v="0"/>
    <n v="32"/>
    <n v="72"/>
    <n v="0"/>
    <n v="357.74"/>
    <n v="175.15"/>
    <m/>
    <n v="419.26134561460873"/>
    <n v="193.19190075421278"/>
    <n v="0"/>
    <n v="477865.51459999999"/>
    <n v="233963.61850000001"/>
    <n v="0"/>
    <n v="560045.11285853817"/>
    <n v="258063.8091084699"/>
  </r>
  <r>
    <s v="Refaturamento - Regular"/>
    <x v="2"/>
    <x v="3"/>
    <x v="4"/>
    <x v="0"/>
    <x v="1"/>
    <x v="1"/>
    <x v="1"/>
    <x v="11"/>
    <n v="0"/>
    <n v="0"/>
    <n v="-2.8180000000000001"/>
    <n v="-2.8180000000000001"/>
    <n v="-2.8180000000000001"/>
    <n v="-2.8180000000000001"/>
    <n v="0"/>
    <x v="1"/>
    <n v="0"/>
    <n v="0"/>
    <n v="32"/>
    <n v="72"/>
    <n v="0"/>
    <n v="357.74"/>
    <n v="175.15"/>
    <m/>
    <n v="419.26134561460873"/>
    <n v="193.19190075421278"/>
    <n v="0"/>
    <n v="-1008.1113200000001"/>
    <n v="-493.57270000000005"/>
    <n v="0"/>
    <n v="-1181.4784719419674"/>
    <n v="-544.41477632537158"/>
  </r>
  <r>
    <s v="Sistema de Compensação"/>
    <x v="2"/>
    <x v="3"/>
    <x v="4"/>
    <x v="0"/>
    <x v="1"/>
    <x v="1"/>
    <x v="1"/>
    <x v="11"/>
    <n v="0"/>
    <n v="0"/>
    <n v="22.350999999999999"/>
    <n v="22.350999999999999"/>
    <n v="22.350999999999999"/>
    <n v="22.350999999999999"/>
    <n v="52"/>
    <x v="1"/>
    <n v="0"/>
    <n v="0"/>
    <n v="32"/>
    <n v="72"/>
    <n v="0"/>
    <n v="357.74"/>
    <n v="175.15"/>
    <m/>
    <n v="419.26134561460873"/>
    <n v="193.19190075421278"/>
    <n v="0"/>
    <n v="7995.84674"/>
    <n v="3914.77765"/>
    <n v="0"/>
    <n v="9370.910335832119"/>
    <n v="4318.0321737574095"/>
  </r>
  <r>
    <s v="Regular"/>
    <x v="3"/>
    <x v="2"/>
    <x v="1"/>
    <x v="0"/>
    <x v="1"/>
    <x v="1"/>
    <x v="0"/>
    <x v="0"/>
    <n v="0"/>
    <n v="0"/>
    <n v="0.42899999999999999"/>
    <n v="0.42899999999999999"/>
    <n v="0.42899999999999999"/>
    <n v="0.42899999999999999"/>
    <n v="0"/>
    <x v="1"/>
    <n v="0"/>
    <n v="0"/>
    <n v="46"/>
    <n v="86"/>
    <n v="0"/>
    <n v="315.24"/>
    <n v="189.96"/>
    <m/>
    <n v="357.05828664618559"/>
    <n v="195.89707226799715"/>
    <n v="0"/>
    <n v="135.23796000000002"/>
    <n v="81.492840000000001"/>
    <n v="0"/>
    <n v="153.17800497121362"/>
    <n v="84.039844002970767"/>
  </r>
  <r>
    <s v="Regular"/>
    <x v="3"/>
    <x v="2"/>
    <x v="1"/>
    <x v="0"/>
    <x v="1"/>
    <x v="1"/>
    <x v="0"/>
    <x v="1"/>
    <n v="0"/>
    <n v="0"/>
    <n v="0.34499999999999997"/>
    <n v="0.34499999999999997"/>
    <n v="0.34499999999999997"/>
    <n v="0.34499999999999997"/>
    <n v="0"/>
    <x v="1"/>
    <n v="0"/>
    <n v="0"/>
    <n v="46"/>
    <n v="86"/>
    <n v="0"/>
    <n v="315.24"/>
    <n v="189.96"/>
    <m/>
    <n v="357.05828664618559"/>
    <n v="195.89707226799715"/>
    <n v="0"/>
    <n v="108.75779999999999"/>
    <n v="65.536199999999994"/>
    <n v="0"/>
    <n v="123.18510889293402"/>
    <n v="67.584489932459007"/>
  </r>
  <r>
    <s v="Regular"/>
    <x v="3"/>
    <x v="2"/>
    <x v="1"/>
    <x v="0"/>
    <x v="1"/>
    <x v="1"/>
    <x v="0"/>
    <x v="2"/>
    <n v="0"/>
    <n v="0"/>
    <n v="0.19600000000000001"/>
    <n v="0.19600000000000001"/>
    <n v="0.19600000000000001"/>
    <n v="0.19600000000000001"/>
    <n v="0"/>
    <x v="1"/>
    <n v="0"/>
    <n v="0"/>
    <n v="46"/>
    <n v="86"/>
    <n v="0"/>
    <n v="315.24"/>
    <n v="189.96"/>
    <m/>
    <n v="357.05828664618559"/>
    <n v="195.89707226799715"/>
    <n v="0"/>
    <n v="61.787040000000005"/>
    <n v="37.23216"/>
    <n v="0"/>
    <n v="69.983424182652385"/>
    <n v="38.395826164527442"/>
  </r>
  <r>
    <s v="Regular"/>
    <x v="3"/>
    <x v="2"/>
    <x v="1"/>
    <x v="0"/>
    <x v="1"/>
    <x v="1"/>
    <x v="0"/>
    <x v="3"/>
    <n v="0"/>
    <n v="0"/>
    <n v="0.192"/>
    <n v="0.192"/>
    <n v="0.192"/>
    <n v="0.192"/>
    <n v="0"/>
    <x v="1"/>
    <n v="0"/>
    <n v="0"/>
    <n v="46"/>
    <n v="86"/>
    <n v="0"/>
    <n v="315.24"/>
    <n v="189.96"/>
    <m/>
    <n v="357.05828664618559"/>
    <n v="195.89707226799715"/>
    <n v="0"/>
    <n v="60.52608"/>
    <n v="36.472320000000003"/>
    <n v="0"/>
    <n v="68.55519103606764"/>
    <n v="37.612237875455456"/>
  </r>
  <r>
    <s v="Regular"/>
    <x v="3"/>
    <x v="2"/>
    <x v="1"/>
    <x v="0"/>
    <x v="1"/>
    <x v="1"/>
    <x v="0"/>
    <x v="4"/>
    <n v="0"/>
    <n v="0"/>
    <n v="0.28599999999999998"/>
    <n v="0.28599999999999998"/>
    <n v="0.28599999999999998"/>
    <n v="0.28599999999999998"/>
    <n v="0"/>
    <x v="1"/>
    <n v="0"/>
    <n v="0"/>
    <n v="46"/>
    <n v="86"/>
    <n v="0"/>
    <n v="315.24"/>
    <n v="189.96"/>
    <m/>
    <n v="357.05828664618559"/>
    <n v="195.89707226799715"/>
    <n v="0"/>
    <n v="90.158639999999991"/>
    <n v="54.328559999999996"/>
    <n v="0"/>
    <n v="102.11866998080907"/>
    <n v="56.02656266864718"/>
  </r>
  <r>
    <s v="Regular"/>
    <x v="3"/>
    <x v="2"/>
    <x v="1"/>
    <x v="0"/>
    <x v="1"/>
    <x v="1"/>
    <x v="0"/>
    <x v="5"/>
    <n v="0"/>
    <n v="0"/>
    <n v="0.39400000000000002"/>
    <n v="0.39400000000000002"/>
    <n v="0.39400000000000002"/>
    <n v="0.39400000000000002"/>
    <n v="0"/>
    <x v="1"/>
    <n v="0"/>
    <n v="0"/>
    <n v="46"/>
    <n v="86"/>
    <n v="0"/>
    <n v="315.24"/>
    <n v="189.96"/>
    <m/>
    <n v="357.05828664618559"/>
    <n v="195.89707226799715"/>
    <n v="0"/>
    <n v="124.20456000000001"/>
    <n v="74.844240000000013"/>
    <n v="0"/>
    <n v="140.68096493859713"/>
    <n v="77.183446473590877"/>
  </r>
  <r>
    <s v="Regular"/>
    <x v="3"/>
    <x v="2"/>
    <x v="1"/>
    <x v="0"/>
    <x v="1"/>
    <x v="1"/>
    <x v="0"/>
    <x v="6"/>
    <n v="0"/>
    <n v="0"/>
    <n v="0.47399999999999998"/>
    <n v="0.47399999999999998"/>
    <n v="0.47399999999999998"/>
    <n v="0.47399999999999998"/>
    <n v="0"/>
    <x v="1"/>
    <n v="0"/>
    <n v="0"/>
    <n v="46"/>
    <n v="86"/>
    <n v="0"/>
    <n v="315.24"/>
    <n v="189.96"/>
    <m/>
    <n v="357.05828664618559"/>
    <n v="195.89707226799715"/>
    <n v="0"/>
    <n v="149.42375999999999"/>
    <n v="90.041039999999995"/>
    <n v="0"/>
    <n v="169.24562787029197"/>
    <n v="92.855212255030636"/>
  </r>
  <r>
    <s v="Regular"/>
    <x v="3"/>
    <x v="2"/>
    <x v="1"/>
    <x v="0"/>
    <x v="1"/>
    <x v="1"/>
    <x v="0"/>
    <x v="7"/>
    <n v="0"/>
    <n v="0"/>
    <n v="0.59299999999999997"/>
    <n v="0.59299999999999997"/>
    <n v="0.59299999999999997"/>
    <n v="0.59299999999999997"/>
    <n v="0"/>
    <x v="1"/>
    <n v="0"/>
    <n v="0"/>
    <n v="46"/>
    <n v="86"/>
    <n v="0"/>
    <n v="315.24"/>
    <n v="189.96"/>
    <m/>
    <n v="357.05828664618559"/>
    <n v="195.89707226799715"/>
    <n v="0"/>
    <n v="186.93732"/>
    <n v="112.64628"/>
    <n v="0"/>
    <n v="211.73556398118805"/>
    <n v="116.1669638549223"/>
  </r>
  <r>
    <s v="Regular"/>
    <x v="3"/>
    <x v="2"/>
    <x v="1"/>
    <x v="0"/>
    <x v="1"/>
    <x v="1"/>
    <x v="0"/>
    <x v="8"/>
    <n v="0"/>
    <n v="0"/>
    <n v="0.46"/>
    <n v="0.46"/>
    <n v="0.46"/>
    <n v="0.46"/>
    <n v="0"/>
    <x v="1"/>
    <n v="0"/>
    <n v="0"/>
    <n v="46"/>
    <n v="86"/>
    <n v="0"/>
    <n v="315.24"/>
    <n v="189.96"/>
    <m/>
    <n v="357.05828664618559"/>
    <n v="195.89707226799715"/>
    <n v="0"/>
    <n v="145.0104"/>
    <n v="87.381600000000006"/>
    <n v="0"/>
    <n v="164.24681185724538"/>
    <n v="90.112653243278686"/>
  </r>
  <r>
    <s v="Regular"/>
    <x v="3"/>
    <x v="2"/>
    <x v="1"/>
    <x v="0"/>
    <x v="1"/>
    <x v="1"/>
    <x v="0"/>
    <x v="9"/>
    <n v="0"/>
    <n v="0"/>
    <n v="0.18099999999999999"/>
    <n v="0.18099999999999999"/>
    <n v="0.18099999999999999"/>
    <n v="0.18099999999999999"/>
    <n v="0"/>
    <x v="1"/>
    <n v="0"/>
    <n v="0"/>
    <n v="46"/>
    <n v="86"/>
    <n v="0"/>
    <n v="315.24"/>
    <n v="189.96"/>
    <m/>
    <n v="357.05828664618559"/>
    <n v="195.89707226799715"/>
    <n v="0"/>
    <n v="57.058439999999997"/>
    <n v="34.382759999999998"/>
    <n v="0"/>
    <n v="64.627549882959585"/>
    <n v="35.457370080507481"/>
  </r>
  <r>
    <s v="Regular"/>
    <x v="3"/>
    <x v="2"/>
    <x v="1"/>
    <x v="0"/>
    <x v="1"/>
    <x v="1"/>
    <x v="0"/>
    <x v="10"/>
    <n v="0"/>
    <n v="0"/>
    <n v="0.14000000000000001"/>
    <n v="0.14000000000000001"/>
    <n v="0.14000000000000001"/>
    <n v="0.14000000000000001"/>
    <n v="0"/>
    <x v="1"/>
    <n v="0"/>
    <n v="0"/>
    <n v="46"/>
    <n v="86"/>
    <n v="0"/>
    <n v="315.24"/>
    <n v="189.96"/>
    <m/>
    <n v="357.05828664618559"/>
    <n v="195.89707226799715"/>
    <n v="0"/>
    <n v="44.133600000000008"/>
    <n v="26.594400000000004"/>
    <n v="0"/>
    <n v="49.988160130465985"/>
    <n v="27.425590117519604"/>
  </r>
  <r>
    <s v="Regular"/>
    <x v="3"/>
    <x v="2"/>
    <x v="1"/>
    <x v="0"/>
    <x v="1"/>
    <x v="1"/>
    <x v="0"/>
    <x v="11"/>
    <n v="0"/>
    <n v="0"/>
    <n v="0.34399999999999997"/>
    <n v="0.34399999999999997"/>
    <n v="0.34399999999999997"/>
    <n v="0.34399999999999997"/>
    <n v="0"/>
    <x v="1"/>
    <n v="0"/>
    <n v="0"/>
    <n v="46"/>
    <n v="86"/>
    <n v="0"/>
    <n v="315.24"/>
    <n v="189.96"/>
    <m/>
    <n v="357.05828664618559"/>
    <n v="195.89707226799715"/>
    <n v="0"/>
    <n v="108.44256"/>
    <n v="65.346239999999995"/>
    <n v="0"/>
    <n v="122.82805060628783"/>
    <n v="67.388592860191011"/>
  </r>
  <r>
    <s v="Regular"/>
    <x v="3"/>
    <x v="2"/>
    <x v="1"/>
    <x v="0"/>
    <x v="1"/>
    <x v="1"/>
    <x v="3"/>
    <x v="0"/>
    <n v="0"/>
    <n v="0"/>
    <n v="3.2000000000000001E-2"/>
    <n v="3.2000000000000001E-2"/>
    <n v="3.2000000000000001E-2"/>
    <n v="3.2000000000000001E-2"/>
    <n v="0"/>
    <x v="1"/>
    <n v="0"/>
    <n v="0"/>
    <n v="45"/>
    <n v="85"/>
    <n v="0"/>
    <n v="721.58"/>
    <n v="189.96"/>
    <m/>
    <n v="814.58961420525986"/>
    <n v="195.89707226799715"/>
    <n v="0"/>
    <n v="23.090560000000004"/>
    <n v="6.0787200000000006"/>
    <n v="0"/>
    <n v="26.066867654568316"/>
    <n v="6.268706312575909"/>
  </r>
  <r>
    <s v="Regular"/>
    <x v="3"/>
    <x v="2"/>
    <x v="1"/>
    <x v="0"/>
    <x v="1"/>
    <x v="1"/>
    <x v="3"/>
    <x v="1"/>
    <n v="0"/>
    <n v="0"/>
    <n v="2.4E-2"/>
    <n v="2.4E-2"/>
    <n v="2.4E-2"/>
    <n v="2.4E-2"/>
    <n v="0"/>
    <x v="1"/>
    <n v="0"/>
    <n v="0"/>
    <n v="45"/>
    <n v="85"/>
    <n v="0"/>
    <n v="721.58"/>
    <n v="189.96"/>
    <m/>
    <n v="814.58961420525986"/>
    <n v="195.89707226799715"/>
    <n v="0"/>
    <n v="17.317920000000001"/>
    <n v="4.5590400000000004"/>
    <n v="0"/>
    <n v="19.550150740926238"/>
    <n v="4.701529734431932"/>
  </r>
  <r>
    <s v="Regular"/>
    <x v="3"/>
    <x v="2"/>
    <x v="1"/>
    <x v="0"/>
    <x v="1"/>
    <x v="1"/>
    <x v="3"/>
    <x v="2"/>
    <n v="0"/>
    <n v="0"/>
    <n v="1.2999999999999999E-2"/>
    <n v="1.2999999999999999E-2"/>
    <n v="1.2999999999999999E-2"/>
    <n v="1.2999999999999999E-2"/>
    <n v="0"/>
    <x v="1"/>
    <n v="0"/>
    <n v="0"/>
    <n v="45"/>
    <n v="85"/>
    <n v="0"/>
    <n v="721.58"/>
    <n v="189.96"/>
    <m/>
    <n v="814.58961420525986"/>
    <n v="195.89707226799715"/>
    <n v="0"/>
    <n v="9.3805399999999999"/>
    <n v="2.4694799999999999"/>
    <n v="0"/>
    <n v="10.589664984668378"/>
    <n v="2.5466619394839629"/>
  </r>
  <r>
    <s v="Regular"/>
    <x v="3"/>
    <x v="2"/>
    <x v="1"/>
    <x v="0"/>
    <x v="1"/>
    <x v="1"/>
    <x v="3"/>
    <x v="3"/>
    <n v="0"/>
    <n v="0"/>
    <n v="1.7000000000000001E-2"/>
    <n v="1.7000000000000001E-2"/>
    <n v="1.7000000000000001E-2"/>
    <n v="1.7000000000000001E-2"/>
    <n v="0"/>
    <x v="1"/>
    <n v="0"/>
    <n v="0"/>
    <n v="45"/>
    <n v="85"/>
    <n v="0"/>
    <n v="721.58"/>
    <n v="189.96"/>
    <m/>
    <n v="814.58961420525986"/>
    <n v="195.89707226799715"/>
    <n v="0"/>
    <n v="12.266860000000001"/>
    <n v="3.2293200000000004"/>
    <n v="0"/>
    <n v="13.848023441489419"/>
    <n v="3.3302502285559519"/>
  </r>
  <r>
    <s v="Regular"/>
    <x v="3"/>
    <x v="2"/>
    <x v="1"/>
    <x v="0"/>
    <x v="1"/>
    <x v="1"/>
    <x v="3"/>
    <x v="4"/>
    <n v="0"/>
    <n v="0"/>
    <n v="0.04"/>
    <n v="0.04"/>
    <n v="0.04"/>
    <n v="0.04"/>
    <n v="0"/>
    <x v="1"/>
    <n v="0"/>
    <n v="0"/>
    <n v="45"/>
    <n v="85"/>
    <n v="0"/>
    <n v="721.58"/>
    <n v="189.96"/>
    <m/>
    <n v="814.58961420525986"/>
    <n v="195.89707226799715"/>
    <n v="0"/>
    <n v="28.863200000000003"/>
    <n v="7.5984000000000007"/>
    <n v="0"/>
    <n v="32.583584568210398"/>
    <n v="7.8358828907198861"/>
  </r>
  <r>
    <s v="Regular"/>
    <x v="3"/>
    <x v="2"/>
    <x v="1"/>
    <x v="0"/>
    <x v="1"/>
    <x v="1"/>
    <x v="3"/>
    <x v="5"/>
    <n v="0"/>
    <n v="0"/>
    <n v="5.1999999999999998E-2"/>
    <n v="5.1999999999999998E-2"/>
    <n v="5.1999999999999998E-2"/>
    <n v="5.1999999999999998E-2"/>
    <n v="0"/>
    <x v="1"/>
    <n v="0"/>
    <n v="0"/>
    <n v="45"/>
    <n v="85"/>
    <n v="0"/>
    <n v="721.58"/>
    <n v="189.96"/>
    <m/>
    <n v="814.58961420525986"/>
    <n v="195.89707226799715"/>
    <n v="0"/>
    <n v="37.52216"/>
    <n v="9.8779199999999996"/>
    <n v="0"/>
    <n v="42.358659938673512"/>
    <n v="10.186647757935852"/>
  </r>
  <r>
    <s v="Regular"/>
    <x v="3"/>
    <x v="2"/>
    <x v="1"/>
    <x v="0"/>
    <x v="1"/>
    <x v="1"/>
    <x v="3"/>
    <x v="6"/>
    <n v="0"/>
    <n v="0"/>
    <n v="6.0999999999999999E-2"/>
    <n v="6.0999999999999999E-2"/>
    <n v="6.0999999999999999E-2"/>
    <n v="6.0999999999999999E-2"/>
    <n v="0"/>
    <x v="1"/>
    <n v="0"/>
    <n v="0"/>
    <n v="45"/>
    <n v="85"/>
    <n v="0"/>
    <n v="721.58"/>
    <n v="189.96"/>
    <m/>
    <n v="814.58961420525986"/>
    <n v="195.89707226799715"/>
    <n v="0"/>
    <n v="44.016379999999998"/>
    <n v="11.58756"/>
    <n v="0"/>
    <n v="49.68996646652085"/>
    <n v="11.949721408347825"/>
  </r>
  <r>
    <s v="Regular"/>
    <x v="3"/>
    <x v="2"/>
    <x v="1"/>
    <x v="0"/>
    <x v="1"/>
    <x v="1"/>
    <x v="3"/>
    <x v="7"/>
    <n v="0"/>
    <n v="0"/>
    <n v="6.9000000000000006E-2"/>
    <n v="6.9000000000000006E-2"/>
    <n v="6.9000000000000006E-2"/>
    <n v="6.9000000000000006E-2"/>
    <n v="0"/>
    <x v="1"/>
    <n v="0"/>
    <n v="0"/>
    <n v="45"/>
    <n v="85"/>
    <n v="0"/>
    <n v="721.58"/>
    <n v="189.96"/>
    <m/>
    <n v="814.58961420525986"/>
    <n v="195.89707226799715"/>
    <n v="0"/>
    <n v="49.789020000000008"/>
    <n v="13.107240000000001"/>
    <n v="0"/>
    <n v="56.206683380162936"/>
    <n v="13.516897986491804"/>
  </r>
  <r>
    <s v="Regular"/>
    <x v="3"/>
    <x v="2"/>
    <x v="1"/>
    <x v="0"/>
    <x v="1"/>
    <x v="1"/>
    <x v="3"/>
    <x v="8"/>
    <n v="0"/>
    <n v="0"/>
    <n v="5.2999999999999999E-2"/>
    <n v="5.2999999999999999E-2"/>
    <n v="5.2999999999999999E-2"/>
    <n v="5.2999999999999999E-2"/>
    <n v="0"/>
    <x v="1"/>
    <n v="0"/>
    <n v="0"/>
    <n v="45"/>
    <n v="85"/>
    <n v="0"/>
    <n v="721.58"/>
    <n v="189.96"/>
    <m/>
    <n v="814.58961420525986"/>
    <n v="195.89707226799715"/>
    <n v="0"/>
    <n v="38.243740000000003"/>
    <n v="10.067880000000001"/>
    <n v="0"/>
    <n v="43.173249552878772"/>
    <n v="10.382544830203848"/>
  </r>
  <r>
    <s v="Regular"/>
    <x v="3"/>
    <x v="2"/>
    <x v="1"/>
    <x v="0"/>
    <x v="1"/>
    <x v="1"/>
    <x v="3"/>
    <x v="9"/>
    <n v="0"/>
    <n v="0"/>
    <n v="2.4E-2"/>
    <n v="2.4E-2"/>
    <n v="2.4E-2"/>
    <n v="2.4E-2"/>
    <n v="0"/>
    <x v="1"/>
    <n v="0"/>
    <n v="0"/>
    <n v="45"/>
    <n v="85"/>
    <n v="0"/>
    <n v="721.58"/>
    <n v="189.96"/>
    <m/>
    <n v="814.58961420525986"/>
    <n v="195.89707226799715"/>
    <n v="0"/>
    <n v="17.317920000000001"/>
    <n v="4.5590400000000004"/>
    <n v="0"/>
    <n v="19.550150740926238"/>
    <n v="4.701529734431932"/>
  </r>
  <r>
    <s v="Regular"/>
    <x v="3"/>
    <x v="2"/>
    <x v="1"/>
    <x v="0"/>
    <x v="1"/>
    <x v="1"/>
    <x v="3"/>
    <x v="10"/>
    <n v="0"/>
    <n v="0"/>
    <n v="1.2999999999999999E-2"/>
    <n v="1.2999999999999999E-2"/>
    <n v="1.2999999999999999E-2"/>
    <n v="1.2999999999999999E-2"/>
    <n v="0"/>
    <x v="1"/>
    <n v="0"/>
    <n v="0"/>
    <n v="45"/>
    <n v="85"/>
    <n v="0"/>
    <n v="721.58"/>
    <n v="189.96"/>
    <m/>
    <n v="814.58961420525986"/>
    <n v="195.89707226799715"/>
    <n v="0"/>
    <n v="9.3805399999999999"/>
    <n v="2.4694799999999999"/>
    <n v="0"/>
    <n v="10.589664984668378"/>
    <n v="2.5466619394839629"/>
  </r>
  <r>
    <s v="Regular"/>
    <x v="3"/>
    <x v="2"/>
    <x v="1"/>
    <x v="0"/>
    <x v="1"/>
    <x v="1"/>
    <x v="3"/>
    <x v="11"/>
    <n v="0"/>
    <n v="0"/>
    <n v="2.9000000000000001E-2"/>
    <n v="2.9000000000000001E-2"/>
    <n v="2.9000000000000001E-2"/>
    <n v="2.9000000000000001E-2"/>
    <n v="0"/>
    <x v="1"/>
    <n v="0"/>
    <n v="0"/>
    <n v="45"/>
    <n v="85"/>
    <n v="0"/>
    <n v="721.58"/>
    <n v="189.96"/>
    <m/>
    <n v="814.58961420525986"/>
    <n v="195.89707226799715"/>
    <n v="0"/>
    <n v="20.925820000000002"/>
    <n v="5.5088400000000002"/>
    <n v="0"/>
    <n v="23.623098811952538"/>
    <n v="5.6810150957719179"/>
  </r>
  <r>
    <s v="Regular"/>
    <x v="3"/>
    <x v="2"/>
    <x v="1"/>
    <x v="0"/>
    <x v="1"/>
    <x v="1"/>
    <x v="2"/>
    <x v="0"/>
    <n v="0"/>
    <n v="0"/>
    <n v="1.9E-2"/>
    <n v="1.9E-2"/>
    <n v="1.9E-2"/>
    <n v="1.9E-2"/>
    <n v="0"/>
    <x v="1"/>
    <n v="0"/>
    <n v="0"/>
    <n v="44"/>
    <n v="84"/>
    <n v="0"/>
    <n v="1127.9100000000001"/>
    <n v="298.83999999999997"/>
    <m/>
    <n v="1272.1208638466596"/>
    <n v="311.4117891483653"/>
    <n v="0"/>
    <n v="21.430289999999999"/>
    <n v="5.6779599999999997"/>
    <n v="0"/>
    <n v="24.170296413086533"/>
    <n v="5.9168239938189409"/>
  </r>
  <r>
    <s v="Regular"/>
    <x v="3"/>
    <x v="2"/>
    <x v="1"/>
    <x v="0"/>
    <x v="1"/>
    <x v="1"/>
    <x v="2"/>
    <x v="1"/>
    <n v="0"/>
    <n v="0"/>
    <n v="0.02"/>
    <n v="0.02"/>
    <n v="0.02"/>
    <n v="0.02"/>
    <n v="0"/>
    <x v="1"/>
    <n v="0"/>
    <n v="0"/>
    <n v="44"/>
    <n v="84"/>
    <n v="0"/>
    <n v="1127.9100000000001"/>
    <n v="298.83999999999997"/>
    <m/>
    <n v="1272.1208638466596"/>
    <n v="311.4117891483653"/>
    <n v="0"/>
    <n v="22.558200000000003"/>
    <n v="5.9767999999999999"/>
    <n v="0"/>
    <n v="25.442417276933192"/>
    <n v="6.2282357829673058"/>
  </r>
  <r>
    <s v="Regular"/>
    <x v="3"/>
    <x v="2"/>
    <x v="1"/>
    <x v="0"/>
    <x v="1"/>
    <x v="1"/>
    <x v="2"/>
    <x v="2"/>
    <n v="0"/>
    <n v="0"/>
    <n v="1.4E-2"/>
    <n v="1.4E-2"/>
    <n v="1.4E-2"/>
    <n v="1.4E-2"/>
    <n v="0"/>
    <x v="1"/>
    <n v="0"/>
    <n v="0"/>
    <n v="44"/>
    <n v="84"/>
    <n v="0"/>
    <n v="1127.9100000000001"/>
    <n v="298.83999999999997"/>
    <m/>
    <n v="1272.1208638466596"/>
    <n v="311.4117891483653"/>
    <n v="0"/>
    <n v="15.790740000000001"/>
    <n v="4.1837599999999995"/>
    <n v="0"/>
    <n v="17.809692093853236"/>
    <n v="4.3597650480771142"/>
  </r>
  <r>
    <s v="Regular"/>
    <x v="3"/>
    <x v="2"/>
    <x v="1"/>
    <x v="0"/>
    <x v="1"/>
    <x v="1"/>
    <x v="2"/>
    <x v="3"/>
    <n v="0"/>
    <n v="0"/>
    <n v="1.4999999999999999E-2"/>
    <n v="1.4999999999999999E-2"/>
    <n v="1.4999999999999999E-2"/>
    <n v="1.4999999999999999E-2"/>
    <n v="0"/>
    <x v="1"/>
    <n v="0"/>
    <n v="0"/>
    <n v="44"/>
    <n v="84"/>
    <n v="0"/>
    <n v="1127.9100000000001"/>
    <n v="298.83999999999997"/>
    <m/>
    <n v="1272.1208638466596"/>
    <n v="311.4117891483653"/>
    <n v="0"/>
    <n v="16.91865"/>
    <n v="4.4825999999999997"/>
    <n v="0"/>
    <n v="19.081812957699892"/>
    <n v="4.6711768372254792"/>
  </r>
  <r>
    <s v="Regular"/>
    <x v="3"/>
    <x v="2"/>
    <x v="1"/>
    <x v="0"/>
    <x v="1"/>
    <x v="1"/>
    <x v="2"/>
    <x v="4"/>
    <n v="0"/>
    <n v="0"/>
    <n v="1.4E-2"/>
    <n v="1.4E-2"/>
    <n v="1.4E-2"/>
    <n v="1.4E-2"/>
    <n v="0"/>
    <x v="1"/>
    <n v="0"/>
    <n v="0"/>
    <n v="44"/>
    <n v="84"/>
    <n v="0"/>
    <n v="1127.9100000000001"/>
    <n v="298.83999999999997"/>
    <m/>
    <n v="1272.1208638466596"/>
    <n v="311.4117891483653"/>
    <n v="0"/>
    <n v="15.790740000000001"/>
    <n v="4.1837599999999995"/>
    <n v="0"/>
    <n v="17.809692093853236"/>
    <n v="4.3597650480771142"/>
  </r>
  <r>
    <s v="Regular"/>
    <x v="3"/>
    <x v="2"/>
    <x v="1"/>
    <x v="0"/>
    <x v="1"/>
    <x v="1"/>
    <x v="2"/>
    <x v="5"/>
    <n v="0"/>
    <n v="0"/>
    <n v="0.02"/>
    <n v="0.02"/>
    <n v="0.02"/>
    <n v="0.02"/>
    <n v="0"/>
    <x v="1"/>
    <n v="0"/>
    <n v="0"/>
    <n v="44"/>
    <n v="84"/>
    <n v="0"/>
    <n v="1127.9100000000001"/>
    <n v="298.83999999999997"/>
    <m/>
    <n v="1272.1208638466596"/>
    <n v="311.4117891483653"/>
    <n v="0"/>
    <n v="22.558200000000003"/>
    <n v="5.9767999999999999"/>
    <n v="0"/>
    <n v="25.442417276933192"/>
    <n v="6.2282357829673058"/>
  </r>
  <r>
    <s v="Regular"/>
    <x v="3"/>
    <x v="2"/>
    <x v="1"/>
    <x v="0"/>
    <x v="1"/>
    <x v="1"/>
    <x v="2"/>
    <x v="6"/>
    <n v="0"/>
    <n v="0"/>
    <n v="0.02"/>
    <n v="0.02"/>
    <n v="0.02"/>
    <n v="0.02"/>
    <n v="0"/>
    <x v="1"/>
    <n v="0"/>
    <n v="0"/>
    <n v="44"/>
    <n v="84"/>
    <n v="0"/>
    <n v="1127.9100000000001"/>
    <n v="298.83999999999997"/>
    <m/>
    <n v="1272.1208638466596"/>
    <n v="311.4117891483653"/>
    <n v="0"/>
    <n v="22.558200000000003"/>
    <n v="5.9767999999999999"/>
    <n v="0"/>
    <n v="25.442417276933192"/>
    <n v="6.2282357829673058"/>
  </r>
  <r>
    <s v="Regular"/>
    <x v="3"/>
    <x v="2"/>
    <x v="1"/>
    <x v="0"/>
    <x v="1"/>
    <x v="1"/>
    <x v="2"/>
    <x v="7"/>
    <n v="0"/>
    <n v="0"/>
    <n v="2.7E-2"/>
    <n v="2.7E-2"/>
    <n v="2.7E-2"/>
    <n v="2.7E-2"/>
    <n v="0"/>
    <x v="1"/>
    <n v="0"/>
    <n v="0"/>
    <n v="44"/>
    <n v="84"/>
    <n v="0"/>
    <n v="1127.9100000000001"/>
    <n v="298.83999999999997"/>
    <m/>
    <n v="1272.1208638466596"/>
    <n v="311.4117891483653"/>
    <n v="0"/>
    <n v="30.453570000000003"/>
    <n v="8.0686799999999987"/>
    <n v="0"/>
    <n v="34.347263323859806"/>
    <n v="8.4081183070058625"/>
  </r>
  <r>
    <s v="Regular"/>
    <x v="3"/>
    <x v="2"/>
    <x v="1"/>
    <x v="0"/>
    <x v="1"/>
    <x v="1"/>
    <x v="2"/>
    <x v="8"/>
    <n v="0"/>
    <n v="0"/>
    <n v="0.03"/>
    <n v="0.03"/>
    <n v="0.03"/>
    <n v="0.03"/>
    <n v="0"/>
    <x v="1"/>
    <n v="0"/>
    <n v="0"/>
    <n v="44"/>
    <n v="84"/>
    <n v="0"/>
    <n v="1127.9100000000001"/>
    <n v="298.83999999999997"/>
    <m/>
    <n v="1272.1208638466596"/>
    <n v="311.4117891483653"/>
    <n v="0"/>
    <n v="33.837299999999999"/>
    <n v="8.9651999999999994"/>
    <n v="0"/>
    <n v="38.163625915399784"/>
    <n v="9.3423536744509583"/>
  </r>
  <r>
    <s v="Regular"/>
    <x v="3"/>
    <x v="2"/>
    <x v="1"/>
    <x v="0"/>
    <x v="1"/>
    <x v="1"/>
    <x v="2"/>
    <x v="9"/>
    <n v="0"/>
    <n v="0"/>
    <n v="2.3E-2"/>
    <n v="2.3E-2"/>
    <n v="2.3E-2"/>
    <n v="2.3E-2"/>
    <n v="0"/>
    <x v="1"/>
    <n v="0"/>
    <n v="0"/>
    <n v="44"/>
    <n v="84"/>
    <n v="0"/>
    <n v="1127.9100000000001"/>
    <n v="298.83999999999997"/>
    <m/>
    <n v="1272.1208638466596"/>
    <n v="311.4117891483653"/>
    <n v="0"/>
    <n v="25.941930000000003"/>
    <n v="6.8733199999999997"/>
    <n v="0"/>
    <n v="29.258779868473169"/>
    <n v="7.1624711504124017"/>
  </r>
  <r>
    <s v="Regular"/>
    <x v="3"/>
    <x v="2"/>
    <x v="1"/>
    <x v="0"/>
    <x v="1"/>
    <x v="1"/>
    <x v="2"/>
    <x v="10"/>
    <n v="0"/>
    <n v="0"/>
    <n v="1.2999999999999999E-2"/>
    <n v="1.2999999999999999E-2"/>
    <n v="1.2999999999999999E-2"/>
    <n v="1.2999999999999999E-2"/>
    <n v="0"/>
    <x v="1"/>
    <n v="0"/>
    <n v="0"/>
    <n v="44"/>
    <n v="84"/>
    <n v="0"/>
    <n v="1127.9100000000001"/>
    <n v="298.83999999999997"/>
    <m/>
    <n v="1272.1208638466596"/>
    <n v="311.4117891483653"/>
    <n v="0"/>
    <n v="14.66283"/>
    <n v="3.8849199999999997"/>
    <n v="0"/>
    <n v="16.537571230006574"/>
    <n v="4.0483532589287483"/>
  </r>
  <r>
    <s v="Regular"/>
    <x v="3"/>
    <x v="2"/>
    <x v="1"/>
    <x v="0"/>
    <x v="1"/>
    <x v="1"/>
    <x v="2"/>
    <x v="11"/>
    <n v="0"/>
    <n v="0"/>
    <n v="1.2E-2"/>
    <n v="1.2E-2"/>
    <n v="1.2E-2"/>
    <n v="1.2E-2"/>
    <n v="0"/>
    <x v="1"/>
    <n v="0"/>
    <n v="0"/>
    <n v="44"/>
    <n v="84"/>
    <n v="0"/>
    <n v="1127.9100000000001"/>
    <n v="298.83999999999997"/>
    <m/>
    <n v="1272.1208638466596"/>
    <n v="311.4117891483653"/>
    <n v="0"/>
    <n v="13.534920000000001"/>
    <n v="3.5860799999999999"/>
    <n v="0"/>
    <n v="15.265450366159916"/>
    <n v="3.7369414697803838"/>
  </r>
  <r>
    <s v="Regular"/>
    <x v="3"/>
    <x v="2"/>
    <x v="2"/>
    <x v="0"/>
    <x v="1"/>
    <x v="1"/>
    <x v="2"/>
    <x v="6"/>
    <n v="0"/>
    <n v="0"/>
    <n v="5.3410000000000002"/>
    <n v="5.3410000000000002"/>
    <n v="5.3410000000000002"/>
    <n v="5.3410000000000002"/>
    <n v="0"/>
    <x v="1"/>
    <n v="0"/>
    <n v="0"/>
    <n v="44"/>
    <n v="84"/>
    <n v="0"/>
    <n v="1127.9100000000001"/>
    <n v="298.83999999999997"/>
    <m/>
    <n v="1272.1208638466596"/>
    <n v="311.4117891483653"/>
    <n v="0"/>
    <n v="6024.1673100000007"/>
    <n v="1596.1044399999998"/>
    <n v="0"/>
    <n v="6794.3975338050095"/>
    <n v="1663.2503658414191"/>
  </r>
  <r>
    <s v="Regular"/>
    <x v="3"/>
    <x v="2"/>
    <x v="3"/>
    <x v="0"/>
    <x v="1"/>
    <x v="1"/>
    <x v="0"/>
    <x v="9"/>
    <n v="0"/>
    <n v="0"/>
    <n v="0.433"/>
    <n v="0.433"/>
    <n v="0.433"/>
    <n v="0.433"/>
    <n v="0"/>
    <x v="1"/>
    <n v="0"/>
    <n v="0"/>
    <n v="46"/>
    <n v="86"/>
    <n v="0"/>
    <n v="315.24"/>
    <n v="189.96"/>
    <m/>
    <n v="357.05828664618559"/>
    <n v="195.89707226799715"/>
    <n v="0"/>
    <n v="136.49892"/>
    <n v="82.252679999999998"/>
    <n v="0"/>
    <n v="154.60623811779837"/>
    <n v="84.823432292042767"/>
  </r>
  <r>
    <s v="Regular"/>
    <x v="3"/>
    <x v="2"/>
    <x v="3"/>
    <x v="0"/>
    <x v="1"/>
    <x v="1"/>
    <x v="0"/>
    <x v="10"/>
    <n v="0"/>
    <n v="0"/>
    <n v="1.272"/>
    <n v="1.272"/>
    <n v="1.272"/>
    <n v="1.272"/>
    <n v="0"/>
    <x v="1"/>
    <n v="0"/>
    <n v="0"/>
    <n v="46"/>
    <n v="86"/>
    <n v="0"/>
    <n v="315.24"/>
    <n v="189.96"/>
    <m/>
    <n v="357.05828664618559"/>
    <n v="195.89707226799715"/>
    <n v="0"/>
    <n v="400.98528000000005"/>
    <n v="241.62912"/>
    <n v="0"/>
    <n v="454.17814061394807"/>
    <n v="249.18107592489238"/>
  </r>
  <r>
    <s v="Regular"/>
    <x v="3"/>
    <x v="2"/>
    <x v="3"/>
    <x v="0"/>
    <x v="1"/>
    <x v="1"/>
    <x v="0"/>
    <x v="11"/>
    <n v="0"/>
    <n v="0"/>
    <n v="1.7450000000000001"/>
    <n v="1.7450000000000001"/>
    <n v="1.7450000000000001"/>
    <n v="1.7450000000000001"/>
    <n v="0"/>
    <x v="1"/>
    <n v="0"/>
    <n v="0"/>
    <n v="46"/>
    <n v="86"/>
    <n v="0"/>
    <n v="315.24"/>
    <n v="189.96"/>
    <m/>
    <n v="357.05828664618559"/>
    <n v="195.89707226799715"/>
    <n v="0"/>
    <n v="550.0938000000001"/>
    <n v="331.48020000000002"/>
    <n v="0"/>
    <n v="623.06671019759392"/>
    <n v="341.84039110765502"/>
  </r>
  <r>
    <s v="Regular"/>
    <x v="3"/>
    <x v="2"/>
    <x v="3"/>
    <x v="0"/>
    <x v="1"/>
    <x v="1"/>
    <x v="3"/>
    <x v="9"/>
    <n v="0"/>
    <n v="0"/>
    <n v="1.0999999999999999E-2"/>
    <n v="1.0999999999999999E-2"/>
    <n v="1.0999999999999999E-2"/>
    <n v="1.0999999999999999E-2"/>
    <n v="0"/>
    <x v="1"/>
    <n v="0"/>
    <n v="0"/>
    <n v="45"/>
    <n v="85"/>
    <n v="0"/>
    <n v="721.58"/>
    <n v="189.96"/>
    <m/>
    <n v="814.58961420525986"/>
    <n v="195.89707226799715"/>
    <n v="0"/>
    <n v="7.9373800000000001"/>
    <n v="2.0895600000000001"/>
    <n v="0"/>
    <n v="8.9604857562578584"/>
    <n v="2.1548677949479687"/>
  </r>
  <r>
    <s v="Regular"/>
    <x v="3"/>
    <x v="2"/>
    <x v="3"/>
    <x v="0"/>
    <x v="1"/>
    <x v="1"/>
    <x v="3"/>
    <x v="10"/>
    <n v="0"/>
    <n v="0"/>
    <n v="7.5999999999999998E-2"/>
    <n v="7.5999999999999998E-2"/>
    <n v="7.5999999999999998E-2"/>
    <n v="7.5999999999999998E-2"/>
    <n v="0"/>
    <x v="1"/>
    <n v="0"/>
    <n v="0"/>
    <n v="45"/>
    <n v="85"/>
    <n v="0"/>
    <n v="721.58"/>
    <n v="189.96"/>
    <m/>
    <n v="814.58961420525986"/>
    <n v="195.89707226799715"/>
    <n v="0"/>
    <n v="54.84008"/>
    <n v="14.436960000000001"/>
    <n v="0"/>
    <n v="61.908810679599746"/>
    <n v="14.888177492367783"/>
  </r>
  <r>
    <s v="Regular"/>
    <x v="3"/>
    <x v="2"/>
    <x v="3"/>
    <x v="0"/>
    <x v="1"/>
    <x v="1"/>
    <x v="3"/>
    <x v="11"/>
    <n v="0"/>
    <n v="0"/>
    <n v="0.113"/>
    <n v="0.113"/>
    <n v="0.113"/>
    <n v="0.113"/>
    <n v="0"/>
    <x v="1"/>
    <n v="0"/>
    <n v="0"/>
    <n v="45"/>
    <n v="85"/>
    <n v="0"/>
    <n v="721.58"/>
    <n v="189.96"/>
    <m/>
    <n v="814.58961420525986"/>
    <n v="195.89707226799715"/>
    <n v="0"/>
    <n v="81.538540000000012"/>
    <n v="21.465480000000003"/>
    <n v="0"/>
    <n v="92.048626405194369"/>
    <n v="22.136369166283679"/>
  </r>
  <r>
    <s v="Regular"/>
    <x v="3"/>
    <x v="2"/>
    <x v="3"/>
    <x v="0"/>
    <x v="1"/>
    <x v="1"/>
    <x v="2"/>
    <x v="6"/>
    <n v="0"/>
    <n v="0"/>
    <n v="2.669"/>
    <n v="2.669"/>
    <n v="2.669"/>
    <n v="2.669"/>
    <n v="0"/>
    <x v="1"/>
    <n v="0"/>
    <n v="0"/>
    <n v="44"/>
    <n v="84"/>
    <n v="0"/>
    <n v="1127.9100000000001"/>
    <n v="298.83999999999997"/>
    <m/>
    <n v="1272.1208638466596"/>
    <n v="311.4117891483653"/>
    <n v="0"/>
    <n v="3010.3917900000001"/>
    <n v="797.60395999999992"/>
    <n v="0"/>
    <n v="3395.2905856067346"/>
    <n v="831.158065236987"/>
  </r>
  <r>
    <s v="Regular"/>
    <x v="3"/>
    <x v="2"/>
    <x v="3"/>
    <x v="0"/>
    <x v="1"/>
    <x v="1"/>
    <x v="2"/>
    <x v="9"/>
    <n v="0"/>
    <n v="0"/>
    <n v="1.4E-2"/>
    <n v="1.4E-2"/>
    <n v="1.4E-2"/>
    <n v="1.4E-2"/>
    <n v="0"/>
    <x v="1"/>
    <n v="0"/>
    <n v="0"/>
    <n v="44"/>
    <n v="84"/>
    <n v="0"/>
    <n v="1127.9100000000001"/>
    <n v="298.83999999999997"/>
    <m/>
    <n v="1272.1208638466596"/>
    <n v="311.4117891483653"/>
    <n v="0"/>
    <n v="15.790740000000001"/>
    <n v="4.1837599999999995"/>
    <n v="0"/>
    <n v="17.809692093853236"/>
    <n v="4.3597650480771142"/>
  </r>
  <r>
    <s v="Regular"/>
    <x v="3"/>
    <x v="2"/>
    <x v="3"/>
    <x v="0"/>
    <x v="1"/>
    <x v="1"/>
    <x v="2"/>
    <x v="10"/>
    <n v="0"/>
    <n v="0"/>
    <n v="6.7000000000000004E-2"/>
    <n v="6.7000000000000004E-2"/>
    <n v="6.7000000000000004E-2"/>
    <n v="6.7000000000000004E-2"/>
    <n v="0"/>
    <x v="1"/>
    <n v="0"/>
    <n v="0"/>
    <n v="44"/>
    <n v="84"/>
    <n v="0"/>
    <n v="1127.9100000000001"/>
    <n v="298.83999999999997"/>
    <m/>
    <n v="1272.1208638466596"/>
    <n v="311.4117891483653"/>
    <n v="0"/>
    <n v="75.569970000000012"/>
    <n v="20.022279999999999"/>
    <n v="0"/>
    <n v="85.232097877726204"/>
    <n v="20.864589872940478"/>
  </r>
  <r>
    <s v="Regular"/>
    <x v="3"/>
    <x v="2"/>
    <x v="3"/>
    <x v="0"/>
    <x v="1"/>
    <x v="1"/>
    <x v="2"/>
    <x v="11"/>
    <n v="0"/>
    <n v="0"/>
    <n v="9.6000000000000002E-2"/>
    <n v="9.6000000000000002E-2"/>
    <n v="9.6000000000000002E-2"/>
    <n v="9.6000000000000002E-2"/>
    <n v="0"/>
    <x v="1"/>
    <n v="0"/>
    <n v="0"/>
    <n v="44"/>
    <n v="84"/>
    <n v="0"/>
    <n v="1127.9100000000001"/>
    <n v="298.83999999999997"/>
    <m/>
    <n v="1272.1208638466596"/>
    <n v="311.4117891483653"/>
    <n v="0"/>
    <n v="108.27936000000001"/>
    <n v="28.688639999999999"/>
    <n v="0"/>
    <n v="122.12360292927933"/>
    <n v="29.89553175824307"/>
  </r>
  <r>
    <s v="Regular"/>
    <x v="3"/>
    <x v="2"/>
    <x v="6"/>
    <x v="7"/>
    <x v="1"/>
    <x v="1"/>
    <x v="2"/>
    <x v="6"/>
    <n v="0"/>
    <n v="0"/>
    <n v="0.69399999999999995"/>
    <n v="0.69399999999999995"/>
    <n v="0.69399999999999995"/>
    <n v="0.69399999999999995"/>
    <n v="0"/>
    <x v="1"/>
    <n v="0"/>
    <n v="0"/>
    <n v="44"/>
    <n v="84"/>
    <n v="0"/>
    <n v="1060.2354"/>
    <n v="280.90959999999995"/>
    <m/>
    <n v="1233.9572379312599"/>
    <n v="302.06943547391433"/>
    <n v="0"/>
    <n v="735.8033676"/>
    <n v="194.95126239999996"/>
    <n v="0"/>
    <n v="856.36632312429435"/>
    <n v="209.63618821889654"/>
  </r>
  <r>
    <s v="Regular"/>
    <x v="3"/>
    <x v="3"/>
    <x v="1"/>
    <x v="0"/>
    <x v="1"/>
    <x v="1"/>
    <x v="1"/>
    <x v="0"/>
    <n v="0"/>
    <n v="0"/>
    <n v="511.387"/>
    <n v="511.387"/>
    <n v="511.387"/>
    <n v="511.387"/>
    <n v="1166"/>
    <x v="1"/>
    <n v="0"/>
    <n v="0"/>
    <n v="47"/>
    <n v="87"/>
    <n v="0"/>
    <n v="406.52"/>
    <n v="199.03"/>
    <m/>
    <n v="446.02270810064761"/>
    <n v="205.52329867469447"/>
    <n v="0"/>
    <n v="207889.04324"/>
    <n v="101781.35460999999"/>
    <n v="0"/>
    <n v="228090.21462746587"/>
    <n v="105101.94313935598"/>
  </r>
  <r>
    <s v="Refaturamento - Regular"/>
    <x v="3"/>
    <x v="3"/>
    <x v="1"/>
    <x v="0"/>
    <x v="1"/>
    <x v="1"/>
    <x v="1"/>
    <x v="0"/>
    <n v="0"/>
    <n v="0"/>
    <n v="-10.084"/>
    <n v="-10.084"/>
    <n v="-10.084"/>
    <n v="-10.084"/>
    <n v="0"/>
    <x v="1"/>
    <n v="0"/>
    <n v="0"/>
    <n v="47"/>
    <n v="87"/>
    <n v="0"/>
    <n v="406.52"/>
    <n v="199.03"/>
    <m/>
    <n v="446.02270810064761"/>
    <n v="205.52329867469447"/>
    <n v="0"/>
    <n v="-4099.3476799999999"/>
    <n v="-2007.0185199999999"/>
    <n v="0"/>
    <n v="-4497.6929884869305"/>
    <n v="-2072.4969438356188"/>
  </r>
  <r>
    <s v="Sistema de Compensação"/>
    <x v="3"/>
    <x v="3"/>
    <x v="1"/>
    <x v="0"/>
    <x v="1"/>
    <x v="1"/>
    <x v="1"/>
    <x v="0"/>
    <n v="0"/>
    <n v="0"/>
    <n v="50.249000000000002"/>
    <n v="50.249000000000002"/>
    <n v="50.249000000000002"/>
    <n v="50.249000000000002"/>
    <n v="38"/>
    <x v="1"/>
    <n v="0"/>
    <n v="0"/>
    <n v="47"/>
    <n v="87"/>
    <n v="0"/>
    <n v="406.52"/>
    <n v="199.03"/>
    <m/>
    <n v="446.02270810064761"/>
    <n v="205.52329867469447"/>
    <n v="0"/>
    <n v="20427.223480000001"/>
    <n v="10001.05847"/>
    <n v="0"/>
    <n v="22412.195059349444"/>
    <n v="10327.340235104723"/>
  </r>
  <r>
    <s v="Regular"/>
    <x v="3"/>
    <x v="3"/>
    <x v="1"/>
    <x v="0"/>
    <x v="1"/>
    <x v="1"/>
    <x v="1"/>
    <x v="1"/>
    <n v="0"/>
    <n v="0"/>
    <n v="549.75400000000002"/>
    <n v="549.75400000000002"/>
    <n v="549.75400000000002"/>
    <n v="549.75400000000002"/>
    <n v="1164"/>
    <x v="1"/>
    <n v="0"/>
    <n v="0"/>
    <n v="47"/>
    <n v="87"/>
    <n v="0"/>
    <n v="406.52"/>
    <n v="199.03"/>
    <m/>
    <n v="446.02270810064761"/>
    <n v="205.52329867469447"/>
    <n v="0"/>
    <n v="223485.99608000001"/>
    <n v="109417.53862000001"/>
    <n v="0"/>
    <n v="245202.76786916342"/>
    <n v="112987.25553960798"/>
  </r>
  <r>
    <s v="Refaturamento - Regular"/>
    <x v="3"/>
    <x v="3"/>
    <x v="1"/>
    <x v="0"/>
    <x v="1"/>
    <x v="1"/>
    <x v="1"/>
    <x v="1"/>
    <n v="0"/>
    <n v="0"/>
    <n v="-6.5000000000000002E-2"/>
    <n v="-6.5000000000000002E-2"/>
    <n v="-6.5000000000000002E-2"/>
    <n v="-6.5000000000000002E-2"/>
    <n v="0"/>
    <x v="1"/>
    <n v="0"/>
    <n v="0"/>
    <n v="47"/>
    <n v="87"/>
    <n v="0"/>
    <n v="406.52"/>
    <n v="199.03"/>
    <m/>
    <n v="446.02270810064761"/>
    <n v="205.52329867469447"/>
    <n v="0"/>
    <n v="-26.4238"/>
    <n v="-12.936950000000001"/>
    <n v="0"/>
    <n v="-28.991476026542095"/>
    <n v="-13.359014413855141"/>
  </r>
  <r>
    <s v="Sistema de Compensação"/>
    <x v="3"/>
    <x v="3"/>
    <x v="1"/>
    <x v="0"/>
    <x v="1"/>
    <x v="1"/>
    <x v="1"/>
    <x v="1"/>
    <n v="0"/>
    <n v="0"/>
    <n v="43.874000000000002"/>
    <n v="43.874000000000002"/>
    <n v="43.874000000000002"/>
    <n v="43.874000000000002"/>
    <n v="42"/>
    <x v="1"/>
    <n v="0"/>
    <n v="0"/>
    <n v="47"/>
    <n v="87"/>
    <n v="0"/>
    <n v="406.52"/>
    <n v="199.03"/>
    <m/>
    <n v="446.02270810064761"/>
    <n v="205.52329867469447"/>
    <n v="0"/>
    <n v="17835.658480000002"/>
    <n v="8732.2422200000001"/>
    <n v="0"/>
    <n v="19568.800295207813"/>
    <n v="9017.1292060535452"/>
  </r>
  <r>
    <s v="Regular"/>
    <x v="3"/>
    <x v="3"/>
    <x v="1"/>
    <x v="0"/>
    <x v="1"/>
    <x v="1"/>
    <x v="1"/>
    <x v="2"/>
    <n v="0"/>
    <n v="0"/>
    <n v="507.43700000000001"/>
    <n v="507.43700000000001"/>
    <n v="507.43700000000001"/>
    <n v="507.43700000000001"/>
    <n v="1174"/>
    <x v="1"/>
    <n v="0"/>
    <n v="0"/>
    <n v="47"/>
    <n v="87"/>
    <n v="0"/>
    <n v="406.52"/>
    <n v="199.03"/>
    <m/>
    <n v="446.02270810064761"/>
    <n v="205.52329867469447"/>
    <n v="0"/>
    <n v="206283.28923999998"/>
    <n v="100995.18611000001"/>
    <n v="0"/>
    <n v="226328.42493046832"/>
    <n v="104290.12610959094"/>
  </r>
  <r>
    <s v="Sistema de Compensação"/>
    <x v="3"/>
    <x v="3"/>
    <x v="1"/>
    <x v="0"/>
    <x v="1"/>
    <x v="1"/>
    <x v="1"/>
    <x v="2"/>
    <n v="0"/>
    <n v="0"/>
    <n v="46.741999999999997"/>
    <n v="46.741999999999997"/>
    <n v="46.741999999999997"/>
    <n v="46.741999999999997"/>
    <n v="42"/>
    <x v="1"/>
    <n v="0"/>
    <n v="0"/>
    <n v="47"/>
    <n v="87"/>
    <n v="0"/>
    <n v="406.52"/>
    <n v="199.03"/>
    <m/>
    <n v="446.02270810064761"/>
    <n v="205.52329867469447"/>
    <n v="0"/>
    <n v="19001.557839999998"/>
    <n v="9303.0602600000002"/>
    <n v="0"/>
    <n v="20847.993422040468"/>
    <n v="9606.5700266525691"/>
  </r>
  <r>
    <s v="Regular"/>
    <x v="3"/>
    <x v="3"/>
    <x v="1"/>
    <x v="0"/>
    <x v="1"/>
    <x v="1"/>
    <x v="1"/>
    <x v="3"/>
    <n v="0"/>
    <n v="0"/>
    <n v="545.47500000000002"/>
    <n v="545.47500000000002"/>
    <n v="545.47500000000002"/>
    <n v="545.47500000000002"/>
    <n v="1180"/>
    <x v="1"/>
    <n v="0"/>
    <n v="0"/>
    <n v="47"/>
    <n v="87"/>
    <n v="0"/>
    <n v="406.52"/>
    <n v="199.03"/>
    <m/>
    <n v="446.02270810064761"/>
    <n v="205.52329867469447"/>
    <n v="0"/>
    <n v="221746.497"/>
    <n v="108565.88925000001"/>
    <n v="0"/>
    <n v="243294.23670120077"/>
    <n v="112107.82134457897"/>
  </r>
  <r>
    <s v="Sistema de Compensação"/>
    <x v="3"/>
    <x v="3"/>
    <x v="1"/>
    <x v="0"/>
    <x v="1"/>
    <x v="1"/>
    <x v="1"/>
    <x v="3"/>
    <n v="0"/>
    <n v="0"/>
    <n v="43.554000000000002"/>
    <n v="43.554000000000002"/>
    <n v="43.554000000000002"/>
    <n v="43.554000000000002"/>
    <n v="45"/>
    <x v="1"/>
    <n v="0"/>
    <n v="0"/>
    <n v="47"/>
    <n v="87"/>
    <n v="0"/>
    <n v="406.52"/>
    <n v="199.03"/>
    <m/>
    <n v="446.02270810064761"/>
    <n v="205.52329867469447"/>
    <n v="0"/>
    <n v="17705.572080000002"/>
    <n v="8668.5526200000004"/>
    <n v="0"/>
    <n v="19426.073028615607"/>
    <n v="8951.361750477643"/>
  </r>
  <r>
    <s v="Regular"/>
    <x v="3"/>
    <x v="3"/>
    <x v="1"/>
    <x v="0"/>
    <x v="1"/>
    <x v="1"/>
    <x v="1"/>
    <x v="4"/>
    <n v="0"/>
    <n v="0"/>
    <n v="601.43600000000004"/>
    <n v="601.43600000000004"/>
    <n v="601.43600000000004"/>
    <n v="601.43600000000004"/>
    <n v="1177"/>
    <x v="1"/>
    <n v="0"/>
    <n v="0"/>
    <n v="47"/>
    <n v="87"/>
    <n v="0"/>
    <n v="406.52"/>
    <n v="199.03"/>
    <m/>
    <n v="446.02270810064761"/>
    <n v="205.52329867469447"/>
    <n v="0"/>
    <n v="244495.76272"/>
    <n v="119703.80708000001"/>
    <n v="0"/>
    <n v="268254.11346922111"/>
    <n v="123609.11066171355"/>
  </r>
  <r>
    <s v="Refaturamento - Regular"/>
    <x v="3"/>
    <x v="3"/>
    <x v="1"/>
    <x v="0"/>
    <x v="1"/>
    <x v="1"/>
    <x v="1"/>
    <x v="4"/>
    <n v="0"/>
    <n v="0"/>
    <n v="-0.159"/>
    <n v="-0.159"/>
    <n v="-0.159"/>
    <n v="-0.159"/>
    <n v="0"/>
    <x v="1"/>
    <n v="0"/>
    <n v="0"/>
    <n v="47"/>
    <n v="87"/>
    <n v="0"/>
    <n v="406.52"/>
    <n v="199.03"/>
    <m/>
    <n v="446.02270810064761"/>
    <n v="205.52329867469447"/>
    <n v="0"/>
    <n v="-64.636679999999998"/>
    <n v="-31.645770000000002"/>
    <n v="0"/>
    <n v="-70.917610588002972"/>
    <n v="-32.678204489276425"/>
  </r>
  <r>
    <s v="Sistema de Compensação"/>
    <x v="3"/>
    <x v="3"/>
    <x v="1"/>
    <x v="0"/>
    <x v="1"/>
    <x v="1"/>
    <x v="1"/>
    <x v="4"/>
    <n v="0"/>
    <n v="0"/>
    <n v="34.328000000000003"/>
    <n v="34.328000000000003"/>
    <n v="34.328000000000003"/>
    <n v="34.328000000000003"/>
    <n v="48"/>
    <x v="1"/>
    <n v="0"/>
    <n v="0"/>
    <n v="47"/>
    <n v="87"/>
    <n v="0"/>
    <n v="406.52"/>
    <n v="199.03"/>
    <m/>
    <n v="446.02270810064761"/>
    <n v="205.52329867469447"/>
    <n v="0"/>
    <n v="13955.01856"/>
    <n v="6832.301840000001"/>
    <n v="0"/>
    <n v="15311.067523679032"/>
    <n v="7055.2037969049125"/>
  </r>
  <r>
    <s v="Sistema de Compensação"/>
    <x v="3"/>
    <x v="3"/>
    <x v="1"/>
    <x v="0"/>
    <x v="1"/>
    <x v="1"/>
    <x v="1"/>
    <x v="4"/>
    <n v="0"/>
    <n v="0"/>
    <n v="0.377"/>
    <n v="0.377"/>
    <n v="0.377"/>
    <n v="0.377"/>
    <n v="1"/>
    <x v="1"/>
    <n v="0"/>
    <n v="0"/>
    <n v="47"/>
    <n v="87"/>
    <n v="0"/>
    <n v="406.52"/>
    <n v="199.03"/>
    <m/>
    <n v="446.02270810064761"/>
    <n v="205.52329867469447"/>
    <n v="0"/>
    <n v="153.25803999999999"/>
    <n v="75.034310000000005"/>
    <n v="0"/>
    <n v="168.15056095394414"/>
    <n v="77.482283600359821"/>
  </r>
  <r>
    <s v="Regular"/>
    <x v="3"/>
    <x v="3"/>
    <x v="1"/>
    <x v="0"/>
    <x v="1"/>
    <x v="1"/>
    <x v="1"/>
    <x v="5"/>
    <n v="0"/>
    <n v="0"/>
    <n v="657.19600000000003"/>
    <n v="657.19600000000003"/>
    <n v="657.19600000000003"/>
    <n v="657.19600000000003"/>
    <n v="1183"/>
    <x v="1"/>
    <n v="0"/>
    <n v="0"/>
    <n v="47"/>
    <n v="87"/>
    <n v="0"/>
    <n v="406.52"/>
    <n v="199.03"/>
    <m/>
    <n v="446.02270810064761"/>
    <n v="205.52329867469447"/>
    <n v="0"/>
    <n v="267163.31792"/>
    <n v="130801.71988"/>
    <n v="0"/>
    <n v="293124.33967291319"/>
    <n v="135069.08979581451"/>
  </r>
  <r>
    <s v="Sistema de Compensação"/>
    <x v="3"/>
    <x v="3"/>
    <x v="1"/>
    <x v="0"/>
    <x v="1"/>
    <x v="1"/>
    <x v="1"/>
    <x v="5"/>
    <n v="0"/>
    <n v="0"/>
    <n v="36.639000000000003"/>
    <n v="36.639000000000003"/>
    <n v="36.639000000000003"/>
    <n v="36.639000000000003"/>
    <n v="48"/>
    <x v="1"/>
    <n v="0"/>
    <n v="0"/>
    <n v="47"/>
    <n v="87"/>
    <n v="0"/>
    <n v="406.52"/>
    <n v="199.03"/>
    <m/>
    <n v="446.02270810064761"/>
    <n v="205.52329867469447"/>
    <n v="0"/>
    <n v="14894.486280000001"/>
    <n v="7292.2601700000005"/>
    <n v="0"/>
    <n v="16341.826002099629"/>
    <n v="7530.1681401421311"/>
  </r>
  <r>
    <s v="Regular"/>
    <x v="3"/>
    <x v="3"/>
    <x v="1"/>
    <x v="0"/>
    <x v="1"/>
    <x v="1"/>
    <x v="1"/>
    <x v="6"/>
    <n v="0"/>
    <n v="0"/>
    <n v="719.601"/>
    <n v="719.601"/>
    <n v="719.601"/>
    <n v="719.601"/>
    <n v="1195"/>
    <x v="1"/>
    <n v="0"/>
    <n v="0"/>
    <n v="47"/>
    <n v="87"/>
    <n v="0"/>
    <n v="406.52"/>
    <n v="199.03"/>
    <m/>
    <n v="446.02270810064761"/>
    <n v="205.52329867469447"/>
    <n v="0"/>
    <n v="292532.19851999998"/>
    <n v="143222.18703"/>
    <n v="0"/>
    <n v="320958.38677193411"/>
    <n v="147894.77124960881"/>
  </r>
  <r>
    <s v="Refaturamento - Regular"/>
    <x v="3"/>
    <x v="3"/>
    <x v="1"/>
    <x v="0"/>
    <x v="1"/>
    <x v="1"/>
    <x v="1"/>
    <x v="6"/>
    <n v="0"/>
    <n v="0"/>
    <n v="3.2050000000000001"/>
    <n v="3.2050000000000001"/>
    <n v="3.2050000000000001"/>
    <n v="3.2050000000000001"/>
    <n v="0"/>
    <x v="1"/>
    <n v="0"/>
    <n v="0"/>
    <n v="47"/>
    <n v="87"/>
    <n v="0"/>
    <n v="406.52"/>
    <n v="199.03"/>
    <m/>
    <n v="446.02270810064761"/>
    <n v="205.52329867469447"/>
    <n v="0"/>
    <n v="1302.8966"/>
    <n v="637.89115000000004"/>
    <n v="0"/>
    <n v="1429.5027794625755"/>
    <n v="658.70217225239583"/>
  </r>
  <r>
    <s v="Sistema de Compensação"/>
    <x v="3"/>
    <x v="3"/>
    <x v="1"/>
    <x v="0"/>
    <x v="1"/>
    <x v="1"/>
    <x v="1"/>
    <x v="6"/>
    <n v="0"/>
    <n v="0"/>
    <n v="43.732999999999997"/>
    <n v="43.732999999999997"/>
    <n v="43.732999999999997"/>
    <n v="43.732999999999997"/>
    <n v="47"/>
    <x v="1"/>
    <n v="0"/>
    <n v="0"/>
    <n v="47"/>
    <n v="87"/>
    <n v="0"/>
    <n v="406.52"/>
    <n v="199.03"/>
    <m/>
    <n v="446.02270810064761"/>
    <n v="205.52329867469447"/>
    <n v="0"/>
    <n v="17778.33916"/>
    <n v="8704.1789900000003"/>
    <n v="0"/>
    <n v="19505.911093365619"/>
    <n v="8988.150420940412"/>
  </r>
  <r>
    <s v="Regular"/>
    <x v="3"/>
    <x v="3"/>
    <x v="1"/>
    <x v="0"/>
    <x v="1"/>
    <x v="1"/>
    <x v="1"/>
    <x v="7"/>
    <n v="0"/>
    <n v="0"/>
    <n v="849.50099999999998"/>
    <n v="849.50099999999998"/>
    <n v="849.50099999999998"/>
    <n v="849.50099999999998"/>
    <n v="1197"/>
    <x v="1"/>
    <n v="0"/>
    <n v="0"/>
    <n v="47"/>
    <n v="87"/>
    <n v="0"/>
    <n v="406.52"/>
    <n v="199.03"/>
    <m/>
    <n v="446.02270810064761"/>
    <n v="205.52329867469447"/>
    <n v="0"/>
    <n v="345339.14651999995"/>
    <n v="169076.18403"/>
    <n v="0"/>
    <n v="378896.73655420821"/>
    <n v="174592.24774745162"/>
  </r>
  <r>
    <s v="Refaturamento - Regular"/>
    <x v="3"/>
    <x v="3"/>
    <x v="1"/>
    <x v="0"/>
    <x v="1"/>
    <x v="1"/>
    <x v="1"/>
    <x v="7"/>
    <n v="0"/>
    <n v="0"/>
    <n v="46.793999999999997"/>
    <n v="46.793999999999997"/>
    <n v="46.793999999999997"/>
    <n v="46.793999999999997"/>
    <n v="0"/>
    <x v="1"/>
    <n v="0"/>
    <n v="0"/>
    <n v="47"/>
    <n v="87"/>
    <n v="0"/>
    <n v="406.52"/>
    <n v="199.03"/>
    <m/>
    <n v="446.02270810064761"/>
    <n v="205.52329867469447"/>
    <n v="0"/>
    <n v="19022.69688"/>
    <n v="9313.4098199999989"/>
    <n v="0"/>
    <n v="20871.186602861704"/>
    <n v="9617.2572381836526"/>
  </r>
  <r>
    <s v="Sistema de Compensação"/>
    <x v="3"/>
    <x v="3"/>
    <x v="1"/>
    <x v="0"/>
    <x v="1"/>
    <x v="1"/>
    <x v="1"/>
    <x v="7"/>
    <n v="0"/>
    <n v="0"/>
    <n v="60.008000000000003"/>
    <n v="60.008000000000003"/>
    <n v="60.008000000000003"/>
    <n v="60.008000000000003"/>
    <n v="47"/>
    <x v="1"/>
    <n v="0"/>
    <n v="0"/>
    <n v="47"/>
    <n v="87"/>
    <n v="0"/>
    <n v="406.52"/>
    <n v="199.03"/>
    <m/>
    <n v="446.02270810064761"/>
    <n v="205.52329867469447"/>
    <n v="0"/>
    <n v="24394.452160000001"/>
    <n v="11943.392240000001"/>
    <n v="0"/>
    <n v="26764.930667703662"/>
    <n v="12333.042106871066"/>
  </r>
  <r>
    <s v="Regular"/>
    <x v="3"/>
    <x v="3"/>
    <x v="1"/>
    <x v="0"/>
    <x v="1"/>
    <x v="1"/>
    <x v="1"/>
    <x v="8"/>
    <n v="0"/>
    <n v="0"/>
    <n v="730.76400000000001"/>
    <n v="730.76400000000001"/>
    <n v="730.76400000000001"/>
    <n v="730.76400000000001"/>
    <n v="1240"/>
    <x v="1"/>
    <n v="0"/>
    <n v="0"/>
    <n v="47"/>
    <n v="87"/>
    <n v="0"/>
    <n v="406.52"/>
    <n v="199.03"/>
    <m/>
    <n v="446.02270810064761"/>
    <n v="205.52329867469447"/>
    <n v="0"/>
    <n v="297070.18128000002"/>
    <n v="145443.95892"/>
    <n v="0"/>
    <n v="325937.33826246165"/>
    <n v="150189.02783271443"/>
  </r>
  <r>
    <s v="Sistema de Compensação"/>
    <x v="3"/>
    <x v="3"/>
    <x v="1"/>
    <x v="0"/>
    <x v="1"/>
    <x v="1"/>
    <x v="1"/>
    <x v="8"/>
    <n v="0"/>
    <n v="0"/>
    <n v="68.831999999999994"/>
    <n v="68.831999999999994"/>
    <n v="68.831999999999994"/>
    <n v="68.831999999999994"/>
    <n v="51"/>
    <x v="1"/>
    <n v="0"/>
    <n v="0"/>
    <n v="47"/>
    <n v="87"/>
    <n v="0"/>
    <n v="406.52"/>
    <n v="199.03"/>
    <m/>
    <n v="446.02270810064761"/>
    <n v="205.52329867469447"/>
    <n v="0"/>
    <n v="27981.584639999997"/>
    <n v="13699.632959999999"/>
    <n v="0"/>
    <n v="30700.635043983773"/>
    <n v="14146.579694376569"/>
  </r>
  <r>
    <s v="Regular"/>
    <x v="3"/>
    <x v="3"/>
    <x v="1"/>
    <x v="0"/>
    <x v="1"/>
    <x v="1"/>
    <x v="1"/>
    <x v="9"/>
    <n v="0"/>
    <n v="0"/>
    <n v="547.755"/>
    <n v="547.755"/>
    <n v="547.755"/>
    <n v="547.755"/>
    <n v="1211"/>
    <x v="1"/>
    <n v="0"/>
    <n v="0"/>
    <n v="47"/>
    <n v="87"/>
    <n v="0"/>
    <n v="406.52"/>
    <n v="199.03"/>
    <m/>
    <n v="446.02270810064761"/>
    <n v="205.52329867469447"/>
    <n v="0"/>
    <n v="222673.36259999999"/>
    <n v="109019.67765"/>
    <n v="0"/>
    <n v="244311.16847567022"/>
    <n v="112576.41446555727"/>
  </r>
  <r>
    <s v="Refaturamento - Regular"/>
    <x v="3"/>
    <x v="3"/>
    <x v="1"/>
    <x v="0"/>
    <x v="1"/>
    <x v="1"/>
    <x v="1"/>
    <x v="9"/>
    <n v="0"/>
    <n v="0"/>
    <n v="0.83199999999999996"/>
    <n v="0.83199999999999996"/>
    <n v="0.83199999999999996"/>
    <n v="0.83199999999999996"/>
    <n v="0"/>
    <x v="1"/>
    <n v="0"/>
    <n v="0"/>
    <n v="47"/>
    <n v="87"/>
    <n v="0"/>
    <n v="406.52"/>
    <n v="199.03"/>
    <m/>
    <n v="446.02270810064761"/>
    <n v="205.52329867469447"/>
    <n v="0"/>
    <n v="338.22463999999997"/>
    <n v="165.59296000000001"/>
    <n v="0"/>
    <n v="371.0908931397388"/>
    <n v="170.99538449734578"/>
  </r>
  <r>
    <s v="Sistema de Compensação"/>
    <x v="3"/>
    <x v="3"/>
    <x v="1"/>
    <x v="0"/>
    <x v="1"/>
    <x v="1"/>
    <x v="1"/>
    <x v="9"/>
    <n v="0"/>
    <n v="0"/>
    <n v="44.404000000000003"/>
    <n v="44.404000000000003"/>
    <n v="44.404000000000003"/>
    <n v="44.404000000000003"/>
    <n v="54"/>
    <x v="1"/>
    <n v="0"/>
    <n v="0"/>
    <n v="47"/>
    <n v="87"/>
    <n v="0"/>
    <n v="406.52"/>
    <n v="199.03"/>
    <m/>
    <n v="446.02270810064761"/>
    <n v="205.52329867469447"/>
    <n v="0"/>
    <n v="18051.114079999999"/>
    <n v="8837.7281200000016"/>
    <n v="0"/>
    <n v="19805.192330501159"/>
    <n v="9126.0565543511348"/>
  </r>
  <r>
    <s v="Regular"/>
    <x v="3"/>
    <x v="3"/>
    <x v="1"/>
    <x v="0"/>
    <x v="1"/>
    <x v="1"/>
    <x v="1"/>
    <x v="10"/>
    <n v="0"/>
    <n v="0"/>
    <n v="541.12"/>
    <n v="541.12"/>
    <n v="541.12"/>
    <n v="541.12"/>
    <n v="1205"/>
    <x v="1"/>
    <n v="0"/>
    <n v="0"/>
    <n v="47"/>
    <n v="87"/>
    <n v="0"/>
    <n v="406.52"/>
    <n v="199.03"/>
    <m/>
    <n v="446.02270810064761"/>
    <n v="205.52329867469447"/>
    <n v="0"/>
    <n v="219976.1024"/>
    <n v="107699.1136"/>
    <n v="0"/>
    <n v="241351.80780742245"/>
    <n v="111212.76737885068"/>
  </r>
  <r>
    <s v="Sistema de Compensação"/>
    <x v="3"/>
    <x v="3"/>
    <x v="1"/>
    <x v="0"/>
    <x v="1"/>
    <x v="1"/>
    <x v="1"/>
    <x v="10"/>
    <n v="0"/>
    <n v="0"/>
    <n v="65.277000000000001"/>
    <n v="65.277000000000001"/>
    <n v="65.277000000000001"/>
    <n v="65.277000000000001"/>
    <n v="57"/>
    <x v="1"/>
    <n v="0"/>
    <n v="0"/>
    <n v="47"/>
    <n v="87"/>
    <n v="0"/>
    <n v="406.52"/>
    <n v="199.03"/>
    <m/>
    <n v="446.02270810064761"/>
    <n v="205.52329867469447"/>
    <n v="0"/>
    <n v="26536.406039999998"/>
    <n v="12992.08131"/>
    <n v="0"/>
    <n v="29115.024316685973"/>
    <n v="13415.944367588032"/>
  </r>
  <r>
    <s v="Regular"/>
    <x v="3"/>
    <x v="3"/>
    <x v="1"/>
    <x v="0"/>
    <x v="1"/>
    <x v="1"/>
    <x v="1"/>
    <x v="11"/>
    <n v="0"/>
    <n v="0"/>
    <n v="562.08100000000002"/>
    <n v="562.08100000000002"/>
    <n v="562.08100000000002"/>
    <n v="562.08100000000002"/>
    <n v="1203"/>
    <x v="1"/>
    <n v="0"/>
    <n v="0"/>
    <n v="47"/>
    <n v="87"/>
    <n v="0"/>
    <n v="406.52"/>
    <n v="199.03"/>
    <m/>
    <n v="446.02270810064761"/>
    <n v="205.52329867469447"/>
    <n v="0"/>
    <n v="228497.16811999999"/>
    <n v="111870.98143"/>
    <n v="0"/>
    <n v="250700.88979192011"/>
    <n v="115520.74124237095"/>
  </r>
  <r>
    <s v="Refaturamento - Regular"/>
    <x v="3"/>
    <x v="3"/>
    <x v="1"/>
    <x v="0"/>
    <x v="1"/>
    <x v="1"/>
    <x v="1"/>
    <x v="11"/>
    <n v="0"/>
    <n v="0"/>
    <n v="0.309"/>
    <n v="0.309"/>
    <n v="0.309"/>
    <n v="0.309"/>
    <n v="0"/>
    <x v="1"/>
    <n v="0"/>
    <n v="0"/>
    <n v="47"/>
    <n v="87"/>
    <n v="0"/>
    <n v="406.52"/>
    <n v="199.03"/>
    <m/>
    <n v="446.02270810064761"/>
    <n v="205.52329867469447"/>
    <n v="0"/>
    <n v="125.61467999999999"/>
    <n v="61.50027"/>
    <n v="0"/>
    <n v="137.82101680310012"/>
    <n v="63.50669929048059"/>
  </r>
  <r>
    <s v="Sistema de Compensação"/>
    <x v="3"/>
    <x v="3"/>
    <x v="1"/>
    <x v="0"/>
    <x v="1"/>
    <x v="1"/>
    <x v="1"/>
    <x v="11"/>
    <n v="0"/>
    <n v="0"/>
    <n v="78.087000000000003"/>
    <n v="78.087000000000003"/>
    <n v="78.087000000000003"/>
    <n v="78.087000000000003"/>
    <n v="60"/>
    <x v="1"/>
    <n v="0"/>
    <n v="0"/>
    <n v="47"/>
    <n v="87"/>
    <n v="0"/>
    <n v="406.52"/>
    <n v="199.03"/>
    <m/>
    <n v="446.02270810064761"/>
    <n v="205.52329867469447"/>
    <n v="0"/>
    <n v="31743.927240000001"/>
    <n v="15541.655610000002"/>
    <n v="0"/>
    <n v="34828.575207455273"/>
    <n v="16048.697823610868"/>
  </r>
  <r>
    <s v="Regular"/>
    <x v="3"/>
    <x v="3"/>
    <x v="7"/>
    <x v="0"/>
    <x v="1"/>
    <x v="1"/>
    <x v="1"/>
    <x v="0"/>
    <n v="0"/>
    <n v="0"/>
    <n v="6.4450000000000003"/>
    <n v="6.4450000000000003"/>
    <n v="6.4450000000000003"/>
    <n v="6.4450000000000003"/>
    <n v="17"/>
    <x v="1"/>
    <n v="0"/>
    <n v="0"/>
    <n v="47"/>
    <n v="87"/>
    <n v="0"/>
    <n v="406.52"/>
    <n v="199.03"/>
    <m/>
    <n v="446.02270810064761"/>
    <n v="205.52329867469447"/>
    <n v="0"/>
    <n v="2620.0214000000001"/>
    <n v="1282.7483500000001"/>
    <n v="0"/>
    <n v="2874.6163537086741"/>
    <n v="1324.597659958406"/>
  </r>
  <r>
    <s v="Regular"/>
    <x v="3"/>
    <x v="3"/>
    <x v="7"/>
    <x v="0"/>
    <x v="1"/>
    <x v="1"/>
    <x v="1"/>
    <x v="1"/>
    <n v="0"/>
    <n v="0"/>
    <n v="6.4909999999999997"/>
    <n v="6.4909999999999997"/>
    <n v="6.4909999999999997"/>
    <n v="6.4909999999999997"/>
    <n v="17"/>
    <x v="1"/>
    <n v="0"/>
    <n v="0"/>
    <n v="47"/>
    <n v="87"/>
    <n v="0"/>
    <n v="406.52"/>
    <n v="199.03"/>
    <m/>
    <n v="446.02270810064761"/>
    <n v="205.52329867469447"/>
    <n v="0"/>
    <n v="2638.7213199999997"/>
    <n v="1291.90373"/>
    <n v="0"/>
    <n v="2895.1333982813035"/>
    <n v="1334.0517316974417"/>
  </r>
  <r>
    <s v="Regular"/>
    <x v="3"/>
    <x v="3"/>
    <x v="7"/>
    <x v="0"/>
    <x v="1"/>
    <x v="1"/>
    <x v="1"/>
    <x v="2"/>
    <n v="0"/>
    <n v="0"/>
    <n v="5.141"/>
    <n v="5.141"/>
    <n v="5.141"/>
    <n v="5.141"/>
    <n v="17"/>
    <x v="1"/>
    <n v="0"/>
    <n v="0"/>
    <n v="47"/>
    <n v="87"/>
    <n v="0"/>
    <n v="406.52"/>
    <n v="199.03"/>
    <m/>
    <n v="446.02270810064761"/>
    <n v="205.52329867469447"/>
    <n v="0"/>
    <n v="2089.91932"/>
    <n v="1023.21323"/>
    <n v="0"/>
    <n v="2293.0027423454294"/>
    <n v="1056.5952784866042"/>
  </r>
  <r>
    <s v="Regular"/>
    <x v="3"/>
    <x v="3"/>
    <x v="7"/>
    <x v="0"/>
    <x v="1"/>
    <x v="1"/>
    <x v="1"/>
    <x v="3"/>
    <n v="0"/>
    <n v="0"/>
    <n v="5.4859999999999998"/>
    <n v="5.4859999999999998"/>
    <n v="5.4859999999999998"/>
    <n v="5.4859999999999998"/>
    <n v="17"/>
    <x v="1"/>
    <n v="0"/>
    <n v="0"/>
    <n v="47"/>
    <n v="87"/>
    <n v="0"/>
    <n v="406.52"/>
    <n v="199.03"/>
    <m/>
    <n v="446.02270810064761"/>
    <n v="205.52329867469447"/>
    <n v="0"/>
    <n v="2230.1687199999997"/>
    <n v="1091.8785800000001"/>
    <n v="0"/>
    <n v="2446.8805766401529"/>
    <n v="1127.5008165293739"/>
  </r>
  <r>
    <s v="Regular"/>
    <x v="3"/>
    <x v="3"/>
    <x v="7"/>
    <x v="0"/>
    <x v="1"/>
    <x v="1"/>
    <x v="1"/>
    <x v="4"/>
    <n v="0"/>
    <n v="0"/>
    <n v="5.7949999999999999"/>
    <n v="5.7949999999999999"/>
    <n v="5.7949999999999999"/>
    <n v="5.7949999999999999"/>
    <n v="17"/>
    <x v="1"/>
    <n v="0"/>
    <n v="0"/>
    <n v="47"/>
    <n v="87"/>
    <n v="0"/>
    <n v="406.52"/>
    <n v="199.03"/>
    <m/>
    <n v="446.02270810064761"/>
    <n v="205.52329867469447"/>
    <n v="0"/>
    <n v="2355.7833999999998"/>
    <n v="1153.3788500000001"/>
    <n v="0"/>
    <n v="2584.7015934432529"/>
    <n v="1191.0075158198545"/>
  </r>
  <r>
    <s v="Regular"/>
    <x v="3"/>
    <x v="3"/>
    <x v="7"/>
    <x v="0"/>
    <x v="1"/>
    <x v="1"/>
    <x v="1"/>
    <x v="5"/>
    <n v="0"/>
    <n v="0"/>
    <n v="7.4290000000000003"/>
    <n v="7.4290000000000003"/>
    <n v="7.4290000000000003"/>
    <n v="7.4290000000000003"/>
    <n v="17"/>
    <x v="1"/>
    <n v="0"/>
    <n v="0"/>
    <n v="47"/>
    <n v="87"/>
    <n v="0"/>
    <n v="406.52"/>
    <n v="199.03"/>
    <m/>
    <n v="446.02270810064761"/>
    <n v="205.52329867469447"/>
    <n v="0"/>
    <n v="3020.0370800000001"/>
    <n v="1478.5938700000002"/>
    <n v="0"/>
    <n v="3313.5026984797114"/>
    <n v="1526.8325858543053"/>
  </r>
  <r>
    <s v="Regular"/>
    <x v="3"/>
    <x v="3"/>
    <x v="7"/>
    <x v="0"/>
    <x v="1"/>
    <x v="1"/>
    <x v="1"/>
    <x v="6"/>
    <n v="0"/>
    <n v="0"/>
    <n v="8.8239999999999998"/>
    <n v="8.8239999999999998"/>
    <n v="8.8239999999999998"/>
    <n v="8.8239999999999998"/>
    <n v="16"/>
    <x v="1"/>
    <n v="0"/>
    <n v="0"/>
    <n v="47"/>
    <n v="87"/>
    <n v="0"/>
    <n v="406.52"/>
    <n v="199.03"/>
    <m/>
    <n v="446.02270810064761"/>
    <n v="205.52329867469447"/>
    <n v="0"/>
    <n v="3587.1324799999998"/>
    <n v="1756.24072"/>
    <n v="0"/>
    <n v="3935.7043762801145"/>
    <n v="1813.537587505504"/>
  </r>
  <r>
    <s v="Regular"/>
    <x v="3"/>
    <x v="3"/>
    <x v="7"/>
    <x v="0"/>
    <x v="1"/>
    <x v="1"/>
    <x v="1"/>
    <x v="7"/>
    <n v="0"/>
    <n v="0"/>
    <n v="9.2780000000000005"/>
    <n v="9.2780000000000005"/>
    <n v="9.2780000000000005"/>
    <n v="9.2780000000000005"/>
    <n v="16"/>
    <x v="1"/>
    <n v="0"/>
    <n v="0"/>
    <n v="47"/>
    <n v="87"/>
    <n v="0"/>
    <n v="406.52"/>
    <n v="199.03"/>
    <m/>
    <n v="446.02270810064761"/>
    <n v="205.52329867469447"/>
    <n v="0"/>
    <n v="3771.69256"/>
    <n v="1846.6003400000002"/>
    <n v="0"/>
    <n v="4138.1986857578086"/>
    <n v="1906.8451651038154"/>
  </r>
  <r>
    <s v="Regular"/>
    <x v="3"/>
    <x v="3"/>
    <x v="7"/>
    <x v="0"/>
    <x v="1"/>
    <x v="1"/>
    <x v="1"/>
    <x v="8"/>
    <n v="0"/>
    <n v="0"/>
    <n v="7.883"/>
    <n v="7.883"/>
    <n v="7.883"/>
    <n v="7.883"/>
    <n v="16"/>
    <x v="1"/>
    <n v="0"/>
    <n v="0"/>
    <n v="47"/>
    <n v="87"/>
    <n v="0"/>
    <n v="406.52"/>
    <n v="199.03"/>
    <m/>
    <n v="446.02270810064761"/>
    <n v="205.52329867469447"/>
    <n v="0"/>
    <n v="3204.5971599999998"/>
    <n v="1568.9534900000001"/>
    <n v="0"/>
    <n v="3515.997007957405"/>
    <n v="1620.1401634526164"/>
  </r>
  <r>
    <s v="Regular"/>
    <x v="3"/>
    <x v="3"/>
    <x v="7"/>
    <x v="0"/>
    <x v="1"/>
    <x v="1"/>
    <x v="1"/>
    <x v="9"/>
    <n v="0"/>
    <n v="0"/>
    <n v="5.2270000000000003"/>
    <n v="5.2270000000000003"/>
    <n v="5.2270000000000003"/>
    <n v="5.2270000000000003"/>
    <n v="16"/>
    <x v="1"/>
    <n v="0"/>
    <n v="0"/>
    <n v="47"/>
    <n v="87"/>
    <n v="0"/>
    <n v="406.52"/>
    <n v="199.03"/>
    <m/>
    <n v="446.02270810064761"/>
    <n v="205.52329867469447"/>
    <n v="0"/>
    <n v="2124.88004"/>
    <n v="1040.3298100000002"/>
    <n v="0"/>
    <n v="2331.3606952420851"/>
    <n v="1074.2702821726282"/>
  </r>
  <r>
    <s v="Regular"/>
    <x v="3"/>
    <x v="3"/>
    <x v="7"/>
    <x v="0"/>
    <x v="1"/>
    <x v="1"/>
    <x v="1"/>
    <x v="10"/>
    <n v="0"/>
    <n v="0"/>
    <n v="5.6920000000000002"/>
    <n v="5.6920000000000002"/>
    <n v="5.6920000000000002"/>
    <n v="5.6920000000000002"/>
    <n v="17"/>
    <x v="1"/>
    <n v="0"/>
    <n v="0"/>
    <n v="47"/>
    <n v="87"/>
    <n v="0"/>
    <n v="406.52"/>
    <n v="199.03"/>
    <m/>
    <n v="446.02270810064761"/>
    <n v="205.52329867469447"/>
    <n v="0"/>
    <n v="2313.9118399999998"/>
    <n v="1132.8787600000001"/>
    <n v="0"/>
    <n v="2538.7612545088864"/>
    <n v="1169.8386160563609"/>
  </r>
  <r>
    <s v="Regular"/>
    <x v="3"/>
    <x v="3"/>
    <x v="7"/>
    <x v="0"/>
    <x v="1"/>
    <x v="1"/>
    <x v="1"/>
    <x v="11"/>
    <n v="0"/>
    <n v="0"/>
    <n v="6.0880000000000001"/>
    <n v="6.0880000000000001"/>
    <n v="6.0880000000000001"/>
    <n v="6.0880000000000001"/>
    <n v="17"/>
    <x v="1"/>
    <n v="0"/>
    <n v="0"/>
    <n v="47"/>
    <n v="87"/>
    <n v="0"/>
    <n v="406.52"/>
    <n v="199.03"/>
    <m/>
    <n v="446.02270810064761"/>
    <n v="205.52329867469447"/>
    <n v="0"/>
    <n v="2474.8937599999999"/>
    <n v="1211.6946399999999"/>
    <n v="0"/>
    <n v="2715.3862469167425"/>
    <n v="1251.22584233154"/>
  </r>
  <r>
    <s v="Regular"/>
    <x v="3"/>
    <x v="3"/>
    <x v="2"/>
    <x v="0"/>
    <x v="1"/>
    <x v="1"/>
    <x v="1"/>
    <x v="0"/>
    <n v="0"/>
    <n v="0"/>
    <n v="59.738"/>
    <n v="59.738"/>
    <n v="59.738"/>
    <n v="59.738"/>
    <n v="49"/>
    <x v="1"/>
    <n v="0"/>
    <n v="0"/>
    <n v="47"/>
    <n v="87"/>
    <n v="0"/>
    <n v="406.52"/>
    <n v="199.03"/>
    <m/>
    <n v="446.02270810064761"/>
    <n v="205.52329867469447"/>
    <n v="0"/>
    <n v="24284.691759999998"/>
    <n v="11889.654140000001"/>
    <n v="0"/>
    <n v="26644.504536516488"/>
    <n v="12277.550816228899"/>
  </r>
  <r>
    <s v="Refaturamento - Regular"/>
    <x v="3"/>
    <x v="3"/>
    <x v="2"/>
    <x v="0"/>
    <x v="1"/>
    <x v="1"/>
    <x v="1"/>
    <x v="0"/>
    <n v="0"/>
    <n v="0"/>
    <n v="0.64900000000000002"/>
    <n v="0.64900000000000002"/>
    <n v="0.64900000000000002"/>
    <n v="0.64900000000000002"/>
    <n v="0"/>
    <x v="1"/>
    <n v="0"/>
    <n v="0"/>
    <n v="47"/>
    <n v="87"/>
    <n v="0"/>
    <n v="406.52"/>
    <n v="199.03"/>
    <m/>
    <n v="446.02270810064761"/>
    <n v="205.52329867469447"/>
    <n v="0"/>
    <n v="263.83148"/>
    <n v="129.17046999999999"/>
    <n v="0"/>
    <n v="289.46873755732031"/>
    <n v="133.38462083987673"/>
  </r>
  <r>
    <s v="Sistema de Compensação"/>
    <x v="3"/>
    <x v="3"/>
    <x v="2"/>
    <x v="0"/>
    <x v="1"/>
    <x v="1"/>
    <x v="1"/>
    <x v="0"/>
    <n v="0"/>
    <n v="0"/>
    <n v="6.319"/>
    <n v="6.319"/>
    <n v="6.319"/>
    <n v="6.319"/>
    <n v="5"/>
    <x v="1"/>
    <n v="0"/>
    <n v="0"/>
    <n v="47"/>
    <n v="87"/>
    <n v="0"/>
    <n v="406.52"/>
    <n v="199.03"/>
    <m/>
    <n v="446.02270810064761"/>
    <n v="205.52329867469447"/>
    <n v="0"/>
    <n v="2568.79988"/>
    <n v="1257.67057"/>
    <n v="0"/>
    <n v="2818.4174924879921"/>
    <n v="1298.7017243253943"/>
  </r>
  <r>
    <s v="Regular"/>
    <x v="3"/>
    <x v="3"/>
    <x v="2"/>
    <x v="0"/>
    <x v="1"/>
    <x v="1"/>
    <x v="1"/>
    <x v="1"/>
    <n v="0"/>
    <n v="0"/>
    <n v="68.061999999999998"/>
    <n v="68.061999999999998"/>
    <n v="68.061999999999998"/>
    <n v="68.061999999999998"/>
    <n v="49"/>
    <x v="1"/>
    <n v="0"/>
    <n v="0"/>
    <n v="47"/>
    <n v="87"/>
    <n v="0"/>
    <n v="406.52"/>
    <n v="199.03"/>
    <m/>
    <n v="446.02270810064761"/>
    <n v="205.52329867469447"/>
    <n v="0"/>
    <n v="27668.564239999996"/>
    <n v="13546.379859999999"/>
    <n v="0"/>
    <n v="30357.197558746277"/>
    <n v="13988.326754397054"/>
  </r>
  <r>
    <s v="Sistema de Compensação"/>
    <x v="3"/>
    <x v="3"/>
    <x v="2"/>
    <x v="0"/>
    <x v="1"/>
    <x v="1"/>
    <x v="1"/>
    <x v="1"/>
    <n v="0"/>
    <n v="0"/>
    <n v="3.5510000000000002"/>
    <n v="3.5510000000000002"/>
    <n v="3.5510000000000002"/>
    <n v="3.5510000000000002"/>
    <n v="5"/>
    <x v="1"/>
    <n v="0"/>
    <n v="0"/>
    <n v="47"/>
    <n v="87"/>
    <n v="0"/>
    <n v="406.52"/>
    <n v="199.03"/>
    <m/>
    <n v="446.02270810064761"/>
    <n v="205.52329867469447"/>
    <n v="0"/>
    <n v="1443.55252"/>
    <n v="706.75553000000002"/>
    <n v="0"/>
    <n v="1583.8266364653998"/>
    <n v="729.8132335938401"/>
  </r>
  <r>
    <s v="Regular"/>
    <x v="3"/>
    <x v="3"/>
    <x v="2"/>
    <x v="0"/>
    <x v="1"/>
    <x v="1"/>
    <x v="1"/>
    <x v="2"/>
    <n v="0"/>
    <n v="0"/>
    <n v="71.777000000000001"/>
    <n v="71.777000000000001"/>
    <n v="71.777000000000001"/>
    <n v="71.777000000000001"/>
    <n v="51"/>
    <x v="1"/>
    <n v="0"/>
    <n v="0"/>
    <n v="47"/>
    <n v="87"/>
    <n v="0"/>
    <n v="406.52"/>
    <n v="199.03"/>
    <m/>
    <n v="446.02270810064761"/>
    <n v="205.52329867469447"/>
    <n v="0"/>
    <n v="29178.786039999999"/>
    <n v="14285.776310000001"/>
    <n v="0"/>
    <n v="32014.171919340184"/>
    <n v="14751.845808973545"/>
  </r>
  <r>
    <s v="Sistema de Compensação"/>
    <x v="3"/>
    <x v="3"/>
    <x v="2"/>
    <x v="0"/>
    <x v="1"/>
    <x v="1"/>
    <x v="1"/>
    <x v="2"/>
    <n v="0"/>
    <n v="0"/>
    <n v="2.2349999999999999"/>
    <n v="2.2349999999999999"/>
    <n v="2.2349999999999999"/>
    <n v="2.2349999999999999"/>
    <n v="5"/>
    <x v="1"/>
    <n v="0"/>
    <n v="0"/>
    <n v="47"/>
    <n v="87"/>
    <n v="0"/>
    <n v="406.52"/>
    <n v="199.03"/>
    <m/>
    <n v="446.02270810064761"/>
    <n v="205.52329867469447"/>
    <n v="0"/>
    <n v="908.57219999999995"/>
    <n v="444.83204999999998"/>
    <n v="0"/>
    <n v="996.86075260494738"/>
    <n v="459.3445725379421"/>
  </r>
  <r>
    <s v="Regular"/>
    <x v="3"/>
    <x v="3"/>
    <x v="2"/>
    <x v="0"/>
    <x v="1"/>
    <x v="1"/>
    <x v="1"/>
    <x v="3"/>
    <n v="0"/>
    <n v="0"/>
    <n v="64.519000000000005"/>
    <n v="64.519000000000005"/>
    <n v="64.519000000000005"/>
    <n v="64.519000000000005"/>
    <n v="49"/>
    <x v="1"/>
    <n v="0"/>
    <n v="0"/>
    <n v="47"/>
    <n v="87"/>
    <n v="0"/>
    <n v="406.52"/>
    <n v="199.03"/>
    <m/>
    <n v="446.02270810064761"/>
    <n v="205.52329867469447"/>
    <n v="0"/>
    <n v="26228.263880000002"/>
    <n v="12841.216570000001"/>
    <n v="0"/>
    <n v="28776.939103945686"/>
    <n v="13260.157707192613"/>
  </r>
  <r>
    <s v="Sistema de Compensação"/>
    <x v="3"/>
    <x v="3"/>
    <x v="2"/>
    <x v="0"/>
    <x v="1"/>
    <x v="1"/>
    <x v="1"/>
    <x v="3"/>
    <n v="0"/>
    <n v="0"/>
    <n v="1.17"/>
    <n v="1.17"/>
    <n v="1.17"/>
    <n v="1.17"/>
    <n v="5"/>
    <x v="1"/>
    <n v="0"/>
    <n v="0"/>
    <n v="47"/>
    <n v="87"/>
    <n v="0"/>
    <n v="406.52"/>
    <n v="199.03"/>
    <m/>
    <n v="446.02270810064761"/>
    <n v="205.52329867469447"/>
    <n v="0"/>
    <n v="475.62839999999994"/>
    <n v="232.86509999999998"/>
    <n v="0"/>
    <n v="521.84656847775761"/>
    <n v="240.46225944939252"/>
  </r>
  <r>
    <s v="Regular"/>
    <x v="3"/>
    <x v="3"/>
    <x v="2"/>
    <x v="0"/>
    <x v="1"/>
    <x v="1"/>
    <x v="1"/>
    <x v="4"/>
    <n v="0"/>
    <n v="0"/>
    <n v="65.290999999999997"/>
    <n v="65.290999999999997"/>
    <n v="65.290999999999997"/>
    <n v="65.290999999999997"/>
    <n v="50"/>
    <x v="1"/>
    <n v="0"/>
    <n v="0"/>
    <n v="47"/>
    <n v="87"/>
    <n v="0"/>
    <n v="406.52"/>
    <n v="199.03"/>
    <m/>
    <n v="446.02270810064761"/>
    <n v="205.52329867469447"/>
    <n v="0"/>
    <n v="26542.097319999997"/>
    <n v="12994.86773"/>
    <n v="0"/>
    <n v="29121.268634599382"/>
    <n v="13418.821693769476"/>
  </r>
  <r>
    <s v="Sistema de Compensação"/>
    <x v="3"/>
    <x v="3"/>
    <x v="2"/>
    <x v="0"/>
    <x v="1"/>
    <x v="1"/>
    <x v="1"/>
    <x v="4"/>
    <n v="0"/>
    <n v="0"/>
    <n v="0.5"/>
    <n v="0.5"/>
    <n v="0.5"/>
    <n v="0.5"/>
    <n v="5"/>
    <x v="1"/>
    <n v="0"/>
    <n v="0"/>
    <n v="47"/>
    <n v="87"/>
    <n v="0"/>
    <n v="406.52"/>
    <n v="199.03"/>
    <m/>
    <n v="446.02270810064761"/>
    <n v="205.52329867469447"/>
    <n v="0"/>
    <n v="203.26"/>
    <n v="99.515000000000001"/>
    <n v="0"/>
    <n v="223.0113540503238"/>
    <n v="102.76164933734724"/>
  </r>
  <r>
    <s v="Regular"/>
    <x v="3"/>
    <x v="3"/>
    <x v="2"/>
    <x v="0"/>
    <x v="1"/>
    <x v="1"/>
    <x v="1"/>
    <x v="5"/>
    <n v="0"/>
    <n v="0"/>
    <n v="69.347999999999999"/>
    <n v="69.347999999999999"/>
    <n v="69.347999999999999"/>
    <n v="69.347999999999999"/>
    <n v="50"/>
    <x v="1"/>
    <n v="0"/>
    <n v="0"/>
    <n v="47"/>
    <n v="87"/>
    <n v="0"/>
    <n v="406.52"/>
    <n v="199.03"/>
    <m/>
    <n v="446.02270810064761"/>
    <n v="205.52329867469447"/>
    <n v="0"/>
    <n v="28191.348959999999"/>
    <n v="13802.33244"/>
    <n v="0"/>
    <n v="30930.782761363709"/>
    <n v="14252.629716492713"/>
  </r>
  <r>
    <s v="Sistema de Compensação"/>
    <x v="3"/>
    <x v="3"/>
    <x v="2"/>
    <x v="0"/>
    <x v="1"/>
    <x v="1"/>
    <x v="1"/>
    <x v="5"/>
    <n v="0"/>
    <n v="0"/>
    <n v="0.60899999999999999"/>
    <n v="0.60899999999999999"/>
    <n v="0.60899999999999999"/>
    <n v="0.60899999999999999"/>
    <n v="5"/>
    <x v="1"/>
    <n v="0"/>
    <n v="0"/>
    <n v="47"/>
    <n v="87"/>
    <n v="0"/>
    <n v="406.52"/>
    <n v="199.03"/>
    <m/>
    <n v="446.02270810064761"/>
    <n v="205.52329867469447"/>
    <n v="0"/>
    <n v="247.57067999999998"/>
    <n v="121.20927"/>
    <n v="0"/>
    <n v="271.62782923329439"/>
    <n v="125.16368889288893"/>
  </r>
  <r>
    <s v="Regular"/>
    <x v="3"/>
    <x v="3"/>
    <x v="2"/>
    <x v="0"/>
    <x v="1"/>
    <x v="1"/>
    <x v="1"/>
    <x v="6"/>
    <n v="0"/>
    <n v="0"/>
    <n v="52.695"/>
    <n v="52.695"/>
    <n v="52.695"/>
    <n v="52.695"/>
    <n v="49"/>
    <x v="1"/>
    <n v="0"/>
    <n v="0"/>
    <n v="47"/>
    <n v="87"/>
    <n v="0"/>
    <n v="406.52"/>
    <n v="199.03"/>
    <m/>
    <n v="446.02270810064761"/>
    <n v="205.52329867469447"/>
    <n v="0"/>
    <n v="21421.571400000001"/>
    <n v="10487.885850000001"/>
    <n v="0"/>
    <n v="23503.166603363625"/>
    <n v="10830.050223663025"/>
  </r>
  <r>
    <s v="Sistema de Compensação"/>
    <x v="3"/>
    <x v="3"/>
    <x v="2"/>
    <x v="0"/>
    <x v="1"/>
    <x v="1"/>
    <x v="1"/>
    <x v="6"/>
    <n v="0"/>
    <n v="0"/>
    <n v="2.3839999999999999"/>
    <n v="2.3839999999999999"/>
    <n v="2.3839999999999999"/>
    <n v="2.3839999999999999"/>
    <n v="6"/>
    <x v="1"/>
    <n v="0"/>
    <n v="0"/>
    <n v="47"/>
    <n v="87"/>
    <n v="0"/>
    <n v="406.52"/>
    <n v="199.03"/>
    <m/>
    <n v="446.02270810064761"/>
    <n v="205.52329867469447"/>
    <n v="0"/>
    <n v="969.1436799999999"/>
    <n v="474.48751999999996"/>
    <n v="0"/>
    <n v="1063.3181361119439"/>
    <n v="489.96754404047158"/>
  </r>
  <r>
    <s v="Regular"/>
    <x v="3"/>
    <x v="3"/>
    <x v="2"/>
    <x v="0"/>
    <x v="1"/>
    <x v="1"/>
    <x v="1"/>
    <x v="7"/>
    <n v="0"/>
    <n v="0"/>
    <n v="72.120999999999995"/>
    <n v="72.120999999999995"/>
    <n v="72.120999999999995"/>
    <n v="72.120999999999995"/>
    <n v="49"/>
    <x v="1"/>
    <n v="0"/>
    <n v="0"/>
    <n v="47"/>
    <n v="87"/>
    <n v="0"/>
    <n v="406.52"/>
    <n v="199.03"/>
    <m/>
    <n v="446.02270810064761"/>
    <n v="205.52329867469447"/>
    <n v="0"/>
    <n v="29318.628919999996"/>
    <n v="14354.242629999999"/>
    <n v="0"/>
    <n v="32167.603730926803"/>
    <n v="14822.545823717639"/>
  </r>
  <r>
    <s v="Refaturamento - Regular"/>
    <x v="3"/>
    <x v="3"/>
    <x v="2"/>
    <x v="0"/>
    <x v="1"/>
    <x v="1"/>
    <x v="1"/>
    <x v="7"/>
    <n v="0"/>
    <n v="0"/>
    <n v="5.3410000000000002"/>
    <n v="5.3410000000000002"/>
    <n v="5.3410000000000002"/>
    <n v="5.3410000000000002"/>
    <n v="0"/>
    <x v="1"/>
    <n v="0"/>
    <n v="0"/>
    <n v="47"/>
    <n v="87"/>
    <n v="0"/>
    <n v="406.52"/>
    <n v="199.03"/>
    <m/>
    <n v="446.02270810064761"/>
    <n v="205.52329867469447"/>
    <n v="0"/>
    <n v="2171.2233200000001"/>
    <n v="1063.0192300000001"/>
    <n v="0"/>
    <n v="2382.2072839655589"/>
    <n v="1097.6999382215433"/>
  </r>
  <r>
    <s v="Sistema de Compensação"/>
    <x v="3"/>
    <x v="3"/>
    <x v="2"/>
    <x v="0"/>
    <x v="1"/>
    <x v="1"/>
    <x v="1"/>
    <x v="7"/>
    <n v="0"/>
    <n v="0"/>
    <n v="4.0590000000000002"/>
    <n v="4.0590000000000002"/>
    <n v="4.0590000000000002"/>
    <n v="4.0590000000000002"/>
    <n v="6"/>
    <x v="1"/>
    <n v="0"/>
    <n v="0"/>
    <n v="47"/>
    <n v="87"/>
    <n v="0"/>
    <n v="406.52"/>
    <n v="199.03"/>
    <m/>
    <n v="446.02270810064761"/>
    <n v="205.52329867469447"/>
    <n v="0"/>
    <n v="1650.06468"/>
    <n v="807.86277000000007"/>
    <n v="0"/>
    <n v="1810.4061721805288"/>
    <n v="834.21906932058494"/>
  </r>
  <r>
    <s v="Regular"/>
    <x v="3"/>
    <x v="3"/>
    <x v="2"/>
    <x v="0"/>
    <x v="1"/>
    <x v="1"/>
    <x v="1"/>
    <x v="8"/>
    <n v="0"/>
    <n v="0"/>
    <n v="57.255000000000003"/>
    <n v="57.255000000000003"/>
    <n v="57.255000000000003"/>
    <n v="57.255000000000003"/>
    <n v="50"/>
    <x v="1"/>
    <n v="0"/>
    <n v="0"/>
    <n v="47"/>
    <n v="87"/>
    <n v="0"/>
    <n v="406.52"/>
    <n v="199.03"/>
    <m/>
    <n v="446.02270810064761"/>
    <n v="205.52329867469447"/>
    <n v="0"/>
    <n v="23275.302599999999"/>
    <n v="11395.462650000001"/>
    <n v="0"/>
    <n v="25537.030152302581"/>
    <n v="11767.236465619633"/>
  </r>
  <r>
    <s v="Sistema de Compensação"/>
    <x v="3"/>
    <x v="3"/>
    <x v="2"/>
    <x v="0"/>
    <x v="1"/>
    <x v="1"/>
    <x v="1"/>
    <x v="8"/>
    <n v="0"/>
    <n v="0"/>
    <n v="4.6589999999999998"/>
    <n v="4.6589999999999998"/>
    <n v="4.6589999999999998"/>
    <n v="4.6589999999999998"/>
    <n v="6"/>
    <x v="1"/>
    <n v="0"/>
    <n v="0"/>
    <n v="47"/>
    <n v="87"/>
    <n v="0"/>
    <n v="406.52"/>
    <n v="199.03"/>
    <m/>
    <n v="446.02270810064761"/>
    <n v="205.52329867469447"/>
    <n v="0"/>
    <n v="1893.9766799999998"/>
    <n v="927.28076999999996"/>
    <n v="0"/>
    <n v="2078.0197970409172"/>
    <n v="957.53304852540145"/>
  </r>
  <r>
    <s v="Regular"/>
    <x v="3"/>
    <x v="3"/>
    <x v="2"/>
    <x v="0"/>
    <x v="1"/>
    <x v="1"/>
    <x v="1"/>
    <x v="9"/>
    <n v="0"/>
    <n v="0"/>
    <n v="66.563000000000002"/>
    <n v="66.563000000000002"/>
    <n v="66.563000000000002"/>
    <n v="66.563000000000002"/>
    <n v="50"/>
    <x v="1"/>
    <n v="0"/>
    <n v="0"/>
    <n v="47"/>
    <n v="87"/>
    <n v="0"/>
    <n v="406.52"/>
    <n v="199.03"/>
    <m/>
    <n v="446.02270810064761"/>
    <n v="205.52329867469447"/>
    <n v="0"/>
    <n v="27059.190760000001"/>
    <n v="13248.033890000001"/>
    <n v="0"/>
    <n v="29688.609519303409"/>
    <n v="13680.247329683689"/>
  </r>
  <r>
    <s v="Sistema de Compensação"/>
    <x v="3"/>
    <x v="3"/>
    <x v="2"/>
    <x v="0"/>
    <x v="1"/>
    <x v="1"/>
    <x v="1"/>
    <x v="9"/>
    <n v="0"/>
    <n v="0"/>
    <n v="1.9670000000000001"/>
    <n v="1.9670000000000001"/>
    <n v="1.9670000000000001"/>
    <n v="1.9670000000000001"/>
    <n v="6"/>
    <x v="1"/>
    <n v="0"/>
    <n v="0"/>
    <n v="47"/>
    <n v="87"/>
    <n v="0"/>
    <n v="406.52"/>
    <n v="199.03"/>
    <m/>
    <n v="446.02270810064761"/>
    <n v="205.52329867469447"/>
    <n v="0"/>
    <n v="799.62483999999995"/>
    <n v="391.49200999999999"/>
    <n v="0"/>
    <n v="877.32666683397383"/>
    <n v="404.26432849312403"/>
  </r>
  <r>
    <s v="Regular"/>
    <x v="3"/>
    <x v="3"/>
    <x v="2"/>
    <x v="0"/>
    <x v="1"/>
    <x v="1"/>
    <x v="1"/>
    <x v="10"/>
    <n v="0"/>
    <n v="0"/>
    <n v="56.606999999999999"/>
    <n v="56.606999999999999"/>
    <n v="56.606999999999999"/>
    <n v="56.606999999999999"/>
    <n v="49"/>
    <x v="1"/>
    <n v="0"/>
    <n v="0"/>
    <n v="47"/>
    <n v="87"/>
    <n v="0"/>
    <n v="406.52"/>
    <n v="199.03"/>
    <m/>
    <n v="446.02270810064761"/>
    <n v="205.52329867469447"/>
    <n v="0"/>
    <n v="23011.877639999999"/>
    <n v="11266.49121"/>
    <n v="0"/>
    <n v="25248.007437453358"/>
    <n v="11634.057368078429"/>
  </r>
  <r>
    <s v="Sistema de Compensação"/>
    <x v="3"/>
    <x v="3"/>
    <x v="2"/>
    <x v="0"/>
    <x v="1"/>
    <x v="1"/>
    <x v="1"/>
    <x v="10"/>
    <n v="0"/>
    <n v="0"/>
    <n v="2.5289999999999999"/>
    <n v="2.5289999999999999"/>
    <n v="2.5289999999999999"/>
    <n v="2.5289999999999999"/>
    <n v="6"/>
    <x v="1"/>
    <n v="0"/>
    <n v="0"/>
    <n v="47"/>
    <n v="87"/>
    <n v="0"/>
    <n v="406.52"/>
    <n v="199.03"/>
    <m/>
    <n v="446.02270810064761"/>
    <n v="205.52329867469447"/>
    <n v="0"/>
    <n v="1028.08908"/>
    <n v="503.34686999999997"/>
    <n v="0"/>
    <n v="1127.9914287865377"/>
    <n v="519.76842234830235"/>
  </r>
  <r>
    <s v="Regular"/>
    <x v="3"/>
    <x v="3"/>
    <x v="2"/>
    <x v="0"/>
    <x v="1"/>
    <x v="1"/>
    <x v="1"/>
    <x v="11"/>
    <n v="0"/>
    <n v="0"/>
    <n v="62.561"/>
    <n v="62.561"/>
    <n v="62.561"/>
    <n v="62.561"/>
    <n v="48"/>
    <x v="1"/>
    <n v="0"/>
    <n v="0"/>
    <n v="47"/>
    <n v="87"/>
    <n v="0"/>
    <n v="406.52"/>
    <n v="199.03"/>
    <m/>
    <n v="446.02270810064761"/>
    <n v="205.52329867469447"/>
    <n v="0"/>
    <n v="25432.297719999999"/>
    <n v="12451.51583"/>
    <n v="0"/>
    <n v="27903.626641484614"/>
    <n v="12857.74308838756"/>
  </r>
  <r>
    <s v="Sistema de Compensação"/>
    <x v="3"/>
    <x v="3"/>
    <x v="2"/>
    <x v="0"/>
    <x v="1"/>
    <x v="1"/>
    <x v="1"/>
    <x v="11"/>
    <n v="0"/>
    <n v="0"/>
    <n v="3.5859999999999999"/>
    <n v="3.5859999999999999"/>
    <n v="3.5859999999999999"/>
    <n v="3.5859999999999999"/>
    <n v="6"/>
    <x v="1"/>
    <n v="0"/>
    <n v="0"/>
    <n v="47"/>
    <n v="87"/>
    <n v="0"/>
    <n v="406.52"/>
    <n v="199.03"/>
    <m/>
    <n v="446.02270810064761"/>
    <n v="205.52329867469447"/>
    <n v="0"/>
    <n v="1457.78072"/>
    <n v="713.72158000000002"/>
    <n v="0"/>
    <n v="1599.4374312489222"/>
    <n v="737.00654904745431"/>
  </r>
  <r>
    <s v="Regular"/>
    <x v="3"/>
    <x v="3"/>
    <x v="3"/>
    <x v="0"/>
    <x v="1"/>
    <x v="1"/>
    <x v="1"/>
    <x v="0"/>
    <n v="0"/>
    <n v="0"/>
    <n v="143.16200000000001"/>
    <n v="143.16200000000001"/>
    <n v="143.16200000000001"/>
    <n v="143.16200000000001"/>
    <n v="344"/>
    <x v="1"/>
    <n v="0"/>
    <n v="0"/>
    <n v="47"/>
    <n v="87"/>
    <n v="0"/>
    <n v="406.52"/>
    <n v="199.03"/>
    <m/>
    <n v="446.02270810064761"/>
    <n v="205.52329867469447"/>
    <n v="0"/>
    <n v="58198.216240000002"/>
    <n v="28493.532860000003"/>
    <n v="0"/>
    <n v="63853.502937104917"/>
    <n v="29423.126484866611"/>
  </r>
  <r>
    <s v="Regular"/>
    <x v="3"/>
    <x v="3"/>
    <x v="3"/>
    <x v="0"/>
    <x v="1"/>
    <x v="1"/>
    <x v="1"/>
    <x v="1"/>
    <n v="0"/>
    <n v="0"/>
    <n v="154.30500000000001"/>
    <n v="154.30500000000001"/>
    <n v="154.30500000000001"/>
    <n v="154.30500000000001"/>
    <n v="346"/>
    <x v="1"/>
    <n v="0"/>
    <n v="0"/>
    <n v="47"/>
    <n v="87"/>
    <n v="0"/>
    <n v="406.52"/>
    <n v="199.03"/>
    <m/>
    <n v="446.02270810064761"/>
    <n v="205.52329867469447"/>
    <n v="0"/>
    <n v="62728.068599999999"/>
    <n v="30711.32415"/>
    <n v="0"/>
    <n v="68823.533973470432"/>
    <n v="31713.272601998731"/>
  </r>
  <r>
    <s v="Regular"/>
    <x v="3"/>
    <x v="3"/>
    <x v="3"/>
    <x v="0"/>
    <x v="1"/>
    <x v="1"/>
    <x v="1"/>
    <x v="2"/>
    <n v="0"/>
    <n v="0"/>
    <n v="131.02699999999999"/>
    <n v="131.02699999999999"/>
    <n v="131.02699999999999"/>
    <n v="131.02699999999999"/>
    <n v="349"/>
    <x v="1"/>
    <n v="0"/>
    <n v="0"/>
    <n v="47"/>
    <n v="87"/>
    <n v="0"/>
    <n v="406.52"/>
    <n v="199.03"/>
    <m/>
    <n v="446.02270810064761"/>
    <n v="205.52329867469447"/>
    <n v="0"/>
    <n v="53265.096039999989"/>
    <n v="26078.303809999998"/>
    <n v="0"/>
    <n v="58441.017374303548"/>
    <n v="26929.10125544919"/>
  </r>
  <r>
    <s v="Regular"/>
    <x v="3"/>
    <x v="3"/>
    <x v="3"/>
    <x v="0"/>
    <x v="1"/>
    <x v="1"/>
    <x v="1"/>
    <x v="3"/>
    <n v="0"/>
    <n v="0"/>
    <n v="128.584"/>
    <n v="128.584"/>
    <n v="128.584"/>
    <n v="128.584"/>
    <n v="348"/>
    <x v="1"/>
    <n v="0"/>
    <n v="0"/>
    <n v="47"/>
    <n v="87"/>
    <n v="0"/>
    <n v="406.52"/>
    <n v="199.03"/>
    <m/>
    <n v="446.02270810064761"/>
    <n v="205.52329867469447"/>
    <n v="0"/>
    <n v="52271.967680000002"/>
    <n v="25592.073520000002"/>
    <n v="0"/>
    <n v="57351.383898413675"/>
    <n v="26427.007836786914"/>
  </r>
  <r>
    <s v="Regular"/>
    <x v="3"/>
    <x v="3"/>
    <x v="3"/>
    <x v="0"/>
    <x v="1"/>
    <x v="1"/>
    <x v="1"/>
    <x v="4"/>
    <n v="0"/>
    <n v="0"/>
    <n v="155.291"/>
    <n v="155.291"/>
    <n v="155.291"/>
    <n v="155.291"/>
    <n v="349"/>
    <x v="1"/>
    <n v="0"/>
    <n v="0"/>
    <n v="47"/>
    <n v="87"/>
    <n v="0"/>
    <n v="406.52"/>
    <n v="199.03"/>
    <m/>
    <n v="446.02270810064761"/>
    <n v="205.52329867469447"/>
    <n v="0"/>
    <n v="63128.897319999996"/>
    <n v="30907.567729999999"/>
    <n v="0"/>
    <n v="69263.312363657664"/>
    <n v="31915.918574491978"/>
  </r>
  <r>
    <s v="Regular"/>
    <x v="3"/>
    <x v="3"/>
    <x v="3"/>
    <x v="0"/>
    <x v="1"/>
    <x v="1"/>
    <x v="1"/>
    <x v="5"/>
    <n v="0"/>
    <n v="0"/>
    <n v="171.53299999999999"/>
    <n v="171.53299999999999"/>
    <n v="171.53299999999999"/>
    <n v="171.53299999999999"/>
    <n v="350"/>
    <x v="1"/>
    <n v="0"/>
    <n v="0"/>
    <n v="47"/>
    <n v="87"/>
    <n v="0"/>
    <n v="406.52"/>
    <n v="199.03"/>
    <m/>
    <n v="446.02270810064761"/>
    <n v="205.52329867469447"/>
    <n v="0"/>
    <n v="69731.595159999997"/>
    <n v="34140.21299"/>
    <n v="0"/>
    <n v="76507.613188628384"/>
    <n v="35254.027991566363"/>
  </r>
  <r>
    <s v="Regular"/>
    <x v="3"/>
    <x v="3"/>
    <x v="3"/>
    <x v="0"/>
    <x v="1"/>
    <x v="1"/>
    <x v="1"/>
    <x v="6"/>
    <n v="0"/>
    <n v="0"/>
    <n v="195.52199999999999"/>
    <n v="195.52199999999999"/>
    <n v="195.52199999999999"/>
    <n v="195.52199999999999"/>
    <n v="359"/>
    <x v="1"/>
    <n v="0"/>
    <n v="0"/>
    <n v="47"/>
    <n v="87"/>
    <n v="0"/>
    <n v="406.52"/>
    <n v="199.03"/>
    <m/>
    <n v="446.02270810064761"/>
    <n v="205.52329867469447"/>
    <n v="0"/>
    <n v="79483.603439999992"/>
    <n v="38914.74366"/>
    <n v="0"/>
    <n v="87207.251933254811"/>
    <n v="40184.326403473613"/>
  </r>
  <r>
    <s v="Refaturamento - Regular"/>
    <x v="3"/>
    <x v="3"/>
    <x v="3"/>
    <x v="0"/>
    <x v="1"/>
    <x v="1"/>
    <x v="1"/>
    <x v="6"/>
    <n v="0"/>
    <n v="0"/>
    <n v="-0.85699999999999998"/>
    <n v="-0.85699999999999998"/>
    <n v="-0.85699999999999998"/>
    <n v="-0.85699999999999998"/>
    <n v="0"/>
    <x v="1"/>
    <n v="0"/>
    <n v="0"/>
    <n v="47"/>
    <n v="87"/>
    <n v="0"/>
    <n v="406.52"/>
    <n v="199.03"/>
    <m/>
    <n v="446.02270810064761"/>
    <n v="205.52329867469447"/>
    <n v="0"/>
    <n v="-348.38763999999998"/>
    <n v="-170.56871000000001"/>
    <n v="0"/>
    <n v="-382.24146084225498"/>
    <n v="-176.13346696421317"/>
  </r>
  <r>
    <s v="Regular"/>
    <x v="3"/>
    <x v="3"/>
    <x v="3"/>
    <x v="0"/>
    <x v="1"/>
    <x v="1"/>
    <x v="1"/>
    <x v="7"/>
    <n v="0"/>
    <n v="0"/>
    <n v="232.274"/>
    <n v="232.274"/>
    <n v="232.274"/>
    <n v="232.274"/>
    <n v="361"/>
    <x v="1"/>
    <n v="0"/>
    <n v="0"/>
    <n v="47"/>
    <n v="87"/>
    <n v="0"/>
    <n v="406.52"/>
    <n v="199.03"/>
    <m/>
    <n v="446.02270810064761"/>
    <n v="205.52329867469447"/>
    <n v="0"/>
    <n v="94424.02648"/>
    <n v="46229.49422"/>
    <n v="0"/>
    <n v="103599.47850136983"/>
    <n v="47737.718676365985"/>
  </r>
  <r>
    <s v="Refaturamento - Regular"/>
    <x v="3"/>
    <x v="3"/>
    <x v="3"/>
    <x v="0"/>
    <x v="1"/>
    <x v="1"/>
    <x v="1"/>
    <x v="7"/>
    <n v="0"/>
    <n v="0"/>
    <n v="1.075"/>
    <n v="1.075"/>
    <n v="1.075"/>
    <n v="1.075"/>
    <n v="0"/>
    <x v="1"/>
    <n v="0"/>
    <n v="0"/>
    <n v="47"/>
    <n v="87"/>
    <n v="0"/>
    <n v="406.52"/>
    <n v="199.03"/>
    <m/>
    <n v="446.02270810064761"/>
    <n v="205.52329867469447"/>
    <n v="0"/>
    <n v="437.00899999999996"/>
    <n v="213.95724999999999"/>
    <n v="0"/>
    <n v="479.47441120819616"/>
    <n v="220.93754607529655"/>
  </r>
  <r>
    <s v="Regular"/>
    <x v="3"/>
    <x v="3"/>
    <x v="3"/>
    <x v="0"/>
    <x v="1"/>
    <x v="1"/>
    <x v="1"/>
    <x v="8"/>
    <n v="0"/>
    <n v="0"/>
    <n v="213.52600000000001"/>
    <n v="213.52600000000001"/>
    <n v="213.52600000000001"/>
    <n v="213.52600000000001"/>
    <n v="360"/>
    <x v="1"/>
    <n v="0"/>
    <n v="0"/>
    <n v="47"/>
    <n v="87"/>
    <n v="0"/>
    <n v="406.52"/>
    <n v="199.03"/>
    <m/>
    <n v="446.02270810064761"/>
    <n v="205.52329867469447"/>
    <n v="0"/>
    <n v="86802.589519999994"/>
    <n v="42498.07978"/>
    <n v="0"/>
    <n v="95237.444769898881"/>
    <n v="43884.567872812811"/>
  </r>
  <r>
    <s v="Regular"/>
    <x v="3"/>
    <x v="3"/>
    <x v="3"/>
    <x v="0"/>
    <x v="1"/>
    <x v="1"/>
    <x v="1"/>
    <x v="9"/>
    <n v="0"/>
    <n v="0"/>
    <n v="144.05799999999999"/>
    <n v="144.05799999999999"/>
    <n v="144.05799999999999"/>
    <n v="144.05799999999999"/>
    <n v="358"/>
    <x v="1"/>
    <n v="0"/>
    <n v="0"/>
    <n v="47"/>
    <n v="87"/>
    <n v="0"/>
    <n v="406.52"/>
    <n v="199.03"/>
    <m/>
    <n v="446.02270810064761"/>
    <n v="205.52329867469447"/>
    <n v="0"/>
    <n v="58562.458159999995"/>
    <n v="28671.863739999997"/>
    <n v="0"/>
    <n v="64253.13928356309"/>
    <n v="29607.275360479136"/>
  </r>
  <r>
    <s v="Regular"/>
    <x v="3"/>
    <x v="3"/>
    <x v="3"/>
    <x v="0"/>
    <x v="1"/>
    <x v="1"/>
    <x v="1"/>
    <x v="10"/>
    <n v="0"/>
    <n v="0"/>
    <n v="138.90100000000001"/>
    <n v="138.90100000000001"/>
    <n v="138.90100000000001"/>
    <n v="138.90100000000001"/>
    <n v="356"/>
    <x v="1"/>
    <n v="0"/>
    <n v="0"/>
    <n v="47"/>
    <n v="87"/>
    <n v="0"/>
    <n v="406.52"/>
    <n v="199.03"/>
    <m/>
    <n v="446.02270810064761"/>
    <n v="205.52329867469447"/>
    <n v="0"/>
    <n v="56466.034520000001"/>
    <n v="27645.466030000003"/>
    <n v="0"/>
    <n v="61953.000177888054"/>
    <n v="28547.391709213738"/>
  </r>
  <r>
    <s v="Regular"/>
    <x v="3"/>
    <x v="3"/>
    <x v="3"/>
    <x v="0"/>
    <x v="1"/>
    <x v="1"/>
    <x v="1"/>
    <x v="11"/>
    <n v="0"/>
    <n v="0"/>
    <n v="168.69499999999999"/>
    <n v="168.69499999999999"/>
    <n v="168.69499999999999"/>
    <n v="168.69499999999999"/>
    <n v="356"/>
    <x v="1"/>
    <n v="0"/>
    <n v="0"/>
    <n v="47"/>
    <n v="87"/>
    <n v="0"/>
    <n v="406.52"/>
    <n v="199.03"/>
    <m/>
    <n v="446.02270810064761"/>
    <n v="205.52329867469447"/>
    <n v="0"/>
    <n v="68577.891399999993"/>
    <n v="33575.365850000002"/>
    <n v="0"/>
    <n v="75241.800743038752"/>
    <n v="34670.752869927586"/>
  </r>
  <r>
    <s v="Regular"/>
    <x v="3"/>
    <x v="3"/>
    <x v="6"/>
    <x v="7"/>
    <x v="1"/>
    <x v="1"/>
    <x v="1"/>
    <x v="0"/>
    <n v="0"/>
    <n v="0"/>
    <n v="74.566999999999993"/>
    <n v="74.566999999999993"/>
    <n v="74.566999999999993"/>
    <n v="74.566999999999993"/>
    <n v="29"/>
    <x v="1"/>
    <n v="0"/>
    <n v="0"/>
    <n v="47"/>
    <n v="87"/>
    <n v="0"/>
    <n v="382.12879999999996"/>
    <n v="187.0882"/>
    <m/>
    <n v="432.64202685762814"/>
    <n v="199.35759971445364"/>
    <n v="0"/>
    <n v="28494.198229599995"/>
    <n v="13950.605809399998"/>
    <n v="0"/>
    <n v="32260.818016692756"/>
    <n v="14865.498137907663"/>
  </r>
  <r>
    <s v="Regular"/>
    <x v="3"/>
    <x v="3"/>
    <x v="6"/>
    <x v="7"/>
    <x v="1"/>
    <x v="1"/>
    <x v="1"/>
    <x v="1"/>
    <n v="0"/>
    <n v="0"/>
    <n v="72.856999999999999"/>
    <n v="72.856999999999999"/>
    <n v="72.856999999999999"/>
    <n v="72.856999999999999"/>
    <n v="29"/>
    <x v="1"/>
    <n v="0"/>
    <n v="0"/>
    <n v="47"/>
    <n v="87"/>
    <n v="0"/>
    <n v="382.12879999999996"/>
    <n v="187.0882"/>
    <m/>
    <n v="432.64202685762814"/>
    <n v="199.35759971445364"/>
    <n v="0"/>
    <n v="27840.757981599996"/>
    <n v="13630.6849874"/>
    <n v="0"/>
    <n v="31521.000150766213"/>
    <n v="14524.596642395949"/>
  </r>
  <r>
    <s v="Regular"/>
    <x v="3"/>
    <x v="3"/>
    <x v="6"/>
    <x v="7"/>
    <x v="1"/>
    <x v="1"/>
    <x v="1"/>
    <x v="2"/>
    <n v="0"/>
    <n v="0"/>
    <n v="73.664000000000001"/>
    <n v="73.664000000000001"/>
    <n v="73.664000000000001"/>
    <n v="73.664000000000001"/>
    <n v="29"/>
    <x v="1"/>
    <n v="0"/>
    <n v="0"/>
    <n v="47"/>
    <n v="87"/>
    <n v="0"/>
    <n v="382.12879999999996"/>
    <n v="187.0882"/>
    <m/>
    <n v="432.64202685762814"/>
    <n v="199.35759971445364"/>
    <n v="0"/>
    <n v="28149.135923199996"/>
    <n v="13781.665164800001"/>
    <n v="0"/>
    <n v="31870.142266440318"/>
    <n v="14685.478225365514"/>
  </r>
  <r>
    <s v="Regular"/>
    <x v="3"/>
    <x v="3"/>
    <x v="6"/>
    <x v="7"/>
    <x v="1"/>
    <x v="1"/>
    <x v="1"/>
    <x v="3"/>
    <n v="0"/>
    <n v="0"/>
    <n v="76.557000000000002"/>
    <n v="76.557000000000002"/>
    <n v="76.557000000000002"/>
    <n v="76.557000000000002"/>
    <n v="29"/>
    <x v="1"/>
    <n v="0"/>
    <n v="0"/>
    <n v="47"/>
    <n v="87"/>
    <n v="0"/>
    <n v="382.12879999999996"/>
    <n v="187.0882"/>
    <m/>
    <n v="432.64202685762814"/>
    <n v="199.35759971445364"/>
    <n v="0"/>
    <n v="29254.634541599997"/>
    <n v="14322.911327400001"/>
    <n v="0"/>
    <n v="33121.77565013944"/>
    <n v="15262.219761339427"/>
  </r>
  <r>
    <s v="Regular"/>
    <x v="3"/>
    <x v="3"/>
    <x v="6"/>
    <x v="7"/>
    <x v="1"/>
    <x v="1"/>
    <x v="1"/>
    <x v="4"/>
    <n v="0"/>
    <n v="0"/>
    <n v="71.665999999999997"/>
    <n v="71.665999999999997"/>
    <n v="71.665999999999997"/>
    <n v="71.665999999999997"/>
    <n v="30"/>
    <x v="1"/>
    <n v="0"/>
    <n v="0"/>
    <n v="47"/>
    <n v="87"/>
    <n v="0"/>
    <n v="382.12879999999996"/>
    <n v="187.0882"/>
    <m/>
    <n v="432.64202685762814"/>
    <n v="199.35759971445364"/>
    <n v="0"/>
    <n v="27385.642580799995"/>
    <n v="13407.862941199999"/>
    <n v="0"/>
    <n v="31005.723496778777"/>
    <n v="14287.161741136035"/>
  </r>
  <r>
    <s v="Regular"/>
    <x v="3"/>
    <x v="3"/>
    <x v="6"/>
    <x v="7"/>
    <x v="1"/>
    <x v="1"/>
    <x v="1"/>
    <x v="5"/>
    <n v="0"/>
    <n v="0"/>
    <n v="79.037000000000006"/>
    <n v="79.037000000000006"/>
    <n v="79.037000000000006"/>
    <n v="79.037000000000006"/>
    <n v="30"/>
    <x v="1"/>
    <n v="0"/>
    <n v="0"/>
    <n v="47"/>
    <n v="87"/>
    <n v="0"/>
    <n v="382.12879999999996"/>
    <n v="187.0882"/>
    <m/>
    <n v="432.64202685762814"/>
    <n v="199.35759971445364"/>
    <n v="0"/>
    <n v="30202.313965599998"/>
    <n v="14786.890063400002"/>
    <n v="0"/>
    <n v="34194.727876746358"/>
    <n v="15756.626608631273"/>
  </r>
  <r>
    <s v="Regular"/>
    <x v="3"/>
    <x v="3"/>
    <x v="6"/>
    <x v="7"/>
    <x v="1"/>
    <x v="1"/>
    <x v="1"/>
    <x v="6"/>
    <n v="0"/>
    <n v="0"/>
    <n v="82.933000000000007"/>
    <n v="82.933000000000007"/>
    <n v="82.933000000000007"/>
    <n v="82.933000000000007"/>
    <n v="31"/>
    <x v="1"/>
    <n v="0"/>
    <n v="0"/>
    <n v="47"/>
    <n v="87"/>
    <n v="0"/>
    <n v="382.12879999999996"/>
    <n v="187.0882"/>
    <m/>
    <n v="432.64202685762814"/>
    <n v="199.35759971445364"/>
    <n v="0"/>
    <n v="31691.087770399998"/>
    <n v="15515.785690600002"/>
    <n v="0"/>
    <n v="35880.301213383675"/>
    <n v="16533.323817118784"/>
  </r>
  <r>
    <s v="Regular"/>
    <x v="3"/>
    <x v="3"/>
    <x v="6"/>
    <x v="7"/>
    <x v="1"/>
    <x v="1"/>
    <x v="1"/>
    <x v="7"/>
    <n v="0"/>
    <n v="0"/>
    <n v="102.13200000000001"/>
    <n v="102.13200000000001"/>
    <n v="102.13200000000001"/>
    <n v="102.13200000000001"/>
    <n v="31"/>
    <x v="1"/>
    <n v="0"/>
    <n v="0"/>
    <n v="47"/>
    <n v="87"/>
    <n v="0"/>
    <n v="382.12879999999996"/>
    <n v="187.0882"/>
    <m/>
    <n v="432.64202685762814"/>
    <n v="199.35759971445364"/>
    <n v="0"/>
    <n v="39027.578601599998"/>
    <n v="19107.692042400002"/>
    <n v="0"/>
    <n v="44186.595487023282"/>
    <n v="20360.79037403658"/>
  </r>
  <r>
    <s v="Refaturamento - Regular"/>
    <x v="3"/>
    <x v="3"/>
    <x v="6"/>
    <x v="7"/>
    <x v="1"/>
    <x v="1"/>
    <x v="1"/>
    <x v="7"/>
    <n v="0"/>
    <n v="0"/>
    <n v="0.69399999999999995"/>
    <n v="0.69399999999999995"/>
    <n v="0.69399999999999995"/>
    <n v="0.69399999999999995"/>
    <n v="0"/>
    <x v="1"/>
    <n v="0"/>
    <n v="0"/>
    <n v="47"/>
    <n v="87"/>
    <n v="0"/>
    <n v="382.12879999999996"/>
    <n v="187.0882"/>
    <m/>
    <n v="432.64202685762814"/>
    <n v="199.35759971445364"/>
    <n v="0"/>
    <n v="265.19738719999992"/>
    <n v="129.83921079999999"/>
    <n v="0"/>
    <n v="300.25356663919393"/>
    <n v="138.35417420183083"/>
  </r>
  <r>
    <s v="Regular"/>
    <x v="3"/>
    <x v="3"/>
    <x v="6"/>
    <x v="7"/>
    <x v="1"/>
    <x v="1"/>
    <x v="1"/>
    <x v="8"/>
    <n v="0"/>
    <n v="0"/>
    <n v="94.444000000000003"/>
    <n v="94.444000000000003"/>
    <n v="94.444000000000003"/>
    <n v="94.444000000000003"/>
    <n v="31"/>
    <x v="1"/>
    <n v="0"/>
    <n v="0"/>
    <n v="47"/>
    <n v="87"/>
    <n v="0"/>
    <n v="382.12879999999996"/>
    <n v="187.0882"/>
    <m/>
    <n v="432.64202685762814"/>
    <n v="199.35759971445364"/>
    <n v="0"/>
    <n v="36089.772387199999"/>
    <n v="17669.3579608"/>
    <n v="0"/>
    <n v="40860.443584541834"/>
    <n v="18828.12914743186"/>
  </r>
  <r>
    <s v="Regular"/>
    <x v="3"/>
    <x v="3"/>
    <x v="6"/>
    <x v="7"/>
    <x v="1"/>
    <x v="1"/>
    <x v="1"/>
    <x v="9"/>
    <n v="0"/>
    <n v="0"/>
    <n v="81.756"/>
    <n v="81.756"/>
    <n v="81.756"/>
    <n v="81.756"/>
    <n v="31"/>
    <x v="1"/>
    <n v="0"/>
    <n v="0"/>
    <n v="47"/>
    <n v="87"/>
    <n v="0"/>
    <n v="382.12879999999996"/>
    <n v="187.0882"/>
    <m/>
    <n v="432.64202685762814"/>
    <n v="199.35759971445364"/>
    <n v="0"/>
    <n v="31241.322172799995"/>
    <n v="15295.582879199999"/>
    <n v="0"/>
    <n v="35371.081547772243"/>
    <n v="16298.679922254873"/>
  </r>
  <r>
    <s v="Regular"/>
    <x v="3"/>
    <x v="3"/>
    <x v="6"/>
    <x v="7"/>
    <x v="1"/>
    <x v="1"/>
    <x v="1"/>
    <x v="10"/>
    <n v="0"/>
    <n v="0"/>
    <n v="80.668999999999997"/>
    <n v="80.668999999999997"/>
    <n v="80.668999999999997"/>
    <n v="80.668999999999997"/>
    <n v="32"/>
    <x v="1"/>
    <n v="0"/>
    <n v="0"/>
    <n v="47"/>
    <n v="87"/>
    <n v="0"/>
    <n v="382.12879999999996"/>
    <n v="187.0882"/>
    <m/>
    <n v="432.64202685762814"/>
    <n v="199.35759971445364"/>
    <n v="0"/>
    <n v="30825.948167199997"/>
    <n v="15092.218005799999"/>
    <n v="0"/>
    <n v="34900.799664578"/>
    <n v="16081.97821136526"/>
  </r>
  <r>
    <s v="Regular"/>
    <x v="3"/>
    <x v="3"/>
    <x v="6"/>
    <x v="7"/>
    <x v="1"/>
    <x v="1"/>
    <x v="1"/>
    <x v="11"/>
    <n v="0"/>
    <n v="0"/>
    <n v="77.650999999999996"/>
    <n v="77.650999999999996"/>
    <n v="77.650999999999996"/>
    <n v="77.650999999999996"/>
    <n v="32"/>
    <x v="1"/>
    <n v="0"/>
    <n v="0"/>
    <n v="47"/>
    <n v="87"/>
    <n v="0"/>
    <n v="382.12879999999996"/>
    <n v="187.0882"/>
    <m/>
    <n v="432.64202685762814"/>
    <n v="199.35759971445364"/>
    <n v="0"/>
    <n v="29672.683448799995"/>
    <n v="14527.585818199999"/>
    <n v="0"/>
    <n v="33595.086027521684"/>
    <n v="15480.316975427038"/>
  </r>
  <r>
    <s v="Regular"/>
    <x v="4"/>
    <x v="3"/>
    <x v="8"/>
    <x v="8"/>
    <x v="1"/>
    <x v="1"/>
    <x v="1"/>
    <x v="0"/>
    <n v="0"/>
    <n v="0"/>
    <n v="364.88"/>
    <n v="364.88"/>
    <n v="364.88"/>
    <n v="364.88"/>
    <n v="24"/>
    <x v="1"/>
    <n v="0"/>
    <n v="0"/>
    <n v="49"/>
    <n v="89"/>
    <n v="0"/>
    <n v="223.59"/>
    <n v="109.47"/>
    <m/>
    <n v="245.31248945535623"/>
    <n v="113.03781427108197"/>
    <n v="0"/>
    <n v="81583.519199999995"/>
    <n v="39943.4136"/>
    <n v="0"/>
    <n v="89509.621152470383"/>
    <n v="41245.237671232389"/>
  </r>
  <r>
    <s v="Regular"/>
    <x v="4"/>
    <x v="3"/>
    <x v="8"/>
    <x v="8"/>
    <x v="1"/>
    <x v="1"/>
    <x v="1"/>
    <x v="1"/>
    <n v="0"/>
    <n v="0"/>
    <n v="368.59399999999999"/>
    <n v="368.59399999999999"/>
    <n v="368.59399999999999"/>
    <n v="368.59399999999999"/>
    <n v="24"/>
    <x v="1"/>
    <n v="0"/>
    <n v="0"/>
    <n v="49"/>
    <n v="89"/>
    <n v="0"/>
    <n v="223.59"/>
    <n v="109.47"/>
    <m/>
    <n v="245.31248945535623"/>
    <n v="113.03781427108197"/>
    <n v="0"/>
    <n v="82413.932459999996"/>
    <n v="40349.985179999996"/>
    <n v="0"/>
    <n v="90420.711738307567"/>
    <n v="41665.060113435189"/>
  </r>
  <r>
    <s v="Regular"/>
    <x v="4"/>
    <x v="3"/>
    <x v="8"/>
    <x v="8"/>
    <x v="1"/>
    <x v="1"/>
    <x v="1"/>
    <x v="2"/>
    <n v="0"/>
    <n v="0"/>
    <n v="356.62299999999999"/>
    <n v="356.62299999999999"/>
    <n v="356.62299999999999"/>
    <n v="356.62299999999999"/>
    <n v="24"/>
    <x v="1"/>
    <n v="0"/>
    <n v="0"/>
    <n v="49"/>
    <n v="89"/>
    <n v="0"/>
    <n v="223.59"/>
    <n v="109.47"/>
    <m/>
    <n v="245.31248945535623"/>
    <n v="113.03781427108197"/>
    <n v="0"/>
    <n v="79737.336569999999"/>
    <n v="39039.519809999998"/>
    <n v="0"/>
    <n v="87484.075927037498"/>
    <n v="40311.884438796063"/>
  </r>
  <r>
    <s v="Regular"/>
    <x v="4"/>
    <x v="3"/>
    <x v="8"/>
    <x v="8"/>
    <x v="1"/>
    <x v="1"/>
    <x v="1"/>
    <x v="3"/>
    <n v="0"/>
    <n v="0"/>
    <n v="364.07400000000001"/>
    <n v="364.07400000000001"/>
    <n v="364.07400000000001"/>
    <n v="364.07400000000001"/>
    <n v="24"/>
    <x v="1"/>
    <n v="0"/>
    <n v="0"/>
    <n v="49"/>
    <n v="89"/>
    <n v="0"/>
    <n v="223.59"/>
    <n v="109.47"/>
    <m/>
    <n v="245.31248945535623"/>
    <n v="113.03781427108197"/>
    <n v="0"/>
    <n v="81403.305659999998"/>
    <n v="39855.180780000002"/>
    <n v="0"/>
    <n v="89311.899285969368"/>
    <n v="41154.129192929897"/>
  </r>
  <r>
    <s v="Regular"/>
    <x v="4"/>
    <x v="3"/>
    <x v="8"/>
    <x v="8"/>
    <x v="1"/>
    <x v="1"/>
    <x v="1"/>
    <x v="4"/>
    <n v="0"/>
    <n v="0"/>
    <n v="351.61599999999999"/>
    <n v="351.61599999999999"/>
    <n v="351.61599999999999"/>
    <n v="351.61599999999999"/>
    <n v="24"/>
    <x v="1"/>
    <n v="0"/>
    <n v="0"/>
    <n v="49"/>
    <n v="89"/>
    <n v="0"/>
    <n v="223.59"/>
    <n v="109.47"/>
    <m/>
    <n v="245.31248945535623"/>
    <n v="113.03781427108197"/>
    <n v="0"/>
    <n v="78617.82144"/>
    <n v="38491.40352"/>
    <n v="0"/>
    <n v="86255.796292334533"/>
    <n v="39745.904102740758"/>
  </r>
  <r>
    <s v="Regular"/>
    <x v="4"/>
    <x v="3"/>
    <x v="8"/>
    <x v="8"/>
    <x v="1"/>
    <x v="1"/>
    <x v="1"/>
    <x v="5"/>
    <n v="0"/>
    <n v="0"/>
    <n v="362.399"/>
    <n v="362.399"/>
    <n v="362.399"/>
    <n v="362.399"/>
    <n v="24"/>
    <x v="1"/>
    <n v="0"/>
    <n v="0"/>
    <n v="49"/>
    <n v="89"/>
    <n v="0"/>
    <n v="223.59"/>
    <n v="109.47"/>
    <m/>
    <n v="245.31248945535623"/>
    <n v="113.03781427108197"/>
    <n v="0"/>
    <n v="81028.792409999995"/>
    <n v="39671.818529999997"/>
    <n v="0"/>
    <n v="88901.000866131639"/>
    <n v="40964.790854025836"/>
  </r>
  <r>
    <s v="Regular"/>
    <x v="4"/>
    <x v="3"/>
    <x v="8"/>
    <x v="8"/>
    <x v="1"/>
    <x v="1"/>
    <x v="1"/>
    <x v="6"/>
    <n v="0"/>
    <n v="0"/>
    <n v="362.43400000000003"/>
    <n v="362.43400000000003"/>
    <n v="362.43400000000003"/>
    <n v="362.43400000000003"/>
    <n v="24"/>
    <x v="1"/>
    <n v="0"/>
    <n v="0"/>
    <n v="49"/>
    <n v="89"/>
    <n v="0"/>
    <n v="223.59"/>
    <n v="109.47"/>
    <m/>
    <n v="245.31248945535623"/>
    <n v="113.03781427108197"/>
    <n v="0"/>
    <n v="81036.618060000008"/>
    <n v="39675.649980000002"/>
    <n v="0"/>
    <n v="88909.586803262588"/>
    <n v="40968.747177525329"/>
  </r>
  <r>
    <s v="Regular"/>
    <x v="4"/>
    <x v="3"/>
    <x v="8"/>
    <x v="8"/>
    <x v="1"/>
    <x v="1"/>
    <x v="1"/>
    <x v="7"/>
    <n v="0"/>
    <n v="0"/>
    <n v="329.58800000000002"/>
    <n v="329.58800000000002"/>
    <n v="329.58800000000002"/>
    <n v="329.58800000000002"/>
    <n v="24"/>
    <x v="1"/>
    <n v="0"/>
    <n v="0"/>
    <n v="49"/>
    <n v="89"/>
    <n v="0"/>
    <n v="223.59"/>
    <n v="109.47"/>
    <m/>
    <n v="245.31248945535623"/>
    <n v="113.03781427108197"/>
    <n v="0"/>
    <n v="73692.580920000008"/>
    <n v="36079.998360000005"/>
    <n v="0"/>
    <n v="80852.052774611948"/>
    <n v="37255.907129977364"/>
  </r>
  <r>
    <s v="Regular"/>
    <x v="4"/>
    <x v="3"/>
    <x v="8"/>
    <x v="8"/>
    <x v="1"/>
    <x v="1"/>
    <x v="1"/>
    <x v="8"/>
    <n v="0"/>
    <n v="0"/>
    <n v="379.38499999999999"/>
    <n v="379.38499999999999"/>
    <n v="379.38499999999999"/>
    <n v="379.38499999999999"/>
    <n v="24"/>
    <x v="1"/>
    <n v="0"/>
    <n v="0"/>
    <n v="49"/>
    <n v="89"/>
    <n v="0"/>
    <n v="223.59"/>
    <n v="109.47"/>
    <m/>
    <n v="245.31248945535623"/>
    <n v="113.03781427108197"/>
    <n v="0"/>
    <n v="84826.692150000003"/>
    <n v="41531.275949999996"/>
    <n v="0"/>
    <n v="93067.878812020324"/>
    <n v="42884.851167234432"/>
  </r>
  <r>
    <s v="Refaturamento - Regular"/>
    <x v="4"/>
    <x v="3"/>
    <x v="8"/>
    <x v="8"/>
    <x v="1"/>
    <x v="1"/>
    <x v="1"/>
    <x v="8"/>
    <n v="0"/>
    <n v="0"/>
    <n v="4.008"/>
    <n v="4.008"/>
    <n v="4.008"/>
    <n v="4.008"/>
    <n v="0"/>
    <x v="1"/>
    <n v="0"/>
    <n v="0"/>
    <n v="49"/>
    <n v="89"/>
    <n v="0"/>
    <n v="223.59"/>
    <n v="109.47"/>
    <m/>
    <n v="245.31248945535623"/>
    <n v="113.03781427108197"/>
    <n v="0"/>
    <n v="896.14872000000003"/>
    <n v="438.75576000000001"/>
    <n v="0"/>
    <n v="983.21245773706778"/>
    <n v="453.05555959849653"/>
  </r>
  <r>
    <s v="Regular"/>
    <x v="4"/>
    <x v="3"/>
    <x v="8"/>
    <x v="8"/>
    <x v="1"/>
    <x v="1"/>
    <x v="1"/>
    <x v="9"/>
    <n v="0"/>
    <n v="0"/>
    <n v="368.34699999999998"/>
    <n v="368.34699999999998"/>
    <n v="368.34699999999998"/>
    <n v="368.34699999999998"/>
    <n v="24"/>
    <x v="1"/>
    <n v="0"/>
    <n v="0"/>
    <n v="49"/>
    <n v="89"/>
    <n v="0"/>
    <n v="223.59"/>
    <n v="109.47"/>
    <m/>
    <n v="245.31248945535623"/>
    <n v="113.03781427108197"/>
    <n v="0"/>
    <n v="82358.705730000001"/>
    <n v="40322.946089999998"/>
    <n v="0"/>
    <n v="90360.119553412093"/>
    <n v="41637.139773310228"/>
  </r>
  <r>
    <s v="Regular"/>
    <x v="4"/>
    <x v="3"/>
    <x v="8"/>
    <x v="8"/>
    <x v="1"/>
    <x v="1"/>
    <x v="1"/>
    <x v="10"/>
    <n v="0"/>
    <n v="0"/>
    <n v="382.18"/>
    <n v="382.18"/>
    <n v="382.18"/>
    <n v="382.18"/>
    <n v="24"/>
    <x v="1"/>
    <n v="0"/>
    <n v="0"/>
    <n v="49"/>
    <n v="89"/>
    <n v="0"/>
    <n v="223.59"/>
    <n v="109.47"/>
    <m/>
    <n v="245.31248945535623"/>
    <n v="113.03781427108197"/>
    <n v="0"/>
    <n v="85451.626199999999"/>
    <n v="41837.244599999998"/>
    <n v="0"/>
    <n v="93753.527220048039"/>
    <n v="43200.791858122109"/>
  </r>
  <r>
    <s v="Regular"/>
    <x v="4"/>
    <x v="3"/>
    <x v="8"/>
    <x v="8"/>
    <x v="1"/>
    <x v="1"/>
    <x v="1"/>
    <x v="11"/>
    <n v="0"/>
    <n v="0"/>
    <n v="371.30099999999999"/>
    <n v="371.30099999999999"/>
    <n v="371.30099999999999"/>
    <n v="371.30099999999999"/>
    <n v="24"/>
    <x v="1"/>
    <n v="0"/>
    <n v="0"/>
    <n v="49"/>
    <n v="89"/>
    <n v="0"/>
    <n v="223.59"/>
    <n v="109.47"/>
    <m/>
    <n v="245.31248945535623"/>
    <n v="113.03781427108197"/>
    <n v="0"/>
    <n v="83019.190589999998"/>
    <n v="40646.320469999999"/>
    <n v="0"/>
    <n v="91084.77264726322"/>
    <n v="41971.053476667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38623-62EC-4567-80A0-D715B30142BC}" name="Efeito Resumo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661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2"/>
        <item x="3"/>
        <item x="0"/>
        <item x="1"/>
        <item t="default"/>
      </items>
    </pivotField>
    <pivotField axis="axisRow" showAll="0">
      <items count="10">
        <item x="1"/>
        <item x="7"/>
        <item x="8"/>
        <item x="2"/>
        <item x="0"/>
        <item x="3"/>
        <item x="5"/>
        <item x="4"/>
        <item x="6"/>
        <item t="default"/>
      </items>
    </pivotField>
    <pivotField axis="axisRow" showAll="0">
      <items count="10">
        <item x="6"/>
        <item x="7"/>
        <item x="8"/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2"/>
        <item x="3"/>
        <item x="4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1"/>
        <item x="2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660">
    <i>
      <x/>
    </i>
    <i r="1">
      <x/>
    </i>
    <i r="2">
      <x v="3"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6"/>
    </i>
    <i r="4">
      <x v="4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1"/>
    </i>
    <i r="3">
      <x v="6"/>
    </i>
    <i r="4">
      <x v="4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7"/>
    </i>
    <i r="4">
      <x v="3"/>
    </i>
    <i r="5">
      <x v="4"/>
    </i>
    <i r="6">
      <x v="1"/>
    </i>
    <i r="7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1"/>
    </i>
    <i r="3">
      <x v="7"/>
    </i>
    <i r="4">
      <x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4"/>
    </i>
    <i r="6">
      <x v="1"/>
    </i>
    <i r="7">
      <x v="3"/>
    </i>
    <i r="8">
      <x v="6"/>
    </i>
    <i r="3">
      <x v="5"/>
    </i>
    <i r="4">
      <x v="3"/>
    </i>
    <i r="5">
      <x v="4"/>
    </i>
    <i r="6">
      <x v="1"/>
    </i>
    <i r="7">
      <x/>
    </i>
    <i r="8">
      <x v="9"/>
    </i>
    <i r="8">
      <x v="10"/>
    </i>
    <i r="8">
      <x v="11"/>
    </i>
    <i r="7">
      <x v="1"/>
    </i>
    <i r="8">
      <x v="9"/>
    </i>
    <i r="8">
      <x v="10"/>
    </i>
    <i r="8">
      <x v="11"/>
    </i>
    <i r="7">
      <x v="3"/>
    </i>
    <i r="8">
      <x v="6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"/>
    </i>
    <i r="7">
      <x v="3"/>
    </i>
    <i r="8">
      <x v="6"/>
    </i>
    <i r="2">
      <x v="1"/>
    </i>
    <i r="3">
      <x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2"/>
    </i>
    <i r="4">
      <x v="2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3"/>
    </i>
    <i r="4">
      <x v="3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2"/>
    </i>
    <i r="3">
      <x v="4"/>
    </i>
    <i r="4">
      <x v="3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40">
    <format dxfId="353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353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53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353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3534">
      <pivotArea type="all" dataOnly="0" outline="0" fieldPosition="0"/>
    </format>
    <format dxfId="3533">
      <pivotArea outline="0" collapsedLevelsAreSubtotals="1" fieldPosition="0"/>
    </format>
    <format dxfId="3532">
      <pivotArea field="16" type="button" dataOnly="0" labelOnly="1" outline="0" axis="axisRow" fieldPosition="0"/>
    </format>
    <format dxfId="3531">
      <pivotArea dataOnly="0" labelOnly="1" fieldPosition="0">
        <references count="1">
          <reference field="16" count="0"/>
        </references>
      </pivotArea>
    </format>
    <format dxfId="3530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3529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3528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352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352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3525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3524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3523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352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3521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2"/>
          </reference>
        </references>
      </pivotArea>
    </format>
    <format dxfId="352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351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351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3517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351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3515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351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351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351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3511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351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50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50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50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50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3505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3504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50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3502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501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500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499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349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49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49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49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49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349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49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3491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349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8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347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7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6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5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4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7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6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6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46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346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346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6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6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6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6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6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1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50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9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2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44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3440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343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4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43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43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43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43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3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3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3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3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2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42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2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2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2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424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3423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422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342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2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1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1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1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1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41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341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341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1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1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0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0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40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40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40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39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39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9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9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95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9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9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339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339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339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8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338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8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38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38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38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338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338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338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6"/>
            <x v="9"/>
            <x v="10"/>
            <x v="11"/>
          </reference>
          <reference field="16" count="1" selected="0">
            <x v="0"/>
          </reference>
        </references>
      </pivotArea>
    </format>
    <format dxfId="3380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337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3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37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37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37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36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36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36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366">
      <pivotArea type="all" dataOnly="0" outline="0" fieldPosition="0"/>
    </format>
    <format dxfId="3365">
      <pivotArea outline="0" collapsedLevelsAreSubtotals="1" fieldPosition="0"/>
    </format>
    <format dxfId="3364">
      <pivotArea field="16" type="button" dataOnly="0" labelOnly="1" outline="0" axis="axisRow" fieldPosition="0"/>
    </format>
    <format dxfId="3363">
      <pivotArea dataOnly="0" labelOnly="1" fieldPosition="0">
        <references count="1">
          <reference field="16" count="0"/>
        </references>
      </pivotArea>
    </format>
    <format dxfId="3362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3361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3360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335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335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3357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3356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3355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335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3353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2"/>
          </reference>
        </references>
      </pivotArea>
    </format>
    <format dxfId="335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335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335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334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334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3347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334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3345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334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334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334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4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4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3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3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3337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333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3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333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3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32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31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333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2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2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27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332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332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332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332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332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2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2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1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331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9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8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7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6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30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329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3298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329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9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9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9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9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9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9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9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3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2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1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80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7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7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77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7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7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7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327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327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327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27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26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26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326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26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6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6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6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6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6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26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5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5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57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256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325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3254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325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5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5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5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4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4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324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3246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324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24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4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24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24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4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23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23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3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23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23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3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23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23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23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23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2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2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2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2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2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322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322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322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2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322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1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21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21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21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321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321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321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6"/>
            <x v="9"/>
            <x v="10"/>
            <x v="11"/>
          </reference>
          <reference field="16" count="1" selected="0">
            <x v="0"/>
          </reference>
        </references>
      </pivotArea>
    </format>
    <format dxfId="321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321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0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0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0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0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2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20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20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20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20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20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19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C3CFF-A9AE-4852-9A42-4FED96426BE8}" name="Subsidio Resumo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G335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3"/>
        <item x="2"/>
        <item x="0"/>
        <item x="1"/>
        <item t="default"/>
      </items>
    </pivotField>
    <pivotField axis="axisRow" showAll="0">
      <items count="6">
        <item x="1"/>
        <item x="0"/>
        <item x="3"/>
        <item x="2"/>
        <item x="4"/>
        <item t="default"/>
      </items>
    </pivotField>
    <pivotField axis="axisRow" showAll="0">
      <items count="9">
        <item x="6"/>
        <item x="7"/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3"/>
        <item x="4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6"/>
        <item x="4"/>
        <item x="1"/>
        <item x="0"/>
        <item x="5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34">
    <i>
      <x/>
    </i>
    <i r="1">
      <x v="3"/>
    </i>
    <i r="2">
      <x/>
    </i>
    <i r="3">
      <x v="4"/>
    </i>
    <i r="4">
      <x v="1"/>
    </i>
    <i r="5">
      <x v="4"/>
    </i>
    <i r="6">
      <x v="1"/>
    </i>
    <i r="7">
      <x v="3"/>
    </i>
    <i r="8">
      <x v="6"/>
    </i>
    <i r="2">
      <x v="1"/>
    </i>
    <i r="3">
      <x v="4"/>
    </i>
    <i r="4">
      <x v="1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1"/>
    </i>
    <i r="3">
      <x v="2"/>
    </i>
    <i r="4">
      <x v="4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3"/>
    </i>
    <i r="3">
      <x/>
    </i>
    <i r="4">
      <x v="2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2"/>
    </i>
    <i r="3">
      <x v="1"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 v="1"/>
    </i>
    <i r="3">
      <x v="3"/>
    </i>
    <i r="4">
      <x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>
      <x v="5"/>
    </i>
    <i r="1">
      <x/>
    </i>
    <i r="2">
      <x v="3"/>
    </i>
    <i r="3">
      <x v="3"/>
    </i>
    <i r="4">
      <x v="2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3"/>
    </i>
    <i r="4">
      <x v="2"/>
    </i>
    <i r="5">
      <x v="4"/>
    </i>
    <i r="6">
      <x v="1"/>
    </i>
    <i r="7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1"/>
    </i>
    <i r="3">
      <x v="3"/>
    </i>
    <i r="4">
      <x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1"/>
    </i>
    <i r="2">
      <x v="1"/>
    </i>
    <i r="3">
      <x v="2"/>
    </i>
    <i r="4">
      <x v="3"/>
    </i>
    <i r="5">
      <x v="4"/>
    </i>
    <i r="6">
      <x v="1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10">
    <format dxfId="3198">
      <pivotArea outline="0" collapsedLevelsAreSubtotals="1" fieldPosition="0"/>
    </format>
    <format dxfId="319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196">
      <pivotArea type="all" dataOnly="0" outline="0" fieldPosition="0"/>
    </format>
    <format dxfId="3195">
      <pivotArea outline="0" collapsedLevelsAreSubtotals="1" fieldPosition="0"/>
    </format>
    <format dxfId="3194">
      <pivotArea field="31" type="button" dataOnly="0" labelOnly="1" outline="0" axis="axisRow" fieldPosition="0"/>
    </format>
    <format dxfId="3193">
      <pivotArea dataOnly="0" labelOnly="1" fieldPosition="0">
        <references count="1">
          <reference field="31" count="0"/>
        </references>
      </pivotArea>
    </format>
    <format dxfId="3192">
      <pivotArea dataOnly="0" labelOnly="1" fieldPosition="0">
        <references count="2">
          <reference field="1" count="1">
            <x v="3"/>
          </reference>
          <reference field="31" count="1" selected="0">
            <x v="0"/>
          </reference>
        </references>
      </pivotArea>
    </format>
    <format dxfId="3191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190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189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188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318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3186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3185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31" count="1" selected="0">
            <x v="0"/>
          </reference>
        </references>
      </pivotArea>
    </format>
    <format dxfId="318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18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3182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181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18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3179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31" count="1" selected="0">
            <x v="5"/>
          </reference>
        </references>
      </pivotArea>
    </format>
    <format dxfId="3178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177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176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175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17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173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17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17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70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6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6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167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6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165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16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163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16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16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16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15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158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157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315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315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15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15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15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15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315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314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4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147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14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5"/>
          </reference>
        </references>
      </pivotArea>
    </format>
    <format dxfId="314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14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31" count="1" selected="0">
            <x v="6"/>
          </reference>
        </references>
      </pivotArea>
    </format>
    <format dxfId="3143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14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14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14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13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13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13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313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313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13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3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3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3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13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3129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31" count="1" selected="0">
            <x v="0"/>
          </reference>
        </references>
      </pivotArea>
    </format>
    <format dxfId="312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312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2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2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2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12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12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312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312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11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11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11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11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311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31" count="1" selected="0">
            <x v="0"/>
          </reference>
        </references>
      </pivotArea>
    </format>
    <format dxfId="311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11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11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11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11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1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1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1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10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3105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104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310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4"/>
          </reference>
        </references>
      </pivotArea>
    </format>
    <format dxfId="310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10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1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09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09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09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09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09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09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093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092">
      <pivotArea type="all" dataOnly="0" outline="0" fieldPosition="0"/>
    </format>
    <format dxfId="3091">
      <pivotArea outline="0" collapsedLevelsAreSubtotals="1" fieldPosition="0"/>
    </format>
    <format dxfId="3090">
      <pivotArea field="31" type="button" dataOnly="0" labelOnly="1" outline="0" axis="axisRow" fieldPosition="0"/>
    </format>
    <format dxfId="3089">
      <pivotArea dataOnly="0" labelOnly="1" fieldPosition="0">
        <references count="1">
          <reference field="31" count="0"/>
        </references>
      </pivotArea>
    </format>
    <format dxfId="3088">
      <pivotArea dataOnly="0" labelOnly="1" fieldPosition="0">
        <references count="2">
          <reference field="1" count="1">
            <x v="3"/>
          </reference>
          <reference field="31" count="1" selected="0">
            <x v="0"/>
          </reference>
        </references>
      </pivotArea>
    </format>
    <format dxfId="3087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086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085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084">
      <pivotArea dataOnly="0" labelOnly="1" fieldPosition="0">
        <references count="2">
          <reference field="1" count="1">
            <x v="2"/>
          </reference>
          <reference field="31" count="1" selected="0">
            <x v="4"/>
          </reference>
        </references>
      </pivotArea>
    </format>
    <format dxfId="3083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5"/>
          </reference>
        </references>
      </pivotArea>
    </format>
    <format dxfId="3082">
      <pivotArea dataOnly="0" labelOnly="1" fieldPosition="0">
        <references count="2">
          <reference field="1" count="1">
            <x v="1"/>
          </reference>
          <reference field="31" count="1" selected="0">
            <x v="6"/>
          </reference>
        </references>
      </pivotArea>
    </format>
    <format dxfId="3081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31" count="1" selected="0">
            <x v="0"/>
          </reference>
        </references>
      </pivotArea>
    </format>
    <format dxfId="3080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1"/>
          </reference>
        </references>
      </pivotArea>
    </format>
    <format dxfId="307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3078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077">
      <pivotArea dataOnly="0" labelOnly="1" fieldPosition="0">
        <references count="3">
          <reference field="1" count="1" selected="0">
            <x v="2"/>
          </reference>
          <reference field="2" count="1">
            <x v="1"/>
          </reference>
          <reference field="31" count="1" selected="0">
            <x v="4"/>
          </reference>
        </references>
      </pivotArea>
    </format>
    <format dxfId="307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5"/>
          </reference>
        </references>
      </pivotArea>
    </format>
    <format dxfId="3075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31" count="1" selected="0">
            <x v="5"/>
          </reference>
        </references>
      </pivotArea>
    </format>
    <format dxfId="3074">
      <pivotArea dataOnly="0" labelOnly="1" fieldPosition="0">
        <references count="3">
          <reference field="1" count="1" selected="0">
            <x v="1"/>
          </reference>
          <reference field="2" count="1">
            <x v="1"/>
          </reference>
          <reference field="31" count="1" selected="0">
            <x v="6"/>
          </reference>
        </references>
      </pivotArea>
    </format>
    <format dxfId="3073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07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071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07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069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068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067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066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065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064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06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06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06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06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059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05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305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05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05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3054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305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305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305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05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049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048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304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3046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304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04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04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042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5"/>
          </reference>
        </references>
      </pivotArea>
    </format>
    <format dxfId="304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3040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31" count="1" selected="0">
            <x v="6"/>
          </reference>
        </references>
      </pivotArea>
    </format>
    <format dxfId="3039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03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0"/>
          </reference>
        </references>
      </pivotArea>
    </format>
    <format dxfId="303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03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035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034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1"/>
          </reference>
        </references>
      </pivotArea>
    </format>
    <format dxfId="303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1"/>
          </reference>
          <reference field="31" count="1" selected="0">
            <x v="2"/>
          </reference>
        </references>
      </pivotArea>
    </format>
    <format dxfId="3032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3"/>
          </reference>
        </references>
      </pivotArea>
    </format>
    <format dxfId="303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4"/>
          </reference>
        </references>
      </pivotArea>
    </format>
    <format dxfId="303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02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02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02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5"/>
          </reference>
        </references>
      </pivotArea>
    </format>
    <format dxfId="302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31" count="1" selected="0">
            <x v="6"/>
          </reference>
        </references>
      </pivotArea>
    </format>
    <format dxfId="302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31" count="1" selected="0">
            <x v="0"/>
          </reference>
        </references>
      </pivotArea>
    </format>
    <format dxfId="3024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302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02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021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020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01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018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301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301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01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01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01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01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301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31" count="1" selected="0">
            <x v="0"/>
          </reference>
        </references>
      </pivotArea>
    </format>
    <format dxfId="30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00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0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0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06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0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00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00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002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3001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00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299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1" count="1" selected="0">
            <x v="4"/>
          </reference>
        </references>
      </pivotArea>
    </format>
    <format dxfId="29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29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9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299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99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99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299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99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99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298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084B45-4920-492C-BE76-16E5B6F2ED73}" name="Efeito Resumo" cacheId="22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A1:J15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sd="0" x="2"/>
        <item sd="0" x="3"/>
        <item sd="0" x="0"/>
        <item sd="0" x="1"/>
        <item t="default"/>
      </items>
    </pivotField>
    <pivotField axis="axisRow" showAll="0">
      <items count="10">
        <item x="1"/>
        <item x="7"/>
        <item x="8"/>
        <item x="2"/>
        <item x="0"/>
        <item x="3"/>
        <item x="5"/>
        <item x="4"/>
        <item x="6"/>
        <item t="default"/>
      </items>
    </pivotField>
    <pivotField axis="axisRow" showAll="0">
      <items count="10">
        <item x="6"/>
        <item x="7"/>
        <item x="8"/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2"/>
        <item x="3"/>
        <item x="4"/>
        <item x="1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1"/>
        <item x="2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"/>
    <field x="2"/>
    <field x="3"/>
    <field x="4"/>
    <field x="5"/>
    <field x="16"/>
    <field x="6"/>
    <field x="7"/>
    <field x="8"/>
  </rowFields>
  <rowItems count="14">
    <i>
      <x/>
    </i>
    <i r="1">
      <x v="2"/>
    </i>
    <i r="1">
      <x v="3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 v="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340">
    <format dxfId="2380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238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382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383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2384">
      <pivotArea type="all" dataOnly="0" outline="0" fieldPosition="0"/>
    </format>
    <format dxfId="2385">
      <pivotArea outline="0" collapsedLevelsAreSubtotals="1" fieldPosition="0"/>
    </format>
    <format dxfId="2386">
      <pivotArea field="16" type="button" dataOnly="0" labelOnly="1" outline="0" axis="axisRow" fieldPosition="5"/>
    </format>
    <format dxfId="2387">
      <pivotArea dataOnly="0" labelOnly="1" fieldPosition="0">
        <references count="1">
          <reference field="16" count="0"/>
        </references>
      </pivotArea>
    </format>
    <format dxfId="2388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2389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2390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239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239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2393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2394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2395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239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2397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2"/>
          </reference>
        </references>
      </pivotArea>
    </format>
    <format dxfId="239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239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2400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2401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240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2403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240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2405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240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2407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240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0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1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1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1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2413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2414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1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2416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17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18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19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242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2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2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2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42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2425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242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2427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242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2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6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8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39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244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2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4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49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5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45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2452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245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5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5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5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5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5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5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1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2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5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69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0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5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47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2478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247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48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48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48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48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48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8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8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87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8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8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49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91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9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93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494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2495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496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249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9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49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500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50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50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50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2504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250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0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0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0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0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1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1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1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1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1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1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251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2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2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2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2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2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2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52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52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52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2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253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3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53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253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53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253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253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253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6"/>
            <x v="9"/>
            <x v="10"/>
            <x v="11"/>
          </reference>
          <reference field="16" count="1" selected="0">
            <x v="0"/>
          </reference>
        </references>
      </pivotArea>
    </format>
    <format dxfId="253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253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4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4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4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4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4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54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254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254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254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2549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2550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255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552">
      <pivotArea type="all" dataOnly="0" outline="0" fieldPosition="0"/>
    </format>
    <format dxfId="2553">
      <pivotArea outline="0" collapsedLevelsAreSubtotals="1" fieldPosition="0"/>
    </format>
    <format dxfId="2554">
      <pivotArea field="16" type="button" dataOnly="0" labelOnly="1" outline="0" axis="axisRow" fieldPosition="5"/>
    </format>
    <format dxfId="2555">
      <pivotArea dataOnly="0" labelOnly="1" fieldPosition="0">
        <references count="1">
          <reference field="16" count="0"/>
        </references>
      </pivotArea>
    </format>
    <format dxfId="2556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2557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2558">
      <pivotArea dataOnly="0" labelOnly="1" fieldPosition="0">
        <references count="2">
          <reference field="1" count="1">
            <x v="0"/>
          </reference>
          <reference field="16" count="1" selected="0">
            <x v="2"/>
          </reference>
        </references>
      </pivotArea>
    </format>
    <format dxfId="255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0"/>
          </reference>
        </references>
      </pivotArea>
    </format>
    <format dxfId="256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2561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2562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1"/>
          </reference>
          <reference field="16" count="1" selected="0">
            <x v="0"/>
          </reference>
        </references>
      </pivotArea>
    </format>
    <format dxfId="2563">
      <pivotArea dataOnly="0" labelOnly="1" fieldPosition="0">
        <references count="3">
          <reference field="1" count="1" selected="0">
            <x v="4"/>
          </reference>
          <reference field="2" count="1">
            <x v="1"/>
          </reference>
          <reference field="16" count="1" selected="0">
            <x v="0"/>
          </reference>
        </references>
      </pivotArea>
    </format>
    <format dxfId="256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2565">
      <pivotArea dataOnly="0" labelOnly="1" fieldPosition="0">
        <references count="3">
          <reference field="1" count="1" selected="0">
            <x v="0"/>
          </reference>
          <reference field="2" count="1">
            <x v="2"/>
          </reference>
          <reference field="16" count="1" selected="0">
            <x v="2"/>
          </reference>
        </references>
      </pivotArea>
    </format>
    <format dxfId="256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4">
            <x v="0"/>
            <x v="3"/>
            <x v="5"/>
            <x v="7"/>
          </reference>
          <reference field="16" count="1" selected="0">
            <x v="0"/>
          </reference>
        </references>
      </pivotArea>
    </format>
    <format dxfId="256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256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256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2570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2571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2572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257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257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16" count="1" selected="0">
            <x v="1"/>
          </reference>
        </references>
      </pivotArea>
    </format>
    <format dxfId="2575">
      <pivotArea dataOnly="0" labelOnly="1" fieldPosition="0">
        <references count="4">
          <reference field="1" count="1" selected="0">
            <x v="0"/>
          </reference>
          <reference field="2" count="1" selected="0">
            <x v="2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257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7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7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7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8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2581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2582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8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258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85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86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87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2588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8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9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9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2592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259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259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2595">
      <pivotArea dataOnly="0" labelOnly="1" fieldPosition="0">
        <references count="5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259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59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59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59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1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3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4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5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260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09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0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2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261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1"/>
          </reference>
        </references>
      </pivotArea>
    </format>
    <format dxfId="2620">
      <pivotArea dataOnly="0" labelOnly="1" fieldPosition="0">
        <references count="6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262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6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7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29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0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4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5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6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39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4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4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4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4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4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264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2646">
      <pivotArea dataOnly="0" labelOnly="1" fieldPosition="0">
        <references count="7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0"/>
          </reference>
          <reference field="16" count="1" selected="0">
            <x v="2"/>
          </reference>
        </references>
      </pivotArea>
    </format>
    <format dxfId="264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64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64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65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265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652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5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54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55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56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5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65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59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60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61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662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2663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2664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3"/>
          </reference>
          <reference field="16" count="1" selected="0">
            <x v="0"/>
          </reference>
        </references>
      </pivotArea>
    </format>
    <format dxfId="2665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6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6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6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69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7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267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2672">
      <pivotArea dataOnly="0" labelOnly="1" fieldPosition="0">
        <references count="8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267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7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7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7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7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8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8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68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268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68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8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90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91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9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9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69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69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0"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269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9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16" count="1" selected="0">
            <x v="0"/>
          </reference>
        </references>
      </pivotArea>
    </format>
    <format dxfId="269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69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2700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270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270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270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270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3">
            <x v="9"/>
            <x v="10"/>
            <x v="11"/>
          </reference>
          <reference field="16" count="1" selected="0">
            <x v="0"/>
          </reference>
        </references>
      </pivotArea>
    </format>
    <format dxfId="270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6"/>
            <x v="9"/>
            <x v="10"/>
            <x v="11"/>
          </reference>
          <reference field="16" count="1" selected="0">
            <x v="0"/>
          </reference>
        </references>
      </pivotArea>
    </format>
    <format dxfId="270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">
            <x v="6"/>
          </reference>
          <reference field="16" count="1" selected="0">
            <x v="0"/>
          </reference>
        </references>
      </pivotArea>
    </format>
    <format dxfId="270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70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70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7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71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71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271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271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271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2716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2717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2718">
      <pivotArea dataOnly="0" labelOnly="1" fieldPosition="0">
        <references count="9">
          <reference field="1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2719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F042504-2CD7-493B-9742-422084FD2BC5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44F5798A-8641-467E-BD31-FB1842AB5E18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6532BBA-F339-44A6-970F-5F9366F82FBA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699731-D258-41DF-A2C4-62D81596B558}" name="Efeito" displayName="Efeito" ref="A1:AG667" totalsRowShown="0" headerRowDxfId="3607" dataDxfId="3606">
  <autoFilter ref="A1:AG667" xr:uid="{94699731-D258-41DF-A2C4-62D81596B558}"/>
  <tableColumns count="33">
    <tableColumn id="1" xr3:uid="{BAC47B46-4A56-4EA9-8934-DF1EFA40E050}" name="TipoMercado" dataDxfId="3605"/>
    <tableColumn id="2" xr3:uid="{29685E4C-ACD0-4269-81C7-5B07BFD1B4A1}" name="Subgrupo" dataDxfId="3604"/>
    <tableColumn id="3" xr3:uid="{4A96200E-9C23-4712-A884-9210A3B27AF8}" name="Modalidade" dataDxfId="3603"/>
    <tableColumn id="4" xr3:uid="{67FCDE25-500C-49FD-B24E-9964E505D932}" name="Classe" dataDxfId="3602"/>
    <tableColumn id="5" xr3:uid="{F55A7678-042A-4FEB-B591-EC50CF4598F5}" name="Subclasse" dataDxfId="3601"/>
    <tableColumn id="6" xr3:uid="{26CF9A2C-591A-4943-A152-E6692EFCE36A}" name="Detalhe" dataDxfId="3600"/>
    <tableColumn id="7" xr3:uid="{3F80C498-35C8-4A09-AC98-76AEEBCB1A81}" name="Agente" dataDxfId="3599"/>
    <tableColumn id="8" xr3:uid="{FB6A11CC-3C20-4D6C-BEA5-176E3FDBC6AD}" name="Posto" dataDxfId="3598"/>
    <tableColumn id="9" xr3:uid="{5EF9B52B-330F-43DB-897C-91B9042660B9}" name="AnoMes" dataDxfId="3597"/>
    <tableColumn id="10" xr3:uid="{D54D2BDA-58DB-489D-83A5-79038F0D2BF3}" name="D" dataDxfId="3596"/>
    <tableColumn id="11" xr3:uid="{4524BDBB-394F-468B-93A6-D88B3DC8B792}" name="Daj" dataDxfId="3595"/>
    <tableColumn id="12" xr3:uid="{4AE97D22-428F-4B6D-BBAA-2D394E9B3AF0}" name="TUSD_E" dataDxfId="3594"/>
    <tableColumn id="13" xr3:uid="{F5FD059C-8906-46A0-97ED-851980EBE6A6}" name="TUSD_Eaj" dataDxfId="3593"/>
    <tableColumn id="14" xr3:uid="{F1AB0018-CA09-455B-8975-790E7E743BC0}" name="TE_E" dataDxfId="3592"/>
    <tableColumn id="15" xr3:uid="{3494B2A3-11FA-4444-8EC8-121FB2CBA02C}" name="TE_Eaj" dataDxfId="3591"/>
    <tableColumn id="16" xr3:uid="{67B8C60C-30A4-4830-93C8-ABE0A28457D8}" name="UC" dataDxfId="3590"/>
    <tableColumn id="17" xr3:uid="{AD4CFB31-CC0B-4191-8D31-140A70568FD9}" name="OPÇÃO" dataDxfId="3589"/>
    <tableColumn id="18" xr3:uid="{124AF04D-E802-4858-BB00-9B51E6B820A1}" name="CóD. AUX." dataDxfId="3588"/>
    <tableColumn id="19" xr3:uid="{1656FB36-5345-418F-B308-47E71707A97A}" name="CóD. AUX. TUSD R$/kW" dataDxfId="3587"/>
    <tableColumn id="20" xr3:uid="{1A20B6F1-E37C-431A-A37C-A8DDD34A6BF9}" name="CóD. AUX. TUSD R$/MWh" dataDxfId="3586"/>
    <tableColumn id="21" xr3:uid="{AF890719-E3AD-4E67-9820-9955533A18FE}" name="CóD. AUX. TE R$/MWh" dataDxfId="3585"/>
    <tableColumn id="22" xr3:uid="{33B4E4F1-417F-4169-ACB6-033982367266}" name="TUSD (R$/kW)" dataDxfId="3584"/>
    <tableColumn id="23" xr3:uid="{E27C5A6E-FAD5-458F-99C7-B41F78CB21BE}" name="TUSD (R$/MWh)" dataDxfId="3583"/>
    <tableColumn id="24" xr3:uid="{2975E9BB-C62C-4021-9A54-8E4EE34FDFA9}" name="TE (R$/MWh)" dataDxfId="3582"/>
    <tableColumn id="25" xr3:uid="{9D8F1452-ABC5-4C35-BF94-A13F108785B6}" name="TUSD (R$/kW) NOVA" dataDxfId="3581"/>
    <tableColumn id="26" xr3:uid="{7AAB6DEF-FDB3-4A19-B5F5-66BB1D0EC4E3}" name="TUSD (R$/MWh) NOVA" dataDxfId="3580">
      <calculatedColumnFormula>('TUSD BE'!$AM$53+'TUSD BF'!$AM$53+'TUSD CVA'!$AM$53)*1</calculatedColumnFormula>
    </tableColumn>
    <tableColumn id="27" xr3:uid="{9CB08C33-8E75-4C8D-9C67-287CE6209C67}" name="TE (R$/MWh) NOVA" dataDxfId="3579">
      <calculatedColumnFormula>('TE BE'!$AB$44+'TE BF'!$AB$44+'TE CVA'!$AB$44)*1</calculatedColumnFormula>
    </tableColumn>
    <tableColumn id="28" xr3:uid="{8F1CC0F6-1DF5-441E-9D84-42C22B03CE9C}" name="RA0 ou RV - TUSD (kW)" dataDxfId="3578"/>
    <tableColumn id="29" xr3:uid="{B8B37638-9BE8-4714-BD5A-27B64CC66BDF}" name="RA0 ou RV - TUSD (MWh)" dataDxfId="3577"/>
    <tableColumn id="30" xr3:uid="{5D14D5CD-205D-4FAF-B3A0-08F046B58620}" name="RA0 ou RV - TE (MWh)" dataDxfId="3576"/>
    <tableColumn id="31" xr3:uid="{CF44C5CF-3DDB-49D4-A390-4B4E682F7A1E}" name="RA1 ou RRD - TUSD (kW)" dataDxfId="3575"/>
    <tableColumn id="32" xr3:uid="{C8909953-1583-4826-ACF0-9B673E51EDFE}" name="RA1 ou RRD - TUSD (MWh)" dataDxfId="3574"/>
    <tableColumn id="33" xr3:uid="{688AD07F-EE39-4B12-9A88-8B2349ED6FB0}" name="RA1 ou RRD - TE (MWh)" dataDxfId="357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9E280A-4298-4181-8057-2B2809CFE774}" name="Subsidio" displayName="Subsidio" ref="A1:AF303" totalsRowShown="0" headerRowDxfId="3572" dataDxfId="3571">
  <autoFilter ref="A1:AF303" xr:uid="{1D9E280A-4298-4181-8057-2B2809CFE774}"/>
  <tableColumns count="32">
    <tableColumn id="1" xr3:uid="{98B2964F-FC47-4E26-8733-ECF41FA9D13B}" name="TipoMercado" dataDxfId="3570"/>
    <tableColumn id="2" xr3:uid="{986FE9DC-DEE8-49DB-B73F-496A341A6951}" name="Subgrupo" dataDxfId="3569"/>
    <tableColumn id="3" xr3:uid="{837719B2-7191-4E16-A62C-3C92ADD32E9A}" name="Modalidade" dataDxfId="3568"/>
    <tableColumn id="4" xr3:uid="{97EA8D88-E030-4FDF-A8D5-0553C8702A4D}" name="Classe" dataDxfId="3567"/>
    <tableColumn id="5" xr3:uid="{B89170F1-A5C0-46F0-9C87-C73AB155DFC5}" name="Subclasse" dataDxfId="3566"/>
    <tableColumn id="6" xr3:uid="{0E3484F9-6B99-4379-8B84-3950E74BAD35}" name="Detalhe" dataDxfId="3565"/>
    <tableColumn id="7" xr3:uid="{3429B73A-65B9-47E0-92A8-F5CD08D0585E}" name="Agente" dataDxfId="3564"/>
    <tableColumn id="8" xr3:uid="{0D51B173-8DA2-4E09-B8CD-819A307BF9B7}" name="Posto" dataDxfId="3563"/>
    <tableColumn id="9" xr3:uid="{1FD36BAE-0E3D-4073-B873-BD090D82042A}" name="AnoMes" dataDxfId="3562"/>
    <tableColumn id="10" xr3:uid="{557DC63B-067A-4512-9EAF-849F2A4E8298}" name="D" dataDxfId="3561"/>
    <tableColumn id="11" xr3:uid="{C84FF623-DDD2-4B8D-BFA0-A81F4D018030}" name="Daj" dataDxfId="3560"/>
    <tableColumn id="12" xr3:uid="{7621B3A0-C86E-489F-A0FB-00E2F283697F}" name="TUSD_E" dataDxfId="3559"/>
    <tableColumn id="13" xr3:uid="{2D564DC2-48B2-4A74-A4F1-479D9DD9BB33}" name="TUSD_Eaj" dataDxfId="3558"/>
    <tableColumn id="14" xr3:uid="{37D5979E-9D9A-4845-9988-ED27EBC2FC7E}" name="TE_E" dataDxfId="3557"/>
    <tableColumn id="15" xr3:uid="{B3C212C6-B7BF-40A1-A21E-9D2060CDCCB9}" name="TE_Eaj" dataDxfId="3556"/>
    <tableColumn id="16" xr3:uid="{74593D03-7492-49B9-A221-CCA42EF53B14}" name="UC" dataDxfId="3555"/>
    <tableColumn id="17" xr3:uid="{06CB5036-2A5D-4359-A627-6B6800564407}" name="OPÇÃO" dataDxfId="3554"/>
    <tableColumn id="18" xr3:uid="{8318CA91-9BBE-4D26-8C53-D425994D5181}" name="CóD. AUX." dataDxfId="3553"/>
    <tableColumn id="19" xr3:uid="{4B0EC33A-E247-40EE-93C3-A8FF89A1DD35}" name="CóD. AUX. TUSD R$/kW" dataDxfId="3552"/>
    <tableColumn id="20" xr3:uid="{E85666F9-4480-4A88-8B46-8A6A3C9CD05B}" name="CóD. AUX. TUSD R$/MWh" dataDxfId="3551"/>
    <tableColumn id="21" xr3:uid="{279BCF9A-F2C5-4B49-A4AD-0DE9875CBE98}" name="CóD. AUX. TE R$/MWh" dataDxfId="3550"/>
    <tableColumn id="22" xr3:uid="{B5B0062D-37B6-4458-B371-F7CA058A508E}" name="TUSD (R$/kW)" dataDxfId="3549"/>
    <tableColumn id="23" xr3:uid="{58342B1A-82BA-4B8D-84F4-AD3FD536A17B}" name="TUSD (R$/MWh)" dataDxfId="3548"/>
    <tableColumn id="24" xr3:uid="{0E07B468-80D2-4047-87B6-DE99160FDA06}" name="TE (R$/MWh)" dataDxfId="3547"/>
    <tableColumn id="25" xr3:uid="{436BF0B6-9A20-44DF-8B14-362755D1DB3B}" name="TUSD (R$/kW) NOVA" dataDxfId="3546"/>
    <tableColumn id="26" xr3:uid="{F0F697F2-BAF2-4A12-83E8-1768E67DD380}" name="TUSD (R$/MWh) NOVA" dataDxfId="3545">
      <calculatedColumnFormula>('TUSD BE'!$AM$51+'TUSD BF'!$AM$51+'TUSD CVA'!$AM$51)*1</calculatedColumnFormula>
    </tableColumn>
    <tableColumn id="27" xr3:uid="{B435A99F-0167-4874-9615-8BFD8AD413C8}" name="TE (R$/MWh) NOVA" dataDxfId="3544">
      <calculatedColumnFormula>('TE BE'!$AB$42+'TE BF'!$AB$42+'TE CVA'!$AB$42)*1</calculatedColumnFormula>
    </tableColumn>
    <tableColumn id="28" xr3:uid="{E7665A9B-1D6C-4D8C-A04F-FF8063AA4351}" name="SUBSIDIO kW - TV" dataDxfId="3543">
      <calculatedColumnFormula>(J2-K2)*V2</calculatedColumnFormula>
    </tableColumn>
    <tableColumn id="29" xr3:uid="{1B1E0B67-3160-40ED-A5E2-AC73912149A6}" name="SUBSIDIO MWh - TV" dataDxfId="3542">
      <calculatedColumnFormula>(L2-M2)*W2+(N2-O2)*X2</calculatedColumnFormula>
    </tableColumn>
    <tableColumn id="30" xr3:uid="{DEA2E606-97CE-4658-92C5-9B90D49A12A9}" name="SUBSIDIO kW - TN" dataDxfId="3541">
      <calculatedColumnFormula>(J2-K2)*Y2</calculatedColumnFormula>
    </tableColumn>
    <tableColumn id="31" xr3:uid="{F8BADF06-2CA8-4DFD-9A78-345AE04FEDE8}" name="SUBSIDIO MWh - TN" dataDxfId="3540">
      <calculatedColumnFormula>(L2-M2)*Z2+(N2-O2)*AA2</calculatedColumnFormula>
    </tableColumn>
    <tableColumn id="32" xr3:uid="{F148E70F-FFDD-491C-8E57-B6EB2933DDDA}" name="TIPO" dataDxfId="35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91B2B2-3CD1-4E35-8759-46AD6C5342CB}" name="Efeito4" displayName="Efeito4" ref="A1:AG667" totalsRowShown="0" headerRowDxfId="2898" dataDxfId="2897">
  <autoFilter ref="A1:AG667" xr:uid="{94699731-D258-41DF-A2C4-62D81596B558}"/>
  <tableColumns count="33">
    <tableColumn id="1" xr3:uid="{A3F0FC36-AF68-441E-A176-69166B4830A0}" name="TipoMercado" dataDxfId="2896"/>
    <tableColumn id="2" xr3:uid="{C73916AC-7EDD-4223-AEE2-46B56AB06FD0}" name="Subgrupo" dataDxfId="2895"/>
    <tableColumn id="3" xr3:uid="{D34A5C59-984C-41FA-8837-BB909E74BCD5}" name="Modalidade" dataDxfId="2894"/>
    <tableColumn id="4" xr3:uid="{D4271844-88ED-439B-AE6C-511A2F2EA5AC}" name="Classe" dataDxfId="2893"/>
    <tableColumn id="5" xr3:uid="{F93A830C-BE61-4723-AA0A-06A58B712569}" name="Subclasse" dataDxfId="2892"/>
    <tableColumn id="6" xr3:uid="{AD5FD068-4CAE-472A-8548-77FF59B171EB}" name="Detalhe" dataDxfId="2891"/>
    <tableColumn id="7" xr3:uid="{1A13A156-A452-49A7-A03C-B28130D8DDBF}" name="Agente" dataDxfId="2890"/>
    <tableColumn id="8" xr3:uid="{B41232F1-1F16-4B03-8F24-357362415902}" name="Posto" dataDxfId="2889"/>
    <tableColumn id="9" xr3:uid="{8CA23BD8-1C1C-44B8-B000-76B8E71496AD}" name="AnoMes" dataDxfId="2888"/>
    <tableColumn id="10" xr3:uid="{E48D6D86-3441-4688-9957-F68824B2E45B}" name="D" dataDxfId="2887"/>
    <tableColumn id="11" xr3:uid="{9C6CCAF8-070F-4D1B-91C8-C53023ECC5FC}" name="Daj" dataDxfId="2886"/>
    <tableColumn id="12" xr3:uid="{7E24EF78-53F7-43FF-BFE2-03A9F0EAA0D5}" name="TUSD_E" dataDxfId="2885"/>
    <tableColumn id="13" xr3:uid="{49463A97-0134-403A-A9E5-33F3071A07D3}" name="TUSD_Eaj" dataDxfId="2884"/>
    <tableColumn id="14" xr3:uid="{2830398F-F10B-4D79-A711-E308E2909782}" name="TE_E" dataDxfId="2883"/>
    <tableColumn id="15" xr3:uid="{7D7881EE-18F0-4BA7-94C4-7BD115C8A549}" name="TE_Eaj" dataDxfId="2882"/>
    <tableColumn id="16" xr3:uid="{E5D32468-D904-47D2-919B-BB3B3F2EDEE8}" name="UC" dataDxfId="2881"/>
    <tableColumn id="17" xr3:uid="{943AC0BE-7532-4541-9F32-A111440710F4}" name="OPÇÃO" dataDxfId="2880"/>
    <tableColumn id="18" xr3:uid="{5EB33960-98C7-4133-AF47-81C581CE0267}" name="CóD. AUX." dataDxfId="2879"/>
    <tableColumn id="19" xr3:uid="{EFDE13B7-0EC1-4AE9-AD9D-2A80B73CEAB0}" name="CóD. AUX. TUSD R$/kW" dataDxfId="2878"/>
    <tableColumn id="20" xr3:uid="{1A7BD64B-9061-4024-9C21-72112F259C44}" name="CóD. AUX. TUSD R$/MWh" dataDxfId="2877"/>
    <tableColumn id="21" xr3:uid="{1D911411-7620-4E27-BB68-F914ECA2117C}" name="CóD. AUX. TE R$/MWh" dataDxfId="2876"/>
    <tableColumn id="22" xr3:uid="{E8F04B94-FE5A-492A-8B4C-0BB5DE7182D8}" name="TUSD (R$/kW)" dataDxfId="2875"/>
    <tableColumn id="23" xr3:uid="{3DBE7817-5392-4E5A-8B95-4257028FA303}" name="TUSD (R$/MWh)" dataDxfId="2874"/>
    <tableColumn id="24" xr3:uid="{32A93CA4-F726-4CBB-9DB1-766C054B5671}" name="TE (R$/MWh)" dataDxfId="2873"/>
    <tableColumn id="25" xr3:uid="{E5AE7E92-950C-4F6F-991A-F2B732286366}" name="TUSD (R$/kW) NOVA" dataDxfId="2872"/>
    <tableColumn id="26" xr3:uid="{E6D79696-ED42-47E0-B0B0-4C70339B011B}" name="TUSD (R$/MWh) NOVA" dataDxfId="2871">
      <calculatedColumnFormula>('TUSD BE'!$AM$53+'TUSD BF'!$AM$53+'TUSD CVA'!$AM$53)*1</calculatedColumnFormula>
    </tableColumn>
    <tableColumn id="27" xr3:uid="{C0903C21-B803-4AE5-AF1C-9FCBAC33426A}" name="TE (R$/MWh) NOVA" dataDxfId="2870">
      <calculatedColumnFormula>('TE BE'!$AB$44+'TE BF'!$AB$44+'TE CVA'!$AB$44)*1</calculatedColumnFormula>
    </tableColumn>
    <tableColumn id="28" xr3:uid="{41BB45E5-818B-4F30-90ED-AB207B41EDF3}" name="RA0 ou RV - TUSD (kW)" dataDxfId="2869"/>
    <tableColumn id="29" xr3:uid="{FBD64463-F16D-41C8-895E-57438645EAAD}" name="RA0 ou RV - TUSD (MWh)" dataDxfId="2868"/>
    <tableColumn id="30" xr3:uid="{183BE98F-4694-4909-A714-F3E877A19CF5}" name="RA0 ou RV - TE (MWh)" dataDxfId="2867"/>
    <tableColumn id="31" xr3:uid="{8246AA54-4A05-4D03-8B06-DA3862D42A4D}" name="RA1 ou RRD - TUSD (kW)" dataDxfId="2866"/>
    <tableColumn id="32" xr3:uid="{2D824F91-8EB0-4E81-A13D-EED8121732C1}" name="RA1 ou RRD - TUSD (MWh)" dataDxfId="2865"/>
    <tableColumn id="33" xr3:uid="{8C40C3D8-0780-4936-8D02-AFBE1BD40B9D}" name="RA1 ou RRD - TE (MWh)" dataDxfId="286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A21440-A41A-4EBB-A6AF-74F8C3142B37}" name="TabelaFin" displayName="TabelaFin" ref="B3:AR53" tableType="queryTable" totalsRowShown="0" headerRowDxfId="2863" dataDxfId="2861" headerRowBorderDxfId="2862" tableBorderDxfId="2860" totalsRowBorderDxfId="2859">
  <autoFilter ref="B3:AR53" xr:uid="{F7A21440-A41A-4EBB-A6AF-74F8C3142B37}"/>
  <sortState xmlns:xlrd2="http://schemas.microsoft.com/office/spreadsheetml/2017/richdata2" ref="B4:AR53">
    <sortCondition ref="B4:B53"/>
    <sortCondition ref="C4:C53"/>
    <sortCondition ref="D4:D53"/>
    <sortCondition ref="E4:E53"/>
    <sortCondition ref="F4:F53"/>
    <sortCondition descending="1" ref="G4:G53"/>
    <sortCondition descending="1" ref="H4:H53"/>
    <sortCondition ref="I4:I53"/>
  </sortState>
  <tableColumns count="43">
    <tableColumn id="44" xr3:uid="{D01BFE03-2B14-49F9-B3A7-09DF6F1C8525}" uniqueName="44" name="SUBGRUPO" queryTableFieldId="1" dataDxfId="2858"/>
    <tableColumn id="45" xr3:uid="{49B9A292-58D8-43EC-8CFD-EAC550F8E177}" uniqueName="45" name="MODALIDADE" queryTableFieldId="2" dataDxfId="2857"/>
    <tableColumn id="46" xr3:uid="{BCEF92B3-3F59-4E71-82F8-38966AD1AFB3}" uniqueName="46" name="CLASSE" queryTableFieldId="3" dataDxfId="2856"/>
    <tableColumn id="47" xr3:uid="{464FEB10-F47F-4624-A086-59F344A7F01E}" uniqueName="47" name="SUBCLASSE" queryTableFieldId="4" dataDxfId="2855"/>
    <tableColumn id="48" xr3:uid="{0070FFFF-B608-48A7-B4C6-C925CC7D4899}" uniqueName="48" name="DETALHE" queryTableFieldId="5" dataDxfId="2854"/>
    <tableColumn id="49" xr3:uid="{7F88AE35-FCC7-4E06-B9C7-934787C71234}" uniqueName="49" name="POSTO" queryTableFieldId="6" dataDxfId="2853"/>
    <tableColumn id="50" xr3:uid="{D041B6E3-E7F0-4BF3-85FD-A4DB38AF1AC5}" uniqueName="50" name="UNIDADE" queryTableFieldId="7" dataDxfId="2852"/>
    <tableColumn id="51" xr3:uid="{7A31DEB0-73F4-4CE5-9700-67D36DB6C003}" uniqueName="51" name="ACESSANTE" queryTableFieldId="8" dataDxfId="2851"/>
    <tableColumn id="52" xr3:uid="{15C65E53-315A-4477-B7EC-D65DD332C3B8}" uniqueName="52" name="Total TUSD" queryTableFieldId="9" dataDxfId="2850"/>
    <tableColumn id="53" xr3:uid="{4E680393-E082-43CA-BEAA-23590A600831}" uniqueName="53" name="Total TE" queryTableFieldId="10" dataDxfId="2849"/>
    <tableColumn id="54" xr3:uid="{36F17734-B035-43EF-8EC1-DA54BE822A6E}" uniqueName="54" name="TUSD_CDE_COVID" queryTableFieldId="11" dataDxfId="2848"/>
    <tableColumn id="55" xr3:uid="{E3592179-A3D2-4B9B-814D-2C16444EE9DE}" uniqueName="55" name="TUSD_TFSEE" queryTableFieldId="12" dataDxfId="2847"/>
    <tableColumn id="56" xr3:uid="{AEBC65F6-5C54-4560-BA37-A5B86AEDE045}" uniqueName="56" name="TUSD_PeD" queryTableFieldId="13" dataDxfId="2846"/>
    <tableColumn id="57" xr3:uid="{A43FABBE-06D0-4216-BF4A-07EA9362BA60}" uniqueName="57" name="TUSD_ONS" queryTableFieldId="14" dataDxfId="2845"/>
    <tableColumn id="58" xr3:uid="{B641266D-6B90-4658-B55C-6566FE431500}" uniqueName="58" name="TUSD_CCC" queryTableFieldId="15" dataDxfId="2844"/>
    <tableColumn id="59" xr3:uid="{16565D3A-8CCA-49CC-83F6-A3396EF3D8FD}" uniqueName="59" name="TUSD_CDE" queryTableFieldId="16" dataDxfId="2843"/>
    <tableColumn id="60" xr3:uid="{C2685B0D-E2AA-4A70-9CFA-9ED79219A17A}" uniqueName="60" name="TUSD_PROINFA" queryTableFieldId="17" dataDxfId="2842"/>
    <tableColumn id="61" xr3:uid="{0C3B2F1D-F623-4D02-9423-E71F04A58248}" uniqueName="61" name="Liminar1" queryTableFieldId="18" dataDxfId="2841"/>
    <tableColumn id="62" xr3:uid="{8A07CEA3-AFCA-49E4-B61F-AD63C37D9BE1}" uniqueName="62" name="TUSD_RB" queryTableFieldId="19" dataDxfId="2840"/>
    <tableColumn id="63" xr3:uid="{FD141827-552E-46DD-9F9A-D90B6AC9E7B1}" uniqueName="63" name="TUSD_FR" queryTableFieldId="20" dataDxfId="2839"/>
    <tableColumn id="64" xr3:uid="{9C91A217-D5C9-4CED-94A4-16620476165C}" uniqueName="64" name="TUSD_CCT" queryTableFieldId="21" dataDxfId="2838"/>
    <tableColumn id="65" xr3:uid="{6FC32331-F82C-426B-BD01-9C81D20DB9FA}" uniqueName="65" name="TUSD_CCD" queryTableFieldId="22" dataDxfId="2837"/>
    <tableColumn id="66" xr3:uid="{1C3D19F8-066B-47AF-85D4-E8B97D4E7092}" uniqueName="66" name="TUSD_CUSD" queryTableFieldId="23" dataDxfId="2836"/>
    <tableColumn id="67" xr3:uid="{4701D941-19CD-4C5F-814F-6CBA326C1E11}" uniqueName="67" name="TUSDG_T" queryTableFieldId="24" dataDxfId="2835"/>
    <tableColumn id="68" xr3:uid="{3320D7DA-A3E3-4094-B4FB-BAA742488FCA}" uniqueName="68" name="TUSDG_ONS" queryTableFieldId="25" dataDxfId="2834"/>
    <tableColumn id="69" xr3:uid="{87AF4A13-A5F0-4139-B242-04412BB7A9AB}" uniqueName="69" name="TUSD_FioB" queryTableFieldId="26" dataDxfId="2833"/>
    <tableColumn id="70" xr3:uid="{1F93FBC0-8F5C-4E14-A787-11A9D358F4F0}" uniqueName="70" name="TUSD Subsidio" queryTableFieldId="27" dataDxfId="2832"/>
    <tableColumn id="71" xr3:uid="{074D33B2-093A-4F3E-A98D-032790E41E47}" uniqueName="71" name="TUSD Outros" queryTableFieldId="28" dataDxfId="2831"/>
    <tableColumn id="72" xr3:uid="{BC177A2E-991B-43FB-ACD1-3DC977C47409}" uniqueName="72" name="TUSD_PT" queryTableFieldId="29" dataDxfId="2830"/>
    <tableColumn id="73" xr3:uid="{0F6CBF2E-62BD-41DB-A39E-C4EF4433734D}" uniqueName="73" name="TUSD_Per_RB_D" queryTableFieldId="30" dataDxfId="2829"/>
    <tableColumn id="74" xr3:uid="{FC829038-79DD-439C-B468-44E86565D26F}" uniqueName="74" name="TUSD_PNT" queryTableFieldId="31" dataDxfId="2828"/>
    <tableColumn id="75" xr3:uid="{806051E0-3A76-49A2-9758-F726D0DD446C}" uniqueName="75" name="TUSD_RI" queryTableFieldId="32" dataDxfId="2827"/>
    <tableColumn id="76" xr3:uid="{A653AA03-4A21-4285-9238-C0B0F37011A8}" uniqueName="76" name="TE_CDE_COVID" queryTableFieldId="33" dataDxfId="2826"/>
    <tableColumn id="77" xr3:uid="{3685887B-F777-41EB-A150-E9BB4DA60667}" uniqueName="77" name="TE_CDE_ELET" queryTableFieldId="34" dataDxfId="2825"/>
    <tableColumn id="78" xr3:uid="{8CD3B41D-942E-4536-996C-EC576B044ACD}" uniqueName="78" name="TE_PeD" queryTableFieldId="35" dataDxfId="2824"/>
    <tableColumn id="79" xr3:uid="{959DF12E-B0F1-4121-AAF9-471F68265D5C}" uniqueName="79" name="TE_ESSERR" queryTableFieldId="36" dataDxfId="2823"/>
    <tableColumn id="80" xr3:uid="{AA42E175-9399-42ED-B7A7-B4CE4940F0D5}" uniqueName="80" name="TE_CFURH" queryTableFieldId="37" dataDxfId="2822"/>
    <tableColumn id="81" xr3:uid="{61F95689-61BD-432E-A31A-5ACCD298FD63}" uniqueName="81" name="TE_ENERGIA" queryTableFieldId="38" dataDxfId="2821"/>
    <tableColumn id="82" xr3:uid="{64D787B2-70A3-4018-926A-F0954BEE95CA}" uniqueName="82" name="TE_TRANSPORTE_ITAIPU" queryTableFieldId="39" dataDxfId="2820"/>
    <tableColumn id="83" xr3:uid="{89D656AE-F83B-47A5-851F-9CAA0900701D}" uniqueName="83" name="TE_TUST_ITAIPU" queryTableFieldId="40" dataDxfId="2819"/>
    <tableColumn id="84" xr3:uid="{BAB096A2-F768-42F0-9E8D-16E16739535D}" uniqueName="84" name="TE_TUST_CI" queryTableFieldId="41" dataDxfId="2818"/>
    <tableColumn id="85" xr3:uid="{0E5F7554-F9AE-4BF1-89B7-9F70D631B1AC}" uniqueName="85" name="TE Subsidio" queryTableFieldId="42" dataDxfId="2817"/>
    <tableColumn id="86" xr3:uid="{C09B1426-9BE9-467D-8AC5-357DBD3B64DF}" uniqueName="86" name="TE_Per_RB" queryTableFieldId="43" dataDxfId="281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D05D97A-ECA6-4F2C-B3EA-F295517B6AA4}" name="TabelaEc" displayName="TabelaEc" ref="B3:AR53" tableType="queryTable" totalsRowShown="0" headerRowDxfId="2815" dataDxfId="2813" headerRowBorderDxfId="2814" tableBorderDxfId="2812" totalsRowBorderDxfId="2811">
  <autoFilter ref="B3:AR53" xr:uid="{4D05D97A-ECA6-4F2C-B3EA-F295517B6AA4}"/>
  <sortState xmlns:xlrd2="http://schemas.microsoft.com/office/spreadsheetml/2017/richdata2" ref="B4:AR53">
    <sortCondition ref="B4:B53"/>
    <sortCondition ref="C4:C53"/>
    <sortCondition ref="D4:D53"/>
    <sortCondition ref="E4:E53"/>
    <sortCondition ref="F4:F53"/>
    <sortCondition descending="1" ref="G4:G53"/>
    <sortCondition descending="1" ref="H4:H53"/>
    <sortCondition ref="I4:I53"/>
  </sortState>
  <tableColumns count="43">
    <tableColumn id="44" xr3:uid="{9558C7B1-A165-427C-9235-496882CD5DC4}" uniqueName="44" name="SUBGRUPO" queryTableFieldId="1" dataDxfId="2810"/>
    <tableColumn id="45" xr3:uid="{17DDC907-9FA6-4D0D-852B-1C68011382AA}" uniqueName="45" name="MODALIDADE" queryTableFieldId="2" dataDxfId="2809"/>
    <tableColumn id="46" xr3:uid="{FD30FB86-24FD-4B56-A2C2-5F24936B12B9}" uniqueName="46" name="CLASSE" queryTableFieldId="3" dataDxfId="2808"/>
    <tableColumn id="47" xr3:uid="{46C151B3-7257-4BD6-935F-05CB346FA7F9}" uniqueName="47" name="SUBCLASSE" queryTableFieldId="4" dataDxfId="2807"/>
    <tableColumn id="48" xr3:uid="{324FE6CB-9A4D-4F97-B81A-7AA12CB362A0}" uniqueName="48" name="DETALHE" queryTableFieldId="5" dataDxfId="2806"/>
    <tableColumn id="49" xr3:uid="{7435D21D-4A76-4285-A387-C34DBDF92905}" uniqueName="49" name="POSTO" queryTableFieldId="6" dataDxfId="2805"/>
    <tableColumn id="50" xr3:uid="{07392892-8BAD-46EA-8E31-1EE849A37327}" uniqueName="50" name="UNIDADE" queryTableFieldId="7" dataDxfId="2804"/>
    <tableColumn id="51" xr3:uid="{9FE36CB1-3A63-4576-9309-5CFCC83B6B21}" uniqueName="51" name="ACESSANTE" queryTableFieldId="8" dataDxfId="2803"/>
    <tableColumn id="52" xr3:uid="{9765ED33-CD6B-4811-A256-FE01E700E319}" uniqueName="52" name="Total TUSD" queryTableFieldId="9" dataDxfId="2802"/>
    <tableColumn id="53" xr3:uid="{5BC07D55-17DF-4F71-858C-A0DD496D992E}" uniqueName="53" name="Total TE" queryTableFieldId="10" dataDxfId="2801"/>
    <tableColumn id="54" xr3:uid="{C381C342-B40E-44CA-95E1-00FEC3E6DB4B}" uniqueName="54" name="TUSD_CDE_COVID" queryTableFieldId="11" dataDxfId="2800"/>
    <tableColumn id="55" xr3:uid="{CDE561D8-9FBC-437B-8827-074D949D5F97}" uniqueName="55" name="TUSD_TFSEE" queryTableFieldId="12" dataDxfId="2799"/>
    <tableColumn id="56" xr3:uid="{27E9922B-1B85-4359-8386-FF24EBE7F184}" uniqueName="56" name="TUSD_PeD" queryTableFieldId="13" dataDxfId="2798"/>
    <tableColumn id="57" xr3:uid="{7E88705F-456A-467C-9292-4AE44F601596}" uniqueName="57" name="TUSD_ONS" queryTableFieldId="14" dataDxfId="2797"/>
    <tableColumn id="58" xr3:uid="{D88C4235-F4D4-46AA-927E-BF7F6114203B}" uniqueName="58" name="TUSD_CCC" queryTableFieldId="15" dataDxfId="2796"/>
    <tableColumn id="59" xr3:uid="{8D8CDC12-C2BD-449D-A632-BA3661437EB6}" uniqueName="59" name="TUSD_CDE" queryTableFieldId="16" dataDxfId="2795"/>
    <tableColumn id="60" xr3:uid="{9685AB5F-3172-4F0D-8A36-5CE9EBDCADEF}" uniqueName="60" name="TUSD_PROINFA" queryTableFieldId="17" dataDxfId="2794"/>
    <tableColumn id="61" xr3:uid="{68AA16E4-A21E-49BE-A81C-48A2B4AB23D8}" uniqueName="61" name="Liminar1" queryTableFieldId="18" dataDxfId="2793"/>
    <tableColumn id="62" xr3:uid="{0A50DBB8-FA9D-4F13-B3E3-10EE3C4CD7D5}" uniqueName="62" name="TUSD_RB" queryTableFieldId="19" dataDxfId="2792"/>
    <tableColumn id="63" xr3:uid="{F652F941-D69A-460E-85B8-4D26DE0E8CAE}" uniqueName="63" name="TUSD_FR" queryTableFieldId="20" dataDxfId="2791"/>
    <tableColumn id="64" xr3:uid="{EAE69967-9282-493D-81E4-6549E2E3D521}" uniqueName="64" name="TUSD_CCT" queryTableFieldId="21" dataDxfId="2790"/>
    <tableColumn id="65" xr3:uid="{CB9D447C-F7D5-45E5-B96D-03D0C2CEA53C}" uniqueName="65" name="TUSD_CCD" queryTableFieldId="22" dataDxfId="2789"/>
    <tableColumn id="66" xr3:uid="{21DD007C-73D1-4F4E-866B-6620A1AE67C8}" uniqueName="66" name="TUSD_CUSD" queryTableFieldId="23" dataDxfId="2788"/>
    <tableColumn id="67" xr3:uid="{E331BE50-EC0C-4F51-816B-20E4AEEBD515}" uniqueName="67" name="TUSDG_T" queryTableFieldId="24" dataDxfId="2787"/>
    <tableColumn id="68" xr3:uid="{03AAD88C-86D3-415C-BE64-E241920130D8}" uniqueName="68" name="TUSDG_ONS" queryTableFieldId="25" dataDxfId="2786"/>
    <tableColumn id="69" xr3:uid="{7C78AF2E-A1EF-4FDA-8525-845C72014921}" uniqueName="69" name="TUSD_FioB" queryTableFieldId="26" dataDxfId="2785"/>
    <tableColumn id="70" xr3:uid="{9C2760DA-0AEB-4019-8D82-B950AD6858B6}" uniqueName="70" name="TUSD Subsidio" queryTableFieldId="27" dataDxfId="2784"/>
    <tableColumn id="71" xr3:uid="{DF5538D5-4D9A-4A78-9054-6DAC6A4B5AEC}" uniqueName="71" name="TUSD Outros" queryTableFieldId="28" dataDxfId="2783"/>
    <tableColumn id="72" xr3:uid="{CC74BA4A-DB44-4690-BA69-9ACEB1D35A77}" uniqueName="72" name="TUSD_PT" queryTableFieldId="29" dataDxfId="2782"/>
    <tableColumn id="73" xr3:uid="{FD27BC10-08DB-421E-B5D9-D4645111492D}" uniqueName="73" name="TUSD_Per_RB_D" queryTableFieldId="30" dataDxfId="2781"/>
    <tableColumn id="74" xr3:uid="{475E836E-927A-4C7A-8D59-2C750E00846F}" uniqueName="74" name="TUSD_PNT" queryTableFieldId="31" dataDxfId="2780"/>
    <tableColumn id="75" xr3:uid="{BCE64C80-B922-4448-8825-B0DE115A61F4}" uniqueName="75" name="TUSD_RI" queryTableFieldId="32" dataDxfId="2779"/>
    <tableColumn id="76" xr3:uid="{823321FB-0206-40E8-8F9C-EC36C23D8082}" uniqueName="76" name="TE_CDE_COVID" queryTableFieldId="33" dataDxfId="2778"/>
    <tableColumn id="77" xr3:uid="{95E31DE0-0464-494F-9A03-E0B5B8F51487}" uniqueName="77" name="TE_CDE_ELET" queryTableFieldId="34" dataDxfId="2777"/>
    <tableColumn id="78" xr3:uid="{6166D298-04A6-4708-BFF9-BA236C9C544E}" uniqueName="78" name="TE_PeD" queryTableFieldId="35" dataDxfId="2776"/>
    <tableColumn id="79" xr3:uid="{14D046F4-D7E2-4943-AE5C-26B4CDD95181}" uniqueName="79" name="TE_ESSERR" queryTableFieldId="36" dataDxfId="2775"/>
    <tableColumn id="80" xr3:uid="{29F52892-1EE5-410D-B999-F56FBD7E5507}" uniqueName="80" name="TE_CFURH" queryTableFieldId="37" dataDxfId="2774"/>
    <tableColumn id="81" xr3:uid="{167AE703-4887-434B-8E22-B2C0B7DEEBBE}" uniqueName="81" name="TE_ENERGIA" queryTableFieldId="38" dataDxfId="2773"/>
    <tableColumn id="82" xr3:uid="{879DF427-D19B-410C-9E57-E651FA7694D6}" uniqueName="82" name="TE_TRANSPORTE_ITAIPU" queryTableFieldId="39" dataDxfId="2772"/>
    <tableColumn id="83" xr3:uid="{547B0ED4-4BA4-44C2-926F-A8D467773704}" uniqueName="83" name="TE_TUST_ITAIPU" queryTableFieldId="40" dataDxfId="2771"/>
    <tableColumn id="84" xr3:uid="{8124DAAE-50A2-4EEE-A5BE-E3975F55B6A1}" uniqueName="84" name="TE_TUST_CI" queryTableFieldId="41" dataDxfId="2770"/>
    <tableColumn id="85" xr3:uid="{585555CD-1261-4C63-AB3F-5C7E1EF03820}" uniqueName="85" name="TE Subsidio" queryTableFieldId="42" dataDxfId="2769"/>
    <tableColumn id="86" xr3:uid="{6556E5D0-D329-46CB-8EC7-F9CF3E2BCF5F}" uniqueName="86" name="TE_Per_RB" queryTableFieldId="43" dataDxfId="276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4676861-E58D-4407-B24D-7D526041A74D}" name="TabelaCVA" displayName="TabelaCVA" ref="B3:AR53" tableType="queryTable" totalsRowShown="0" headerRowDxfId="2767" dataDxfId="2765" headerRowBorderDxfId="2766" tableBorderDxfId="2764" totalsRowBorderDxfId="2763">
  <autoFilter ref="B3:AR53" xr:uid="{54676861-E58D-4407-B24D-7D526041A74D}"/>
  <sortState xmlns:xlrd2="http://schemas.microsoft.com/office/spreadsheetml/2017/richdata2" ref="B4:AR53">
    <sortCondition ref="B4:B53"/>
    <sortCondition ref="C4:C53"/>
    <sortCondition ref="D4:D53"/>
    <sortCondition ref="E4:E53"/>
    <sortCondition ref="F4:F53"/>
    <sortCondition descending="1" ref="G4:G53"/>
    <sortCondition descending="1" ref="H4:H53"/>
    <sortCondition ref="I4:I53"/>
  </sortState>
  <tableColumns count="43">
    <tableColumn id="44" xr3:uid="{1B22A0A8-7AFA-45DA-AA6F-41A8EB6F8BDB}" uniqueName="44" name="SUBGRUPO" queryTableFieldId="1" dataDxfId="2762"/>
    <tableColumn id="45" xr3:uid="{AE9E61AE-281E-4519-998B-6D987D976E2B}" uniqueName="45" name="MODALIDADE" queryTableFieldId="2" dataDxfId="2761"/>
    <tableColumn id="46" xr3:uid="{A98F3371-885D-431A-86FF-B9FBC5D4190D}" uniqueName="46" name="CLASSE" queryTableFieldId="3" dataDxfId="2760"/>
    <tableColumn id="47" xr3:uid="{D087E637-1A4F-490C-815F-B0D422B0C22D}" uniqueName="47" name="SUBCLASSE" queryTableFieldId="4" dataDxfId="2759"/>
    <tableColumn id="48" xr3:uid="{351271C8-5196-4D68-9F55-7EE9C295B470}" uniqueName="48" name="DETALHE" queryTableFieldId="5" dataDxfId="2758"/>
    <tableColumn id="49" xr3:uid="{3C9E6F5C-9BB6-4DF5-AC82-A177476A962D}" uniqueName="49" name="POSTO" queryTableFieldId="6" dataDxfId="2757"/>
    <tableColumn id="50" xr3:uid="{38C9CE4B-6A29-4171-93A6-6C7184C00B2E}" uniqueName="50" name="UNIDADE" queryTableFieldId="7" dataDxfId="2756"/>
    <tableColumn id="51" xr3:uid="{8A5D2406-0723-40FA-8C7C-48B7ADD09626}" uniqueName="51" name="ACESSANTE" queryTableFieldId="8" dataDxfId="2755"/>
    <tableColumn id="52" xr3:uid="{A9E8A819-9EC8-4D0F-A50A-5534556F376A}" uniqueName="52" name="Total TUSD" queryTableFieldId="9" dataDxfId="2754"/>
    <tableColumn id="53" xr3:uid="{66FEAE2A-A569-4BB0-9A2F-7598A486FE47}" uniqueName="53" name="Total TE" queryTableFieldId="10" dataDxfId="2753"/>
    <tableColumn id="54" xr3:uid="{EB1216E7-19F2-48EB-9A4E-8F671A92AB6C}" uniqueName="54" name="TUSD_CDE_COVID" queryTableFieldId="11" dataDxfId="2752"/>
    <tableColumn id="55" xr3:uid="{B02AAEF0-E61A-4B09-8C6B-EFCD2B4B3213}" uniqueName="55" name="TUSD_TFSEE" queryTableFieldId="12" dataDxfId="2751"/>
    <tableColumn id="56" xr3:uid="{FD424730-8F2E-435C-BBD6-4722612ED084}" uniqueName="56" name="TUSD_PeD" queryTableFieldId="13" dataDxfId="2750"/>
    <tableColumn id="57" xr3:uid="{C982F4C6-A639-4594-8C0C-E3164583CDD3}" uniqueName="57" name="TUSD_ONS" queryTableFieldId="14" dataDxfId="2749"/>
    <tableColumn id="58" xr3:uid="{31083694-3F97-423F-9541-7151644D8AFC}" uniqueName="58" name="TUSD_CCC" queryTableFieldId="15" dataDxfId="2748"/>
    <tableColumn id="59" xr3:uid="{1EAE6FC3-26ED-47D7-9F8F-190B8960A49A}" uniqueName="59" name="TUSD_CDE" queryTableFieldId="16" dataDxfId="2747"/>
    <tableColumn id="60" xr3:uid="{36206A21-83E3-4635-AA5D-6047125A3D8E}" uniqueName="60" name="TUSD_PROINFA" queryTableFieldId="17" dataDxfId="2746"/>
    <tableColumn id="61" xr3:uid="{A0F31758-32AD-4C71-AE2F-EEDB5F6B4C26}" uniqueName="61" name="Liminar1" queryTableFieldId="18" dataDxfId="2745"/>
    <tableColumn id="62" xr3:uid="{1C2D4522-949B-4D9B-81C2-E76A9D1BA286}" uniqueName="62" name="TUSD_RB" queryTableFieldId="19" dataDxfId="2744"/>
    <tableColumn id="63" xr3:uid="{2E8FCA83-7CF6-41D5-AF6C-B0C56A3DD79D}" uniqueName="63" name="TUSD_FR" queryTableFieldId="20" dataDxfId="2743"/>
    <tableColumn id="64" xr3:uid="{7F2B1DFF-B368-40A1-AA30-21D43747CDB7}" uniqueName="64" name="TUSD_CCT" queryTableFieldId="21" dataDxfId="2742"/>
    <tableColumn id="65" xr3:uid="{B1F4553B-84DD-4BC4-89D7-901F5BCC668B}" uniqueName="65" name="TUSD_CCD" queryTableFieldId="22" dataDxfId="2741"/>
    <tableColumn id="66" xr3:uid="{E4C853CC-2F76-43A9-B8D1-9BC719C04BCB}" uniqueName="66" name="TUSD_CUSD" queryTableFieldId="23" dataDxfId="2740"/>
    <tableColumn id="67" xr3:uid="{2AFF17B1-6E80-4BAC-83AF-E36E2DE201EC}" uniqueName="67" name="TUSDG_T" queryTableFieldId="24" dataDxfId="2739"/>
    <tableColumn id="68" xr3:uid="{69E86A45-FCDC-4921-A924-6033E799DD4D}" uniqueName="68" name="TUSDG_ONS" queryTableFieldId="25" dataDxfId="2738"/>
    <tableColumn id="69" xr3:uid="{A30CD3E7-7173-42E8-9625-47E73A60F472}" uniqueName="69" name="TUSD_FioB" queryTableFieldId="26" dataDxfId="2737"/>
    <tableColumn id="70" xr3:uid="{31B19DF7-D293-42A5-A69F-35E451C8B39A}" uniqueName="70" name="TUSD Subsidio" queryTableFieldId="27" dataDxfId="2736"/>
    <tableColumn id="71" xr3:uid="{D9B1ABDB-7C71-4507-A823-E4D0808280F6}" uniqueName="71" name="TUSD Outros" queryTableFieldId="28" dataDxfId="2735"/>
    <tableColumn id="72" xr3:uid="{BF3BA071-E9A9-437A-B945-087184EC6201}" uniqueName="72" name="TUSD_PT" queryTableFieldId="29" dataDxfId="2734"/>
    <tableColumn id="73" xr3:uid="{EDA11C82-7352-4085-ABDF-6BBD49E0B954}" uniqueName="73" name="TUSD_Per_RB_D" queryTableFieldId="30" dataDxfId="2733"/>
    <tableColumn id="74" xr3:uid="{2DC0B5FF-EB27-4FCB-A777-21818037B9E4}" uniqueName="74" name="TUSD_PNT" queryTableFieldId="31" dataDxfId="2732"/>
    <tableColumn id="75" xr3:uid="{054F6A3E-D66B-4C6C-9323-D679091ABC28}" uniqueName="75" name="TUSD_RI" queryTableFieldId="32" dataDxfId="2731"/>
    <tableColumn id="76" xr3:uid="{379DD8AF-F6A7-48F9-B633-D99B1000D018}" uniqueName="76" name="TE_CDE_COVID" queryTableFieldId="33" dataDxfId="2730"/>
    <tableColumn id="77" xr3:uid="{3666EE95-BFAD-4616-83AB-7463E2C48C77}" uniqueName="77" name="TE_CDE_ELET" queryTableFieldId="34" dataDxfId="2729"/>
    <tableColumn id="78" xr3:uid="{5BF79A65-FD67-4D53-94B4-B3E019441B46}" uniqueName="78" name="TE_PeD" queryTableFieldId="35" dataDxfId="2728"/>
    <tableColumn id="79" xr3:uid="{0220C068-3D1C-41B1-82CB-851C549049D4}" uniqueName="79" name="TE_ESSERR" queryTableFieldId="36" dataDxfId="2727"/>
    <tableColumn id="80" xr3:uid="{6CB42950-93FC-4DF1-B155-C5FFAB6197A6}" uniqueName="80" name="TE_CFURH" queryTableFieldId="37" dataDxfId="2726"/>
    <tableColumn id="81" xr3:uid="{2A821552-06BE-4F01-8918-F053540347FB}" uniqueName="81" name="TE_ENERGIA" queryTableFieldId="38" dataDxfId="2725"/>
    <tableColumn id="82" xr3:uid="{C32B967D-A106-4985-BF89-31E1BE483484}" uniqueName="82" name="TE_TRANSPORTE_ITAIPU" queryTableFieldId="39" dataDxfId="2724"/>
    <tableColumn id="83" xr3:uid="{CBD83C9D-E4B0-4C86-A470-2E00A74DC6FD}" uniqueName="83" name="TE_TUST_ITAIPU" queryTableFieldId="40" dataDxfId="2723"/>
    <tableColumn id="84" xr3:uid="{FE1B5D68-C77D-4B3A-89F7-7F8E4C7F5E42}" uniqueName="84" name="TE_TUST_CI" queryTableFieldId="41" dataDxfId="2722"/>
    <tableColumn id="85" xr3:uid="{B69647E9-06C5-4333-8087-3266041C3FB4}" uniqueName="85" name="TE Subsidio" queryTableFieldId="42" dataDxfId="2721"/>
    <tableColumn id="86" xr3:uid="{6BE85182-EAD1-4B1D-89CC-DCFDA1092144}" uniqueName="86" name="TE_Per_RB" queryTableFieldId="43" dataDxfId="27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038C7-3128-478D-9F8E-A4DD9072188D}">
  <sheetPr codeName="Planilha1"/>
  <dimension ref="A1:W667"/>
  <sheetViews>
    <sheetView showGridLines="0" topLeftCell="P649" workbookViewId="0">
      <selection activeCell="T668" sqref="T668"/>
    </sheetView>
  </sheetViews>
  <sheetFormatPr defaultColWidth="8.88671875" defaultRowHeight="11.25" customHeight="1" x14ac:dyDescent="0.3"/>
  <cols>
    <col min="1" max="1" width="19.109375" style="3" bestFit="1" customWidth="1"/>
    <col min="2" max="2" width="8.6640625" style="3" bestFit="1" customWidth="1"/>
    <col min="3" max="3" width="10.33203125" style="3" bestFit="1" customWidth="1"/>
    <col min="4" max="4" width="13.5546875" style="3" bestFit="1" customWidth="1"/>
    <col min="5" max="5" width="25.109375" style="3" bestFit="1" customWidth="1"/>
    <col min="6" max="6" width="13.33203125" style="3" bestFit="1" customWidth="1"/>
    <col min="7" max="8" width="10.33203125" style="3" bestFit="1" customWidth="1"/>
    <col min="9" max="9" width="8.6640625" style="6" bestFit="1" customWidth="1"/>
    <col min="10" max="12" width="7" style="4" bestFit="1" customWidth="1"/>
    <col min="13" max="13" width="8" style="4" bestFit="1" customWidth="1"/>
    <col min="14" max="16" width="7" style="4" bestFit="1" customWidth="1"/>
    <col min="17" max="17" width="10.109375" style="3" bestFit="1" customWidth="1"/>
    <col min="18" max="18" width="8.5546875" style="3" bestFit="1" customWidth="1"/>
    <col min="19" max="19" width="78.109375" style="3" bestFit="1" customWidth="1"/>
    <col min="20" max="20" width="83.88671875" style="3" bestFit="1" customWidth="1"/>
    <col min="21" max="21" width="18.44140625" style="3" bestFit="1" customWidth="1"/>
    <col min="22" max="22" width="19.88671875" style="3" bestFit="1" customWidth="1"/>
    <col min="23" max="23" width="17.6640625" style="3" bestFit="1" customWidth="1"/>
    <col min="24" max="16384" width="8.88671875" style="3"/>
  </cols>
  <sheetData>
    <row r="1" spans="1:23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99</v>
      </c>
      <c r="T1" s="1" t="s">
        <v>370</v>
      </c>
      <c r="U1" s="1" t="s">
        <v>18</v>
      </c>
      <c r="V1" s="1" t="s">
        <v>19</v>
      </c>
      <c r="W1" s="1" t="s">
        <v>20</v>
      </c>
    </row>
    <row r="2" spans="1:23" ht="11.25" customHeight="1" x14ac:dyDescent="0.3">
      <c r="A2" s="3" t="s">
        <v>21</v>
      </c>
      <c r="B2" s="3" t="s">
        <v>39</v>
      </c>
      <c r="C2" s="3" t="s">
        <v>56</v>
      </c>
      <c r="D2" s="3" t="s">
        <v>25</v>
      </c>
      <c r="E2" s="3" t="s">
        <v>25</v>
      </c>
      <c r="F2" s="3" t="s">
        <v>57</v>
      </c>
      <c r="G2" s="3" t="s">
        <v>58</v>
      </c>
      <c r="H2" s="3" t="s">
        <v>35</v>
      </c>
      <c r="I2" s="6">
        <v>44378</v>
      </c>
      <c r="J2" s="4">
        <v>1083</v>
      </c>
      <c r="K2" s="4">
        <v>1083</v>
      </c>
      <c r="L2" s="4">
        <v>292.06900000000002</v>
      </c>
      <c r="M2" s="4">
        <v>292.06900000000002</v>
      </c>
      <c r="N2" s="4">
        <v>0</v>
      </c>
      <c r="O2" s="4">
        <v>0</v>
      </c>
      <c r="P2" s="4">
        <v>0</v>
      </c>
      <c r="Q2" s="3" t="s">
        <v>59</v>
      </c>
      <c r="R2" s="3">
        <v>5343</v>
      </c>
      <c r="S2" s="3" t="s">
        <v>100</v>
      </c>
      <c r="T2" s="3" t="s">
        <v>371</v>
      </c>
      <c r="U2" s="3">
        <v>6</v>
      </c>
      <c r="V2" s="3">
        <v>7</v>
      </c>
      <c r="W2" s="3">
        <v>0</v>
      </c>
    </row>
    <row r="3" spans="1:23" ht="11.25" customHeight="1" x14ac:dyDescent="0.3">
      <c r="A3" s="3" t="s">
        <v>21</v>
      </c>
      <c r="B3" s="3" t="s">
        <v>39</v>
      </c>
      <c r="C3" s="3" t="s">
        <v>56</v>
      </c>
      <c r="D3" s="3" t="s">
        <v>25</v>
      </c>
      <c r="E3" s="3" t="s">
        <v>25</v>
      </c>
      <c r="F3" s="3" t="s">
        <v>57</v>
      </c>
      <c r="G3" s="3" t="s">
        <v>58</v>
      </c>
      <c r="H3" s="3" t="s">
        <v>35</v>
      </c>
      <c r="I3" s="6">
        <v>44409</v>
      </c>
      <c r="J3" s="4">
        <v>1058</v>
      </c>
      <c r="K3" s="4">
        <v>1058</v>
      </c>
      <c r="L3" s="4">
        <v>315.666</v>
      </c>
      <c r="M3" s="4">
        <v>315.666</v>
      </c>
      <c r="N3" s="4">
        <v>0</v>
      </c>
      <c r="O3" s="4">
        <v>0</v>
      </c>
      <c r="P3" s="4">
        <v>0</v>
      </c>
      <c r="Q3" s="3" t="s">
        <v>59</v>
      </c>
      <c r="R3" s="3">
        <v>5343</v>
      </c>
      <c r="S3" s="3" t="s">
        <v>101</v>
      </c>
      <c r="T3" s="3" t="s">
        <v>372</v>
      </c>
      <c r="U3" s="3">
        <v>6</v>
      </c>
      <c r="V3" s="3">
        <v>7</v>
      </c>
      <c r="W3" s="3">
        <v>0</v>
      </c>
    </row>
    <row r="4" spans="1:23" ht="11.25" customHeight="1" x14ac:dyDescent="0.3">
      <c r="A4" s="3" t="s">
        <v>21</v>
      </c>
      <c r="B4" s="3" t="s">
        <v>39</v>
      </c>
      <c r="C4" s="3" t="s">
        <v>56</v>
      </c>
      <c r="D4" s="3" t="s">
        <v>25</v>
      </c>
      <c r="E4" s="3" t="s">
        <v>25</v>
      </c>
      <c r="F4" s="3" t="s">
        <v>57</v>
      </c>
      <c r="G4" s="3" t="s">
        <v>58</v>
      </c>
      <c r="H4" s="3" t="s">
        <v>35</v>
      </c>
      <c r="I4" s="6">
        <v>44440</v>
      </c>
      <c r="J4" s="4">
        <v>1067</v>
      </c>
      <c r="K4" s="4">
        <v>1067</v>
      </c>
      <c r="L4" s="4">
        <v>290.14600000000002</v>
      </c>
      <c r="M4" s="4">
        <v>290.14600000000002</v>
      </c>
      <c r="N4" s="4">
        <v>0</v>
      </c>
      <c r="O4" s="4">
        <v>0</v>
      </c>
      <c r="P4" s="4">
        <v>0</v>
      </c>
      <c r="Q4" s="3" t="s">
        <v>59</v>
      </c>
      <c r="R4" s="3">
        <v>5343</v>
      </c>
      <c r="S4" s="3" t="s">
        <v>102</v>
      </c>
      <c r="T4" s="3" t="s">
        <v>373</v>
      </c>
      <c r="U4" s="3">
        <v>6</v>
      </c>
      <c r="V4" s="3">
        <v>7</v>
      </c>
      <c r="W4" s="3">
        <v>0</v>
      </c>
    </row>
    <row r="5" spans="1:23" ht="11.25" customHeight="1" x14ac:dyDescent="0.3">
      <c r="A5" s="3" t="s">
        <v>21</v>
      </c>
      <c r="B5" s="3" t="s">
        <v>39</v>
      </c>
      <c r="C5" s="3" t="s">
        <v>56</v>
      </c>
      <c r="D5" s="3" t="s">
        <v>25</v>
      </c>
      <c r="E5" s="3" t="s">
        <v>25</v>
      </c>
      <c r="F5" s="3" t="s">
        <v>57</v>
      </c>
      <c r="G5" s="3" t="s">
        <v>58</v>
      </c>
      <c r="H5" s="3" t="s">
        <v>35</v>
      </c>
      <c r="I5" s="6">
        <v>44470</v>
      </c>
      <c r="J5" s="4">
        <v>1154</v>
      </c>
      <c r="K5" s="4">
        <v>1154</v>
      </c>
      <c r="L5" s="4">
        <v>296.44299999999998</v>
      </c>
      <c r="M5" s="4">
        <v>296.44299999999998</v>
      </c>
      <c r="N5" s="4">
        <v>0</v>
      </c>
      <c r="O5" s="4">
        <v>0</v>
      </c>
      <c r="P5" s="4">
        <v>0</v>
      </c>
      <c r="Q5" s="3" t="s">
        <v>59</v>
      </c>
      <c r="R5" s="3">
        <v>5343</v>
      </c>
      <c r="S5" s="3" t="s">
        <v>103</v>
      </c>
      <c r="T5" s="3" t="s">
        <v>374</v>
      </c>
      <c r="U5" s="3">
        <v>6</v>
      </c>
      <c r="V5" s="3">
        <v>7</v>
      </c>
      <c r="W5" s="3">
        <v>0</v>
      </c>
    </row>
    <row r="6" spans="1:23" ht="11.25" customHeight="1" x14ac:dyDescent="0.3">
      <c r="A6" s="3" t="s">
        <v>21</v>
      </c>
      <c r="B6" s="3" t="s">
        <v>39</v>
      </c>
      <c r="C6" s="3" t="s">
        <v>56</v>
      </c>
      <c r="D6" s="3" t="s">
        <v>25</v>
      </c>
      <c r="E6" s="3" t="s">
        <v>25</v>
      </c>
      <c r="F6" s="3" t="s">
        <v>57</v>
      </c>
      <c r="G6" s="3" t="s">
        <v>58</v>
      </c>
      <c r="H6" s="3" t="s">
        <v>35</v>
      </c>
      <c r="I6" s="6">
        <v>44501</v>
      </c>
      <c r="J6" s="4">
        <v>1511</v>
      </c>
      <c r="K6" s="4">
        <v>1511</v>
      </c>
      <c r="L6" s="4">
        <v>431.755</v>
      </c>
      <c r="M6" s="4">
        <v>431.755</v>
      </c>
      <c r="N6" s="4">
        <v>0</v>
      </c>
      <c r="O6" s="4">
        <v>0</v>
      </c>
      <c r="P6" s="4">
        <v>0</v>
      </c>
      <c r="Q6" s="3" t="s">
        <v>59</v>
      </c>
      <c r="R6" s="3">
        <v>5343</v>
      </c>
      <c r="S6" s="3" t="s">
        <v>104</v>
      </c>
      <c r="T6" s="3" t="s">
        <v>375</v>
      </c>
      <c r="U6" s="3">
        <v>6</v>
      </c>
      <c r="V6" s="3">
        <v>7</v>
      </c>
      <c r="W6" s="3">
        <v>0</v>
      </c>
    </row>
    <row r="7" spans="1:23" ht="11.25" customHeight="1" x14ac:dyDescent="0.3">
      <c r="A7" s="3" t="s">
        <v>21</v>
      </c>
      <c r="B7" s="3" t="s">
        <v>39</v>
      </c>
      <c r="C7" s="3" t="s">
        <v>56</v>
      </c>
      <c r="D7" s="3" t="s">
        <v>25</v>
      </c>
      <c r="E7" s="3" t="s">
        <v>25</v>
      </c>
      <c r="F7" s="3" t="s">
        <v>57</v>
      </c>
      <c r="G7" s="3" t="s">
        <v>58</v>
      </c>
      <c r="H7" s="3" t="s">
        <v>35</v>
      </c>
      <c r="I7" s="6">
        <v>44531</v>
      </c>
      <c r="J7" s="4">
        <v>1813</v>
      </c>
      <c r="K7" s="4">
        <v>1813</v>
      </c>
      <c r="L7" s="4">
        <v>603.375</v>
      </c>
      <c r="M7" s="4">
        <v>603.375</v>
      </c>
      <c r="N7" s="4">
        <v>0</v>
      </c>
      <c r="O7" s="4">
        <v>0</v>
      </c>
      <c r="P7" s="4">
        <v>0</v>
      </c>
      <c r="Q7" s="3" t="s">
        <v>59</v>
      </c>
      <c r="R7" s="3">
        <v>5343</v>
      </c>
      <c r="S7" s="3" t="s">
        <v>105</v>
      </c>
      <c r="T7" s="3" t="s">
        <v>376</v>
      </c>
      <c r="U7" s="3">
        <v>6</v>
      </c>
      <c r="V7" s="3">
        <v>7</v>
      </c>
      <c r="W7" s="3">
        <v>0</v>
      </c>
    </row>
    <row r="8" spans="1:23" ht="11.25" customHeight="1" x14ac:dyDescent="0.3">
      <c r="A8" s="3" t="s">
        <v>21</v>
      </c>
      <c r="B8" s="3" t="s">
        <v>39</v>
      </c>
      <c r="C8" s="3" t="s">
        <v>56</v>
      </c>
      <c r="D8" s="3" t="s">
        <v>25</v>
      </c>
      <c r="E8" s="3" t="s">
        <v>25</v>
      </c>
      <c r="F8" s="3" t="s">
        <v>57</v>
      </c>
      <c r="G8" s="3" t="s">
        <v>58</v>
      </c>
      <c r="H8" s="3" t="s">
        <v>35</v>
      </c>
      <c r="I8" s="6">
        <v>44562</v>
      </c>
      <c r="J8" s="4">
        <v>2086</v>
      </c>
      <c r="K8" s="4">
        <v>2086</v>
      </c>
      <c r="L8" s="4">
        <v>632.43200000000002</v>
      </c>
      <c r="M8" s="4">
        <v>632.43200000000002</v>
      </c>
      <c r="N8" s="4">
        <v>0</v>
      </c>
      <c r="O8" s="4">
        <v>0</v>
      </c>
      <c r="P8" s="4">
        <v>0</v>
      </c>
      <c r="Q8" s="3" t="s">
        <v>59</v>
      </c>
      <c r="R8" s="3">
        <v>5343</v>
      </c>
      <c r="S8" s="3" t="s">
        <v>106</v>
      </c>
      <c r="T8" s="3" t="s">
        <v>377</v>
      </c>
      <c r="U8" s="3">
        <v>6</v>
      </c>
      <c r="V8" s="3">
        <v>7</v>
      </c>
      <c r="W8" s="3">
        <v>0</v>
      </c>
    </row>
    <row r="9" spans="1:23" ht="11.25" customHeight="1" x14ac:dyDescent="0.3">
      <c r="A9" s="3" t="s">
        <v>21</v>
      </c>
      <c r="B9" s="3" t="s">
        <v>39</v>
      </c>
      <c r="C9" s="3" t="s">
        <v>56</v>
      </c>
      <c r="D9" s="3" t="s">
        <v>25</v>
      </c>
      <c r="E9" s="3" t="s">
        <v>25</v>
      </c>
      <c r="F9" s="3" t="s">
        <v>57</v>
      </c>
      <c r="G9" s="3" t="s">
        <v>58</v>
      </c>
      <c r="H9" s="3" t="s">
        <v>35</v>
      </c>
      <c r="I9" s="6">
        <v>44593</v>
      </c>
      <c r="J9" s="4">
        <v>1549</v>
      </c>
      <c r="K9" s="4">
        <v>1549</v>
      </c>
      <c r="L9" s="4">
        <v>438.084</v>
      </c>
      <c r="M9" s="4">
        <v>438.084</v>
      </c>
      <c r="N9" s="4">
        <v>0</v>
      </c>
      <c r="O9" s="4">
        <v>0</v>
      </c>
      <c r="P9" s="4">
        <v>0</v>
      </c>
      <c r="Q9" s="3" t="s">
        <v>59</v>
      </c>
      <c r="R9" s="3">
        <v>5343</v>
      </c>
      <c r="S9" s="3" t="s">
        <v>107</v>
      </c>
      <c r="T9" s="3" t="s">
        <v>378</v>
      </c>
      <c r="U9" s="3">
        <v>6</v>
      </c>
      <c r="V9" s="3">
        <v>7</v>
      </c>
      <c r="W9" s="3">
        <v>0</v>
      </c>
    </row>
    <row r="10" spans="1:23" ht="11.25" customHeight="1" x14ac:dyDescent="0.3">
      <c r="A10" s="3" t="s">
        <v>21</v>
      </c>
      <c r="B10" s="3" t="s">
        <v>39</v>
      </c>
      <c r="C10" s="3" t="s">
        <v>56</v>
      </c>
      <c r="D10" s="3" t="s">
        <v>25</v>
      </c>
      <c r="E10" s="3" t="s">
        <v>25</v>
      </c>
      <c r="F10" s="3" t="s">
        <v>57</v>
      </c>
      <c r="G10" s="3" t="s">
        <v>58</v>
      </c>
      <c r="H10" s="3" t="s">
        <v>35</v>
      </c>
      <c r="I10" s="6">
        <v>44621</v>
      </c>
      <c r="J10" s="4">
        <v>1215</v>
      </c>
      <c r="K10" s="4">
        <v>1215</v>
      </c>
      <c r="L10" s="4">
        <v>410.32900000000001</v>
      </c>
      <c r="M10" s="4">
        <v>410.32900000000001</v>
      </c>
      <c r="N10" s="4">
        <v>0</v>
      </c>
      <c r="O10" s="4">
        <v>0</v>
      </c>
      <c r="P10" s="4">
        <v>0</v>
      </c>
      <c r="Q10" s="3" t="s">
        <v>59</v>
      </c>
      <c r="R10" s="3">
        <v>5343</v>
      </c>
      <c r="S10" s="3" t="s">
        <v>108</v>
      </c>
      <c r="T10" s="3" t="s">
        <v>379</v>
      </c>
      <c r="U10" s="3">
        <v>6</v>
      </c>
      <c r="V10" s="3">
        <v>7</v>
      </c>
      <c r="W10" s="3">
        <v>0</v>
      </c>
    </row>
    <row r="11" spans="1:23" ht="11.25" customHeight="1" x14ac:dyDescent="0.3">
      <c r="A11" s="3" t="s">
        <v>21</v>
      </c>
      <c r="B11" s="3" t="s">
        <v>39</v>
      </c>
      <c r="C11" s="3" t="s">
        <v>56</v>
      </c>
      <c r="D11" s="3" t="s">
        <v>25</v>
      </c>
      <c r="E11" s="3" t="s">
        <v>25</v>
      </c>
      <c r="F11" s="3" t="s">
        <v>57</v>
      </c>
      <c r="G11" s="3" t="s">
        <v>58</v>
      </c>
      <c r="H11" s="3" t="s">
        <v>35</v>
      </c>
      <c r="I11" s="6">
        <v>44652</v>
      </c>
      <c r="J11" s="4">
        <v>1322</v>
      </c>
      <c r="K11" s="4">
        <v>1322</v>
      </c>
      <c r="L11" s="4">
        <v>395.52</v>
      </c>
      <c r="M11" s="4">
        <v>395.52</v>
      </c>
      <c r="N11" s="4">
        <v>0</v>
      </c>
      <c r="O11" s="4">
        <v>0</v>
      </c>
      <c r="P11" s="4">
        <v>0</v>
      </c>
      <c r="Q11" s="3" t="s">
        <v>59</v>
      </c>
      <c r="R11" s="3">
        <v>5343</v>
      </c>
      <c r="S11" s="3" t="s">
        <v>109</v>
      </c>
      <c r="T11" s="3" t="s">
        <v>380</v>
      </c>
      <c r="U11" s="3">
        <v>6</v>
      </c>
      <c r="V11" s="3">
        <v>7</v>
      </c>
      <c r="W11" s="3">
        <v>0</v>
      </c>
    </row>
    <row r="12" spans="1:23" ht="11.25" customHeight="1" x14ac:dyDescent="0.3">
      <c r="A12" s="3" t="s">
        <v>21</v>
      </c>
      <c r="B12" s="3" t="s">
        <v>39</v>
      </c>
      <c r="C12" s="3" t="s">
        <v>56</v>
      </c>
      <c r="D12" s="3" t="s">
        <v>25</v>
      </c>
      <c r="E12" s="3" t="s">
        <v>25</v>
      </c>
      <c r="F12" s="3" t="s">
        <v>57</v>
      </c>
      <c r="G12" s="3" t="s">
        <v>58</v>
      </c>
      <c r="H12" s="3" t="s">
        <v>35</v>
      </c>
      <c r="I12" s="6">
        <v>44682</v>
      </c>
      <c r="J12" s="4">
        <v>1251</v>
      </c>
      <c r="K12" s="4">
        <v>1251</v>
      </c>
      <c r="L12" s="4">
        <v>348.14400000000001</v>
      </c>
      <c r="M12" s="4">
        <v>348.14400000000001</v>
      </c>
      <c r="N12" s="4">
        <v>0</v>
      </c>
      <c r="O12" s="4">
        <v>0</v>
      </c>
      <c r="P12" s="4">
        <v>0</v>
      </c>
      <c r="Q12" s="3" t="s">
        <v>59</v>
      </c>
      <c r="R12" s="3">
        <v>5343</v>
      </c>
      <c r="S12" s="3" t="s">
        <v>110</v>
      </c>
      <c r="T12" s="3" t="s">
        <v>381</v>
      </c>
      <c r="U12" s="3">
        <v>6</v>
      </c>
      <c r="V12" s="3">
        <v>7</v>
      </c>
      <c r="W12" s="3">
        <v>0</v>
      </c>
    </row>
    <row r="13" spans="1:23" ht="11.25" customHeight="1" x14ac:dyDescent="0.3">
      <c r="A13" s="3" t="s">
        <v>21</v>
      </c>
      <c r="B13" s="3" t="s">
        <v>39</v>
      </c>
      <c r="C13" s="3" t="s">
        <v>56</v>
      </c>
      <c r="D13" s="3" t="s">
        <v>25</v>
      </c>
      <c r="E13" s="3" t="s">
        <v>25</v>
      </c>
      <c r="F13" s="3" t="s">
        <v>57</v>
      </c>
      <c r="G13" s="3" t="s">
        <v>58</v>
      </c>
      <c r="H13" s="3" t="s">
        <v>35</v>
      </c>
      <c r="I13" s="6">
        <v>44713</v>
      </c>
      <c r="J13" s="4">
        <v>1345</v>
      </c>
      <c r="K13" s="4">
        <v>1345</v>
      </c>
      <c r="L13" s="4">
        <v>354.02800000000002</v>
      </c>
      <c r="M13" s="4">
        <v>354.02800000000002</v>
      </c>
      <c r="N13" s="4">
        <v>0</v>
      </c>
      <c r="O13" s="4">
        <v>0</v>
      </c>
      <c r="P13" s="4">
        <v>0</v>
      </c>
      <c r="Q13" s="3" t="s">
        <v>59</v>
      </c>
      <c r="R13" s="3">
        <v>5343</v>
      </c>
      <c r="S13" s="3" t="s">
        <v>111</v>
      </c>
      <c r="T13" s="3" t="s">
        <v>382</v>
      </c>
      <c r="U13" s="3">
        <v>6</v>
      </c>
      <c r="V13" s="3">
        <v>7</v>
      </c>
      <c r="W13" s="3">
        <v>0</v>
      </c>
    </row>
    <row r="14" spans="1:23" ht="11.25" customHeight="1" x14ac:dyDescent="0.3">
      <c r="A14" s="3" t="s">
        <v>21</v>
      </c>
      <c r="B14" s="3" t="s">
        <v>39</v>
      </c>
      <c r="C14" s="3" t="s">
        <v>56</v>
      </c>
      <c r="D14" s="3" t="s">
        <v>25</v>
      </c>
      <c r="E14" s="3" t="s">
        <v>25</v>
      </c>
      <c r="F14" s="3" t="s">
        <v>57</v>
      </c>
      <c r="G14" s="3" t="s">
        <v>58</v>
      </c>
      <c r="H14" s="3" t="s">
        <v>25</v>
      </c>
      <c r="I14" s="6">
        <v>44378</v>
      </c>
      <c r="J14" s="4">
        <v>0</v>
      </c>
      <c r="K14" s="4">
        <v>0</v>
      </c>
      <c r="L14" s="4">
        <v>0</v>
      </c>
      <c r="M14" s="4">
        <v>0</v>
      </c>
      <c r="N14" s="4">
        <v>342.21800000000002</v>
      </c>
      <c r="O14" s="4">
        <v>293.41771319999998</v>
      </c>
      <c r="P14" s="4">
        <v>0</v>
      </c>
      <c r="Q14" s="3" t="s">
        <v>59</v>
      </c>
      <c r="R14" s="3">
        <v>5343</v>
      </c>
      <c r="S14" s="3" t="s">
        <v>112</v>
      </c>
      <c r="T14" s="3" t="s">
        <v>371</v>
      </c>
      <c r="U14" s="3">
        <v>0</v>
      </c>
      <c r="V14" s="3">
        <v>0</v>
      </c>
      <c r="W14" s="3">
        <v>54</v>
      </c>
    </row>
    <row r="15" spans="1:23" ht="11.25" customHeight="1" x14ac:dyDescent="0.3">
      <c r="A15" s="3" t="s">
        <v>21</v>
      </c>
      <c r="B15" s="3" t="s">
        <v>39</v>
      </c>
      <c r="C15" s="3" t="s">
        <v>56</v>
      </c>
      <c r="D15" s="3" t="s">
        <v>25</v>
      </c>
      <c r="E15" s="3" t="s">
        <v>25</v>
      </c>
      <c r="F15" s="3" t="s">
        <v>57</v>
      </c>
      <c r="G15" s="3" t="s">
        <v>58</v>
      </c>
      <c r="H15" s="3" t="s">
        <v>25</v>
      </c>
      <c r="I15" s="6">
        <v>44409</v>
      </c>
      <c r="J15" s="4">
        <v>0</v>
      </c>
      <c r="K15" s="4">
        <v>0</v>
      </c>
      <c r="L15" s="4">
        <v>0</v>
      </c>
      <c r="M15" s="4">
        <v>0</v>
      </c>
      <c r="N15" s="4">
        <v>369.23899999999998</v>
      </c>
      <c r="O15" s="4">
        <v>316.5855186</v>
      </c>
      <c r="P15" s="4">
        <v>0</v>
      </c>
      <c r="Q15" s="3" t="s">
        <v>59</v>
      </c>
      <c r="R15" s="3">
        <v>5343</v>
      </c>
      <c r="S15" s="3" t="s">
        <v>113</v>
      </c>
      <c r="T15" s="3" t="s">
        <v>372</v>
      </c>
      <c r="U15" s="3">
        <v>0</v>
      </c>
      <c r="V15" s="3">
        <v>0</v>
      </c>
      <c r="W15" s="3">
        <v>54</v>
      </c>
    </row>
    <row r="16" spans="1:23" ht="11.25" customHeight="1" x14ac:dyDescent="0.3">
      <c r="A16" s="3" t="s">
        <v>21</v>
      </c>
      <c r="B16" s="3" t="s">
        <v>39</v>
      </c>
      <c r="C16" s="3" t="s">
        <v>56</v>
      </c>
      <c r="D16" s="3" t="s">
        <v>25</v>
      </c>
      <c r="E16" s="3" t="s">
        <v>25</v>
      </c>
      <c r="F16" s="3" t="s">
        <v>57</v>
      </c>
      <c r="G16" s="3" t="s">
        <v>58</v>
      </c>
      <c r="H16" s="3" t="s">
        <v>25</v>
      </c>
      <c r="I16" s="6">
        <v>44440</v>
      </c>
      <c r="J16" s="4">
        <v>0</v>
      </c>
      <c r="K16" s="4">
        <v>0</v>
      </c>
      <c r="L16" s="4">
        <v>0</v>
      </c>
      <c r="M16" s="4">
        <v>0</v>
      </c>
      <c r="N16" s="4">
        <v>336.33800000000002</v>
      </c>
      <c r="O16" s="4">
        <v>288.37620120000003</v>
      </c>
      <c r="P16" s="4">
        <v>0</v>
      </c>
      <c r="Q16" s="3" t="s">
        <v>59</v>
      </c>
      <c r="R16" s="3">
        <v>5343</v>
      </c>
      <c r="S16" s="3" t="s">
        <v>114</v>
      </c>
      <c r="T16" s="3" t="s">
        <v>373</v>
      </c>
      <c r="U16" s="3">
        <v>0</v>
      </c>
      <c r="V16" s="3">
        <v>0</v>
      </c>
      <c r="W16" s="3">
        <v>54</v>
      </c>
    </row>
    <row r="17" spans="1:23" ht="11.25" customHeight="1" x14ac:dyDescent="0.3">
      <c r="A17" s="3" t="s">
        <v>21</v>
      </c>
      <c r="B17" s="3" t="s">
        <v>39</v>
      </c>
      <c r="C17" s="3" t="s">
        <v>56</v>
      </c>
      <c r="D17" s="3" t="s">
        <v>25</v>
      </c>
      <c r="E17" s="3" t="s">
        <v>25</v>
      </c>
      <c r="F17" s="3" t="s">
        <v>57</v>
      </c>
      <c r="G17" s="3" t="s">
        <v>58</v>
      </c>
      <c r="H17" s="3" t="s">
        <v>25</v>
      </c>
      <c r="I17" s="6">
        <v>44470</v>
      </c>
      <c r="J17" s="4">
        <v>0</v>
      </c>
      <c r="K17" s="4">
        <v>0</v>
      </c>
      <c r="L17" s="4">
        <v>0</v>
      </c>
      <c r="M17" s="4">
        <v>0</v>
      </c>
      <c r="N17" s="4">
        <v>343.803</v>
      </c>
      <c r="O17" s="4">
        <v>294.77669220000001</v>
      </c>
      <c r="P17" s="4">
        <v>0</v>
      </c>
      <c r="Q17" s="3" t="s">
        <v>59</v>
      </c>
      <c r="R17" s="3">
        <v>5343</v>
      </c>
      <c r="S17" s="3" t="s">
        <v>115</v>
      </c>
      <c r="T17" s="3" t="s">
        <v>374</v>
      </c>
      <c r="U17" s="3">
        <v>0</v>
      </c>
      <c r="V17" s="3">
        <v>0</v>
      </c>
      <c r="W17" s="3">
        <v>54</v>
      </c>
    </row>
    <row r="18" spans="1:23" ht="11.25" customHeight="1" x14ac:dyDescent="0.3">
      <c r="A18" s="3" t="s">
        <v>21</v>
      </c>
      <c r="B18" s="3" t="s">
        <v>39</v>
      </c>
      <c r="C18" s="3" t="s">
        <v>56</v>
      </c>
      <c r="D18" s="3" t="s">
        <v>25</v>
      </c>
      <c r="E18" s="3" t="s">
        <v>25</v>
      </c>
      <c r="F18" s="3" t="s">
        <v>57</v>
      </c>
      <c r="G18" s="3" t="s">
        <v>58</v>
      </c>
      <c r="H18" s="3" t="s">
        <v>25</v>
      </c>
      <c r="I18" s="6">
        <v>44501</v>
      </c>
      <c r="J18" s="4">
        <v>0</v>
      </c>
      <c r="K18" s="4">
        <v>0</v>
      </c>
      <c r="L18" s="4">
        <v>0</v>
      </c>
      <c r="M18" s="4">
        <v>0</v>
      </c>
      <c r="N18" s="4">
        <v>490.92599999999999</v>
      </c>
      <c r="O18" s="4">
        <v>420.9199524</v>
      </c>
      <c r="P18" s="4">
        <v>0</v>
      </c>
      <c r="Q18" s="3" t="s">
        <v>59</v>
      </c>
      <c r="R18" s="3">
        <v>5343</v>
      </c>
      <c r="S18" s="3" t="s">
        <v>116</v>
      </c>
      <c r="T18" s="3" t="s">
        <v>375</v>
      </c>
      <c r="U18" s="3">
        <v>0</v>
      </c>
      <c r="V18" s="3">
        <v>0</v>
      </c>
      <c r="W18" s="3">
        <v>54</v>
      </c>
    </row>
    <row r="19" spans="1:23" ht="11.25" customHeight="1" x14ac:dyDescent="0.3">
      <c r="A19" s="3" t="s">
        <v>21</v>
      </c>
      <c r="B19" s="3" t="s">
        <v>39</v>
      </c>
      <c r="C19" s="3" t="s">
        <v>56</v>
      </c>
      <c r="D19" s="3" t="s">
        <v>25</v>
      </c>
      <c r="E19" s="3" t="s">
        <v>25</v>
      </c>
      <c r="F19" s="3" t="s">
        <v>57</v>
      </c>
      <c r="G19" s="3" t="s">
        <v>58</v>
      </c>
      <c r="H19" s="3" t="s">
        <v>25</v>
      </c>
      <c r="I19" s="6">
        <v>44531</v>
      </c>
      <c r="J19" s="4">
        <v>0</v>
      </c>
      <c r="K19" s="4">
        <v>0</v>
      </c>
      <c r="L19" s="4">
        <v>0</v>
      </c>
      <c r="M19" s="4">
        <v>0</v>
      </c>
      <c r="N19" s="4">
        <v>681.79300000000001</v>
      </c>
      <c r="O19" s="4">
        <v>584.5693182</v>
      </c>
      <c r="P19" s="4">
        <v>0</v>
      </c>
      <c r="Q19" s="3" t="s">
        <v>59</v>
      </c>
      <c r="R19" s="3">
        <v>5343</v>
      </c>
      <c r="S19" s="3" t="s">
        <v>117</v>
      </c>
      <c r="T19" s="3" t="s">
        <v>376</v>
      </c>
      <c r="U19" s="3">
        <v>0</v>
      </c>
      <c r="V19" s="3">
        <v>0</v>
      </c>
      <c r="W19" s="3">
        <v>54</v>
      </c>
    </row>
    <row r="20" spans="1:23" ht="11.25" customHeight="1" x14ac:dyDescent="0.3">
      <c r="A20" s="3" t="s">
        <v>21</v>
      </c>
      <c r="B20" s="3" t="s">
        <v>39</v>
      </c>
      <c r="C20" s="3" t="s">
        <v>56</v>
      </c>
      <c r="D20" s="3" t="s">
        <v>25</v>
      </c>
      <c r="E20" s="3" t="s">
        <v>25</v>
      </c>
      <c r="F20" s="3" t="s">
        <v>57</v>
      </c>
      <c r="G20" s="3" t="s">
        <v>58</v>
      </c>
      <c r="H20" s="3" t="s">
        <v>25</v>
      </c>
      <c r="I20" s="6">
        <v>44562</v>
      </c>
      <c r="J20" s="4">
        <v>0</v>
      </c>
      <c r="K20" s="4">
        <v>0</v>
      </c>
      <c r="L20" s="4">
        <v>0</v>
      </c>
      <c r="M20" s="4">
        <v>0</v>
      </c>
      <c r="N20" s="4">
        <v>709.2</v>
      </c>
      <c r="O20" s="4">
        <v>608.06808000000001</v>
      </c>
      <c r="P20" s="4">
        <v>0</v>
      </c>
      <c r="Q20" s="3" t="s">
        <v>59</v>
      </c>
      <c r="R20" s="3">
        <v>5343</v>
      </c>
      <c r="S20" s="3" t="s">
        <v>118</v>
      </c>
      <c r="T20" s="3" t="s">
        <v>377</v>
      </c>
      <c r="U20" s="3">
        <v>0</v>
      </c>
      <c r="V20" s="3">
        <v>0</v>
      </c>
      <c r="W20" s="3">
        <v>54</v>
      </c>
    </row>
    <row r="21" spans="1:23" ht="11.25" customHeight="1" x14ac:dyDescent="0.3">
      <c r="A21" s="3" t="s">
        <v>21</v>
      </c>
      <c r="B21" s="3" t="s">
        <v>39</v>
      </c>
      <c r="C21" s="3" t="s">
        <v>56</v>
      </c>
      <c r="D21" s="3" t="s">
        <v>25</v>
      </c>
      <c r="E21" s="3" t="s">
        <v>25</v>
      </c>
      <c r="F21" s="3" t="s">
        <v>57</v>
      </c>
      <c r="G21" s="3" t="s">
        <v>58</v>
      </c>
      <c r="H21" s="3" t="s">
        <v>25</v>
      </c>
      <c r="I21" s="6">
        <v>44593</v>
      </c>
      <c r="J21" s="4">
        <v>0</v>
      </c>
      <c r="K21" s="4">
        <v>0</v>
      </c>
      <c r="L21" s="4">
        <v>0</v>
      </c>
      <c r="M21" s="4">
        <v>0</v>
      </c>
      <c r="N21" s="4">
        <v>498.80799999999999</v>
      </c>
      <c r="O21" s="4">
        <v>427.67797919999998</v>
      </c>
      <c r="P21" s="4">
        <v>0</v>
      </c>
      <c r="Q21" s="3" t="s">
        <v>59</v>
      </c>
      <c r="R21" s="3">
        <v>5343</v>
      </c>
      <c r="S21" s="3" t="s">
        <v>119</v>
      </c>
      <c r="T21" s="3" t="s">
        <v>378</v>
      </c>
      <c r="U21" s="3">
        <v>0</v>
      </c>
      <c r="V21" s="3">
        <v>0</v>
      </c>
      <c r="W21" s="3">
        <v>54</v>
      </c>
    </row>
    <row r="22" spans="1:23" ht="11.25" customHeight="1" x14ac:dyDescent="0.3">
      <c r="A22" s="3" t="s">
        <v>21</v>
      </c>
      <c r="B22" s="3" t="s">
        <v>39</v>
      </c>
      <c r="C22" s="3" t="s">
        <v>56</v>
      </c>
      <c r="D22" s="3" t="s">
        <v>25</v>
      </c>
      <c r="E22" s="3" t="s">
        <v>25</v>
      </c>
      <c r="F22" s="3" t="s">
        <v>57</v>
      </c>
      <c r="G22" s="3" t="s">
        <v>58</v>
      </c>
      <c r="H22" s="3" t="s">
        <v>25</v>
      </c>
      <c r="I22" s="6">
        <v>44621</v>
      </c>
      <c r="J22" s="4">
        <v>0</v>
      </c>
      <c r="K22" s="4">
        <v>0</v>
      </c>
      <c r="L22" s="4">
        <v>0</v>
      </c>
      <c r="M22" s="4">
        <v>0</v>
      </c>
      <c r="N22" s="4">
        <v>469.10599999999999</v>
      </c>
      <c r="O22" s="4">
        <v>402.21148440000002</v>
      </c>
      <c r="P22" s="4">
        <v>0</v>
      </c>
      <c r="Q22" s="3" t="s">
        <v>59</v>
      </c>
      <c r="R22" s="3">
        <v>5343</v>
      </c>
      <c r="S22" s="3" t="s">
        <v>120</v>
      </c>
      <c r="T22" s="3" t="s">
        <v>379</v>
      </c>
      <c r="U22" s="3">
        <v>0</v>
      </c>
      <c r="V22" s="3">
        <v>0</v>
      </c>
      <c r="W22" s="3">
        <v>54</v>
      </c>
    </row>
    <row r="23" spans="1:23" ht="11.25" customHeight="1" x14ac:dyDescent="0.3">
      <c r="A23" s="3" t="s">
        <v>21</v>
      </c>
      <c r="B23" s="3" t="s">
        <v>39</v>
      </c>
      <c r="C23" s="3" t="s">
        <v>56</v>
      </c>
      <c r="D23" s="3" t="s">
        <v>25</v>
      </c>
      <c r="E23" s="3" t="s">
        <v>25</v>
      </c>
      <c r="F23" s="3" t="s">
        <v>57</v>
      </c>
      <c r="G23" s="3" t="s">
        <v>58</v>
      </c>
      <c r="H23" s="3" t="s">
        <v>25</v>
      </c>
      <c r="I23" s="6">
        <v>44652</v>
      </c>
      <c r="J23" s="4">
        <v>0</v>
      </c>
      <c r="K23" s="4">
        <v>0</v>
      </c>
      <c r="L23" s="4">
        <v>0</v>
      </c>
      <c r="M23" s="4">
        <v>0</v>
      </c>
      <c r="N23" s="4">
        <v>444.86500000000001</v>
      </c>
      <c r="O23" s="4">
        <v>381.42725100000001</v>
      </c>
      <c r="P23" s="4">
        <v>0</v>
      </c>
      <c r="Q23" s="3" t="s">
        <v>59</v>
      </c>
      <c r="R23" s="3">
        <v>5343</v>
      </c>
      <c r="S23" s="3" t="s">
        <v>121</v>
      </c>
      <c r="T23" s="3" t="s">
        <v>380</v>
      </c>
      <c r="U23" s="3">
        <v>0</v>
      </c>
      <c r="V23" s="3">
        <v>0</v>
      </c>
      <c r="W23" s="3">
        <v>54</v>
      </c>
    </row>
    <row r="24" spans="1:23" ht="11.25" customHeight="1" x14ac:dyDescent="0.3">
      <c r="A24" s="3" t="s">
        <v>21</v>
      </c>
      <c r="B24" s="3" t="s">
        <v>39</v>
      </c>
      <c r="C24" s="3" t="s">
        <v>56</v>
      </c>
      <c r="D24" s="3" t="s">
        <v>25</v>
      </c>
      <c r="E24" s="3" t="s">
        <v>25</v>
      </c>
      <c r="F24" s="3" t="s">
        <v>57</v>
      </c>
      <c r="G24" s="3" t="s">
        <v>58</v>
      </c>
      <c r="H24" s="3" t="s">
        <v>25</v>
      </c>
      <c r="I24" s="6">
        <v>44682</v>
      </c>
      <c r="J24" s="4">
        <v>0</v>
      </c>
      <c r="K24" s="4">
        <v>0</v>
      </c>
      <c r="L24" s="4">
        <v>0</v>
      </c>
      <c r="M24" s="4">
        <v>0</v>
      </c>
      <c r="N24" s="4">
        <v>398.43</v>
      </c>
      <c r="O24" s="4">
        <v>341.61388199999999</v>
      </c>
      <c r="P24" s="4">
        <v>0</v>
      </c>
      <c r="Q24" s="3" t="s">
        <v>59</v>
      </c>
      <c r="R24" s="3">
        <v>5343</v>
      </c>
      <c r="S24" s="3" t="s">
        <v>122</v>
      </c>
      <c r="T24" s="3" t="s">
        <v>381</v>
      </c>
      <c r="U24" s="3">
        <v>0</v>
      </c>
      <c r="V24" s="3">
        <v>0</v>
      </c>
      <c r="W24" s="3">
        <v>54</v>
      </c>
    </row>
    <row r="25" spans="1:23" ht="11.25" customHeight="1" x14ac:dyDescent="0.3">
      <c r="A25" s="3" t="s">
        <v>21</v>
      </c>
      <c r="B25" s="3" t="s">
        <v>39</v>
      </c>
      <c r="C25" s="3" t="s">
        <v>56</v>
      </c>
      <c r="D25" s="3" t="s">
        <v>25</v>
      </c>
      <c r="E25" s="3" t="s">
        <v>25</v>
      </c>
      <c r="F25" s="3" t="s">
        <v>57</v>
      </c>
      <c r="G25" s="3" t="s">
        <v>58</v>
      </c>
      <c r="H25" s="3" t="s">
        <v>25</v>
      </c>
      <c r="I25" s="6">
        <v>44713</v>
      </c>
      <c r="J25" s="4">
        <v>0</v>
      </c>
      <c r="K25" s="4">
        <v>0</v>
      </c>
      <c r="L25" s="4">
        <v>0</v>
      </c>
      <c r="M25" s="4">
        <v>0</v>
      </c>
      <c r="N25" s="4">
        <v>404.363</v>
      </c>
      <c r="O25" s="4">
        <v>346.70083620000003</v>
      </c>
      <c r="P25" s="4">
        <v>0</v>
      </c>
      <c r="Q25" s="3" t="s">
        <v>59</v>
      </c>
      <c r="R25" s="3">
        <v>5343</v>
      </c>
      <c r="S25" s="3" t="s">
        <v>123</v>
      </c>
      <c r="T25" s="3" t="s">
        <v>382</v>
      </c>
      <c r="U25" s="3">
        <v>0</v>
      </c>
      <c r="V25" s="3">
        <v>0</v>
      </c>
      <c r="W25" s="3">
        <v>54</v>
      </c>
    </row>
    <row r="26" spans="1:23" ht="11.25" customHeight="1" x14ac:dyDescent="0.3">
      <c r="A26" s="3" t="s">
        <v>21</v>
      </c>
      <c r="B26" s="3" t="s">
        <v>39</v>
      </c>
      <c r="C26" s="3" t="s">
        <v>56</v>
      </c>
      <c r="D26" s="3" t="s">
        <v>25</v>
      </c>
      <c r="E26" s="3" t="s">
        <v>25</v>
      </c>
      <c r="F26" s="3" t="s">
        <v>57</v>
      </c>
      <c r="G26" s="3" t="s">
        <v>58</v>
      </c>
      <c r="H26" s="3" t="s">
        <v>34</v>
      </c>
      <c r="I26" s="6">
        <v>44378</v>
      </c>
      <c r="J26" s="4">
        <v>1074</v>
      </c>
      <c r="K26" s="4">
        <v>1074</v>
      </c>
      <c r="L26" s="4">
        <v>50.149000000000001</v>
      </c>
      <c r="M26" s="4">
        <v>50.149000000000001</v>
      </c>
      <c r="N26" s="4">
        <v>0</v>
      </c>
      <c r="O26" s="4">
        <v>0</v>
      </c>
      <c r="P26" s="4">
        <v>0</v>
      </c>
      <c r="Q26" s="3" t="s">
        <v>59</v>
      </c>
      <c r="R26" s="3">
        <v>5343</v>
      </c>
      <c r="S26" s="3" t="s">
        <v>124</v>
      </c>
      <c r="T26" s="3" t="s">
        <v>371</v>
      </c>
      <c r="U26" s="3">
        <v>5</v>
      </c>
      <c r="V26" s="3">
        <v>7</v>
      </c>
      <c r="W26" s="3">
        <v>0</v>
      </c>
    </row>
    <row r="27" spans="1:23" ht="11.25" customHeight="1" x14ac:dyDescent="0.3">
      <c r="A27" s="3" t="s">
        <v>21</v>
      </c>
      <c r="B27" s="3" t="s">
        <v>39</v>
      </c>
      <c r="C27" s="3" t="s">
        <v>56</v>
      </c>
      <c r="D27" s="3" t="s">
        <v>25</v>
      </c>
      <c r="E27" s="3" t="s">
        <v>25</v>
      </c>
      <c r="F27" s="3" t="s">
        <v>57</v>
      </c>
      <c r="G27" s="3" t="s">
        <v>58</v>
      </c>
      <c r="H27" s="3" t="s">
        <v>34</v>
      </c>
      <c r="I27" s="6">
        <v>44409</v>
      </c>
      <c r="J27" s="4">
        <v>1206</v>
      </c>
      <c r="K27" s="4">
        <v>1206</v>
      </c>
      <c r="L27" s="4">
        <v>53.573</v>
      </c>
      <c r="M27" s="4">
        <v>53.573</v>
      </c>
      <c r="N27" s="4">
        <v>0</v>
      </c>
      <c r="O27" s="4">
        <v>0</v>
      </c>
      <c r="P27" s="4">
        <v>0</v>
      </c>
      <c r="Q27" s="3" t="s">
        <v>59</v>
      </c>
      <c r="R27" s="3">
        <v>5343</v>
      </c>
      <c r="S27" s="3" t="s">
        <v>125</v>
      </c>
      <c r="T27" s="3" t="s">
        <v>372</v>
      </c>
      <c r="U27" s="3">
        <v>5</v>
      </c>
      <c r="V27" s="3">
        <v>7</v>
      </c>
      <c r="W27" s="3">
        <v>0</v>
      </c>
    </row>
    <row r="28" spans="1:23" ht="11.25" customHeight="1" x14ac:dyDescent="0.3">
      <c r="A28" s="3" t="s">
        <v>21</v>
      </c>
      <c r="B28" s="3" t="s">
        <v>39</v>
      </c>
      <c r="C28" s="3" t="s">
        <v>56</v>
      </c>
      <c r="D28" s="3" t="s">
        <v>25</v>
      </c>
      <c r="E28" s="3" t="s">
        <v>25</v>
      </c>
      <c r="F28" s="3" t="s">
        <v>57</v>
      </c>
      <c r="G28" s="3" t="s">
        <v>58</v>
      </c>
      <c r="H28" s="3" t="s">
        <v>34</v>
      </c>
      <c r="I28" s="6">
        <v>44440</v>
      </c>
      <c r="J28" s="4">
        <v>1022</v>
      </c>
      <c r="K28" s="4">
        <v>1022</v>
      </c>
      <c r="L28" s="4">
        <v>46.192</v>
      </c>
      <c r="M28" s="4">
        <v>46.192</v>
      </c>
      <c r="N28" s="4">
        <v>0</v>
      </c>
      <c r="O28" s="4">
        <v>0</v>
      </c>
      <c r="P28" s="4">
        <v>0</v>
      </c>
      <c r="Q28" s="3" t="s">
        <v>59</v>
      </c>
      <c r="R28" s="3">
        <v>5343</v>
      </c>
      <c r="S28" s="3" t="s">
        <v>126</v>
      </c>
      <c r="T28" s="3" t="s">
        <v>373</v>
      </c>
      <c r="U28" s="3">
        <v>5</v>
      </c>
      <c r="V28" s="3">
        <v>7</v>
      </c>
      <c r="W28" s="3">
        <v>0</v>
      </c>
    </row>
    <row r="29" spans="1:23" ht="11.25" customHeight="1" x14ac:dyDescent="0.3">
      <c r="A29" s="3" t="s">
        <v>21</v>
      </c>
      <c r="B29" s="3" t="s">
        <v>39</v>
      </c>
      <c r="C29" s="3" t="s">
        <v>56</v>
      </c>
      <c r="D29" s="3" t="s">
        <v>25</v>
      </c>
      <c r="E29" s="3" t="s">
        <v>25</v>
      </c>
      <c r="F29" s="3" t="s">
        <v>57</v>
      </c>
      <c r="G29" s="3" t="s">
        <v>58</v>
      </c>
      <c r="H29" s="3" t="s">
        <v>34</v>
      </c>
      <c r="I29" s="6">
        <v>44470</v>
      </c>
      <c r="J29" s="4">
        <v>1327</v>
      </c>
      <c r="K29" s="4">
        <v>1327</v>
      </c>
      <c r="L29" s="4">
        <v>47.36</v>
      </c>
      <c r="M29" s="4">
        <v>47.36</v>
      </c>
      <c r="N29" s="4">
        <v>0</v>
      </c>
      <c r="O29" s="4">
        <v>0</v>
      </c>
      <c r="P29" s="4">
        <v>0</v>
      </c>
      <c r="Q29" s="3" t="s">
        <v>59</v>
      </c>
      <c r="R29" s="3">
        <v>5343</v>
      </c>
      <c r="S29" s="3" t="s">
        <v>127</v>
      </c>
      <c r="T29" s="3" t="s">
        <v>374</v>
      </c>
      <c r="U29" s="3">
        <v>5</v>
      </c>
      <c r="V29" s="3">
        <v>7</v>
      </c>
      <c r="W29" s="3">
        <v>0</v>
      </c>
    </row>
    <row r="30" spans="1:23" ht="11.25" customHeight="1" x14ac:dyDescent="0.3">
      <c r="A30" s="3" t="s">
        <v>21</v>
      </c>
      <c r="B30" s="3" t="s">
        <v>39</v>
      </c>
      <c r="C30" s="3" t="s">
        <v>56</v>
      </c>
      <c r="D30" s="3" t="s">
        <v>25</v>
      </c>
      <c r="E30" s="3" t="s">
        <v>25</v>
      </c>
      <c r="F30" s="3" t="s">
        <v>57</v>
      </c>
      <c r="G30" s="3" t="s">
        <v>58</v>
      </c>
      <c r="H30" s="3" t="s">
        <v>34</v>
      </c>
      <c r="I30" s="6">
        <v>44501</v>
      </c>
      <c r="J30" s="4">
        <v>1479</v>
      </c>
      <c r="K30" s="4">
        <v>1479</v>
      </c>
      <c r="L30" s="4">
        <v>59.170999999999999</v>
      </c>
      <c r="M30" s="4">
        <v>59.170999999999999</v>
      </c>
      <c r="N30" s="4">
        <v>0</v>
      </c>
      <c r="O30" s="4">
        <v>0</v>
      </c>
      <c r="P30" s="4">
        <v>0</v>
      </c>
      <c r="Q30" s="3" t="s">
        <v>59</v>
      </c>
      <c r="R30" s="3">
        <v>5343</v>
      </c>
      <c r="S30" s="3" t="s">
        <v>128</v>
      </c>
      <c r="T30" s="3" t="s">
        <v>375</v>
      </c>
      <c r="U30" s="3">
        <v>5</v>
      </c>
      <c r="V30" s="3">
        <v>7</v>
      </c>
      <c r="W30" s="3">
        <v>0</v>
      </c>
    </row>
    <row r="31" spans="1:23" ht="11.25" customHeight="1" x14ac:dyDescent="0.3">
      <c r="A31" s="3" t="s">
        <v>21</v>
      </c>
      <c r="B31" s="3" t="s">
        <v>39</v>
      </c>
      <c r="C31" s="3" t="s">
        <v>56</v>
      </c>
      <c r="D31" s="3" t="s">
        <v>25</v>
      </c>
      <c r="E31" s="3" t="s">
        <v>25</v>
      </c>
      <c r="F31" s="3" t="s">
        <v>57</v>
      </c>
      <c r="G31" s="3" t="s">
        <v>58</v>
      </c>
      <c r="H31" s="3" t="s">
        <v>34</v>
      </c>
      <c r="I31" s="6">
        <v>44531</v>
      </c>
      <c r="J31" s="4">
        <v>1755</v>
      </c>
      <c r="K31" s="4">
        <v>1755</v>
      </c>
      <c r="L31" s="4">
        <v>78.418000000000006</v>
      </c>
      <c r="M31" s="4">
        <v>78.418000000000006</v>
      </c>
      <c r="N31" s="4">
        <v>0</v>
      </c>
      <c r="O31" s="4">
        <v>0</v>
      </c>
      <c r="P31" s="4">
        <v>0</v>
      </c>
      <c r="Q31" s="3" t="s">
        <v>59</v>
      </c>
      <c r="R31" s="3">
        <v>5343</v>
      </c>
      <c r="S31" s="3" t="s">
        <v>129</v>
      </c>
      <c r="T31" s="3" t="s">
        <v>376</v>
      </c>
      <c r="U31" s="3">
        <v>5</v>
      </c>
      <c r="V31" s="3">
        <v>7</v>
      </c>
      <c r="W31" s="3">
        <v>0</v>
      </c>
    </row>
    <row r="32" spans="1:23" ht="11.25" customHeight="1" x14ac:dyDescent="0.3">
      <c r="A32" s="3" t="s">
        <v>21</v>
      </c>
      <c r="B32" s="3" t="s">
        <v>39</v>
      </c>
      <c r="C32" s="3" t="s">
        <v>56</v>
      </c>
      <c r="D32" s="3" t="s">
        <v>25</v>
      </c>
      <c r="E32" s="3" t="s">
        <v>25</v>
      </c>
      <c r="F32" s="3" t="s">
        <v>57</v>
      </c>
      <c r="G32" s="3" t="s">
        <v>58</v>
      </c>
      <c r="H32" s="3" t="s">
        <v>34</v>
      </c>
      <c r="I32" s="6">
        <v>44562</v>
      </c>
      <c r="J32" s="4">
        <v>2111</v>
      </c>
      <c r="K32" s="4">
        <v>2111</v>
      </c>
      <c r="L32" s="4">
        <v>76.768000000000001</v>
      </c>
      <c r="M32" s="4">
        <v>76.768000000000001</v>
      </c>
      <c r="N32" s="4">
        <v>0</v>
      </c>
      <c r="O32" s="4">
        <v>0</v>
      </c>
      <c r="P32" s="4">
        <v>0</v>
      </c>
      <c r="Q32" s="3" t="s">
        <v>59</v>
      </c>
      <c r="R32" s="3">
        <v>5343</v>
      </c>
      <c r="S32" s="3" t="s">
        <v>130</v>
      </c>
      <c r="T32" s="3" t="s">
        <v>377</v>
      </c>
      <c r="U32" s="3">
        <v>5</v>
      </c>
      <c r="V32" s="3">
        <v>7</v>
      </c>
      <c r="W32" s="3">
        <v>0</v>
      </c>
    </row>
    <row r="33" spans="1:23" ht="11.25" customHeight="1" x14ac:dyDescent="0.3">
      <c r="A33" s="3" t="s">
        <v>21</v>
      </c>
      <c r="B33" s="3" t="s">
        <v>39</v>
      </c>
      <c r="C33" s="3" t="s">
        <v>56</v>
      </c>
      <c r="D33" s="3" t="s">
        <v>25</v>
      </c>
      <c r="E33" s="3" t="s">
        <v>25</v>
      </c>
      <c r="F33" s="3" t="s">
        <v>57</v>
      </c>
      <c r="G33" s="3" t="s">
        <v>58</v>
      </c>
      <c r="H33" s="3" t="s">
        <v>34</v>
      </c>
      <c r="I33" s="6">
        <v>44593</v>
      </c>
      <c r="J33" s="4">
        <v>1529</v>
      </c>
      <c r="K33" s="4">
        <v>1529</v>
      </c>
      <c r="L33" s="4">
        <v>60.723999999999997</v>
      </c>
      <c r="M33" s="4">
        <v>60.723999999999997</v>
      </c>
      <c r="N33" s="4">
        <v>0</v>
      </c>
      <c r="O33" s="4">
        <v>0</v>
      </c>
      <c r="P33" s="4">
        <v>0</v>
      </c>
      <c r="Q33" s="3" t="s">
        <v>59</v>
      </c>
      <c r="R33" s="3">
        <v>5343</v>
      </c>
      <c r="S33" s="3" t="s">
        <v>131</v>
      </c>
      <c r="T33" s="3" t="s">
        <v>378</v>
      </c>
      <c r="U33" s="3">
        <v>5</v>
      </c>
      <c r="V33" s="3">
        <v>7</v>
      </c>
      <c r="W33" s="3">
        <v>0</v>
      </c>
    </row>
    <row r="34" spans="1:23" ht="11.25" customHeight="1" x14ac:dyDescent="0.3">
      <c r="A34" s="3" t="s">
        <v>21</v>
      </c>
      <c r="B34" s="3" t="s">
        <v>39</v>
      </c>
      <c r="C34" s="3" t="s">
        <v>56</v>
      </c>
      <c r="D34" s="3" t="s">
        <v>25</v>
      </c>
      <c r="E34" s="3" t="s">
        <v>25</v>
      </c>
      <c r="F34" s="3" t="s">
        <v>57</v>
      </c>
      <c r="G34" s="3" t="s">
        <v>58</v>
      </c>
      <c r="H34" s="3" t="s">
        <v>34</v>
      </c>
      <c r="I34" s="6">
        <v>44621</v>
      </c>
      <c r="J34" s="4">
        <v>1264</v>
      </c>
      <c r="K34" s="4">
        <v>1264</v>
      </c>
      <c r="L34" s="4">
        <v>58.777000000000001</v>
      </c>
      <c r="M34" s="4">
        <v>58.777000000000001</v>
      </c>
      <c r="N34" s="4">
        <v>0</v>
      </c>
      <c r="O34" s="4">
        <v>0</v>
      </c>
      <c r="P34" s="4">
        <v>0</v>
      </c>
      <c r="Q34" s="3" t="s">
        <v>59</v>
      </c>
      <c r="R34" s="3">
        <v>5343</v>
      </c>
      <c r="S34" s="3" t="s">
        <v>132</v>
      </c>
      <c r="T34" s="3" t="s">
        <v>379</v>
      </c>
      <c r="U34" s="3">
        <v>5</v>
      </c>
      <c r="V34" s="3">
        <v>7</v>
      </c>
      <c r="W34" s="3">
        <v>0</v>
      </c>
    </row>
    <row r="35" spans="1:23" ht="11.25" customHeight="1" x14ac:dyDescent="0.3">
      <c r="A35" s="3" t="s">
        <v>21</v>
      </c>
      <c r="B35" s="3" t="s">
        <v>39</v>
      </c>
      <c r="C35" s="3" t="s">
        <v>56</v>
      </c>
      <c r="D35" s="3" t="s">
        <v>25</v>
      </c>
      <c r="E35" s="3" t="s">
        <v>25</v>
      </c>
      <c r="F35" s="3" t="s">
        <v>57</v>
      </c>
      <c r="G35" s="3" t="s">
        <v>58</v>
      </c>
      <c r="H35" s="3" t="s">
        <v>34</v>
      </c>
      <c r="I35" s="6">
        <v>44652</v>
      </c>
      <c r="J35" s="4">
        <v>1361</v>
      </c>
      <c r="K35" s="4">
        <v>1361</v>
      </c>
      <c r="L35" s="4">
        <v>49.344999999999999</v>
      </c>
      <c r="M35" s="4">
        <v>49.344999999999999</v>
      </c>
      <c r="N35" s="4">
        <v>0</v>
      </c>
      <c r="O35" s="4">
        <v>0</v>
      </c>
      <c r="P35" s="4">
        <v>0</v>
      </c>
      <c r="Q35" s="3" t="s">
        <v>59</v>
      </c>
      <c r="R35" s="3">
        <v>5343</v>
      </c>
      <c r="S35" s="3" t="s">
        <v>133</v>
      </c>
      <c r="T35" s="3" t="s">
        <v>380</v>
      </c>
      <c r="U35" s="3">
        <v>5</v>
      </c>
      <c r="V35" s="3">
        <v>7</v>
      </c>
      <c r="W35" s="3">
        <v>0</v>
      </c>
    </row>
    <row r="36" spans="1:23" ht="11.25" customHeight="1" x14ac:dyDescent="0.3">
      <c r="A36" s="3" t="s">
        <v>21</v>
      </c>
      <c r="B36" s="3" t="s">
        <v>39</v>
      </c>
      <c r="C36" s="3" t="s">
        <v>56</v>
      </c>
      <c r="D36" s="3" t="s">
        <v>25</v>
      </c>
      <c r="E36" s="3" t="s">
        <v>25</v>
      </c>
      <c r="F36" s="3" t="s">
        <v>57</v>
      </c>
      <c r="G36" s="3" t="s">
        <v>58</v>
      </c>
      <c r="H36" s="3" t="s">
        <v>34</v>
      </c>
      <c r="I36" s="6">
        <v>44682</v>
      </c>
      <c r="J36" s="4">
        <v>1251</v>
      </c>
      <c r="K36" s="4">
        <v>1251</v>
      </c>
      <c r="L36" s="4">
        <v>50.286000000000001</v>
      </c>
      <c r="M36" s="4">
        <v>50.286000000000001</v>
      </c>
      <c r="N36" s="4">
        <v>0</v>
      </c>
      <c r="O36" s="4">
        <v>0</v>
      </c>
      <c r="P36" s="4">
        <v>0</v>
      </c>
      <c r="Q36" s="3" t="s">
        <v>59</v>
      </c>
      <c r="R36" s="3">
        <v>5343</v>
      </c>
      <c r="S36" s="3" t="s">
        <v>134</v>
      </c>
      <c r="T36" s="3" t="s">
        <v>381</v>
      </c>
      <c r="U36" s="3">
        <v>5</v>
      </c>
      <c r="V36" s="3">
        <v>7</v>
      </c>
      <c r="W36" s="3">
        <v>0</v>
      </c>
    </row>
    <row r="37" spans="1:23" ht="11.25" customHeight="1" x14ac:dyDescent="0.3">
      <c r="A37" s="3" t="s">
        <v>21</v>
      </c>
      <c r="B37" s="3" t="s">
        <v>39</v>
      </c>
      <c r="C37" s="3" t="s">
        <v>56</v>
      </c>
      <c r="D37" s="3" t="s">
        <v>25</v>
      </c>
      <c r="E37" s="3" t="s">
        <v>25</v>
      </c>
      <c r="F37" s="3" t="s">
        <v>57</v>
      </c>
      <c r="G37" s="3" t="s">
        <v>58</v>
      </c>
      <c r="H37" s="3" t="s">
        <v>34</v>
      </c>
      <c r="I37" s="6">
        <v>44713</v>
      </c>
      <c r="J37" s="4">
        <v>1161</v>
      </c>
      <c r="K37" s="4">
        <v>1161</v>
      </c>
      <c r="L37" s="4">
        <v>50.335000000000001</v>
      </c>
      <c r="M37" s="4">
        <v>50.335000000000001</v>
      </c>
      <c r="N37" s="4">
        <v>0</v>
      </c>
      <c r="O37" s="4">
        <v>0</v>
      </c>
      <c r="P37" s="4">
        <v>0</v>
      </c>
      <c r="Q37" s="3" t="s">
        <v>59</v>
      </c>
      <c r="R37" s="3">
        <v>5343</v>
      </c>
      <c r="S37" s="3" t="s">
        <v>135</v>
      </c>
      <c r="T37" s="3" t="s">
        <v>382</v>
      </c>
      <c r="U37" s="3">
        <v>5</v>
      </c>
      <c r="V37" s="3">
        <v>7</v>
      </c>
      <c r="W37" s="3">
        <v>0</v>
      </c>
    </row>
    <row r="38" spans="1:23" ht="11.25" customHeight="1" x14ac:dyDescent="0.3">
      <c r="A38" s="3" t="s">
        <v>21</v>
      </c>
      <c r="B38" s="3" t="s">
        <v>39</v>
      </c>
      <c r="C38" s="3" t="s">
        <v>40</v>
      </c>
      <c r="D38" s="3" t="s">
        <v>41</v>
      </c>
      <c r="E38" s="3" t="s">
        <v>25</v>
      </c>
      <c r="F38" s="3" t="s">
        <v>25</v>
      </c>
      <c r="G38" s="3" t="s">
        <v>25</v>
      </c>
      <c r="H38" s="3" t="s">
        <v>35</v>
      </c>
      <c r="I38" s="6">
        <v>44378</v>
      </c>
      <c r="J38" s="4">
        <v>0</v>
      </c>
      <c r="K38" s="4">
        <v>0</v>
      </c>
      <c r="L38" s="4">
        <v>381.26100000000002</v>
      </c>
      <c r="M38" s="4">
        <v>381.26100000000002</v>
      </c>
      <c r="N38" s="4">
        <v>381.26100000000002</v>
      </c>
      <c r="O38" s="4">
        <v>381.26100000000002</v>
      </c>
      <c r="P38" s="4">
        <v>0</v>
      </c>
      <c r="Q38" s="3" t="s">
        <v>26</v>
      </c>
      <c r="R38" s="3">
        <v>0</v>
      </c>
      <c r="S38" s="3" t="s">
        <v>136</v>
      </c>
      <c r="T38" s="3" t="s">
        <v>383</v>
      </c>
      <c r="U38" s="3">
        <v>0</v>
      </c>
      <c r="V38" s="3">
        <v>11</v>
      </c>
      <c r="W38" s="3">
        <v>52</v>
      </c>
    </row>
    <row r="39" spans="1:23" ht="11.25" customHeight="1" x14ac:dyDescent="0.3">
      <c r="A39" s="3" t="s">
        <v>27</v>
      </c>
      <c r="B39" s="3" t="s">
        <v>39</v>
      </c>
      <c r="C39" s="3" t="s">
        <v>40</v>
      </c>
      <c r="D39" s="3" t="s">
        <v>41</v>
      </c>
      <c r="E39" s="3" t="s">
        <v>25</v>
      </c>
      <c r="F39" s="3" t="s">
        <v>25</v>
      </c>
      <c r="G39" s="3" t="s">
        <v>25</v>
      </c>
      <c r="H39" s="3" t="s">
        <v>35</v>
      </c>
      <c r="I39" s="6">
        <v>44378</v>
      </c>
      <c r="J39" s="4">
        <v>0</v>
      </c>
      <c r="K39" s="4">
        <v>0</v>
      </c>
      <c r="L39" s="4">
        <v>-61.5</v>
      </c>
      <c r="M39" s="4">
        <v>-61.5</v>
      </c>
      <c r="N39" s="4">
        <v>-61.5</v>
      </c>
      <c r="O39" s="4">
        <v>-61.5</v>
      </c>
      <c r="P39" s="4">
        <v>0</v>
      </c>
      <c r="Q39" s="3" t="s">
        <v>26</v>
      </c>
      <c r="R39" s="3">
        <v>0</v>
      </c>
      <c r="S39" s="3" t="s">
        <v>136</v>
      </c>
      <c r="T39" s="3" t="s">
        <v>383</v>
      </c>
      <c r="U39" s="3">
        <v>0</v>
      </c>
      <c r="V39" s="3">
        <v>11</v>
      </c>
      <c r="W39" s="3">
        <v>52</v>
      </c>
    </row>
    <row r="40" spans="1:23" ht="11.25" customHeight="1" x14ac:dyDescent="0.3">
      <c r="A40" s="3" t="s">
        <v>28</v>
      </c>
      <c r="B40" s="3" t="s">
        <v>39</v>
      </c>
      <c r="C40" s="3" t="s">
        <v>40</v>
      </c>
      <c r="D40" s="3" t="s">
        <v>41</v>
      </c>
      <c r="E40" s="3" t="s">
        <v>25</v>
      </c>
      <c r="F40" s="3" t="s">
        <v>25</v>
      </c>
      <c r="G40" s="3" t="s">
        <v>25</v>
      </c>
      <c r="H40" s="3" t="s">
        <v>35</v>
      </c>
      <c r="I40" s="6">
        <v>44378</v>
      </c>
      <c r="J40" s="4">
        <v>0</v>
      </c>
      <c r="K40" s="4">
        <v>0</v>
      </c>
      <c r="L40" s="4">
        <v>3.1920000000000002</v>
      </c>
      <c r="M40" s="4">
        <v>3.1920000000000002</v>
      </c>
      <c r="N40" s="4">
        <v>3.1920000000000002</v>
      </c>
      <c r="O40" s="4">
        <v>3.1920000000000002</v>
      </c>
      <c r="P40" s="4">
        <v>0</v>
      </c>
      <c r="Q40" s="3" t="s">
        <v>26</v>
      </c>
      <c r="R40" s="3">
        <v>0</v>
      </c>
      <c r="S40" s="3" t="s">
        <v>136</v>
      </c>
      <c r="T40" s="3" t="s">
        <v>383</v>
      </c>
      <c r="U40" s="3">
        <v>0</v>
      </c>
      <c r="V40" s="3">
        <v>11</v>
      </c>
      <c r="W40" s="3">
        <v>52</v>
      </c>
    </row>
    <row r="41" spans="1:23" ht="11.25" customHeight="1" x14ac:dyDescent="0.3">
      <c r="A41" s="3" t="s">
        <v>21</v>
      </c>
      <c r="B41" s="3" t="s">
        <v>39</v>
      </c>
      <c r="C41" s="3" t="s">
        <v>40</v>
      </c>
      <c r="D41" s="3" t="s">
        <v>41</v>
      </c>
      <c r="E41" s="3" t="s">
        <v>25</v>
      </c>
      <c r="F41" s="3" t="s">
        <v>25</v>
      </c>
      <c r="G41" s="3" t="s">
        <v>25</v>
      </c>
      <c r="H41" s="3" t="s">
        <v>35</v>
      </c>
      <c r="I41" s="6">
        <v>44409</v>
      </c>
      <c r="J41" s="4">
        <v>0</v>
      </c>
      <c r="K41" s="4">
        <v>0</v>
      </c>
      <c r="L41" s="4">
        <v>263.887</v>
      </c>
      <c r="M41" s="4">
        <v>263.887</v>
      </c>
      <c r="N41" s="4">
        <v>263.887</v>
      </c>
      <c r="O41" s="4">
        <v>263.887</v>
      </c>
      <c r="P41" s="4">
        <v>0</v>
      </c>
      <c r="Q41" s="3" t="s">
        <v>26</v>
      </c>
      <c r="R41" s="3">
        <v>0</v>
      </c>
      <c r="S41" s="3" t="s">
        <v>137</v>
      </c>
      <c r="T41" s="3" t="s">
        <v>384</v>
      </c>
      <c r="U41" s="3">
        <v>0</v>
      </c>
      <c r="V41" s="3">
        <v>11</v>
      </c>
      <c r="W41" s="3">
        <v>52</v>
      </c>
    </row>
    <row r="42" spans="1:23" ht="11.25" customHeight="1" x14ac:dyDescent="0.3">
      <c r="A42" s="3" t="s">
        <v>27</v>
      </c>
      <c r="B42" s="3" t="s">
        <v>39</v>
      </c>
      <c r="C42" s="3" t="s">
        <v>40</v>
      </c>
      <c r="D42" s="3" t="s">
        <v>41</v>
      </c>
      <c r="E42" s="3" t="s">
        <v>25</v>
      </c>
      <c r="F42" s="3" t="s">
        <v>25</v>
      </c>
      <c r="G42" s="3" t="s">
        <v>25</v>
      </c>
      <c r="H42" s="3" t="s">
        <v>35</v>
      </c>
      <c r="I42" s="6">
        <v>44409</v>
      </c>
      <c r="J42" s="4">
        <v>0</v>
      </c>
      <c r="K42" s="4">
        <v>0</v>
      </c>
      <c r="L42" s="4">
        <v>-61.5</v>
      </c>
      <c r="M42" s="4">
        <v>-61.5</v>
      </c>
      <c r="N42" s="4">
        <v>-61.5</v>
      </c>
      <c r="O42" s="4">
        <v>-61.5</v>
      </c>
      <c r="P42" s="4">
        <v>0</v>
      </c>
      <c r="Q42" s="3" t="s">
        <v>26</v>
      </c>
      <c r="R42" s="3">
        <v>0</v>
      </c>
      <c r="S42" s="3" t="s">
        <v>137</v>
      </c>
      <c r="T42" s="3" t="s">
        <v>384</v>
      </c>
      <c r="U42" s="3">
        <v>0</v>
      </c>
      <c r="V42" s="3">
        <v>11</v>
      </c>
      <c r="W42" s="3">
        <v>52</v>
      </c>
    </row>
    <row r="43" spans="1:23" ht="11.25" customHeight="1" x14ac:dyDescent="0.3">
      <c r="A43" s="3" t="s">
        <v>28</v>
      </c>
      <c r="B43" s="3" t="s">
        <v>39</v>
      </c>
      <c r="C43" s="3" t="s">
        <v>40</v>
      </c>
      <c r="D43" s="3" t="s">
        <v>41</v>
      </c>
      <c r="E43" s="3" t="s">
        <v>25</v>
      </c>
      <c r="F43" s="3" t="s">
        <v>25</v>
      </c>
      <c r="G43" s="3" t="s">
        <v>25</v>
      </c>
      <c r="H43" s="3" t="s">
        <v>35</v>
      </c>
      <c r="I43" s="6">
        <v>44409</v>
      </c>
      <c r="J43" s="4">
        <v>0</v>
      </c>
      <c r="K43" s="4">
        <v>0</v>
      </c>
      <c r="L43" s="4">
        <v>0.71099999999999997</v>
      </c>
      <c r="M43" s="4">
        <v>0.71099999999999997</v>
      </c>
      <c r="N43" s="4">
        <v>0.71099999999999997</v>
      </c>
      <c r="O43" s="4">
        <v>0.71099999999999997</v>
      </c>
      <c r="P43" s="4">
        <v>0</v>
      </c>
      <c r="Q43" s="3" t="s">
        <v>26</v>
      </c>
      <c r="R43" s="3">
        <v>0</v>
      </c>
      <c r="S43" s="3" t="s">
        <v>137</v>
      </c>
      <c r="T43" s="3" t="s">
        <v>384</v>
      </c>
      <c r="U43" s="3">
        <v>0</v>
      </c>
      <c r="V43" s="3">
        <v>11</v>
      </c>
      <c r="W43" s="3">
        <v>52</v>
      </c>
    </row>
    <row r="44" spans="1:23" ht="11.25" customHeight="1" x14ac:dyDescent="0.3">
      <c r="A44" s="3" t="s">
        <v>21</v>
      </c>
      <c r="B44" s="3" t="s">
        <v>39</v>
      </c>
      <c r="C44" s="3" t="s">
        <v>40</v>
      </c>
      <c r="D44" s="3" t="s">
        <v>41</v>
      </c>
      <c r="E44" s="3" t="s">
        <v>25</v>
      </c>
      <c r="F44" s="3" t="s">
        <v>25</v>
      </c>
      <c r="G44" s="3" t="s">
        <v>25</v>
      </c>
      <c r="H44" s="3" t="s">
        <v>35</v>
      </c>
      <c r="I44" s="6">
        <v>44440</v>
      </c>
      <c r="J44" s="4">
        <v>0</v>
      </c>
      <c r="K44" s="4">
        <v>0</v>
      </c>
      <c r="L44" s="4">
        <v>287.11900000000003</v>
      </c>
      <c r="M44" s="4">
        <v>287.11900000000003</v>
      </c>
      <c r="N44" s="4">
        <v>287.11900000000003</v>
      </c>
      <c r="O44" s="4">
        <v>287.11900000000003</v>
      </c>
      <c r="P44" s="4">
        <v>0</v>
      </c>
      <c r="Q44" s="3" t="s">
        <v>26</v>
      </c>
      <c r="R44" s="3">
        <v>0</v>
      </c>
      <c r="S44" s="3" t="s">
        <v>138</v>
      </c>
      <c r="T44" s="3" t="s">
        <v>385</v>
      </c>
      <c r="U44" s="3">
        <v>0</v>
      </c>
      <c r="V44" s="3">
        <v>11</v>
      </c>
      <c r="W44" s="3">
        <v>52</v>
      </c>
    </row>
    <row r="45" spans="1:23" ht="11.25" customHeight="1" x14ac:dyDescent="0.3">
      <c r="A45" s="3" t="s">
        <v>21</v>
      </c>
      <c r="B45" s="3" t="s">
        <v>39</v>
      </c>
      <c r="C45" s="3" t="s">
        <v>40</v>
      </c>
      <c r="D45" s="3" t="s">
        <v>41</v>
      </c>
      <c r="E45" s="3" t="s">
        <v>25</v>
      </c>
      <c r="F45" s="3" t="s">
        <v>25</v>
      </c>
      <c r="G45" s="3" t="s">
        <v>25</v>
      </c>
      <c r="H45" s="3" t="s">
        <v>35</v>
      </c>
      <c r="I45" s="6">
        <v>44470</v>
      </c>
      <c r="J45" s="4">
        <v>0</v>
      </c>
      <c r="K45" s="4">
        <v>0</v>
      </c>
      <c r="L45" s="4">
        <v>333.03199999999998</v>
      </c>
      <c r="M45" s="4">
        <v>333.03199999999998</v>
      </c>
      <c r="N45" s="4">
        <v>333.03199999999998</v>
      </c>
      <c r="O45" s="4">
        <v>333.03199999999998</v>
      </c>
      <c r="P45" s="4">
        <v>0</v>
      </c>
      <c r="Q45" s="3" t="s">
        <v>26</v>
      </c>
      <c r="R45" s="3">
        <v>0</v>
      </c>
      <c r="S45" s="3" t="s">
        <v>139</v>
      </c>
      <c r="T45" s="3" t="s">
        <v>386</v>
      </c>
      <c r="U45" s="3">
        <v>0</v>
      </c>
      <c r="V45" s="3">
        <v>11</v>
      </c>
      <c r="W45" s="3">
        <v>52</v>
      </c>
    </row>
    <row r="46" spans="1:23" ht="11.25" customHeight="1" x14ac:dyDescent="0.3">
      <c r="A46" s="3" t="s">
        <v>21</v>
      </c>
      <c r="B46" s="3" t="s">
        <v>39</v>
      </c>
      <c r="C46" s="3" t="s">
        <v>40</v>
      </c>
      <c r="D46" s="3" t="s">
        <v>41</v>
      </c>
      <c r="E46" s="3" t="s">
        <v>25</v>
      </c>
      <c r="F46" s="3" t="s">
        <v>25</v>
      </c>
      <c r="G46" s="3" t="s">
        <v>25</v>
      </c>
      <c r="H46" s="3" t="s">
        <v>35</v>
      </c>
      <c r="I46" s="6">
        <v>44501</v>
      </c>
      <c r="J46" s="4">
        <v>0</v>
      </c>
      <c r="K46" s="4">
        <v>0</v>
      </c>
      <c r="L46" s="4">
        <v>368.75799999999998</v>
      </c>
      <c r="M46" s="4">
        <v>368.75799999999998</v>
      </c>
      <c r="N46" s="4">
        <v>368.75799999999998</v>
      </c>
      <c r="O46" s="4">
        <v>368.75799999999998</v>
      </c>
      <c r="P46" s="4">
        <v>0</v>
      </c>
      <c r="Q46" s="3" t="s">
        <v>26</v>
      </c>
      <c r="R46" s="3">
        <v>0</v>
      </c>
      <c r="S46" s="3" t="s">
        <v>140</v>
      </c>
      <c r="T46" s="3" t="s">
        <v>387</v>
      </c>
      <c r="U46" s="3">
        <v>0</v>
      </c>
      <c r="V46" s="3">
        <v>11</v>
      </c>
      <c r="W46" s="3">
        <v>52</v>
      </c>
    </row>
    <row r="47" spans="1:23" ht="11.25" customHeight="1" x14ac:dyDescent="0.3">
      <c r="A47" s="3" t="s">
        <v>21</v>
      </c>
      <c r="B47" s="3" t="s">
        <v>39</v>
      </c>
      <c r="C47" s="3" t="s">
        <v>40</v>
      </c>
      <c r="D47" s="3" t="s">
        <v>41</v>
      </c>
      <c r="E47" s="3" t="s">
        <v>25</v>
      </c>
      <c r="F47" s="3" t="s">
        <v>25</v>
      </c>
      <c r="G47" s="3" t="s">
        <v>25</v>
      </c>
      <c r="H47" s="3" t="s">
        <v>35</v>
      </c>
      <c r="I47" s="6">
        <v>44531</v>
      </c>
      <c r="J47" s="4">
        <v>0</v>
      </c>
      <c r="K47" s="4">
        <v>0</v>
      </c>
      <c r="L47" s="4">
        <v>427.34500000000003</v>
      </c>
      <c r="M47" s="4">
        <v>427.34500000000003</v>
      </c>
      <c r="N47" s="4">
        <v>427.34500000000003</v>
      </c>
      <c r="O47" s="4">
        <v>427.34500000000003</v>
      </c>
      <c r="P47" s="4">
        <v>0</v>
      </c>
      <c r="Q47" s="3" t="s">
        <v>26</v>
      </c>
      <c r="R47" s="3">
        <v>0</v>
      </c>
      <c r="S47" s="3" t="s">
        <v>141</v>
      </c>
      <c r="T47" s="3" t="s">
        <v>388</v>
      </c>
      <c r="U47" s="3">
        <v>0</v>
      </c>
      <c r="V47" s="3">
        <v>11</v>
      </c>
      <c r="W47" s="3">
        <v>52</v>
      </c>
    </row>
    <row r="48" spans="1:23" ht="11.25" customHeight="1" x14ac:dyDescent="0.3">
      <c r="A48" s="3" t="s">
        <v>21</v>
      </c>
      <c r="B48" s="3" t="s">
        <v>39</v>
      </c>
      <c r="C48" s="3" t="s">
        <v>40</v>
      </c>
      <c r="D48" s="3" t="s">
        <v>41</v>
      </c>
      <c r="E48" s="3" t="s">
        <v>25</v>
      </c>
      <c r="F48" s="3" t="s">
        <v>25</v>
      </c>
      <c r="G48" s="3" t="s">
        <v>25</v>
      </c>
      <c r="H48" s="3" t="s">
        <v>35</v>
      </c>
      <c r="I48" s="6">
        <v>44562</v>
      </c>
      <c r="J48" s="4">
        <v>0</v>
      </c>
      <c r="K48" s="4">
        <v>0</v>
      </c>
      <c r="L48" s="4">
        <v>474.13299999999998</v>
      </c>
      <c r="M48" s="4">
        <v>474.13299999999998</v>
      </c>
      <c r="N48" s="4">
        <v>474.13299999999998</v>
      </c>
      <c r="O48" s="4">
        <v>474.13299999999998</v>
      </c>
      <c r="P48" s="4">
        <v>0</v>
      </c>
      <c r="Q48" s="3" t="s">
        <v>26</v>
      </c>
      <c r="R48" s="3">
        <v>0</v>
      </c>
      <c r="S48" s="3" t="s">
        <v>142</v>
      </c>
      <c r="T48" s="3" t="s">
        <v>389</v>
      </c>
      <c r="U48" s="3">
        <v>0</v>
      </c>
      <c r="V48" s="3">
        <v>11</v>
      </c>
      <c r="W48" s="3">
        <v>52</v>
      </c>
    </row>
    <row r="49" spans="1:23" ht="11.25" customHeight="1" x14ac:dyDescent="0.3">
      <c r="A49" s="3" t="s">
        <v>21</v>
      </c>
      <c r="B49" s="3" t="s">
        <v>39</v>
      </c>
      <c r="C49" s="3" t="s">
        <v>40</v>
      </c>
      <c r="D49" s="3" t="s">
        <v>41</v>
      </c>
      <c r="E49" s="3" t="s">
        <v>25</v>
      </c>
      <c r="F49" s="3" t="s">
        <v>25</v>
      </c>
      <c r="G49" s="3" t="s">
        <v>25</v>
      </c>
      <c r="H49" s="3" t="s">
        <v>35</v>
      </c>
      <c r="I49" s="6">
        <v>44593</v>
      </c>
      <c r="J49" s="4">
        <v>0</v>
      </c>
      <c r="K49" s="4">
        <v>0</v>
      </c>
      <c r="L49" s="4">
        <v>421.13200000000001</v>
      </c>
      <c r="M49" s="4">
        <v>421.13200000000001</v>
      </c>
      <c r="N49" s="4">
        <v>421.13200000000001</v>
      </c>
      <c r="O49" s="4">
        <v>421.13200000000001</v>
      </c>
      <c r="P49" s="4">
        <v>0</v>
      </c>
      <c r="Q49" s="3" t="s">
        <v>26</v>
      </c>
      <c r="R49" s="3">
        <v>0</v>
      </c>
      <c r="S49" s="3" t="s">
        <v>143</v>
      </c>
      <c r="T49" s="3" t="s">
        <v>390</v>
      </c>
      <c r="U49" s="3">
        <v>0</v>
      </c>
      <c r="V49" s="3">
        <v>11</v>
      </c>
      <c r="W49" s="3">
        <v>52</v>
      </c>
    </row>
    <row r="50" spans="1:23" ht="11.25" customHeight="1" x14ac:dyDescent="0.3">
      <c r="A50" s="3" t="s">
        <v>21</v>
      </c>
      <c r="B50" s="3" t="s">
        <v>39</v>
      </c>
      <c r="C50" s="3" t="s">
        <v>40</v>
      </c>
      <c r="D50" s="3" t="s">
        <v>41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44621</v>
      </c>
      <c r="J50" s="4">
        <v>0</v>
      </c>
      <c r="K50" s="4">
        <v>0</v>
      </c>
      <c r="L50" s="4">
        <v>502.01299999999998</v>
      </c>
      <c r="M50" s="4">
        <v>502.01299999999998</v>
      </c>
      <c r="N50" s="4">
        <v>502.01299999999998</v>
      </c>
      <c r="O50" s="4">
        <v>502.01299999999998</v>
      </c>
      <c r="P50" s="4">
        <v>0</v>
      </c>
      <c r="Q50" s="3" t="s">
        <v>26</v>
      </c>
      <c r="R50" s="3">
        <v>0</v>
      </c>
      <c r="S50" s="3" t="s">
        <v>144</v>
      </c>
      <c r="T50" s="3" t="s">
        <v>391</v>
      </c>
      <c r="U50" s="3">
        <v>0</v>
      </c>
      <c r="V50" s="3">
        <v>11</v>
      </c>
      <c r="W50" s="3">
        <v>52</v>
      </c>
    </row>
    <row r="51" spans="1:23" ht="11.25" customHeight="1" x14ac:dyDescent="0.3">
      <c r="A51" s="3" t="s">
        <v>21</v>
      </c>
      <c r="B51" s="3" t="s">
        <v>39</v>
      </c>
      <c r="C51" s="3" t="s">
        <v>40</v>
      </c>
      <c r="D51" s="3" t="s">
        <v>41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44652</v>
      </c>
      <c r="J51" s="4">
        <v>0</v>
      </c>
      <c r="K51" s="4">
        <v>0</v>
      </c>
      <c r="L51" s="4">
        <v>547.298</v>
      </c>
      <c r="M51" s="4">
        <v>547.298</v>
      </c>
      <c r="N51" s="4">
        <v>547.298</v>
      </c>
      <c r="O51" s="4">
        <v>547.298</v>
      </c>
      <c r="P51" s="4">
        <v>0</v>
      </c>
      <c r="Q51" s="3" t="s">
        <v>26</v>
      </c>
      <c r="R51" s="3">
        <v>0</v>
      </c>
      <c r="S51" s="3" t="s">
        <v>145</v>
      </c>
      <c r="T51" s="3" t="s">
        <v>392</v>
      </c>
      <c r="U51" s="3">
        <v>0</v>
      </c>
      <c r="V51" s="3">
        <v>11</v>
      </c>
      <c r="W51" s="3">
        <v>52</v>
      </c>
    </row>
    <row r="52" spans="1:23" ht="11.25" customHeight="1" x14ac:dyDescent="0.3">
      <c r="A52" s="3" t="s">
        <v>21</v>
      </c>
      <c r="B52" s="3" t="s">
        <v>39</v>
      </c>
      <c r="C52" s="3" t="s">
        <v>40</v>
      </c>
      <c r="D52" s="3" t="s">
        <v>41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44682</v>
      </c>
      <c r="J52" s="4">
        <v>0</v>
      </c>
      <c r="K52" s="4">
        <v>0</v>
      </c>
      <c r="L52" s="4">
        <v>493.75799999999998</v>
      </c>
      <c r="M52" s="4">
        <v>493.75799999999998</v>
      </c>
      <c r="N52" s="4">
        <v>493.75799999999998</v>
      </c>
      <c r="O52" s="4">
        <v>493.75799999999998</v>
      </c>
      <c r="P52" s="4">
        <v>0</v>
      </c>
      <c r="Q52" s="3" t="s">
        <v>26</v>
      </c>
      <c r="R52" s="3">
        <v>0</v>
      </c>
      <c r="S52" s="3" t="s">
        <v>146</v>
      </c>
      <c r="T52" s="3" t="s">
        <v>393</v>
      </c>
      <c r="U52" s="3">
        <v>0</v>
      </c>
      <c r="V52" s="3">
        <v>11</v>
      </c>
      <c r="W52" s="3">
        <v>52</v>
      </c>
    </row>
    <row r="53" spans="1:23" ht="11.25" customHeight="1" x14ac:dyDescent="0.3">
      <c r="A53" s="3" t="s">
        <v>21</v>
      </c>
      <c r="B53" s="3" t="s">
        <v>39</v>
      </c>
      <c r="C53" s="3" t="s">
        <v>40</v>
      </c>
      <c r="D53" s="3" t="s">
        <v>41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44713</v>
      </c>
      <c r="J53" s="4">
        <v>0</v>
      </c>
      <c r="K53" s="4">
        <v>0</v>
      </c>
      <c r="L53" s="4">
        <v>409.387</v>
      </c>
      <c r="M53" s="4">
        <v>409.387</v>
      </c>
      <c r="N53" s="4">
        <v>409.387</v>
      </c>
      <c r="O53" s="4">
        <v>409.387</v>
      </c>
      <c r="P53" s="4">
        <v>0</v>
      </c>
      <c r="Q53" s="3" t="s">
        <v>26</v>
      </c>
      <c r="R53" s="3">
        <v>0</v>
      </c>
      <c r="S53" s="3" t="s">
        <v>147</v>
      </c>
      <c r="T53" s="3" t="s">
        <v>394</v>
      </c>
      <c r="U53" s="3">
        <v>0</v>
      </c>
      <c r="V53" s="3">
        <v>11</v>
      </c>
      <c r="W53" s="3">
        <v>52</v>
      </c>
    </row>
    <row r="54" spans="1:23" ht="11.25" customHeight="1" x14ac:dyDescent="0.3">
      <c r="A54" s="3" t="s">
        <v>28</v>
      </c>
      <c r="B54" s="3" t="s">
        <v>39</v>
      </c>
      <c r="C54" s="3" t="s">
        <v>40</v>
      </c>
      <c r="D54" s="3" t="s">
        <v>41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44713</v>
      </c>
      <c r="J54" s="4">
        <v>0</v>
      </c>
      <c r="K54" s="4">
        <v>0</v>
      </c>
      <c r="L54" s="4">
        <v>2.411</v>
      </c>
      <c r="M54" s="4">
        <v>2.411</v>
      </c>
      <c r="N54" s="4">
        <v>2.411</v>
      </c>
      <c r="O54" s="4">
        <v>2.411</v>
      </c>
      <c r="P54" s="4">
        <v>0</v>
      </c>
      <c r="Q54" s="3" t="s">
        <v>26</v>
      </c>
      <c r="R54" s="3">
        <v>0</v>
      </c>
      <c r="S54" s="3" t="s">
        <v>147</v>
      </c>
      <c r="T54" s="3" t="s">
        <v>394</v>
      </c>
      <c r="U54" s="3">
        <v>0</v>
      </c>
      <c r="V54" s="3">
        <v>11</v>
      </c>
      <c r="W54" s="3">
        <v>52</v>
      </c>
    </row>
    <row r="55" spans="1:23" ht="11.25" customHeight="1" x14ac:dyDescent="0.3">
      <c r="A55" s="3" t="s">
        <v>21</v>
      </c>
      <c r="B55" s="3" t="s">
        <v>39</v>
      </c>
      <c r="C55" s="3" t="s">
        <v>40</v>
      </c>
      <c r="D55" s="3" t="s">
        <v>41</v>
      </c>
      <c r="E55" s="3" t="s">
        <v>25</v>
      </c>
      <c r="F55" s="3" t="s">
        <v>25</v>
      </c>
      <c r="G55" s="3" t="s">
        <v>25</v>
      </c>
      <c r="H55" s="3" t="s">
        <v>25</v>
      </c>
      <c r="I55" s="6">
        <v>44378</v>
      </c>
      <c r="J55" s="4">
        <v>2876</v>
      </c>
      <c r="K55" s="4">
        <v>2876</v>
      </c>
      <c r="L55" s="4">
        <v>0</v>
      </c>
      <c r="M55" s="4">
        <v>0</v>
      </c>
      <c r="N55" s="4">
        <v>0</v>
      </c>
      <c r="O55" s="4">
        <v>0</v>
      </c>
      <c r="P55" s="4">
        <v>23</v>
      </c>
      <c r="Q55" s="3" t="s">
        <v>26</v>
      </c>
      <c r="R55" s="3">
        <v>0</v>
      </c>
      <c r="S55" s="3" t="s">
        <v>148</v>
      </c>
      <c r="U55" s="3">
        <v>9</v>
      </c>
      <c r="V55" s="3">
        <v>0</v>
      </c>
      <c r="W55" s="3">
        <v>0</v>
      </c>
    </row>
    <row r="56" spans="1:23" ht="11.25" customHeight="1" x14ac:dyDescent="0.3">
      <c r="A56" s="3" t="s">
        <v>28</v>
      </c>
      <c r="B56" s="3" t="s">
        <v>39</v>
      </c>
      <c r="C56" s="3" t="s">
        <v>40</v>
      </c>
      <c r="D56" s="3" t="s">
        <v>41</v>
      </c>
      <c r="E56" s="3" t="s">
        <v>25</v>
      </c>
      <c r="F56" s="3" t="s">
        <v>25</v>
      </c>
      <c r="G56" s="3" t="s">
        <v>25</v>
      </c>
      <c r="H56" s="3" t="s">
        <v>25</v>
      </c>
      <c r="I56" s="6">
        <v>44378</v>
      </c>
      <c r="J56" s="4">
        <v>54</v>
      </c>
      <c r="K56" s="4">
        <v>54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3" t="s">
        <v>26</v>
      </c>
      <c r="R56" s="3">
        <v>0</v>
      </c>
      <c r="S56" s="3" t="s">
        <v>148</v>
      </c>
      <c r="U56" s="3">
        <v>9</v>
      </c>
      <c r="V56" s="3">
        <v>0</v>
      </c>
      <c r="W56" s="3">
        <v>0</v>
      </c>
    </row>
    <row r="57" spans="1:23" ht="11.25" customHeight="1" x14ac:dyDescent="0.3">
      <c r="A57" s="3" t="s">
        <v>21</v>
      </c>
      <c r="B57" s="3" t="s">
        <v>39</v>
      </c>
      <c r="C57" s="3" t="s">
        <v>40</v>
      </c>
      <c r="D57" s="3" t="s">
        <v>41</v>
      </c>
      <c r="E57" s="3" t="s">
        <v>25</v>
      </c>
      <c r="F57" s="3" t="s">
        <v>25</v>
      </c>
      <c r="G57" s="3" t="s">
        <v>25</v>
      </c>
      <c r="H57" s="3" t="s">
        <v>25</v>
      </c>
      <c r="I57" s="6">
        <v>44409</v>
      </c>
      <c r="J57" s="4">
        <v>2539</v>
      </c>
      <c r="K57" s="4">
        <v>2539</v>
      </c>
      <c r="L57" s="4">
        <v>0</v>
      </c>
      <c r="M57" s="4">
        <v>0</v>
      </c>
      <c r="N57" s="4">
        <v>0</v>
      </c>
      <c r="O57" s="4">
        <v>0</v>
      </c>
      <c r="P57" s="4">
        <v>22</v>
      </c>
      <c r="Q57" s="3" t="s">
        <v>26</v>
      </c>
      <c r="R57" s="3">
        <v>0</v>
      </c>
      <c r="S57" s="3" t="s">
        <v>149</v>
      </c>
      <c r="U57" s="3">
        <v>9</v>
      </c>
      <c r="V57" s="3">
        <v>0</v>
      </c>
      <c r="W57" s="3">
        <v>0</v>
      </c>
    </row>
    <row r="58" spans="1:23" ht="11.25" customHeight="1" x14ac:dyDescent="0.3">
      <c r="A58" s="3" t="s">
        <v>28</v>
      </c>
      <c r="B58" s="3" t="s">
        <v>39</v>
      </c>
      <c r="C58" s="3" t="s">
        <v>40</v>
      </c>
      <c r="D58" s="3" t="s">
        <v>41</v>
      </c>
      <c r="E58" s="3" t="s">
        <v>25</v>
      </c>
      <c r="F58" s="3" t="s">
        <v>25</v>
      </c>
      <c r="G58" s="3" t="s">
        <v>25</v>
      </c>
      <c r="H58" s="3" t="s">
        <v>25</v>
      </c>
      <c r="I58" s="6">
        <v>44409</v>
      </c>
      <c r="J58" s="4">
        <v>53</v>
      </c>
      <c r="K58" s="4">
        <v>53</v>
      </c>
      <c r="L58" s="4">
        <v>0</v>
      </c>
      <c r="M58" s="4">
        <v>0</v>
      </c>
      <c r="N58" s="4">
        <v>0</v>
      </c>
      <c r="O58" s="4">
        <v>0</v>
      </c>
      <c r="P58" s="4">
        <v>1</v>
      </c>
      <c r="Q58" s="3" t="s">
        <v>26</v>
      </c>
      <c r="R58" s="3">
        <v>0</v>
      </c>
      <c r="S58" s="3" t="s">
        <v>149</v>
      </c>
      <c r="U58" s="3">
        <v>9</v>
      </c>
      <c r="V58" s="3">
        <v>0</v>
      </c>
      <c r="W58" s="3">
        <v>0</v>
      </c>
    </row>
    <row r="59" spans="1:23" ht="11.25" customHeight="1" x14ac:dyDescent="0.3">
      <c r="A59" s="3" t="s">
        <v>21</v>
      </c>
      <c r="B59" s="3" t="s">
        <v>39</v>
      </c>
      <c r="C59" s="3" t="s">
        <v>40</v>
      </c>
      <c r="D59" s="3" t="s">
        <v>41</v>
      </c>
      <c r="E59" s="3" t="s">
        <v>25</v>
      </c>
      <c r="F59" s="3" t="s">
        <v>25</v>
      </c>
      <c r="G59" s="3" t="s">
        <v>25</v>
      </c>
      <c r="H59" s="3" t="s">
        <v>25</v>
      </c>
      <c r="I59" s="6">
        <v>44440</v>
      </c>
      <c r="J59" s="4">
        <v>2605</v>
      </c>
      <c r="K59" s="4">
        <v>2605</v>
      </c>
      <c r="L59" s="4">
        <v>0</v>
      </c>
      <c r="M59" s="4">
        <v>0</v>
      </c>
      <c r="N59" s="4">
        <v>0</v>
      </c>
      <c r="O59" s="4">
        <v>0</v>
      </c>
      <c r="P59" s="4">
        <v>22</v>
      </c>
      <c r="Q59" s="3" t="s">
        <v>26</v>
      </c>
      <c r="R59" s="3">
        <v>0</v>
      </c>
      <c r="S59" s="3" t="s">
        <v>150</v>
      </c>
      <c r="U59" s="3">
        <v>9</v>
      </c>
      <c r="V59" s="3">
        <v>0</v>
      </c>
      <c r="W59" s="3">
        <v>0</v>
      </c>
    </row>
    <row r="60" spans="1:23" ht="11.25" customHeight="1" x14ac:dyDescent="0.3">
      <c r="A60" s="3" t="s">
        <v>28</v>
      </c>
      <c r="B60" s="3" t="s">
        <v>39</v>
      </c>
      <c r="C60" s="3" t="s">
        <v>40</v>
      </c>
      <c r="D60" s="3" t="s">
        <v>41</v>
      </c>
      <c r="E60" s="3" t="s">
        <v>25</v>
      </c>
      <c r="F60" s="3" t="s">
        <v>25</v>
      </c>
      <c r="G60" s="3" t="s">
        <v>25</v>
      </c>
      <c r="H60" s="3" t="s">
        <v>25</v>
      </c>
      <c r="I60" s="6">
        <v>44440</v>
      </c>
      <c r="J60" s="4">
        <v>31</v>
      </c>
      <c r="K60" s="4">
        <v>31</v>
      </c>
      <c r="L60" s="4">
        <v>0</v>
      </c>
      <c r="M60" s="4">
        <v>0</v>
      </c>
      <c r="N60" s="4">
        <v>0</v>
      </c>
      <c r="O60" s="4">
        <v>0</v>
      </c>
      <c r="P60" s="4">
        <v>1</v>
      </c>
      <c r="Q60" s="3" t="s">
        <v>26</v>
      </c>
      <c r="R60" s="3">
        <v>0</v>
      </c>
      <c r="S60" s="3" t="s">
        <v>150</v>
      </c>
      <c r="U60" s="3">
        <v>9</v>
      </c>
      <c r="V60" s="3">
        <v>0</v>
      </c>
      <c r="W60" s="3">
        <v>0</v>
      </c>
    </row>
    <row r="61" spans="1:23" ht="11.25" customHeight="1" x14ac:dyDescent="0.3">
      <c r="A61" s="3" t="s">
        <v>21</v>
      </c>
      <c r="B61" s="3" t="s">
        <v>39</v>
      </c>
      <c r="C61" s="3" t="s">
        <v>40</v>
      </c>
      <c r="D61" s="3" t="s">
        <v>41</v>
      </c>
      <c r="E61" s="3" t="s">
        <v>25</v>
      </c>
      <c r="F61" s="3" t="s">
        <v>25</v>
      </c>
      <c r="G61" s="3" t="s">
        <v>25</v>
      </c>
      <c r="H61" s="3" t="s">
        <v>25</v>
      </c>
      <c r="I61" s="6">
        <v>44470</v>
      </c>
      <c r="J61" s="4">
        <v>2778</v>
      </c>
      <c r="K61" s="4">
        <v>2778</v>
      </c>
      <c r="L61" s="4">
        <v>0</v>
      </c>
      <c r="M61" s="4">
        <v>0</v>
      </c>
      <c r="N61" s="4">
        <v>0</v>
      </c>
      <c r="O61" s="4">
        <v>0</v>
      </c>
      <c r="P61" s="4">
        <v>22</v>
      </c>
      <c r="Q61" s="3" t="s">
        <v>26</v>
      </c>
      <c r="R61" s="3">
        <v>0</v>
      </c>
      <c r="S61" s="3" t="s">
        <v>151</v>
      </c>
      <c r="U61" s="3">
        <v>9</v>
      </c>
      <c r="V61" s="3">
        <v>0</v>
      </c>
      <c r="W61" s="3">
        <v>0</v>
      </c>
    </row>
    <row r="62" spans="1:23" ht="11.25" customHeight="1" x14ac:dyDescent="0.3">
      <c r="A62" s="3" t="s">
        <v>28</v>
      </c>
      <c r="B62" s="3" t="s">
        <v>39</v>
      </c>
      <c r="C62" s="3" t="s">
        <v>40</v>
      </c>
      <c r="D62" s="3" t="s">
        <v>41</v>
      </c>
      <c r="E62" s="3" t="s">
        <v>25</v>
      </c>
      <c r="F62" s="3" t="s">
        <v>25</v>
      </c>
      <c r="G62" s="3" t="s">
        <v>25</v>
      </c>
      <c r="H62" s="3" t="s">
        <v>25</v>
      </c>
      <c r="I62" s="6">
        <v>44470</v>
      </c>
      <c r="J62" s="4">
        <v>30</v>
      </c>
      <c r="K62" s="4">
        <v>30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3" t="s">
        <v>26</v>
      </c>
      <c r="R62" s="3">
        <v>0</v>
      </c>
      <c r="S62" s="3" t="s">
        <v>151</v>
      </c>
      <c r="U62" s="3">
        <v>9</v>
      </c>
      <c r="V62" s="3">
        <v>0</v>
      </c>
      <c r="W62" s="3">
        <v>0</v>
      </c>
    </row>
    <row r="63" spans="1:23" ht="11.25" customHeight="1" x14ac:dyDescent="0.3">
      <c r="A63" s="3" t="s">
        <v>21</v>
      </c>
      <c r="B63" s="3" t="s">
        <v>39</v>
      </c>
      <c r="C63" s="3" t="s">
        <v>40</v>
      </c>
      <c r="D63" s="3" t="s">
        <v>41</v>
      </c>
      <c r="E63" s="3" t="s">
        <v>25</v>
      </c>
      <c r="F63" s="3" t="s">
        <v>25</v>
      </c>
      <c r="G63" s="3" t="s">
        <v>25</v>
      </c>
      <c r="H63" s="3" t="s">
        <v>25</v>
      </c>
      <c r="I63" s="6">
        <v>44501</v>
      </c>
      <c r="J63" s="4">
        <v>2850</v>
      </c>
      <c r="K63" s="4">
        <v>2850</v>
      </c>
      <c r="L63" s="4">
        <v>0</v>
      </c>
      <c r="M63" s="4">
        <v>0</v>
      </c>
      <c r="N63" s="4">
        <v>0</v>
      </c>
      <c r="O63" s="4">
        <v>0</v>
      </c>
      <c r="P63" s="4">
        <v>22</v>
      </c>
      <c r="Q63" s="3" t="s">
        <v>26</v>
      </c>
      <c r="R63" s="3">
        <v>0</v>
      </c>
      <c r="S63" s="3" t="s">
        <v>152</v>
      </c>
      <c r="U63" s="3">
        <v>9</v>
      </c>
      <c r="V63" s="3">
        <v>0</v>
      </c>
      <c r="W63" s="3">
        <v>0</v>
      </c>
    </row>
    <row r="64" spans="1:23" ht="11.25" customHeight="1" x14ac:dyDescent="0.3">
      <c r="A64" s="3" t="s">
        <v>28</v>
      </c>
      <c r="B64" s="3" t="s">
        <v>39</v>
      </c>
      <c r="C64" s="3" t="s">
        <v>40</v>
      </c>
      <c r="D64" s="3" t="s">
        <v>41</v>
      </c>
      <c r="E64" s="3" t="s">
        <v>25</v>
      </c>
      <c r="F64" s="3" t="s">
        <v>25</v>
      </c>
      <c r="G64" s="3" t="s">
        <v>25</v>
      </c>
      <c r="H64" s="3" t="s">
        <v>25</v>
      </c>
      <c r="I64" s="6">
        <v>44501</v>
      </c>
      <c r="J64" s="4">
        <v>35</v>
      </c>
      <c r="K64" s="4">
        <v>35</v>
      </c>
      <c r="L64" s="4">
        <v>0</v>
      </c>
      <c r="M64" s="4">
        <v>0</v>
      </c>
      <c r="N64" s="4">
        <v>0</v>
      </c>
      <c r="O64" s="4">
        <v>0</v>
      </c>
      <c r="P64" s="4">
        <v>1</v>
      </c>
      <c r="Q64" s="3" t="s">
        <v>26</v>
      </c>
      <c r="R64" s="3">
        <v>0</v>
      </c>
      <c r="S64" s="3" t="s">
        <v>152</v>
      </c>
      <c r="U64" s="3">
        <v>9</v>
      </c>
      <c r="V64" s="3">
        <v>0</v>
      </c>
      <c r="W64" s="3">
        <v>0</v>
      </c>
    </row>
    <row r="65" spans="1:23" ht="11.25" customHeight="1" x14ac:dyDescent="0.3">
      <c r="A65" s="3" t="s">
        <v>21</v>
      </c>
      <c r="B65" s="3" t="s">
        <v>39</v>
      </c>
      <c r="C65" s="3" t="s">
        <v>40</v>
      </c>
      <c r="D65" s="3" t="s">
        <v>41</v>
      </c>
      <c r="E65" s="3" t="s">
        <v>25</v>
      </c>
      <c r="F65" s="3" t="s">
        <v>25</v>
      </c>
      <c r="G65" s="3" t="s">
        <v>25</v>
      </c>
      <c r="H65" s="3" t="s">
        <v>25</v>
      </c>
      <c r="I65" s="6">
        <v>44531</v>
      </c>
      <c r="J65" s="4">
        <v>3018</v>
      </c>
      <c r="K65" s="4">
        <v>3018</v>
      </c>
      <c r="L65" s="4">
        <v>0</v>
      </c>
      <c r="M65" s="4">
        <v>0</v>
      </c>
      <c r="N65" s="4">
        <v>0</v>
      </c>
      <c r="O65" s="4">
        <v>0</v>
      </c>
      <c r="P65" s="4">
        <v>22</v>
      </c>
      <c r="Q65" s="3" t="s">
        <v>26</v>
      </c>
      <c r="R65" s="3">
        <v>0</v>
      </c>
      <c r="S65" s="3" t="s">
        <v>153</v>
      </c>
      <c r="U65" s="3">
        <v>9</v>
      </c>
      <c r="V65" s="3">
        <v>0</v>
      </c>
      <c r="W65" s="3">
        <v>0</v>
      </c>
    </row>
    <row r="66" spans="1:23" ht="11.25" customHeight="1" x14ac:dyDescent="0.3">
      <c r="A66" s="3" t="s">
        <v>28</v>
      </c>
      <c r="B66" s="3" t="s">
        <v>39</v>
      </c>
      <c r="C66" s="3" t="s">
        <v>40</v>
      </c>
      <c r="D66" s="3" t="s">
        <v>41</v>
      </c>
      <c r="E66" s="3" t="s">
        <v>25</v>
      </c>
      <c r="F66" s="3" t="s">
        <v>25</v>
      </c>
      <c r="G66" s="3" t="s">
        <v>25</v>
      </c>
      <c r="H66" s="3" t="s">
        <v>25</v>
      </c>
      <c r="I66" s="6">
        <v>44531</v>
      </c>
      <c r="J66" s="4">
        <v>31</v>
      </c>
      <c r="K66" s="4">
        <v>31</v>
      </c>
      <c r="L66" s="4">
        <v>0</v>
      </c>
      <c r="M66" s="4">
        <v>0</v>
      </c>
      <c r="N66" s="4">
        <v>0</v>
      </c>
      <c r="O66" s="4">
        <v>0</v>
      </c>
      <c r="P66" s="4">
        <v>1</v>
      </c>
      <c r="Q66" s="3" t="s">
        <v>26</v>
      </c>
      <c r="R66" s="3">
        <v>0</v>
      </c>
      <c r="S66" s="3" t="s">
        <v>153</v>
      </c>
      <c r="U66" s="3">
        <v>9</v>
      </c>
      <c r="V66" s="3">
        <v>0</v>
      </c>
      <c r="W66" s="3">
        <v>0</v>
      </c>
    </row>
    <row r="67" spans="1:23" ht="11.25" customHeight="1" x14ac:dyDescent="0.3">
      <c r="A67" s="3" t="s">
        <v>21</v>
      </c>
      <c r="B67" s="3" t="s">
        <v>39</v>
      </c>
      <c r="C67" s="3" t="s">
        <v>40</v>
      </c>
      <c r="D67" s="3" t="s">
        <v>41</v>
      </c>
      <c r="E67" s="3" t="s">
        <v>25</v>
      </c>
      <c r="F67" s="3" t="s">
        <v>25</v>
      </c>
      <c r="G67" s="3" t="s">
        <v>25</v>
      </c>
      <c r="H67" s="3" t="s">
        <v>25</v>
      </c>
      <c r="I67" s="6">
        <v>44562</v>
      </c>
      <c r="J67" s="4">
        <v>3076</v>
      </c>
      <c r="K67" s="4">
        <v>3076</v>
      </c>
      <c r="L67" s="4">
        <v>0</v>
      </c>
      <c r="M67" s="4">
        <v>0</v>
      </c>
      <c r="N67" s="4">
        <v>0</v>
      </c>
      <c r="O67" s="4">
        <v>0</v>
      </c>
      <c r="P67" s="4">
        <v>22</v>
      </c>
      <c r="Q67" s="3" t="s">
        <v>26</v>
      </c>
      <c r="R67" s="3">
        <v>0</v>
      </c>
      <c r="S67" s="3" t="s">
        <v>154</v>
      </c>
      <c r="U67" s="3">
        <v>9</v>
      </c>
      <c r="V67" s="3">
        <v>0</v>
      </c>
      <c r="W67" s="3">
        <v>0</v>
      </c>
    </row>
    <row r="68" spans="1:23" ht="11.25" customHeight="1" x14ac:dyDescent="0.3">
      <c r="A68" s="3" t="s">
        <v>28</v>
      </c>
      <c r="B68" s="3" t="s">
        <v>39</v>
      </c>
      <c r="C68" s="3" t="s">
        <v>40</v>
      </c>
      <c r="D68" s="3" t="s">
        <v>41</v>
      </c>
      <c r="E68" s="3" t="s">
        <v>25</v>
      </c>
      <c r="F68" s="3" t="s">
        <v>25</v>
      </c>
      <c r="G68" s="3" t="s">
        <v>25</v>
      </c>
      <c r="H68" s="3" t="s">
        <v>25</v>
      </c>
      <c r="I68" s="6">
        <v>44562</v>
      </c>
      <c r="J68" s="4">
        <v>40</v>
      </c>
      <c r="K68" s="4">
        <v>40</v>
      </c>
      <c r="L68" s="4">
        <v>0</v>
      </c>
      <c r="M68" s="4">
        <v>0</v>
      </c>
      <c r="N68" s="4">
        <v>0</v>
      </c>
      <c r="O68" s="4">
        <v>0</v>
      </c>
      <c r="P68" s="4">
        <v>1</v>
      </c>
      <c r="Q68" s="3" t="s">
        <v>26</v>
      </c>
      <c r="R68" s="3">
        <v>0</v>
      </c>
      <c r="S68" s="3" t="s">
        <v>154</v>
      </c>
      <c r="U68" s="3">
        <v>9</v>
      </c>
      <c r="V68" s="3">
        <v>0</v>
      </c>
      <c r="W68" s="3">
        <v>0</v>
      </c>
    </row>
    <row r="69" spans="1:23" ht="11.25" customHeight="1" x14ac:dyDescent="0.3">
      <c r="A69" s="3" t="s">
        <v>21</v>
      </c>
      <c r="B69" s="3" t="s">
        <v>39</v>
      </c>
      <c r="C69" s="3" t="s">
        <v>40</v>
      </c>
      <c r="D69" s="3" t="s">
        <v>41</v>
      </c>
      <c r="E69" s="3" t="s">
        <v>25</v>
      </c>
      <c r="F69" s="3" t="s">
        <v>25</v>
      </c>
      <c r="G69" s="3" t="s">
        <v>25</v>
      </c>
      <c r="H69" s="3" t="s">
        <v>25</v>
      </c>
      <c r="I69" s="6">
        <v>44593</v>
      </c>
      <c r="J69" s="4">
        <v>3078</v>
      </c>
      <c r="K69" s="4">
        <v>3078</v>
      </c>
      <c r="L69" s="4">
        <v>0</v>
      </c>
      <c r="M69" s="4">
        <v>0</v>
      </c>
      <c r="N69" s="4">
        <v>0</v>
      </c>
      <c r="O69" s="4">
        <v>0</v>
      </c>
      <c r="P69" s="4">
        <v>21</v>
      </c>
      <c r="Q69" s="3" t="s">
        <v>26</v>
      </c>
      <c r="R69" s="3">
        <v>0</v>
      </c>
      <c r="S69" s="3" t="s">
        <v>155</v>
      </c>
      <c r="U69" s="3">
        <v>9</v>
      </c>
      <c r="V69" s="3">
        <v>0</v>
      </c>
      <c r="W69" s="3">
        <v>0</v>
      </c>
    </row>
    <row r="70" spans="1:23" ht="11.25" customHeight="1" x14ac:dyDescent="0.3">
      <c r="A70" s="3" t="s">
        <v>28</v>
      </c>
      <c r="B70" s="3" t="s">
        <v>39</v>
      </c>
      <c r="C70" s="3" t="s">
        <v>40</v>
      </c>
      <c r="D70" s="3" t="s">
        <v>41</v>
      </c>
      <c r="E70" s="3" t="s">
        <v>25</v>
      </c>
      <c r="F70" s="3" t="s">
        <v>25</v>
      </c>
      <c r="G70" s="3" t="s">
        <v>25</v>
      </c>
      <c r="H70" s="3" t="s">
        <v>25</v>
      </c>
      <c r="I70" s="6">
        <v>44593</v>
      </c>
      <c r="J70" s="4">
        <v>40</v>
      </c>
      <c r="K70" s="4">
        <v>40</v>
      </c>
      <c r="L70" s="4">
        <v>0</v>
      </c>
      <c r="M70" s="4">
        <v>0</v>
      </c>
      <c r="N70" s="4">
        <v>0</v>
      </c>
      <c r="O70" s="4">
        <v>0</v>
      </c>
      <c r="P70" s="4">
        <v>1</v>
      </c>
      <c r="Q70" s="3" t="s">
        <v>26</v>
      </c>
      <c r="R70" s="3">
        <v>0</v>
      </c>
      <c r="S70" s="3" t="s">
        <v>155</v>
      </c>
      <c r="U70" s="3">
        <v>9</v>
      </c>
      <c r="V70" s="3">
        <v>0</v>
      </c>
      <c r="W70" s="3">
        <v>0</v>
      </c>
    </row>
    <row r="71" spans="1:23" ht="11.25" customHeight="1" x14ac:dyDescent="0.3">
      <c r="A71" s="3" t="s">
        <v>21</v>
      </c>
      <c r="B71" s="3" t="s">
        <v>39</v>
      </c>
      <c r="C71" s="3" t="s">
        <v>40</v>
      </c>
      <c r="D71" s="3" t="s">
        <v>41</v>
      </c>
      <c r="E71" s="3" t="s">
        <v>25</v>
      </c>
      <c r="F71" s="3" t="s">
        <v>25</v>
      </c>
      <c r="G71" s="3" t="s">
        <v>25</v>
      </c>
      <c r="H71" s="3" t="s">
        <v>25</v>
      </c>
      <c r="I71" s="6">
        <v>44621</v>
      </c>
      <c r="J71" s="4">
        <v>3372</v>
      </c>
      <c r="K71" s="4">
        <v>3372</v>
      </c>
      <c r="L71" s="4">
        <v>0</v>
      </c>
      <c r="M71" s="4">
        <v>0</v>
      </c>
      <c r="N71" s="4">
        <v>0</v>
      </c>
      <c r="O71" s="4">
        <v>0</v>
      </c>
      <c r="P71" s="4">
        <v>21</v>
      </c>
      <c r="Q71" s="3" t="s">
        <v>26</v>
      </c>
      <c r="R71" s="3">
        <v>0</v>
      </c>
      <c r="S71" s="3" t="s">
        <v>156</v>
      </c>
      <c r="U71" s="3">
        <v>9</v>
      </c>
      <c r="V71" s="3">
        <v>0</v>
      </c>
      <c r="W71" s="3">
        <v>0</v>
      </c>
    </row>
    <row r="72" spans="1:23" ht="11.25" customHeight="1" x14ac:dyDescent="0.3">
      <c r="A72" s="3" t="s">
        <v>28</v>
      </c>
      <c r="B72" s="3" t="s">
        <v>39</v>
      </c>
      <c r="C72" s="3" t="s">
        <v>40</v>
      </c>
      <c r="D72" s="3" t="s">
        <v>41</v>
      </c>
      <c r="E72" s="3" t="s">
        <v>25</v>
      </c>
      <c r="F72" s="3" t="s">
        <v>25</v>
      </c>
      <c r="G72" s="3" t="s">
        <v>25</v>
      </c>
      <c r="H72" s="3" t="s">
        <v>25</v>
      </c>
      <c r="I72" s="6">
        <v>44621</v>
      </c>
      <c r="J72" s="4">
        <v>36</v>
      </c>
      <c r="K72" s="4">
        <v>36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3" t="s">
        <v>26</v>
      </c>
      <c r="R72" s="3">
        <v>0</v>
      </c>
      <c r="S72" s="3" t="s">
        <v>156</v>
      </c>
      <c r="U72" s="3">
        <v>9</v>
      </c>
      <c r="V72" s="3">
        <v>0</v>
      </c>
      <c r="W72" s="3">
        <v>0</v>
      </c>
    </row>
    <row r="73" spans="1:23" ht="11.25" customHeight="1" x14ac:dyDescent="0.3">
      <c r="A73" s="3" t="s">
        <v>21</v>
      </c>
      <c r="B73" s="3" t="s">
        <v>39</v>
      </c>
      <c r="C73" s="3" t="s">
        <v>40</v>
      </c>
      <c r="D73" s="3" t="s">
        <v>41</v>
      </c>
      <c r="E73" s="3" t="s">
        <v>25</v>
      </c>
      <c r="F73" s="3" t="s">
        <v>25</v>
      </c>
      <c r="G73" s="3" t="s">
        <v>25</v>
      </c>
      <c r="H73" s="3" t="s">
        <v>25</v>
      </c>
      <c r="I73" s="6">
        <v>44652</v>
      </c>
      <c r="J73" s="4">
        <v>3218</v>
      </c>
      <c r="K73" s="4">
        <v>3218</v>
      </c>
      <c r="L73" s="4">
        <v>0</v>
      </c>
      <c r="M73" s="4">
        <v>0</v>
      </c>
      <c r="N73" s="4">
        <v>0</v>
      </c>
      <c r="O73" s="4">
        <v>0</v>
      </c>
      <c r="P73" s="4">
        <v>21</v>
      </c>
      <c r="Q73" s="3" t="s">
        <v>26</v>
      </c>
      <c r="R73" s="3">
        <v>0</v>
      </c>
      <c r="S73" s="3" t="s">
        <v>157</v>
      </c>
      <c r="U73" s="3">
        <v>9</v>
      </c>
      <c r="V73" s="3">
        <v>0</v>
      </c>
      <c r="W73" s="3">
        <v>0</v>
      </c>
    </row>
    <row r="74" spans="1:23" ht="11.25" customHeight="1" x14ac:dyDescent="0.3">
      <c r="A74" s="3" t="s">
        <v>28</v>
      </c>
      <c r="B74" s="3" t="s">
        <v>39</v>
      </c>
      <c r="C74" s="3" t="s">
        <v>40</v>
      </c>
      <c r="D74" s="3" t="s">
        <v>41</v>
      </c>
      <c r="E74" s="3" t="s">
        <v>25</v>
      </c>
      <c r="F74" s="3" t="s">
        <v>25</v>
      </c>
      <c r="G74" s="3" t="s">
        <v>25</v>
      </c>
      <c r="H74" s="3" t="s">
        <v>25</v>
      </c>
      <c r="I74" s="6">
        <v>44652</v>
      </c>
      <c r="J74" s="4">
        <v>68</v>
      </c>
      <c r="K74" s="4">
        <v>68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3" t="s">
        <v>26</v>
      </c>
      <c r="R74" s="3">
        <v>0</v>
      </c>
      <c r="S74" s="3" t="s">
        <v>157</v>
      </c>
      <c r="U74" s="3">
        <v>9</v>
      </c>
      <c r="V74" s="3">
        <v>0</v>
      </c>
      <c r="W74" s="3">
        <v>0</v>
      </c>
    </row>
    <row r="75" spans="1:23" ht="11.25" customHeight="1" x14ac:dyDescent="0.3">
      <c r="A75" s="3" t="s">
        <v>21</v>
      </c>
      <c r="B75" s="3" t="s">
        <v>39</v>
      </c>
      <c r="C75" s="3" t="s">
        <v>40</v>
      </c>
      <c r="D75" s="3" t="s">
        <v>41</v>
      </c>
      <c r="E75" s="3" t="s">
        <v>25</v>
      </c>
      <c r="F75" s="3" t="s">
        <v>25</v>
      </c>
      <c r="G75" s="3" t="s">
        <v>25</v>
      </c>
      <c r="H75" s="3" t="s">
        <v>25</v>
      </c>
      <c r="I75" s="6">
        <v>44682</v>
      </c>
      <c r="J75" s="4">
        <v>3318</v>
      </c>
      <c r="K75" s="4">
        <v>3318</v>
      </c>
      <c r="L75" s="4">
        <v>0</v>
      </c>
      <c r="M75" s="4">
        <v>0</v>
      </c>
      <c r="N75" s="4">
        <v>0</v>
      </c>
      <c r="O75" s="4">
        <v>0</v>
      </c>
      <c r="P75" s="4">
        <v>21</v>
      </c>
      <c r="Q75" s="3" t="s">
        <v>26</v>
      </c>
      <c r="R75" s="3">
        <v>0</v>
      </c>
      <c r="S75" s="3" t="s">
        <v>158</v>
      </c>
      <c r="U75" s="3">
        <v>9</v>
      </c>
      <c r="V75" s="3">
        <v>0</v>
      </c>
      <c r="W75" s="3">
        <v>0</v>
      </c>
    </row>
    <row r="76" spans="1:23" ht="11.25" customHeight="1" x14ac:dyDescent="0.3">
      <c r="A76" s="3" t="s">
        <v>28</v>
      </c>
      <c r="B76" s="3" t="s">
        <v>39</v>
      </c>
      <c r="C76" s="3" t="s">
        <v>40</v>
      </c>
      <c r="D76" s="3" t="s">
        <v>41</v>
      </c>
      <c r="E76" s="3" t="s">
        <v>25</v>
      </c>
      <c r="F76" s="3" t="s">
        <v>25</v>
      </c>
      <c r="G76" s="3" t="s">
        <v>25</v>
      </c>
      <c r="H76" s="3" t="s">
        <v>25</v>
      </c>
      <c r="I76" s="6">
        <v>44682</v>
      </c>
      <c r="J76" s="4">
        <v>50</v>
      </c>
      <c r="K76" s="4">
        <v>50</v>
      </c>
      <c r="L76" s="4">
        <v>0</v>
      </c>
      <c r="M76" s="4">
        <v>0</v>
      </c>
      <c r="N76" s="4">
        <v>0</v>
      </c>
      <c r="O76" s="4">
        <v>0</v>
      </c>
      <c r="P76" s="4">
        <v>1</v>
      </c>
      <c r="Q76" s="3" t="s">
        <v>26</v>
      </c>
      <c r="R76" s="3">
        <v>0</v>
      </c>
      <c r="S76" s="3" t="s">
        <v>158</v>
      </c>
      <c r="U76" s="3">
        <v>9</v>
      </c>
      <c r="V76" s="3">
        <v>0</v>
      </c>
      <c r="W76" s="3">
        <v>0</v>
      </c>
    </row>
    <row r="77" spans="1:23" ht="11.25" customHeight="1" x14ac:dyDescent="0.3">
      <c r="A77" s="3" t="s">
        <v>21</v>
      </c>
      <c r="B77" s="3" t="s">
        <v>39</v>
      </c>
      <c r="C77" s="3" t="s">
        <v>40</v>
      </c>
      <c r="D77" s="3" t="s">
        <v>41</v>
      </c>
      <c r="E77" s="3" t="s">
        <v>25</v>
      </c>
      <c r="F77" s="3" t="s">
        <v>25</v>
      </c>
      <c r="G77" s="3" t="s">
        <v>25</v>
      </c>
      <c r="H77" s="3" t="s">
        <v>25</v>
      </c>
      <c r="I77" s="6">
        <v>44713</v>
      </c>
      <c r="J77" s="4">
        <v>3163</v>
      </c>
      <c r="K77" s="4">
        <v>3163</v>
      </c>
      <c r="L77" s="4">
        <v>0</v>
      </c>
      <c r="M77" s="4">
        <v>0</v>
      </c>
      <c r="N77" s="4">
        <v>0</v>
      </c>
      <c r="O77" s="4">
        <v>0</v>
      </c>
      <c r="P77" s="4">
        <v>21</v>
      </c>
      <c r="Q77" s="3" t="s">
        <v>26</v>
      </c>
      <c r="R77" s="3">
        <v>0</v>
      </c>
      <c r="S77" s="3" t="s">
        <v>159</v>
      </c>
      <c r="U77" s="3">
        <v>9</v>
      </c>
      <c r="V77" s="3">
        <v>0</v>
      </c>
      <c r="W77" s="3">
        <v>0</v>
      </c>
    </row>
    <row r="78" spans="1:23" ht="11.25" customHeight="1" x14ac:dyDescent="0.3">
      <c r="A78" s="3" t="s">
        <v>28</v>
      </c>
      <c r="B78" s="3" t="s">
        <v>39</v>
      </c>
      <c r="C78" s="3" t="s">
        <v>40</v>
      </c>
      <c r="D78" s="3" t="s">
        <v>41</v>
      </c>
      <c r="E78" s="3" t="s">
        <v>25</v>
      </c>
      <c r="F78" s="3" t="s">
        <v>25</v>
      </c>
      <c r="G78" s="3" t="s">
        <v>25</v>
      </c>
      <c r="H78" s="3" t="s">
        <v>25</v>
      </c>
      <c r="I78" s="6">
        <v>44713</v>
      </c>
      <c r="J78" s="4">
        <v>54</v>
      </c>
      <c r="K78" s="4">
        <v>54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3" t="s">
        <v>26</v>
      </c>
      <c r="R78" s="3">
        <v>0</v>
      </c>
      <c r="S78" s="3" t="s">
        <v>159</v>
      </c>
      <c r="U78" s="3">
        <v>9</v>
      </c>
      <c r="V78" s="3">
        <v>0</v>
      </c>
      <c r="W78" s="3">
        <v>0</v>
      </c>
    </row>
    <row r="79" spans="1:23" ht="11.25" customHeight="1" x14ac:dyDescent="0.3">
      <c r="A79" s="3" t="s">
        <v>21</v>
      </c>
      <c r="B79" s="3" t="s">
        <v>39</v>
      </c>
      <c r="C79" s="3" t="s">
        <v>40</v>
      </c>
      <c r="D79" s="3" t="s">
        <v>41</v>
      </c>
      <c r="E79" s="3" t="s">
        <v>25</v>
      </c>
      <c r="F79" s="3" t="s">
        <v>25</v>
      </c>
      <c r="G79" s="3" t="s">
        <v>25</v>
      </c>
      <c r="H79" s="3" t="s">
        <v>34</v>
      </c>
      <c r="I79" s="6">
        <v>44378</v>
      </c>
      <c r="J79" s="4">
        <v>0</v>
      </c>
      <c r="K79" s="4">
        <v>0</v>
      </c>
      <c r="L79" s="4">
        <v>23.748999999999999</v>
      </c>
      <c r="M79" s="4">
        <v>23.748999999999999</v>
      </c>
      <c r="N79" s="4">
        <v>23.748999999999999</v>
      </c>
      <c r="O79" s="4">
        <v>23.748999999999999</v>
      </c>
      <c r="P79" s="4">
        <v>0</v>
      </c>
      <c r="Q79" s="3" t="s">
        <v>26</v>
      </c>
      <c r="R79" s="3">
        <v>0</v>
      </c>
      <c r="S79" s="3" t="s">
        <v>160</v>
      </c>
      <c r="T79" s="3" t="s">
        <v>399</v>
      </c>
      <c r="U79" s="3">
        <v>0</v>
      </c>
      <c r="V79" s="3">
        <v>10</v>
      </c>
      <c r="W79" s="3">
        <v>51</v>
      </c>
    </row>
    <row r="80" spans="1:23" ht="11.25" customHeight="1" x14ac:dyDescent="0.3">
      <c r="A80" s="3" t="s">
        <v>28</v>
      </c>
      <c r="B80" s="3" t="s">
        <v>39</v>
      </c>
      <c r="C80" s="3" t="s">
        <v>40</v>
      </c>
      <c r="D80" s="3" t="s">
        <v>41</v>
      </c>
      <c r="E80" s="3" t="s">
        <v>25</v>
      </c>
      <c r="F80" s="3" t="s">
        <v>25</v>
      </c>
      <c r="G80" s="3" t="s">
        <v>25</v>
      </c>
      <c r="H80" s="3" t="s">
        <v>34</v>
      </c>
      <c r="I80" s="6">
        <v>44378</v>
      </c>
      <c r="J80" s="4">
        <v>0</v>
      </c>
      <c r="K80" s="4">
        <v>0</v>
      </c>
      <c r="L80" s="4">
        <v>1.258</v>
      </c>
      <c r="M80" s="4">
        <v>1.258</v>
      </c>
      <c r="N80" s="4">
        <v>1.258</v>
      </c>
      <c r="O80" s="4">
        <v>1.258</v>
      </c>
      <c r="P80" s="4">
        <v>0</v>
      </c>
      <c r="Q80" s="3" t="s">
        <v>26</v>
      </c>
      <c r="R80" s="3">
        <v>0</v>
      </c>
      <c r="S80" s="3" t="s">
        <v>160</v>
      </c>
      <c r="T80" s="3" t="s">
        <v>399</v>
      </c>
      <c r="U80" s="3">
        <v>0</v>
      </c>
      <c r="V80" s="3">
        <v>10</v>
      </c>
      <c r="W80" s="3">
        <v>51</v>
      </c>
    </row>
    <row r="81" spans="1:23" ht="11.25" customHeight="1" x14ac:dyDescent="0.3">
      <c r="A81" s="3" t="s">
        <v>21</v>
      </c>
      <c r="B81" s="3" t="s">
        <v>39</v>
      </c>
      <c r="C81" s="3" t="s">
        <v>40</v>
      </c>
      <c r="D81" s="3" t="s">
        <v>41</v>
      </c>
      <c r="E81" s="3" t="s">
        <v>25</v>
      </c>
      <c r="F81" s="3" t="s">
        <v>25</v>
      </c>
      <c r="G81" s="3" t="s">
        <v>25</v>
      </c>
      <c r="H81" s="3" t="s">
        <v>34</v>
      </c>
      <c r="I81" s="6">
        <v>44409</v>
      </c>
      <c r="J81" s="4">
        <v>0</v>
      </c>
      <c r="K81" s="4">
        <v>0</v>
      </c>
      <c r="L81" s="4">
        <v>19.725999999999999</v>
      </c>
      <c r="M81" s="4">
        <v>19.725999999999999</v>
      </c>
      <c r="N81" s="4">
        <v>19.725999999999999</v>
      </c>
      <c r="O81" s="4">
        <v>19.725999999999999</v>
      </c>
      <c r="P81" s="4">
        <v>0</v>
      </c>
      <c r="Q81" s="3" t="s">
        <v>26</v>
      </c>
      <c r="R81" s="3">
        <v>0</v>
      </c>
      <c r="S81" s="3" t="s">
        <v>161</v>
      </c>
      <c r="T81" s="3" t="s">
        <v>400</v>
      </c>
      <c r="U81" s="3">
        <v>0</v>
      </c>
      <c r="V81" s="3">
        <v>10</v>
      </c>
      <c r="W81" s="3">
        <v>51</v>
      </c>
    </row>
    <row r="82" spans="1:23" ht="11.25" customHeight="1" x14ac:dyDescent="0.3">
      <c r="A82" s="3" t="s">
        <v>28</v>
      </c>
      <c r="B82" s="3" t="s">
        <v>39</v>
      </c>
      <c r="C82" s="3" t="s">
        <v>40</v>
      </c>
      <c r="D82" s="3" t="s">
        <v>41</v>
      </c>
      <c r="E82" s="3" t="s">
        <v>25</v>
      </c>
      <c r="F82" s="3" t="s">
        <v>25</v>
      </c>
      <c r="G82" s="3" t="s">
        <v>25</v>
      </c>
      <c r="H82" s="3" t="s">
        <v>34</v>
      </c>
      <c r="I82" s="6">
        <v>44409</v>
      </c>
      <c r="J82" s="4">
        <v>0</v>
      </c>
      <c r="K82" s="4">
        <v>0</v>
      </c>
      <c r="L82" s="4">
        <v>1.046</v>
      </c>
      <c r="M82" s="4">
        <v>1.046</v>
      </c>
      <c r="N82" s="4">
        <v>1.046</v>
      </c>
      <c r="O82" s="4">
        <v>1.046</v>
      </c>
      <c r="P82" s="4">
        <v>0</v>
      </c>
      <c r="Q82" s="3" t="s">
        <v>26</v>
      </c>
      <c r="R82" s="3">
        <v>0</v>
      </c>
      <c r="S82" s="3" t="s">
        <v>161</v>
      </c>
      <c r="T82" s="3" t="s">
        <v>400</v>
      </c>
      <c r="U82" s="3">
        <v>0</v>
      </c>
      <c r="V82" s="3">
        <v>10</v>
      </c>
      <c r="W82" s="3">
        <v>51</v>
      </c>
    </row>
    <row r="83" spans="1:23" ht="11.25" customHeight="1" x14ac:dyDescent="0.3">
      <c r="A83" s="3" t="s">
        <v>21</v>
      </c>
      <c r="B83" s="3" t="s">
        <v>39</v>
      </c>
      <c r="C83" s="3" t="s">
        <v>40</v>
      </c>
      <c r="D83" s="3" t="s">
        <v>41</v>
      </c>
      <c r="E83" s="3" t="s">
        <v>25</v>
      </c>
      <c r="F83" s="3" t="s">
        <v>25</v>
      </c>
      <c r="G83" s="3" t="s">
        <v>25</v>
      </c>
      <c r="H83" s="3" t="s">
        <v>34</v>
      </c>
      <c r="I83" s="6">
        <v>44440</v>
      </c>
      <c r="J83" s="4">
        <v>0</v>
      </c>
      <c r="K83" s="4">
        <v>0</v>
      </c>
      <c r="L83" s="4">
        <v>21.129000000000001</v>
      </c>
      <c r="M83" s="4">
        <v>21.129000000000001</v>
      </c>
      <c r="N83" s="4">
        <v>21.129000000000001</v>
      </c>
      <c r="O83" s="4">
        <v>21.129000000000001</v>
      </c>
      <c r="P83" s="4">
        <v>0</v>
      </c>
      <c r="Q83" s="3" t="s">
        <v>26</v>
      </c>
      <c r="R83" s="3">
        <v>0</v>
      </c>
      <c r="S83" s="3" t="s">
        <v>162</v>
      </c>
      <c r="T83" s="3" t="s">
        <v>401</v>
      </c>
      <c r="U83" s="3">
        <v>0</v>
      </c>
      <c r="V83" s="3">
        <v>10</v>
      </c>
      <c r="W83" s="3">
        <v>51</v>
      </c>
    </row>
    <row r="84" spans="1:23" ht="11.25" customHeight="1" x14ac:dyDescent="0.3">
      <c r="A84" s="3" t="s">
        <v>21</v>
      </c>
      <c r="B84" s="3" t="s">
        <v>39</v>
      </c>
      <c r="C84" s="3" t="s">
        <v>40</v>
      </c>
      <c r="D84" s="3" t="s">
        <v>41</v>
      </c>
      <c r="E84" s="3" t="s">
        <v>25</v>
      </c>
      <c r="F84" s="3" t="s">
        <v>25</v>
      </c>
      <c r="G84" s="3" t="s">
        <v>25</v>
      </c>
      <c r="H84" s="3" t="s">
        <v>34</v>
      </c>
      <c r="I84" s="6">
        <v>44470</v>
      </c>
      <c r="J84" s="4">
        <v>0</v>
      </c>
      <c r="K84" s="4">
        <v>0</v>
      </c>
      <c r="L84" s="4">
        <v>23.539000000000001</v>
      </c>
      <c r="M84" s="4">
        <v>23.539000000000001</v>
      </c>
      <c r="N84" s="4">
        <v>23.539000000000001</v>
      </c>
      <c r="O84" s="4">
        <v>23.539000000000001</v>
      </c>
      <c r="P84" s="4">
        <v>0</v>
      </c>
      <c r="Q84" s="3" t="s">
        <v>26</v>
      </c>
      <c r="R84" s="3">
        <v>0</v>
      </c>
      <c r="S84" s="3" t="s">
        <v>163</v>
      </c>
      <c r="T84" s="3" t="s">
        <v>402</v>
      </c>
      <c r="U84" s="3">
        <v>0</v>
      </c>
      <c r="V84" s="3">
        <v>10</v>
      </c>
      <c r="W84" s="3">
        <v>51</v>
      </c>
    </row>
    <row r="85" spans="1:23" ht="11.25" customHeight="1" x14ac:dyDescent="0.3">
      <c r="A85" s="3" t="s">
        <v>21</v>
      </c>
      <c r="B85" s="3" t="s">
        <v>39</v>
      </c>
      <c r="C85" s="3" t="s">
        <v>40</v>
      </c>
      <c r="D85" s="3" t="s">
        <v>41</v>
      </c>
      <c r="E85" s="3" t="s">
        <v>25</v>
      </c>
      <c r="F85" s="3" t="s">
        <v>25</v>
      </c>
      <c r="G85" s="3" t="s">
        <v>25</v>
      </c>
      <c r="H85" s="3" t="s">
        <v>34</v>
      </c>
      <c r="I85" s="6">
        <v>44501</v>
      </c>
      <c r="J85" s="4">
        <v>0</v>
      </c>
      <c r="K85" s="4">
        <v>0</v>
      </c>
      <c r="L85" s="4">
        <v>28.260999999999999</v>
      </c>
      <c r="M85" s="4">
        <v>28.260999999999999</v>
      </c>
      <c r="N85" s="4">
        <v>28.260999999999999</v>
      </c>
      <c r="O85" s="4">
        <v>28.260999999999999</v>
      </c>
      <c r="P85" s="4">
        <v>0</v>
      </c>
      <c r="Q85" s="3" t="s">
        <v>26</v>
      </c>
      <c r="R85" s="3">
        <v>0</v>
      </c>
      <c r="S85" s="3" t="s">
        <v>164</v>
      </c>
      <c r="T85" s="3" t="s">
        <v>403</v>
      </c>
      <c r="U85" s="3">
        <v>0</v>
      </c>
      <c r="V85" s="3">
        <v>10</v>
      </c>
      <c r="W85" s="3">
        <v>51</v>
      </c>
    </row>
    <row r="86" spans="1:23" ht="11.25" customHeight="1" x14ac:dyDescent="0.3">
      <c r="A86" s="3" t="s">
        <v>21</v>
      </c>
      <c r="B86" s="3" t="s">
        <v>39</v>
      </c>
      <c r="C86" s="3" t="s">
        <v>40</v>
      </c>
      <c r="D86" s="3" t="s">
        <v>41</v>
      </c>
      <c r="E86" s="3" t="s">
        <v>25</v>
      </c>
      <c r="F86" s="3" t="s">
        <v>25</v>
      </c>
      <c r="G86" s="3" t="s">
        <v>25</v>
      </c>
      <c r="H86" s="3" t="s">
        <v>34</v>
      </c>
      <c r="I86" s="6">
        <v>44531</v>
      </c>
      <c r="J86" s="4">
        <v>0</v>
      </c>
      <c r="K86" s="4">
        <v>0</v>
      </c>
      <c r="L86" s="4">
        <v>35.386000000000003</v>
      </c>
      <c r="M86" s="4">
        <v>35.386000000000003</v>
      </c>
      <c r="N86" s="4">
        <v>35.386000000000003</v>
      </c>
      <c r="O86" s="4">
        <v>35.386000000000003</v>
      </c>
      <c r="P86" s="4">
        <v>0</v>
      </c>
      <c r="Q86" s="3" t="s">
        <v>26</v>
      </c>
      <c r="R86" s="3">
        <v>0</v>
      </c>
      <c r="S86" s="3" t="s">
        <v>165</v>
      </c>
      <c r="T86" s="3" t="s">
        <v>404</v>
      </c>
      <c r="U86" s="3">
        <v>0</v>
      </c>
      <c r="V86" s="3">
        <v>10</v>
      </c>
      <c r="W86" s="3">
        <v>51</v>
      </c>
    </row>
    <row r="87" spans="1:23" ht="11.25" customHeight="1" x14ac:dyDescent="0.3">
      <c r="A87" s="3" t="s">
        <v>21</v>
      </c>
      <c r="B87" s="3" t="s">
        <v>39</v>
      </c>
      <c r="C87" s="3" t="s">
        <v>40</v>
      </c>
      <c r="D87" s="3" t="s">
        <v>41</v>
      </c>
      <c r="E87" s="3" t="s">
        <v>25</v>
      </c>
      <c r="F87" s="3" t="s">
        <v>25</v>
      </c>
      <c r="G87" s="3" t="s">
        <v>25</v>
      </c>
      <c r="H87" s="3" t="s">
        <v>34</v>
      </c>
      <c r="I87" s="6">
        <v>44562</v>
      </c>
      <c r="J87" s="4">
        <v>0</v>
      </c>
      <c r="K87" s="4">
        <v>0</v>
      </c>
      <c r="L87" s="4">
        <v>30.181999999999999</v>
      </c>
      <c r="M87" s="4">
        <v>30.181999999999999</v>
      </c>
      <c r="N87" s="4">
        <v>30.181999999999999</v>
      </c>
      <c r="O87" s="4">
        <v>30.181999999999999</v>
      </c>
      <c r="P87" s="4">
        <v>0</v>
      </c>
      <c r="Q87" s="3" t="s">
        <v>26</v>
      </c>
      <c r="R87" s="3">
        <v>0</v>
      </c>
      <c r="S87" s="3" t="s">
        <v>166</v>
      </c>
      <c r="T87" s="3" t="s">
        <v>405</v>
      </c>
      <c r="U87" s="3">
        <v>0</v>
      </c>
      <c r="V87" s="3">
        <v>10</v>
      </c>
      <c r="W87" s="3">
        <v>51</v>
      </c>
    </row>
    <row r="88" spans="1:23" ht="11.25" customHeight="1" x14ac:dyDescent="0.3">
      <c r="A88" s="3" t="s">
        <v>21</v>
      </c>
      <c r="B88" s="3" t="s">
        <v>39</v>
      </c>
      <c r="C88" s="3" t="s">
        <v>40</v>
      </c>
      <c r="D88" s="3" t="s">
        <v>41</v>
      </c>
      <c r="E88" s="3" t="s">
        <v>25</v>
      </c>
      <c r="F88" s="3" t="s">
        <v>25</v>
      </c>
      <c r="G88" s="3" t="s">
        <v>25</v>
      </c>
      <c r="H88" s="3" t="s">
        <v>34</v>
      </c>
      <c r="I88" s="6">
        <v>44593</v>
      </c>
      <c r="J88" s="4">
        <v>0</v>
      </c>
      <c r="K88" s="4">
        <v>0</v>
      </c>
      <c r="L88" s="4">
        <v>30.413</v>
      </c>
      <c r="M88" s="4">
        <v>30.413</v>
      </c>
      <c r="N88" s="4">
        <v>30.413</v>
      </c>
      <c r="O88" s="4">
        <v>30.413</v>
      </c>
      <c r="P88" s="4">
        <v>0</v>
      </c>
      <c r="Q88" s="3" t="s">
        <v>26</v>
      </c>
      <c r="R88" s="3">
        <v>0</v>
      </c>
      <c r="S88" s="3" t="s">
        <v>167</v>
      </c>
      <c r="T88" s="3" t="s">
        <v>406</v>
      </c>
      <c r="U88" s="3">
        <v>0</v>
      </c>
      <c r="V88" s="3">
        <v>10</v>
      </c>
      <c r="W88" s="3">
        <v>51</v>
      </c>
    </row>
    <row r="89" spans="1:23" ht="11.25" customHeight="1" x14ac:dyDescent="0.3">
      <c r="A89" s="3" t="s">
        <v>21</v>
      </c>
      <c r="B89" s="3" t="s">
        <v>39</v>
      </c>
      <c r="C89" s="3" t="s">
        <v>40</v>
      </c>
      <c r="D89" s="3" t="s">
        <v>41</v>
      </c>
      <c r="E89" s="3" t="s">
        <v>25</v>
      </c>
      <c r="F89" s="3" t="s">
        <v>25</v>
      </c>
      <c r="G89" s="3" t="s">
        <v>25</v>
      </c>
      <c r="H89" s="3" t="s">
        <v>34</v>
      </c>
      <c r="I89" s="6">
        <v>44621</v>
      </c>
      <c r="J89" s="4">
        <v>0</v>
      </c>
      <c r="K89" s="4">
        <v>0</v>
      </c>
      <c r="L89" s="4">
        <v>43.679000000000002</v>
      </c>
      <c r="M89" s="4">
        <v>43.679000000000002</v>
      </c>
      <c r="N89" s="4">
        <v>43.679000000000002</v>
      </c>
      <c r="O89" s="4">
        <v>43.679000000000002</v>
      </c>
      <c r="P89" s="4">
        <v>0</v>
      </c>
      <c r="Q89" s="3" t="s">
        <v>26</v>
      </c>
      <c r="R89" s="3">
        <v>0</v>
      </c>
      <c r="S89" s="3" t="s">
        <v>168</v>
      </c>
      <c r="T89" s="3" t="s">
        <v>407</v>
      </c>
      <c r="U89" s="3">
        <v>0</v>
      </c>
      <c r="V89" s="3">
        <v>10</v>
      </c>
      <c r="W89" s="3">
        <v>51</v>
      </c>
    </row>
    <row r="90" spans="1:23" ht="11.25" customHeight="1" x14ac:dyDescent="0.3">
      <c r="A90" s="3" t="s">
        <v>21</v>
      </c>
      <c r="B90" s="3" t="s">
        <v>39</v>
      </c>
      <c r="C90" s="3" t="s">
        <v>40</v>
      </c>
      <c r="D90" s="3" t="s">
        <v>41</v>
      </c>
      <c r="E90" s="3" t="s">
        <v>25</v>
      </c>
      <c r="F90" s="3" t="s">
        <v>25</v>
      </c>
      <c r="G90" s="3" t="s">
        <v>25</v>
      </c>
      <c r="H90" s="3" t="s">
        <v>34</v>
      </c>
      <c r="I90" s="6">
        <v>44652</v>
      </c>
      <c r="J90" s="4">
        <v>0</v>
      </c>
      <c r="K90" s="4">
        <v>0</v>
      </c>
      <c r="L90" s="4">
        <v>39.534999999999997</v>
      </c>
      <c r="M90" s="4">
        <v>39.534999999999997</v>
      </c>
      <c r="N90" s="4">
        <v>39.534999999999997</v>
      </c>
      <c r="O90" s="4">
        <v>39.534999999999997</v>
      </c>
      <c r="P90" s="4">
        <v>0</v>
      </c>
      <c r="Q90" s="3" t="s">
        <v>26</v>
      </c>
      <c r="R90" s="3">
        <v>0</v>
      </c>
      <c r="S90" s="3" t="s">
        <v>169</v>
      </c>
      <c r="T90" s="3" t="s">
        <v>408</v>
      </c>
      <c r="U90" s="3">
        <v>0</v>
      </c>
      <c r="V90" s="3">
        <v>10</v>
      </c>
      <c r="W90" s="3">
        <v>51</v>
      </c>
    </row>
    <row r="91" spans="1:23" ht="11.25" customHeight="1" x14ac:dyDescent="0.3">
      <c r="A91" s="3" t="s">
        <v>21</v>
      </c>
      <c r="B91" s="3" t="s">
        <v>39</v>
      </c>
      <c r="C91" s="3" t="s">
        <v>40</v>
      </c>
      <c r="D91" s="3" t="s">
        <v>41</v>
      </c>
      <c r="E91" s="3" t="s">
        <v>25</v>
      </c>
      <c r="F91" s="3" t="s">
        <v>25</v>
      </c>
      <c r="G91" s="3" t="s">
        <v>25</v>
      </c>
      <c r="H91" s="3" t="s">
        <v>34</v>
      </c>
      <c r="I91" s="6">
        <v>44682</v>
      </c>
      <c r="J91" s="4">
        <v>0</v>
      </c>
      <c r="K91" s="4">
        <v>0</v>
      </c>
      <c r="L91" s="4">
        <v>40.744999999999997</v>
      </c>
      <c r="M91" s="4">
        <v>40.744999999999997</v>
      </c>
      <c r="N91" s="4">
        <v>40.744999999999997</v>
      </c>
      <c r="O91" s="4">
        <v>40.744999999999997</v>
      </c>
      <c r="P91" s="4">
        <v>0</v>
      </c>
      <c r="Q91" s="3" t="s">
        <v>26</v>
      </c>
      <c r="R91" s="3">
        <v>0</v>
      </c>
      <c r="S91" s="3" t="s">
        <v>170</v>
      </c>
      <c r="T91" s="3" t="s">
        <v>409</v>
      </c>
      <c r="U91" s="3">
        <v>0</v>
      </c>
      <c r="V91" s="3">
        <v>10</v>
      </c>
      <c r="W91" s="3">
        <v>51</v>
      </c>
    </row>
    <row r="92" spans="1:23" ht="11.25" customHeight="1" x14ac:dyDescent="0.3">
      <c r="A92" s="3" t="s">
        <v>21</v>
      </c>
      <c r="B92" s="3" t="s">
        <v>39</v>
      </c>
      <c r="C92" s="3" t="s">
        <v>40</v>
      </c>
      <c r="D92" s="3" t="s">
        <v>41</v>
      </c>
      <c r="E92" s="3" t="s">
        <v>25</v>
      </c>
      <c r="F92" s="3" t="s">
        <v>25</v>
      </c>
      <c r="G92" s="3" t="s">
        <v>25</v>
      </c>
      <c r="H92" s="3" t="s">
        <v>34</v>
      </c>
      <c r="I92" s="6">
        <v>44713</v>
      </c>
      <c r="J92" s="4">
        <v>0</v>
      </c>
      <c r="K92" s="4">
        <v>0</v>
      </c>
      <c r="L92" s="4">
        <v>33.603999999999999</v>
      </c>
      <c r="M92" s="4">
        <v>33.603999999999999</v>
      </c>
      <c r="N92" s="4">
        <v>33.603999999999999</v>
      </c>
      <c r="O92" s="4">
        <v>33.603999999999999</v>
      </c>
      <c r="P92" s="4">
        <v>0</v>
      </c>
      <c r="Q92" s="3" t="s">
        <v>26</v>
      </c>
      <c r="R92" s="3">
        <v>0</v>
      </c>
      <c r="S92" s="3" t="s">
        <v>171</v>
      </c>
      <c r="T92" s="3" t="s">
        <v>410</v>
      </c>
      <c r="U92" s="3">
        <v>0</v>
      </c>
      <c r="V92" s="3">
        <v>10</v>
      </c>
      <c r="W92" s="3">
        <v>51</v>
      </c>
    </row>
    <row r="93" spans="1:23" ht="11.25" customHeight="1" x14ac:dyDescent="0.3">
      <c r="A93" s="3" t="s">
        <v>28</v>
      </c>
      <c r="B93" s="3" t="s">
        <v>39</v>
      </c>
      <c r="C93" s="3" t="s">
        <v>40</v>
      </c>
      <c r="D93" s="3" t="s">
        <v>41</v>
      </c>
      <c r="E93" s="3" t="s">
        <v>25</v>
      </c>
      <c r="F93" s="3" t="s">
        <v>25</v>
      </c>
      <c r="G93" s="3" t="s">
        <v>25</v>
      </c>
      <c r="H93" s="3" t="s">
        <v>34</v>
      </c>
      <c r="I93" s="6">
        <v>44713</v>
      </c>
      <c r="J93" s="4">
        <v>0</v>
      </c>
      <c r="K93" s="4">
        <v>0</v>
      </c>
      <c r="L93" s="4">
        <v>1.1970000000000001</v>
      </c>
      <c r="M93" s="4">
        <v>1.1970000000000001</v>
      </c>
      <c r="N93" s="4">
        <v>1.1970000000000001</v>
      </c>
      <c r="O93" s="4">
        <v>1.1970000000000001</v>
      </c>
      <c r="P93" s="4">
        <v>0</v>
      </c>
      <c r="Q93" s="3" t="s">
        <v>26</v>
      </c>
      <c r="R93" s="3">
        <v>0</v>
      </c>
      <c r="S93" s="3" t="s">
        <v>171</v>
      </c>
      <c r="T93" s="3" t="s">
        <v>410</v>
      </c>
      <c r="U93" s="3">
        <v>0</v>
      </c>
      <c r="V93" s="3">
        <v>10</v>
      </c>
      <c r="W93" s="3">
        <v>51</v>
      </c>
    </row>
    <row r="94" spans="1:23" ht="11.25" customHeight="1" x14ac:dyDescent="0.3">
      <c r="A94" s="3" t="s">
        <v>21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54</v>
      </c>
      <c r="G94" s="3" t="s">
        <v>25</v>
      </c>
      <c r="H94" s="3" t="s">
        <v>35</v>
      </c>
      <c r="I94" s="6">
        <v>44378</v>
      </c>
      <c r="J94" s="4">
        <v>0</v>
      </c>
      <c r="K94" s="4">
        <v>0</v>
      </c>
      <c r="L94" s="4">
        <v>576.83600000000001</v>
      </c>
      <c r="M94" s="4">
        <v>576.83600000000001</v>
      </c>
      <c r="N94" s="4">
        <v>0</v>
      </c>
      <c r="O94" s="4">
        <v>0</v>
      </c>
      <c r="P94" s="4">
        <v>0</v>
      </c>
      <c r="Q94" s="3" t="s">
        <v>55</v>
      </c>
      <c r="R94" s="3">
        <v>0</v>
      </c>
      <c r="S94" s="3" t="s">
        <v>136</v>
      </c>
      <c r="U94" s="3">
        <v>0</v>
      </c>
      <c r="V94" s="3">
        <v>11</v>
      </c>
      <c r="W94" s="3">
        <v>0</v>
      </c>
    </row>
    <row r="95" spans="1:23" ht="11.25" customHeight="1" x14ac:dyDescent="0.3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54</v>
      </c>
      <c r="G95" s="3" t="s">
        <v>25</v>
      </c>
      <c r="H95" s="3" t="s">
        <v>35</v>
      </c>
      <c r="I95" s="6">
        <v>44409</v>
      </c>
      <c r="J95" s="4">
        <v>0</v>
      </c>
      <c r="K95" s="4">
        <v>0</v>
      </c>
      <c r="L95" s="4">
        <v>659.55899999999997</v>
      </c>
      <c r="M95" s="4">
        <v>659.55899999999997</v>
      </c>
      <c r="N95" s="4">
        <v>0</v>
      </c>
      <c r="O95" s="4">
        <v>0</v>
      </c>
      <c r="P95" s="4">
        <v>0</v>
      </c>
      <c r="Q95" s="3" t="s">
        <v>55</v>
      </c>
      <c r="R95" s="3">
        <v>0</v>
      </c>
      <c r="S95" s="3" t="s">
        <v>137</v>
      </c>
      <c r="U95" s="3">
        <v>0</v>
      </c>
      <c r="V95" s="3">
        <v>11</v>
      </c>
      <c r="W95" s="3">
        <v>0</v>
      </c>
    </row>
    <row r="96" spans="1:23" ht="11.25" customHeight="1" x14ac:dyDescent="0.3">
      <c r="A96" s="3" t="s">
        <v>21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54</v>
      </c>
      <c r="G96" s="3" t="s">
        <v>25</v>
      </c>
      <c r="H96" s="3" t="s">
        <v>35</v>
      </c>
      <c r="I96" s="6">
        <v>44440</v>
      </c>
      <c r="J96" s="4">
        <v>0</v>
      </c>
      <c r="K96" s="4">
        <v>0</v>
      </c>
      <c r="L96" s="4">
        <v>566.03899999999999</v>
      </c>
      <c r="M96" s="4">
        <v>566.03899999999999</v>
      </c>
      <c r="N96" s="4">
        <v>0</v>
      </c>
      <c r="O96" s="4">
        <v>0</v>
      </c>
      <c r="P96" s="4">
        <v>0</v>
      </c>
      <c r="Q96" s="3" t="s">
        <v>55</v>
      </c>
      <c r="R96" s="3">
        <v>0</v>
      </c>
      <c r="S96" s="3" t="s">
        <v>138</v>
      </c>
      <c r="U96" s="3">
        <v>0</v>
      </c>
      <c r="V96" s="3">
        <v>11</v>
      </c>
      <c r="W96" s="3">
        <v>0</v>
      </c>
    </row>
    <row r="97" spans="1:23" ht="11.25" customHeight="1" x14ac:dyDescent="0.3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54</v>
      </c>
      <c r="G97" s="3" t="s">
        <v>25</v>
      </c>
      <c r="H97" s="3" t="s">
        <v>35</v>
      </c>
      <c r="I97" s="6">
        <v>44470</v>
      </c>
      <c r="J97" s="4">
        <v>0</v>
      </c>
      <c r="K97" s="4">
        <v>0</v>
      </c>
      <c r="L97" s="4">
        <v>480.84199999999998</v>
      </c>
      <c r="M97" s="4">
        <v>480.84199999999998</v>
      </c>
      <c r="N97" s="4">
        <v>0</v>
      </c>
      <c r="O97" s="4">
        <v>0</v>
      </c>
      <c r="P97" s="4">
        <v>0</v>
      </c>
      <c r="Q97" s="3" t="s">
        <v>55</v>
      </c>
      <c r="R97" s="3">
        <v>0</v>
      </c>
      <c r="S97" s="3" t="s">
        <v>139</v>
      </c>
      <c r="U97" s="3">
        <v>0</v>
      </c>
      <c r="V97" s="3">
        <v>11</v>
      </c>
      <c r="W97" s="3">
        <v>0</v>
      </c>
    </row>
    <row r="98" spans="1:23" ht="11.25" customHeight="1" x14ac:dyDescent="0.3">
      <c r="A98" s="3" t="s">
        <v>21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54</v>
      </c>
      <c r="G98" s="3" t="s">
        <v>25</v>
      </c>
      <c r="H98" s="3" t="s">
        <v>35</v>
      </c>
      <c r="I98" s="6">
        <v>44501</v>
      </c>
      <c r="J98" s="4">
        <v>0</v>
      </c>
      <c r="K98" s="4">
        <v>0</v>
      </c>
      <c r="L98" s="4">
        <v>584.78099999999995</v>
      </c>
      <c r="M98" s="4">
        <v>584.78099999999995</v>
      </c>
      <c r="N98" s="4">
        <v>0</v>
      </c>
      <c r="O98" s="4">
        <v>0</v>
      </c>
      <c r="P98" s="4">
        <v>0</v>
      </c>
      <c r="Q98" s="3" t="s">
        <v>55</v>
      </c>
      <c r="R98" s="3">
        <v>0</v>
      </c>
      <c r="S98" s="3" t="s">
        <v>140</v>
      </c>
      <c r="U98" s="3">
        <v>0</v>
      </c>
      <c r="V98" s="3">
        <v>11</v>
      </c>
      <c r="W98" s="3">
        <v>0</v>
      </c>
    </row>
    <row r="99" spans="1:23" ht="11.25" customHeight="1" x14ac:dyDescent="0.3">
      <c r="A99" s="3" t="s">
        <v>21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54</v>
      </c>
      <c r="G99" s="3" t="s">
        <v>25</v>
      </c>
      <c r="H99" s="3" t="s">
        <v>35</v>
      </c>
      <c r="I99" s="6">
        <v>44531</v>
      </c>
      <c r="J99" s="4">
        <v>0</v>
      </c>
      <c r="K99" s="4">
        <v>0</v>
      </c>
      <c r="L99" s="4">
        <v>625.28099999999995</v>
      </c>
      <c r="M99" s="4">
        <v>625.28099999999995</v>
      </c>
      <c r="N99" s="4">
        <v>0</v>
      </c>
      <c r="O99" s="4">
        <v>0</v>
      </c>
      <c r="P99" s="4">
        <v>0</v>
      </c>
      <c r="Q99" s="3" t="s">
        <v>55</v>
      </c>
      <c r="R99" s="3">
        <v>0</v>
      </c>
      <c r="S99" s="3" t="s">
        <v>141</v>
      </c>
      <c r="U99" s="3">
        <v>0</v>
      </c>
      <c r="V99" s="3">
        <v>11</v>
      </c>
      <c r="W99" s="3">
        <v>0</v>
      </c>
    </row>
    <row r="100" spans="1:23" ht="11.25" customHeight="1" x14ac:dyDescent="0.3">
      <c r="A100" s="3" t="s">
        <v>21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54</v>
      </c>
      <c r="G100" s="3" t="s">
        <v>25</v>
      </c>
      <c r="H100" s="3" t="s">
        <v>35</v>
      </c>
      <c r="I100" s="6">
        <v>44562</v>
      </c>
      <c r="J100" s="4">
        <v>0</v>
      </c>
      <c r="K100" s="4">
        <v>0</v>
      </c>
      <c r="L100" s="4">
        <v>608.40499999999997</v>
      </c>
      <c r="M100" s="4">
        <v>608.40499999999997</v>
      </c>
      <c r="N100" s="4">
        <v>0</v>
      </c>
      <c r="O100" s="4">
        <v>0</v>
      </c>
      <c r="P100" s="4">
        <v>0</v>
      </c>
      <c r="Q100" s="3" t="s">
        <v>55</v>
      </c>
      <c r="R100" s="3">
        <v>0</v>
      </c>
      <c r="S100" s="3" t="s">
        <v>142</v>
      </c>
      <c r="U100" s="3">
        <v>0</v>
      </c>
      <c r="V100" s="3">
        <v>11</v>
      </c>
      <c r="W100" s="3">
        <v>0</v>
      </c>
    </row>
    <row r="101" spans="1:23" ht="11.25" customHeight="1" x14ac:dyDescent="0.3">
      <c r="A101" s="3" t="s">
        <v>21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54</v>
      </c>
      <c r="G101" s="3" t="s">
        <v>25</v>
      </c>
      <c r="H101" s="3" t="s">
        <v>35</v>
      </c>
      <c r="I101" s="6">
        <v>44593</v>
      </c>
      <c r="J101" s="4">
        <v>0</v>
      </c>
      <c r="K101" s="4">
        <v>0</v>
      </c>
      <c r="L101" s="4">
        <v>526.81399999999996</v>
      </c>
      <c r="M101" s="4">
        <v>526.81399999999996</v>
      </c>
      <c r="N101" s="4">
        <v>0</v>
      </c>
      <c r="O101" s="4">
        <v>0</v>
      </c>
      <c r="P101" s="4">
        <v>0</v>
      </c>
      <c r="Q101" s="3" t="s">
        <v>55</v>
      </c>
      <c r="R101" s="3">
        <v>0</v>
      </c>
      <c r="S101" s="3" t="s">
        <v>143</v>
      </c>
      <c r="U101" s="3">
        <v>0</v>
      </c>
      <c r="V101" s="3">
        <v>11</v>
      </c>
      <c r="W101" s="3">
        <v>0</v>
      </c>
    </row>
    <row r="102" spans="1:23" ht="11.25" customHeight="1" x14ac:dyDescent="0.3">
      <c r="A102" s="3" t="s">
        <v>21</v>
      </c>
      <c r="B102" s="3" t="s">
        <v>39</v>
      </c>
      <c r="C102" s="3" t="s">
        <v>40</v>
      </c>
      <c r="D102" s="3" t="s">
        <v>38</v>
      </c>
      <c r="E102" s="3" t="s">
        <v>25</v>
      </c>
      <c r="F102" s="3" t="s">
        <v>54</v>
      </c>
      <c r="G102" s="3" t="s">
        <v>25</v>
      </c>
      <c r="H102" s="3" t="s">
        <v>35</v>
      </c>
      <c r="I102" s="6">
        <v>44621</v>
      </c>
      <c r="J102" s="4">
        <v>0</v>
      </c>
      <c r="K102" s="4">
        <v>0</v>
      </c>
      <c r="L102" s="4">
        <v>1022.5549999999999</v>
      </c>
      <c r="M102" s="4">
        <v>1022.5549999999999</v>
      </c>
      <c r="N102" s="4">
        <v>0</v>
      </c>
      <c r="O102" s="4">
        <v>0</v>
      </c>
      <c r="P102" s="4">
        <v>0</v>
      </c>
      <c r="Q102" s="3" t="s">
        <v>55</v>
      </c>
      <c r="R102" s="3">
        <v>0</v>
      </c>
      <c r="S102" s="3" t="s">
        <v>144</v>
      </c>
      <c r="U102" s="3">
        <v>0</v>
      </c>
      <c r="V102" s="3">
        <v>11</v>
      </c>
      <c r="W102" s="3">
        <v>0</v>
      </c>
    </row>
    <row r="103" spans="1:23" ht="11.25" customHeight="1" x14ac:dyDescent="0.3">
      <c r="A103" s="3" t="s">
        <v>21</v>
      </c>
      <c r="B103" s="3" t="s">
        <v>39</v>
      </c>
      <c r="C103" s="3" t="s">
        <v>40</v>
      </c>
      <c r="D103" s="3" t="s">
        <v>38</v>
      </c>
      <c r="E103" s="3" t="s">
        <v>25</v>
      </c>
      <c r="F103" s="3" t="s">
        <v>54</v>
      </c>
      <c r="G103" s="3" t="s">
        <v>25</v>
      </c>
      <c r="H103" s="3" t="s">
        <v>35</v>
      </c>
      <c r="I103" s="6">
        <v>44652</v>
      </c>
      <c r="J103" s="4">
        <v>0</v>
      </c>
      <c r="K103" s="4">
        <v>0</v>
      </c>
      <c r="L103" s="4">
        <v>677.24199999999996</v>
      </c>
      <c r="M103" s="4">
        <v>677.24199999999996</v>
      </c>
      <c r="N103" s="4">
        <v>0</v>
      </c>
      <c r="O103" s="4">
        <v>0</v>
      </c>
      <c r="P103" s="4">
        <v>0</v>
      </c>
      <c r="Q103" s="3" t="s">
        <v>55</v>
      </c>
      <c r="R103" s="3">
        <v>0</v>
      </c>
      <c r="S103" s="3" t="s">
        <v>145</v>
      </c>
      <c r="U103" s="3">
        <v>0</v>
      </c>
      <c r="V103" s="3">
        <v>11</v>
      </c>
      <c r="W103" s="3">
        <v>0</v>
      </c>
    </row>
    <row r="104" spans="1:23" ht="11.25" customHeight="1" x14ac:dyDescent="0.3">
      <c r="A104" s="3" t="s">
        <v>21</v>
      </c>
      <c r="B104" s="3" t="s">
        <v>39</v>
      </c>
      <c r="C104" s="3" t="s">
        <v>40</v>
      </c>
      <c r="D104" s="3" t="s">
        <v>38</v>
      </c>
      <c r="E104" s="3" t="s">
        <v>25</v>
      </c>
      <c r="F104" s="3" t="s">
        <v>54</v>
      </c>
      <c r="G104" s="3" t="s">
        <v>25</v>
      </c>
      <c r="H104" s="3" t="s">
        <v>35</v>
      </c>
      <c r="I104" s="6">
        <v>44682</v>
      </c>
      <c r="J104" s="4">
        <v>0</v>
      </c>
      <c r="K104" s="4">
        <v>0</v>
      </c>
      <c r="L104" s="4">
        <v>790.68499999999995</v>
      </c>
      <c r="M104" s="4">
        <v>790.68499999999995</v>
      </c>
      <c r="N104" s="4">
        <v>0</v>
      </c>
      <c r="O104" s="4">
        <v>0</v>
      </c>
      <c r="P104" s="4">
        <v>0</v>
      </c>
      <c r="Q104" s="3" t="s">
        <v>55</v>
      </c>
      <c r="R104" s="3">
        <v>0</v>
      </c>
      <c r="S104" s="3" t="s">
        <v>146</v>
      </c>
      <c r="U104" s="3">
        <v>0</v>
      </c>
      <c r="V104" s="3">
        <v>11</v>
      </c>
      <c r="W104" s="3">
        <v>0</v>
      </c>
    </row>
    <row r="105" spans="1:23" ht="11.25" customHeight="1" x14ac:dyDescent="0.3">
      <c r="A105" s="3" t="s">
        <v>21</v>
      </c>
      <c r="B105" s="3" t="s">
        <v>39</v>
      </c>
      <c r="C105" s="3" t="s">
        <v>40</v>
      </c>
      <c r="D105" s="3" t="s">
        <v>38</v>
      </c>
      <c r="E105" s="3" t="s">
        <v>25</v>
      </c>
      <c r="F105" s="3" t="s">
        <v>54</v>
      </c>
      <c r="G105" s="3" t="s">
        <v>25</v>
      </c>
      <c r="H105" s="3" t="s">
        <v>35</v>
      </c>
      <c r="I105" s="6">
        <v>44713</v>
      </c>
      <c r="J105" s="4">
        <v>0</v>
      </c>
      <c r="K105" s="4">
        <v>0</v>
      </c>
      <c r="L105" s="4">
        <v>784.33</v>
      </c>
      <c r="M105" s="4">
        <v>784.33</v>
      </c>
      <c r="N105" s="4">
        <v>0</v>
      </c>
      <c r="O105" s="4">
        <v>0</v>
      </c>
      <c r="P105" s="4">
        <v>0</v>
      </c>
      <c r="Q105" s="3" t="s">
        <v>55</v>
      </c>
      <c r="R105" s="3">
        <v>0</v>
      </c>
      <c r="S105" s="3" t="s">
        <v>147</v>
      </c>
      <c r="U105" s="3">
        <v>0</v>
      </c>
      <c r="V105" s="3">
        <v>11</v>
      </c>
      <c r="W105" s="3">
        <v>0</v>
      </c>
    </row>
    <row r="106" spans="1:23" ht="11.25" customHeight="1" x14ac:dyDescent="0.3">
      <c r="A106" s="3" t="s">
        <v>21</v>
      </c>
      <c r="B106" s="3" t="s">
        <v>39</v>
      </c>
      <c r="C106" s="3" t="s">
        <v>40</v>
      </c>
      <c r="D106" s="3" t="s">
        <v>38</v>
      </c>
      <c r="E106" s="3" t="s">
        <v>25</v>
      </c>
      <c r="F106" s="3" t="s">
        <v>54</v>
      </c>
      <c r="G106" s="3" t="s">
        <v>25</v>
      </c>
      <c r="H106" s="3" t="s">
        <v>25</v>
      </c>
      <c r="I106" s="6">
        <v>44378</v>
      </c>
      <c r="J106" s="4">
        <v>3029</v>
      </c>
      <c r="K106" s="4">
        <v>816.91287938000005</v>
      </c>
      <c r="L106" s="4">
        <v>0</v>
      </c>
      <c r="M106" s="4">
        <v>0</v>
      </c>
      <c r="N106" s="4">
        <v>0</v>
      </c>
      <c r="O106" s="4">
        <v>0</v>
      </c>
      <c r="P106" s="4">
        <v>6</v>
      </c>
      <c r="Q106" s="3" t="s">
        <v>55</v>
      </c>
      <c r="R106" s="3">
        <v>0</v>
      </c>
      <c r="S106" s="3" t="s">
        <v>148</v>
      </c>
      <c r="U106" s="3">
        <v>9</v>
      </c>
      <c r="V106" s="3">
        <v>0</v>
      </c>
      <c r="W106" s="3">
        <v>0</v>
      </c>
    </row>
    <row r="107" spans="1:23" ht="11.25" customHeight="1" x14ac:dyDescent="0.3">
      <c r="A107" s="3" t="s">
        <v>21</v>
      </c>
      <c r="B107" s="3" t="s">
        <v>39</v>
      </c>
      <c r="C107" s="3" t="s">
        <v>40</v>
      </c>
      <c r="D107" s="3" t="s">
        <v>38</v>
      </c>
      <c r="E107" s="3" t="s">
        <v>25</v>
      </c>
      <c r="F107" s="3" t="s">
        <v>54</v>
      </c>
      <c r="G107" s="3" t="s">
        <v>25</v>
      </c>
      <c r="H107" s="3" t="s">
        <v>25</v>
      </c>
      <c r="I107" s="6">
        <v>44409</v>
      </c>
      <c r="J107" s="4">
        <v>3396</v>
      </c>
      <c r="K107" s="4">
        <v>915.89175911999996</v>
      </c>
      <c r="L107" s="4">
        <v>0</v>
      </c>
      <c r="M107" s="4">
        <v>0</v>
      </c>
      <c r="N107" s="4">
        <v>0</v>
      </c>
      <c r="O107" s="4">
        <v>0</v>
      </c>
      <c r="P107" s="4">
        <v>8</v>
      </c>
      <c r="Q107" s="3" t="s">
        <v>55</v>
      </c>
      <c r="R107" s="3">
        <v>0</v>
      </c>
      <c r="S107" s="3" t="s">
        <v>149</v>
      </c>
      <c r="U107" s="3">
        <v>9</v>
      </c>
      <c r="V107" s="3">
        <v>0</v>
      </c>
      <c r="W107" s="3">
        <v>0</v>
      </c>
    </row>
    <row r="108" spans="1:23" ht="11.25" customHeight="1" x14ac:dyDescent="0.3">
      <c r="A108" s="3" t="s">
        <v>21</v>
      </c>
      <c r="B108" s="3" t="s">
        <v>39</v>
      </c>
      <c r="C108" s="3" t="s">
        <v>40</v>
      </c>
      <c r="D108" s="3" t="s">
        <v>38</v>
      </c>
      <c r="E108" s="3" t="s">
        <v>25</v>
      </c>
      <c r="F108" s="3" t="s">
        <v>54</v>
      </c>
      <c r="G108" s="3" t="s">
        <v>25</v>
      </c>
      <c r="H108" s="3" t="s">
        <v>25</v>
      </c>
      <c r="I108" s="6">
        <v>44440</v>
      </c>
      <c r="J108" s="4">
        <v>3368</v>
      </c>
      <c r="K108" s="4">
        <v>908.34023695999997</v>
      </c>
      <c r="L108" s="4">
        <v>0</v>
      </c>
      <c r="M108" s="4">
        <v>0</v>
      </c>
      <c r="N108" s="4">
        <v>0</v>
      </c>
      <c r="O108" s="4">
        <v>0</v>
      </c>
      <c r="P108" s="4">
        <v>8</v>
      </c>
      <c r="Q108" s="3" t="s">
        <v>55</v>
      </c>
      <c r="R108" s="3">
        <v>0</v>
      </c>
      <c r="S108" s="3" t="s">
        <v>150</v>
      </c>
      <c r="U108" s="3">
        <v>9</v>
      </c>
      <c r="V108" s="3">
        <v>0</v>
      </c>
      <c r="W108" s="3">
        <v>0</v>
      </c>
    </row>
    <row r="109" spans="1:23" ht="11.25" customHeight="1" x14ac:dyDescent="0.3">
      <c r="A109" s="3" t="s">
        <v>21</v>
      </c>
      <c r="B109" s="3" t="s">
        <v>39</v>
      </c>
      <c r="C109" s="3" t="s">
        <v>40</v>
      </c>
      <c r="D109" s="3" t="s">
        <v>38</v>
      </c>
      <c r="E109" s="3" t="s">
        <v>25</v>
      </c>
      <c r="F109" s="3" t="s">
        <v>54</v>
      </c>
      <c r="G109" s="3" t="s">
        <v>25</v>
      </c>
      <c r="H109" s="3" t="s">
        <v>25</v>
      </c>
      <c r="I109" s="6">
        <v>44470</v>
      </c>
      <c r="J109" s="4">
        <v>3368</v>
      </c>
      <c r="K109" s="4">
        <v>908.34023695999997</v>
      </c>
      <c r="L109" s="4">
        <v>0</v>
      </c>
      <c r="M109" s="4">
        <v>0</v>
      </c>
      <c r="N109" s="4">
        <v>0</v>
      </c>
      <c r="O109" s="4">
        <v>0</v>
      </c>
      <c r="P109" s="4">
        <v>8</v>
      </c>
      <c r="Q109" s="3" t="s">
        <v>55</v>
      </c>
      <c r="R109" s="3">
        <v>0</v>
      </c>
      <c r="S109" s="3" t="s">
        <v>151</v>
      </c>
      <c r="U109" s="3">
        <v>9</v>
      </c>
      <c r="V109" s="3">
        <v>0</v>
      </c>
      <c r="W109" s="3">
        <v>0</v>
      </c>
    </row>
    <row r="110" spans="1:23" ht="11.25" customHeight="1" x14ac:dyDescent="0.3">
      <c r="A110" s="3" t="s">
        <v>21</v>
      </c>
      <c r="B110" s="3" t="s">
        <v>39</v>
      </c>
      <c r="C110" s="3" t="s">
        <v>40</v>
      </c>
      <c r="D110" s="3" t="s">
        <v>38</v>
      </c>
      <c r="E110" s="3" t="s">
        <v>25</v>
      </c>
      <c r="F110" s="3" t="s">
        <v>54</v>
      </c>
      <c r="G110" s="3" t="s">
        <v>25</v>
      </c>
      <c r="H110" s="3" t="s">
        <v>25</v>
      </c>
      <c r="I110" s="6">
        <v>44501</v>
      </c>
      <c r="J110" s="4">
        <v>3368</v>
      </c>
      <c r="K110" s="4">
        <v>908.34023695999997</v>
      </c>
      <c r="L110" s="4">
        <v>0</v>
      </c>
      <c r="M110" s="4">
        <v>0</v>
      </c>
      <c r="N110" s="4">
        <v>0</v>
      </c>
      <c r="O110" s="4">
        <v>0</v>
      </c>
      <c r="P110" s="4">
        <v>8</v>
      </c>
      <c r="Q110" s="3" t="s">
        <v>55</v>
      </c>
      <c r="R110" s="3">
        <v>0</v>
      </c>
      <c r="S110" s="3" t="s">
        <v>152</v>
      </c>
      <c r="U110" s="3">
        <v>9</v>
      </c>
      <c r="V110" s="3">
        <v>0</v>
      </c>
      <c r="W110" s="3">
        <v>0</v>
      </c>
    </row>
    <row r="111" spans="1:23" ht="11.25" customHeight="1" x14ac:dyDescent="0.3">
      <c r="A111" s="3" t="s">
        <v>21</v>
      </c>
      <c r="B111" s="3" t="s">
        <v>39</v>
      </c>
      <c r="C111" s="3" t="s">
        <v>40</v>
      </c>
      <c r="D111" s="3" t="s">
        <v>38</v>
      </c>
      <c r="E111" s="3" t="s">
        <v>25</v>
      </c>
      <c r="F111" s="3" t="s">
        <v>54</v>
      </c>
      <c r="G111" s="3" t="s">
        <v>25</v>
      </c>
      <c r="H111" s="3" t="s">
        <v>25</v>
      </c>
      <c r="I111" s="6">
        <v>44531</v>
      </c>
      <c r="J111" s="4">
        <v>3368</v>
      </c>
      <c r="K111" s="4">
        <v>908.34023695999997</v>
      </c>
      <c r="L111" s="4">
        <v>0</v>
      </c>
      <c r="M111" s="4">
        <v>0</v>
      </c>
      <c r="N111" s="4">
        <v>0</v>
      </c>
      <c r="O111" s="4">
        <v>0</v>
      </c>
      <c r="P111" s="4">
        <v>8</v>
      </c>
      <c r="Q111" s="3" t="s">
        <v>55</v>
      </c>
      <c r="R111" s="3">
        <v>0</v>
      </c>
      <c r="S111" s="3" t="s">
        <v>153</v>
      </c>
      <c r="U111" s="3">
        <v>9</v>
      </c>
      <c r="V111" s="3">
        <v>0</v>
      </c>
      <c r="W111" s="3">
        <v>0</v>
      </c>
    </row>
    <row r="112" spans="1:23" ht="11.25" customHeight="1" x14ac:dyDescent="0.3">
      <c r="A112" s="3" t="s">
        <v>21</v>
      </c>
      <c r="B112" s="3" t="s">
        <v>39</v>
      </c>
      <c r="C112" s="3" t="s">
        <v>40</v>
      </c>
      <c r="D112" s="3" t="s">
        <v>38</v>
      </c>
      <c r="E112" s="3" t="s">
        <v>25</v>
      </c>
      <c r="F112" s="3" t="s">
        <v>54</v>
      </c>
      <c r="G112" s="3" t="s">
        <v>25</v>
      </c>
      <c r="H112" s="3" t="s">
        <v>25</v>
      </c>
      <c r="I112" s="6">
        <v>44562</v>
      </c>
      <c r="J112" s="4">
        <v>3368</v>
      </c>
      <c r="K112" s="4">
        <v>908.34023695999997</v>
      </c>
      <c r="L112" s="4">
        <v>0</v>
      </c>
      <c r="M112" s="4">
        <v>0</v>
      </c>
      <c r="N112" s="4">
        <v>0</v>
      </c>
      <c r="O112" s="4">
        <v>0</v>
      </c>
      <c r="P112" s="4">
        <v>8</v>
      </c>
      <c r="Q112" s="3" t="s">
        <v>55</v>
      </c>
      <c r="R112" s="3">
        <v>0</v>
      </c>
      <c r="S112" s="3" t="s">
        <v>154</v>
      </c>
      <c r="U112" s="3">
        <v>9</v>
      </c>
      <c r="V112" s="3">
        <v>0</v>
      </c>
      <c r="W112" s="3">
        <v>0</v>
      </c>
    </row>
    <row r="113" spans="1:23" ht="11.25" customHeight="1" x14ac:dyDescent="0.3">
      <c r="A113" s="3" t="s">
        <v>21</v>
      </c>
      <c r="B113" s="3" t="s">
        <v>39</v>
      </c>
      <c r="C113" s="3" t="s">
        <v>40</v>
      </c>
      <c r="D113" s="3" t="s">
        <v>38</v>
      </c>
      <c r="E113" s="3" t="s">
        <v>25</v>
      </c>
      <c r="F113" s="3" t="s">
        <v>54</v>
      </c>
      <c r="G113" s="3" t="s">
        <v>25</v>
      </c>
      <c r="H113" s="3" t="s">
        <v>25</v>
      </c>
      <c r="I113" s="6">
        <v>44593</v>
      </c>
      <c r="J113" s="4">
        <v>3168</v>
      </c>
      <c r="K113" s="4">
        <v>854.40079295999999</v>
      </c>
      <c r="L113" s="4">
        <v>0</v>
      </c>
      <c r="M113" s="4">
        <v>0</v>
      </c>
      <c r="N113" s="4">
        <v>0</v>
      </c>
      <c r="O113" s="4">
        <v>0</v>
      </c>
      <c r="P113" s="4">
        <v>8</v>
      </c>
      <c r="Q113" s="3" t="s">
        <v>55</v>
      </c>
      <c r="R113" s="3">
        <v>0</v>
      </c>
      <c r="S113" s="3" t="s">
        <v>155</v>
      </c>
      <c r="U113" s="3">
        <v>9</v>
      </c>
      <c r="V113" s="3">
        <v>0</v>
      </c>
      <c r="W113" s="3">
        <v>0</v>
      </c>
    </row>
    <row r="114" spans="1:23" ht="11.25" customHeight="1" x14ac:dyDescent="0.3">
      <c r="A114" s="3" t="s">
        <v>21</v>
      </c>
      <c r="B114" s="3" t="s">
        <v>39</v>
      </c>
      <c r="C114" s="3" t="s">
        <v>40</v>
      </c>
      <c r="D114" s="3" t="s">
        <v>38</v>
      </c>
      <c r="E114" s="3" t="s">
        <v>25</v>
      </c>
      <c r="F114" s="3" t="s">
        <v>54</v>
      </c>
      <c r="G114" s="3" t="s">
        <v>25</v>
      </c>
      <c r="H114" s="3" t="s">
        <v>25</v>
      </c>
      <c r="I114" s="6">
        <v>44621</v>
      </c>
      <c r="J114" s="4">
        <v>3457</v>
      </c>
      <c r="K114" s="4">
        <v>932.34328954</v>
      </c>
      <c r="L114" s="4">
        <v>0</v>
      </c>
      <c r="M114" s="4">
        <v>0</v>
      </c>
      <c r="N114" s="4">
        <v>0</v>
      </c>
      <c r="O114" s="4">
        <v>0</v>
      </c>
      <c r="P114" s="4">
        <v>8</v>
      </c>
      <c r="Q114" s="3" t="s">
        <v>55</v>
      </c>
      <c r="R114" s="3">
        <v>0</v>
      </c>
      <c r="S114" s="3" t="s">
        <v>156</v>
      </c>
      <c r="U114" s="3">
        <v>9</v>
      </c>
      <c r="V114" s="3">
        <v>0</v>
      </c>
      <c r="W114" s="3">
        <v>0</v>
      </c>
    </row>
    <row r="115" spans="1:23" ht="11.25" customHeight="1" x14ac:dyDescent="0.3">
      <c r="A115" s="3" t="s">
        <v>21</v>
      </c>
      <c r="B115" s="3" t="s">
        <v>39</v>
      </c>
      <c r="C115" s="3" t="s">
        <v>40</v>
      </c>
      <c r="D115" s="3" t="s">
        <v>38</v>
      </c>
      <c r="E115" s="3" t="s">
        <v>25</v>
      </c>
      <c r="F115" s="3" t="s">
        <v>54</v>
      </c>
      <c r="G115" s="3" t="s">
        <v>25</v>
      </c>
      <c r="H115" s="3" t="s">
        <v>25</v>
      </c>
      <c r="I115" s="6">
        <v>44652</v>
      </c>
      <c r="J115" s="4">
        <v>3507</v>
      </c>
      <c r="K115" s="4">
        <v>945.82815054000002</v>
      </c>
      <c r="L115" s="4">
        <v>0</v>
      </c>
      <c r="M115" s="4">
        <v>0</v>
      </c>
      <c r="N115" s="4">
        <v>0</v>
      </c>
      <c r="O115" s="4">
        <v>0</v>
      </c>
      <c r="P115" s="4">
        <v>8</v>
      </c>
      <c r="Q115" s="3" t="s">
        <v>55</v>
      </c>
      <c r="R115" s="3">
        <v>0</v>
      </c>
      <c r="S115" s="3" t="s">
        <v>157</v>
      </c>
      <c r="U115" s="3">
        <v>9</v>
      </c>
      <c r="V115" s="3">
        <v>0</v>
      </c>
      <c r="W115" s="3">
        <v>0</v>
      </c>
    </row>
    <row r="116" spans="1:23" ht="11.25" customHeight="1" x14ac:dyDescent="0.3">
      <c r="A116" s="3" t="s">
        <v>21</v>
      </c>
      <c r="B116" s="3" t="s">
        <v>39</v>
      </c>
      <c r="C116" s="3" t="s">
        <v>40</v>
      </c>
      <c r="D116" s="3" t="s">
        <v>38</v>
      </c>
      <c r="E116" s="3" t="s">
        <v>25</v>
      </c>
      <c r="F116" s="3" t="s">
        <v>54</v>
      </c>
      <c r="G116" s="3" t="s">
        <v>25</v>
      </c>
      <c r="H116" s="3" t="s">
        <v>25</v>
      </c>
      <c r="I116" s="6">
        <v>44682</v>
      </c>
      <c r="J116" s="4">
        <v>3585</v>
      </c>
      <c r="K116" s="4">
        <v>966.86453370000004</v>
      </c>
      <c r="L116" s="4">
        <v>0</v>
      </c>
      <c r="M116" s="4">
        <v>0</v>
      </c>
      <c r="N116" s="4">
        <v>0</v>
      </c>
      <c r="O116" s="4">
        <v>0</v>
      </c>
      <c r="P116" s="4">
        <v>8</v>
      </c>
      <c r="Q116" s="3" t="s">
        <v>55</v>
      </c>
      <c r="R116" s="3">
        <v>0</v>
      </c>
      <c r="S116" s="3" t="s">
        <v>158</v>
      </c>
      <c r="U116" s="3">
        <v>9</v>
      </c>
      <c r="V116" s="3">
        <v>0</v>
      </c>
      <c r="W116" s="3">
        <v>0</v>
      </c>
    </row>
    <row r="117" spans="1:23" ht="11.25" customHeight="1" x14ac:dyDescent="0.3">
      <c r="A117" s="3" t="s">
        <v>21</v>
      </c>
      <c r="B117" s="3" t="s">
        <v>39</v>
      </c>
      <c r="C117" s="3" t="s">
        <v>40</v>
      </c>
      <c r="D117" s="3" t="s">
        <v>38</v>
      </c>
      <c r="E117" s="3" t="s">
        <v>25</v>
      </c>
      <c r="F117" s="3" t="s">
        <v>54</v>
      </c>
      <c r="G117" s="3" t="s">
        <v>25</v>
      </c>
      <c r="H117" s="3" t="s">
        <v>25</v>
      </c>
      <c r="I117" s="6">
        <v>44713</v>
      </c>
      <c r="J117" s="4">
        <v>3577</v>
      </c>
      <c r="K117" s="4">
        <v>964.70695593999994</v>
      </c>
      <c r="L117" s="4">
        <v>0</v>
      </c>
      <c r="M117" s="4">
        <v>0</v>
      </c>
      <c r="N117" s="4">
        <v>0</v>
      </c>
      <c r="O117" s="4">
        <v>0</v>
      </c>
      <c r="P117" s="4">
        <v>8</v>
      </c>
      <c r="Q117" s="3" t="s">
        <v>55</v>
      </c>
      <c r="R117" s="3">
        <v>0</v>
      </c>
      <c r="S117" s="3" t="s">
        <v>159</v>
      </c>
      <c r="U117" s="3">
        <v>9</v>
      </c>
      <c r="V117" s="3">
        <v>0</v>
      </c>
      <c r="W117" s="3">
        <v>0</v>
      </c>
    </row>
    <row r="118" spans="1:23" ht="11.25" customHeight="1" x14ac:dyDescent="0.3">
      <c r="A118" s="3" t="s">
        <v>21</v>
      </c>
      <c r="B118" s="3" t="s">
        <v>39</v>
      </c>
      <c r="C118" s="3" t="s">
        <v>40</v>
      </c>
      <c r="D118" s="3" t="s">
        <v>38</v>
      </c>
      <c r="E118" s="3" t="s">
        <v>25</v>
      </c>
      <c r="F118" s="3" t="s">
        <v>54</v>
      </c>
      <c r="G118" s="3" t="s">
        <v>25</v>
      </c>
      <c r="H118" s="3" t="s">
        <v>34</v>
      </c>
      <c r="I118" s="6">
        <v>44378</v>
      </c>
      <c r="J118" s="4">
        <v>0</v>
      </c>
      <c r="K118" s="4">
        <v>0</v>
      </c>
      <c r="L118" s="4">
        <v>31.003</v>
      </c>
      <c r="M118" s="4">
        <v>9.8979709654699999</v>
      </c>
      <c r="N118" s="4">
        <v>0</v>
      </c>
      <c r="O118" s="4">
        <v>0</v>
      </c>
      <c r="P118" s="4">
        <v>0</v>
      </c>
      <c r="Q118" s="3" t="s">
        <v>55</v>
      </c>
      <c r="R118" s="3">
        <v>0</v>
      </c>
      <c r="S118" s="3" t="s">
        <v>160</v>
      </c>
      <c r="U118" s="3">
        <v>0</v>
      </c>
      <c r="V118" s="3">
        <v>10</v>
      </c>
      <c r="W118" s="3">
        <v>0</v>
      </c>
    </row>
    <row r="119" spans="1:23" ht="11.25" customHeight="1" x14ac:dyDescent="0.3">
      <c r="A119" s="3" t="s">
        <v>21</v>
      </c>
      <c r="B119" s="3" t="s">
        <v>39</v>
      </c>
      <c r="C119" s="3" t="s">
        <v>40</v>
      </c>
      <c r="D119" s="3" t="s">
        <v>38</v>
      </c>
      <c r="E119" s="3" t="s">
        <v>25</v>
      </c>
      <c r="F119" s="3" t="s">
        <v>54</v>
      </c>
      <c r="G119" s="3" t="s">
        <v>25</v>
      </c>
      <c r="H119" s="3" t="s">
        <v>34</v>
      </c>
      <c r="I119" s="6">
        <v>44409</v>
      </c>
      <c r="J119" s="4">
        <v>0</v>
      </c>
      <c r="K119" s="4">
        <v>0</v>
      </c>
      <c r="L119" s="4">
        <v>33.430999999999997</v>
      </c>
      <c r="M119" s="4">
        <v>10.67313057919</v>
      </c>
      <c r="N119" s="4">
        <v>0</v>
      </c>
      <c r="O119" s="4">
        <v>0</v>
      </c>
      <c r="P119" s="4">
        <v>0</v>
      </c>
      <c r="Q119" s="3" t="s">
        <v>55</v>
      </c>
      <c r="R119" s="3">
        <v>0</v>
      </c>
      <c r="S119" s="3" t="s">
        <v>161</v>
      </c>
      <c r="U119" s="3">
        <v>0</v>
      </c>
      <c r="V119" s="3">
        <v>10</v>
      </c>
      <c r="W119" s="3">
        <v>0</v>
      </c>
    </row>
    <row r="120" spans="1:23" ht="11.25" customHeight="1" x14ac:dyDescent="0.3">
      <c r="A120" s="3" t="s">
        <v>21</v>
      </c>
      <c r="B120" s="3" t="s">
        <v>39</v>
      </c>
      <c r="C120" s="3" t="s">
        <v>40</v>
      </c>
      <c r="D120" s="3" t="s">
        <v>38</v>
      </c>
      <c r="E120" s="3" t="s">
        <v>25</v>
      </c>
      <c r="F120" s="3" t="s">
        <v>54</v>
      </c>
      <c r="G120" s="3" t="s">
        <v>25</v>
      </c>
      <c r="H120" s="3" t="s">
        <v>34</v>
      </c>
      <c r="I120" s="6">
        <v>44440</v>
      </c>
      <c r="J120" s="4">
        <v>0</v>
      </c>
      <c r="K120" s="4">
        <v>0</v>
      </c>
      <c r="L120" s="4">
        <v>19.898</v>
      </c>
      <c r="M120" s="4">
        <v>6.35260543402</v>
      </c>
      <c r="N120" s="4">
        <v>0</v>
      </c>
      <c r="O120" s="4">
        <v>0</v>
      </c>
      <c r="P120" s="4">
        <v>0</v>
      </c>
      <c r="Q120" s="3" t="s">
        <v>55</v>
      </c>
      <c r="R120" s="3">
        <v>0</v>
      </c>
      <c r="S120" s="3" t="s">
        <v>162</v>
      </c>
      <c r="U120" s="3">
        <v>0</v>
      </c>
      <c r="V120" s="3">
        <v>10</v>
      </c>
      <c r="W120" s="3">
        <v>0</v>
      </c>
    </row>
    <row r="121" spans="1:23" ht="11.25" customHeight="1" x14ac:dyDescent="0.3">
      <c r="A121" s="3" t="s">
        <v>21</v>
      </c>
      <c r="B121" s="3" t="s">
        <v>39</v>
      </c>
      <c r="C121" s="3" t="s">
        <v>40</v>
      </c>
      <c r="D121" s="3" t="s">
        <v>38</v>
      </c>
      <c r="E121" s="3" t="s">
        <v>25</v>
      </c>
      <c r="F121" s="3" t="s">
        <v>54</v>
      </c>
      <c r="G121" s="3" t="s">
        <v>25</v>
      </c>
      <c r="H121" s="3" t="s">
        <v>34</v>
      </c>
      <c r="I121" s="6">
        <v>44470</v>
      </c>
      <c r="J121" s="4">
        <v>0</v>
      </c>
      <c r="K121" s="4">
        <v>0</v>
      </c>
      <c r="L121" s="4">
        <v>20.74</v>
      </c>
      <c r="M121" s="4">
        <v>6.6214210826000004</v>
      </c>
      <c r="N121" s="4">
        <v>0</v>
      </c>
      <c r="O121" s="4">
        <v>0</v>
      </c>
      <c r="P121" s="4">
        <v>0</v>
      </c>
      <c r="Q121" s="3" t="s">
        <v>55</v>
      </c>
      <c r="R121" s="3">
        <v>0</v>
      </c>
      <c r="S121" s="3" t="s">
        <v>163</v>
      </c>
      <c r="U121" s="3">
        <v>0</v>
      </c>
      <c r="V121" s="3">
        <v>10</v>
      </c>
      <c r="W121" s="3">
        <v>0</v>
      </c>
    </row>
    <row r="122" spans="1:23" ht="11.25" customHeight="1" x14ac:dyDescent="0.3">
      <c r="A122" s="3" t="s">
        <v>21</v>
      </c>
      <c r="B122" s="3" t="s">
        <v>39</v>
      </c>
      <c r="C122" s="3" t="s">
        <v>40</v>
      </c>
      <c r="D122" s="3" t="s">
        <v>38</v>
      </c>
      <c r="E122" s="3" t="s">
        <v>25</v>
      </c>
      <c r="F122" s="3" t="s">
        <v>54</v>
      </c>
      <c r="G122" s="3" t="s">
        <v>25</v>
      </c>
      <c r="H122" s="3" t="s">
        <v>34</v>
      </c>
      <c r="I122" s="6">
        <v>44501</v>
      </c>
      <c r="J122" s="4">
        <v>0</v>
      </c>
      <c r="K122" s="4">
        <v>0</v>
      </c>
      <c r="L122" s="4">
        <v>23.716999999999999</v>
      </c>
      <c r="M122" s="4">
        <v>7.5718536073299996</v>
      </c>
      <c r="N122" s="4">
        <v>0</v>
      </c>
      <c r="O122" s="4">
        <v>0</v>
      </c>
      <c r="P122" s="4">
        <v>0</v>
      </c>
      <c r="Q122" s="3" t="s">
        <v>55</v>
      </c>
      <c r="R122" s="3">
        <v>0</v>
      </c>
      <c r="S122" s="3" t="s">
        <v>164</v>
      </c>
      <c r="U122" s="3">
        <v>0</v>
      </c>
      <c r="V122" s="3">
        <v>10</v>
      </c>
      <c r="W122" s="3">
        <v>0</v>
      </c>
    </row>
    <row r="123" spans="1:23" ht="11.25" customHeight="1" x14ac:dyDescent="0.3">
      <c r="A123" s="3" t="s">
        <v>21</v>
      </c>
      <c r="B123" s="3" t="s">
        <v>39</v>
      </c>
      <c r="C123" s="3" t="s">
        <v>40</v>
      </c>
      <c r="D123" s="3" t="s">
        <v>38</v>
      </c>
      <c r="E123" s="3" t="s">
        <v>25</v>
      </c>
      <c r="F123" s="3" t="s">
        <v>54</v>
      </c>
      <c r="G123" s="3" t="s">
        <v>25</v>
      </c>
      <c r="H123" s="3" t="s">
        <v>34</v>
      </c>
      <c r="I123" s="6">
        <v>44531</v>
      </c>
      <c r="J123" s="4">
        <v>0</v>
      </c>
      <c r="K123" s="4">
        <v>0</v>
      </c>
      <c r="L123" s="4">
        <v>28.638999999999999</v>
      </c>
      <c r="M123" s="4">
        <v>9.1432438951100004</v>
      </c>
      <c r="N123" s="4">
        <v>0</v>
      </c>
      <c r="O123" s="4">
        <v>0</v>
      </c>
      <c r="P123" s="4">
        <v>0</v>
      </c>
      <c r="Q123" s="3" t="s">
        <v>55</v>
      </c>
      <c r="R123" s="3">
        <v>0</v>
      </c>
      <c r="S123" s="3" t="s">
        <v>165</v>
      </c>
      <c r="U123" s="3">
        <v>0</v>
      </c>
      <c r="V123" s="3">
        <v>10</v>
      </c>
      <c r="W123" s="3">
        <v>0</v>
      </c>
    </row>
    <row r="124" spans="1:23" ht="11.25" customHeight="1" x14ac:dyDescent="0.3">
      <c r="A124" s="3" t="s">
        <v>21</v>
      </c>
      <c r="B124" s="3" t="s">
        <v>39</v>
      </c>
      <c r="C124" s="3" t="s">
        <v>40</v>
      </c>
      <c r="D124" s="3" t="s">
        <v>38</v>
      </c>
      <c r="E124" s="3" t="s">
        <v>25</v>
      </c>
      <c r="F124" s="3" t="s">
        <v>54</v>
      </c>
      <c r="G124" s="3" t="s">
        <v>25</v>
      </c>
      <c r="H124" s="3" t="s">
        <v>34</v>
      </c>
      <c r="I124" s="6">
        <v>44562</v>
      </c>
      <c r="J124" s="4">
        <v>0</v>
      </c>
      <c r="K124" s="4">
        <v>0</v>
      </c>
      <c r="L124" s="4">
        <v>29.315000000000001</v>
      </c>
      <c r="M124" s="4">
        <v>9.3590626343499999</v>
      </c>
      <c r="N124" s="4">
        <v>0</v>
      </c>
      <c r="O124" s="4">
        <v>0</v>
      </c>
      <c r="P124" s="4">
        <v>0</v>
      </c>
      <c r="Q124" s="3" t="s">
        <v>55</v>
      </c>
      <c r="R124" s="3">
        <v>0</v>
      </c>
      <c r="S124" s="3" t="s">
        <v>166</v>
      </c>
      <c r="U124" s="3">
        <v>0</v>
      </c>
      <c r="V124" s="3">
        <v>10</v>
      </c>
      <c r="W124" s="3">
        <v>0</v>
      </c>
    </row>
    <row r="125" spans="1:23" ht="11.25" customHeight="1" x14ac:dyDescent="0.3">
      <c r="A125" s="3" t="s">
        <v>21</v>
      </c>
      <c r="B125" s="3" t="s">
        <v>39</v>
      </c>
      <c r="C125" s="3" t="s">
        <v>40</v>
      </c>
      <c r="D125" s="3" t="s">
        <v>38</v>
      </c>
      <c r="E125" s="3" t="s">
        <v>25</v>
      </c>
      <c r="F125" s="3" t="s">
        <v>54</v>
      </c>
      <c r="G125" s="3" t="s">
        <v>25</v>
      </c>
      <c r="H125" s="3" t="s">
        <v>34</v>
      </c>
      <c r="I125" s="6">
        <v>44593</v>
      </c>
      <c r="J125" s="4">
        <v>0</v>
      </c>
      <c r="K125" s="4">
        <v>0</v>
      </c>
      <c r="L125" s="4">
        <v>29</v>
      </c>
      <c r="M125" s="4">
        <v>9.2584962100000006</v>
      </c>
      <c r="N125" s="4">
        <v>0</v>
      </c>
      <c r="O125" s="4">
        <v>0</v>
      </c>
      <c r="P125" s="4">
        <v>0</v>
      </c>
      <c r="Q125" s="3" t="s">
        <v>55</v>
      </c>
      <c r="R125" s="3">
        <v>0</v>
      </c>
      <c r="S125" s="3" t="s">
        <v>167</v>
      </c>
      <c r="U125" s="3">
        <v>0</v>
      </c>
      <c r="V125" s="3">
        <v>10</v>
      </c>
      <c r="W125" s="3">
        <v>0</v>
      </c>
    </row>
    <row r="126" spans="1:23" ht="11.25" customHeight="1" x14ac:dyDescent="0.3">
      <c r="A126" s="3" t="s">
        <v>21</v>
      </c>
      <c r="B126" s="3" t="s">
        <v>39</v>
      </c>
      <c r="C126" s="3" t="s">
        <v>40</v>
      </c>
      <c r="D126" s="3" t="s">
        <v>38</v>
      </c>
      <c r="E126" s="3" t="s">
        <v>25</v>
      </c>
      <c r="F126" s="3" t="s">
        <v>54</v>
      </c>
      <c r="G126" s="3" t="s">
        <v>25</v>
      </c>
      <c r="H126" s="3" t="s">
        <v>34</v>
      </c>
      <c r="I126" s="6">
        <v>44621</v>
      </c>
      <c r="J126" s="4">
        <v>0</v>
      </c>
      <c r="K126" s="4">
        <v>0</v>
      </c>
      <c r="L126" s="4">
        <v>72.227000000000004</v>
      </c>
      <c r="M126" s="4">
        <v>23.05908295723</v>
      </c>
      <c r="N126" s="4">
        <v>0</v>
      </c>
      <c r="O126" s="4">
        <v>0</v>
      </c>
      <c r="P126" s="4">
        <v>0</v>
      </c>
      <c r="Q126" s="3" t="s">
        <v>55</v>
      </c>
      <c r="R126" s="3">
        <v>0</v>
      </c>
      <c r="S126" s="3" t="s">
        <v>168</v>
      </c>
      <c r="U126" s="3">
        <v>0</v>
      </c>
      <c r="V126" s="3">
        <v>10</v>
      </c>
      <c r="W126" s="3">
        <v>0</v>
      </c>
    </row>
    <row r="127" spans="1:23" ht="11.25" customHeight="1" x14ac:dyDescent="0.3">
      <c r="A127" s="3" t="s">
        <v>21</v>
      </c>
      <c r="B127" s="3" t="s">
        <v>39</v>
      </c>
      <c r="C127" s="3" t="s">
        <v>40</v>
      </c>
      <c r="D127" s="3" t="s">
        <v>38</v>
      </c>
      <c r="E127" s="3" t="s">
        <v>25</v>
      </c>
      <c r="F127" s="3" t="s">
        <v>54</v>
      </c>
      <c r="G127" s="3" t="s">
        <v>25</v>
      </c>
      <c r="H127" s="3" t="s">
        <v>34</v>
      </c>
      <c r="I127" s="6">
        <v>44652</v>
      </c>
      <c r="J127" s="4">
        <v>0</v>
      </c>
      <c r="K127" s="4">
        <v>0</v>
      </c>
      <c r="L127" s="4">
        <v>42.276000000000003</v>
      </c>
      <c r="M127" s="4">
        <v>13.49697192324</v>
      </c>
      <c r="N127" s="4">
        <v>0</v>
      </c>
      <c r="O127" s="4">
        <v>0</v>
      </c>
      <c r="P127" s="4">
        <v>0</v>
      </c>
      <c r="Q127" s="3" t="s">
        <v>55</v>
      </c>
      <c r="R127" s="3">
        <v>0</v>
      </c>
      <c r="S127" s="3" t="s">
        <v>169</v>
      </c>
      <c r="U127" s="3">
        <v>0</v>
      </c>
      <c r="V127" s="3">
        <v>10</v>
      </c>
      <c r="W127" s="3">
        <v>0</v>
      </c>
    </row>
    <row r="128" spans="1:23" ht="11.25" customHeight="1" x14ac:dyDescent="0.3">
      <c r="A128" s="3" t="s">
        <v>21</v>
      </c>
      <c r="B128" s="3" t="s">
        <v>39</v>
      </c>
      <c r="C128" s="3" t="s">
        <v>40</v>
      </c>
      <c r="D128" s="3" t="s">
        <v>38</v>
      </c>
      <c r="E128" s="3" t="s">
        <v>25</v>
      </c>
      <c r="F128" s="3" t="s">
        <v>54</v>
      </c>
      <c r="G128" s="3" t="s">
        <v>25</v>
      </c>
      <c r="H128" s="3" t="s">
        <v>34</v>
      </c>
      <c r="I128" s="6">
        <v>44682</v>
      </c>
      <c r="J128" s="4">
        <v>0</v>
      </c>
      <c r="K128" s="4">
        <v>0</v>
      </c>
      <c r="L128" s="4">
        <v>53.362000000000002</v>
      </c>
      <c r="M128" s="4">
        <v>17.03627154338</v>
      </c>
      <c r="N128" s="4">
        <v>0</v>
      </c>
      <c r="O128" s="4">
        <v>0</v>
      </c>
      <c r="P128" s="4">
        <v>0</v>
      </c>
      <c r="Q128" s="3" t="s">
        <v>55</v>
      </c>
      <c r="R128" s="3">
        <v>0</v>
      </c>
      <c r="S128" s="3" t="s">
        <v>170</v>
      </c>
      <c r="U128" s="3">
        <v>0</v>
      </c>
      <c r="V128" s="3">
        <v>10</v>
      </c>
      <c r="W128" s="3">
        <v>0</v>
      </c>
    </row>
    <row r="129" spans="1:23" ht="11.25" customHeight="1" x14ac:dyDescent="0.3">
      <c r="A129" s="3" t="s">
        <v>21</v>
      </c>
      <c r="B129" s="3" t="s">
        <v>39</v>
      </c>
      <c r="C129" s="3" t="s">
        <v>40</v>
      </c>
      <c r="D129" s="3" t="s">
        <v>38</v>
      </c>
      <c r="E129" s="3" t="s">
        <v>25</v>
      </c>
      <c r="F129" s="3" t="s">
        <v>54</v>
      </c>
      <c r="G129" s="3" t="s">
        <v>25</v>
      </c>
      <c r="H129" s="3" t="s">
        <v>34</v>
      </c>
      <c r="I129" s="6">
        <v>44713</v>
      </c>
      <c r="J129" s="4">
        <v>0</v>
      </c>
      <c r="K129" s="4">
        <v>0</v>
      </c>
      <c r="L129" s="4">
        <v>50.908999999999999</v>
      </c>
      <c r="M129" s="4">
        <v>16.253130467409999</v>
      </c>
      <c r="N129" s="4">
        <v>0</v>
      </c>
      <c r="O129" s="4">
        <v>0</v>
      </c>
      <c r="P129" s="4">
        <v>0</v>
      </c>
      <c r="Q129" s="3" t="s">
        <v>55</v>
      </c>
      <c r="R129" s="3">
        <v>0</v>
      </c>
      <c r="S129" s="3" t="s">
        <v>171</v>
      </c>
      <c r="U129" s="3">
        <v>0</v>
      </c>
      <c r="V129" s="3">
        <v>10</v>
      </c>
      <c r="W129" s="3">
        <v>0</v>
      </c>
    </row>
    <row r="130" spans="1:23" ht="11.25" customHeight="1" x14ac:dyDescent="0.3">
      <c r="A130" s="3" t="s">
        <v>21</v>
      </c>
      <c r="B130" s="3" t="s">
        <v>39</v>
      </c>
      <c r="C130" s="3" t="s">
        <v>40</v>
      </c>
      <c r="D130" s="3" t="s">
        <v>38</v>
      </c>
      <c r="E130" s="3" t="s">
        <v>25</v>
      </c>
      <c r="F130" s="3" t="s">
        <v>25</v>
      </c>
      <c r="G130" s="3" t="s">
        <v>25</v>
      </c>
      <c r="H130" s="3" t="s">
        <v>35</v>
      </c>
      <c r="I130" s="6">
        <v>44378</v>
      </c>
      <c r="J130" s="4">
        <v>0</v>
      </c>
      <c r="K130" s="4">
        <v>0</v>
      </c>
      <c r="L130" s="4">
        <v>621.16399999999999</v>
      </c>
      <c r="M130" s="4">
        <v>621.16399999999999</v>
      </c>
      <c r="N130" s="4">
        <v>621.16399999999999</v>
      </c>
      <c r="O130" s="4">
        <v>621.16399999999999</v>
      </c>
      <c r="P130" s="4">
        <v>0</v>
      </c>
      <c r="Q130" s="3" t="s">
        <v>26</v>
      </c>
      <c r="R130" s="3">
        <v>0</v>
      </c>
      <c r="S130" s="3" t="s">
        <v>136</v>
      </c>
      <c r="T130" s="3" t="s">
        <v>383</v>
      </c>
      <c r="U130" s="3">
        <v>0</v>
      </c>
      <c r="V130" s="3">
        <v>11</v>
      </c>
      <c r="W130" s="3">
        <v>52</v>
      </c>
    </row>
    <row r="131" spans="1:23" ht="11.25" customHeight="1" x14ac:dyDescent="0.3">
      <c r="A131" s="3" t="s">
        <v>21</v>
      </c>
      <c r="B131" s="3" t="s">
        <v>39</v>
      </c>
      <c r="C131" s="3" t="s">
        <v>40</v>
      </c>
      <c r="D131" s="3" t="s">
        <v>38</v>
      </c>
      <c r="E131" s="3" t="s">
        <v>25</v>
      </c>
      <c r="F131" s="3" t="s">
        <v>25</v>
      </c>
      <c r="G131" s="3" t="s">
        <v>25</v>
      </c>
      <c r="H131" s="3" t="s">
        <v>35</v>
      </c>
      <c r="I131" s="6">
        <v>44409</v>
      </c>
      <c r="J131" s="4">
        <v>0</v>
      </c>
      <c r="K131" s="4">
        <v>0</v>
      </c>
      <c r="L131" s="4">
        <v>503.04599999999999</v>
      </c>
      <c r="M131" s="4">
        <v>503.04599999999999</v>
      </c>
      <c r="N131" s="4">
        <v>503.04599999999999</v>
      </c>
      <c r="O131" s="4">
        <v>503.04599999999999</v>
      </c>
      <c r="P131" s="4">
        <v>0</v>
      </c>
      <c r="Q131" s="3" t="s">
        <v>26</v>
      </c>
      <c r="R131" s="3">
        <v>0</v>
      </c>
      <c r="S131" s="3" t="s">
        <v>137</v>
      </c>
      <c r="T131" s="3" t="s">
        <v>384</v>
      </c>
      <c r="U131" s="3">
        <v>0</v>
      </c>
      <c r="V131" s="3">
        <v>11</v>
      </c>
      <c r="W131" s="3">
        <v>52</v>
      </c>
    </row>
    <row r="132" spans="1:23" ht="11.25" customHeight="1" x14ac:dyDescent="0.3">
      <c r="A132" s="3" t="s">
        <v>21</v>
      </c>
      <c r="B132" s="3" t="s">
        <v>39</v>
      </c>
      <c r="C132" s="3" t="s">
        <v>40</v>
      </c>
      <c r="D132" s="3" t="s">
        <v>38</v>
      </c>
      <c r="E132" s="3" t="s">
        <v>25</v>
      </c>
      <c r="F132" s="3" t="s">
        <v>25</v>
      </c>
      <c r="G132" s="3" t="s">
        <v>25</v>
      </c>
      <c r="H132" s="3" t="s">
        <v>35</v>
      </c>
      <c r="I132" s="6">
        <v>44440</v>
      </c>
      <c r="J132" s="4">
        <v>0</v>
      </c>
      <c r="K132" s="4">
        <v>0</v>
      </c>
      <c r="L132" s="4">
        <v>525.95500000000004</v>
      </c>
      <c r="M132" s="4">
        <v>525.95500000000004</v>
      </c>
      <c r="N132" s="4">
        <v>525.95500000000004</v>
      </c>
      <c r="O132" s="4">
        <v>525.95500000000004</v>
      </c>
      <c r="P132" s="4">
        <v>0</v>
      </c>
      <c r="Q132" s="3" t="s">
        <v>26</v>
      </c>
      <c r="R132" s="3">
        <v>0</v>
      </c>
      <c r="S132" s="3" t="s">
        <v>138</v>
      </c>
      <c r="T132" s="3" t="s">
        <v>385</v>
      </c>
      <c r="U132" s="3">
        <v>0</v>
      </c>
      <c r="V132" s="3">
        <v>11</v>
      </c>
      <c r="W132" s="3">
        <v>52</v>
      </c>
    </row>
    <row r="133" spans="1:23" ht="11.25" customHeight="1" x14ac:dyDescent="0.3">
      <c r="A133" s="3" t="s">
        <v>21</v>
      </c>
      <c r="B133" s="3" t="s">
        <v>39</v>
      </c>
      <c r="C133" s="3" t="s">
        <v>40</v>
      </c>
      <c r="D133" s="3" t="s">
        <v>38</v>
      </c>
      <c r="E133" s="3" t="s">
        <v>25</v>
      </c>
      <c r="F133" s="3" t="s">
        <v>25</v>
      </c>
      <c r="G133" s="3" t="s">
        <v>25</v>
      </c>
      <c r="H133" s="3" t="s">
        <v>35</v>
      </c>
      <c r="I133" s="6">
        <v>44470</v>
      </c>
      <c r="J133" s="4">
        <v>0</v>
      </c>
      <c r="K133" s="4">
        <v>0</v>
      </c>
      <c r="L133" s="4">
        <v>494.71499999999997</v>
      </c>
      <c r="M133" s="4">
        <v>494.71499999999997</v>
      </c>
      <c r="N133" s="4">
        <v>494.71499999999997</v>
      </c>
      <c r="O133" s="4">
        <v>494.71499999999997</v>
      </c>
      <c r="P133" s="4">
        <v>0</v>
      </c>
      <c r="Q133" s="3" t="s">
        <v>26</v>
      </c>
      <c r="R133" s="3">
        <v>0</v>
      </c>
      <c r="S133" s="3" t="s">
        <v>139</v>
      </c>
      <c r="T133" s="3" t="s">
        <v>386</v>
      </c>
      <c r="U133" s="3">
        <v>0</v>
      </c>
      <c r="V133" s="3">
        <v>11</v>
      </c>
      <c r="W133" s="3">
        <v>52</v>
      </c>
    </row>
    <row r="134" spans="1:23" ht="11.25" customHeight="1" x14ac:dyDescent="0.3">
      <c r="A134" s="3" t="s">
        <v>21</v>
      </c>
      <c r="B134" s="3" t="s">
        <v>39</v>
      </c>
      <c r="C134" s="3" t="s">
        <v>40</v>
      </c>
      <c r="D134" s="3" t="s">
        <v>38</v>
      </c>
      <c r="E134" s="3" t="s">
        <v>25</v>
      </c>
      <c r="F134" s="3" t="s">
        <v>25</v>
      </c>
      <c r="G134" s="3" t="s">
        <v>25</v>
      </c>
      <c r="H134" s="3" t="s">
        <v>35</v>
      </c>
      <c r="I134" s="6">
        <v>44501</v>
      </c>
      <c r="J134" s="4">
        <v>0</v>
      </c>
      <c r="K134" s="4">
        <v>0</v>
      </c>
      <c r="L134" s="4">
        <v>503.90899999999999</v>
      </c>
      <c r="M134" s="4">
        <v>503.90899999999999</v>
      </c>
      <c r="N134" s="4">
        <v>503.90899999999999</v>
      </c>
      <c r="O134" s="4">
        <v>503.90899999999999</v>
      </c>
      <c r="P134" s="4">
        <v>0</v>
      </c>
      <c r="Q134" s="3" t="s">
        <v>26</v>
      </c>
      <c r="R134" s="3">
        <v>0</v>
      </c>
      <c r="S134" s="3" t="s">
        <v>140</v>
      </c>
      <c r="T134" s="3" t="s">
        <v>387</v>
      </c>
      <c r="U134" s="3">
        <v>0</v>
      </c>
      <c r="V134" s="3">
        <v>11</v>
      </c>
      <c r="W134" s="3">
        <v>52</v>
      </c>
    </row>
    <row r="135" spans="1:23" ht="11.25" customHeight="1" x14ac:dyDescent="0.3">
      <c r="A135" s="3" t="s">
        <v>21</v>
      </c>
      <c r="B135" s="3" t="s">
        <v>39</v>
      </c>
      <c r="C135" s="3" t="s">
        <v>40</v>
      </c>
      <c r="D135" s="3" t="s">
        <v>38</v>
      </c>
      <c r="E135" s="3" t="s">
        <v>25</v>
      </c>
      <c r="F135" s="3" t="s">
        <v>25</v>
      </c>
      <c r="G135" s="3" t="s">
        <v>25</v>
      </c>
      <c r="H135" s="3" t="s">
        <v>35</v>
      </c>
      <c r="I135" s="6">
        <v>44531</v>
      </c>
      <c r="J135" s="4">
        <v>0</v>
      </c>
      <c r="K135" s="4">
        <v>0</v>
      </c>
      <c r="L135" s="4">
        <v>412.214</v>
      </c>
      <c r="M135" s="4">
        <v>412.214</v>
      </c>
      <c r="N135" s="4">
        <v>412.214</v>
      </c>
      <c r="O135" s="4">
        <v>412.214</v>
      </c>
      <c r="P135" s="4">
        <v>0</v>
      </c>
      <c r="Q135" s="3" t="s">
        <v>26</v>
      </c>
      <c r="R135" s="3">
        <v>0</v>
      </c>
      <c r="S135" s="3" t="s">
        <v>141</v>
      </c>
      <c r="T135" s="3" t="s">
        <v>388</v>
      </c>
      <c r="U135" s="3">
        <v>0</v>
      </c>
      <c r="V135" s="3">
        <v>11</v>
      </c>
      <c r="W135" s="3">
        <v>52</v>
      </c>
    </row>
    <row r="136" spans="1:23" ht="11.25" customHeight="1" x14ac:dyDescent="0.3">
      <c r="A136" s="3" t="s">
        <v>28</v>
      </c>
      <c r="B136" s="3" t="s">
        <v>39</v>
      </c>
      <c r="C136" s="3" t="s">
        <v>40</v>
      </c>
      <c r="D136" s="3" t="s">
        <v>38</v>
      </c>
      <c r="E136" s="3" t="s">
        <v>25</v>
      </c>
      <c r="F136" s="3" t="s">
        <v>25</v>
      </c>
      <c r="G136" s="3" t="s">
        <v>25</v>
      </c>
      <c r="H136" s="3" t="s">
        <v>35</v>
      </c>
      <c r="I136" s="6">
        <v>44531</v>
      </c>
      <c r="J136" s="4">
        <v>0</v>
      </c>
      <c r="K136" s="4">
        <v>0</v>
      </c>
      <c r="L136" s="4">
        <v>61.837000000000003</v>
      </c>
      <c r="M136" s="4">
        <v>61.837000000000003</v>
      </c>
      <c r="N136" s="4">
        <v>61.837000000000003</v>
      </c>
      <c r="O136" s="4">
        <v>61.837000000000003</v>
      </c>
      <c r="P136" s="4">
        <v>0</v>
      </c>
      <c r="Q136" s="3" t="s">
        <v>26</v>
      </c>
      <c r="R136" s="3">
        <v>0</v>
      </c>
      <c r="S136" s="3" t="s">
        <v>141</v>
      </c>
      <c r="T136" s="3" t="s">
        <v>388</v>
      </c>
      <c r="U136" s="3">
        <v>0</v>
      </c>
      <c r="V136" s="3">
        <v>11</v>
      </c>
      <c r="W136" s="3">
        <v>52</v>
      </c>
    </row>
    <row r="137" spans="1:23" ht="11.25" customHeight="1" x14ac:dyDescent="0.3">
      <c r="A137" s="3" t="s">
        <v>21</v>
      </c>
      <c r="B137" s="3" t="s">
        <v>39</v>
      </c>
      <c r="C137" s="3" t="s">
        <v>40</v>
      </c>
      <c r="D137" s="3" t="s">
        <v>38</v>
      </c>
      <c r="E137" s="3" t="s">
        <v>25</v>
      </c>
      <c r="F137" s="3" t="s">
        <v>25</v>
      </c>
      <c r="G137" s="3" t="s">
        <v>25</v>
      </c>
      <c r="H137" s="3" t="s">
        <v>35</v>
      </c>
      <c r="I137" s="6">
        <v>44562</v>
      </c>
      <c r="J137" s="4">
        <v>0</v>
      </c>
      <c r="K137" s="4">
        <v>0</v>
      </c>
      <c r="L137" s="4">
        <v>388.90199999999999</v>
      </c>
      <c r="M137" s="4">
        <v>388.90199999999999</v>
      </c>
      <c r="N137" s="4">
        <v>388.90199999999999</v>
      </c>
      <c r="O137" s="4">
        <v>388.90199999999999</v>
      </c>
      <c r="P137" s="4">
        <v>0</v>
      </c>
      <c r="Q137" s="3" t="s">
        <v>26</v>
      </c>
      <c r="R137" s="3">
        <v>0</v>
      </c>
      <c r="S137" s="3" t="s">
        <v>142</v>
      </c>
      <c r="T137" s="3" t="s">
        <v>389</v>
      </c>
      <c r="U137" s="3">
        <v>0</v>
      </c>
      <c r="V137" s="3">
        <v>11</v>
      </c>
      <c r="W137" s="3">
        <v>52</v>
      </c>
    </row>
    <row r="138" spans="1:23" ht="11.25" customHeight="1" x14ac:dyDescent="0.3">
      <c r="A138" s="3" t="s">
        <v>28</v>
      </c>
      <c r="B138" s="3" t="s">
        <v>39</v>
      </c>
      <c r="C138" s="3" t="s">
        <v>40</v>
      </c>
      <c r="D138" s="3" t="s">
        <v>38</v>
      </c>
      <c r="E138" s="3" t="s">
        <v>25</v>
      </c>
      <c r="F138" s="3" t="s">
        <v>25</v>
      </c>
      <c r="G138" s="3" t="s">
        <v>25</v>
      </c>
      <c r="H138" s="3" t="s">
        <v>35</v>
      </c>
      <c r="I138" s="6">
        <v>44562</v>
      </c>
      <c r="J138" s="4">
        <v>0</v>
      </c>
      <c r="K138" s="4">
        <v>0</v>
      </c>
      <c r="L138" s="4">
        <v>29.521000000000001</v>
      </c>
      <c r="M138" s="4">
        <v>29.521000000000001</v>
      </c>
      <c r="N138" s="4">
        <v>29.521000000000001</v>
      </c>
      <c r="O138" s="4">
        <v>29.521000000000001</v>
      </c>
      <c r="P138" s="4">
        <v>0</v>
      </c>
      <c r="Q138" s="3" t="s">
        <v>26</v>
      </c>
      <c r="R138" s="3">
        <v>0</v>
      </c>
      <c r="S138" s="3" t="s">
        <v>142</v>
      </c>
      <c r="T138" s="3" t="s">
        <v>389</v>
      </c>
      <c r="U138" s="3">
        <v>0</v>
      </c>
      <c r="V138" s="3">
        <v>11</v>
      </c>
      <c r="W138" s="3">
        <v>52</v>
      </c>
    </row>
    <row r="139" spans="1:23" ht="11.25" customHeight="1" x14ac:dyDescent="0.3">
      <c r="A139" s="3" t="s">
        <v>21</v>
      </c>
      <c r="B139" s="3" t="s">
        <v>39</v>
      </c>
      <c r="C139" s="3" t="s">
        <v>40</v>
      </c>
      <c r="D139" s="3" t="s">
        <v>38</v>
      </c>
      <c r="E139" s="3" t="s">
        <v>25</v>
      </c>
      <c r="F139" s="3" t="s">
        <v>25</v>
      </c>
      <c r="G139" s="3" t="s">
        <v>25</v>
      </c>
      <c r="H139" s="3" t="s">
        <v>35</v>
      </c>
      <c r="I139" s="6">
        <v>44593</v>
      </c>
      <c r="J139" s="4">
        <v>0</v>
      </c>
      <c r="K139" s="4">
        <v>0</v>
      </c>
      <c r="L139" s="4">
        <v>426.92399999999998</v>
      </c>
      <c r="M139" s="4">
        <v>426.92399999999998</v>
      </c>
      <c r="N139" s="4">
        <v>426.92399999999998</v>
      </c>
      <c r="O139" s="4">
        <v>426.92399999999998</v>
      </c>
      <c r="P139" s="4">
        <v>0</v>
      </c>
      <c r="Q139" s="3" t="s">
        <v>26</v>
      </c>
      <c r="R139" s="3">
        <v>0</v>
      </c>
      <c r="S139" s="3" t="s">
        <v>143</v>
      </c>
      <c r="T139" s="3" t="s">
        <v>390</v>
      </c>
      <c r="U139" s="3">
        <v>0</v>
      </c>
      <c r="V139" s="3">
        <v>11</v>
      </c>
      <c r="W139" s="3">
        <v>52</v>
      </c>
    </row>
    <row r="140" spans="1:23" ht="11.25" customHeight="1" x14ac:dyDescent="0.3">
      <c r="A140" s="3" t="s">
        <v>28</v>
      </c>
      <c r="B140" s="3" t="s">
        <v>39</v>
      </c>
      <c r="C140" s="3" t="s">
        <v>40</v>
      </c>
      <c r="D140" s="3" t="s">
        <v>38</v>
      </c>
      <c r="E140" s="3" t="s">
        <v>25</v>
      </c>
      <c r="F140" s="3" t="s">
        <v>25</v>
      </c>
      <c r="G140" s="3" t="s">
        <v>25</v>
      </c>
      <c r="H140" s="3" t="s">
        <v>35</v>
      </c>
      <c r="I140" s="6">
        <v>44593</v>
      </c>
      <c r="J140" s="4">
        <v>0</v>
      </c>
      <c r="K140" s="4">
        <v>0</v>
      </c>
      <c r="L140" s="4">
        <v>8.1969999999999992</v>
      </c>
      <c r="M140" s="4">
        <v>8.1969999999999992</v>
      </c>
      <c r="N140" s="4">
        <v>8.1969999999999992</v>
      </c>
      <c r="O140" s="4">
        <v>8.1969999999999992</v>
      </c>
      <c r="P140" s="4">
        <v>0</v>
      </c>
      <c r="Q140" s="3" t="s">
        <v>26</v>
      </c>
      <c r="R140" s="3">
        <v>0</v>
      </c>
      <c r="S140" s="3" t="s">
        <v>143</v>
      </c>
      <c r="T140" s="3" t="s">
        <v>390</v>
      </c>
      <c r="U140" s="3">
        <v>0</v>
      </c>
      <c r="V140" s="3">
        <v>11</v>
      </c>
      <c r="W140" s="3">
        <v>52</v>
      </c>
    </row>
    <row r="141" spans="1:23" ht="11.25" customHeight="1" x14ac:dyDescent="0.3">
      <c r="A141" s="3" t="s">
        <v>21</v>
      </c>
      <c r="B141" s="3" t="s">
        <v>39</v>
      </c>
      <c r="C141" s="3" t="s">
        <v>40</v>
      </c>
      <c r="D141" s="3" t="s">
        <v>38</v>
      </c>
      <c r="E141" s="3" t="s">
        <v>25</v>
      </c>
      <c r="F141" s="3" t="s">
        <v>25</v>
      </c>
      <c r="G141" s="3" t="s">
        <v>25</v>
      </c>
      <c r="H141" s="3" t="s">
        <v>35</v>
      </c>
      <c r="I141" s="6">
        <v>44621</v>
      </c>
      <c r="J141" s="4">
        <v>0</v>
      </c>
      <c r="K141" s="4">
        <v>0</v>
      </c>
      <c r="L141" s="4">
        <v>462.54199999999997</v>
      </c>
      <c r="M141" s="4">
        <v>462.54199999999997</v>
      </c>
      <c r="N141" s="4">
        <v>462.54199999999997</v>
      </c>
      <c r="O141" s="4">
        <v>462.54199999999997</v>
      </c>
      <c r="P141" s="4">
        <v>0</v>
      </c>
      <c r="Q141" s="3" t="s">
        <v>26</v>
      </c>
      <c r="R141" s="3">
        <v>0</v>
      </c>
      <c r="S141" s="3" t="s">
        <v>144</v>
      </c>
      <c r="T141" s="3" t="s">
        <v>391</v>
      </c>
      <c r="U141" s="3">
        <v>0</v>
      </c>
      <c r="V141" s="3">
        <v>11</v>
      </c>
      <c r="W141" s="3">
        <v>52</v>
      </c>
    </row>
    <row r="142" spans="1:23" ht="11.25" customHeight="1" x14ac:dyDescent="0.3">
      <c r="A142" s="3" t="s">
        <v>28</v>
      </c>
      <c r="B142" s="3" t="s">
        <v>39</v>
      </c>
      <c r="C142" s="3" t="s">
        <v>40</v>
      </c>
      <c r="D142" s="3" t="s">
        <v>38</v>
      </c>
      <c r="E142" s="3" t="s">
        <v>25</v>
      </c>
      <c r="F142" s="3" t="s">
        <v>25</v>
      </c>
      <c r="G142" s="3" t="s">
        <v>25</v>
      </c>
      <c r="H142" s="3" t="s">
        <v>35</v>
      </c>
      <c r="I142" s="6">
        <v>44621</v>
      </c>
      <c r="J142" s="4">
        <v>0</v>
      </c>
      <c r="K142" s="4">
        <v>0</v>
      </c>
      <c r="L142" s="4">
        <v>46.783999999999999</v>
      </c>
      <c r="M142" s="4">
        <v>46.783999999999999</v>
      </c>
      <c r="N142" s="4">
        <v>46.783999999999999</v>
      </c>
      <c r="O142" s="4">
        <v>46.783999999999999</v>
      </c>
      <c r="P142" s="4">
        <v>0</v>
      </c>
      <c r="Q142" s="3" t="s">
        <v>26</v>
      </c>
      <c r="R142" s="3">
        <v>0</v>
      </c>
      <c r="S142" s="3" t="s">
        <v>144</v>
      </c>
      <c r="T142" s="3" t="s">
        <v>391</v>
      </c>
      <c r="U142" s="3">
        <v>0</v>
      </c>
      <c r="V142" s="3">
        <v>11</v>
      </c>
      <c r="W142" s="3">
        <v>52</v>
      </c>
    </row>
    <row r="143" spans="1:23" ht="11.25" customHeight="1" x14ac:dyDescent="0.3">
      <c r="A143" s="3" t="s">
        <v>21</v>
      </c>
      <c r="B143" s="3" t="s">
        <v>39</v>
      </c>
      <c r="C143" s="3" t="s">
        <v>40</v>
      </c>
      <c r="D143" s="3" t="s">
        <v>38</v>
      </c>
      <c r="E143" s="3" t="s">
        <v>25</v>
      </c>
      <c r="F143" s="3" t="s">
        <v>25</v>
      </c>
      <c r="G143" s="3" t="s">
        <v>25</v>
      </c>
      <c r="H143" s="3" t="s">
        <v>35</v>
      </c>
      <c r="I143" s="6">
        <v>44652</v>
      </c>
      <c r="J143" s="4">
        <v>0</v>
      </c>
      <c r="K143" s="4">
        <v>0</v>
      </c>
      <c r="L143" s="4">
        <v>412.99400000000003</v>
      </c>
      <c r="M143" s="4">
        <v>412.99400000000003</v>
      </c>
      <c r="N143" s="4">
        <v>412.99400000000003</v>
      </c>
      <c r="O143" s="4">
        <v>412.99400000000003</v>
      </c>
      <c r="P143" s="4">
        <v>0</v>
      </c>
      <c r="Q143" s="3" t="s">
        <v>26</v>
      </c>
      <c r="R143" s="3">
        <v>0</v>
      </c>
      <c r="S143" s="3" t="s">
        <v>145</v>
      </c>
      <c r="T143" s="3" t="s">
        <v>392</v>
      </c>
      <c r="U143" s="3">
        <v>0</v>
      </c>
      <c r="V143" s="3">
        <v>11</v>
      </c>
      <c r="W143" s="3">
        <v>52</v>
      </c>
    </row>
    <row r="144" spans="1:23" ht="11.25" customHeight="1" x14ac:dyDescent="0.3">
      <c r="A144" s="3" t="s">
        <v>28</v>
      </c>
      <c r="B144" s="3" t="s">
        <v>39</v>
      </c>
      <c r="C144" s="3" t="s">
        <v>40</v>
      </c>
      <c r="D144" s="3" t="s">
        <v>38</v>
      </c>
      <c r="E144" s="3" t="s">
        <v>25</v>
      </c>
      <c r="F144" s="3" t="s">
        <v>25</v>
      </c>
      <c r="G144" s="3" t="s">
        <v>25</v>
      </c>
      <c r="H144" s="3" t="s">
        <v>35</v>
      </c>
      <c r="I144" s="6">
        <v>44652</v>
      </c>
      <c r="J144" s="4">
        <v>0</v>
      </c>
      <c r="K144" s="4">
        <v>0</v>
      </c>
      <c r="L144" s="4">
        <v>69.320999999999998</v>
      </c>
      <c r="M144" s="4">
        <v>69.320999999999998</v>
      </c>
      <c r="N144" s="4">
        <v>69.320999999999998</v>
      </c>
      <c r="O144" s="4">
        <v>69.320999999999998</v>
      </c>
      <c r="P144" s="4">
        <v>0</v>
      </c>
      <c r="Q144" s="3" t="s">
        <v>26</v>
      </c>
      <c r="R144" s="3">
        <v>0</v>
      </c>
      <c r="S144" s="3" t="s">
        <v>145</v>
      </c>
      <c r="T144" s="3" t="s">
        <v>392</v>
      </c>
      <c r="U144" s="3">
        <v>0</v>
      </c>
      <c r="V144" s="3">
        <v>11</v>
      </c>
      <c r="W144" s="3">
        <v>52</v>
      </c>
    </row>
    <row r="145" spans="1:23" ht="11.25" customHeight="1" x14ac:dyDescent="0.3">
      <c r="A145" s="3" t="s">
        <v>21</v>
      </c>
      <c r="B145" s="3" t="s">
        <v>39</v>
      </c>
      <c r="C145" s="3" t="s">
        <v>40</v>
      </c>
      <c r="D145" s="3" t="s">
        <v>38</v>
      </c>
      <c r="E145" s="3" t="s">
        <v>25</v>
      </c>
      <c r="F145" s="3" t="s">
        <v>25</v>
      </c>
      <c r="G145" s="3" t="s">
        <v>25</v>
      </c>
      <c r="H145" s="3" t="s">
        <v>35</v>
      </c>
      <c r="I145" s="6">
        <v>44682</v>
      </c>
      <c r="J145" s="4">
        <v>0</v>
      </c>
      <c r="K145" s="4">
        <v>0</v>
      </c>
      <c r="L145" s="4">
        <v>494.01600000000002</v>
      </c>
      <c r="M145" s="4">
        <v>494.01600000000002</v>
      </c>
      <c r="N145" s="4">
        <v>494.01600000000002</v>
      </c>
      <c r="O145" s="4">
        <v>494.01600000000002</v>
      </c>
      <c r="P145" s="4">
        <v>0</v>
      </c>
      <c r="Q145" s="3" t="s">
        <v>26</v>
      </c>
      <c r="R145" s="3">
        <v>0</v>
      </c>
      <c r="S145" s="3" t="s">
        <v>146</v>
      </c>
      <c r="T145" s="3" t="s">
        <v>393</v>
      </c>
      <c r="U145" s="3">
        <v>0</v>
      </c>
      <c r="V145" s="3">
        <v>11</v>
      </c>
      <c r="W145" s="3">
        <v>52</v>
      </c>
    </row>
    <row r="146" spans="1:23" ht="11.25" customHeight="1" x14ac:dyDescent="0.3">
      <c r="A146" s="3" t="s">
        <v>28</v>
      </c>
      <c r="B146" s="3" t="s">
        <v>39</v>
      </c>
      <c r="C146" s="3" t="s">
        <v>40</v>
      </c>
      <c r="D146" s="3" t="s">
        <v>38</v>
      </c>
      <c r="E146" s="3" t="s">
        <v>25</v>
      </c>
      <c r="F146" s="3" t="s">
        <v>25</v>
      </c>
      <c r="G146" s="3" t="s">
        <v>25</v>
      </c>
      <c r="H146" s="3" t="s">
        <v>35</v>
      </c>
      <c r="I146" s="6">
        <v>44682</v>
      </c>
      <c r="J146" s="4">
        <v>0</v>
      </c>
      <c r="K146" s="4">
        <v>0</v>
      </c>
      <c r="L146" s="4">
        <v>64.748999999999995</v>
      </c>
      <c r="M146" s="4">
        <v>64.748999999999995</v>
      </c>
      <c r="N146" s="4">
        <v>64.748999999999995</v>
      </c>
      <c r="O146" s="4">
        <v>64.748999999999995</v>
      </c>
      <c r="P146" s="4">
        <v>0</v>
      </c>
      <c r="Q146" s="3" t="s">
        <v>26</v>
      </c>
      <c r="R146" s="3">
        <v>0</v>
      </c>
      <c r="S146" s="3" t="s">
        <v>146</v>
      </c>
      <c r="T146" s="3" t="s">
        <v>393</v>
      </c>
      <c r="U146" s="3">
        <v>0</v>
      </c>
      <c r="V146" s="3">
        <v>11</v>
      </c>
      <c r="W146" s="3">
        <v>52</v>
      </c>
    </row>
    <row r="147" spans="1:23" ht="11.25" customHeight="1" x14ac:dyDescent="0.3">
      <c r="A147" s="3" t="s">
        <v>21</v>
      </c>
      <c r="B147" s="3" t="s">
        <v>39</v>
      </c>
      <c r="C147" s="3" t="s">
        <v>40</v>
      </c>
      <c r="D147" s="3" t="s">
        <v>38</v>
      </c>
      <c r="E147" s="3" t="s">
        <v>25</v>
      </c>
      <c r="F147" s="3" t="s">
        <v>25</v>
      </c>
      <c r="G147" s="3" t="s">
        <v>25</v>
      </c>
      <c r="H147" s="3" t="s">
        <v>35</v>
      </c>
      <c r="I147" s="6">
        <v>44713</v>
      </c>
      <c r="J147" s="4">
        <v>0</v>
      </c>
      <c r="K147" s="4">
        <v>0</v>
      </c>
      <c r="L147" s="4">
        <v>362.99599999999998</v>
      </c>
      <c r="M147" s="4">
        <v>362.99599999999998</v>
      </c>
      <c r="N147" s="4">
        <v>362.99599999999998</v>
      </c>
      <c r="O147" s="4">
        <v>362.99599999999998</v>
      </c>
      <c r="P147" s="4">
        <v>0</v>
      </c>
      <c r="Q147" s="3" t="s">
        <v>26</v>
      </c>
      <c r="R147" s="3">
        <v>0</v>
      </c>
      <c r="S147" s="3" t="s">
        <v>147</v>
      </c>
      <c r="T147" s="3" t="s">
        <v>394</v>
      </c>
      <c r="U147" s="3">
        <v>0</v>
      </c>
      <c r="V147" s="3">
        <v>11</v>
      </c>
      <c r="W147" s="3">
        <v>52</v>
      </c>
    </row>
    <row r="148" spans="1:23" ht="11.25" customHeight="1" x14ac:dyDescent="0.3">
      <c r="A148" s="3" t="s">
        <v>28</v>
      </c>
      <c r="B148" s="3" t="s">
        <v>39</v>
      </c>
      <c r="C148" s="3" t="s">
        <v>40</v>
      </c>
      <c r="D148" s="3" t="s">
        <v>38</v>
      </c>
      <c r="E148" s="3" t="s">
        <v>25</v>
      </c>
      <c r="F148" s="3" t="s">
        <v>25</v>
      </c>
      <c r="G148" s="3" t="s">
        <v>25</v>
      </c>
      <c r="H148" s="3" t="s">
        <v>35</v>
      </c>
      <c r="I148" s="6">
        <v>44713</v>
      </c>
      <c r="J148" s="4">
        <v>0</v>
      </c>
      <c r="K148" s="4">
        <v>0</v>
      </c>
      <c r="L148" s="4">
        <v>59.744</v>
      </c>
      <c r="M148" s="4">
        <v>59.744</v>
      </c>
      <c r="N148" s="4">
        <v>59.744</v>
      </c>
      <c r="O148" s="4">
        <v>59.744</v>
      </c>
      <c r="P148" s="4">
        <v>0</v>
      </c>
      <c r="Q148" s="3" t="s">
        <v>26</v>
      </c>
      <c r="R148" s="3">
        <v>0</v>
      </c>
      <c r="S148" s="3" t="s">
        <v>147</v>
      </c>
      <c r="T148" s="3" t="s">
        <v>394</v>
      </c>
      <c r="U148" s="3">
        <v>0</v>
      </c>
      <c r="V148" s="3">
        <v>11</v>
      </c>
      <c r="W148" s="3">
        <v>52</v>
      </c>
    </row>
    <row r="149" spans="1:23" ht="11.25" customHeight="1" x14ac:dyDescent="0.3">
      <c r="A149" s="3" t="s">
        <v>21</v>
      </c>
      <c r="B149" s="3" t="s">
        <v>39</v>
      </c>
      <c r="C149" s="3" t="s">
        <v>40</v>
      </c>
      <c r="D149" s="3" t="s">
        <v>38</v>
      </c>
      <c r="E149" s="3" t="s">
        <v>25</v>
      </c>
      <c r="F149" s="3" t="s">
        <v>25</v>
      </c>
      <c r="G149" s="3" t="s">
        <v>25</v>
      </c>
      <c r="H149" s="3" t="s">
        <v>25</v>
      </c>
      <c r="I149" s="6">
        <v>44378</v>
      </c>
      <c r="J149" s="4">
        <v>3473</v>
      </c>
      <c r="K149" s="4">
        <v>3473</v>
      </c>
      <c r="L149" s="4">
        <v>0</v>
      </c>
      <c r="M149" s="4">
        <v>0</v>
      </c>
      <c r="N149" s="4">
        <v>0</v>
      </c>
      <c r="O149" s="4">
        <v>0</v>
      </c>
      <c r="P149" s="4">
        <v>21</v>
      </c>
      <c r="Q149" s="3" t="s">
        <v>26</v>
      </c>
      <c r="R149" s="3">
        <v>0</v>
      </c>
      <c r="S149" s="3" t="s">
        <v>148</v>
      </c>
      <c r="U149" s="3">
        <v>9</v>
      </c>
      <c r="V149" s="3">
        <v>0</v>
      </c>
      <c r="W149" s="3">
        <v>0</v>
      </c>
    </row>
    <row r="150" spans="1:23" ht="11.25" customHeight="1" x14ac:dyDescent="0.3">
      <c r="A150" s="3" t="s">
        <v>21</v>
      </c>
      <c r="B150" s="3" t="s">
        <v>39</v>
      </c>
      <c r="C150" s="3" t="s">
        <v>40</v>
      </c>
      <c r="D150" s="3" t="s">
        <v>38</v>
      </c>
      <c r="E150" s="3" t="s">
        <v>25</v>
      </c>
      <c r="F150" s="3" t="s">
        <v>25</v>
      </c>
      <c r="G150" s="3" t="s">
        <v>25</v>
      </c>
      <c r="H150" s="3" t="s">
        <v>25</v>
      </c>
      <c r="I150" s="6">
        <v>44409</v>
      </c>
      <c r="J150" s="4">
        <v>3138</v>
      </c>
      <c r="K150" s="4">
        <v>3138</v>
      </c>
      <c r="L150" s="4">
        <v>0</v>
      </c>
      <c r="M150" s="4">
        <v>0</v>
      </c>
      <c r="N150" s="4">
        <v>0</v>
      </c>
      <c r="O150" s="4">
        <v>0</v>
      </c>
      <c r="P150" s="4">
        <v>20</v>
      </c>
      <c r="Q150" s="3" t="s">
        <v>26</v>
      </c>
      <c r="R150" s="3">
        <v>0</v>
      </c>
      <c r="S150" s="3" t="s">
        <v>149</v>
      </c>
      <c r="U150" s="3">
        <v>9</v>
      </c>
      <c r="V150" s="3">
        <v>0</v>
      </c>
      <c r="W150" s="3">
        <v>0</v>
      </c>
    </row>
    <row r="151" spans="1:23" ht="11.25" customHeight="1" x14ac:dyDescent="0.3">
      <c r="A151" s="3" t="s">
        <v>21</v>
      </c>
      <c r="B151" s="3" t="s">
        <v>39</v>
      </c>
      <c r="C151" s="3" t="s">
        <v>40</v>
      </c>
      <c r="D151" s="3" t="s">
        <v>38</v>
      </c>
      <c r="E151" s="3" t="s">
        <v>25</v>
      </c>
      <c r="F151" s="3" t="s">
        <v>25</v>
      </c>
      <c r="G151" s="3" t="s">
        <v>25</v>
      </c>
      <c r="H151" s="3" t="s">
        <v>25</v>
      </c>
      <c r="I151" s="6">
        <v>44440</v>
      </c>
      <c r="J151" s="4">
        <v>3201</v>
      </c>
      <c r="K151" s="4">
        <v>3201</v>
      </c>
      <c r="L151" s="4">
        <v>0</v>
      </c>
      <c r="M151" s="4">
        <v>0</v>
      </c>
      <c r="N151" s="4">
        <v>0</v>
      </c>
      <c r="O151" s="4">
        <v>0</v>
      </c>
      <c r="P151" s="4">
        <v>20</v>
      </c>
      <c r="Q151" s="3" t="s">
        <v>26</v>
      </c>
      <c r="R151" s="3">
        <v>0</v>
      </c>
      <c r="S151" s="3" t="s">
        <v>150</v>
      </c>
      <c r="U151" s="3">
        <v>9</v>
      </c>
      <c r="V151" s="3">
        <v>0</v>
      </c>
      <c r="W151" s="3">
        <v>0</v>
      </c>
    </row>
    <row r="152" spans="1:23" ht="11.25" customHeight="1" x14ac:dyDescent="0.3">
      <c r="A152" s="3" t="s">
        <v>21</v>
      </c>
      <c r="B152" s="3" t="s">
        <v>39</v>
      </c>
      <c r="C152" s="3" t="s">
        <v>40</v>
      </c>
      <c r="D152" s="3" t="s">
        <v>38</v>
      </c>
      <c r="E152" s="3" t="s">
        <v>25</v>
      </c>
      <c r="F152" s="3" t="s">
        <v>25</v>
      </c>
      <c r="G152" s="3" t="s">
        <v>25</v>
      </c>
      <c r="H152" s="3" t="s">
        <v>25</v>
      </c>
      <c r="I152" s="6">
        <v>44470</v>
      </c>
      <c r="J152" s="4">
        <v>3185</v>
      </c>
      <c r="K152" s="4">
        <v>3185</v>
      </c>
      <c r="L152" s="4">
        <v>0</v>
      </c>
      <c r="M152" s="4">
        <v>0</v>
      </c>
      <c r="N152" s="4">
        <v>0</v>
      </c>
      <c r="O152" s="4">
        <v>0</v>
      </c>
      <c r="P152" s="4">
        <v>20</v>
      </c>
      <c r="Q152" s="3" t="s">
        <v>26</v>
      </c>
      <c r="R152" s="3">
        <v>0</v>
      </c>
      <c r="S152" s="3" t="s">
        <v>151</v>
      </c>
      <c r="U152" s="3">
        <v>9</v>
      </c>
      <c r="V152" s="3">
        <v>0</v>
      </c>
      <c r="W152" s="3">
        <v>0</v>
      </c>
    </row>
    <row r="153" spans="1:23" ht="11.25" customHeight="1" x14ac:dyDescent="0.3">
      <c r="A153" s="3" t="s">
        <v>21</v>
      </c>
      <c r="B153" s="3" t="s">
        <v>39</v>
      </c>
      <c r="C153" s="3" t="s">
        <v>40</v>
      </c>
      <c r="D153" s="3" t="s">
        <v>38</v>
      </c>
      <c r="E153" s="3" t="s">
        <v>25</v>
      </c>
      <c r="F153" s="3" t="s">
        <v>25</v>
      </c>
      <c r="G153" s="3" t="s">
        <v>25</v>
      </c>
      <c r="H153" s="3" t="s">
        <v>25</v>
      </c>
      <c r="I153" s="6">
        <v>44501</v>
      </c>
      <c r="J153" s="4">
        <v>3171</v>
      </c>
      <c r="K153" s="4">
        <v>3171</v>
      </c>
      <c r="L153" s="4">
        <v>0</v>
      </c>
      <c r="M153" s="4">
        <v>0</v>
      </c>
      <c r="N153" s="4">
        <v>0</v>
      </c>
      <c r="O153" s="4">
        <v>0</v>
      </c>
      <c r="P153" s="4">
        <v>19</v>
      </c>
      <c r="Q153" s="3" t="s">
        <v>26</v>
      </c>
      <c r="R153" s="3">
        <v>0</v>
      </c>
      <c r="S153" s="3" t="s">
        <v>152</v>
      </c>
      <c r="U153" s="3">
        <v>9</v>
      </c>
      <c r="V153" s="3">
        <v>0</v>
      </c>
      <c r="W153" s="3">
        <v>0</v>
      </c>
    </row>
    <row r="154" spans="1:23" ht="11.25" customHeight="1" x14ac:dyDescent="0.3">
      <c r="A154" s="3" t="s">
        <v>21</v>
      </c>
      <c r="B154" s="3" t="s">
        <v>39</v>
      </c>
      <c r="C154" s="3" t="s">
        <v>40</v>
      </c>
      <c r="D154" s="3" t="s">
        <v>38</v>
      </c>
      <c r="E154" s="3" t="s">
        <v>25</v>
      </c>
      <c r="F154" s="3" t="s">
        <v>25</v>
      </c>
      <c r="G154" s="3" t="s">
        <v>25</v>
      </c>
      <c r="H154" s="3" t="s">
        <v>25</v>
      </c>
      <c r="I154" s="6">
        <v>44531</v>
      </c>
      <c r="J154" s="4">
        <v>2834</v>
      </c>
      <c r="K154" s="4">
        <v>2834</v>
      </c>
      <c r="L154" s="4">
        <v>0</v>
      </c>
      <c r="M154" s="4">
        <v>0</v>
      </c>
      <c r="N154" s="4">
        <v>0</v>
      </c>
      <c r="O154" s="4">
        <v>0</v>
      </c>
      <c r="P154" s="4">
        <v>18</v>
      </c>
      <c r="Q154" s="3" t="s">
        <v>26</v>
      </c>
      <c r="R154" s="3">
        <v>0</v>
      </c>
      <c r="S154" s="3" t="s">
        <v>153</v>
      </c>
      <c r="U154" s="3">
        <v>9</v>
      </c>
      <c r="V154" s="3">
        <v>0</v>
      </c>
      <c r="W154" s="3">
        <v>0</v>
      </c>
    </row>
    <row r="155" spans="1:23" ht="11.25" customHeight="1" x14ac:dyDescent="0.3">
      <c r="A155" s="3" t="s">
        <v>28</v>
      </c>
      <c r="B155" s="3" t="s">
        <v>39</v>
      </c>
      <c r="C155" s="3" t="s">
        <v>40</v>
      </c>
      <c r="D155" s="3" t="s">
        <v>38</v>
      </c>
      <c r="E155" s="3" t="s">
        <v>25</v>
      </c>
      <c r="F155" s="3" t="s">
        <v>25</v>
      </c>
      <c r="G155" s="3" t="s">
        <v>25</v>
      </c>
      <c r="H155" s="3" t="s">
        <v>25</v>
      </c>
      <c r="I155" s="6">
        <v>44531</v>
      </c>
      <c r="J155" s="4">
        <v>290</v>
      </c>
      <c r="K155" s="4">
        <v>290</v>
      </c>
      <c r="L155" s="4">
        <v>0</v>
      </c>
      <c r="M155" s="4">
        <v>0</v>
      </c>
      <c r="N155" s="4">
        <v>0</v>
      </c>
      <c r="O155" s="4">
        <v>0</v>
      </c>
      <c r="P155" s="4">
        <v>1</v>
      </c>
      <c r="Q155" s="3" t="s">
        <v>26</v>
      </c>
      <c r="R155" s="3">
        <v>0</v>
      </c>
      <c r="S155" s="3" t="s">
        <v>153</v>
      </c>
      <c r="U155" s="3">
        <v>9</v>
      </c>
      <c r="V155" s="3">
        <v>0</v>
      </c>
      <c r="W155" s="3">
        <v>0</v>
      </c>
    </row>
    <row r="156" spans="1:23" ht="11.25" customHeight="1" x14ac:dyDescent="0.3">
      <c r="A156" s="3" t="s">
        <v>21</v>
      </c>
      <c r="B156" s="3" t="s">
        <v>39</v>
      </c>
      <c r="C156" s="3" t="s">
        <v>40</v>
      </c>
      <c r="D156" s="3" t="s">
        <v>38</v>
      </c>
      <c r="E156" s="3" t="s">
        <v>25</v>
      </c>
      <c r="F156" s="3" t="s">
        <v>25</v>
      </c>
      <c r="G156" s="3" t="s">
        <v>25</v>
      </c>
      <c r="H156" s="3" t="s">
        <v>25</v>
      </c>
      <c r="I156" s="6">
        <v>44562</v>
      </c>
      <c r="J156" s="4">
        <v>2862</v>
      </c>
      <c r="K156" s="4">
        <v>2862</v>
      </c>
      <c r="L156" s="4">
        <v>0</v>
      </c>
      <c r="M156" s="4">
        <v>0</v>
      </c>
      <c r="N156" s="4">
        <v>0</v>
      </c>
      <c r="O156" s="4">
        <v>0</v>
      </c>
      <c r="P156" s="4">
        <v>18</v>
      </c>
      <c r="Q156" s="3" t="s">
        <v>26</v>
      </c>
      <c r="R156" s="3">
        <v>0</v>
      </c>
      <c r="S156" s="3" t="s">
        <v>154</v>
      </c>
      <c r="U156" s="3">
        <v>9</v>
      </c>
      <c r="V156" s="3">
        <v>0</v>
      </c>
      <c r="W156" s="3">
        <v>0</v>
      </c>
    </row>
    <row r="157" spans="1:23" ht="11.25" customHeight="1" x14ac:dyDescent="0.3">
      <c r="A157" s="3" t="s">
        <v>27</v>
      </c>
      <c r="B157" s="3" t="s">
        <v>39</v>
      </c>
      <c r="C157" s="3" t="s">
        <v>40</v>
      </c>
      <c r="D157" s="3" t="s">
        <v>38</v>
      </c>
      <c r="E157" s="3" t="s">
        <v>25</v>
      </c>
      <c r="F157" s="3" t="s">
        <v>25</v>
      </c>
      <c r="G157" s="3" t="s">
        <v>25</v>
      </c>
      <c r="H157" s="3" t="s">
        <v>25</v>
      </c>
      <c r="I157" s="6">
        <v>44562</v>
      </c>
      <c r="J157" s="4">
        <v>-40</v>
      </c>
      <c r="K157" s="4">
        <v>-40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26</v>
      </c>
      <c r="R157" s="3">
        <v>0</v>
      </c>
      <c r="S157" s="3" t="s">
        <v>154</v>
      </c>
      <c r="U157" s="3">
        <v>9</v>
      </c>
      <c r="V157" s="3">
        <v>0</v>
      </c>
      <c r="W157" s="3">
        <v>0</v>
      </c>
    </row>
    <row r="158" spans="1:23" ht="11.25" customHeight="1" x14ac:dyDescent="0.3">
      <c r="A158" s="3" t="s">
        <v>28</v>
      </c>
      <c r="B158" s="3" t="s">
        <v>39</v>
      </c>
      <c r="C158" s="3" t="s">
        <v>40</v>
      </c>
      <c r="D158" s="3" t="s">
        <v>38</v>
      </c>
      <c r="E158" s="3" t="s">
        <v>25</v>
      </c>
      <c r="F158" s="3" t="s">
        <v>25</v>
      </c>
      <c r="G158" s="3" t="s">
        <v>25</v>
      </c>
      <c r="H158" s="3" t="s">
        <v>25</v>
      </c>
      <c r="I158" s="6">
        <v>44562</v>
      </c>
      <c r="J158" s="4">
        <v>268</v>
      </c>
      <c r="K158" s="4">
        <v>268</v>
      </c>
      <c r="L158" s="4">
        <v>0</v>
      </c>
      <c r="M158" s="4">
        <v>0</v>
      </c>
      <c r="N158" s="4">
        <v>0</v>
      </c>
      <c r="O158" s="4">
        <v>0</v>
      </c>
      <c r="P158" s="4">
        <v>1</v>
      </c>
      <c r="Q158" s="3" t="s">
        <v>26</v>
      </c>
      <c r="R158" s="3">
        <v>0</v>
      </c>
      <c r="S158" s="3" t="s">
        <v>154</v>
      </c>
      <c r="U158" s="3">
        <v>9</v>
      </c>
      <c r="V158" s="3">
        <v>0</v>
      </c>
      <c r="W158" s="3">
        <v>0</v>
      </c>
    </row>
    <row r="159" spans="1:23" ht="11.25" customHeight="1" x14ac:dyDescent="0.3">
      <c r="A159" s="3" t="s">
        <v>21</v>
      </c>
      <c r="B159" s="3" t="s">
        <v>39</v>
      </c>
      <c r="C159" s="3" t="s">
        <v>40</v>
      </c>
      <c r="D159" s="3" t="s">
        <v>38</v>
      </c>
      <c r="E159" s="3" t="s">
        <v>25</v>
      </c>
      <c r="F159" s="3" t="s">
        <v>25</v>
      </c>
      <c r="G159" s="3" t="s">
        <v>25</v>
      </c>
      <c r="H159" s="3" t="s">
        <v>25</v>
      </c>
      <c r="I159" s="6">
        <v>44593</v>
      </c>
      <c r="J159" s="4">
        <v>3012</v>
      </c>
      <c r="K159" s="4">
        <v>3012</v>
      </c>
      <c r="L159" s="4">
        <v>0</v>
      </c>
      <c r="M159" s="4">
        <v>0</v>
      </c>
      <c r="N159" s="4">
        <v>0</v>
      </c>
      <c r="O159" s="4">
        <v>0</v>
      </c>
      <c r="P159" s="4">
        <v>19</v>
      </c>
      <c r="Q159" s="3" t="s">
        <v>26</v>
      </c>
      <c r="R159" s="3">
        <v>0</v>
      </c>
      <c r="S159" s="3" t="s">
        <v>155</v>
      </c>
      <c r="U159" s="3">
        <v>9</v>
      </c>
      <c r="V159" s="3">
        <v>0</v>
      </c>
      <c r="W159" s="3">
        <v>0</v>
      </c>
    </row>
    <row r="160" spans="1:23" ht="11.25" customHeight="1" x14ac:dyDescent="0.3">
      <c r="A160" s="3" t="s">
        <v>28</v>
      </c>
      <c r="B160" s="3" t="s">
        <v>39</v>
      </c>
      <c r="C160" s="3" t="s">
        <v>40</v>
      </c>
      <c r="D160" s="3" t="s">
        <v>38</v>
      </c>
      <c r="E160" s="3" t="s">
        <v>25</v>
      </c>
      <c r="F160" s="3" t="s">
        <v>25</v>
      </c>
      <c r="G160" s="3" t="s">
        <v>25</v>
      </c>
      <c r="H160" s="3" t="s">
        <v>25</v>
      </c>
      <c r="I160" s="6">
        <v>44593</v>
      </c>
      <c r="J160" s="4">
        <v>262</v>
      </c>
      <c r="K160" s="4">
        <v>262</v>
      </c>
      <c r="L160" s="4">
        <v>0</v>
      </c>
      <c r="M160" s="4">
        <v>0</v>
      </c>
      <c r="N160" s="4">
        <v>0</v>
      </c>
      <c r="O160" s="4">
        <v>0</v>
      </c>
      <c r="P160" s="4">
        <v>1</v>
      </c>
      <c r="Q160" s="3" t="s">
        <v>26</v>
      </c>
      <c r="R160" s="3">
        <v>0</v>
      </c>
      <c r="S160" s="3" t="s">
        <v>155</v>
      </c>
      <c r="U160" s="3">
        <v>9</v>
      </c>
      <c r="V160" s="3">
        <v>0</v>
      </c>
      <c r="W160" s="3">
        <v>0</v>
      </c>
    </row>
    <row r="161" spans="1:23" ht="11.25" customHeight="1" x14ac:dyDescent="0.3">
      <c r="A161" s="3" t="s">
        <v>21</v>
      </c>
      <c r="B161" s="3" t="s">
        <v>39</v>
      </c>
      <c r="C161" s="3" t="s">
        <v>40</v>
      </c>
      <c r="D161" s="3" t="s">
        <v>38</v>
      </c>
      <c r="E161" s="3" t="s">
        <v>25</v>
      </c>
      <c r="F161" s="3" t="s">
        <v>25</v>
      </c>
      <c r="G161" s="3" t="s">
        <v>25</v>
      </c>
      <c r="H161" s="3" t="s">
        <v>25</v>
      </c>
      <c r="I161" s="6">
        <v>44621</v>
      </c>
      <c r="J161" s="4">
        <v>3139</v>
      </c>
      <c r="K161" s="4">
        <v>3139</v>
      </c>
      <c r="L161" s="4">
        <v>0</v>
      </c>
      <c r="M161" s="4">
        <v>0</v>
      </c>
      <c r="N161" s="4">
        <v>0</v>
      </c>
      <c r="O161" s="4">
        <v>0</v>
      </c>
      <c r="P161" s="4">
        <v>19</v>
      </c>
      <c r="Q161" s="3" t="s">
        <v>26</v>
      </c>
      <c r="R161" s="3">
        <v>0</v>
      </c>
      <c r="S161" s="3" t="s">
        <v>156</v>
      </c>
      <c r="U161" s="3">
        <v>9</v>
      </c>
      <c r="V161" s="3">
        <v>0</v>
      </c>
      <c r="W161" s="3">
        <v>0</v>
      </c>
    </row>
    <row r="162" spans="1:23" ht="11.25" customHeight="1" x14ac:dyDescent="0.3">
      <c r="A162" s="3" t="s">
        <v>28</v>
      </c>
      <c r="B162" s="3" t="s">
        <v>39</v>
      </c>
      <c r="C162" s="3" t="s">
        <v>40</v>
      </c>
      <c r="D162" s="3" t="s">
        <v>38</v>
      </c>
      <c r="E162" s="3" t="s">
        <v>25</v>
      </c>
      <c r="F162" s="3" t="s">
        <v>25</v>
      </c>
      <c r="G162" s="3" t="s">
        <v>25</v>
      </c>
      <c r="H162" s="3" t="s">
        <v>25</v>
      </c>
      <c r="I162" s="6">
        <v>44621</v>
      </c>
      <c r="J162" s="4">
        <v>282</v>
      </c>
      <c r="K162" s="4">
        <v>282</v>
      </c>
      <c r="L162" s="4">
        <v>0</v>
      </c>
      <c r="M162" s="4">
        <v>0</v>
      </c>
      <c r="N162" s="4">
        <v>0</v>
      </c>
      <c r="O162" s="4">
        <v>0</v>
      </c>
      <c r="P162" s="4">
        <v>1</v>
      </c>
      <c r="Q162" s="3" t="s">
        <v>26</v>
      </c>
      <c r="R162" s="3">
        <v>0</v>
      </c>
      <c r="S162" s="3" t="s">
        <v>156</v>
      </c>
      <c r="U162" s="3">
        <v>9</v>
      </c>
      <c r="V162" s="3">
        <v>0</v>
      </c>
      <c r="W162" s="3">
        <v>0</v>
      </c>
    </row>
    <row r="163" spans="1:23" ht="11.25" customHeight="1" x14ac:dyDescent="0.3">
      <c r="A163" s="3" t="s">
        <v>21</v>
      </c>
      <c r="B163" s="3" t="s">
        <v>39</v>
      </c>
      <c r="C163" s="3" t="s">
        <v>40</v>
      </c>
      <c r="D163" s="3" t="s">
        <v>38</v>
      </c>
      <c r="E163" s="3" t="s">
        <v>25</v>
      </c>
      <c r="F163" s="3" t="s">
        <v>25</v>
      </c>
      <c r="G163" s="3" t="s">
        <v>25</v>
      </c>
      <c r="H163" s="3" t="s">
        <v>25</v>
      </c>
      <c r="I163" s="6">
        <v>44652</v>
      </c>
      <c r="J163" s="4">
        <v>3130</v>
      </c>
      <c r="K163" s="4">
        <v>3130</v>
      </c>
      <c r="L163" s="4">
        <v>0</v>
      </c>
      <c r="M163" s="4">
        <v>0</v>
      </c>
      <c r="N163" s="4">
        <v>0</v>
      </c>
      <c r="O163" s="4">
        <v>0</v>
      </c>
      <c r="P163" s="4">
        <v>19</v>
      </c>
      <c r="Q163" s="3" t="s">
        <v>26</v>
      </c>
      <c r="R163" s="3">
        <v>0</v>
      </c>
      <c r="S163" s="3" t="s">
        <v>157</v>
      </c>
      <c r="U163" s="3">
        <v>9</v>
      </c>
      <c r="V163" s="3">
        <v>0</v>
      </c>
      <c r="W163" s="3">
        <v>0</v>
      </c>
    </row>
    <row r="164" spans="1:23" ht="11.25" customHeight="1" x14ac:dyDescent="0.3">
      <c r="A164" s="3" t="s">
        <v>28</v>
      </c>
      <c r="B164" s="3" t="s">
        <v>39</v>
      </c>
      <c r="C164" s="3" t="s">
        <v>40</v>
      </c>
      <c r="D164" s="3" t="s">
        <v>38</v>
      </c>
      <c r="E164" s="3" t="s">
        <v>25</v>
      </c>
      <c r="F164" s="3" t="s">
        <v>25</v>
      </c>
      <c r="G164" s="3" t="s">
        <v>25</v>
      </c>
      <c r="H164" s="3" t="s">
        <v>25</v>
      </c>
      <c r="I164" s="6">
        <v>44652</v>
      </c>
      <c r="J164" s="4">
        <v>348</v>
      </c>
      <c r="K164" s="4">
        <v>348</v>
      </c>
      <c r="L164" s="4">
        <v>0</v>
      </c>
      <c r="M164" s="4">
        <v>0</v>
      </c>
      <c r="N164" s="4">
        <v>0</v>
      </c>
      <c r="O164" s="4">
        <v>0</v>
      </c>
      <c r="P164" s="4">
        <v>1</v>
      </c>
      <c r="Q164" s="3" t="s">
        <v>26</v>
      </c>
      <c r="R164" s="3">
        <v>0</v>
      </c>
      <c r="S164" s="3" t="s">
        <v>157</v>
      </c>
      <c r="U164" s="3">
        <v>9</v>
      </c>
      <c r="V164" s="3">
        <v>0</v>
      </c>
      <c r="W164" s="3">
        <v>0</v>
      </c>
    </row>
    <row r="165" spans="1:23" ht="11.25" customHeight="1" x14ac:dyDescent="0.3">
      <c r="A165" s="3" t="s">
        <v>21</v>
      </c>
      <c r="B165" s="3" t="s">
        <v>39</v>
      </c>
      <c r="C165" s="3" t="s">
        <v>40</v>
      </c>
      <c r="D165" s="3" t="s">
        <v>38</v>
      </c>
      <c r="E165" s="3" t="s">
        <v>25</v>
      </c>
      <c r="F165" s="3" t="s">
        <v>25</v>
      </c>
      <c r="G165" s="3" t="s">
        <v>25</v>
      </c>
      <c r="H165" s="3" t="s">
        <v>25</v>
      </c>
      <c r="I165" s="6">
        <v>44682</v>
      </c>
      <c r="J165" s="4">
        <v>3100</v>
      </c>
      <c r="K165" s="4">
        <v>3100</v>
      </c>
      <c r="L165" s="4">
        <v>0</v>
      </c>
      <c r="M165" s="4">
        <v>0</v>
      </c>
      <c r="N165" s="4">
        <v>0</v>
      </c>
      <c r="O165" s="4">
        <v>0</v>
      </c>
      <c r="P165" s="4">
        <v>19</v>
      </c>
      <c r="Q165" s="3" t="s">
        <v>26</v>
      </c>
      <c r="R165" s="3">
        <v>0</v>
      </c>
      <c r="S165" s="3" t="s">
        <v>158</v>
      </c>
      <c r="U165" s="3">
        <v>9</v>
      </c>
      <c r="V165" s="3">
        <v>0</v>
      </c>
      <c r="W165" s="3">
        <v>0</v>
      </c>
    </row>
    <row r="166" spans="1:23" ht="11.25" customHeight="1" x14ac:dyDescent="0.3">
      <c r="A166" s="3" t="s">
        <v>28</v>
      </c>
      <c r="B166" s="3" t="s">
        <v>39</v>
      </c>
      <c r="C166" s="3" t="s">
        <v>40</v>
      </c>
      <c r="D166" s="3" t="s">
        <v>38</v>
      </c>
      <c r="E166" s="3" t="s">
        <v>25</v>
      </c>
      <c r="F166" s="3" t="s">
        <v>25</v>
      </c>
      <c r="G166" s="3" t="s">
        <v>25</v>
      </c>
      <c r="H166" s="3" t="s">
        <v>25</v>
      </c>
      <c r="I166" s="6">
        <v>44682</v>
      </c>
      <c r="J166" s="4">
        <v>348</v>
      </c>
      <c r="K166" s="4">
        <v>348</v>
      </c>
      <c r="L166" s="4">
        <v>0</v>
      </c>
      <c r="M166" s="4">
        <v>0</v>
      </c>
      <c r="N166" s="4">
        <v>0</v>
      </c>
      <c r="O166" s="4">
        <v>0</v>
      </c>
      <c r="P166" s="4">
        <v>1</v>
      </c>
      <c r="Q166" s="3" t="s">
        <v>26</v>
      </c>
      <c r="R166" s="3">
        <v>0</v>
      </c>
      <c r="S166" s="3" t="s">
        <v>158</v>
      </c>
      <c r="U166" s="3">
        <v>9</v>
      </c>
      <c r="V166" s="3">
        <v>0</v>
      </c>
      <c r="W166" s="3">
        <v>0</v>
      </c>
    </row>
    <row r="167" spans="1:23" ht="11.25" customHeight="1" x14ac:dyDescent="0.3">
      <c r="A167" s="3" t="s">
        <v>21</v>
      </c>
      <c r="B167" s="3" t="s">
        <v>39</v>
      </c>
      <c r="C167" s="3" t="s">
        <v>40</v>
      </c>
      <c r="D167" s="3" t="s">
        <v>38</v>
      </c>
      <c r="E167" s="3" t="s">
        <v>25</v>
      </c>
      <c r="F167" s="3" t="s">
        <v>25</v>
      </c>
      <c r="G167" s="3" t="s">
        <v>25</v>
      </c>
      <c r="H167" s="3" t="s">
        <v>25</v>
      </c>
      <c r="I167" s="6">
        <v>44713</v>
      </c>
      <c r="J167" s="4">
        <v>3088</v>
      </c>
      <c r="K167" s="4">
        <v>3088</v>
      </c>
      <c r="L167" s="4">
        <v>0</v>
      </c>
      <c r="M167" s="4">
        <v>0</v>
      </c>
      <c r="N167" s="4">
        <v>0</v>
      </c>
      <c r="O167" s="4">
        <v>0</v>
      </c>
      <c r="P167" s="4">
        <v>18</v>
      </c>
      <c r="Q167" s="3" t="s">
        <v>26</v>
      </c>
      <c r="R167" s="3">
        <v>0</v>
      </c>
      <c r="S167" s="3" t="s">
        <v>159</v>
      </c>
      <c r="U167" s="3">
        <v>9</v>
      </c>
      <c r="V167" s="3">
        <v>0</v>
      </c>
      <c r="W167" s="3">
        <v>0</v>
      </c>
    </row>
    <row r="168" spans="1:23" ht="11.25" customHeight="1" x14ac:dyDescent="0.3">
      <c r="A168" s="3" t="s">
        <v>28</v>
      </c>
      <c r="B168" s="3" t="s">
        <v>39</v>
      </c>
      <c r="C168" s="3" t="s">
        <v>40</v>
      </c>
      <c r="D168" s="3" t="s">
        <v>38</v>
      </c>
      <c r="E168" s="3" t="s">
        <v>25</v>
      </c>
      <c r="F168" s="3" t="s">
        <v>25</v>
      </c>
      <c r="G168" s="3" t="s">
        <v>25</v>
      </c>
      <c r="H168" s="3" t="s">
        <v>25</v>
      </c>
      <c r="I168" s="6">
        <v>44713</v>
      </c>
      <c r="J168" s="4">
        <v>378</v>
      </c>
      <c r="K168" s="4">
        <v>378</v>
      </c>
      <c r="L168" s="4">
        <v>0</v>
      </c>
      <c r="M168" s="4">
        <v>0</v>
      </c>
      <c r="N168" s="4">
        <v>0</v>
      </c>
      <c r="O168" s="4">
        <v>0</v>
      </c>
      <c r="P168" s="4">
        <v>2</v>
      </c>
      <c r="Q168" s="3" t="s">
        <v>26</v>
      </c>
      <c r="R168" s="3">
        <v>0</v>
      </c>
      <c r="S168" s="3" t="s">
        <v>159</v>
      </c>
      <c r="U168" s="3">
        <v>9</v>
      </c>
      <c r="V168" s="3">
        <v>0</v>
      </c>
      <c r="W168" s="3">
        <v>0</v>
      </c>
    </row>
    <row r="169" spans="1:23" ht="11.25" customHeight="1" x14ac:dyDescent="0.3">
      <c r="A169" s="3" t="s">
        <v>21</v>
      </c>
      <c r="B169" s="3" t="s">
        <v>39</v>
      </c>
      <c r="C169" s="3" t="s">
        <v>40</v>
      </c>
      <c r="D169" s="3" t="s">
        <v>38</v>
      </c>
      <c r="E169" s="3" t="s">
        <v>25</v>
      </c>
      <c r="F169" s="3" t="s">
        <v>25</v>
      </c>
      <c r="G169" s="3" t="s">
        <v>25</v>
      </c>
      <c r="H169" s="3" t="s">
        <v>34</v>
      </c>
      <c r="I169" s="6">
        <v>44378</v>
      </c>
      <c r="J169" s="4">
        <v>0</v>
      </c>
      <c r="K169" s="4">
        <v>0</v>
      </c>
      <c r="L169" s="4">
        <v>12.768000000000001</v>
      </c>
      <c r="M169" s="4">
        <v>12.768000000000001</v>
      </c>
      <c r="N169" s="4">
        <v>12.768000000000001</v>
      </c>
      <c r="O169" s="4">
        <v>12.768000000000001</v>
      </c>
      <c r="P169" s="4">
        <v>0</v>
      </c>
      <c r="Q169" s="3" t="s">
        <v>26</v>
      </c>
      <c r="R169" s="3">
        <v>0</v>
      </c>
      <c r="S169" s="3" t="s">
        <v>160</v>
      </c>
      <c r="T169" s="3" t="s">
        <v>399</v>
      </c>
      <c r="U169" s="3">
        <v>0</v>
      </c>
      <c r="V169" s="3">
        <v>10</v>
      </c>
      <c r="W169" s="3">
        <v>51</v>
      </c>
    </row>
    <row r="170" spans="1:23" ht="11.25" customHeight="1" x14ac:dyDescent="0.3">
      <c r="A170" s="3" t="s">
        <v>21</v>
      </c>
      <c r="B170" s="3" t="s">
        <v>39</v>
      </c>
      <c r="C170" s="3" t="s">
        <v>40</v>
      </c>
      <c r="D170" s="3" t="s">
        <v>38</v>
      </c>
      <c r="E170" s="3" t="s">
        <v>25</v>
      </c>
      <c r="F170" s="3" t="s">
        <v>25</v>
      </c>
      <c r="G170" s="3" t="s">
        <v>25</v>
      </c>
      <c r="H170" s="3" t="s">
        <v>34</v>
      </c>
      <c r="I170" s="6">
        <v>44409</v>
      </c>
      <c r="J170" s="4">
        <v>0</v>
      </c>
      <c r="K170" s="4">
        <v>0</v>
      </c>
      <c r="L170" s="4">
        <v>10.007</v>
      </c>
      <c r="M170" s="4">
        <v>10.007</v>
      </c>
      <c r="N170" s="4">
        <v>10.007</v>
      </c>
      <c r="O170" s="4">
        <v>10.007</v>
      </c>
      <c r="P170" s="4">
        <v>0</v>
      </c>
      <c r="Q170" s="3" t="s">
        <v>26</v>
      </c>
      <c r="R170" s="3">
        <v>0</v>
      </c>
      <c r="S170" s="3" t="s">
        <v>161</v>
      </c>
      <c r="T170" s="3" t="s">
        <v>400</v>
      </c>
      <c r="U170" s="3">
        <v>0</v>
      </c>
      <c r="V170" s="3">
        <v>10</v>
      </c>
      <c r="W170" s="3">
        <v>51</v>
      </c>
    </row>
    <row r="171" spans="1:23" ht="11.25" customHeight="1" x14ac:dyDescent="0.3">
      <c r="A171" s="3" t="s">
        <v>21</v>
      </c>
      <c r="B171" s="3" t="s">
        <v>39</v>
      </c>
      <c r="C171" s="3" t="s">
        <v>40</v>
      </c>
      <c r="D171" s="3" t="s">
        <v>38</v>
      </c>
      <c r="E171" s="3" t="s">
        <v>25</v>
      </c>
      <c r="F171" s="3" t="s">
        <v>25</v>
      </c>
      <c r="G171" s="3" t="s">
        <v>25</v>
      </c>
      <c r="H171" s="3" t="s">
        <v>34</v>
      </c>
      <c r="I171" s="6">
        <v>44440</v>
      </c>
      <c r="J171" s="4">
        <v>0</v>
      </c>
      <c r="K171" s="4">
        <v>0</v>
      </c>
      <c r="L171" s="4">
        <v>10.247</v>
      </c>
      <c r="M171" s="4">
        <v>10.247</v>
      </c>
      <c r="N171" s="4">
        <v>10.247</v>
      </c>
      <c r="O171" s="4">
        <v>10.247</v>
      </c>
      <c r="P171" s="4">
        <v>0</v>
      </c>
      <c r="Q171" s="3" t="s">
        <v>26</v>
      </c>
      <c r="R171" s="3">
        <v>0</v>
      </c>
      <c r="S171" s="3" t="s">
        <v>162</v>
      </c>
      <c r="T171" s="3" t="s">
        <v>401</v>
      </c>
      <c r="U171" s="3">
        <v>0</v>
      </c>
      <c r="V171" s="3">
        <v>10</v>
      </c>
      <c r="W171" s="3">
        <v>51</v>
      </c>
    </row>
    <row r="172" spans="1:23" ht="11.25" customHeight="1" x14ac:dyDescent="0.3">
      <c r="A172" s="3" t="s">
        <v>21</v>
      </c>
      <c r="B172" s="3" t="s">
        <v>39</v>
      </c>
      <c r="C172" s="3" t="s">
        <v>40</v>
      </c>
      <c r="D172" s="3" t="s">
        <v>38</v>
      </c>
      <c r="E172" s="3" t="s">
        <v>25</v>
      </c>
      <c r="F172" s="3" t="s">
        <v>25</v>
      </c>
      <c r="G172" s="3" t="s">
        <v>25</v>
      </c>
      <c r="H172" s="3" t="s">
        <v>34</v>
      </c>
      <c r="I172" s="6">
        <v>44470</v>
      </c>
      <c r="J172" s="4">
        <v>0</v>
      </c>
      <c r="K172" s="4">
        <v>0</v>
      </c>
      <c r="L172" s="4">
        <v>8.77</v>
      </c>
      <c r="M172" s="4">
        <v>8.77</v>
      </c>
      <c r="N172" s="4">
        <v>8.77</v>
      </c>
      <c r="O172" s="4">
        <v>8.77</v>
      </c>
      <c r="P172" s="4">
        <v>0</v>
      </c>
      <c r="Q172" s="3" t="s">
        <v>26</v>
      </c>
      <c r="R172" s="3">
        <v>0</v>
      </c>
      <c r="S172" s="3" t="s">
        <v>163</v>
      </c>
      <c r="T172" s="3" t="s">
        <v>402</v>
      </c>
      <c r="U172" s="3">
        <v>0</v>
      </c>
      <c r="V172" s="3">
        <v>10</v>
      </c>
      <c r="W172" s="3">
        <v>51</v>
      </c>
    </row>
    <row r="173" spans="1:23" ht="11.25" customHeight="1" x14ac:dyDescent="0.3">
      <c r="A173" s="3" t="s">
        <v>21</v>
      </c>
      <c r="B173" s="3" t="s">
        <v>39</v>
      </c>
      <c r="C173" s="3" t="s">
        <v>40</v>
      </c>
      <c r="D173" s="3" t="s">
        <v>38</v>
      </c>
      <c r="E173" s="3" t="s">
        <v>25</v>
      </c>
      <c r="F173" s="3" t="s">
        <v>25</v>
      </c>
      <c r="G173" s="3" t="s">
        <v>25</v>
      </c>
      <c r="H173" s="3" t="s">
        <v>34</v>
      </c>
      <c r="I173" s="6">
        <v>44501</v>
      </c>
      <c r="J173" s="4">
        <v>0</v>
      </c>
      <c r="K173" s="4">
        <v>0</v>
      </c>
      <c r="L173" s="4">
        <v>10.711</v>
      </c>
      <c r="M173" s="4">
        <v>10.711</v>
      </c>
      <c r="N173" s="4">
        <v>10.711</v>
      </c>
      <c r="O173" s="4">
        <v>10.711</v>
      </c>
      <c r="P173" s="4">
        <v>0</v>
      </c>
      <c r="Q173" s="3" t="s">
        <v>26</v>
      </c>
      <c r="R173" s="3">
        <v>0</v>
      </c>
      <c r="S173" s="3" t="s">
        <v>164</v>
      </c>
      <c r="T173" s="3" t="s">
        <v>403</v>
      </c>
      <c r="U173" s="3">
        <v>0</v>
      </c>
      <c r="V173" s="3">
        <v>10</v>
      </c>
      <c r="W173" s="3">
        <v>51</v>
      </c>
    </row>
    <row r="174" spans="1:23" ht="11.25" customHeight="1" x14ac:dyDescent="0.3">
      <c r="A174" s="3" t="s">
        <v>21</v>
      </c>
      <c r="B174" s="3" t="s">
        <v>39</v>
      </c>
      <c r="C174" s="3" t="s">
        <v>40</v>
      </c>
      <c r="D174" s="3" t="s">
        <v>38</v>
      </c>
      <c r="E174" s="3" t="s">
        <v>25</v>
      </c>
      <c r="F174" s="3" t="s">
        <v>25</v>
      </c>
      <c r="G174" s="3" t="s">
        <v>25</v>
      </c>
      <c r="H174" s="3" t="s">
        <v>34</v>
      </c>
      <c r="I174" s="6">
        <v>44531</v>
      </c>
      <c r="J174" s="4">
        <v>0</v>
      </c>
      <c r="K174" s="4">
        <v>0</v>
      </c>
      <c r="L174" s="4">
        <v>11.702</v>
      </c>
      <c r="M174" s="4">
        <v>11.702</v>
      </c>
      <c r="N174" s="4">
        <v>11.702</v>
      </c>
      <c r="O174" s="4">
        <v>11.702</v>
      </c>
      <c r="P174" s="4">
        <v>0</v>
      </c>
      <c r="Q174" s="3" t="s">
        <v>26</v>
      </c>
      <c r="R174" s="3">
        <v>0</v>
      </c>
      <c r="S174" s="3" t="s">
        <v>165</v>
      </c>
      <c r="T174" s="3" t="s">
        <v>404</v>
      </c>
      <c r="U174" s="3">
        <v>0</v>
      </c>
      <c r="V174" s="3">
        <v>10</v>
      </c>
      <c r="W174" s="3">
        <v>51</v>
      </c>
    </row>
    <row r="175" spans="1:23" ht="11.25" customHeight="1" x14ac:dyDescent="0.3">
      <c r="A175" s="3" t="s">
        <v>28</v>
      </c>
      <c r="B175" s="3" t="s">
        <v>39</v>
      </c>
      <c r="C175" s="3" t="s">
        <v>40</v>
      </c>
      <c r="D175" s="3" t="s">
        <v>38</v>
      </c>
      <c r="E175" s="3" t="s">
        <v>25</v>
      </c>
      <c r="F175" s="3" t="s">
        <v>25</v>
      </c>
      <c r="G175" s="3" t="s">
        <v>25</v>
      </c>
      <c r="H175" s="3" t="s">
        <v>34</v>
      </c>
      <c r="I175" s="6">
        <v>44531</v>
      </c>
      <c r="J175" s="4">
        <v>0</v>
      </c>
      <c r="K175" s="4">
        <v>0</v>
      </c>
      <c r="L175" s="4">
        <v>5.7000000000000002E-2</v>
      </c>
      <c r="M175" s="4">
        <v>5.7000000000000002E-2</v>
      </c>
      <c r="N175" s="4">
        <v>5.7000000000000002E-2</v>
      </c>
      <c r="O175" s="4">
        <v>5.7000000000000002E-2</v>
      </c>
      <c r="P175" s="4">
        <v>0</v>
      </c>
      <c r="Q175" s="3" t="s">
        <v>26</v>
      </c>
      <c r="R175" s="3">
        <v>0</v>
      </c>
      <c r="S175" s="3" t="s">
        <v>165</v>
      </c>
      <c r="T175" s="3" t="s">
        <v>404</v>
      </c>
      <c r="U175" s="3">
        <v>0</v>
      </c>
      <c r="V175" s="3">
        <v>10</v>
      </c>
      <c r="W175" s="3">
        <v>51</v>
      </c>
    </row>
    <row r="176" spans="1:23" ht="11.25" customHeight="1" x14ac:dyDescent="0.3">
      <c r="A176" s="3" t="s">
        <v>21</v>
      </c>
      <c r="B176" s="3" t="s">
        <v>39</v>
      </c>
      <c r="C176" s="3" t="s">
        <v>40</v>
      </c>
      <c r="D176" s="3" t="s">
        <v>38</v>
      </c>
      <c r="E176" s="3" t="s">
        <v>25</v>
      </c>
      <c r="F176" s="3" t="s">
        <v>25</v>
      </c>
      <c r="G176" s="3" t="s">
        <v>25</v>
      </c>
      <c r="H176" s="3" t="s">
        <v>34</v>
      </c>
      <c r="I176" s="6">
        <v>44562</v>
      </c>
      <c r="J176" s="4">
        <v>0</v>
      </c>
      <c r="K176" s="4">
        <v>0</v>
      </c>
      <c r="L176" s="4">
        <v>10.856999999999999</v>
      </c>
      <c r="M176" s="4">
        <v>10.856999999999999</v>
      </c>
      <c r="N176" s="4">
        <v>10.856999999999999</v>
      </c>
      <c r="O176" s="4">
        <v>10.856999999999999</v>
      </c>
      <c r="P176" s="4">
        <v>0</v>
      </c>
      <c r="Q176" s="3" t="s">
        <v>26</v>
      </c>
      <c r="R176" s="3">
        <v>0</v>
      </c>
      <c r="S176" s="3" t="s">
        <v>166</v>
      </c>
      <c r="T176" s="3" t="s">
        <v>405</v>
      </c>
      <c r="U176" s="3">
        <v>0</v>
      </c>
      <c r="V176" s="3">
        <v>10</v>
      </c>
      <c r="W176" s="3">
        <v>51</v>
      </c>
    </row>
    <row r="177" spans="1:23" ht="11.25" customHeight="1" x14ac:dyDescent="0.3">
      <c r="A177" s="3" t="s">
        <v>21</v>
      </c>
      <c r="B177" s="3" t="s">
        <v>39</v>
      </c>
      <c r="C177" s="3" t="s">
        <v>40</v>
      </c>
      <c r="D177" s="3" t="s">
        <v>38</v>
      </c>
      <c r="E177" s="3" t="s">
        <v>25</v>
      </c>
      <c r="F177" s="3" t="s">
        <v>25</v>
      </c>
      <c r="G177" s="3" t="s">
        <v>25</v>
      </c>
      <c r="H177" s="3" t="s">
        <v>34</v>
      </c>
      <c r="I177" s="6">
        <v>44593</v>
      </c>
      <c r="J177" s="4">
        <v>0</v>
      </c>
      <c r="K177" s="4">
        <v>0</v>
      </c>
      <c r="L177" s="4">
        <v>10.52</v>
      </c>
      <c r="M177" s="4">
        <v>10.52</v>
      </c>
      <c r="N177" s="4">
        <v>10.52</v>
      </c>
      <c r="O177" s="4">
        <v>10.52</v>
      </c>
      <c r="P177" s="4">
        <v>0</v>
      </c>
      <c r="Q177" s="3" t="s">
        <v>26</v>
      </c>
      <c r="R177" s="3">
        <v>0</v>
      </c>
      <c r="S177" s="3" t="s">
        <v>167</v>
      </c>
      <c r="T177" s="3" t="s">
        <v>406</v>
      </c>
      <c r="U177" s="3">
        <v>0</v>
      </c>
      <c r="V177" s="3">
        <v>10</v>
      </c>
      <c r="W177" s="3">
        <v>51</v>
      </c>
    </row>
    <row r="178" spans="1:23" ht="11.25" customHeight="1" x14ac:dyDescent="0.3">
      <c r="A178" s="3" t="s">
        <v>28</v>
      </c>
      <c r="B178" s="3" t="s">
        <v>39</v>
      </c>
      <c r="C178" s="3" t="s">
        <v>40</v>
      </c>
      <c r="D178" s="3" t="s">
        <v>38</v>
      </c>
      <c r="E178" s="3" t="s">
        <v>25</v>
      </c>
      <c r="F178" s="3" t="s">
        <v>25</v>
      </c>
      <c r="G178" s="3" t="s">
        <v>25</v>
      </c>
      <c r="H178" s="3" t="s">
        <v>34</v>
      </c>
      <c r="I178" s="6">
        <v>44593</v>
      </c>
      <c r="J178" s="4">
        <v>0</v>
      </c>
      <c r="K178" s="4">
        <v>0</v>
      </c>
      <c r="L178" s="4">
        <v>0.16200000000000001</v>
      </c>
      <c r="M178" s="4">
        <v>0.16200000000000001</v>
      </c>
      <c r="N178" s="4">
        <v>0.16200000000000001</v>
      </c>
      <c r="O178" s="4">
        <v>0.16200000000000001</v>
      </c>
      <c r="P178" s="4">
        <v>0</v>
      </c>
      <c r="Q178" s="3" t="s">
        <v>26</v>
      </c>
      <c r="R178" s="3">
        <v>0</v>
      </c>
      <c r="S178" s="3" t="s">
        <v>167</v>
      </c>
      <c r="T178" s="3" t="s">
        <v>406</v>
      </c>
      <c r="U178" s="3">
        <v>0</v>
      </c>
      <c r="V178" s="3">
        <v>10</v>
      </c>
      <c r="W178" s="3">
        <v>51</v>
      </c>
    </row>
    <row r="179" spans="1:23" ht="11.25" customHeight="1" x14ac:dyDescent="0.3">
      <c r="A179" s="3" t="s">
        <v>21</v>
      </c>
      <c r="B179" s="3" t="s">
        <v>39</v>
      </c>
      <c r="C179" s="3" t="s">
        <v>40</v>
      </c>
      <c r="D179" s="3" t="s">
        <v>38</v>
      </c>
      <c r="E179" s="3" t="s">
        <v>25</v>
      </c>
      <c r="F179" s="3" t="s">
        <v>25</v>
      </c>
      <c r="G179" s="3" t="s">
        <v>25</v>
      </c>
      <c r="H179" s="3" t="s">
        <v>34</v>
      </c>
      <c r="I179" s="6">
        <v>44621</v>
      </c>
      <c r="J179" s="4">
        <v>0</v>
      </c>
      <c r="K179" s="4">
        <v>0</v>
      </c>
      <c r="L179" s="4">
        <v>12.288</v>
      </c>
      <c r="M179" s="4">
        <v>12.288</v>
      </c>
      <c r="N179" s="4">
        <v>12.288</v>
      </c>
      <c r="O179" s="4">
        <v>12.288</v>
      </c>
      <c r="P179" s="4">
        <v>0</v>
      </c>
      <c r="Q179" s="3" t="s">
        <v>26</v>
      </c>
      <c r="R179" s="3">
        <v>0</v>
      </c>
      <c r="S179" s="3" t="s">
        <v>168</v>
      </c>
      <c r="T179" s="3" t="s">
        <v>407</v>
      </c>
      <c r="U179" s="3">
        <v>0</v>
      </c>
      <c r="V179" s="3">
        <v>10</v>
      </c>
      <c r="W179" s="3">
        <v>51</v>
      </c>
    </row>
    <row r="180" spans="1:23" ht="11.25" customHeight="1" x14ac:dyDescent="0.3">
      <c r="A180" s="3" t="s">
        <v>28</v>
      </c>
      <c r="B180" s="3" t="s">
        <v>39</v>
      </c>
      <c r="C180" s="3" t="s">
        <v>40</v>
      </c>
      <c r="D180" s="3" t="s">
        <v>38</v>
      </c>
      <c r="E180" s="3" t="s">
        <v>25</v>
      </c>
      <c r="F180" s="3" t="s">
        <v>25</v>
      </c>
      <c r="G180" s="3" t="s">
        <v>25</v>
      </c>
      <c r="H180" s="3" t="s">
        <v>34</v>
      </c>
      <c r="I180" s="6">
        <v>44621</v>
      </c>
      <c r="J180" s="4">
        <v>0</v>
      </c>
      <c r="K180" s="4">
        <v>0</v>
      </c>
      <c r="L180" s="4">
        <v>1.0920000000000001</v>
      </c>
      <c r="M180" s="4">
        <v>1.0920000000000001</v>
      </c>
      <c r="N180" s="4">
        <v>1.0920000000000001</v>
      </c>
      <c r="O180" s="4">
        <v>1.0920000000000001</v>
      </c>
      <c r="P180" s="4">
        <v>0</v>
      </c>
      <c r="Q180" s="3" t="s">
        <v>26</v>
      </c>
      <c r="R180" s="3">
        <v>0</v>
      </c>
      <c r="S180" s="3" t="s">
        <v>168</v>
      </c>
      <c r="T180" s="3" t="s">
        <v>407</v>
      </c>
      <c r="U180" s="3">
        <v>0</v>
      </c>
      <c r="V180" s="3">
        <v>10</v>
      </c>
      <c r="W180" s="3">
        <v>51</v>
      </c>
    </row>
    <row r="181" spans="1:23" ht="11.25" customHeight="1" x14ac:dyDescent="0.3">
      <c r="A181" s="3" t="s">
        <v>21</v>
      </c>
      <c r="B181" s="3" t="s">
        <v>39</v>
      </c>
      <c r="C181" s="3" t="s">
        <v>40</v>
      </c>
      <c r="D181" s="3" t="s">
        <v>38</v>
      </c>
      <c r="E181" s="3" t="s">
        <v>25</v>
      </c>
      <c r="F181" s="3" t="s">
        <v>25</v>
      </c>
      <c r="G181" s="3" t="s">
        <v>25</v>
      </c>
      <c r="H181" s="3" t="s">
        <v>34</v>
      </c>
      <c r="I181" s="6">
        <v>44652</v>
      </c>
      <c r="J181" s="4">
        <v>0</v>
      </c>
      <c r="K181" s="4">
        <v>0</v>
      </c>
      <c r="L181" s="4">
        <v>10.167</v>
      </c>
      <c r="M181" s="4">
        <v>10.167</v>
      </c>
      <c r="N181" s="4">
        <v>10.167</v>
      </c>
      <c r="O181" s="4">
        <v>10.167</v>
      </c>
      <c r="P181" s="4">
        <v>0</v>
      </c>
      <c r="Q181" s="3" t="s">
        <v>26</v>
      </c>
      <c r="R181" s="3">
        <v>0</v>
      </c>
      <c r="S181" s="3" t="s">
        <v>169</v>
      </c>
      <c r="T181" s="3" t="s">
        <v>408</v>
      </c>
      <c r="U181" s="3">
        <v>0</v>
      </c>
      <c r="V181" s="3">
        <v>10</v>
      </c>
      <c r="W181" s="3">
        <v>51</v>
      </c>
    </row>
    <row r="182" spans="1:23" ht="11.25" customHeight="1" x14ac:dyDescent="0.3">
      <c r="A182" s="3" t="s">
        <v>28</v>
      </c>
      <c r="B182" s="3" t="s">
        <v>39</v>
      </c>
      <c r="C182" s="3" t="s">
        <v>40</v>
      </c>
      <c r="D182" s="3" t="s">
        <v>38</v>
      </c>
      <c r="E182" s="3" t="s">
        <v>25</v>
      </c>
      <c r="F182" s="3" t="s">
        <v>25</v>
      </c>
      <c r="G182" s="3" t="s">
        <v>25</v>
      </c>
      <c r="H182" s="3" t="s">
        <v>34</v>
      </c>
      <c r="I182" s="6">
        <v>44652</v>
      </c>
      <c r="J182" s="4">
        <v>0</v>
      </c>
      <c r="K182" s="4">
        <v>0</v>
      </c>
      <c r="L182" s="4">
        <v>1.2410000000000001</v>
      </c>
      <c r="M182" s="4">
        <v>1.2410000000000001</v>
      </c>
      <c r="N182" s="4">
        <v>1.2410000000000001</v>
      </c>
      <c r="O182" s="4">
        <v>1.2410000000000001</v>
      </c>
      <c r="P182" s="4">
        <v>0</v>
      </c>
      <c r="Q182" s="3" t="s">
        <v>26</v>
      </c>
      <c r="R182" s="3">
        <v>0</v>
      </c>
      <c r="S182" s="3" t="s">
        <v>169</v>
      </c>
      <c r="T182" s="3" t="s">
        <v>408</v>
      </c>
      <c r="U182" s="3">
        <v>0</v>
      </c>
      <c r="V182" s="3">
        <v>10</v>
      </c>
      <c r="W182" s="3">
        <v>51</v>
      </c>
    </row>
    <row r="183" spans="1:23" ht="11.25" customHeight="1" x14ac:dyDescent="0.3">
      <c r="A183" s="3" t="s">
        <v>21</v>
      </c>
      <c r="B183" s="3" t="s">
        <v>39</v>
      </c>
      <c r="C183" s="3" t="s">
        <v>40</v>
      </c>
      <c r="D183" s="3" t="s">
        <v>38</v>
      </c>
      <c r="E183" s="3" t="s">
        <v>25</v>
      </c>
      <c r="F183" s="3" t="s">
        <v>25</v>
      </c>
      <c r="G183" s="3" t="s">
        <v>25</v>
      </c>
      <c r="H183" s="3" t="s">
        <v>34</v>
      </c>
      <c r="I183" s="6">
        <v>44682</v>
      </c>
      <c r="J183" s="4">
        <v>0</v>
      </c>
      <c r="K183" s="4">
        <v>0</v>
      </c>
      <c r="L183" s="4">
        <v>12.448</v>
      </c>
      <c r="M183" s="4">
        <v>12.448</v>
      </c>
      <c r="N183" s="4">
        <v>12.448</v>
      </c>
      <c r="O183" s="4">
        <v>12.448</v>
      </c>
      <c r="P183" s="4">
        <v>0</v>
      </c>
      <c r="Q183" s="3" t="s">
        <v>26</v>
      </c>
      <c r="R183" s="3">
        <v>0</v>
      </c>
      <c r="S183" s="3" t="s">
        <v>170</v>
      </c>
      <c r="T183" s="3" t="s">
        <v>409</v>
      </c>
      <c r="U183" s="3">
        <v>0</v>
      </c>
      <c r="V183" s="3">
        <v>10</v>
      </c>
      <c r="W183" s="3">
        <v>51</v>
      </c>
    </row>
    <row r="184" spans="1:23" ht="11.25" customHeight="1" x14ac:dyDescent="0.3">
      <c r="A184" s="3" t="s">
        <v>28</v>
      </c>
      <c r="B184" s="3" t="s">
        <v>39</v>
      </c>
      <c r="C184" s="3" t="s">
        <v>40</v>
      </c>
      <c r="D184" s="3" t="s">
        <v>38</v>
      </c>
      <c r="E184" s="3" t="s">
        <v>25</v>
      </c>
      <c r="F184" s="3" t="s">
        <v>25</v>
      </c>
      <c r="G184" s="3" t="s">
        <v>25</v>
      </c>
      <c r="H184" s="3" t="s">
        <v>34</v>
      </c>
      <c r="I184" s="6">
        <v>44682</v>
      </c>
      <c r="J184" s="4">
        <v>0</v>
      </c>
      <c r="K184" s="4">
        <v>0</v>
      </c>
      <c r="L184" s="4">
        <v>0.84899999999999998</v>
      </c>
      <c r="M184" s="4">
        <v>0.84899999999999998</v>
      </c>
      <c r="N184" s="4">
        <v>0.84899999999999998</v>
      </c>
      <c r="O184" s="4">
        <v>0.84899999999999998</v>
      </c>
      <c r="P184" s="4">
        <v>0</v>
      </c>
      <c r="Q184" s="3" t="s">
        <v>26</v>
      </c>
      <c r="R184" s="3">
        <v>0</v>
      </c>
      <c r="S184" s="3" t="s">
        <v>170</v>
      </c>
      <c r="T184" s="3" t="s">
        <v>409</v>
      </c>
      <c r="U184" s="3">
        <v>0</v>
      </c>
      <c r="V184" s="3">
        <v>10</v>
      </c>
      <c r="W184" s="3">
        <v>51</v>
      </c>
    </row>
    <row r="185" spans="1:23" ht="11.25" customHeight="1" x14ac:dyDescent="0.3">
      <c r="A185" s="3" t="s">
        <v>21</v>
      </c>
      <c r="B185" s="3" t="s">
        <v>39</v>
      </c>
      <c r="C185" s="3" t="s">
        <v>40</v>
      </c>
      <c r="D185" s="3" t="s">
        <v>38</v>
      </c>
      <c r="E185" s="3" t="s">
        <v>25</v>
      </c>
      <c r="F185" s="3" t="s">
        <v>25</v>
      </c>
      <c r="G185" s="3" t="s">
        <v>25</v>
      </c>
      <c r="H185" s="3" t="s">
        <v>34</v>
      </c>
      <c r="I185" s="6">
        <v>44713</v>
      </c>
      <c r="J185" s="4">
        <v>0</v>
      </c>
      <c r="K185" s="4">
        <v>0</v>
      </c>
      <c r="L185" s="4">
        <v>11.606999999999999</v>
      </c>
      <c r="M185" s="4">
        <v>11.606999999999999</v>
      </c>
      <c r="N185" s="4">
        <v>11.606999999999999</v>
      </c>
      <c r="O185" s="4">
        <v>11.606999999999999</v>
      </c>
      <c r="P185" s="4">
        <v>0</v>
      </c>
      <c r="Q185" s="3" t="s">
        <v>26</v>
      </c>
      <c r="R185" s="3">
        <v>0</v>
      </c>
      <c r="S185" s="3" t="s">
        <v>171</v>
      </c>
      <c r="T185" s="3" t="s">
        <v>410</v>
      </c>
      <c r="U185" s="3">
        <v>0</v>
      </c>
      <c r="V185" s="3">
        <v>10</v>
      </c>
      <c r="W185" s="3">
        <v>51</v>
      </c>
    </row>
    <row r="186" spans="1:23" ht="11.25" customHeight="1" x14ac:dyDescent="0.3">
      <c r="A186" s="3" t="s">
        <v>28</v>
      </c>
      <c r="B186" s="3" t="s">
        <v>39</v>
      </c>
      <c r="C186" s="3" t="s">
        <v>40</v>
      </c>
      <c r="D186" s="3" t="s">
        <v>38</v>
      </c>
      <c r="E186" s="3" t="s">
        <v>25</v>
      </c>
      <c r="F186" s="3" t="s">
        <v>25</v>
      </c>
      <c r="G186" s="3" t="s">
        <v>25</v>
      </c>
      <c r="H186" s="3" t="s">
        <v>34</v>
      </c>
      <c r="I186" s="6">
        <v>44713</v>
      </c>
      <c r="J186" s="4">
        <v>0</v>
      </c>
      <c r="K186" s="4">
        <v>0</v>
      </c>
      <c r="L186" s="4">
        <v>0.255</v>
      </c>
      <c r="M186" s="4">
        <v>0.255</v>
      </c>
      <c r="N186" s="4">
        <v>0.255</v>
      </c>
      <c r="O186" s="4">
        <v>0.255</v>
      </c>
      <c r="P186" s="4">
        <v>0</v>
      </c>
      <c r="Q186" s="3" t="s">
        <v>26</v>
      </c>
      <c r="R186" s="3">
        <v>0</v>
      </c>
      <c r="S186" s="3" t="s">
        <v>171</v>
      </c>
      <c r="T186" s="3" t="s">
        <v>410</v>
      </c>
      <c r="U186" s="3">
        <v>0</v>
      </c>
      <c r="V186" s="3">
        <v>10</v>
      </c>
      <c r="W186" s="3">
        <v>51</v>
      </c>
    </row>
    <row r="187" spans="1:23" ht="11.25" customHeight="1" x14ac:dyDescent="0.3">
      <c r="A187" s="3" t="s">
        <v>21</v>
      </c>
      <c r="B187" s="3" t="s">
        <v>39</v>
      </c>
      <c r="C187" s="3" t="s">
        <v>40</v>
      </c>
      <c r="D187" s="3" t="s">
        <v>44</v>
      </c>
      <c r="E187" s="3" t="s">
        <v>25</v>
      </c>
      <c r="F187" s="3" t="s">
        <v>25</v>
      </c>
      <c r="G187" s="3" t="s">
        <v>25</v>
      </c>
      <c r="H187" s="3" t="s">
        <v>35</v>
      </c>
      <c r="I187" s="6">
        <v>44378</v>
      </c>
      <c r="J187" s="4">
        <v>0</v>
      </c>
      <c r="K187" s="4">
        <v>0</v>
      </c>
      <c r="L187" s="4">
        <v>8.4309999999999992</v>
      </c>
      <c r="M187" s="4">
        <v>8.4309999999999992</v>
      </c>
      <c r="N187" s="4">
        <v>8.4309999999999992</v>
      </c>
      <c r="O187" s="4">
        <v>8.4309999999999992</v>
      </c>
      <c r="P187" s="4">
        <v>0</v>
      </c>
      <c r="Q187" s="3" t="s">
        <v>26</v>
      </c>
      <c r="R187" s="3">
        <v>0</v>
      </c>
      <c r="S187" s="3" t="s">
        <v>136</v>
      </c>
      <c r="T187" s="3" t="s">
        <v>383</v>
      </c>
      <c r="U187" s="3">
        <v>0</v>
      </c>
      <c r="V187" s="3">
        <v>11</v>
      </c>
      <c r="W187" s="3">
        <v>52</v>
      </c>
    </row>
    <row r="188" spans="1:23" ht="11.25" customHeight="1" x14ac:dyDescent="0.3">
      <c r="A188" s="3" t="s">
        <v>21</v>
      </c>
      <c r="B188" s="3" t="s">
        <v>39</v>
      </c>
      <c r="C188" s="3" t="s">
        <v>40</v>
      </c>
      <c r="D188" s="3" t="s">
        <v>44</v>
      </c>
      <c r="E188" s="3" t="s">
        <v>25</v>
      </c>
      <c r="F188" s="3" t="s">
        <v>25</v>
      </c>
      <c r="G188" s="3" t="s">
        <v>25</v>
      </c>
      <c r="H188" s="3" t="s">
        <v>35</v>
      </c>
      <c r="I188" s="6">
        <v>44409</v>
      </c>
      <c r="J188" s="4">
        <v>0</v>
      </c>
      <c r="K188" s="4">
        <v>0</v>
      </c>
      <c r="L188" s="4">
        <v>8.1370000000000005</v>
      </c>
      <c r="M188" s="4">
        <v>8.1370000000000005</v>
      </c>
      <c r="N188" s="4">
        <v>8.1370000000000005</v>
      </c>
      <c r="O188" s="4">
        <v>8.1370000000000005</v>
      </c>
      <c r="P188" s="4">
        <v>0</v>
      </c>
      <c r="Q188" s="3" t="s">
        <v>26</v>
      </c>
      <c r="R188" s="3">
        <v>0</v>
      </c>
      <c r="S188" s="3" t="s">
        <v>137</v>
      </c>
      <c r="T188" s="3" t="s">
        <v>384</v>
      </c>
      <c r="U188" s="3">
        <v>0</v>
      </c>
      <c r="V188" s="3">
        <v>11</v>
      </c>
      <c r="W188" s="3">
        <v>52</v>
      </c>
    </row>
    <row r="189" spans="1:23" ht="11.25" customHeight="1" x14ac:dyDescent="0.3">
      <c r="A189" s="3" t="s">
        <v>21</v>
      </c>
      <c r="B189" s="3" t="s">
        <v>39</v>
      </c>
      <c r="C189" s="3" t="s">
        <v>40</v>
      </c>
      <c r="D189" s="3" t="s">
        <v>44</v>
      </c>
      <c r="E189" s="3" t="s">
        <v>25</v>
      </c>
      <c r="F189" s="3" t="s">
        <v>25</v>
      </c>
      <c r="G189" s="3" t="s">
        <v>25</v>
      </c>
      <c r="H189" s="3" t="s">
        <v>35</v>
      </c>
      <c r="I189" s="6">
        <v>44440</v>
      </c>
      <c r="J189" s="4">
        <v>0</v>
      </c>
      <c r="K189" s="4">
        <v>0</v>
      </c>
      <c r="L189" s="4">
        <v>7.1059999999999999</v>
      </c>
      <c r="M189" s="4">
        <v>7.1059999999999999</v>
      </c>
      <c r="N189" s="4">
        <v>7.1059999999999999</v>
      </c>
      <c r="O189" s="4">
        <v>7.1059999999999999</v>
      </c>
      <c r="P189" s="4">
        <v>0</v>
      </c>
      <c r="Q189" s="3" t="s">
        <v>26</v>
      </c>
      <c r="R189" s="3">
        <v>0</v>
      </c>
      <c r="S189" s="3" t="s">
        <v>138</v>
      </c>
      <c r="T189" s="3" t="s">
        <v>385</v>
      </c>
      <c r="U189" s="3">
        <v>0</v>
      </c>
      <c r="V189" s="3">
        <v>11</v>
      </c>
      <c r="W189" s="3">
        <v>52</v>
      </c>
    </row>
    <row r="190" spans="1:23" ht="11.25" customHeight="1" x14ac:dyDescent="0.3">
      <c r="A190" s="3" t="s">
        <v>21</v>
      </c>
      <c r="B190" s="3" t="s">
        <v>39</v>
      </c>
      <c r="C190" s="3" t="s">
        <v>40</v>
      </c>
      <c r="D190" s="3" t="s">
        <v>44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44470</v>
      </c>
      <c r="J190" s="4">
        <v>0</v>
      </c>
      <c r="K190" s="4">
        <v>0</v>
      </c>
      <c r="L190" s="4">
        <v>7.2560000000000002</v>
      </c>
      <c r="M190" s="4">
        <v>7.2560000000000002</v>
      </c>
      <c r="N190" s="4">
        <v>7.2560000000000002</v>
      </c>
      <c r="O190" s="4">
        <v>7.2560000000000002</v>
      </c>
      <c r="P190" s="4">
        <v>0</v>
      </c>
      <c r="Q190" s="3" t="s">
        <v>26</v>
      </c>
      <c r="R190" s="3">
        <v>0</v>
      </c>
      <c r="S190" s="3" t="s">
        <v>139</v>
      </c>
      <c r="T190" s="3" t="s">
        <v>386</v>
      </c>
      <c r="U190" s="3">
        <v>0</v>
      </c>
      <c r="V190" s="3">
        <v>11</v>
      </c>
      <c r="W190" s="3">
        <v>52</v>
      </c>
    </row>
    <row r="191" spans="1:23" ht="11.25" customHeight="1" x14ac:dyDescent="0.3">
      <c r="A191" s="3" t="s">
        <v>21</v>
      </c>
      <c r="B191" s="3" t="s">
        <v>39</v>
      </c>
      <c r="C191" s="3" t="s">
        <v>40</v>
      </c>
      <c r="D191" s="3" t="s">
        <v>44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44501</v>
      </c>
      <c r="J191" s="4">
        <v>0</v>
      </c>
      <c r="K191" s="4">
        <v>0</v>
      </c>
      <c r="L191" s="4">
        <v>8.3689999999999998</v>
      </c>
      <c r="M191" s="4">
        <v>8.3689999999999998</v>
      </c>
      <c r="N191" s="4">
        <v>8.3689999999999998</v>
      </c>
      <c r="O191" s="4">
        <v>8.3689999999999998</v>
      </c>
      <c r="P191" s="4">
        <v>0</v>
      </c>
      <c r="Q191" s="3" t="s">
        <v>26</v>
      </c>
      <c r="R191" s="3">
        <v>0</v>
      </c>
      <c r="S191" s="3" t="s">
        <v>140</v>
      </c>
      <c r="T191" s="3" t="s">
        <v>387</v>
      </c>
      <c r="U191" s="3">
        <v>0</v>
      </c>
      <c r="V191" s="3">
        <v>11</v>
      </c>
      <c r="W191" s="3">
        <v>52</v>
      </c>
    </row>
    <row r="192" spans="1:23" ht="11.25" customHeight="1" x14ac:dyDescent="0.3">
      <c r="A192" s="3" t="s">
        <v>21</v>
      </c>
      <c r="B192" s="3" t="s">
        <v>39</v>
      </c>
      <c r="C192" s="3" t="s">
        <v>40</v>
      </c>
      <c r="D192" s="3" t="s">
        <v>44</v>
      </c>
      <c r="E192" s="3" t="s">
        <v>25</v>
      </c>
      <c r="F192" s="3" t="s">
        <v>25</v>
      </c>
      <c r="G192" s="3" t="s">
        <v>25</v>
      </c>
      <c r="H192" s="3" t="s">
        <v>35</v>
      </c>
      <c r="I192" s="6">
        <v>44531</v>
      </c>
      <c r="J192" s="4">
        <v>0</v>
      </c>
      <c r="K192" s="4">
        <v>0</v>
      </c>
      <c r="L192" s="4">
        <v>8.6419999999999995</v>
      </c>
      <c r="M192" s="4">
        <v>8.6419999999999995</v>
      </c>
      <c r="N192" s="4">
        <v>8.6419999999999995</v>
      </c>
      <c r="O192" s="4">
        <v>8.6419999999999995</v>
      </c>
      <c r="P192" s="4">
        <v>0</v>
      </c>
      <c r="Q192" s="3" t="s">
        <v>26</v>
      </c>
      <c r="R192" s="3">
        <v>0</v>
      </c>
      <c r="S192" s="3" t="s">
        <v>141</v>
      </c>
      <c r="T192" s="3" t="s">
        <v>388</v>
      </c>
      <c r="U192" s="3">
        <v>0</v>
      </c>
      <c r="V192" s="3">
        <v>11</v>
      </c>
      <c r="W192" s="3">
        <v>52</v>
      </c>
    </row>
    <row r="193" spans="1:23" ht="11.25" customHeight="1" x14ac:dyDescent="0.3">
      <c r="A193" s="3" t="s">
        <v>21</v>
      </c>
      <c r="B193" s="3" t="s">
        <v>39</v>
      </c>
      <c r="C193" s="3" t="s">
        <v>40</v>
      </c>
      <c r="D193" s="3" t="s">
        <v>44</v>
      </c>
      <c r="E193" s="3" t="s">
        <v>25</v>
      </c>
      <c r="F193" s="3" t="s">
        <v>25</v>
      </c>
      <c r="G193" s="3" t="s">
        <v>25</v>
      </c>
      <c r="H193" s="3" t="s">
        <v>35</v>
      </c>
      <c r="I193" s="6">
        <v>44562</v>
      </c>
      <c r="J193" s="4">
        <v>0</v>
      </c>
      <c r="K193" s="4">
        <v>0</v>
      </c>
      <c r="L193" s="4">
        <v>10.266999999999999</v>
      </c>
      <c r="M193" s="4">
        <v>10.266999999999999</v>
      </c>
      <c r="N193" s="4">
        <v>10.266999999999999</v>
      </c>
      <c r="O193" s="4">
        <v>10.266999999999999</v>
      </c>
      <c r="P193" s="4">
        <v>0</v>
      </c>
      <c r="Q193" s="3" t="s">
        <v>26</v>
      </c>
      <c r="R193" s="3">
        <v>0</v>
      </c>
      <c r="S193" s="3" t="s">
        <v>142</v>
      </c>
      <c r="T193" s="3" t="s">
        <v>389</v>
      </c>
      <c r="U193" s="3">
        <v>0</v>
      </c>
      <c r="V193" s="3">
        <v>11</v>
      </c>
      <c r="W193" s="3">
        <v>52</v>
      </c>
    </row>
    <row r="194" spans="1:23" ht="11.25" customHeight="1" x14ac:dyDescent="0.3">
      <c r="A194" s="3" t="s">
        <v>21</v>
      </c>
      <c r="B194" s="3" t="s">
        <v>39</v>
      </c>
      <c r="C194" s="3" t="s">
        <v>40</v>
      </c>
      <c r="D194" s="3" t="s">
        <v>44</v>
      </c>
      <c r="E194" s="3" t="s">
        <v>25</v>
      </c>
      <c r="F194" s="3" t="s">
        <v>25</v>
      </c>
      <c r="G194" s="3" t="s">
        <v>25</v>
      </c>
      <c r="H194" s="3" t="s">
        <v>35</v>
      </c>
      <c r="I194" s="6">
        <v>44593</v>
      </c>
      <c r="J194" s="4">
        <v>0</v>
      </c>
      <c r="K194" s="4">
        <v>0</v>
      </c>
      <c r="L194" s="4">
        <v>9.8369999999999997</v>
      </c>
      <c r="M194" s="4">
        <v>9.8369999999999997</v>
      </c>
      <c r="N194" s="4">
        <v>9.8369999999999997</v>
      </c>
      <c r="O194" s="4">
        <v>9.8369999999999997</v>
      </c>
      <c r="P194" s="4">
        <v>0</v>
      </c>
      <c r="Q194" s="3" t="s">
        <v>26</v>
      </c>
      <c r="R194" s="3">
        <v>0</v>
      </c>
      <c r="S194" s="3" t="s">
        <v>143</v>
      </c>
      <c r="T194" s="3" t="s">
        <v>390</v>
      </c>
      <c r="U194" s="3">
        <v>0</v>
      </c>
      <c r="V194" s="3">
        <v>11</v>
      </c>
      <c r="W194" s="3">
        <v>52</v>
      </c>
    </row>
    <row r="195" spans="1:23" ht="11.25" customHeight="1" x14ac:dyDescent="0.3">
      <c r="A195" s="3" t="s">
        <v>21</v>
      </c>
      <c r="B195" s="3" t="s">
        <v>39</v>
      </c>
      <c r="C195" s="3" t="s">
        <v>40</v>
      </c>
      <c r="D195" s="3" t="s">
        <v>44</v>
      </c>
      <c r="E195" s="3" t="s">
        <v>25</v>
      </c>
      <c r="F195" s="3" t="s">
        <v>25</v>
      </c>
      <c r="G195" s="3" t="s">
        <v>25</v>
      </c>
      <c r="H195" s="3" t="s">
        <v>35</v>
      </c>
      <c r="I195" s="6">
        <v>44621</v>
      </c>
      <c r="J195" s="4">
        <v>0</v>
      </c>
      <c r="K195" s="4">
        <v>0</v>
      </c>
      <c r="L195" s="4">
        <v>10.686999999999999</v>
      </c>
      <c r="M195" s="4">
        <v>10.686999999999999</v>
      </c>
      <c r="N195" s="4">
        <v>10.686999999999999</v>
      </c>
      <c r="O195" s="4">
        <v>10.686999999999999</v>
      </c>
      <c r="P195" s="4">
        <v>0</v>
      </c>
      <c r="Q195" s="3" t="s">
        <v>26</v>
      </c>
      <c r="R195" s="3">
        <v>0</v>
      </c>
      <c r="S195" s="3" t="s">
        <v>144</v>
      </c>
      <c r="T195" s="3" t="s">
        <v>391</v>
      </c>
      <c r="U195" s="3">
        <v>0</v>
      </c>
      <c r="V195" s="3">
        <v>11</v>
      </c>
      <c r="W195" s="3">
        <v>52</v>
      </c>
    </row>
    <row r="196" spans="1:23" ht="11.25" customHeight="1" x14ac:dyDescent="0.3">
      <c r="A196" s="3" t="s">
        <v>21</v>
      </c>
      <c r="B196" s="3" t="s">
        <v>39</v>
      </c>
      <c r="C196" s="3" t="s">
        <v>40</v>
      </c>
      <c r="D196" s="3" t="s">
        <v>44</v>
      </c>
      <c r="E196" s="3" t="s">
        <v>25</v>
      </c>
      <c r="F196" s="3" t="s">
        <v>25</v>
      </c>
      <c r="G196" s="3" t="s">
        <v>25</v>
      </c>
      <c r="H196" s="3" t="s">
        <v>35</v>
      </c>
      <c r="I196" s="6">
        <v>44652</v>
      </c>
      <c r="J196" s="4">
        <v>0</v>
      </c>
      <c r="K196" s="4">
        <v>0</v>
      </c>
      <c r="L196" s="4">
        <v>7.8630000000000004</v>
      </c>
      <c r="M196" s="4">
        <v>7.8630000000000004</v>
      </c>
      <c r="N196" s="4">
        <v>7.8630000000000004</v>
      </c>
      <c r="O196" s="4">
        <v>7.8630000000000004</v>
      </c>
      <c r="P196" s="4">
        <v>0</v>
      </c>
      <c r="Q196" s="3" t="s">
        <v>26</v>
      </c>
      <c r="R196" s="3">
        <v>0</v>
      </c>
      <c r="S196" s="3" t="s">
        <v>145</v>
      </c>
      <c r="T196" s="3" t="s">
        <v>392</v>
      </c>
      <c r="U196" s="3">
        <v>0</v>
      </c>
      <c r="V196" s="3">
        <v>11</v>
      </c>
      <c r="W196" s="3">
        <v>52</v>
      </c>
    </row>
    <row r="197" spans="1:23" ht="11.25" customHeight="1" x14ac:dyDescent="0.3">
      <c r="A197" s="3" t="s">
        <v>21</v>
      </c>
      <c r="B197" s="3" t="s">
        <v>39</v>
      </c>
      <c r="C197" s="3" t="s">
        <v>40</v>
      </c>
      <c r="D197" s="3" t="s">
        <v>44</v>
      </c>
      <c r="E197" s="3" t="s">
        <v>25</v>
      </c>
      <c r="F197" s="3" t="s">
        <v>25</v>
      </c>
      <c r="G197" s="3" t="s">
        <v>25</v>
      </c>
      <c r="H197" s="3" t="s">
        <v>35</v>
      </c>
      <c r="I197" s="6">
        <v>44682</v>
      </c>
      <c r="J197" s="4">
        <v>0</v>
      </c>
      <c r="K197" s="4">
        <v>0</v>
      </c>
      <c r="L197" s="4">
        <v>9.3170000000000002</v>
      </c>
      <c r="M197" s="4">
        <v>9.3170000000000002</v>
      </c>
      <c r="N197" s="4">
        <v>9.3170000000000002</v>
      </c>
      <c r="O197" s="4">
        <v>9.3170000000000002</v>
      </c>
      <c r="P197" s="4">
        <v>0</v>
      </c>
      <c r="Q197" s="3" t="s">
        <v>26</v>
      </c>
      <c r="R197" s="3">
        <v>0</v>
      </c>
      <c r="S197" s="3" t="s">
        <v>146</v>
      </c>
      <c r="T197" s="3" t="s">
        <v>393</v>
      </c>
      <c r="U197" s="3">
        <v>0</v>
      </c>
      <c r="V197" s="3">
        <v>11</v>
      </c>
      <c r="W197" s="3">
        <v>52</v>
      </c>
    </row>
    <row r="198" spans="1:23" ht="11.25" customHeight="1" x14ac:dyDescent="0.3">
      <c r="A198" s="3" t="s">
        <v>21</v>
      </c>
      <c r="B198" s="3" t="s">
        <v>39</v>
      </c>
      <c r="C198" s="3" t="s">
        <v>40</v>
      </c>
      <c r="D198" s="3" t="s">
        <v>44</v>
      </c>
      <c r="E198" s="3" t="s">
        <v>25</v>
      </c>
      <c r="F198" s="3" t="s">
        <v>25</v>
      </c>
      <c r="G198" s="3" t="s">
        <v>25</v>
      </c>
      <c r="H198" s="3" t="s">
        <v>35</v>
      </c>
      <c r="I198" s="6">
        <v>44713</v>
      </c>
      <c r="J198" s="4">
        <v>0</v>
      </c>
      <c r="K198" s="4">
        <v>0</v>
      </c>
      <c r="L198" s="4">
        <v>10.135999999999999</v>
      </c>
      <c r="M198" s="4">
        <v>10.135999999999999</v>
      </c>
      <c r="N198" s="4">
        <v>10.135999999999999</v>
      </c>
      <c r="O198" s="4">
        <v>10.135999999999999</v>
      </c>
      <c r="P198" s="4">
        <v>0</v>
      </c>
      <c r="Q198" s="3" t="s">
        <v>26</v>
      </c>
      <c r="R198" s="3">
        <v>0</v>
      </c>
      <c r="S198" s="3" t="s">
        <v>147</v>
      </c>
      <c r="T198" s="3" t="s">
        <v>394</v>
      </c>
      <c r="U198" s="3">
        <v>0</v>
      </c>
      <c r="V198" s="3">
        <v>11</v>
      </c>
      <c r="W198" s="3">
        <v>52</v>
      </c>
    </row>
    <row r="199" spans="1:23" ht="11.25" customHeight="1" x14ac:dyDescent="0.3">
      <c r="A199" s="3" t="s">
        <v>21</v>
      </c>
      <c r="B199" s="3" t="s">
        <v>39</v>
      </c>
      <c r="C199" s="3" t="s">
        <v>40</v>
      </c>
      <c r="D199" s="3" t="s">
        <v>44</v>
      </c>
      <c r="E199" s="3" t="s">
        <v>25</v>
      </c>
      <c r="F199" s="3" t="s">
        <v>25</v>
      </c>
      <c r="G199" s="3" t="s">
        <v>25</v>
      </c>
      <c r="H199" s="3" t="s">
        <v>25</v>
      </c>
      <c r="I199" s="6">
        <v>44378</v>
      </c>
      <c r="J199" s="4">
        <v>133</v>
      </c>
      <c r="K199" s="4">
        <v>133</v>
      </c>
      <c r="L199" s="4">
        <v>0</v>
      </c>
      <c r="M199" s="4">
        <v>0</v>
      </c>
      <c r="N199" s="4">
        <v>0</v>
      </c>
      <c r="O199" s="4">
        <v>0</v>
      </c>
      <c r="P199" s="4">
        <v>4</v>
      </c>
      <c r="Q199" s="3" t="s">
        <v>26</v>
      </c>
      <c r="R199" s="3">
        <v>0</v>
      </c>
      <c r="S199" s="3" t="s">
        <v>148</v>
      </c>
      <c r="U199" s="3">
        <v>9</v>
      </c>
      <c r="V199" s="3">
        <v>0</v>
      </c>
      <c r="W199" s="3">
        <v>0</v>
      </c>
    </row>
    <row r="200" spans="1:23" ht="11.25" customHeight="1" x14ac:dyDescent="0.3">
      <c r="A200" s="3" t="s">
        <v>21</v>
      </c>
      <c r="B200" s="3" t="s">
        <v>39</v>
      </c>
      <c r="C200" s="3" t="s">
        <v>40</v>
      </c>
      <c r="D200" s="3" t="s">
        <v>44</v>
      </c>
      <c r="E200" s="3" t="s">
        <v>25</v>
      </c>
      <c r="F200" s="3" t="s">
        <v>25</v>
      </c>
      <c r="G200" s="3" t="s">
        <v>25</v>
      </c>
      <c r="H200" s="3" t="s">
        <v>25</v>
      </c>
      <c r="I200" s="6">
        <v>44409</v>
      </c>
      <c r="J200" s="4">
        <v>130</v>
      </c>
      <c r="K200" s="4">
        <v>130</v>
      </c>
      <c r="L200" s="4">
        <v>0</v>
      </c>
      <c r="M200" s="4">
        <v>0</v>
      </c>
      <c r="N200" s="4">
        <v>0</v>
      </c>
      <c r="O200" s="4">
        <v>0</v>
      </c>
      <c r="P200" s="4">
        <v>4</v>
      </c>
      <c r="Q200" s="3" t="s">
        <v>26</v>
      </c>
      <c r="R200" s="3">
        <v>0</v>
      </c>
      <c r="S200" s="3" t="s">
        <v>149</v>
      </c>
      <c r="U200" s="3">
        <v>9</v>
      </c>
      <c r="V200" s="3">
        <v>0</v>
      </c>
      <c r="W200" s="3">
        <v>0</v>
      </c>
    </row>
    <row r="201" spans="1:23" ht="11.25" customHeight="1" x14ac:dyDescent="0.3">
      <c r="A201" s="3" t="s">
        <v>21</v>
      </c>
      <c r="B201" s="3" t="s">
        <v>39</v>
      </c>
      <c r="C201" s="3" t="s">
        <v>40</v>
      </c>
      <c r="D201" s="3" t="s">
        <v>44</v>
      </c>
      <c r="E201" s="3" t="s">
        <v>25</v>
      </c>
      <c r="F201" s="3" t="s">
        <v>25</v>
      </c>
      <c r="G201" s="3" t="s">
        <v>25</v>
      </c>
      <c r="H201" s="3" t="s">
        <v>25</v>
      </c>
      <c r="I201" s="6">
        <v>44440</v>
      </c>
      <c r="J201" s="4">
        <v>130</v>
      </c>
      <c r="K201" s="4">
        <v>130</v>
      </c>
      <c r="L201" s="4">
        <v>0</v>
      </c>
      <c r="M201" s="4">
        <v>0</v>
      </c>
      <c r="N201" s="4">
        <v>0</v>
      </c>
      <c r="O201" s="4">
        <v>0</v>
      </c>
      <c r="P201" s="4">
        <v>4</v>
      </c>
      <c r="Q201" s="3" t="s">
        <v>26</v>
      </c>
      <c r="R201" s="3">
        <v>0</v>
      </c>
      <c r="S201" s="3" t="s">
        <v>150</v>
      </c>
      <c r="U201" s="3">
        <v>9</v>
      </c>
      <c r="V201" s="3">
        <v>0</v>
      </c>
      <c r="W201" s="3">
        <v>0</v>
      </c>
    </row>
    <row r="202" spans="1:23" ht="11.25" customHeight="1" x14ac:dyDescent="0.3">
      <c r="A202" s="3" t="s">
        <v>21</v>
      </c>
      <c r="B202" s="3" t="s">
        <v>39</v>
      </c>
      <c r="C202" s="3" t="s">
        <v>40</v>
      </c>
      <c r="D202" s="3" t="s">
        <v>44</v>
      </c>
      <c r="E202" s="3" t="s">
        <v>25</v>
      </c>
      <c r="F202" s="3" t="s">
        <v>25</v>
      </c>
      <c r="G202" s="3" t="s">
        <v>25</v>
      </c>
      <c r="H202" s="3" t="s">
        <v>25</v>
      </c>
      <c r="I202" s="6">
        <v>44470</v>
      </c>
      <c r="J202" s="4">
        <v>130</v>
      </c>
      <c r="K202" s="4">
        <v>130</v>
      </c>
      <c r="L202" s="4">
        <v>0</v>
      </c>
      <c r="M202" s="4">
        <v>0</v>
      </c>
      <c r="N202" s="4">
        <v>0</v>
      </c>
      <c r="O202" s="4">
        <v>0</v>
      </c>
      <c r="P202" s="4">
        <v>4</v>
      </c>
      <c r="Q202" s="3" t="s">
        <v>26</v>
      </c>
      <c r="R202" s="3">
        <v>0</v>
      </c>
      <c r="S202" s="3" t="s">
        <v>151</v>
      </c>
      <c r="U202" s="3">
        <v>9</v>
      </c>
      <c r="V202" s="3">
        <v>0</v>
      </c>
      <c r="W202" s="3">
        <v>0</v>
      </c>
    </row>
    <row r="203" spans="1:23" ht="11.25" customHeight="1" x14ac:dyDescent="0.3">
      <c r="A203" s="3" t="s">
        <v>21</v>
      </c>
      <c r="B203" s="3" t="s">
        <v>39</v>
      </c>
      <c r="C203" s="3" t="s">
        <v>40</v>
      </c>
      <c r="D203" s="3" t="s">
        <v>44</v>
      </c>
      <c r="E203" s="3" t="s">
        <v>25</v>
      </c>
      <c r="F203" s="3" t="s">
        <v>25</v>
      </c>
      <c r="G203" s="3" t="s">
        <v>25</v>
      </c>
      <c r="H203" s="3" t="s">
        <v>25</v>
      </c>
      <c r="I203" s="6">
        <v>44501</v>
      </c>
      <c r="J203" s="4">
        <v>130</v>
      </c>
      <c r="K203" s="4">
        <v>130</v>
      </c>
      <c r="L203" s="4">
        <v>0</v>
      </c>
      <c r="M203" s="4">
        <v>0</v>
      </c>
      <c r="N203" s="4">
        <v>0</v>
      </c>
      <c r="O203" s="4">
        <v>0</v>
      </c>
      <c r="P203" s="4">
        <v>4</v>
      </c>
      <c r="Q203" s="3" t="s">
        <v>26</v>
      </c>
      <c r="R203" s="3">
        <v>0</v>
      </c>
      <c r="S203" s="3" t="s">
        <v>152</v>
      </c>
      <c r="U203" s="3">
        <v>9</v>
      </c>
      <c r="V203" s="3">
        <v>0</v>
      </c>
      <c r="W203" s="3">
        <v>0</v>
      </c>
    </row>
    <row r="204" spans="1:23" ht="11.25" customHeight="1" x14ac:dyDescent="0.3">
      <c r="A204" s="3" t="s">
        <v>21</v>
      </c>
      <c r="B204" s="3" t="s">
        <v>39</v>
      </c>
      <c r="C204" s="3" t="s">
        <v>40</v>
      </c>
      <c r="D204" s="3" t="s">
        <v>44</v>
      </c>
      <c r="E204" s="3" t="s">
        <v>25</v>
      </c>
      <c r="F204" s="3" t="s">
        <v>25</v>
      </c>
      <c r="G204" s="3" t="s">
        <v>25</v>
      </c>
      <c r="H204" s="3" t="s">
        <v>25</v>
      </c>
      <c r="I204" s="6">
        <v>44531</v>
      </c>
      <c r="J204" s="4">
        <v>130</v>
      </c>
      <c r="K204" s="4">
        <v>130</v>
      </c>
      <c r="L204" s="4">
        <v>0</v>
      </c>
      <c r="M204" s="4">
        <v>0</v>
      </c>
      <c r="N204" s="4">
        <v>0</v>
      </c>
      <c r="O204" s="4">
        <v>0</v>
      </c>
      <c r="P204" s="4">
        <v>4</v>
      </c>
      <c r="Q204" s="3" t="s">
        <v>26</v>
      </c>
      <c r="R204" s="3">
        <v>0</v>
      </c>
      <c r="S204" s="3" t="s">
        <v>153</v>
      </c>
      <c r="U204" s="3">
        <v>9</v>
      </c>
      <c r="V204" s="3">
        <v>0</v>
      </c>
      <c r="W204" s="3">
        <v>0</v>
      </c>
    </row>
    <row r="205" spans="1:23" ht="11.25" customHeight="1" x14ac:dyDescent="0.3">
      <c r="A205" s="3" t="s">
        <v>21</v>
      </c>
      <c r="B205" s="3" t="s">
        <v>39</v>
      </c>
      <c r="C205" s="3" t="s">
        <v>40</v>
      </c>
      <c r="D205" s="3" t="s">
        <v>44</v>
      </c>
      <c r="E205" s="3" t="s">
        <v>25</v>
      </c>
      <c r="F205" s="3" t="s">
        <v>25</v>
      </c>
      <c r="G205" s="3" t="s">
        <v>25</v>
      </c>
      <c r="H205" s="3" t="s">
        <v>25</v>
      </c>
      <c r="I205" s="6">
        <v>44562</v>
      </c>
      <c r="J205" s="4">
        <v>138</v>
      </c>
      <c r="K205" s="4">
        <v>138</v>
      </c>
      <c r="L205" s="4">
        <v>0</v>
      </c>
      <c r="M205" s="4">
        <v>0</v>
      </c>
      <c r="N205" s="4">
        <v>0</v>
      </c>
      <c r="O205" s="4">
        <v>0</v>
      </c>
      <c r="P205" s="4">
        <v>4</v>
      </c>
      <c r="Q205" s="3" t="s">
        <v>26</v>
      </c>
      <c r="R205" s="3">
        <v>0</v>
      </c>
      <c r="S205" s="3" t="s">
        <v>154</v>
      </c>
      <c r="U205" s="3">
        <v>9</v>
      </c>
      <c r="V205" s="3">
        <v>0</v>
      </c>
      <c r="W205" s="3">
        <v>0</v>
      </c>
    </row>
    <row r="206" spans="1:23" ht="11.25" customHeight="1" x14ac:dyDescent="0.3">
      <c r="A206" s="3" t="s">
        <v>21</v>
      </c>
      <c r="B206" s="3" t="s">
        <v>39</v>
      </c>
      <c r="C206" s="3" t="s">
        <v>40</v>
      </c>
      <c r="D206" s="3" t="s">
        <v>44</v>
      </c>
      <c r="E206" s="3" t="s">
        <v>25</v>
      </c>
      <c r="F206" s="3" t="s">
        <v>25</v>
      </c>
      <c r="G206" s="3" t="s">
        <v>25</v>
      </c>
      <c r="H206" s="3" t="s">
        <v>25</v>
      </c>
      <c r="I206" s="6">
        <v>44593</v>
      </c>
      <c r="J206" s="4">
        <v>130</v>
      </c>
      <c r="K206" s="4">
        <v>130</v>
      </c>
      <c r="L206" s="4">
        <v>0</v>
      </c>
      <c r="M206" s="4">
        <v>0</v>
      </c>
      <c r="N206" s="4">
        <v>0</v>
      </c>
      <c r="O206" s="4">
        <v>0</v>
      </c>
      <c r="P206" s="4">
        <v>4</v>
      </c>
      <c r="Q206" s="3" t="s">
        <v>26</v>
      </c>
      <c r="R206" s="3">
        <v>0</v>
      </c>
      <c r="S206" s="3" t="s">
        <v>155</v>
      </c>
      <c r="U206" s="3">
        <v>9</v>
      </c>
      <c r="V206" s="3">
        <v>0</v>
      </c>
      <c r="W206" s="3">
        <v>0</v>
      </c>
    </row>
    <row r="207" spans="1:23" ht="11.25" customHeight="1" x14ac:dyDescent="0.3">
      <c r="A207" s="3" t="s">
        <v>21</v>
      </c>
      <c r="B207" s="3" t="s">
        <v>39</v>
      </c>
      <c r="C207" s="3" t="s">
        <v>40</v>
      </c>
      <c r="D207" s="3" t="s">
        <v>44</v>
      </c>
      <c r="E207" s="3" t="s">
        <v>25</v>
      </c>
      <c r="F207" s="3" t="s">
        <v>25</v>
      </c>
      <c r="G207" s="3" t="s">
        <v>25</v>
      </c>
      <c r="H207" s="3" t="s">
        <v>25</v>
      </c>
      <c r="I207" s="6">
        <v>44621</v>
      </c>
      <c r="J207" s="4">
        <v>130</v>
      </c>
      <c r="K207" s="4">
        <v>130</v>
      </c>
      <c r="L207" s="4">
        <v>0</v>
      </c>
      <c r="M207" s="4">
        <v>0</v>
      </c>
      <c r="N207" s="4">
        <v>0</v>
      </c>
      <c r="O207" s="4">
        <v>0</v>
      </c>
      <c r="P207" s="4">
        <v>4</v>
      </c>
      <c r="Q207" s="3" t="s">
        <v>26</v>
      </c>
      <c r="R207" s="3">
        <v>0</v>
      </c>
      <c r="S207" s="3" t="s">
        <v>156</v>
      </c>
      <c r="U207" s="3">
        <v>9</v>
      </c>
      <c r="V207" s="3">
        <v>0</v>
      </c>
      <c r="W207" s="3">
        <v>0</v>
      </c>
    </row>
    <row r="208" spans="1:23" ht="11.25" customHeight="1" x14ac:dyDescent="0.3">
      <c r="A208" s="3" t="s">
        <v>21</v>
      </c>
      <c r="B208" s="3" t="s">
        <v>39</v>
      </c>
      <c r="C208" s="3" t="s">
        <v>40</v>
      </c>
      <c r="D208" s="3" t="s">
        <v>44</v>
      </c>
      <c r="E208" s="3" t="s">
        <v>25</v>
      </c>
      <c r="F208" s="3" t="s">
        <v>25</v>
      </c>
      <c r="G208" s="3" t="s">
        <v>25</v>
      </c>
      <c r="H208" s="3" t="s">
        <v>25</v>
      </c>
      <c r="I208" s="6">
        <v>44652</v>
      </c>
      <c r="J208" s="4">
        <v>130</v>
      </c>
      <c r="K208" s="4">
        <v>130</v>
      </c>
      <c r="L208" s="4">
        <v>0</v>
      </c>
      <c r="M208" s="4">
        <v>0</v>
      </c>
      <c r="N208" s="4">
        <v>0</v>
      </c>
      <c r="O208" s="4">
        <v>0</v>
      </c>
      <c r="P208" s="4">
        <v>4</v>
      </c>
      <c r="Q208" s="3" t="s">
        <v>26</v>
      </c>
      <c r="R208" s="3">
        <v>0</v>
      </c>
      <c r="S208" s="3" t="s">
        <v>157</v>
      </c>
      <c r="U208" s="3">
        <v>9</v>
      </c>
      <c r="V208" s="3">
        <v>0</v>
      </c>
      <c r="W208" s="3">
        <v>0</v>
      </c>
    </row>
    <row r="209" spans="1:23" ht="11.25" customHeight="1" x14ac:dyDescent="0.3">
      <c r="A209" s="3" t="s">
        <v>21</v>
      </c>
      <c r="B209" s="3" t="s">
        <v>39</v>
      </c>
      <c r="C209" s="3" t="s">
        <v>40</v>
      </c>
      <c r="D209" s="3" t="s">
        <v>44</v>
      </c>
      <c r="E209" s="3" t="s">
        <v>25</v>
      </c>
      <c r="F209" s="3" t="s">
        <v>25</v>
      </c>
      <c r="G209" s="3" t="s">
        <v>25</v>
      </c>
      <c r="H209" s="3" t="s">
        <v>25</v>
      </c>
      <c r="I209" s="6">
        <v>44682</v>
      </c>
      <c r="J209" s="4">
        <v>130</v>
      </c>
      <c r="K209" s="4">
        <v>130</v>
      </c>
      <c r="L209" s="4">
        <v>0</v>
      </c>
      <c r="M209" s="4">
        <v>0</v>
      </c>
      <c r="N209" s="4">
        <v>0</v>
      </c>
      <c r="O209" s="4">
        <v>0</v>
      </c>
      <c r="P209" s="4">
        <v>4</v>
      </c>
      <c r="Q209" s="3" t="s">
        <v>26</v>
      </c>
      <c r="R209" s="3">
        <v>0</v>
      </c>
      <c r="S209" s="3" t="s">
        <v>158</v>
      </c>
      <c r="U209" s="3">
        <v>9</v>
      </c>
      <c r="V209" s="3">
        <v>0</v>
      </c>
      <c r="W209" s="3">
        <v>0</v>
      </c>
    </row>
    <row r="210" spans="1:23" ht="11.25" customHeight="1" x14ac:dyDescent="0.3">
      <c r="A210" s="3" t="s">
        <v>21</v>
      </c>
      <c r="B210" s="3" t="s">
        <v>39</v>
      </c>
      <c r="C210" s="3" t="s">
        <v>40</v>
      </c>
      <c r="D210" s="3" t="s">
        <v>44</v>
      </c>
      <c r="E210" s="3" t="s">
        <v>25</v>
      </c>
      <c r="F210" s="3" t="s">
        <v>25</v>
      </c>
      <c r="G210" s="3" t="s">
        <v>25</v>
      </c>
      <c r="H210" s="3" t="s">
        <v>25</v>
      </c>
      <c r="I210" s="6">
        <v>44713</v>
      </c>
      <c r="J210" s="4">
        <v>130</v>
      </c>
      <c r="K210" s="4">
        <v>130</v>
      </c>
      <c r="L210" s="4">
        <v>0</v>
      </c>
      <c r="M210" s="4">
        <v>0</v>
      </c>
      <c r="N210" s="4">
        <v>0</v>
      </c>
      <c r="O210" s="4">
        <v>0</v>
      </c>
      <c r="P210" s="4">
        <v>4</v>
      </c>
      <c r="Q210" s="3" t="s">
        <v>26</v>
      </c>
      <c r="R210" s="3">
        <v>0</v>
      </c>
      <c r="S210" s="3" t="s">
        <v>159</v>
      </c>
      <c r="U210" s="3">
        <v>9</v>
      </c>
      <c r="V210" s="3">
        <v>0</v>
      </c>
      <c r="W210" s="3">
        <v>0</v>
      </c>
    </row>
    <row r="211" spans="1:23" ht="11.25" customHeight="1" x14ac:dyDescent="0.3">
      <c r="A211" s="3" t="s">
        <v>21</v>
      </c>
      <c r="B211" s="3" t="s">
        <v>39</v>
      </c>
      <c r="C211" s="3" t="s">
        <v>40</v>
      </c>
      <c r="D211" s="3" t="s">
        <v>44</v>
      </c>
      <c r="E211" s="3" t="s">
        <v>25</v>
      </c>
      <c r="F211" s="3" t="s">
        <v>25</v>
      </c>
      <c r="G211" s="3" t="s">
        <v>25</v>
      </c>
      <c r="H211" s="3" t="s">
        <v>34</v>
      </c>
      <c r="I211" s="6">
        <v>44378</v>
      </c>
      <c r="J211" s="4">
        <v>0</v>
      </c>
      <c r="K211" s="4">
        <v>0</v>
      </c>
      <c r="L211" s="4">
        <v>0.82199999999999995</v>
      </c>
      <c r="M211" s="4">
        <v>0.82199999999999995</v>
      </c>
      <c r="N211" s="4">
        <v>0.82199999999999995</v>
      </c>
      <c r="O211" s="4">
        <v>0.82199999999999995</v>
      </c>
      <c r="P211" s="4">
        <v>0</v>
      </c>
      <c r="Q211" s="3" t="s">
        <v>26</v>
      </c>
      <c r="R211" s="3">
        <v>0</v>
      </c>
      <c r="S211" s="3" t="s">
        <v>160</v>
      </c>
      <c r="T211" s="3" t="s">
        <v>399</v>
      </c>
      <c r="U211" s="3">
        <v>0</v>
      </c>
      <c r="V211" s="3">
        <v>10</v>
      </c>
      <c r="W211" s="3">
        <v>51</v>
      </c>
    </row>
    <row r="212" spans="1:23" ht="11.25" customHeight="1" x14ac:dyDescent="0.3">
      <c r="A212" s="3" t="s">
        <v>21</v>
      </c>
      <c r="B212" s="3" t="s">
        <v>39</v>
      </c>
      <c r="C212" s="3" t="s">
        <v>40</v>
      </c>
      <c r="D212" s="3" t="s">
        <v>44</v>
      </c>
      <c r="E212" s="3" t="s">
        <v>25</v>
      </c>
      <c r="F212" s="3" t="s">
        <v>25</v>
      </c>
      <c r="G212" s="3" t="s">
        <v>25</v>
      </c>
      <c r="H212" s="3" t="s">
        <v>34</v>
      </c>
      <c r="I212" s="6">
        <v>44409</v>
      </c>
      <c r="J212" s="4">
        <v>0</v>
      </c>
      <c r="K212" s="4">
        <v>0</v>
      </c>
      <c r="L212" s="4">
        <v>0.78800000000000003</v>
      </c>
      <c r="M212" s="4">
        <v>0.78800000000000003</v>
      </c>
      <c r="N212" s="4">
        <v>0.78800000000000003</v>
      </c>
      <c r="O212" s="4">
        <v>0.78800000000000003</v>
      </c>
      <c r="P212" s="4">
        <v>0</v>
      </c>
      <c r="Q212" s="3" t="s">
        <v>26</v>
      </c>
      <c r="R212" s="3">
        <v>0</v>
      </c>
      <c r="S212" s="3" t="s">
        <v>161</v>
      </c>
      <c r="T212" s="3" t="s">
        <v>400</v>
      </c>
      <c r="U212" s="3">
        <v>0</v>
      </c>
      <c r="V212" s="3">
        <v>10</v>
      </c>
      <c r="W212" s="3">
        <v>51</v>
      </c>
    </row>
    <row r="213" spans="1:23" ht="11.25" customHeight="1" x14ac:dyDescent="0.3">
      <c r="A213" s="3" t="s">
        <v>21</v>
      </c>
      <c r="B213" s="3" t="s">
        <v>39</v>
      </c>
      <c r="C213" s="3" t="s">
        <v>40</v>
      </c>
      <c r="D213" s="3" t="s">
        <v>44</v>
      </c>
      <c r="E213" s="3" t="s">
        <v>25</v>
      </c>
      <c r="F213" s="3" t="s">
        <v>25</v>
      </c>
      <c r="G213" s="3" t="s">
        <v>25</v>
      </c>
      <c r="H213" s="3" t="s">
        <v>34</v>
      </c>
      <c r="I213" s="6">
        <v>44440</v>
      </c>
      <c r="J213" s="4">
        <v>0</v>
      </c>
      <c r="K213" s="4">
        <v>0</v>
      </c>
      <c r="L213" s="4">
        <v>0.69499999999999995</v>
      </c>
      <c r="M213" s="4">
        <v>0.69499999999999995</v>
      </c>
      <c r="N213" s="4">
        <v>0.69499999999999995</v>
      </c>
      <c r="O213" s="4">
        <v>0.69499999999999995</v>
      </c>
      <c r="P213" s="4">
        <v>0</v>
      </c>
      <c r="Q213" s="3" t="s">
        <v>26</v>
      </c>
      <c r="R213" s="3">
        <v>0</v>
      </c>
      <c r="S213" s="3" t="s">
        <v>162</v>
      </c>
      <c r="T213" s="3" t="s">
        <v>401</v>
      </c>
      <c r="U213" s="3">
        <v>0</v>
      </c>
      <c r="V213" s="3">
        <v>10</v>
      </c>
      <c r="W213" s="3">
        <v>51</v>
      </c>
    </row>
    <row r="214" spans="1:23" ht="11.25" customHeight="1" x14ac:dyDescent="0.3">
      <c r="A214" s="3" t="s">
        <v>21</v>
      </c>
      <c r="B214" s="3" t="s">
        <v>39</v>
      </c>
      <c r="C214" s="3" t="s">
        <v>40</v>
      </c>
      <c r="D214" s="3" t="s">
        <v>44</v>
      </c>
      <c r="E214" s="3" t="s">
        <v>25</v>
      </c>
      <c r="F214" s="3" t="s">
        <v>25</v>
      </c>
      <c r="G214" s="3" t="s">
        <v>25</v>
      </c>
      <c r="H214" s="3" t="s">
        <v>34</v>
      </c>
      <c r="I214" s="6">
        <v>44470</v>
      </c>
      <c r="J214" s="4">
        <v>0</v>
      </c>
      <c r="K214" s="4">
        <v>0</v>
      </c>
      <c r="L214" s="4">
        <v>0.625</v>
      </c>
      <c r="M214" s="4">
        <v>0.625</v>
      </c>
      <c r="N214" s="4">
        <v>0.625</v>
      </c>
      <c r="O214" s="4">
        <v>0.625</v>
      </c>
      <c r="P214" s="4">
        <v>0</v>
      </c>
      <c r="Q214" s="3" t="s">
        <v>26</v>
      </c>
      <c r="R214" s="3">
        <v>0</v>
      </c>
      <c r="S214" s="3" t="s">
        <v>163</v>
      </c>
      <c r="T214" s="3" t="s">
        <v>402</v>
      </c>
      <c r="U214" s="3">
        <v>0</v>
      </c>
      <c r="V214" s="3">
        <v>10</v>
      </c>
      <c r="W214" s="3">
        <v>51</v>
      </c>
    </row>
    <row r="215" spans="1:23" ht="11.25" customHeight="1" x14ac:dyDescent="0.3">
      <c r="A215" s="3" t="s">
        <v>21</v>
      </c>
      <c r="B215" s="3" t="s">
        <v>39</v>
      </c>
      <c r="C215" s="3" t="s">
        <v>40</v>
      </c>
      <c r="D215" s="3" t="s">
        <v>44</v>
      </c>
      <c r="E215" s="3" t="s">
        <v>25</v>
      </c>
      <c r="F215" s="3" t="s">
        <v>25</v>
      </c>
      <c r="G215" s="3" t="s">
        <v>25</v>
      </c>
      <c r="H215" s="3" t="s">
        <v>34</v>
      </c>
      <c r="I215" s="6">
        <v>44501</v>
      </c>
      <c r="J215" s="4">
        <v>0</v>
      </c>
      <c r="K215" s="4">
        <v>0</v>
      </c>
      <c r="L215" s="4">
        <v>0.66100000000000003</v>
      </c>
      <c r="M215" s="4">
        <v>0.66100000000000003</v>
      </c>
      <c r="N215" s="4">
        <v>0.66100000000000003</v>
      </c>
      <c r="O215" s="4">
        <v>0.66100000000000003</v>
      </c>
      <c r="P215" s="4">
        <v>0</v>
      </c>
      <c r="Q215" s="3" t="s">
        <v>26</v>
      </c>
      <c r="R215" s="3">
        <v>0</v>
      </c>
      <c r="S215" s="3" t="s">
        <v>164</v>
      </c>
      <c r="T215" s="3" t="s">
        <v>403</v>
      </c>
      <c r="U215" s="3">
        <v>0</v>
      </c>
      <c r="V215" s="3">
        <v>10</v>
      </c>
      <c r="W215" s="3">
        <v>51</v>
      </c>
    </row>
    <row r="216" spans="1:23" ht="11.25" customHeight="1" x14ac:dyDescent="0.3">
      <c r="A216" s="3" t="s">
        <v>21</v>
      </c>
      <c r="B216" s="3" t="s">
        <v>39</v>
      </c>
      <c r="C216" s="3" t="s">
        <v>40</v>
      </c>
      <c r="D216" s="3" t="s">
        <v>44</v>
      </c>
      <c r="E216" s="3" t="s">
        <v>25</v>
      </c>
      <c r="F216" s="3" t="s">
        <v>25</v>
      </c>
      <c r="G216" s="3" t="s">
        <v>25</v>
      </c>
      <c r="H216" s="3" t="s">
        <v>34</v>
      </c>
      <c r="I216" s="6">
        <v>44531</v>
      </c>
      <c r="J216" s="4">
        <v>0</v>
      </c>
      <c r="K216" s="4">
        <v>0</v>
      </c>
      <c r="L216" s="4">
        <v>0.71899999999999997</v>
      </c>
      <c r="M216" s="4">
        <v>0.71899999999999997</v>
      </c>
      <c r="N216" s="4">
        <v>0.71899999999999997</v>
      </c>
      <c r="O216" s="4">
        <v>0.71899999999999997</v>
      </c>
      <c r="P216" s="4">
        <v>0</v>
      </c>
      <c r="Q216" s="3" t="s">
        <v>26</v>
      </c>
      <c r="R216" s="3">
        <v>0</v>
      </c>
      <c r="S216" s="3" t="s">
        <v>165</v>
      </c>
      <c r="T216" s="3" t="s">
        <v>404</v>
      </c>
      <c r="U216" s="3">
        <v>0</v>
      </c>
      <c r="V216" s="3">
        <v>10</v>
      </c>
      <c r="W216" s="3">
        <v>51</v>
      </c>
    </row>
    <row r="217" spans="1:23" ht="11.25" customHeight="1" x14ac:dyDescent="0.3">
      <c r="A217" s="3" t="s">
        <v>21</v>
      </c>
      <c r="B217" s="3" t="s">
        <v>39</v>
      </c>
      <c r="C217" s="3" t="s">
        <v>40</v>
      </c>
      <c r="D217" s="3" t="s">
        <v>44</v>
      </c>
      <c r="E217" s="3" t="s">
        <v>25</v>
      </c>
      <c r="F217" s="3" t="s">
        <v>25</v>
      </c>
      <c r="G217" s="3" t="s">
        <v>25</v>
      </c>
      <c r="H217" s="3" t="s">
        <v>34</v>
      </c>
      <c r="I217" s="6">
        <v>44562</v>
      </c>
      <c r="J217" s="4">
        <v>0</v>
      </c>
      <c r="K217" s="4">
        <v>0</v>
      </c>
      <c r="L217" s="4">
        <v>0.84599999999999997</v>
      </c>
      <c r="M217" s="4">
        <v>0.84599999999999997</v>
      </c>
      <c r="N217" s="4">
        <v>0.84599999999999997</v>
      </c>
      <c r="O217" s="4">
        <v>0.84599999999999997</v>
      </c>
      <c r="P217" s="4">
        <v>0</v>
      </c>
      <c r="Q217" s="3" t="s">
        <v>26</v>
      </c>
      <c r="R217" s="3">
        <v>0</v>
      </c>
      <c r="S217" s="3" t="s">
        <v>166</v>
      </c>
      <c r="T217" s="3" t="s">
        <v>405</v>
      </c>
      <c r="U217" s="3">
        <v>0</v>
      </c>
      <c r="V217" s="3">
        <v>10</v>
      </c>
      <c r="W217" s="3">
        <v>51</v>
      </c>
    </row>
    <row r="218" spans="1:23" ht="11.25" customHeight="1" x14ac:dyDescent="0.3">
      <c r="A218" s="3" t="s">
        <v>21</v>
      </c>
      <c r="B218" s="3" t="s">
        <v>39</v>
      </c>
      <c r="C218" s="3" t="s">
        <v>40</v>
      </c>
      <c r="D218" s="3" t="s">
        <v>44</v>
      </c>
      <c r="E218" s="3" t="s">
        <v>25</v>
      </c>
      <c r="F218" s="3" t="s">
        <v>25</v>
      </c>
      <c r="G218" s="3" t="s">
        <v>25</v>
      </c>
      <c r="H218" s="3" t="s">
        <v>34</v>
      </c>
      <c r="I218" s="6">
        <v>44593</v>
      </c>
      <c r="J218" s="4">
        <v>0</v>
      </c>
      <c r="K218" s="4">
        <v>0</v>
      </c>
      <c r="L218" s="4">
        <v>0.86299999999999999</v>
      </c>
      <c r="M218" s="4">
        <v>0.86299999999999999</v>
      </c>
      <c r="N218" s="4">
        <v>0.86299999999999999</v>
      </c>
      <c r="O218" s="4">
        <v>0.86299999999999999</v>
      </c>
      <c r="P218" s="4">
        <v>0</v>
      </c>
      <c r="Q218" s="3" t="s">
        <v>26</v>
      </c>
      <c r="R218" s="3">
        <v>0</v>
      </c>
      <c r="S218" s="3" t="s">
        <v>167</v>
      </c>
      <c r="T218" s="3" t="s">
        <v>406</v>
      </c>
      <c r="U218" s="3">
        <v>0</v>
      </c>
      <c r="V218" s="3">
        <v>10</v>
      </c>
      <c r="W218" s="3">
        <v>51</v>
      </c>
    </row>
    <row r="219" spans="1:23" ht="11.25" customHeight="1" x14ac:dyDescent="0.3">
      <c r="A219" s="3" t="s">
        <v>21</v>
      </c>
      <c r="B219" s="3" t="s">
        <v>39</v>
      </c>
      <c r="C219" s="3" t="s">
        <v>40</v>
      </c>
      <c r="D219" s="3" t="s">
        <v>44</v>
      </c>
      <c r="E219" s="3" t="s">
        <v>25</v>
      </c>
      <c r="F219" s="3" t="s">
        <v>25</v>
      </c>
      <c r="G219" s="3" t="s">
        <v>25</v>
      </c>
      <c r="H219" s="3" t="s">
        <v>34</v>
      </c>
      <c r="I219" s="6">
        <v>44621</v>
      </c>
      <c r="J219" s="4">
        <v>0</v>
      </c>
      <c r="K219" s="4">
        <v>0</v>
      </c>
      <c r="L219" s="4">
        <v>0.94699999999999995</v>
      </c>
      <c r="M219" s="4">
        <v>0.94699999999999995</v>
      </c>
      <c r="N219" s="4">
        <v>0.94699999999999995</v>
      </c>
      <c r="O219" s="4">
        <v>0.94699999999999995</v>
      </c>
      <c r="P219" s="4">
        <v>0</v>
      </c>
      <c r="Q219" s="3" t="s">
        <v>26</v>
      </c>
      <c r="R219" s="3">
        <v>0</v>
      </c>
      <c r="S219" s="3" t="s">
        <v>168</v>
      </c>
      <c r="T219" s="3" t="s">
        <v>407</v>
      </c>
      <c r="U219" s="3">
        <v>0</v>
      </c>
      <c r="V219" s="3">
        <v>10</v>
      </c>
      <c r="W219" s="3">
        <v>51</v>
      </c>
    </row>
    <row r="220" spans="1:23" ht="11.25" customHeight="1" x14ac:dyDescent="0.3">
      <c r="A220" s="3" t="s">
        <v>21</v>
      </c>
      <c r="B220" s="3" t="s">
        <v>39</v>
      </c>
      <c r="C220" s="3" t="s">
        <v>40</v>
      </c>
      <c r="D220" s="3" t="s">
        <v>44</v>
      </c>
      <c r="E220" s="3" t="s">
        <v>25</v>
      </c>
      <c r="F220" s="3" t="s">
        <v>25</v>
      </c>
      <c r="G220" s="3" t="s">
        <v>25</v>
      </c>
      <c r="H220" s="3" t="s">
        <v>34</v>
      </c>
      <c r="I220" s="6">
        <v>44652</v>
      </c>
      <c r="J220" s="4">
        <v>0</v>
      </c>
      <c r="K220" s="4">
        <v>0</v>
      </c>
      <c r="L220" s="4">
        <v>0.76200000000000001</v>
      </c>
      <c r="M220" s="4">
        <v>0.76200000000000001</v>
      </c>
      <c r="N220" s="4">
        <v>0.76200000000000001</v>
      </c>
      <c r="O220" s="4">
        <v>0.76200000000000001</v>
      </c>
      <c r="P220" s="4">
        <v>0</v>
      </c>
      <c r="Q220" s="3" t="s">
        <v>26</v>
      </c>
      <c r="R220" s="3">
        <v>0</v>
      </c>
      <c r="S220" s="3" t="s">
        <v>169</v>
      </c>
      <c r="T220" s="3" t="s">
        <v>408</v>
      </c>
      <c r="U220" s="3">
        <v>0</v>
      </c>
      <c r="V220" s="3">
        <v>10</v>
      </c>
      <c r="W220" s="3">
        <v>51</v>
      </c>
    </row>
    <row r="221" spans="1:23" ht="11.25" customHeight="1" x14ac:dyDescent="0.3">
      <c r="A221" s="3" t="s">
        <v>21</v>
      </c>
      <c r="B221" s="3" t="s">
        <v>39</v>
      </c>
      <c r="C221" s="3" t="s">
        <v>40</v>
      </c>
      <c r="D221" s="3" t="s">
        <v>44</v>
      </c>
      <c r="E221" s="3" t="s">
        <v>25</v>
      </c>
      <c r="F221" s="3" t="s">
        <v>25</v>
      </c>
      <c r="G221" s="3" t="s">
        <v>25</v>
      </c>
      <c r="H221" s="3" t="s">
        <v>34</v>
      </c>
      <c r="I221" s="6">
        <v>44682</v>
      </c>
      <c r="J221" s="4">
        <v>0</v>
      </c>
      <c r="K221" s="4">
        <v>0</v>
      </c>
      <c r="L221" s="4">
        <v>1.0860000000000001</v>
      </c>
      <c r="M221" s="4">
        <v>1.0860000000000001</v>
      </c>
      <c r="N221" s="4">
        <v>1.0860000000000001</v>
      </c>
      <c r="O221" s="4">
        <v>1.0860000000000001</v>
      </c>
      <c r="P221" s="4">
        <v>0</v>
      </c>
      <c r="Q221" s="3" t="s">
        <v>26</v>
      </c>
      <c r="R221" s="3">
        <v>0</v>
      </c>
      <c r="S221" s="3" t="s">
        <v>170</v>
      </c>
      <c r="T221" s="3" t="s">
        <v>409</v>
      </c>
      <c r="U221" s="3">
        <v>0</v>
      </c>
      <c r="V221" s="3">
        <v>10</v>
      </c>
      <c r="W221" s="3">
        <v>51</v>
      </c>
    </row>
    <row r="222" spans="1:23" ht="11.25" customHeight="1" x14ac:dyDescent="0.3">
      <c r="A222" s="3" t="s">
        <v>21</v>
      </c>
      <c r="B222" s="3" t="s">
        <v>39</v>
      </c>
      <c r="C222" s="3" t="s">
        <v>40</v>
      </c>
      <c r="D222" s="3" t="s">
        <v>44</v>
      </c>
      <c r="E222" s="3" t="s">
        <v>25</v>
      </c>
      <c r="F222" s="3" t="s">
        <v>25</v>
      </c>
      <c r="G222" s="3" t="s">
        <v>25</v>
      </c>
      <c r="H222" s="3" t="s">
        <v>34</v>
      </c>
      <c r="I222" s="6">
        <v>44713</v>
      </c>
      <c r="J222" s="4">
        <v>0</v>
      </c>
      <c r="K222" s="4">
        <v>0</v>
      </c>
      <c r="L222" s="4">
        <v>1.032</v>
      </c>
      <c r="M222" s="4">
        <v>1.032</v>
      </c>
      <c r="N222" s="4">
        <v>1.032</v>
      </c>
      <c r="O222" s="4">
        <v>1.032</v>
      </c>
      <c r="P222" s="4">
        <v>0</v>
      </c>
      <c r="Q222" s="3" t="s">
        <v>26</v>
      </c>
      <c r="R222" s="3">
        <v>0</v>
      </c>
      <c r="S222" s="3" t="s">
        <v>171</v>
      </c>
      <c r="T222" s="3" t="s">
        <v>410</v>
      </c>
      <c r="U222" s="3">
        <v>0</v>
      </c>
      <c r="V222" s="3">
        <v>10</v>
      </c>
      <c r="W222" s="3">
        <v>51</v>
      </c>
    </row>
    <row r="223" spans="1:23" ht="11.25" customHeight="1" x14ac:dyDescent="0.3">
      <c r="A223" s="3" t="s">
        <v>21</v>
      </c>
      <c r="B223" s="3" t="s">
        <v>39</v>
      </c>
      <c r="C223" s="3" t="s">
        <v>40</v>
      </c>
      <c r="D223" s="3" t="s">
        <v>43</v>
      </c>
      <c r="E223" s="3" t="s">
        <v>25</v>
      </c>
      <c r="F223" s="3" t="s">
        <v>25</v>
      </c>
      <c r="G223" s="3" t="s">
        <v>25</v>
      </c>
      <c r="H223" s="3" t="s">
        <v>35</v>
      </c>
      <c r="I223" s="6">
        <v>44378</v>
      </c>
      <c r="J223" s="4">
        <v>0</v>
      </c>
      <c r="K223" s="4">
        <v>0</v>
      </c>
      <c r="L223" s="4">
        <v>8.7330000000000005</v>
      </c>
      <c r="M223" s="4">
        <v>8.38368</v>
      </c>
      <c r="N223" s="4">
        <v>8.7330000000000005</v>
      </c>
      <c r="O223" s="4">
        <v>8.38368</v>
      </c>
      <c r="P223" s="4">
        <v>0</v>
      </c>
      <c r="Q223" s="3" t="s">
        <v>26</v>
      </c>
      <c r="R223" s="3">
        <v>0</v>
      </c>
      <c r="S223" s="3" t="s">
        <v>136</v>
      </c>
      <c r="T223" s="3" t="s">
        <v>383</v>
      </c>
      <c r="U223" s="3">
        <v>0</v>
      </c>
      <c r="V223" s="3">
        <v>11</v>
      </c>
      <c r="W223" s="3">
        <v>52</v>
      </c>
    </row>
    <row r="224" spans="1:23" ht="11.25" customHeight="1" x14ac:dyDescent="0.3">
      <c r="A224" s="3" t="s">
        <v>21</v>
      </c>
      <c r="B224" s="3" t="s">
        <v>39</v>
      </c>
      <c r="C224" s="3" t="s">
        <v>40</v>
      </c>
      <c r="D224" s="3" t="s">
        <v>43</v>
      </c>
      <c r="E224" s="3" t="s">
        <v>25</v>
      </c>
      <c r="F224" s="3" t="s">
        <v>25</v>
      </c>
      <c r="G224" s="3" t="s">
        <v>25</v>
      </c>
      <c r="H224" s="3" t="s">
        <v>35</v>
      </c>
      <c r="I224" s="6">
        <v>44409</v>
      </c>
      <c r="J224" s="4">
        <v>0</v>
      </c>
      <c r="K224" s="4">
        <v>0</v>
      </c>
      <c r="L224" s="4">
        <v>2.7029999999999998</v>
      </c>
      <c r="M224" s="4">
        <v>2.5948799999999999</v>
      </c>
      <c r="N224" s="4">
        <v>2.7029999999999998</v>
      </c>
      <c r="O224" s="4">
        <v>2.5948799999999999</v>
      </c>
      <c r="P224" s="4">
        <v>0</v>
      </c>
      <c r="Q224" s="3" t="s">
        <v>26</v>
      </c>
      <c r="R224" s="3">
        <v>0</v>
      </c>
      <c r="S224" s="3" t="s">
        <v>137</v>
      </c>
      <c r="T224" s="3" t="s">
        <v>384</v>
      </c>
      <c r="U224" s="3">
        <v>0</v>
      </c>
      <c r="V224" s="3">
        <v>11</v>
      </c>
      <c r="W224" s="3">
        <v>52</v>
      </c>
    </row>
    <row r="225" spans="1:23" ht="11.25" customHeight="1" x14ac:dyDescent="0.3">
      <c r="A225" s="3" t="s">
        <v>21</v>
      </c>
      <c r="B225" s="3" t="s">
        <v>39</v>
      </c>
      <c r="C225" s="3" t="s">
        <v>40</v>
      </c>
      <c r="D225" s="3" t="s">
        <v>43</v>
      </c>
      <c r="E225" s="3" t="s">
        <v>25</v>
      </c>
      <c r="F225" s="3" t="s">
        <v>25</v>
      </c>
      <c r="G225" s="3" t="s">
        <v>25</v>
      </c>
      <c r="H225" s="3" t="s">
        <v>35</v>
      </c>
      <c r="I225" s="6">
        <v>44440</v>
      </c>
      <c r="J225" s="4">
        <v>0</v>
      </c>
      <c r="K225" s="4">
        <v>0</v>
      </c>
      <c r="L225" s="4">
        <v>3.448</v>
      </c>
      <c r="M225" s="4">
        <v>3.3100799999999997</v>
      </c>
      <c r="N225" s="4">
        <v>3.448</v>
      </c>
      <c r="O225" s="4">
        <v>3.3100799999999997</v>
      </c>
      <c r="P225" s="4">
        <v>0</v>
      </c>
      <c r="Q225" s="3" t="s">
        <v>26</v>
      </c>
      <c r="R225" s="3">
        <v>0</v>
      </c>
      <c r="S225" s="3" t="s">
        <v>138</v>
      </c>
      <c r="T225" s="3" t="s">
        <v>385</v>
      </c>
      <c r="U225" s="3">
        <v>0</v>
      </c>
      <c r="V225" s="3">
        <v>11</v>
      </c>
      <c r="W225" s="3">
        <v>52</v>
      </c>
    </row>
    <row r="226" spans="1:23" ht="11.25" customHeight="1" x14ac:dyDescent="0.3">
      <c r="A226" s="3" t="s">
        <v>21</v>
      </c>
      <c r="B226" s="3" t="s">
        <v>39</v>
      </c>
      <c r="C226" s="3" t="s">
        <v>40</v>
      </c>
      <c r="D226" s="3" t="s">
        <v>43</v>
      </c>
      <c r="E226" s="3" t="s">
        <v>25</v>
      </c>
      <c r="F226" s="3" t="s">
        <v>25</v>
      </c>
      <c r="G226" s="3" t="s">
        <v>25</v>
      </c>
      <c r="H226" s="3" t="s">
        <v>35</v>
      </c>
      <c r="I226" s="6">
        <v>44470</v>
      </c>
      <c r="J226" s="4">
        <v>0</v>
      </c>
      <c r="K226" s="4">
        <v>0</v>
      </c>
      <c r="L226" s="4">
        <v>4.165</v>
      </c>
      <c r="M226" s="4">
        <v>3.9983999999999997</v>
      </c>
      <c r="N226" s="4">
        <v>4.165</v>
      </c>
      <c r="O226" s="4">
        <v>3.9983999999999997</v>
      </c>
      <c r="P226" s="4">
        <v>0</v>
      </c>
      <c r="Q226" s="3" t="s">
        <v>26</v>
      </c>
      <c r="R226" s="3">
        <v>0</v>
      </c>
      <c r="S226" s="3" t="s">
        <v>139</v>
      </c>
      <c r="T226" s="3" t="s">
        <v>386</v>
      </c>
      <c r="U226" s="3">
        <v>0</v>
      </c>
      <c r="V226" s="3">
        <v>11</v>
      </c>
      <c r="W226" s="3">
        <v>52</v>
      </c>
    </row>
    <row r="227" spans="1:23" ht="11.25" customHeight="1" x14ac:dyDescent="0.3">
      <c r="A227" s="3" t="s">
        <v>21</v>
      </c>
      <c r="B227" s="3" t="s">
        <v>39</v>
      </c>
      <c r="C227" s="3" t="s">
        <v>40</v>
      </c>
      <c r="D227" s="3" t="s">
        <v>43</v>
      </c>
      <c r="E227" s="3" t="s">
        <v>25</v>
      </c>
      <c r="F227" s="3" t="s">
        <v>25</v>
      </c>
      <c r="G227" s="3" t="s">
        <v>25</v>
      </c>
      <c r="H227" s="3" t="s">
        <v>35</v>
      </c>
      <c r="I227" s="6">
        <v>44501</v>
      </c>
      <c r="J227" s="4">
        <v>0</v>
      </c>
      <c r="K227" s="4">
        <v>0</v>
      </c>
      <c r="L227" s="4">
        <v>2.2269999999999999</v>
      </c>
      <c r="M227" s="4">
        <v>2.1379199999999998</v>
      </c>
      <c r="N227" s="4">
        <v>2.2269999999999999</v>
      </c>
      <c r="O227" s="4">
        <v>2.1379199999999998</v>
      </c>
      <c r="P227" s="4">
        <v>0</v>
      </c>
      <c r="Q227" s="3" t="s">
        <v>26</v>
      </c>
      <c r="R227" s="3">
        <v>0</v>
      </c>
      <c r="S227" s="3" t="s">
        <v>140</v>
      </c>
      <c r="T227" s="3" t="s">
        <v>387</v>
      </c>
      <c r="U227" s="3">
        <v>0</v>
      </c>
      <c r="V227" s="3">
        <v>11</v>
      </c>
      <c r="W227" s="3">
        <v>52</v>
      </c>
    </row>
    <row r="228" spans="1:23" ht="11.25" customHeight="1" x14ac:dyDescent="0.3">
      <c r="A228" s="3" t="s">
        <v>21</v>
      </c>
      <c r="B228" s="3" t="s">
        <v>39</v>
      </c>
      <c r="C228" s="3" t="s">
        <v>40</v>
      </c>
      <c r="D228" s="3" t="s">
        <v>43</v>
      </c>
      <c r="E228" s="3" t="s">
        <v>25</v>
      </c>
      <c r="F228" s="3" t="s">
        <v>25</v>
      </c>
      <c r="G228" s="3" t="s">
        <v>25</v>
      </c>
      <c r="H228" s="3" t="s">
        <v>35</v>
      </c>
      <c r="I228" s="6">
        <v>44531</v>
      </c>
      <c r="J228" s="4">
        <v>0</v>
      </c>
      <c r="K228" s="4">
        <v>0</v>
      </c>
      <c r="L228" s="4">
        <v>0.65800000000000003</v>
      </c>
      <c r="M228" s="4">
        <v>0.63168000000000002</v>
      </c>
      <c r="N228" s="4">
        <v>0.65800000000000003</v>
      </c>
      <c r="O228" s="4">
        <v>0.63168000000000002</v>
      </c>
      <c r="P228" s="4">
        <v>0</v>
      </c>
      <c r="Q228" s="3" t="s">
        <v>26</v>
      </c>
      <c r="R228" s="3">
        <v>0</v>
      </c>
      <c r="S228" s="3" t="s">
        <v>141</v>
      </c>
      <c r="T228" s="3" t="s">
        <v>388</v>
      </c>
      <c r="U228" s="3">
        <v>0</v>
      </c>
      <c r="V228" s="3">
        <v>11</v>
      </c>
      <c r="W228" s="3">
        <v>52</v>
      </c>
    </row>
    <row r="229" spans="1:23" ht="11.25" customHeight="1" x14ac:dyDescent="0.3">
      <c r="A229" s="3" t="s">
        <v>21</v>
      </c>
      <c r="B229" s="3" t="s">
        <v>39</v>
      </c>
      <c r="C229" s="3" t="s">
        <v>40</v>
      </c>
      <c r="D229" s="3" t="s">
        <v>43</v>
      </c>
      <c r="E229" s="3" t="s">
        <v>25</v>
      </c>
      <c r="F229" s="3" t="s">
        <v>25</v>
      </c>
      <c r="G229" s="3" t="s">
        <v>25</v>
      </c>
      <c r="H229" s="3" t="s">
        <v>35</v>
      </c>
      <c r="I229" s="6">
        <v>44562</v>
      </c>
      <c r="J229" s="4">
        <v>0</v>
      </c>
      <c r="K229" s="4">
        <v>0</v>
      </c>
      <c r="L229" s="4">
        <v>0.996</v>
      </c>
      <c r="M229" s="4">
        <v>0.95616000000000001</v>
      </c>
      <c r="N229" s="4">
        <v>0.996</v>
      </c>
      <c r="O229" s="4">
        <v>0.95616000000000001</v>
      </c>
      <c r="P229" s="4">
        <v>0</v>
      </c>
      <c r="Q229" s="3" t="s">
        <v>26</v>
      </c>
      <c r="R229" s="3">
        <v>0</v>
      </c>
      <c r="S229" s="3" t="s">
        <v>142</v>
      </c>
      <c r="T229" s="3" t="s">
        <v>389</v>
      </c>
      <c r="U229" s="3">
        <v>0</v>
      </c>
      <c r="V229" s="3">
        <v>11</v>
      </c>
      <c r="W229" s="3">
        <v>52</v>
      </c>
    </row>
    <row r="230" spans="1:23" ht="11.25" customHeight="1" x14ac:dyDescent="0.3">
      <c r="A230" s="3" t="s">
        <v>21</v>
      </c>
      <c r="B230" s="3" t="s">
        <v>39</v>
      </c>
      <c r="C230" s="3" t="s">
        <v>40</v>
      </c>
      <c r="D230" s="3" t="s">
        <v>43</v>
      </c>
      <c r="E230" s="3" t="s">
        <v>25</v>
      </c>
      <c r="F230" s="3" t="s">
        <v>25</v>
      </c>
      <c r="G230" s="3" t="s">
        <v>25</v>
      </c>
      <c r="H230" s="3" t="s">
        <v>35</v>
      </c>
      <c r="I230" s="6">
        <v>44593</v>
      </c>
      <c r="J230" s="4">
        <v>0</v>
      </c>
      <c r="K230" s="4">
        <v>0</v>
      </c>
      <c r="L230" s="4">
        <v>3.266</v>
      </c>
      <c r="M230" s="4">
        <v>3.1353599999999999</v>
      </c>
      <c r="N230" s="4">
        <v>3.266</v>
      </c>
      <c r="O230" s="4">
        <v>3.1353599999999999</v>
      </c>
      <c r="P230" s="4">
        <v>0</v>
      </c>
      <c r="Q230" s="3" t="s">
        <v>26</v>
      </c>
      <c r="R230" s="3">
        <v>0</v>
      </c>
      <c r="S230" s="3" t="s">
        <v>143</v>
      </c>
      <c r="T230" s="3" t="s">
        <v>390</v>
      </c>
      <c r="U230" s="3">
        <v>0</v>
      </c>
      <c r="V230" s="3">
        <v>11</v>
      </c>
      <c r="W230" s="3">
        <v>52</v>
      </c>
    </row>
    <row r="231" spans="1:23" ht="11.25" customHeight="1" x14ac:dyDescent="0.3">
      <c r="A231" s="3" t="s">
        <v>21</v>
      </c>
      <c r="B231" s="3" t="s">
        <v>39</v>
      </c>
      <c r="C231" s="3" t="s">
        <v>40</v>
      </c>
      <c r="D231" s="3" t="s">
        <v>43</v>
      </c>
      <c r="E231" s="3" t="s">
        <v>25</v>
      </c>
      <c r="F231" s="3" t="s">
        <v>25</v>
      </c>
      <c r="G231" s="3" t="s">
        <v>25</v>
      </c>
      <c r="H231" s="3" t="s">
        <v>35</v>
      </c>
      <c r="I231" s="6">
        <v>44621</v>
      </c>
      <c r="J231" s="4">
        <v>0</v>
      </c>
      <c r="K231" s="4">
        <v>0</v>
      </c>
      <c r="L231" s="4">
        <v>20.085000000000001</v>
      </c>
      <c r="M231" s="4">
        <v>19.281600000000001</v>
      </c>
      <c r="N231" s="4">
        <v>20.085000000000001</v>
      </c>
      <c r="O231" s="4">
        <v>19.281600000000001</v>
      </c>
      <c r="P231" s="4">
        <v>0</v>
      </c>
      <c r="Q231" s="3" t="s">
        <v>26</v>
      </c>
      <c r="R231" s="3">
        <v>0</v>
      </c>
      <c r="S231" s="3" t="s">
        <v>144</v>
      </c>
      <c r="T231" s="3" t="s">
        <v>391</v>
      </c>
      <c r="U231" s="3">
        <v>0</v>
      </c>
      <c r="V231" s="3">
        <v>11</v>
      </c>
      <c r="W231" s="3">
        <v>52</v>
      </c>
    </row>
    <row r="232" spans="1:23" ht="11.25" customHeight="1" x14ac:dyDescent="0.3">
      <c r="A232" s="3" t="s">
        <v>21</v>
      </c>
      <c r="B232" s="3" t="s">
        <v>39</v>
      </c>
      <c r="C232" s="3" t="s">
        <v>40</v>
      </c>
      <c r="D232" s="3" t="s">
        <v>43</v>
      </c>
      <c r="E232" s="3" t="s">
        <v>25</v>
      </c>
      <c r="F232" s="3" t="s">
        <v>25</v>
      </c>
      <c r="G232" s="3" t="s">
        <v>25</v>
      </c>
      <c r="H232" s="3" t="s">
        <v>35</v>
      </c>
      <c r="I232" s="6">
        <v>44652</v>
      </c>
      <c r="J232" s="4">
        <v>0</v>
      </c>
      <c r="K232" s="4">
        <v>0</v>
      </c>
      <c r="L232" s="4">
        <v>24.28</v>
      </c>
      <c r="M232" s="4">
        <v>23.308800000000002</v>
      </c>
      <c r="N232" s="4">
        <v>24.28</v>
      </c>
      <c r="O232" s="4">
        <v>23.308800000000002</v>
      </c>
      <c r="P232" s="4">
        <v>0</v>
      </c>
      <c r="Q232" s="3" t="s">
        <v>26</v>
      </c>
      <c r="R232" s="3">
        <v>0</v>
      </c>
      <c r="S232" s="3" t="s">
        <v>145</v>
      </c>
      <c r="T232" s="3" t="s">
        <v>392</v>
      </c>
      <c r="U232" s="3">
        <v>0</v>
      </c>
      <c r="V232" s="3">
        <v>11</v>
      </c>
      <c r="W232" s="3">
        <v>52</v>
      </c>
    </row>
    <row r="233" spans="1:23" ht="11.25" customHeight="1" x14ac:dyDescent="0.3">
      <c r="A233" s="3" t="s">
        <v>21</v>
      </c>
      <c r="B233" s="3" t="s">
        <v>39</v>
      </c>
      <c r="C233" s="3" t="s">
        <v>40</v>
      </c>
      <c r="D233" s="3" t="s">
        <v>43</v>
      </c>
      <c r="E233" s="3" t="s">
        <v>25</v>
      </c>
      <c r="F233" s="3" t="s">
        <v>25</v>
      </c>
      <c r="G233" s="3" t="s">
        <v>25</v>
      </c>
      <c r="H233" s="3" t="s">
        <v>35</v>
      </c>
      <c r="I233" s="6">
        <v>44682</v>
      </c>
      <c r="J233" s="4">
        <v>0</v>
      </c>
      <c r="K233" s="4">
        <v>0</v>
      </c>
      <c r="L233" s="4">
        <v>12.068</v>
      </c>
      <c r="M233" s="4">
        <v>11.585279999999999</v>
      </c>
      <c r="N233" s="4">
        <v>12.068</v>
      </c>
      <c r="O233" s="4">
        <v>11.585279999999999</v>
      </c>
      <c r="P233" s="4">
        <v>0</v>
      </c>
      <c r="Q233" s="3" t="s">
        <v>26</v>
      </c>
      <c r="R233" s="3">
        <v>0</v>
      </c>
      <c r="S233" s="3" t="s">
        <v>146</v>
      </c>
      <c r="T233" s="3" t="s">
        <v>393</v>
      </c>
      <c r="U233" s="3">
        <v>0</v>
      </c>
      <c r="V233" s="3">
        <v>11</v>
      </c>
      <c r="W233" s="3">
        <v>52</v>
      </c>
    </row>
    <row r="234" spans="1:23" ht="11.25" customHeight="1" x14ac:dyDescent="0.3">
      <c r="A234" s="3" t="s">
        <v>21</v>
      </c>
      <c r="B234" s="3" t="s">
        <v>39</v>
      </c>
      <c r="C234" s="3" t="s">
        <v>40</v>
      </c>
      <c r="D234" s="3" t="s">
        <v>43</v>
      </c>
      <c r="E234" s="3" t="s">
        <v>25</v>
      </c>
      <c r="F234" s="3" t="s">
        <v>25</v>
      </c>
      <c r="G234" s="3" t="s">
        <v>25</v>
      </c>
      <c r="H234" s="3" t="s">
        <v>35</v>
      </c>
      <c r="I234" s="6">
        <v>44713</v>
      </c>
      <c r="J234" s="4">
        <v>0</v>
      </c>
      <c r="K234" s="4">
        <v>0</v>
      </c>
      <c r="L234" s="4">
        <v>9.1359999999999992</v>
      </c>
      <c r="M234" s="4">
        <v>8.7705599999999997</v>
      </c>
      <c r="N234" s="4">
        <v>9.1359999999999992</v>
      </c>
      <c r="O234" s="4">
        <v>8.7705599999999997</v>
      </c>
      <c r="P234" s="4">
        <v>0</v>
      </c>
      <c r="Q234" s="3" t="s">
        <v>26</v>
      </c>
      <c r="R234" s="3">
        <v>0</v>
      </c>
      <c r="S234" s="3" t="s">
        <v>147</v>
      </c>
      <c r="T234" s="3" t="s">
        <v>394</v>
      </c>
      <c r="U234" s="3">
        <v>0</v>
      </c>
      <c r="V234" s="3">
        <v>11</v>
      </c>
      <c r="W234" s="3">
        <v>52</v>
      </c>
    </row>
    <row r="235" spans="1:23" ht="11.25" customHeight="1" x14ac:dyDescent="0.3">
      <c r="A235" s="3" t="s">
        <v>21</v>
      </c>
      <c r="B235" s="3" t="s">
        <v>39</v>
      </c>
      <c r="C235" s="3" t="s">
        <v>40</v>
      </c>
      <c r="D235" s="3" t="s">
        <v>43</v>
      </c>
      <c r="E235" s="3" t="s">
        <v>25</v>
      </c>
      <c r="F235" s="3" t="s">
        <v>25</v>
      </c>
      <c r="G235" s="3" t="s">
        <v>25</v>
      </c>
      <c r="H235" s="3" t="s">
        <v>25</v>
      </c>
      <c r="I235" s="6">
        <v>44378</v>
      </c>
      <c r="J235" s="4">
        <v>150</v>
      </c>
      <c r="K235" s="4">
        <v>144</v>
      </c>
      <c r="L235" s="4">
        <v>0</v>
      </c>
      <c r="M235" s="4">
        <v>0</v>
      </c>
      <c r="N235" s="4">
        <v>0</v>
      </c>
      <c r="O235" s="4">
        <v>0</v>
      </c>
      <c r="P235" s="4">
        <v>2</v>
      </c>
      <c r="Q235" s="3" t="s">
        <v>26</v>
      </c>
      <c r="R235" s="3">
        <v>0</v>
      </c>
      <c r="S235" s="3" t="s">
        <v>148</v>
      </c>
      <c r="U235" s="3">
        <v>9</v>
      </c>
      <c r="V235" s="3">
        <v>0</v>
      </c>
      <c r="W235" s="3">
        <v>0</v>
      </c>
    </row>
    <row r="236" spans="1:23" ht="11.25" customHeight="1" x14ac:dyDescent="0.3">
      <c r="A236" s="3" t="s">
        <v>21</v>
      </c>
      <c r="B236" s="3" t="s">
        <v>39</v>
      </c>
      <c r="C236" s="3" t="s">
        <v>40</v>
      </c>
      <c r="D236" s="3" t="s">
        <v>43</v>
      </c>
      <c r="E236" s="3" t="s">
        <v>25</v>
      </c>
      <c r="F236" s="3" t="s">
        <v>25</v>
      </c>
      <c r="G236" s="3" t="s">
        <v>25</v>
      </c>
      <c r="H236" s="3" t="s">
        <v>25</v>
      </c>
      <c r="I236" s="6">
        <v>44409</v>
      </c>
      <c r="J236" s="4">
        <v>91</v>
      </c>
      <c r="K236" s="4">
        <v>87.36</v>
      </c>
      <c r="L236" s="4">
        <v>0</v>
      </c>
      <c r="M236" s="4">
        <v>0</v>
      </c>
      <c r="N236" s="4">
        <v>0</v>
      </c>
      <c r="O236" s="4">
        <v>0</v>
      </c>
      <c r="P236" s="4">
        <v>2</v>
      </c>
      <c r="Q236" s="3" t="s">
        <v>26</v>
      </c>
      <c r="R236" s="3">
        <v>0</v>
      </c>
      <c r="S236" s="3" t="s">
        <v>149</v>
      </c>
      <c r="U236" s="3">
        <v>9</v>
      </c>
      <c r="V236" s="3">
        <v>0</v>
      </c>
      <c r="W236" s="3">
        <v>0</v>
      </c>
    </row>
    <row r="237" spans="1:23" ht="11.25" customHeight="1" x14ac:dyDescent="0.3">
      <c r="A237" s="3" t="s">
        <v>21</v>
      </c>
      <c r="B237" s="3" t="s">
        <v>39</v>
      </c>
      <c r="C237" s="3" t="s">
        <v>40</v>
      </c>
      <c r="D237" s="3" t="s">
        <v>43</v>
      </c>
      <c r="E237" s="3" t="s">
        <v>25</v>
      </c>
      <c r="F237" s="3" t="s">
        <v>25</v>
      </c>
      <c r="G237" s="3" t="s">
        <v>25</v>
      </c>
      <c r="H237" s="3" t="s">
        <v>25</v>
      </c>
      <c r="I237" s="6">
        <v>44440</v>
      </c>
      <c r="J237" s="4">
        <v>84</v>
      </c>
      <c r="K237" s="4">
        <v>80.64</v>
      </c>
      <c r="L237" s="4">
        <v>0</v>
      </c>
      <c r="M237" s="4">
        <v>0</v>
      </c>
      <c r="N237" s="4">
        <v>0</v>
      </c>
      <c r="O237" s="4">
        <v>0</v>
      </c>
      <c r="P237" s="4">
        <v>2</v>
      </c>
      <c r="Q237" s="3" t="s">
        <v>26</v>
      </c>
      <c r="R237" s="3">
        <v>0</v>
      </c>
      <c r="S237" s="3" t="s">
        <v>150</v>
      </c>
      <c r="U237" s="3">
        <v>9</v>
      </c>
      <c r="V237" s="3">
        <v>0</v>
      </c>
      <c r="W237" s="3">
        <v>0</v>
      </c>
    </row>
    <row r="238" spans="1:23" ht="11.25" customHeight="1" x14ac:dyDescent="0.3">
      <c r="A238" s="3" t="s">
        <v>21</v>
      </c>
      <c r="B238" s="3" t="s">
        <v>39</v>
      </c>
      <c r="C238" s="3" t="s">
        <v>40</v>
      </c>
      <c r="D238" s="3" t="s">
        <v>43</v>
      </c>
      <c r="E238" s="3" t="s">
        <v>25</v>
      </c>
      <c r="F238" s="3" t="s">
        <v>25</v>
      </c>
      <c r="G238" s="3" t="s">
        <v>25</v>
      </c>
      <c r="H238" s="3" t="s">
        <v>25</v>
      </c>
      <c r="I238" s="6">
        <v>44470</v>
      </c>
      <c r="J238" s="4">
        <v>83</v>
      </c>
      <c r="K238" s="4">
        <v>79.679999999999993</v>
      </c>
      <c r="L238" s="4">
        <v>0</v>
      </c>
      <c r="M238" s="4">
        <v>0</v>
      </c>
      <c r="N238" s="4">
        <v>0</v>
      </c>
      <c r="O238" s="4">
        <v>0</v>
      </c>
      <c r="P238" s="4">
        <v>2</v>
      </c>
      <c r="Q238" s="3" t="s">
        <v>26</v>
      </c>
      <c r="R238" s="3">
        <v>0</v>
      </c>
      <c r="S238" s="3" t="s">
        <v>151</v>
      </c>
      <c r="U238" s="3">
        <v>9</v>
      </c>
      <c r="V238" s="3">
        <v>0</v>
      </c>
      <c r="W238" s="3">
        <v>0</v>
      </c>
    </row>
    <row r="239" spans="1:23" ht="11.25" customHeight="1" x14ac:dyDescent="0.3">
      <c r="A239" s="3" t="s">
        <v>21</v>
      </c>
      <c r="B239" s="3" t="s">
        <v>39</v>
      </c>
      <c r="C239" s="3" t="s">
        <v>40</v>
      </c>
      <c r="D239" s="3" t="s">
        <v>43</v>
      </c>
      <c r="E239" s="3" t="s">
        <v>25</v>
      </c>
      <c r="F239" s="3" t="s">
        <v>25</v>
      </c>
      <c r="G239" s="3" t="s">
        <v>25</v>
      </c>
      <c r="H239" s="3" t="s">
        <v>25</v>
      </c>
      <c r="I239" s="6">
        <v>44501</v>
      </c>
      <c r="J239" s="4">
        <v>89</v>
      </c>
      <c r="K239" s="4">
        <v>85.44</v>
      </c>
      <c r="L239" s="4">
        <v>0</v>
      </c>
      <c r="M239" s="4">
        <v>0</v>
      </c>
      <c r="N239" s="4">
        <v>0</v>
      </c>
      <c r="O239" s="4">
        <v>0</v>
      </c>
      <c r="P239" s="4">
        <v>2</v>
      </c>
      <c r="Q239" s="3" t="s">
        <v>26</v>
      </c>
      <c r="R239" s="3">
        <v>0</v>
      </c>
      <c r="S239" s="3" t="s">
        <v>152</v>
      </c>
      <c r="U239" s="3">
        <v>9</v>
      </c>
      <c r="V239" s="3">
        <v>0</v>
      </c>
      <c r="W239" s="3">
        <v>0</v>
      </c>
    </row>
    <row r="240" spans="1:23" ht="11.25" customHeight="1" x14ac:dyDescent="0.3">
      <c r="A240" s="3" t="s">
        <v>21</v>
      </c>
      <c r="B240" s="3" t="s">
        <v>39</v>
      </c>
      <c r="C240" s="3" t="s">
        <v>40</v>
      </c>
      <c r="D240" s="3" t="s">
        <v>43</v>
      </c>
      <c r="E240" s="3" t="s">
        <v>25</v>
      </c>
      <c r="F240" s="3" t="s">
        <v>25</v>
      </c>
      <c r="G240" s="3" t="s">
        <v>25</v>
      </c>
      <c r="H240" s="3" t="s">
        <v>25</v>
      </c>
      <c r="I240" s="6">
        <v>44531</v>
      </c>
      <c r="J240" s="4">
        <v>44</v>
      </c>
      <c r="K240" s="4">
        <v>42.239999999999995</v>
      </c>
      <c r="L240" s="4">
        <v>0</v>
      </c>
      <c r="M240" s="4">
        <v>0</v>
      </c>
      <c r="N240" s="4">
        <v>0</v>
      </c>
      <c r="O240" s="4">
        <v>0</v>
      </c>
      <c r="P240" s="4">
        <v>2</v>
      </c>
      <c r="Q240" s="3" t="s">
        <v>26</v>
      </c>
      <c r="R240" s="3">
        <v>0</v>
      </c>
      <c r="S240" s="3" t="s">
        <v>153</v>
      </c>
      <c r="U240" s="3">
        <v>9</v>
      </c>
      <c r="V240" s="3">
        <v>0</v>
      </c>
      <c r="W240" s="3">
        <v>0</v>
      </c>
    </row>
    <row r="241" spans="1:23" ht="11.25" customHeight="1" x14ac:dyDescent="0.3">
      <c r="A241" s="3" t="s">
        <v>21</v>
      </c>
      <c r="B241" s="3" t="s">
        <v>39</v>
      </c>
      <c r="C241" s="3" t="s">
        <v>40</v>
      </c>
      <c r="D241" s="3" t="s">
        <v>43</v>
      </c>
      <c r="E241" s="3" t="s">
        <v>25</v>
      </c>
      <c r="F241" s="3" t="s">
        <v>25</v>
      </c>
      <c r="G241" s="3" t="s">
        <v>25</v>
      </c>
      <c r="H241" s="3" t="s">
        <v>25</v>
      </c>
      <c r="I241" s="6">
        <v>44562</v>
      </c>
      <c r="J241" s="4">
        <v>46</v>
      </c>
      <c r="K241" s="4">
        <v>44.16</v>
      </c>
      <c r="L241" s="4">
        <v>0</v>
      </c>
      <c r="M241" s="4">
        <v>0</v>
      </c>
      <c r="N241" s="4">
        <v>0</v>
      </c>
      <c r="O241" s="4">
        <v>0</v>
      </c>
      <c r="P241" s="4">
        <v>2</v>
      </c>
      <c r="Q241" s="3" t="s">
        <v>26</v>
      </c>
      <c r="R241" s="3">
        <v>0</v>
      </c>
      <c r="S241" s="3" t="s">
        <v>154</v>
      </c>
      <c r="U241" s="3">
        <v>9</v>
      </c>
      <c r="V241" s="3">
        <v>0</v>
      </c>
      <c r="W241" s="3">
        <v>0</v>
      </c>
    </row>
    <row r="242" spans="1:23" ht="11.25" customHeight="1" x14ac:dyDescent="0.3">
      <c r="A242" s="3" t="s">
        <v>21</v>
      </c>
      <c r="B242" s="3" t="s">
        <v>39</v>
      </c>
      <c r="C242" s="3" t="s">
        <v>40</v>
      </c>
      <c r="D242" s="3" t="s">
        <v>43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44593</v>
      </c>
      <c r="J242" s="4">
        <v>57</v>
      </c>
      <c r="K242" s="4">
        <v>54.72</v>
      </c>
      <c r="L242" s="4">
        <v>0</v>
      </c>
      <c r="M242" s="4">
        <v>0</v>
      </c>
      <c r="N242" s="4">
        <v>0</v>
      </c>
      <c r="O242" s="4">
        <v>0</v>
      </c>
      <c r="P242" s="4">
        <v>2</v>
      </c>
      <c r="Q242" s="3" t="s">
        <v>26</v>
      </c>
      <c r="R242" s="3">
        <v>0</v>
      </c>
      <c r="S242" s="3" t="s">
        <v>155</v>
      </c>
      <c r="U242" s="3">
        <v>9</v>
      </c>
      <c r="V242" s="3">
        <v>0</v>
      </c>
      <c r="W242" s="3">
        <v>0</v>
      </c>
    </row>
    <row r="243" spans="1:23" ht="11.25" customHeight="1" x14ac:dyDescent="0.3">
      <c r="A243" s="3" t="s">
        <v>21</v>
      </c>
      <c r="B243" s="3" t="s">
        <v>39</v>
      </c>
      <c r="C243" s="3" t="s">
        <v>40</v>
      </c>
      <c r="D243" s="3" t="s">
        <v>43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44621</v>
      </c>
      <c r="J243" s="4">
        <v>117</v>
      </c>
      <c r="K243" s="4">
        <v>112.32</v>
      </c>
      <c r="L243" s="4">
        <v>0</v>
      </c>
      <c r="M243" s="4">
        <v>0</v>
      </c>
      <c r="N243" s="4">
        <v>0</v>
      </c>
      <c r="O243" s="4">
        <v>0</v>
      </c>
      <c r="P243" s="4">
        <v>2</v>
      </c>
      <c r="Q243" s="3" t="s">
        <v>26</v>
      </c>
      <c r="R243" s="3">
        <v>0</v>
      </c>
      <c r="S243" s="3" t="s">
        <v>156</v>
      </c>
      <c r="U243" s="3">
        <v>9</v>
      </c>
      <c r="V243" s="3">
        <v>0</v>
      </c>
      <c r="W243" s="3">
        <v>0</v>
      </c>
    </row>
    <row r="244" spans="1:23" ht="11.25" customHeight="1" x14ac:dyDescent="0.3">
      <c r="A244" s="3" t="s">
        <v>21</v>
      </c>
      <c r="B244" s="3" t="s">
        <v>39</v>
      </c>
      <c r="C244" s="3" t="s">
        <v>40</v>
      </c>
      <c r="D244" s="3" t="s">
        <v>43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44652</v>
      </c>
      <c r="J244" s="4">
        <v>156</v>
      </c>
      <c r="K244" s="4">
        <v>149.76</v>
      </c>
      <c r="L244" s="4">
        <v>0</v>
      </c>
      <c r="M244" s="4">
        <v>0</v>
      </c>
      <c r="N244" s="4">
        <v>0</v>
      </c>
      <c r="O244" s="4">
        <v>0</v>
      </c>
      <c r="P244" s="4">
        <v>2</v>
      </c>
      <c r="Q244" s="3" t="s">
        <v>26</v>
      </c>
      <c r="R244" s="3">
        <v>0</v>
      </c>
      <c r="S244" s="3" t="s">
        <v>157</v>
      </c>
      <c r="U244" s="3">
        <v>9</v>
      </c>
      <c r="V244" s="3">
        <v>0</v>
      </c>
      <c r="W244" s="3">
        <v>0</v>
      </c>
    </row>
    <row r="245" spans="1:23" ht="11.25" customHeight="1" x14ac:dyDescent="0.3">
      <c r="A245" s="3" t="s">
        <v>21</v>
      </c>
      <c r="B245" s="3" t="s">
        <v>39</v>
      </c>
      <c r="C245" s="3" t="s">
        <v>40</v>
      </c>
      <c r="D245" s="3" t="s">
        <v>43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44682</v>
      </c>
      <c r="J245" s="4">
        <v>120</v>
      </c>
      <c r="K245" s="4">
        <v>115.19999999999999</v>
      </c>
      <c r="L245" s="4">
        <v>0</v>
      </c>
      <c r="M245" s="4">
        <v>0</v>
      </c>
      <c r="N245" s="4">
        <v>0</v>
      </c>
      <c r="O245" s="4">
        <v>0</v>
      </c>
      <c r="P245" s="4">
        <v>2</v>
      </c>
      <c r="Q245" s="3" t="s">
        <v>26</v>
      </c>
      <c r="R245" s="3">
        <v>0</v>
      </c>
      <c r="S245" s="3" t="s">
        <v>158</v>
      </c>
      <c r="U245" s="3">
        <v>9</v>
      </c>
      <c r="V245" s="3">
        <v>0</v>
      </c>
      <c r="W245" s="3">
        <v>0</v>
      </c>
    </row>
    <row r="246" spans="1:23" ht="11.25" customHeight="1" x14ac:dyDescent="0.3">
      <c r="A246" s="3" t="s">
        <v>21</v>
      </c>
      <c r="B246" s="3" t="s">
        <v>39</v>
      </c>
      <c r="C246" s="3" t="s">
        <v>40</v>
      </c>
      <c r="D246" s="3" t="s">
        <v>43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44713</v>
      </c>
      <c r="J246" s="4">
        <v>98</v>
      </c>
      <c r="K246" s="4">
        <v>94.08</v>
      </c>
      <c r="L246" s="4">
        <v>0</v>
      </c>
      <c r="M246" s="4">
        <v>0</v>
      </c>
      <c r="N246" s="4">
        <v>0</v>
      </c>
      <c r="O246" s="4">
        <v>0</v>
      </c>
      <c r="P246" s="4">
        <v>2</v>
      </c>
      <c r="Q246" s="3" t="s">
        <v>26</v>
      </c>
      <c r="R246" s="3">
        <v>0</v>
      </c>
      <c r="S246" s="3" t="s">
        <v>159</v>
      </c>
      <c r="U246" s="3">
        <v>9</v>
      </c>
      <c r="V246" s="3">
        <v>0</v>
      </c>
      <c r="W246" s="3">
        <v>0</v>
      </c>
    </row>
    <row r="247" spans="1:23" ht="11.25" customHeight="1" x14ac:dyDescent="0.3">
      <c r="A247" s="3" t="s">
        <v>21</v>
      </c>
      <c r="B247" s="3" t="s">
        <v>39</v>
      </c>
      <c r="C247" s="3" t="s">
        <v>40</v>
      </c>
      <c r="D247" s="3" t="s">
        <v>43</v>
      </c>
      <c r="E247" s="3" t="s">
        <v>25</v>
      </c>
      <c r="F247" s="3" t="s">
        <v>25</v>
      </c>
      <c r="G247" s="3" t="s">
        <v>25</v>
      </c>
      <c r="H247" s="3" t="s">
        <v>34</v>
      </c>
      <c r="I247" s="6">
        <v>44378</v>
      </c>
      <c r="J247" s="4">
        <v>0</v>
      </c>
      <c r="K247" s="4">
        <v>0</v>
      </c>
      <c r="L247" s="4">
        <v>0.56100000000000005</v>
      </c>
      <c r="M247" s="4">
        <v>0.53856000000000004</v>
      </c>
      <c r="N247" s="4">
        <v>0.56100000000000005</v>
      </c>
      <c r="O247" s="4">
        <v>0.53856000000000004</v>
      </c>
      <c r="P247" s="4">
        <v>0</v>
      </c>
      <c r="Q247" s="3" t="s">
        <v>26</v>
      </c>
      <c r="R247" s="3">
        <v>0</v>
      </c>
      <c r="S247" s="3" t="s">
        <v>160</v>
      </c>
      <c r="T247" s="3" t="s">
        <v>399</v>
      </c>
      <c r="U247" s="3">
        <v>0</v>
      </c>
      <c r="V247" s="3">
        <v>10</v>
      </c>
      <c r="W247" s="3">
        <v>51</v>
      </c>
    </row>
    <row r="248" spans="1:23" ht="11.25" customHeight="1" x14ac:dyDescent="0.3">
      <c r="A248" s="3" t="s">
        <v>21</v>
      </c>
      <c r="B248" s="3" t="s">
        <v>39</v>
      </c>
      <c r="C248" s="3" t="s">
        <v>40</v>
      </c>
      <c r="D248" s="3" t="s">
        <v>43</v>
      </c>
      <c r="E248" s="3" t="s">
        <v>25</v>
      </c>
      <c r="F248" s="3" t="s">
        <v>25</v>
      </c>
      <c r="G248" s="3" t="s">
        <v>25</v>
      </c>
      <c r="H248" s="3" t="s">
        <v>34</v>
      </c>
      <c r="I248" s="6">
        <v>44409</v>
      </c>
      <c r="J248" s="4">
        <v>0</v>
      </c>
      <c r="K248" s="4">
        <v>0</v>
      </c>
      <c r="L248" s="4">
        <v>0.27</v>
      </c>
      <c r="M248" s="4">
        <v>0.25919999999999999</v>
      </c>
      <c r="N248" s="4">
        <v>0.27</v>
      </c>
      <c r="O248" s="4">
        <v>0.25919999999999999</v>
      </c>
      <c r="P248" s="4">
        <v>0</v>
      </c>
      <c r="Q248" s="3" t="s">
        <v>26</v>
      </c>
      <c r="R248" s="3">
        <v>0</v>
      </c>
      <c r="S248" s="3" t="s">
        <v>161</v>
      </c>
      <c r="T248" s="3" t="s">
        <v>400</v>
      </c>
      <c r="U248" s="3">
        <v>0</v>
      </c>
      <c r="V248" s="3">
        <v>10</v>
      </c>
      <c r="W248" s="3">
        <v>51</v>
      </c>
    </row>
    <row r="249" spans="1:23" ht="11.25" customHeight="1" x14ac:dyDescent="0.3">
      <c r="A249" s="3" t="s">
        <v>21</v>
      </c>
      <c r="B249" s="3" t="s">
        <v>39</v>
      </c>
      <c r="C249" s="3" t="s">
        <v>40</v>
      </c>
      <c r="D249" s="3" t="s">
        <v>43</v>
      </c>
      <c r="E249" s="3" t="s">
        <v>25</v>
      </c>
      <c r="F249" s="3" t="s">
        <v>25</v>
      </c>
      <c r="G249" s="3" t="s">
        <v>25</v>
      </c>
      <c r="H249" s="3" t="s">
        <v>34</v>
      </c>
      <c r="I249" s="6">
        <v>44440</v>
      </c>
      <c r="J249" s="4">
        <v>0</v>
      </c>
      <c r="K249" s="4">
        <v>0</v>
      </c>
      <c r="L249" s="4">
        <v>0.59899999999999998</v>
      </c>
      <c r="M249" s="4">
        <v>0.57504</v>
      </c>
      <c r="N249" s="4">
        <v>0.59899999999999998</v>
      </c>
      <c r="O249" s="4">
        <v>0.57504</v>
      </c>
      <c r="P249" s="4">
        <v>0</v>
      </c>
      <c r="Q249" s="3" t="s">
        <v>26</v>
      </c>
      <c r="R249" s="3">
        <v>0</v>
      </c>
      <c r="S249" s="3" t="s">
        <v>162</v>
      </c>
      <c r="T249" s="3" t="s">
        <v>401</v>
      </c>
      <c r="U249" s="3">
        <v>0</v>
      </c>
      <c r="V249" s="3">
        <v>10</v>
      </c>
      <c r="W249" s="3">
        <v>51</v>
      </c>
    </row>
    <row r="250" spans="1:23" ht="11.25" customHeight="1" x14ac:dyDescent="0.3">
      <c r="A250" s="3" t="s">
        <v>21</v>
      </c>
      <c r="B250" s="3" t="s">
        <v>39</v>
      </c>
      <c r="C250" s="3" t="s">
        <v>40</v>
      </c>
      <c r="D250" s="3" t="s">
        <v>43</v>
      </c>
      <c r="E250" s="3" t="s">
        <v>25</v>
      </c>
      <c r="F250" s="3" t="s">
        <v>25</v>
      </c>
      <c r="G250" s="3" t="s">
        <v>25</v>
      </c>
      <c r="H250" s="3" t="s">
        <v>34</v>
      </c>
      <c r="I250" s="6">
        <v>44470</v>
      </c>
      <c r="J250" s="4">
        <v>0</v>
      </c>
      <c r="K250" s="4">
        <v>0</v>
      </c>
      <c r="L250" s="4">
        <v>1.0640000000000001</v>
      </c>
      <c r="M250" s="4">
        <v>1.0214400000000001</v>
      </c>
      <c r="N250" s="4">
        <v>1.0640000000000001</v>
      </c>
      <c r="O250" s="4">
        <v>1.0214400000000001</v>
      </c>
      <c r="P250" s="4">
        <v>0</v>
      </c>
      <c r="Q250" s="3" t="s">
        <v>26</v>
      </c>
      <c r="R250" s="3">
        <v>0</v>
      </c>
      <c r="S250" s="3" t="s">
        <v>163</v>
      </c>
      <c r="T250" s="3" t="s">
        <v>402</v>
      </c>
      <c r="U250" s="3">
        <v>0</v>
      </c>
      <c r="V250" s="3">
        <v>10</v>
      </c>
      <c r="W250" s="3">
        <v>51</v>
      </c>
    </row>
    <row r="251" spans="1:23" ht="11.25" customHeight="1" x14ac:dyDescent="0.3">
      <c r="A251" s="3" t="s">
        <v>21</v>
      </c>
      <c r="B251" s="3" t="s">
        <v>39</v>
      </c>
      <c r="C251" s="3" t="s">
        <v>40</v>
      </c>
      <c r="D251" s="3" t="s">
        <v>43</v>
      </c>
      <c r="E251" s="3" t="s">
        <v>25</v>
      </c>
      <c r="F251" s="3" t="s">
        <v>25</v>
      </c>
      <c r="G251" s="3" t="s">
        <v>25</v>
      </c>
      <c r="H251" s="3" t="s">
        <v>34</v>
      </c>
      <c r="I251" s="6">
        <v>44501</v>
      </c>
      <c r="J251" s="4">
        <v>0</v>
      </c>
      <c r="K251" s="4">
        <v>0</v>
      </c>
      <c r="L251" s="4">
        <v>6.4000000000000001E-2</v>
      </c>
      <c r="M251" s="4">
        <v>6.1440000000000002E-2</v>
      </c>
      <c r="N251" s="4">
        <v>6.4000000000000001E-2</v>
      </c>
      <c r="O251" s="4">
        <v>6.1440000000000002E-2</v>
      </c>
      <c r="P251" s="4">
        <v>0</v>
      </c>
      <c r="Q251" s="3" t="s">
        <v>26</v>
      </c>
      <c r="R251" s="3">
        <v>0</v>
      </c>
      <c r="S251" s="3" t="s">
        <v>164</v>
      </c>
      <c r="T251" s="3" t="s">
        <v>403</v>
      </c>
      <c r="U251" s="3">
        <v>0</v>
      </c>
      <c r="V251" s="3">
        <v>10</v>
      </c>
      <c r="W251" s="3">
        <v>51</v>
      </c>
    </row>
    <row r="252" spans="1:23" ht="11.25" customHeight="1" x14ac:dyDescent="0.3">
      <c r="A252" s="3" t="s">
        <v>21</v>
      </c>
      <c r="B252" s="3" t="s">
        <v>39</v>
      </c>
      <c r="C252" s="3" t="s">
        <v>40</v>
      </c>
      <c r="D252" s="3" t="s">
        <v>43</v>
      </c>
      <c r="E252" s="3" t="s">
        <v>25</v>
      </c>
      <c r="F252" s="3" t="s">
        <v>25</v>
      </c>
      <c r="G252" s="3" t="s">
        <v>25</v>
      </c>
      <c r="H252" s="3" t="s">
        <v>34</v>
      </c>
      <c r="I252" s="6">
        <v>44531</v>
      </c>
      <c r="J252" s="4">
        <v>0</v>
      </c>
      <c r="K252" s="4">
        <v>0</v>
      </c>
      <c r="L252" s="4">
        <v>6.5000000000000002E-2</v>
      </c>
      <c r="M252" s="4">
        <v>6.2399999999999997E-2</v>
      </c>
      <c r="N252" s="4">
        <v>6.5000000000000002E-2</v>
      </c>
      <c r="O252" s="4">
        <v>6.2399999999999997E-2</v>
      </c>
      <c r="P252" s="4">
        <v>0</v>
      </c>
      <c r="Q252" s="3" t="s">
        <v>26</v>
      </c>
      <c r="R252" s="3">
        <v>0</v>
      </c>
      <c r="S252" s="3" t="s">
        <v>165</v>
      </c>
      <c r="T252" s="3" t="s">
        <v>404</v>
      </c>
      <c r="U252" s="3">
        <v>0</v>
      </c>
      <c r="V252" s="3">
        <v>10</v>
      </c>
      <c r="W252" s="3">
        <v>51</v>
      </c>
    </row>
    <row r="253" spans="1:23" ht="11.25" customHeight="1" x14ac:dyDescent="0.3">
      <c r="A253" s="3" t="s">
        <v>21</v>
      </c>
      <c r="B253" s="3" t="s">
        <v>39</v>
      </c>
      <c r="C253" s="3" t="s">
        <v>40</v>
      </c>
      <c r="D253" s="3" t="s">
        <v>43</v>
      </c>
      <c r="E253" s="3" t="s">
        <v>25</v>
      </c>
      <c r="F253" s="3" t="s">
        <v>25</v>
      </c>
      <c r="G253" s="3" t="s">
        <v>25</v>
      </c>
      <c r="H253" s="3" t="s">
        <v>34</v>
      </c>
      <c r="I253" s="6">
        <v>44562</v>
      </c>
      <c r="J253" s="4">
        <v>0</v>
      </c>
      <c r="K253" s="4">
        <v>0</v>
      </c>
      <c r="L253" s="4">
        <v>7.1999999999999995E-2</v>
      </c>
      <c r="M253" s="4">
        <v>6.9119999999999987E-2</v>
      </c>
      <c r="N253" s="4">
        <v>7.1999999999999995E-2</v>
      </c>
      <c r="O253" s="4">
        <v>6.9119999999999987E-2</v>
      </c>
      <c r="P253" s="4">
        <v>0</v>
      </c>
      <c r="Q253" s="3" t="s">
        <v>26</v>
      </c>
      <c r="R253" s="3">
        <v>0</v>
      </c>
      <c r="S253" s="3" t="s">
        <v>166</v>
      </c>
      <c r="T253" s="3" t="s">
        <v>405</v>
      </c>
      <c r="U253" s="3">
        <v>0</v>
      </c>
      <c r="V253" s="3">
        <v>10</v>
      </c>
      <c r="W253" s="3">
        <v>51</v>
      </c>
    </row>
    <row r="254" spans="1:23" ht="11.25" customHeight="1" x14ac:dyDescent="0.3">
      <c r="A254" s="3" t="s">
        <v>21</v>
      </c>
      <c r="B254" s="3" t="s">
        <v>39</v>
      </c>
      <c r="C254" s="3" t="s">
        <v>40</v>
      </c>
      <c r="D254" s="3" t="s">
        <v>43</v>
      </c>
      <c r="E254" s="3" t="s">
        <v>25</v>
      </c>
      <c r="F254" s="3" t="s">
        <v>25</v>
      </c>
      <c r="G254" s="3" t="s">
        <v>25</v>
      </c>
      <c r="H254" s="3" t="s">
        <v>34</v>
      </c>
      <c r="I254" s="6">
        <v>44593</v>
      </c>
      <c r="J254" s="4">
        <v>0</v>
      </c>
      <c r="K254" s="4">
        <v>0</v>
      </c>
      <c r="L254" s="4">
        <v>0.27100000000000002</v>
      </c>
      <c r="M254" s="4">
        <v>0.26016</v>
      </c>
      <c r="N254" s="4">
        <v>0.27100000000000002</v>
      </c>
      <c r="O254" s="4">
        <v>0.26016</v>
      </c>
      <c r="P254" s="4">
        <v>0</v>
      </c>
      <c r="Q254" s="3" t="s">
        <v>26</v>
      </c>
      <c r="R254" s="3">
        <v>0</v>
      </c>
      <c r="S254" s="3" t="s">
        <v>167</v>
      </c>
      <c r="T254" s="3" t="s">
        <v>406</v>
      </c>
      <c r="U254" s="3">
        <v>0</v>
      </c>
      <c r="V254" s="3">
        <v>10</v>
      </c>
      <c r="W254" s="3">
        <v>51</v>
      </c>
    </row>
    <row r="255" spans="1:23" ht="11.25" customHeight="1" x14ac:dyDescent="0.3">
      <c r="A255" s="3" t="s">
        <v>21</v>
      </c>
      <c r="B255" s="3" t="s">
        <v>39</v>
      </c>
      <c r="C255" s="3" t="s">
        <v>40</v>
      </c>
      <c r="D255" s="3" t="s">
        <v>43</v>
      </c>
      <c r="E255" s="3" t="s">
        <v>25</v>
      </c>
      <c r="F255" s="3" t="s">
        <v>25</v>
      </c>
      <c r="G255" s="3" t="s">
        <v>25</v>
      </c>
      <c r="H255" s="3" t="s">
        <v>34</v>
      </c>
      <c r="I255" s="6">
        <v>44621</v>
      </c>
      <c r="J255" s="4">
        <v>0</v>
      </c>
      <c r="K255" s="4">
        <v>0</v>
      </c>
      <c r="L255" s="4">
        <v>2.4649999999999999</v>
      </c>
      <c r="M255" s="4">
        <v>2.3663999999999996</v>
      </c>
      <c r="N255" s="4">
        <v>2.4649999999999999</v>
      </c>
      <c r="O255" s="4">
        <v>2.3663999999999996</v>
      </c>
      <c r="P255" s="4">
        <v>0</v>
      </c>
      <c r="Q255" s="3" t="s">
        <v>26</v>
      </c>
      <c r="R255" s="3">
        <v>0</v>
      </c>
      <c r="S255" s="3" t="s">
        <v>168</v>
      </c>
      <c r="T255" s="3" t="s">
        <v>407</v>
      </c>
      <c r="U255" s="3">
        <v>0</v>
      </c>
      <c r="V255" s="3">
        <v>10</v>
      </c>
      <c r="W255" s="3">
        <v>51</v>
      </c>
    </row>
    <row r="256" spans="1:23" ht="11.25" customHeight="1" x14ac:dyDescent="0.3">
      <c r="A256" s="3" t="s">
        <v>21</v>
      </c>
      <c r="B256" s="3" t="s">
        <v>39</v>
      </c>
      <c r="C256" s="3" t="s">
        <v>40</v>
      </c>
      <c r="D256" s="3" t="s">
        <v>43</v>
      </c>
      <c r="E256" s="3" t="s">
        <v>25</v>
      </c>
      <c r="F256" s="3" t="s">
        <v>25</v>
      </c>
      <c r="G256" s="3" t="s">
        <v>25</v>
      </c>
      <c r="H256" s="3" t="s">
        <v>34</v>
      </c>
      <c r="I256" s="6">
        <v>44652</v>
      </c>
      <c r="J256" s="4">
        <v>0</v>
      </c>
      <c r="K256" s="4">
        <v>0</v>
      </c>
      <c r="L256" s="4">
        <v>2.4</v>
      </c>
      <c r="M256" s="4">
        <v>2.3039999999999998</v>
      </c>
      <c r="N256" s="4">
        <v>2.4</v>
      </c>
      <c r="O256" s="4">
        <v>2.3039999999999998</v>
      </c>
      <c r="P256" s="4">
        <v>0</v>
      </c>
      <c r="Q256" s="3" t="s">
        <v>26</v>
      </c>
      <c r="R256" s="3">
        <v>0</v>
      </c>
      <c r="S256" s="3" t="s">
        <v>169</v>
      </c>
      <c r="T256" s="3" t="s">
        <v>408</v>
      </c>
      <c r="U256" s="3">
        <v>0</v>
      </c>
      <c r="V256" s="3">
        <v>10</v>
      </c>
      <c r="W256" s="3">
        <v>51</v>
      </c>
    </row>
    <row r="257" spans="1:23" ht="11.25" customHeight="1" x14ac:dyDescent="0.3">
      <c r="A257" s="3" t="s">
        <v>21</v>
      </c>
      <c r="B257" s="3" t="s">
        <v>39</v>
      </c>
      <c r="C257" s="3" t="s">
        <v>40</v>
      </c>
      <c r="D257" s="3" t="s">
        <v>43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44682</v>
      </c>
      <c r="J257" s="4">
        <v>0</v>
      </c>
      <c r="K257" s="4">
        <v>0</v>
      </c>
      <c r="L257" s="4">
        <v>1.9390000000000001</v>
      </c>
      <c r="M257" s="4">
        <v>1.86144</v>
      </c>
      <c r="N257" s="4">
        <v>1.9390000000000001</v>
      </c>
      <c r="O257" s="4">
        <v>1.86144</v>
      </c>
      <c r="P257" s="4">
        <v>0</v>
      </c>
      <c r="Q257" s="3" t="s">
        <v>26</v>
      </c>
      <c r="R257" s="3">
        <v>0</v>
      </c>
      <c r="S257" s="3" t="s">
        <v>170</v>
      </c>
      <c r="T257" s="3" t="s">
        <v>409</v>
      </c>
      <c r="U257" s="3">
        <v>0</v>
      </c>
      <c r="V257" s="3">
        <v>10</v>
      </c>
      <c r="W257" s="3">
        <v>51</v>
      </c>
    </row>
    <row r="258" spans="1:23" ht="11.25" customHeight="1" x14ac:dyDescent="0.3">
      <c r="A258" s="3" t="s">
        <v>21</v>
      </c>
      <c r="B258" s="3" t="s">
        <v>39</v>
      </c>
      <c r="C258" s="3" t="s">
        <v>40</v>
      </c>
      <c r="D258" s="3" t="s">
        <v>43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44713</v>
      </c>
      <c r="J258" s="4">
        <v>0</v>
      </c>
      <c r="K258" s="4">
        <v>0</v>
      </c>
      <c r="L258" s="4">
        <v>1.1779999999999999</v>
      </c>
      <c r="M258" s="4">
        <v>1.1308799999999999</v>
      </c>
      <c r="N258" s="4">
        <v>1.1779999999999999</v>
      </c>
      <c r="O258" s="4">
        <v>1.1308799999999999</v>
      </c>
      <c r="P258" s="4">
        <v>0</v>
      </c>
      <c r="Q258" s="3" t="s">
        <v>26</v>
      </c>
      <c r="R258" s="3">
        <v>0</v>
      </c>
      <c r="S258" s="3" t="s">
        <v>171</v>
      </c>
      <c r="T258" s="3" t="s">
        <v>410</v>
      </c>
      <c r="U258" s="3">
        <v>0</v>
      </c>
      <c r="V258" s="3">
        <v>10</v>
      </c>
      <c r="W258" s="3">
        <v>51</v>
      </c>
    </row>
    <row r="259" spans="1:23" ht="11.25" customHeight="1" x14ac:dyDescent="0.3">
      <c r="A259" s="3" t="s">
        <v>21</v>
      </c>
      <c r="B259" s="3" t="s">
        <v>22</v>
      </c>
      <c r="C259" s="3" t="s">
        <v>33</v>
      </c>
      <c r="D259" s="3" t="s">
        <v>24</v>
      </c>
      <c r="E259" s="3" t="s">
        <v>24</v>
      </c>
      <c r="F259" s="3" t="s">
        <v>25</v>
      </c>
      <c r="G259" s="3" t="s">
        <v>25</v>
      </c>
      <c r="H259" s="3" t="s">
        <v>35</v>
      </c>
      <c r="I259" s="6">
        <v>44378</v>
      </c>
      <c r="J259" s="4">
        <v>0</v>
      </c>
      <c r="K259" s="4">
        <v>0</v>
      </c>
      <c r="L259" s="4">
        <v>0.318</v>
      </c>
      <c r="M259" s="4">
        <v>0.318</v>
      </c>
      <c r="N259" s="4">
        <v>0.318</v>
      </c>
      <c r="O259" s="4">
        <v>0.318</v>
      </c>
      <c r="P259" s="4">
        <v>0</v>
      </c>
      <c r="Q259" s="3" t="s">
        <v>26</v>
      </c>
      <c r="R259" s="3">
        <v>0</v>
      </c>
      <c r="S259" s="3" t="s">
        <v>172</v>
      </c>
      <c r="T259" s="3" t="s">
        <v>411</v>
      </c>
      <c r="U259" s="3">
        <v>0</v>
      </c>
      <c r="V259" s="3">
        <v>18</v>
      </c>
      <c r="W259" s="3">
        <v>58</v>
      </c>
    </row>
    <row r="260" spans="1:23" ht="11.25" customHeight="1" x14ac:dyDescent="0.3">
      <c r="A260" s="3" t="s">
        <v>21</v>
      </c>
      <c r="B260" s="3" t="s">
        <v>22</v>
      </c>
      <c r="C260" s="3" t="s">
        <v>33</v>
      </c>
      <c r="D260" s="3" t="s">
        <v>24</v>
      </c>
      <c r="E260" s="3" t="s">
        <v>24</v>
      </c>
      <c r="F260" s="3" t="s">
        <v>25</v>
      </c>
      <c r="G260" s="3" t="s">
        <v>25</v>
      </c>
      <c r="H260" s="3" t="s">
        <v>35</v>
      </c>
      <c r="I260" s="6">
        <v>44409</v>
      </c>
      <c r="J260" s="4">
        <v>0</v>
      </c>
      <c r="K260" s="4">
        <v>0</v>
      </c>
      <c r="L260" s="4">
        <v>0.35799999999999998</v>
      </c>
      <c r="M260" s="4">
        <v>0.35799999999999998</v>
      </c>
      <c r="N260" s="4">
        <v>0.35799999999999998</v>
      </c>
      <c r="O260" s="4">
        <v>0.35799999999999998</v>
      </c>
      <c r="P260" s="4">
        <v>0</v>
      </c>
      <c r="Q260" s="3" t="s">
        <v>26</v>
      </c>
      <c r="R260" s="3">
        <v>0</v>
      </c>
      <c r="S260" s="3" t="s">
        <v>173</v>
      </c>
      <c r="T260" s="3" t="s">
        <v>412</v>
      </c>
      <c r="U260" s="3">
        <v>0</v>
      </c>
      <c r="V260" s="3">
        <v>18</v>
      </c>
      <c r="W260" s="3">
        <v>58</v>
      </c>
    </row>
    <row r="261" spans="1:23" ht="11.25" customHeight="1" x14ac:dyDescent="0.3">
      <c r="A261" s="3" t="s">
        <v>21</v>
      </c>
      <c r="B261" s="3" t="s">
        <v>22</v>
      </c>
      <c r="C261" s="3" t="s">
        <v>33</v>
      </c>
      <c r="D261" s="3" t="s">
        <v>24</v>
      </c>
      <c r="E261" s="3" t="s">
        <v>24</v>
      </c>
      <c r="F261" s="3" t="s">
        <v>25</v>
      </c>
      <c r="G261" s="3" t="s">
        <v>25</v>
      </c>
      <c r="H261" s="3" t="s">
        <v>35</v>
      </c>
      <c r="I261" s="6">
        <v>44440</v>
      </c>
      <c r="J261" s="4">
        <v>0</v>
      </c>
      <c r="K261" s="4">
        <v>0</v>
      </c>
      <c r="L261" s="4">
        <v>0.37</v>
      </c>
      <c r="M261" s="4">
        <v>0.37</v>
      </c>
      <c r="N261" s="4">
        <v>0.37</v>
      </c>
      <c r="O261" s="4">
        <v>0.37</v>
      </c>
      <c r="P261" s="4">
        <v>0</v>
      </c>
      <c r="Q261" s="3" t="s">
        <v>26</v>
      </c>
      <c r="R261" s="3">
        <v>0</v>
      </c>
      <c r="S261" s="3" t="s">
        <v>174</v>
      </c>
      <c r="T261" s="3" t="s">
        <v>413</v>
      </c>
      <c r="U261" s="3">
        <v>0</v>
      </c>
      <c r="V261" s="3">
        <v>18</v>
      </c>
      <c r="W261" s="3">
        <v>58</v>
      </c>
    </row>
    <row r="262" spans="1:23" ht="11.25" customHeight="1" x14ac:dyDescent="0.3">
      <c r="A262" s="3" t="s">
        <v>21</v>
      </c>
      <c r="B262" s="3" t="s">
        <v>22</v>
      </c>
      <c r="C262" s="3" t="s">
        <v>33</v>
      </c>
      <c r="D262" s="3" t="s">
        <v>24</v>
      </c>
      <c r="E262" s="3" t="s">
        <v>24</v>
      </c>
      <c r="F262" s="3" t="s">
        <v>25</v>
      </c>
      <c r="G262" s="3" t="s">
        <v>25</v>
      </c>
      <c r="H262" s="3" t="s">
        <v>35</v>
      </c>
      <c r="I262" s="6">
        <v>44470</v>
      </c>
      <c r="J262" s="4">
        <v>0</v>
      </c>
      <c r="K262" s="4">
        <v>0</v>
      </c>
      <c r="L262" s="4">
        <v>0.378</v>
      </c>
      <c r="M262" s="4">
        <v>0.378</v>
      </c>
      <c r="N262" s="4">
        <v>0.378</v>
      </c>
      <c r="O262" s="4">
        <v>0.378</v>
      </c>
      <c r="P262" s="4">
        <v>0</v>
      </c>
      <c r="Q262" s="3" t="s">
        <v>26</v>
      </c>
      <c r="R262" s="3">
        <v>0</v>
      </c>
      <c r="S262" s="3" t="s">
        <v>175</v>
      </c>
      <c r="T262" s="3" t="s">
        <v>414</v>
      </c>
      <c r="U262" s="3">
        <v>0</v>
      </c>
      <c r="V262" s="3">
        <v>18</v>
      </c>
      <c r="W262" s="3">
        <v>58</v>
      </c>
    </row>
    <row r="263" spans="1:23" ht="11.25" customHeight="1" x14ac:dyDescent="0.3">
      <c r="A263" s="3" t="s">
        <v>21</v>
      </c>
      <c r="B263" s="3" t="s">
        <v>22</v>
      </c>
      <c r="C263" s="3" t="s">
        <v>33</v>
      </c>
      <c r="D263" s="3" t="s">
        <v>24</v>
      </c>
      <c r="E263" s="3" t="s">
        <v>24</v>
      </c>
      <c r="F263" s="3" t="s">
        <v>25</v>
      </c>
      <c r="G263" s="3" t="s">
        <v>25</v>
      </c>
      <c r="H263" s="3" t="s">
        <v>35</v>
      </c>
      <c r="I263" s="6">
        <v>44501</v>
      </c>
      <c r="J263" s="4">
        <v>0</v>
      </c>
      <c r="K263" s="4">
        <v>0</v>
      </c>
      <c r="L263" s="4">
        <v>0.49199999999999999</v>
      </c>
      <c r="M263" s="4">
        <v>0.49199999999999999</v>
      </c>
      <c r="N263" s="4">
        <v>0.49199999999999999</v>
      </c>
      <c r="O263" s="4">
        <v>0.49199999999999999</v>
      </c>
      <c r="P263" s="4">
        <v>0</v>
      </c>
      <c r="Q263" s="3" t="s">
        <v>26</v>
      </c>
      <c r="R263" s="3">
        <v>0</v>
      </c>
      <c r="S263" s="3" t="s">
        <v>176</v>
      </c>
      <c r="T263" s="3" t="s">
        <v>415</v>
      </c>
      <c r="U263" s="3">
        <v>0</v>
      </c>
      <c r="V263" s="3">
        <v>18</v>
      </c>
      <c r="W263" s="3">
        <v>58</v>
      </c>
    </row>
    <row r="264" spans="1:23" ht="11.25" customHeight="1" x14ac:dyDescent="0.3">
      <c r="A264" s="3" t="s">
        <v>21</v>
      </c>
      <c r="B264" s="3" t="s">
        <v>22</v>
      </c>
      <c r="C264" s="3" t="s">
        <v>33</v>
      </c>
      <c r="D264" s="3" t="s">
        <v>24</v>
      </c>
      <c r="E264" s="3" t="s">
        <v>24</v>
      </c>
      <c r="F264" s="3" t="s">
        <v>25</v>
      </c>
      <c r="G264" s="3" t="s">
        <v>25</v>
      </c>
      <c r="H264" s="3" t="s">
        <v>35</v>
      </c>
      <c r="I264" s="6">
        <v>44531</v>
      </c>
      <c r="J264" s="4">
        <v>0</v>
      </c>
      <c r="K264" s="4">
        <v>0</v>
      </c>
      <c r="L264" s="4">
        <v>0.54100000000000004</v>
      </c>
      <c r="M264" s="4">
        <v>0.54100000000000004</v>
      </c>
      <c r="N264" s="4">
        <v>0.54100000000000004</v>
      </c>
      <c r="O264" s="4">
        <v>0.54100000000000004</v>
      </c>
      <c r="P264" s="4">
        <v>0</v>
      </c>
      <c r="Q264" s="3" t="s">
        <v>26</v>
      </c>
      <c r="R264" s="3">
        <v>0</v>
      </c>
      <c r="S264" s="3" t="s">
        <v>177</v>
      </c>
      <c r="T264" s="3" t="s">
        <v>416</v>
      </c>
      <c r="U264" s="3">
        <v>0</v>
      </c>
      <c r="V264" s="3">
        <v>18</v>
      </c>
      <c r="W264" s="3">
        <v>58</v>
      </c>
    </row>
    <row r="265" spans="1:23" ht="11.25" customHeight="1" x14ac:dyDescent="0.3">
      <c r="A265" s="3" t="s">
        <v>21</v>
      </c>
      <c r="B265" s="3" t="s">
        <v>22</v>
      </c>
      <c r="C265" s="3" t="s">
        <v>33</v>
      </c>
      <c r="D265" s="3" t="s">
        <v>24</v>
      </c>
      <c r="E265" s="3" t="s">
        <v>24</v>
      </c>
      <c r="F265" s="3" t="s">
        <v>25</v>
      </c>
      <c r="G265" s="3" t="s">
        <v>25</v>
      </c>
      <c r="H265" s="3" t="s">
        <v>35</v>
      </c>
      <c r="I265" s="6">
        <v>44562</v>
      </c>
      <c r="J265" s="4">
        <v>0</v>
      </c>
      <c r="K265" s="4">
        <v>0</v>
      </c>
      <c r="L265" s="4">
        <v>0.66900000000000004</v>
      </c>
      <c r="M265" s="4">
        <v>0.66900000000000004</v>
      </c>
      <c r="N265" s="4">
        <v>0.66900000000000004</v>
      </c>
      <c r="O265" s="4">
        <v>0.66900000000000004</v>
      </c>
      <c r="P265" s="4">
        <v>0</v>
      </c>
      <c r="Q265" s="3" t="s">
        <v>26</v>
      </c>
      <c r="R265" s="3">
        <v>0</v>
      </c>
      <c r="S265" s="3" t="s">
        <v>178</v>
      </c>
      <c r="T265" s="3" t="s">
        <v>417</v>
      </c>
      <c r="U265" s="3">
        <v>0</v>
      </c>
      <c r="V265" s="3">
        <v>18</v>
      </c>
      <c r="W265" s="3">
        <v>58</v>
      </c>
    </row>
    <row r="266" spans="1:23" ht="11.25" customHeight="1" x14ac:dyDescent="0.3">
      <c r="A266" s="3" t="s">
        <v>21</v>
      </c>
      <c r="B266" s="3" t="s">
        <v>22</v>
      </c>
      <c r="C266" s="3" t="s">
        <v>33</v>
      </c>
      <c r="D266" s="3" t="s">
        <v>24</v>
      </c>
      <c r="E266" s="3" t="s">
        <v>24</v>
      </c>
      <c r="F266" s="3" t="s">
        <v>25</v>
      </c>
      <c r="G266" s="3" t="s">
        <v>25</v>
      </c>
      <c r="H266" s="3" t="s">
        <v>35</v>
      </c>
      <c r="I266" s="6">
        <v>44593</v>
      </c>
      <c r="J266" s="4">
        <v>0</v>
      </c>
      <c r="K266" s="4">
        <v>0</v>
      </c>
      <c r="L266" s="4">
        <v>0.77100000000000002</v>
      </c>
      <c r="M266" s="4">
        <v>0.77100000000000002</v>
      </c>
      <c r="N266" s="4">
        <v>0.77100000000000002</v>
      </c>
      <c r="O266" s="4">
        <v>0.77100000000000002</v>
      </c>
      <c r="P266" s="4">
        <v>0</v>
      </c>
      <c r="Q266" s="3" t="s">
        <v>26</v>
      </c>
      <c r="R266" s="3">
        <v>0</v>
      </c>
      <c r="S266" s="3" t="s">
        <v>179</v>
      </c>
      <c r="T266" s="3" t="s">
        <v>418</v>
      </c>
      <c r="U266" s="3">
        <v>0</v>
      </c>
      <c r="V266" s="3">
        <v>18</v>
      </c>
      <c r="W266" s="3">
        <v>58</v>
      </c>
    </row>
    <row r="267" spans="1:23" ht="11.25" customHeight="1" x14ac:dyDescent="0.3">
      <c r="A267" s="3" t="s">
        <v>21</v>
      </c>
      <c r="B267" s="3" t="s">
        <v>22</v>
      </c>
      <c r="C267" s="3" t="s">
        <v>33</v>
      </c>
      <c r="D267" s="3" t="s">
        <v>24</v>
      </c>
      <c r="E267" s="3" t="s">
        <v>24</v>
      </c>
      <c r="F267" s="3" t="s">
        <v>25</v>
      </c>
      <c r="G267" s="3" t="s">
        <v>25</v>
      </c>
      <c r="H267" s="3" t="s">
        <v>35</v>
      </c>
      <c r="I267" s="6">
        <v>44621</v>
      </c>
      <c r="J267" s="4">
        <v>0</v>
      </c>
      <c r="K267" s="4">
        <v>0</v>
      </c>
      <c r="L267" s="4">
        <v>0.61899999999999999</v>
      </c>
      <c r="M267" s="4">
        <v>0.61899999999999999</v>
      </c>
      <c r="N267" s="4">
        <v>0.61899999999999999</v>
      </c>
      <c r="O267" s="4">
        <v>0.61899999999999999</v>
      </c>
      <c r="P267" s="4">
        <v>0</v>
      </c>
      <c r="Q267" s="3" t="s">
        <v>26</v>
      </c>
      <c r="R267" s="3">
        <v>0</v>
      </c>
      <c r="S267" s="3" t="s">
        <v>180</v>
      </c>
      <c r="T267" s="3" t="s">
        <v>419</v>
      </c>
      <c r="U267" s="3">
        <v>0</v>
      </c>
      <c r="V267" s="3">
        <v>18</v>
      </c>
      <c r="W267" s="3">
        <v>58</v>
      </c>
    </row>
    <row r="268" spans="1:23" ht="11.25" customHeight="1" x14ac:dyDescent="0.3">
      <c r="A268" s="3" t="s">
        <v>21</v>
      </c>
      <c r="B268" s="3" t="s">
        <v>22</v>
      </c>
      <c r="C268" s="3" t="s">
        <v>33</v>
      </c>
      <c r="D268" s="3" t="s">
        <v>24</v>
      </c>
      <c r="E268" s="3" t="s">
        <v>24</v>
      </c>
      <c r="F268" s="3" t="s">
        <v>25</v>
      </c>
      <c r="G268" s="3" t="s">
        <v>25</v>
      </c>
      <c r="H268" s="3" t="s">
        <v>35</v>
      </c>
      <c r="I268" s="6">
        <v>44652</v>
      </c>
      <c r="J268" s="4">
        <v>0</v>
      </c>
      <c r="K268" s="4">
        <v>0</v>
      </c>
      <c r="L268" s="4">
        <v>0.376</v>
      </c>
      <c r="M268" s="4">
        <v>0.376</v>
      </c>
      <c r="N268" s="4">
        <v>0.376</v>
      </c>
      <c r="O268" s="4">
        <v>0.376</v>
      </c>
      <c r="P268" s="4">
        <v>0</v>
      </c>
      <c r="Q268" s="3" t="s">
        <v>26</v>
      </c>
      <c r="R268" s="3">
        <v>0</v>
      </c>
      <c r="S268" s="3" t="s">
        <v>181</v>
      </c>
      <c r="T268" s="3" t="s">
        <v>420</v>
      </c>
      <c r="U268" s="3">
        <v>0</v>
      </c>
      <c r="V268" s="3">
        <v>18</v>
      </c>
      <c r="W268" s="3">
        <v>58</v>
      </c>
    </row>
    <row r="269" spans="1:23" ht="11.25" customHeight="1" x14ac:dyDescent="0.3">
      <c r="A269" s="3" t="s">
        <v>21</v>
      </c>
      <c r="B269" s="3" t="s">
        <v>22</v>
      </c>
      <c r="C269" s="3" t="s">
        <v>33</v>
      </c>
      <c r="D269" s="3" t="s">
        <v>24</v>
      </c>
      <c r="E269" s="3" t="s">
        <v>24</v>
      </c>
      <c r="F269" s="3" t="s">
        <v>25</v>
      </c>
      <c r="G269" s="3" t="s">
        <v>25</v>
      </c>
      <c r="H269" s="3" t="s">
        <v>35</v>
      </c>
      <c r="I269" s="6">
        <v>44682</v>
      </c>
      <c r="J269" s="4">
        <v>0</v>
      </c>
      <c r="K269" s="4">
        <v>0</v>
      </c>
      <c r="L269" s="4">
        <v>0.33100000000000002</v>
      </c>
      <c r="M269" s="4">
        <v>0.33100000000000002</v>
      </c>
      <c r="N269" s="4">
        <v>0.33100000000000002</v>
      </c>
      <c r="O269" s="4">
        <v>0.33100000000000002</v>
      </c>
      <c r="P269" s="4">
        <v>0</v>
      </c>
      <c r="Q269" s="3" t="s">
        <v>26</v>
      </c>
      <c r="R269" s="3">
        <v>0</v>
      </c>
      <c r="S269" s="3" t="s">
        <v>182</v>
      </c>
      <c r="T269" s="3" t="s">
        <v>421</v>
      </c>
      <c r="U269" s="3">
        <v>0</v>
      </c>
      <c r="V269" s="3">
        <v>18</v>
      </c>
      <c r="W269" s="3">
        <v>58</v>
      </c>
    </row>
    <row r="270" spans="1:23" ht="11.25" customHeight="1" x14ac:dyDescent="0.3">
      <c r="A270" s="3" t="s">
        <v>21</v>
      </c>
      <c r="B270" s="3" t="s">
        <v>22</v>
      </c>
      <c r="C270" s="3" t="s">
        <v>33</v>
      </c>
      <c r="D270" s="3" t="s">
        <v>24</v>
      </c>
      <c r="E270" s="3" t="s">
        <v>24</v>
      </c>
      <c r="F270" s="3" t="s">
        <v>25</v>
      </c>
      <c r="G270" s="3" t="s">
        <v>25</v>
      </c>
      <c r="H270" s="3" t="s">
        <v>35</v>
      </c>
      <c r="I270" s="6">
        <v>44713</v>
      </c>
      <c r="J270" s="4">
        <v>0</v>
      </c>
      <c r="K270" s="4">
        <v>0</v>
      </c>
      <c r="L270" s="4">
        <v>0.46200000000000002</v>
      </c>
      <c r="M270" s="4">
        <v>0.46200000000000002</v>
      </c>
      <c r="N270" s="4">
        <v>0.46200000000000002</v>
      </c>
      <c r="O270" s="4">
        <v>0.46200000000000002</v>
      </c>
      <c r="P270" s="4">
        <v>0</v>
      </c>
      <c r="Q270" s="3" t="s">
        <v>26</v>
      </c>
      <c r="R270" s="3">
        <v>0</v>
      </c>
      <c r="S270" s="3" t="s">
        <v>183</v>
      </c>
      <c r="T270" s="3" t="s">
        <v>422</v>
      </c>
      <c r="U270" s="3">
        <v>0</v>
      </c>
      <c r="V270" s="3">
        <v>18</v>
      </c>
      <c r="W270" s="3">
        <v>58</v>
      </c>
    </row>
    <row r="271" spans="1:23" ht="11.25" customHeight="1" x14ac:dyDescent="0.3">
      <c r="A271" s="3" t="s">
        <v>21</v>
      </c>
      <c r="B271" s="3" t="s">
        <v>22</v>
      </c>
      <c r="C271" s="3" t="s">
        <v>33</v>
      </c>
      <c r="D271" s="3" t="s">
        <v>24</v>
      </c>
      <c r="E271" s="3" t="s">
        <v>24</v>
      </c>
      <c r="F271" s="3" t="s">
        <v>25</v>
      </c>
      <c r="G271" s="3" t="s">
        <v>25</v>
      </c>
      <c r="H271" s="3" t="s">
        <v>36</v>
      </c>
      <c r="I271" s="6">
        <v>44378</v>
      </c>
      <c r="J271" s="4">
        <v>0</v>
      </c>
      <c r="K271" s="4">
        <v>0</v>
      </c>
      <c r="L271" s="4">
        <v>2.3E-2</v>
      </c>
      <c r="M271" s="4">
        <v>2.3E-2</v>
      </c>
      <c r="N271" s="4">
        <v>2.3E-2</v>
      </c>
      <c r="O271" s="4">
        <v>2.3E-2</v>
      </c>
      <c r="P271" s="4">
        <v>0</v>
      </c>
      <c r="Q271" s="3" t="s">
        <v>26</v>
      </c>
      <c r="R271" s="3">
        <v>0</v>
      </c>
      <c r="S271" s="3" t="s">
        <v>184</v>
      </c>
      <c r="T271" s="3" t="s">
        <v>423</v>
      </c>
      <c r="U271" s="3">
        <v>0</v>
      </c>
      <c r="V271" s="3">
        <v>17</v>
      </c>
      <c r="W271" s="3">
        <v>57</v>
      </c>
    </row>
    <row r="272" spans="1:23" ht="11.25" customHeight="1" x14ac:dyDescent="0.3">
      <c r="A272" s="3" t="s">
        <v>21</v>
      </c>
      <c r="B272" s="3" t="s">
        <v>22</v>
      </c>
      <c r="C272" s="3" t="s">
        <v>33</v>
      </c>
      <c r="D272" s="3" t="s">
        <v>24</v>
      </c>
      <c r="E272" s="3" t="s">
        <v>24</v>
      </c>
      <c r="F272" s="3" t="s">
        <v>25</v>
      </c>
      <c r="G272" s="3" t="s">
        <v>25</v>
      </c>
      <c r="H272" s="3" t="s">
        <v>36</v>
      </c>
      <c r="I272" s="6">
        <v>44409</v>
      </c>
      <c r="J272" s="4">
        <v>0</v>
      </c>
      <c r="K272" s="4">
        <v>0</v>
      </c>
      <c r="L272" s="4">
        <v>2.7E-2</v>
      </c>
      <c r="M272" s="4">
        <v>2.7E-2</v>
      </c>
      <c r="N272" s="4">
        <v>2.7E-2</v>
      </c>
      <c r="O272" s="4">
        <v>2.7E-2</v>
      </c>
      <c r="P272" s="4">
        <v>0</v>
      </c>
      <c r="Q272" s="3" t="s">
        <v>26</v>
      </c>
      <c r="R272" s="3">
        <v>0</v>
      </c>
      <c r="S272" s="3" t="s">
        <v>185</v>
      </c>
      <c r="T272" s="3" t="s">
        <v>424</v>
      </c>
      <c r="U272" s="3">
        <v>0</v>
      </c>
      <c r="V272" s="3">
        <v>17</v>
      </c>
      <c r="W272" s="3">
        <v>57</v>
      </c>
    </row>
    <row r="273" spans="1:23" ht="11.25" customHeight="1" x14ac:dyDescent="0.3">
      <c r="A273" s="3" t="s">
        <v>21</v>
      </c>
      <c r="B273" s="3" t="s">
        <v>22</v>
      </c>
      <c r="C273" s="3" t="s">
        <v>33</v>
      </c>
      <c r="D273" s="3" t="s">
        <v>24</v>
      </c>
      <c r="E273" s="3" t="s">
        <v>24</v>
      </c>
      <c r="F273" s="3" t="s">
        <v>25</v>
      </c>
      <c r="G273" s="3" t="s">
        <v>25</v>
      </c>
      <c r="H273" s="3" t="s">
        <v>36</v>
      </c>
      <c r="I273" s="6">
        <v>44440</v>
      </c>
      <c r="J273" s="4">
        <v>0</v>
      </c>
      <c r="K273" s="4">
        <v>0</v>
      </c>
      <c r="L273" s="4">
        <v>2.7E-2</v>
      </c>
      <c r="M273" s="4">
        <v>2.7E-2</v>
      </c>
      <c r="N273" s="4">
        <v>2.7E-2</v>
      </c>
      <c r="O273" s="4">
        <v>2.7E-2</v>
      </c>
      <c r="P273" s="4">
        <v>0</v>
      </c>
      <c r="Q273" s="3" t="s">
        <v>26</v>
      </c>
      <c r="R273" s="3">
        <v>0</v>
      </c>
      <c r="S273" s="3" t="s">
        <v>186</v>
      </c>
      <c r="T273" s="3" t="s">
        <v>425</v>
      </c>
      <c r="U273" s="3">
        <v>0</v>
      </c>
      <c r="V273" s="3">
        <v>17</v>
      </c>
      <c r="W273" s="3">
        <v>57</v>
      </c>
    </row>
    <row r="274" spans="1:23" ht="11.25" customHeight="1" x14ac:dyDescent="0.3">
      <c r="A274" s="3" t="s">
        <v>21</v>
      </c>
      <c r="B274" s="3" t="s">
        <v>22</v>
      </c>
      <c r="C274" s="3" t="s">
        <v>33</v>
      </c>
      <c r="D274" s="3" t="s">
        <v>24</v>
      </c>
      <c r="E274" s="3" t="s">
        <v>24</v>
      </c>
      <c r="F274" s="3" t="s">
        <v>25</v>
      </c>
      <c r="G274" s="3" t="s">
        <v>25</v>
      </c>
      <c r="H274" s="3" t="s">
        <v>36</v>
      </c>
      <c r="I274" s="6">
        <v>44470</v>
      </c>
      <c r="J274" s="4">
        <v>0</v>
      </c>
      <c r="K274" s="4">
        <v>0</v>
      </c>
      <c r="L274" s="4">
        <v>2.5999999999999999E-2</v>
      </c>
      <c r="M274" s="4">
        <v>2.5999999999999999E-2</v>
      </c>
      <c r="N274" s="4">
        <v>2.5999999999999999E-2</v>
      </c>
      <c r="O274" s="4">
        <v>2.5999999999999999E-2</v>
      </c>
      <c r="P274" s="4">
        <v>0</v>
      </c>
      <c r="Q274" s="3" t="s">
        <v>26</v>
      </c>
      <c r="R274" s="3">
        <v>0</v>
      </c>
      <c r="S274" s="3" t="s">
        <v>187</v>
      </c>
      <c r="T274" s="3" t="s">
        <v>426</v>
      </c>
      <c r="U274" s="3">
        <v>0</v>
      </c>
      <c r="V274" s="3">
        <v>17</v>
      </c>
      <c r="W274" s="3">
        <v>57</v>
      </c>
    </row>
    <row r="275" spans="1:23" ht="11.25" customHeight="1" x14ac:dyDescent="0.3">
      <c r="A275" s="3" t="s">
        <v>21</v>
      </c>
      <c r="B275" s="3" t="s">
        <v>22</v>
      </c>
      <c r="C275" s="3" t="s">
        <v>33</v>
      </c>
      <c r="D275" s="3" t="s">
        <v>24</v>
      </c>
      <c r="E275" s="3" t="s">
        <v>24</v>
      </c>
      <c r="F275" s="3" t="s">
        <v>25</v>
      </c>
      <c r="G275" s="3" t="s">
        <v>25</v>
      </c>
      <c r="H275" s="3" t="s">
        <v>36</v>
      </c>
      <c r="I275" s="6">
        <v>44501</v>
      </c>
      <c r="J275" s="4">
        <v>0</v>
      </c>
      <c r="K275" s="4">
        <v>0</v>
      </c>
      <c r="L275" s="4">
        <v>4.1000000000000002E-2</v>
      </c>
      <c r="M275" s="4">
        <v>4.1000000000000002E-2</v>
      </c>
      <c r="N275" s="4">
        <v>4.1000000000000002E-2</v>
      </c>
      <c r="O275" s="4">
        <v>4.1000000000000002E-2</v>
      </c>
      <c r="P275" s="4">
        <v>0</v>
      </c>
      <c r="Q275" s="3" t="s">
        <v>26</v>
      </c>
      <c r="R275" s="3">
        <v>0</v>
      </c>
      <c r="S275" s="3" t="s">
        <v>188</v>
      </c>
      <c r="T275" s="3" t="s">
        <v>427</v>
      </c>
      <c r="U275" s="3">
        <v>0</v>
      </c>
      <c r="V275" s="3">
        <v>17</v>
      </c>
      <c r="W275" s="3">
        <v>57</v>
      </c>
    </row>
    <row r="276" spans="1:23" ht="11.25" customHeight="1" x14ac:dyDescent="0.3">
      <c r="A276" s="3" t="s">
        <v>21</v>
      </c>
      <c r="B276" s="3" t="s">
        <v>22</v>
      </c>
      <c r="C276" s="3" t="s">
        <v>33</v>
      </c>
      <c r="D276" s="3" t="s">
        <v>24</v>
      </c>
      <c r="E276" s="3" t="s">
        <v>24</v>
      </c>
      <c r="F276" s="3" t="s">
        <v>25</v>
      </c>
      <c r="G276" s="3" t="s">
        <v>25</v>
      </c>
      <c r="H276" s="3" t="s">
        <v>36</v>
      </c>
      <c r="I276" s="6">
        <v>44531</v>
      </c>
      <c r="J276" s="4">
        <v>0</v>
      </c>
      <c r="K276" s="4">
        <v>0</v>
      </c>
      <c r="L276" s="4">
        <v>4.3999999999999997E-2</v>
      </c>
      <c r="M276" s="4">
        <v>4.3999999999999997E-2</v>
      </c>
      <c r="N276" s="4">
        <v>4.3999999999999997E-2</v>
      </c>
      <c r="O276" s="4">
        <v>4.3999999999999997E-2</v>
      </c>
      <c r="P276" s="4">
        <v>0</v>
      </c>
      <c r="Q276" s="3" t="s">
        <v>26</v>
      </c>
      <c r="R276" s="3">
        <v>0</v>
      </c>
      <c r="S276" s="3" t="s">
        <v>189</v>
      </c>
      <c r="T276" s="3" t="s">
        <v>428</v>
      </c>
      <c r="U276" s="3">
        <v>0</v>
      </c>
      <c r="V276" s="3">
        <v>17</v>
      </c>
      <c r="W276" s="3">
        <v>57</v>
      </c>
    </row>
    <row r="277" spans="1:23" ht="11.25" customHeight="1" x14ac:dyDescent="0.3">
      <c r="A277" s="3" t="s">
        <v>21</v>
      </c>
      <c r="B277" s="3" t="s">
        <v>22</v>
      </c>
      <c r="C277" s="3" t="s">
        <v>33</v>
      </c>
      <c r="D277" s="3" t="s">
        <v>24</v>
      </c>
      <c r="E277" s="3" t="s">
        <v>24</v>
      </c>
      <c r="F277" s="3" t="s">
        <v>25</v>
      </c>
      <c r="G277" s="3" t="s">
        <v>25</v>
      </c>
      <c r="H277" s="3" t="s">
        <v>36</v>
      </c>
      <c r="I277" s="6">
        <v>44562</v>
      </c>
      <c r="J277" s="4">
        <v>0</v>
      </c>
      <c r="K277" s="4">
        <v>0</v>
      </c>
      <c r="L277" s="4">
        <v>5.8999999999999997E-2</v>
      </c>
      <c r="M277" s="4">
        <v>5.8999999999999997E-2</v>
      </c>
      <c r="N277" s="4">
        <v>5.8999999999999997E-2</v>
      </c>
      <c r="O277" s="4">
        <v>5.8999999999999997E-2</v>
      </c>
      <c r="P277" s="4">
        <v>0</v>
      </c>
      <c r="Q277" s="3" t="s">
        <v>26</v>
      </c>
      <c r="R277" s="3">
        <v>0</v>
      </c>
      <c r="S277" s="3" t="s">
        <v>190</v>
      </c>
      <c r="T277" s="3" t="s">
        <v>429</v>
      </c>
      <c r="U277" s="3">
        <v>0</v>
      </c>
      <c r="V277" s="3">
        <v>17</v>
      </c>
      <c r="W277" s="3">
        <v>57</v>
      </c>
    </row>
    <row r="278" spans="1:23" ht="11.25" customHeight="1" x14ac:dyDescent="0.3">
      <c r="A278" s="3" t="s">
        <v>21</v>
      </c>
      <c r="B278" s="3" t="s">
        <v>22</v>
      </c>
      <c r="C278" s="3" t="s">
        <v>33</v>
      </c>
      <c r="D278" s="3" t="s">
        <v>24</v>
      </c>
      <c r="E278" s="3" t="s">
        <v>24</v>
      </c>
      <c r="F278" s="3" t="s">
        <v>25</v>
      </c>
      <c r="G278" s="3" t="s">
        <v>25</v>
      </c>
      <c r="H278" s="3" t="s">
        <v>36</v>
      </c>
      <c r="I278" s="6">
        <v>44593</v>
      </c>
      <c r="J278" s="4">
        <v>0</v>
      </c>
      <c r="K278" s="4">
        <v>0</v>
      </c>
      <c r="L278" s="4">
        <v>7.0999999999999994E-2</v>
      </c>
      <c r="M278" s="4">
        <v>7.0999999999999994E-2</v>
      </c>
      <c r="N278" s="4">
        <v>7.0999999999999994E-2</v>
      </c>
      <c r="O278" s="4">
        <v>7.0999999999999994E-2</v>
      </c>
      <c r="P278" s="4">
        <v>0</v>
      </c>
      <c r="Q278" s="3" t="s">
        <v>26</v>
      </c>
      <c r="R278" s="3">
        <v>0</v>
      </c>
      <c r="S278" s="3" t="s">
        <v>191</v>
      </c>
      <c r="T278" s="3" t="s">
        <v>430</v>
      </c>
      <c r="U278" s="3">
        <v>0</v>
      </c>
      <c r="V278" s="3">
        <v>17</v>
      </c>
      <c r="W278" s="3">
        <v>57</v>
      </c>
    </row>
    <row r="279" spans="1:23" ht="11.25" customHeight="1" x14ac:dyDescent="0.3">
      <c r="A279" s="3" t="s">
        <v>21</v>
      </c>
      <c r="B279" s="3" t="s">
        <v>22</v>
      </c>
      <c r="C279" s="3" t="s">
        <v>33</v>
      </c>
      <c r="D279" s="3" t="s">
        <v>24</v>
      </c>
      <c r="E279" s="3" t="s">
        <v>24</v>
      </c>
      <c r="F279" s="3" t="s">
        <v>25</v>
      </c>
      <c r="G279" s="3" t="s">
        <v>25</v>
      </c>
      <c r="H279" s="3" t="s">
        <v>36</v>
      </c>
      <c r="I279" s="6">
        <v>44621</v>
      </c>
      <c r="J279" s="4">
        <v>0</v>
      </c>
      <c r="K279" s="4">
        <v>0</v>
      </c>
      <c r="L279" s="4">
        <v>5.5E-2</v>
      </c>
      <c r="M279" s="4">
        <v>5.5E-2</v>
      </c>
      <c r="N279" s="4">
        <v>5.5E-2</v>
      </c>
      <c r="O279" s="4">
        <v>5.5E-2</v>
      </c>
      <c r="P279" s="4">
        <v>0</v>
      </c>
      <c r="Q279" s="3" t="s">
        <v>26</v>
      </c>
      <c r="R279" s="3">
        <v>0</v>
      </c>
      <c r="S279" s="3" t="s">
        <v>192</v>
      </c>
      <c r="T279" s="3" t="s">
        <v>431</v>
      </c>
      <c r="U279" s="3">
        <v>0</v>
      </c>
      <c r="V279" s="3">
        <v>17</v>
      </c>
      <c r="W279" s="3">
        <v>57</v>
      </c>
    </row>
    <row r="280" spans="1:23" ht="11.25" customHeight="1" x14ac:dyDescent="0.3">
      <c r="A280" s="3" t="s">
        <v>21</v>
      </c>
      <c r="B280" s="3" t="s">
        <v>22</v>
      </c>
      <c r="C280" s="3" t="s">
        <v>33</v>
      </c>
      <c r="D280" s="3" t="s">
        <v>24</v>
      </c>
      <c r="E280" s="3" t="s">
        <v>24</v>
      </c>
      <c r="F280" s="3" t="s">
        <v>25</v>
      </c>
      <c r="G280" s="3" t="s">
        <v>25</v>
      </c>
      <c r="H280" s="3" t="s">
        <v>36</v>
      </c>
      <c r="I280" s="6">
        <v>44652</v>
      </c>
      <c r="J280" s="4">
        <v>0</v>
      </c>
      <c r="K280" s="4">
        <v>0</v>
      </c>
      <c r="L280" s="4">
        <v>2.7E-2</v>
      </c>
      <c r="M280" s="4">
        <v>2.7E-2</v>
      </c>
      <c r="N280" s="4">
        <v>2.7E-2</v>
      </c>
      <c r="O280" s="4">
        <v>2.7E-2</v>
      </c>
      <c r="P280" s="4">
        <v>0</v>
      </c>
      <c r="Q280" s="3" t="s">
        <v>26</v>
      </c>
      <c r="R280" s="3">
        <v>0</v>
      </c>
      <c r="S280" s="3" t="s">
        <v>193</v>
      </c>
      <c r="T280" s="3" t="s">
        <v>432</v>
      </c>
      <c r="U280" s="3">
        <v>0</v>
      </c>
      <c r="V280" s="3">
        <v>17</v>
      </c>
      <c r="W280" s="3">
        <v>57</v>
      </c>
    </row>
    <row r="281" spans="1:23" ht="11.25" customHeight="1" x14ac:dyDescent="0.3">
      <c r="A281" s="3" t="s">
        <v>21</v>
      </c>
      <c r="B281" s="3" t="s">
        <v>22</v>
      </c>
      <c r="C281" s="3" t="s">
        <v>33</v>
      </c>
      <c r="D281" s="3" t="s">
        <v>24</v>
      </c>
      <c r="E281" s="3" t="s">
        <v>24</v>
      </c>
      <c r="F281" s="3" t="s">
        <v>25</v>
      </c>
      <c r="G281" s="3" t="s">
        <v>25</v>
      </c>
      <c r="H281" s="3" t="s">
        <v>36</v>
      </c>
      <c r="I281" s="6">
        <v>44682</v>
      </c>
      <c r="J281" s="4">
        <v>0</v>
      </c>
      <c r="K281" s="4">
        <v>0</v>
      </c>
      <c r="L281" s="4">
        <v>2.1999999999999999E-2</v>
      </c>
      <c r="M281" s="4">
        <v>2.1999999999999999E-2</v>
      </c>
      <c r="N281" s="4">
        <v>2.1999999999999999E-2</v>
      </c>
      <c r="O281" s="4">
        <v>2.1999999999999999E-2</v>
      </c>
      <c r="P281" s="4">
        <v>0</v>
      </c>
      <c r="Q281" s="3" t="s">
        <v>26</v>
      </c>
      <c r="R281" s="3">
        <v>0</v>
      </c>
      <c r="S281" s="3" t="s">
        <v>194</v>
      </c>
      <c r="T281" s="3" t="s">
        <v>433</v>
      </c>
      <c r="U281" s="3">
        <v>0</v>
      </c>
      <c r="V281" s="3">
        <v>17</v>
      </c>
      <c r="W281" s="3">
        <v>57</v>
      </c>
    </row>
    <row r="282" spans="1:23" ht="11.25" customHeight="1" x14ac:dyDescent="0.3">
      <c r="A282" s="3" t="s">
        <v>21</v>
      </c>
      <c r="B282" s="3" t="s">
        <v>22</v>
      </c>
      <c r="C282" s="3" t="s">
        <v>33</v>
      </c>
      <c r="D282" s="3" t="s">
        <v>24</v>
      </c>
      <c r="E282" s="3" t="s">
        <v>24</v>
      </c>
      <c r="F282" s="3" t="s">
        <v>25</v>
      </c>
      <c r="G282" s="3" t="s">
        <v>25</v>
      </c>
      <c r="H282" s="3" t="s">
        <v>36</v>
      </c>
      <c r="I282" s="6">
        <v>44713</v>
      </c>
      <c r="J282" s="4">
        <v>0</v>
      </c>
      <c r="K282" s="4">
        <v>0</v>
      </c>
      <c r="L282" s="4">
        <v>3.7999999999999999E-2</v>
      </c>
      <c r="M282" s="4">
        <v>3.7999999999999999E-2</v>
      </c>
      <c r="N282" s="4">
        <v>3.7999999999999999E-2</v>
      </c>
      <c r="O282" s="4">
        <v>3.7999999999999999E-2</v>
      </c>
      <c r="P282" s="4">
        <v>0</v>
      </c>
      <c r="Q282" s="3" t="s">
        <v>26</v>
      </c>
      <c r="R282" s="3">
        <v>0</v>
      </c>
      <c r="S282" s="3" t="s">
        <v>195</v>
      </c>
      <c r="T282" s="3" t="s">
        <v>434</v>
      </c>
      <c r="U282" s="3">
        <v>0</v>
      </c>
      <c r="V282" s="3">
        <v>17</v>
      </c>
      <c r="W282" s="3">
        <v>57</v>
      </c>
    </row>
    <row r="283" spans="1:23" ht="11.25" customHeight="1" x14ac:dyDescent="0.3">
      <c r="A283" s="3" t="s">
        <v>21</v>
      </c>
      <c r="B283" s="3" t="s">
        <v>22</v>
      </c>
      <c r="C283" s="3" t="s">
        <v>33</v>
      </c>
      <c r="D283" s="3" t="s">
        <v>24</v>
      </c>
      <c r="E283" s="3" t="s">
        <v>24</v>
      </c>
      <c r="F283" s="3" t="s">
        <v>25</v>
      </c>
      <c r="G283" s="3" t="s">
        <v>25</v>
      </c>
      <c r="H283" s="3" t="s">
        <v>34</v>
      </c>
      <c r="I283" s="6">
        <v>44378</v>
      </c>
      <c r="J283" s="4">
        <v>0</v>
      </c>
      <c r="K283" s="4">
        <v>0</v>
      </c>
      <c r="L283" s="4">
        <v>4.9000000000000002E-2</v>
      </c>
      <c r="M283" s="4">
        <v>4.9000000000000002E-2</v>
      </c>
      <c r="N283" s="4">
        <v>4.9000000000000002E-2</v>
      </c>
      <c r="O283" s="4">
        <v>4.9000000000000002E-2</v>
      </c>
      <c r="P283" s="4">
        <v>0</v>
      </c>
      <c r="Q283" s="3" t="s">
        <v>26</v>
      </c>
      <c r="R283" s="3">
        <v>0</v>
      </c>
      <c r="S283" s="3" t="s">
        <v>196</v>
      </c>
      <c r="T283" s="3" t="s">
        <v>435</v>
      </c>
      <c r="U283" s="3">
        <v>0</v>
      </c>
      <c r="V283" s="3">
        <v>16</v>
      </c>
      <c r="W283" s="3">
        <v>56</v>
      </c>
    </row>
    <row r="284" spans="1:23" ht="11.25" customHeight="1" x14ac:dyDescent="0.3">
      <c r="A284" s="3" t="s">
        <v>21</v>
      </c>
      <c r="B284" s="3" t="s">
        <v>22</v>
      </c>
      <c r="C284" s="3" t="s">
        <v>33</v>
      </c>
      <c r="D284" s="3" t="s">
        <v>24</v>
      </c>
      <c r="E284" s="3" t="s">
        <v>24</v>
      </c>
      <c r="F284" s="3" t="s">
        <v>25</v>
      </c>
      <c r="G284" s="3" t="s">
        <v>25</v>
      </c>
      <c r="H284" s="3" t="s">
        <v>34</v>
      </c>
      <c r="I284" s="6">
        <v>44409</v>
      </c>
      <c r="J284" s="4">
        <v>0</v>
      </c>
      <c r="K284" s="4">
        <v>0</v>
      </c>
      <c r="L284" s="4">
        <v>0.06</v>
      </c>
      <c r="M284" s="4">
        <v>0.06</v>
      </c>
      <c r="N284" s="4">
        <v>0.06</v>
      </c>
      <c r="O284" s="4">
        <v>0.06</v>
      </c>
      <c r="P284" s="4">
        <v>0</v>
      </c>
      <c r="Q284" s="3" t="s">
        <v>26</v>
      </c>
      <c r="R284" s="3">
        <v>0</v>
      </c>
      <c r="S284" s="3" t="s">
        <v>197</v>
      </c>
      <c r="T284" s="3" t="s">
        <v>436</v>
      </c>
      <c r="U284" s="3">
        <v>0</v>
      </c>
      <c r="V284" s="3">
        <v>16</v>
      </c>
      <c r="W284" s="3">
        <v>56</v>
      </c>
    </row>
    <row r="285" spans="1:23" ht="11.25" customHeight="1" x14ac:dyDescent="0.3">
      <c r="A285" s="3" t="s">
        <v>21</v>
      </c>
      <c r="B285" s="3" t="s">
        <v>22</v>
      </c>
      <c r="C285" s="3" t="s">
        <v>33</v>
      </c>
      <c r="D285" s="3" t="s">
        <v>24</v>
      </c>
      <c r="E285" s="3" t="s">
        <v>24</v>
      </c>
      <c r="F285" s="3" t="s">
        <v>25</v>
      </c>
      <c r="G285" s="3" t="s">
        <v>25</v>
      </c>
      <c r="H285" s="3" t="s">
        <v>34</v>
      </c>
      <c r="I285" s="6">
        <v>44440</v>
      </c>
      <c r="J285" s="4">
        <v>0</v>
      </c>
      <c r="K285" s="4">
        <v>0</v>
      </c>
      <c r="L285" s="4">
        <v>5.3999999999999999E-2</v>
      </c>
      <c r="M285" s="4">
        <v>5.3999999999999999E-2</v>
      </c>
      <c r="N285" s="4">
        <v>5.3999999999999999E-2</v>
      </c>
      <c r="O285" s="4">
        <v>5.3999999999999999E-2</v>
      </c>
      <c r="P285" s="4">
        <v>0</v>
      </c>
      <c r="Q285" s="3" t="s">
        <v>26</v>
      </c>
      <c r="R285" s="3">
        <v>0</v>
      </c>
      <c r="S285" s="3" t="s">
        <v>198</v>
      </c>
      <c r="T285" s="3" t="s">
        <v>437</v>
      </c>
      <c r="U285" s="3">
        <v>0</v>
      </c>
      <c r="V285" s="3">
        <v>16</v>
      </c>
      <c r="W285" s="3">
        <v>56</v>
      </c>
    </row>
    <row r="286" spans="1:23" ht="11.25" customHeight="1" x14ac:dyDescent="0.3">
      <c r="A286" s="3" t="s">
        <v>21</v>
      </c>
      <c r="B286" s="3" t="s">
        <v>22</v>
      </c>
      <c r="C286" s="3" t="s">
        <v>33</v>
      </c>
      <c r="D286" s="3" t="s">
        <v>24</v>
      </c>
      <c r="E286" s="3" t="s">
        <v>24</v>
      </c>
      <c r="F286" s="3" t="s">
        <v>25</v>
      </c>
      <c r="G286" s="3" t="s">
        <v>25</v>
      </c>
      <c r="H286" s="3" t="s">
        <v>34</v>
      </c>
      <c r="I286" s="6">
        <v>44470</v>
      </c>
      <c r="J286" s="4">
        <v>0</v>
      </c>
      <c r="K286" s="4">
        <v>0</v>
      </c>
      <c r="L286" s="4">
        <v>5.2999999999999999E-2</v>
      </c>
      <c r="M286" s="4">
        <v>5.2999999999999999E-2</v>
      </c>
      <c r="N286" s="4">
        <v>5.2999999999999999E-2</v>
      </c>
      <c r="O286" s="4">
        <v>5.2999999999999999E-2</v>
      </c>
      <c r="P286" s="4">
        <v>0</v>
      </c>
      <c r="Q286" s="3" t="s">
        <v>26</v>
      </c>
      <c r="R286" s="3">
        <v>0</v>
      </c>
      <c r="S286" s="3" t="s">
        <v>199</v>
      </c>
      <c r="T286" s="3" t="s">
        <v>438</v>
      </c>
      <c r="U286" s="3">
        <v>0</v>
      </c>
      <c r="V286" s="3">
        <v>16</v>
      </c>
      <c r="W286" s="3">
        <v>56</v>
      </c>
    </row>
    <row r="287" spans="1:23" ht="11.25" customHeight="1" x14ac:dyDescent="0.3">
      <c r="A287" s="3" t="s">
        <v>21</v>
      </c>
      <c r="B287" s="3" t="s">
        <v>22</v>
      </c>
      <c r="C287" s="3" t="s">
        <v>33</v>
      </c>
      <c r="D287" s="3" t="s">
        <v>24</v>
      </c>
      <c r="E287" s="3" t="s">
        <v>24</v>
      </c>
      <c r="F287" s="3" t="s">
        <v>25</v>
      </c>
      <c r="G287" s="3" t="s">
        <v>25</v>
      </c>
      <c r="H287" s="3" t="s">
        <v>34</v>
      </c>
      <c r="I287" s="6">
        <v>44501</v>
      </c>
      <c r="J287" s="4">
        <v>0</v>
      </c>
      <c r="K287" s="4">
        <v>0</v>
      </c>
      <c r="L287" s="4">
        <v>5.0999999999999997E-2</v>
      </c>
      <c r="M287" s="4">
        <v>5.0999999999999997E-2</v>
      </c>
      <c r="N287" s="4">
        <v>5.0999999999999997E-2</v>
      </c>
      <c r="O287" s="4">
        <v>5.0999999999999997E-2</v>
      </c>
      <c r="P287" s="4">
        <v>0</v>
      </c>
      <c r="Q287" s="3" t="s">
        <v>26</v>
      </c>
      <c r="R287" s="3">
        <v>0</v>
      </c>
      <c r="S287" s="3" t="s">
        <v>200</v>
      </c>
      <c r="T287" s="3" t="s">
        <v>439</v>
      </c>
      <c r="U287" s="3">
        <v>0</v>
      </c>
      <c r="V287" s="3">
        <v>16</v>
      </c>
      <c r="W287" s="3">
        <v>56</v>
      </c>
    </row>
    <row r="288" spans="1:23" ht="11.25" customHeight="1" x14ac:dyDescent="0.3">
      <c r="A288" s="3" t="s">
        <v>21</v>
      </c>
      <c r="B288" s="3" t="s">
        <v>22</v>
      </c>
      <c r="C288" s="3" t="s">
        <v>33</v>
      </c>
      <c r="D288" s="3" t="s">
        <v>24</v>
      </c>
      <c r="E288" s="3" t="s">
        <v>24</v>
      </c>
      <c r="F288" s="3" t="s">
        <v>25</v>
      </c>
      <c r="G288" s="3" t="s">
        <v>25</v>
      </c>
      <c r="H288" s="3" t="s">
        <v>34</v>
      </c>
      <c r="I288" s="6">
        <v>44531</v>
      </c>
      <c r="J288" s="4">
        <v>0</v>
      </c>
      <c r="K288" s="4">
        <v>0</v>
      </c>
      <c r="L288" s="4">
        <v>5.5E-2</v>
      </c>
      <c r="M288" s="4">
        <v>5.5E-2</v>
      </c>
      <c r="N288" s="4">
        <v>5.5E-2</v>
      </c>
      <c r="O288" s="4">
        <v>5.5E-2</v>
      </c>
      <c r="P288" s="4">
        <v>0</v>
      </c>
      <c r="Q288" s="3" t="s">
        <v>26</v>
      </c>
      <c r="R288" s="3">
        <v>0</v>
      </c>
      <c r="S288" s="3" t="s">
        <v>201</v>
      </c>
      <c r="T288" s="3" t="s">
        <v>440</v>
      </c>
      <c r="U288" s="3">
        <v>0</v>
      </c>
      <c r="V288" s="3">
        <v>16</v>
      </c>
      <c r="W288" s="3">
        <v>56</v>
      </c>
    </row>
    <row r="289" spans="1:23" ht="11.25" customHeight="1" x14ac:dyDescent="0.3">
      <c r="A289" s="3" t="s">
        <v>21</v>
      </c>
      <c r="B289" s="3" t="s">
        <v>22</v>
      </c>
      <c r="C289" s="3" t="s">
        <v>33</v>
      </c>
      <c r="D289" s="3" t="s">
        <v>24</v>
      </c>
      <c r="E289" s="3" t="s">
        <v>24</v>
      </c>
      <c r="F289" s="3" t="s">
        <v>25</v>
      </c>
      <c r="G289" s="3" t="s">
        <v>25</v>
      </c>
      <c r="H289" s="3" t="s">
        <v>34</v>
      </c>
      <c r="I289" s="6">
        <v>44562</v>
      </c>
      <c r="J289" s="4">
        <v>0</v>
      </c>
      <c r="K289" s="4">
        <v>0</v>
      </c>
      <c r="L289" s="4">
        <v>6.3E-2</v>
      </c>
      <c r="M289" s="4">
        <v>6.3E-2</v>
      </c>
      <c r="N289" s="4">
        <v>6.3E-2</v>
      </c>
      <c r="O289" s="4">
        <v>6.3E-2</v>
      </c>
      <c r="P289" s="4">
        <v>0</v>
      </c>
      <c r="Q289" s="3" t="s">
        <v>26</v>
      </c>
      <c r="R289" s="3">
        <v>0</v>
      </c>
      <c r="S289" s="3" t="s">
        <v>202</v>
      </c>
      <c r="T289" s="3" t="s">
        <v>441</v>
      </c>
      <c r="U289" s="3">
        <v>0</v>
      </c>
      <c r="V289" s="3">
        <v>16</v>
      </c>
      <c r="W289" s="3">
        <v>56</v>
      </c>
    </row>
    <row r="290" spans="1:23" ht="11.25" customHeight="1" x14ac:dyDescent="0.3">
      <c r="A290" s="3" t="s">
        <v>21</v>
      </c>
      <c r="B290" s="3" t="s">
        <v>22</v>
      </c>
      <c r="C290" s="3" t="s">
        <v>33</v>
      </c>
      <c r="D290" s="3" t="s">
        <v>24</v>
      </c>
      <c r="E290" s="3" t="s">
        <v>24</v>
      </c>
      <c r="F290" s="3" t="s">
        <v>25</v>
      </c>
      <c r="G290" s="3" t="s">
        <v>25</v>
      </c>
      <c r="H290" s="3" t="s">
        <v>34</v>
      </c>
      <c r="I290" s="6">
        <v>44593</v>
      </c>
      <c r="J290" s="4">
        <v>0</v>
      </c>
      <c r="K290" s="4">
        <v>0</v>
      </c>
      <c r="L290" s="4">
        <v>7.8E-2</v>
      </c>
      <c r="M290" s="4">
        <v>7.8E-2</v>
      </c>
      <c r="N290" s="4">
        <v>7.8E-2</v>
      </c>
      <c r="O290" s="4">
        <v>7.8E-2</v>
      </c>
      <c r="P290" s="4">
        <v>0</v>
      </c>
      <c r="Q290" s="3" t="s">
        <v>26</v>
      </c>
      <c r="R290" s="3">
        <v>0</v>
      </c>
      <c r="S290" s="3" t="s">
        <v>203</v>
      </c>
      <c r="T290" s="3" t="s">
        <v>442</v>
      </c>
      <c r="U290" s="3">
        <v>0</v>
      </c>
      <c r="V290" s="3">
        <v>16</v>
      </c>
      <c r="W290" s="3">
        <v>56</v>
      </c>
    </row>
    <row r="291" spans="1:23" ht="11.25" customHeight="1" x14ac:dyDescent="0.3">
      <c r="A291" s="3" t="s">
        <v>21</v>
      </c>
      <c r="B291" s="3" t="s">
        <v>22</v>
      </c>
      <c r="C291" s="3" t="s">
        <v>33</v>
      </c>
      <c r="D291" s="3" t="s">
        <v>24</v>
      </c>
      <c r="E291" s="3" t="s">
        <v>24</v>
      </c>
      <c r="F291" s="3" t="s">
        <v>25</v>
      </c>
      <c r="G291" s="3" t="s">
        <v>25</v>
      </c>
      <c r="H291" s="3" t="s">
        <v>34</v>
      </c>
      <c r="I291" s="6">
        <v>44621</v>
      </c>
      <c r="J291" s="4">
        <v>0</v>
      </c>
      <c r="K291" s="4">
        <v>0</v>
      </c>
      <c r="L291" s="4">
        <v>6.9000000000000006E-2</v>
      </c>
      <c r="M291" s="4">
        <v>6.9000000000000006E-2</v>
      </c>
      <c r="N291" s="4">
        <v>6.9000000000000006E-2</v>
      </c>
      <c r="O291" s="4">
        <v>6.9000000000000006E-2</v>
      </c>
      <c r="P291" s="4">
        <v>0</v>
      </c>
      <c r="Q291" s="3" t="s">
        <v>26</v>
      </c>
      <c r="R291" s="3">
        <v>0</v>
      </c>
      <c r="S291" s="3" t="s">
        <v>204</v>
      </c>
      <c r="T291" s="3" t="s">
        <v>443</v>
      </c>
      <c r="U291" s="3">
        <v>0</v>
      </c>
      <c r="V291" s="3">
        <v>16</v>
      </c>
      <c r="W291" s="3">
        <v>56</v>
      </c>
    </row>
    <row r="292" spans="1:23" ht="11.25" customHeight="1" x14ac:dyDescent="0.3">
      <c r="A292" s="3" t="s">
        <v>21</v>
      </c>
      <c r="B292" s="3" t="s">
        <v>22</v>
      </c>
      <c r="C292" s="3" t="s">
        <v>33</v>
      </c>
      <c r="D292" s="3" t="s">
        <v>24</v>
      </c>
      <c r="E292" s="3" t="s">
        <v>24</v>
      </c>
      <c r="F292" s="3" t="s">
        <v>25</v>
      </c>
      <c r="G292" s="3" t="s">
        <v>25</v>
      </c>
      <c r="H292" s="3" t="s">
        <v>34</v>
      </c>
      <c r="I292" s="6">
        <v>44652</v>
      </c>
      <c r="J292" s="4">
        <v>0</v>
      </c>
      <c r="K292" s="4">
        <v>0</v>
      </c>
      <c r="L292" s="4">
        <v>4.2000000000000003E-2</v>
      </c>
      <c r="M292" s="4">
        <v>4.2000000000000003E-2</v>
      </c>
      <c r="N292" s="4">
        <v>4.2000000000000003E-2</v>
      </c>
      <c r="O292" s="4">
        <v>4.2000000000000003E-2</v>
      </c>
      <c r="P292" s="4">
        <v>0</v>
      </c>
      <c r="Q292" s="3" t="s">
        <v>26</v>
      </c>
      <c r="R292" s="3">
        <v>0</v>
      </c>
      <c r="S292" s="3" t="s">
        <v>205</v>
      </c>
      <c r="T292" s="3" t="s">
        <v>444</v>
      </c>
      <c r="U292" s="3">
        <v>0</v>
      </c>
      <c r="V292" s="3">
        <v>16</v>
      </c>
      <c r="W292" s="3">
        <v>56</v>
      </c>
    </row>
    <row r="293" spans="1:23" ht="11.25" customHeight="1" x14ac:dyDescent="0.3">
      <c r="A293" s="3" t="s">
        <v>21</v>
      </c>
      <c r="B293" s="3" t="s">
        <v>22</v>
      </c>
      <c r="C293" s="3" t="s">
        <v>33</v>
      </c>
      <c r="D293" s="3" t="s">
        <v>24</v>
      </c>
      <c r="E293" s="3" t="s">
        <v>24</v>
      </c>
      <c r="F293" s="3" t="s">
        <v>25</v>
      </c>
      <c r="G293" s="3" t="s">
        <v>25</v>
      </c>
      <c r="H293" s="3" t="s">
        <v>34</v>
      </c>
      <c r="I293" s="6">
        <v>44682</v>
      </c>
      <c r="J293" s="4">
        <v>0</v>
      </c>
      <c r="K293" s="4">
        <v>0</v>
      </c>
      <c r="L293" s="4">
        <v>4.3999999999999997E-2</v>
      </c>
      <c r="M293" s="4">
        <v>4.3999999999999997E-2</v>
      </c>
      <c r="N293" s="4">
        <v>4.3999999999999997E-2</v>
      </c>
      <c r="O293" s="4">
        <v>4.3999999999999997E-2</v>
      </c>
      <c r="P293" s="4">
        <v>0</v>
      </c>
      <c r="Q293" s="3" t="s">
        <v>26</v>
      </c>
      <c r="R293" s="3">
        <v>0</v>
      </c>
      <c r="S293" s="3" t="s">
        <v>206</v>
      </c>
      <c r="T293" s="3" t="s">
        <v>445</v>
      </c>
      <c r="U293" s="3">
        <v>0</v>
      </c>
      <c r="V293" s="3">
        <v>16</v>
      </c>
      <c r="W293" s="3">
        <v>56</v>
      </c>
    </row>
    <row r="294" spans="1:23" ht="11.25" customHeight="1" x14ac:dyDescent="0.3">
      <c r="A294" s="3" t="s">
        <v>21</v>
      </c>
      <c r="B294" s="3" t="s">
        <v>22</v>
      </c>
      <c r="C294" s="3" t="s">
        <v>33</v>
      </c>
      <c r="D294" s="3" t="s">
        <v>24</v>
      </c>
      <c r="E294" s="3" t="s">
        <v>24</v>
      </c>
      <c r="F294" s="3" t="s">
        <v>25</v>
      </c>
      <c r="G294" s="3" t="s">
        <v>25</v>
      </c>
      <c r="H294" s="3" t="s">
        <v>34</v>
      </c>
      <c r="I294" s="6">
        <v>44713</v>
      </c>
      <c r="J294" s="4">
        <v>0</v>
      </c>
      <c r="K294" s="4">
        <v>0</v>
      </c>
      <c r="L294" s="4">
        <v>7.0000000000000007E-2</v>
      </c>
      <c r="M294" s="4">
        <v>7.0000000000000007E-2</v>
      </c>
      <c r="N294" s="4">
        <v>7.0000000000000007E-2</v>
      </c>
      <c r="O294" s="4">
        <v>7.0000000000000007E-2</v>
      </c>
      <c r="P294" s="4">
        <v>0</v>
      </c>
      <c r="Q294" s="3" t="s">
        <v>26</v>
      </c>
      <c r="R294" s="3">
        <v>0</v>
      </c>
      <c r="S294" s="3" t="s">
        <v>207</v>
      </c>
      <c r="T294" s="3" t="s">
        <v>446</v>
      </c>
      <c r="U294" s="3">
        <v>0</v>
      </c>
      <c r="V294" s="3">
        <v>16</v>
      </c>
      <c r="W294" s="3">
        <v>56</v>
      </c>
    </row>
    <row r="295" spans="1:23" ht="11.25" customHeight="1" x14ac:dyDescent="0.3">
      <c r="A295" s="3" t="s">
        <v>21</v>
      </c>
      <c r="B295" s="3" t="s">
        <v>22</v>
      </c>
      <c r="C295" s="3" t="s">
        <v>23</v>
      </c>
      <c r="D295" s="3" t="s">
        <v>24</v>
      </c>
      <c r="E295" s="3" t="s">
        <v>24</v>
      </c>
      <c r="F295" s="3" t="s">
        <v>25</v>
      </c>
      <c r="G295" s="3" t="s">
        <v>25</v>
      </c>
      <c r="H295" s="3" t="s">
        <v>25</v>
      </c>
      <c r="I295" s="6">
        <v>44378</v>
      </c>
      <c r="J295" s="4">
        <v>0</v>
      </c>
      <c r="K295" s="4">
        <v>0</v>
      </c>
      <c r="L295" s="4">
        <v>1503.675</v>
      </c>
      <c r="M295" s="4">
        <v>1503.675</v>
      </c>
      <c r="N295" s="4">
        <v>1503.675</v>
      </c>
      <c r="O295" s="4">
        <v>1503.675</v>
      </c>
      <c r="P295" s="4">
        <v>9100</v>
      </c>
      <c r="Q295" s="3" t="s">
        <v>26</v>
      </c>
      <c r="R295" s="3">
        <v>0</v>
      </c>
      <c r="S295" s="3" t="s">
        <v>208</v>
      </c>
      <c r="T295" s="3" t="s">
        <v>447</v>
      </c>
      <c r="U295" s="3">
        <v>0</v>
      </c>
      <c r="V295" s="3">
        <v>19</v>
      </c>
      <c r="W295" s="3">
        <v>59</v>
      </c>
    </row>
    <row r="296" spans="1:23" ht="11.25" customHeight="1" x14ac:dyDescent="0.3">
      <c r="A296" s="3" t="s">
        <v>27</v>
      </c>
      <c r="B296" s="3" t="s">
        <v>22</v>
      </c>
      <c r="C296" s="3" t="s">
        <v>23</v>
      </c>
      <c r="D296" s="3" t="s">
        <v>24</v>
      </c>
      <c r="E296" s="3" t="s">
        <v>24</v>
      </c>
      <c r="F296" s="3" t="s">
        <v>25</v>
      </c>
      <c r="G296" s="3" t="s">
        <v>25</v>
      </c>
      <c r="H296" s="3" t="s">
        <v>25</v>
      </c>
      <c r="I296" s="6">
        <v>44378</v>
      </c>
      <c r="J296" s="4">
        <v>0</v>
      </c>
      <c r="K296" s="4">
        <v>0</v>
      </c>
      <c r="L296" s="4">
        <v>-2.8140000000000001</v>
      </c>
      <c r="M296" s="4">
        <v>-2.8140000000000001</v>
      </c>
      <c r="N296" s="4">
        <v>-2.8140000000000001</v>
      </c>
      <c r="O296" s="4">
        <v>-2.8140000000000001</v>
      </c>
      <c r="P296" s="4">
        <v>0</v>
      </c>
      <c r="Q296" s="3" t="s">
        <v>26</v>
      </c>
      <c r="R296" s="3">
        <v>0</v>
      </c>
      <c r="S296" s="3" t="s">
        <v>208</v>
      </c>
      <c r="T296" s="3" t="s">
        <v>447</v>
      </c>
      <c r="U296" s="3">
        <v>0</v>
      </c>
      <c r="V296" s="3">
        <v>19</v>
      </c>
      <c r="W296" s="3">
        <v>59</v>
      </c>
    </row>
    <row r="297" spans="1:23" ht="11.25" customHeight="1" x14ac:dyDescent="0.3">
      <c r="A297" s="3" t="s">
        <v>28</v>
      </c>
      <c r="B297" s="3" t="s">
        <v>22</v>
      </c>
      <c r="C297" s="3" t="s">
        <v>23</v>
      </c>
      <c r="D297" s="3" t="s">
        <v>24</v>
      </c>
      <c r="E297" s="3" t="s">
        <v>24</v>
      </c>
      <c r="F297" s="3" t="s">
        <v>25</v>
      </c>
      <c r="G297" s="3" t="s">
        <v>25</v>
      </c>
      <c r="H297" s="3" t="s">
        <v>25</v>
      </c>
      <c r="I297" s="6">
        <v>44378</v>
      </c>
      <c r="J297" s="4">
        <v>0</v>
      </c>
      <c r="K297" s="4">
        <v>0</v>
      </c>
      <c r="L297" s="4">
        <v>38.305999999999997</v>
      </c>
      <c r="M297" s="4">
        <v>38.305999999999997</v>
      </c>
      <c r="N297" s="4">
        <v>38.305999999999997</v>
      </c>
      <c r="O297" s="4">
        <v>38.305999999999997</v>
      </c>
      <c r="P297" s="4">
        <v>150</v>
      </c>
      <c r="Q297" s="3" t="s">
        <v>26</v>
      </c>
      <c r="R297" s="3">
        <v>0</v>
      </c>
      <c r="S297" s="3" t="s">
        <v>208</v>
      </c>
      <c r="T297" s="3" t="s">
        <v>447</v>
      </c>
      <c r="U297" s="3">
        <v>0</v>
      </c>
      <c r="V297" s="3">
        <v>19</v>
      </c>
      <c r="W297" s="3">
        <v>59</v>
      </c>
    </row>
    <row r="298" spans="1:23" ht="11.25" customHeight="1" x14ac:dyDescent="0.3">
      <c r="A298" s="3" t="s">
        <v>21</v>
      </c>
      <c r="B298" s="3" t="s">
        <v>22</v>
      </c>
      <c r="C298" s="3" t="s">
        <v>23</v>
      </c>
      <c r="D298" s="3" t="s">
        <v>24</v>
      </c>
      <c r="E298" s="3" t="s">
        <v>24</v>
      </c>
      <c r="F298" s="3" t="s">
        <v>25</v>
      </c>
      <c r="G298" s="3" t="s">
        <v>25</v>
      </c>
      <c r="H298" s="3" t="s">
        <v>25</v>
      </c>
      <c r="I298" s="6">
        <v>44409</v>
      </c>
      <c r="J298" s="4">
        <v>0</v>
      </c>
      <c r="K298" s="4">
        <v>0</v>
      </c>
      <c r="L298" s="4">
        <v>1619.2529999999999</v>
      </c>
      <c r="M298" s="4">
        <v>1619.2529999999999</v>
      </c>
      <c r="N298" s="4">
        <v>1619.2529999999999</v>
      </c>
      <c r="O298" s="4">
        <v>1619.2529999999999</v>
      </c>
      <c r="P298" s="4">
        <v>9125</v>
      </c>
      <c r="Q298" s="3" t="s">
        <v>26</v>
      </c>
      <c r="R298" s="3">
        <v>0</v>
      </c>
      <c r="S298" s="3" t="s">
        <v>209</v>
      </c>
      <c r="T298" s="3" t="s">
        <v>448</v>
      </c>
      <c r="U298" s="3">
        <v>0</v>
      </c>
      <c r="V298" s="3">
        <v>19</v>
      </c>
      <c r="W298" s="3">
        <v>59</v>
      </c>
    </row>
    <row r="299" spans="1:23" ht="11.25" customHeight="1" x14ac:dyDescent="0.3">
      <c r="A299" s="3" t="s">
        <v>27</v>
      </c>
      <c r="B299" s="3" t="s">
        <v>22</v>
      </c>
      <c r="C299" s="3" t="s">
        <v>23</v>
      </c>
      <c r="D299" s="3" t="s">
        <v>24</v>
      </c>
      <c r="E299" s="3" t="s">
        <v>24</v>
      </c>
      <c r="F299" s="3" t="s">
        <v>25</v>
      </c>
      <c r="G299" s="3" t="s">
        <v>25</v>
      </c>
      <c r="H299" s="3" t="s">
        <v>25</v>
      </c>
      <c r="I299" s="6">
        <v>44409</v>
      </c>
      <c r="J299" s="4">
        <v>0</v>
      </c>
      <c r="K299" s="4">
        <v>0</v>
      </c>
      <c r="L299" s="4">
        <v>-8.343</v>
      </c>
      <c r="M299" s="4">
        <v>-8.343</v>
      </c>
      <c r="N299" s="4">
        <v>-8.343</v>
      </c>
      <c r="O299" s="4">
        <v>-8.343</v>
      </c>
      <c r="P299" s="4">
        <v>0</v>
      </c>
      <c r="Q299" s="3" t="s">
        <v>26</v>
      </c>
      <c r="R299" s="3">
        <v>0</v>
      </c>
      <c r="S299" s="3" t="s">
        <v>209</v>
      </c>
      <c r="T299" s="3" t="s">
        <v>448</v>
      </c>
      <c r="U299" s="3">
        <v>0</v>
      </c>
      <c r="V299" s="3">
        <v>19</v>
      </c>
      <c r="W299" s="3">
        <v>59</v>
      </c>
    </row>
    <row r="300" spans="1:23" ht="11.25" customHeight="1" x14ac:dyDescent="0.3">
      <c r="A300" s="3" t="s">
        <v>28</v>
      </c>
      <c r="B300" s="3" t="s">
        <v>22</v>
      </c>
      <c r="C300" s="3" t="s">
        <v>23</v>
      </c>
      <c r="D300" s="3" t="s">
        <v>24</v>
      </c>
      <c r="E300" s="3" t="s">
        <v>24</v>
      </c>
      <c r="F300" s="3" t="s">
        <v>25</v>
      </c>
      <c r="G300" s="3" t="s">
        <v>25</v>
      </c>
      <c r="H300" s="3" t="s">
        <v>25</v>
      </c>
      <c r="I300" s="6">
        <v>44409</v>
      </c>
      <c r="J300" s="4">
        <v>0</v>
      </c>
      <c r="K300" s="4">
        <v>0</v>
      </c>
      <c r="L300" s="4">
        <v>23.1</v>
      </c>
      <c r="M300" s="4">
        <v>23.1</v>
      </c>
      <c r="N300" s="4">
        <v>23.1</v>
      </c>
      <c r="O300" s="4">
        <v>23.1</v>
      </c>
      <c r="P300" s="4">
        <v>154</v>
      </c>
      <c r="Q300" s="3" t="s">
        <v>26</v>
      </c>
      <c r="R300" s="3">
        <v>0</v>
      </c>
      <c r="S300" s="3" t="s">
        <v>209</v>
      </c>
      <c r="T300" s="3" t="s">
        <v>448</v>
      </c>
      <c r="U300" s="3">
        <v>0</v>
      </c>
      <c r="V300" s="3">
        <v>19</v>
      </c>
      <c r="W300" s="3">
        <v>59</v>
      </c>
    </row>
    <row r="301" spans="1:23" ht="11.25" customHeight="1" x14ac:dyDescent="0.3">
      <c r="A301" s="3" t="s">
        <v>28</v>
      </c>
      <c r="B301" s="3" t="s">
        <v>22</v>
      </c>
      <c r="C301" s="3" t="s">
        <v>23</v>
      </c>
      <c r="D301" s="3" t="s">
        <v>24</v>
      </c>
      <c r="E301" s="3" t="s">
        <v>24</v>
      </c>
      <c r="F301" s="3" t="s">
        <v>25</v>
      </c>
      <c r="G301" s="3" t="s">
        <v>25</v>
      </c>
      <c r="H301" s="3" t="s">
        <v>25</v>
      </c>
      <c r="I301" s="6">
        <v>44409</v>
      </c>
      <c r="J301" s="4">
        <v>0</v>
      </c>
      <c r="K301" s="4">
        <v>0</v>
      </c>
      <c r="L301" s="4">
        <v>-7.8010000000000002</v>
      </c>
      <c r="M301" s="4">
        <v>-7.8010000000000002</v>
      </c>
      <c r="N301" s="4">
        <v>-7.8010000000000002</v>
      </c>
      <c r="O301" s="4">
        <v>-7.8010000000000002</v>
      </c>
      <c r="P301" s="4">
        <v>1</v>
      </c>
      <c r="Q301" s="3" t="s">
        <v>26</v>
      </c>
      <c r="R301" s="3">
        <v>0</v>
      </c>
      <c r="S301" s="3" t="s">
        <v>209</v>
      </c>
      <c r="T301" s="3" t="s">
        <v>448</v>
      </c>
      <c r="U301" s="3">
        <v>0</v>
      </c>
      <c r="V301" s="3">
        <v>19</v>
      </c>
      <c r="W301" s="3">
        <v>59</v>
      </c>
    </row>
    <row r="302" spans="1:23" ht="11.25" customHeight="1" x14ac:dyDescent="0.3">
      <c r="A302" s="3" t="s">
        <v>21</v>
      </c>
      <c r="B302" s="3" t="s">
        <v>22</v>
      </c>
      <c r="C302" s="3" t="s">
        <v>23</v>
      </c>
      <c r="D302" s="3" t="s">
        <v>24</v>
      </c>
      <c r="E302" s="3" t="s">
        <v>24</v>
      </c>
      <c r="F302" s="3" t="s">
        <v>25</v>
      </c>
      <c r="G302" s="3" t="s">
        <v>25</v>
      </c>
      <c r="H302" s="3" t="s">
        <v>25</v>
      </c>
      <c r="I302" s="6">
        <v>44440</v>
      </c>
      <c r="J302" s="4">
        <v>0</v>
      </c>
      <c r="K302" s="4">
        <v>0</v>
      </c>
      <c r="L302" s="4">
        <v>1433.952</v>
      </c>
      <c r="M302" s="4">
        <v>1433.952</v>
      </c>
      <c r="N302" s="4">
        <v>1433.952</v>
      </c>
      <c r="O302" s="4">
        <v>1433.952</v>
      </c>
      <c r="P302" s="4">
        <v>9152</v>
      </c>
      <c r="Q302" s="3" t="s">
        <v>26</v>
      </c>
      <c r="R302" s="3">
        <v>0</v>
      </c>
      <c r="S302" s="3" t="s">
        <v>210</v>
      </c>
      <c r="T302" s="3" t="s">
        <v>449</v>
      </c>
      <c r="U302" s="3">
        <v>0</v>
      </c>
      <c r="V302" s="3">
        <v>19</v>
      </c>
      <c r="W302" s="3">
        <v>59</v>
      </c>
    </row>
    <row r="303" spans="1:23" ht="11.25" customHeight="1" x14ac:dyDescent="0.3">
      <c r="A303" s="3" t="s">
        <v>27</v>
      </c>
      <c r="B303" s="3" t="s">
        <v>22</v>
      </c>
      <c r="C303" s="3" t="s">
        <v>23</v>
      </c>
      <c r="D303" s="3" t="s">
        <v>24</v>
      </c>
      <c r="E303" s="3" t="s">
        <v>24</v>
      </c>
      <c r="F303" s="3" t="s">
        <v>25</v>
      </c>
      <c r="G303" s="3" t="s">
        <v>25</v>
      </c>
      <c r="H303" s="3" t="s">
        <v>25</v>
      </c>
      <c r="I303" s="6">
        <v>44440</v>
      </c>
      <c r="J303" s="4">
        <v>0</v>
      </c>
      <c r="K303" s="4">
        <v>0</v>
      </c>
      <c r="L303" s="4">
        <v>0.79500000000000004</v>
      </c>
      <c r="M303" s="4">
        <v>0.79500000000000004</v>
      </c>
      <c r="N303" s="4">
        <v>0.79500000000000004</v>
      </c>
      <c r="O303" s="4">
        <v>0.79500000000000004</v>
      </c>
      <c r="P303" s="4">
        <v>0</v>
      </c>
      <c r="Q303" s="3" t="s">
        <v>26</v>
      </c>
      <c r="R303" s="3">
        <v>0</v>
      </c>
      <c r="S303" s="3" t="s">
        <v>210</v>
      </c>
      <c r="T303" s="3" t="s">
        <v>449</v>
      </c>
      <c r="U303" s="3">
        <v>0</v>
      </c>
      <c r="V303" s="3">
        <v>19</v>
      </c>
      <c r="W303" s="3">
        <v>59</v>
      </c>
    </row>
    <row r="304" spans="1:23" ht="11.25" customHeight="1" x14ac:dyDescent="0.3">
      <c r="A304" s="3" t="s">
        <v>28</v>
      </c>
      <c r="B304" s="3" t="s">
        <v>22</v>
      </c>
      <c r="C304" s="3" t="s">
        <v>23</v>
      </c>
      <c r="D304" s="3" t="s">
        <v>24</v>
      </c>
      <c r="E304" s="3" t="s">
        <v>24</v>
      </c>
      <c r="F304" s="3" t="s">
        <v>25</v>
      </c>
      <c r="G304" s="3" t="s">
        <v>25</v>
      </c>
      <c r="H304" s="3" t="s">
        <v>25</v>
      </c>
      <c r="I304" s="6">
        <v>44440</v>
      </c>
      <c r="J304" s="4">
        <v>0</v>
      </c>
      <c r="K304" s="4">
        <v>0</v>
      </c>
      <c r="L304" s="4">
        <v>21.585000000000001</v>
      </c>
      <c r="M304" s="4">
        <v>21.585000000000001</v>
      </c>
      <c r="N304" s="4">
        <v>21.585000000000001</v>
      </c>
      <c r="O304" s="4">
        <v>21.585000000000001</v>
      </c>
      <c r="P304" s="4">
        <v>157</v>
      </c>
      <c r="Q304" s="3" t="s">
        <v>26</v>
      </c>
      <c r="R304" s="3">
        <v>0</v>
      </c>
      <c r="S304" s="3" t="s">
        <v>210</v>
      </c>
      <c r="T304" s="3" t="s">
        <v>449</v>
      </c>
      <c r="U304" s="3">
        <v>0</v>
      </c>
      <c r="V304" s="3">
        <v>19</v>
      </c>
      <c r="W304" s="3">
        <v>59</v>
      </c>
    </row>
    <row r="305" spans="1:23" ht="11.25" customHeight="1" x14ac:dyDescent="0.3">
      <c r="A305" s="3" t="s">
        <v>21</v>
      </c>
      <c r="B305" s="3" t="s">
        <v>22</v>
      </c>
      <c r="C305" s="3" t="s">
        <v>23</v>
      </c>
      <c r="D305" s="3" t="s">
        <v>24</v>
      </c>
      <c r="E305" s="3" t="s">
        <v>24</v>
      </c>
      <c r="F305" s="3" t="s">
        <v>25</v>
      </c>
      <c r="G305" s="3" t="s">
        <v>25</v>
      </c>
      <c r="H305" s="3" t="s">
        <v>25</v>
      </c>
      <c r="I305" s="6">
        <v>44470</v>
      </c>
      <c r="J305" s="4">
        <v>0</v>
      </c>
      <c r="K305" s="4">
        <v>0</v>
      </c>
      <c r="L305" s="4">
        <v>1494.028</v>
      </c>
      <c r="M305" s="4">
        <v>1494.028</v>
      </c>
      <c r="N305" s="4">
        <v>1494.028</v>
      </c>
      <c r="O305" s="4">
        <v>1494.028</v>
      </c>
      <c r="P305" s="4">
        <v>9140</v>
      </c>
      <c r="Q305" s="3" t="s">
        <v>26</v>
      </c>
      <c r="R305" s="3">
        <v>0</v>
      </c>
      <c r="S305" s="3" t="s">
        <v>211</v>
      </c>
      <c r="T305" s="3" t="s">
        <v>450</v>
      </c>
      <c r="U305" s="3">
        <v>0</v>
      </c>
      <c r="V305" s="3">
        <v>19</v>
      </c>
      <c r="W305" s="3">
        <v>59</v>
      </c>
    </row>
    <row r="306" spans="1:23" ht="11.25" customHeight="1" x14ac:dyDescent="0.3">
      <c r="A306" s="3" t="s">
        <v>27</v>
      </c>
      <c r="B306" s="3" t="s">
        <v>22</v>
      </c>
      <c r="C306" s="3" t="s">
        <v>23</v>
      </c>
      <c r="D306" s="3" t="s">
        <v>24</v>
      </c>
      <c r="E306" s="3" t="s">
        <v>24</v>
      </c>
      <c r="F306" s="3" t="s">
        <v>25</v>
      </c>
      <c r="G306" s="3" t="s">
        <v>25</v>
      </c>
      <c r="H306" s="3" t="s">
        <v>25</v>
      </c>
      <c r="I306" s="6">
        <v>44470</v>
      </c>
      <c r="J306" s="4">
        <v>0</v>
      </c>
      <c r="K306" s="4">
        <v>0</v>
      </c>
      <c r="L306" s="4">
        <v>-1.1319999999999999</v>
      </c>
      <c r="M306" s="4">
        <v>-1.1319999999999999</v>
      </c>
      <c r="N306" s="4">
        <v>-1.1319999999999999</v>
      </c>
      <c r="O306" s="4">
        <v>-1.1319999999999999</v>
      </c>
      <c r="P306" s="4">
        <v>0</v>
      </c>
      <c r="Q306" s="3" t="s">
        <v>26</v>
      </c>
      <c r="R306" s="3">
        <v>0</v>
      </c>
      <c r="S306" s="3" t="s">
        <v>211</v>
      </c>
      <c r="T306" s="3" t="s">
        <v>450</v>
      </c>
      <c r="U306" s="3">
        <v>0</v>
      </c>
      <c r="V306" s="3">
        <v>19</v>
      </c>
      <c r="W306" s="3">
        <v>59</v>
      </c>
    </row>
    <row r="307" spans="1:23" ht="11.25" customHeight="1" x14ac:dyDescent="0.3">
      <c r="A307" s="3" t="s">
        <v>28</v>
      </c>
      <c r="B307" s="3" t="s">
        <v>22</v>
      </c>
      <c r="C307" s="3" t="s">
        <v>23</v>
      </c>
      <c r="D307" s="3" t="s">
        <v>24</v>
      </c>
      <c r="E307" s="3" t="s">
        <v>24</v>
      </c>
      <c r="F307" s="3" t="s">
        <v>25</v>
      </c>
      <c r="G307" s="3" t="s">
        <v>25</v>
      </c>
      <c r="H307" s="3" t="s">
        <v>25</v>
      </c>
      <c r="I307" s="6">
        <v>44470</v>
      </c>
      <c r="J307" s="4">
        <v>0</v>
      </c>
      <c r="K307" s="4">
        <v>0</v>
      </c>
      <c r="L307" s="4">
        <v>17.795999999999999</v>
      </c>
      <c r="M307" s="4">
        <v>17.795999999999999</v>
      </c>
      <c r="N307" s="4">
        <v>17.795999999999999</v>
      </c>
      <c r="O307" s="4">
        <v>17.795999999999999</v>
      </c>
      <c r="P307" s="4">
        <v>164</v>
      </c>
      <c r="Q307" s="3" t="s">
        <v>26</v>
      </c>
      <c r="R307" s="3">
        <v>0</v>
      </c>
      <c r="S307" s="3" t="s">
        <v>211</v>
      </c>
      <c r="T307" s="3" t="s">
        <v>450</v>
      </c>
      <c r="U307" s="3">
        <v>0</v>
      </c>
      <c r="V307" s="3">
        <v>19</v>
      </c>
      <c r="W307" s="3">
        <v>59</v>
      </c>
    </row>
    <row r="308" spans="1:23" ht="11.25" customHeight="1" x14ac:dyDescent="0.3">
      <c r="A308" s="3" t="s">
        <v>21</v>
      </c>
      <c r="B308" s="3" t="s">
        <v>22</v>
      </c>
      <c r="C308" s="3" t="s">
        <v>23</v>
      </c>
      <c r="D308" s="3" t="s">
        <v>24</v>
      </c>
      <c r="E308" s="3" t="s">
        <v>24</v>
      </c>
      <c r="F308" s="3" t="s">
        <v>25</v>
      </c>
      <c r="G308" s="3" t="s">
        <v>25</v>
      </c>
      <c r="H308" s="3" t="s">
        <v>25</v>
      </c>
      <c r="I308" s="6">
        <v>44501</v>
      </c>
      <c r="J308" s="4">
        <v>0</v>
      </c>
      <c r="K308" s="4">
        <v>0</v>
      </c>
      <c r="L308" s="4">
        <v>1608.471</v>
      </c>
      <c r="M308" s="4">
        <v>1608.471</v>
      </c>
      <c r="N308" s="4">
        <v>1608.471</v>
      </c>
      <c r="O308" s="4">
        <v>1608.471</v>
      </c>
      <c r="P308" s="4">
        <v>9148</v>
      </c>
      <c r="Q308" s="3" t="s">
        <v>26</v>
      </c>
      <c r="R308" s="3">
        <v>0</v>
      </c>
      <c r="S308" s="3" t="s">
        <v>212</v>
      </c>
      <c r="T308" s="3" t="s">
        <v>451</v>
      </c>
      <c r="U308" s="3">
        <v>0</v>
      </c>
      <c r="V308" s="3">
        <v>19</v>
      </c>
      <c r="W308" s="3">
        <v>59</v>
      </c>
    </row>
    <row r="309" spans="1:23" ht="11.25" customHeight="1" x14ac:dyDescent="0.3">
      <c r="A309" s="3" t="s">
        <v>27</v>
      </c>
      <c r="B309" s="3" t="s">
        <v>22</v>
      </c>
      <c r="C309" s="3" t="s">
        <v>23</v>
      </c>
      <c r="D309" s="3" t="s">
        <v>24</v>
      </c>
      <c r="E309" s="3" t="s">
        <v>24</v>
      </c>
      <c r="F309" s="3" t="s">
        <v>25</v>
      </c>
      <c r="G309" s="3" t="s">
        <v>25</v>
      </c>
      <c r="H309" s="3" t="s">
        <v>25</v>
      </c>
      <c r="I309" s="6">
        <v>44501</v>
      </c>
      <c r="J309" s="4">
        <v>0</v>
      </c>
      <c r="K309" s="4">
        <v>0</v>
      </c>
      <c r="L309" s="4">
        <v>-0.13500000000000001</v>
      </c>
      <c r="M309" s="4">
        <v>-0.13500000000000001</v>
      </c>
      <c r="N309" s="4">
        <v>-0.13500000000000001</v>
      </c>
      <c r="O309" s="4">
        <v>-0.13500000000000001</v>
      </c>
      <c r="P309" s="4">
        <v>0</v>
      </c>
      <c r="Q309" s="3" t="s">
        <v>26</v>
      </c>
      <c r="R309" s="3">
        <v>0</v>
      </c>
      <c r="S309" s="3" t="s">
        <v>212</v>
      </c>
      <c r="T309" s="3" t="s">
        <v>451</v>
      </c>
      <c r="U309" s="3">
        <v>0</v>
      </c>
      <c r="V309" s="3">
        <v>19</v>
      </c>
      <c r="W309" s="3">
        <v>59</v>
      </c>
    </row>
    <row r="310" spans="1:23" ht="11.25" customHeight="1" x14ac:dyDescent="0.3">
      <c r="A310" s="3" t="s">
        <v>28</v>
      </c>
      <c r="B310" s="3" t="s">
        <v>22</v>
      </c>
      <c r="C310" s="3" t="s">
        <v>23</v>
      </c>
      <c r="D310" s="3" t="s">
        <v>24</v>
      </c>
      <c r="E310" s="3" t="s">
        <v>24</v>
      </c>
      <c r="F310" s="3" t="s">
        <v>25</v>
      </c>
      <c r="G310" s="3" t="s">
        <v>25</v>
      </c>
      <c r="H310" s="3" t="s">
        <v>25</v>
      </c>
      <c r="I310" s="6">
        <v>44501</v>
      </c>
      <c r="J310" s="4">
        <v>0</v>
      </c>
      <c r="K310" s="4">
        <v>0</v>
      </c>
      <c r="L310" s="4">
        <v>18.366</v>
      </c>
      <c r="M310" s="4">
        <v>18.366</v>
      </c>
      <c r="N310" s="4">
        <v>18.366</v>
      </c>
      <c r="O310" s="4">
        <v>18.366</v>
      </c>
      <c r="P310" s="4">
        <v>170</v>
      </c>
      <c r="Q310" s="3" t="s">
        <v>26</v>
      </c>
      <c r="R310" s="3">
        <v>0</v>
      </c>
      <c r="S310" s="3" t="s">
        <v>212</v>
      </c>
      <c r="T310" s="3" t="s">
        <v>451</v>
      </c>
      <c r="U310" s="3">
        <v>0</v>
      </c>
      <c r="V310" s="3">
        <v>19</v>
      </c>
      <c r="W310" s="3">
        <v>59</v>
      </c>
    </row>
    <row r="311" spans="1:23" ht="11.25" customHeight="1" x14ac:dyDescent="0.3">
      <c r="A311" s="3" t="s">
        <v>21</v>
      </c>
      <c r="B311" s="3" t="s">
        <v>22</v>
      </c>
      <c r="C311" s="3" t="s">
        <v>23</v>
      </c>
      <c r="D311" s="3" t="s">
        <v>24</v>
      </c>
      <c r="E311" s="3" t="s">
        <v>24</v>
      </c>
      <c r="F311" s="3" t="s">
        <v>25</v>
      </c>
      <c r="G311" s="3" t="s">
        <v>25</v>
      </c>
      <c r="H311" s="3" t="s">
        <v>25</v>
      </c>
      <c r="I311" s="6">
        <v>44531</v>
      </c>
      <c r="J311" s="4">
        <v>0</v>
      </c>
      <c r="K311" s="4">
        <v>0</v>
      </c>
      <c r="L311" s="4">
        <v>1688.9179999999999</v>
      </c>
      <c r="M311" s="4">
        <v>1688.9179999999999</v>
      </c>
      <c r="N311" s="4">
        <v>1688.9179999999999</v>
      </c>
      <c r="O311" s="4">
        <v>1688.9179999999999</v>
      </c>
      <c r="P311" s="4">
        <v>9151</v>
      </c>
      <c r="Q311" s="3" t="s">
        <v>26</v>
      </c>
      <c r="R311" s="3">
        <v>0</v>
      </c>
      <c r="S311" s="3" t="s">
        <v>213</v>
      </c>
      <c r="T311" s="3" t="s">
        <v>452</v>
      </c>
      <c r="U311" s="3">
        <v>0</v>
      </c>
      <c r="V311" s="3">
        <v>19</v>
      </c>
      <c r="W311" s="3">
        <v>59</v>
      </c>
    </row>
    <row r="312" spans="1:23" ht="11.25" customHeight="1" x14ac:dyDescent="0.3">
      <c r="A312" s="3" t="s">
        <v>27</v>
      </c>
      <c r="B312" s="3" t="s">
        <v>22</v>
      </c>
      <c r="C312" s="3" t="s">
        <v>23</v>
      </c>
      <c r="D312" s="3" t="s">
        <v>24</v>
      </c>
      <c r="E312" s="3" t="s">
        <v>24</v>
      </c>
      <c r="F312" s="3" t="s">
        <v>25</v>
      </c>
      <c r="G312" s="3" t="s">
        <v>25</v>
      </c>
      <c r="H312" s="3" t="s">
        <v>25</v>
      </c>
      <c r="I312" s="6">
        <v>44531</v>
      </c>
      <c r="J312" s="4">
        <v>0</v>
      </c>
      <c r="K312" s="4">
        <v>0</v>
      </c>
      <c r="L312" s="4">
        <v>8.3000000000000004E-2</v>
      </c>
      <c r="M312" s="4">
        <v>8.3000000000000004E-2</v>
      </c>
      <c r="N312" s="4">
        <v>8.3000000000000004E-2</v>
      </c>
      <c r="O312" s="4">
        <v>8.3000000000000004E-2</v>
      </c>
      <c r="P312" s="4">
        <v>0</v>
      </c>
      <c r="Q312" s="3" t="s">
        <v>26</v>
      </c>
      <c r="R312" s="3">
        <v>0</v>
      </c>
      <c r="S312" s="3" t="s">
        <v>213</v>
      </c>
      <c r="T312" s="3" t="s">
        <v>452</v>
      </c>
      <c r="U312" s="3">
        <v>0</v>
      </c>
      <c r="V312" s="3">
        <v>19</v>
      </c>
      <c r="W312" s="3">
        <v>59</v>
      </c>
    </row>
    <row r="313" spans="1:23" ht="11.25" customHeight="1" x14ac:dyDescent="0.3">
      <c r="A313" s="3" t="s">
        <v>28</v>
      </c>
      <c r="B313" s="3" t="s">
        <v>22</v>
      </c>
      <c r="C313" s="3" t="s">
        <v>23</v>
      </c>
      <c r="D313" s="3" t="s">
        <v>24</v>
      </c>
      <c r="E313" s="3" t="s">
        <v>24</v>
      </c>
      <c r="F313" s="3" t="s">
        <v>25</v>
      </c>
      <c r="G313" s="3" t="s">
        <v>25</v>
      </c>
      <c r="H313" s="3" t="s">
        <v>25</v>
      </c>
      <c r="I313" s="6">
        <v>44531</v>
      </c>
      <c r="J313" s="4">
        <v>0</v>
      </c>
      <c r="K313" s="4">
        <v>0</v>
      </c>
      <c r="L313" s="4">
        <v>22.138000000000002</v>
      </c>
      <c r="M313" s="4">
        <v>22.138000000000002</v>
      </c>
      <c r="N313" s="4">
        <v>22.138000000000002</v>
      </c>
      <c r="O313" s="4">
        <v>22.138000000000002</v>
      </c>
      <c r="P313" s="4">
        <v>175</v>
      </c>
      <c r="Q313" s="3" t="s">
        <v>26</v>
      </c>
      <c r="R313" s="3">
        <v>0</v>
      </c>
      <c r="S313" s="3" t="s">
        <v>213</v>
      </c>
      <c r="T313" s="3" t="s">
        <v>452</v>
      </c>
      <c r="U313" s="3">
        <v>0</v>
      </c>
      <c r="V313" s="3">
        <v>19</v>
      </c>
      <c r="W313" s="3">
        <v>59</v>
      </c>
    </row>
    <row r="314" spans="1:23" ht="11.25" customHeight="1" x14ac:dyDescent="0.3">
      <c r="A314" s="3" t="s">
        <v>21</v>
      </c>
      <c r="B314" s="3" t="s">
        <v>22</v>
      </c>
      <c r="C314" s="3" t="s">
        <v>23</v>
      </c>
      <c r="D314" s="3" t="s">
        <v>24</v>
      </c>
      <c r="E314" s="3" t="s">
        <v>24</v>
      </c>
      <c r="F314" s="3" t="s">
        <v>25</v>
      </c>
      <c r="G314" s="3" t="s">
        <v>25</v>
      </c>
      <c r="H314" s="3" t="s">
        <v>25</v>
      </c>
      <c r="I314" s="6">
        <v>44562</v>
      </c>
      <c r="J314" s="4">
        <v>0</v>
      </c>
      <c r="K314" s="4">
        <v>0</v>
      </c>
      <c r="L314" s="4">
        <v>2105.7750000000001</v>
      </c>
      <c r="M314" s="4">
        <v>2105.7750000000001</v>
      </c>
      <c r="N314" s="4">
        <v>2105.7750000000001</v>
      </c>
      <c r="O314" s="4">
        <v>2105.7750000000001</v>
      </c>
      <c r="P314" s="4">
        <v>9136</v>
      </c>
      <c r="Q314" s="3" t="s">
        <v>26</v>
      </c>
      <c r="R314" s="3">
        <v>0</v>
      </c>
      <c r="S314" s="3" t="s">
        <v>214</v>
      </c>
      <c r="T314" s="3" t="s">
        <v>453</v>
      </c>
      <c r="U314" s="3">
        <v>0</v>
      </c>
      <c r="V314" s="3">
        <v>19</v>
      </c>
      <c r="W314" s="3">
        <v>59</v>
      </c>
    </row>
    <row r="315" spans="1:23" ht="11.25" customHeight="1" x14ac:dyDescent="0.3">
      <c r="A315" s="3" t="s">
        <v>27</v>
      </c>
      <c r="B315" s="3" t="s">
        <v>22</v>
      </c>
      <c r="C315" s="3" t="s">
        <v>23</v>
      </c>
      <c r="D315" s="3" t="s">
        <v>24</v>
      </c>
      <c r="E315" s="3" t="s">
        <v>24</v>
      </c>
      <c r="F315" s="3" t="s">
        <v>25</v>
      </c>
      <c r="G315" s="3" t="s">
        <v>25</v>
      </c>
      <c r="H315" s="3" t="s">
        <v>25</v>
      </c>
      <c r="I315" s="6">
        <v>44562</v>
      </c>
      <c r="J315" s="4">
        <v>0</v>
      </c>
      <c r="K315" s="4">
        <v>0</v>
      </c>
      <c r="L315" s="4">
        <v>-0.67300000000000004</v>
      </c>
      <c r="M315" s="4">
        <v>-0.67300000000000004</v>
      </c>
      <c r="N315" s="4">
        <v>-0.67300000000000004</v>
      </c>
      <c r="O315" s="4">
        <v>-0.67300000000000004</v>
      </c>
      <c r="P315" s="4">
        <v>0</v>
      </c>
      <c r="Q315" s="3" t="s">
        <v>26</v>
      </c>
      <c r="R315" s="3">
        <v>0</v>
      </c>
      <c r="S315" s="3" t="s">
        <v>214</v>
      </c>
      <c r="T315" s="3" t="s">
        <v>453</v>
      </c>
      <c r="U315" s="3">
        <v>0</v>
      </c>
      <c r="V315" s="3">
        <v>19</v>
      </c>
      <c r="W315" s="3">
        <v>59</v>
      </c>
    </row>
    <row r="316" spans="1:23" ht="11.25" customHeight="1" x14ac:dyDescent="0.3">
      <c r="A316" s="3" t="s">
        <v>28</v>
      </c>
      <c r="B316" s="3" t="s">
        <v>22</v>
      </c>
      <c r="C316" s="3" t="s">
        <v>23</v>
      </c>
      <c r="D316" s="3" t="s">
        <v>24</v>
      </c>
      <c r="E316" s="3" t="s">
        <v>24</v>
      </c>
      <c r="F316" s="3" t="s">
        <v>25</v>
      </c>
      <c r="G316" s="3" t="s">
        <v>25</v>
      </c>
      <c r="H316" s="3" t="s">
        <v>25</v>
      </c>
      <c r="I316" s="6">
        <v>44562</v>
      </c>
      <c r="J316" s="4">
        <v>0</v>
      </c>
      <c r="K316" s="4">
        <v>0</v>
      </c>
      <c r="L316" s="4">
        <v>33.433999999999997</v>
      </c>
      <c r="M316" s="4">
        <v>33.433999999999997</v>
      </c>
      <c r="N316" s="4">
        <v>33.433999999999997</v>
      </c>
      <c r="O316" s="4">
        <v>33.433999999999997</v>
      </c>
      <c r="P316" s="4">
        <v>185</v>
      </c>
      <c r="Q316" s="3" t="s">
        <v>26</v>
      </c>
      <c r="R316" s="3">
        <v>0</v>
      </c>
      <c r="S316" s="3" t="s">
        <v>214</v>
      </c>
      <c r="T316" s="3" t="s">
        <v>453</v>
      </c>
      <c r="U316" s="3">
        <v>0</v>
      </c>
      <c r="V316" s="3">
        <v>19</v>
      </c>
      <c r="W316" s="3">
        <v>59</v>
      </c>
    </row>
    <row r="317" spans="1:23" ht="11.25" customHeight="1" x14ac:dyDescent="0.3">
      <c r="A317" s="3" t="s">
        <v>21</v>
      </c>
      <c r="B317" s="3" t="s">
        <v>22</v>
      </c>
      <c r="C317" s="3" t="s">
        <v>23</v>
      </c>
      <c r="D317" s="3" t="s">
        <v>24</v>
      </c>
      <c r="E317" s="3" t="s">
        <v>24</v>
      </c>
      <c r="F317" s="3" t="s">
        <v>25</v>
      </c>
      <c r="G317" s="3" t="s">
        <v>25</v>
      </c>
      <c r="H317" s="3" t="s">
        <v>25</v>
      </c>
      <c r="I317" s="6">
        <v>44593</v>
      </c>
      <c r="J317" s="4">
        <v>0</v>
      </c>
      <c r="K317" s="4">
        <v>0</v>
      </c>
      <c r="L317" s="4">
        <v>2474.37</v>
      </c>
      <c r="M317" s="4">
        <v>2474.37</v>
      </c>
      <c r="N317" s="4">
        <v>2474.37</v>
      </c>
      <c r="O317" s="4">
        <v>2474.37</v>
      </c>
      <c r="P317" s="4">
        <v>9092</v>
      </c>
      <c r="Q317" s="3" t="s">
        <v>26</v>
      </c>
      <c r="R317" s="3">
        <v>0</v>
      </c>
      <c r="S317" s="3" t="s">
        <v>215</v>
      </c>
      <c r="T317" s="3" t="s">
        <v>454</v>
      </c>
      <c r="U317" s="3">
        <v>0</v>
      </c>
      <c r="V317" s="3">
        <v>19</v>
      </c>
      <c r="W317" s="3">
        <v>59</v>
      </c>
    </row>
    <row r="318" spans="1:23" ht="11.25" customHeight="1" x14ac:dyDescent="0.3">
      <c r="A318" s="3" t="s">
        <v>27</v>
      </c>
      <c r="B318" s="3" t="s">
        <v>22</v>
      </c>
      <c r="C318" s="3" t="s">
        <v>23</v>
      </c>
      <c r="D318" s="3" t="s">
        <v>24</v>
      </c>
      <c r="E318" s="3" t="s">
        <v>24</v>
      </c>
      <c r="F318" s="3" t="s">
        <v>25</v>
      </c>
      <c r="G318" s="3" t="s">
        <v>25</v>
      </c>
      <c r="H318" s="3" t="s">
        <v>25</v>
      </c>
      <c r="I318" s="6">
        <v>44593</v>
      </c>
      <c r="J318" s="4">
        <v>0</v>
      </c>
      <c r="K318" s="4">
        <v>0</v>
      </c>
      <c r="L318" s="4">
        <v>68.471000000000004</v>
      </c>
      <c r="M318" s="4">
        <v>68.471000000000004</v>
      </c>
      <c r="N318" s="4">
        <v>68.471000000000004</v>
      </c>
      <c r="O318" s="4">
        <v>68.471000000000004</v>
      </c>
      <c r="P318" s="4">
        <v>0</v>
      </c>
      <c r="Q318" s="3" t="s">
        <v>26</v>
      </c>
      <c r="R318" s="3">
        <v>0</v>
      </c>
      <c r="S318" s="3" t="s">
        <v>215</v>
      </c>
      <c r="T318" s="3" t="s">
        <v>454</v>
      </c>
      <c r="U318" s="3">
        <v>0</v>
      </c>
      <c r="V318" s="3">
        <v>19</v>
      </c>
      <c r="W318" s="3">
        <v>59</v>
      </c>
    </row>
    <row r="319" spans="1:23" ht="11.25" customHeight="1" x14ac:dyDescent="0.3">
      <c r="A319" s="3" t="s">
        <v>28</v>
      </c>
      <c r="B319" s="3" t="s">
        <v>22</v>
      </c>
      <c r="C319" s="3" t="s">
        <v>23</v>
      </c>
      <c r="D319" s="3" t="s">
        <v>24</v>
      </c>
      <c r="E319" s="3" t="s">
        <v>24</v>
      </c>
      <c r="F319" s="3" t="s">
        <v>25</v>
      </c>
      <c r="G319" s="3" t="s">
        <v>25</v>
      </c>
      <c r="H319" s="3" t="s">
        <v>25</v>
      </c>
      <c r="I319" s="6">
        <v>44593</v>
      </c>
      <c r="J319" s="4">
        <v>0</v>
      </c>
      <c r="K319" s="4">
        <v>0</v>
      </c>
      <c r="L319" s="4">
        <v>37.749000000000002</v>
      </c>
      <c r="M319" s="4">
        <v>37.749000000000002</v>
      </c>
      <c r="N319" s="4">
        <v>37.749000000000002</v>
      </c>
      <c r="O319" s="4">
        <v>37.749000000000002</v>
      </c>
      <c r="P319" s="4">
        <v>193</v>
      </c>
      <c r="Q319" s="3" t="s">
        <v>26</v>
      </c>
      <c r="R319" s="3">
        <v>0</v>
      </c>
      <c r="S319" s="3" t="s">
        <v>215</v>
      </c>
      <c r="T319" s="3" t="s">
        <v>454</v>
      </c>
      <c r="U319" s="3">
        <v>0</v>
      </c>
      <c r="V319" s="3">
        <v>19</v>
      </c>
      <c r="W319" s="3">
        <v>59</v>
      </c>
    </row>
    <row r="320" spans="1:23" ht="11.25" customHeight="1" x14ac:dyDescent="0.3">
      <c r="A320" s="3" t="s">
        <v>21</v>
      </c>
      <c r="B320" s="3" t="s">
        <v>22</v>
      </c>
      <c r="C320" s="3" t="s">
        <v>23</v>
      </c>
      <c r="D320" s="3" t="s">
        <v>24</v>
      </c>
      <c r="E320" s="3" t="s">
        <v>24</v>
      </c>
      <c r="F320" s="3" t="s">
        <v>25</v>
      </c>
      <c r="G320" s="3" t="s">
        <v>25</v>
      </c>
      <c r="H320" s="3" t="s">
        <v>25</v>
      </c>
      <c r="I320" s="6">
        <v>44621</v>
      </c>
      <c r="J320" s="4">
        <v>0</v>
      </c>
      <c r="K320" s="4">
        <v>0</v>
      </c>
      <c r="L320" s="4">
        <v>1978.396</v>
      </c>
      <c r="M320" s="4">
        <v>1978.396</v>
      </c>
      <c r="N320" s="4">
        <v>1978.396</v>
      </c>
      <c r="O320" s="4">
        <v>1978.396</v>
      </c>
      <c r="P320" s="4">
        <v>9119</v>
      </c>
      <c r="Q320" s="3" t="s">
        <v>26</v>
      </c>
      <c r="R320" s="3">
        <v>0</v>
      </c>
      <c r="S320" s="3" t="s">
        <v>216</v>
      </c>
      <c r="T320" s="3" t="s">
        <v>455</v>
      </c>
      <c r="U320" s="3">
        <v>0</v>
      </c>
      <c r="V320" s="3">
        <v>19</v>
      </c>
      <c r="W320" s="3">
        <v>59</v>
      </c>
    </row>
    <row r="321" spans="1:23" ht="11.25" customHeight="1" x14ac:dyDescent="0.3">
      <c r="A321" s="3" t="s">
        <v>27</v>
      </c>
      <c r="B321" s="3" t="s">
        <v>22</v>
      </c>
      <c r="C321" s="3" t="s">
        <v>23</v>
      </c>
      <c r="D321" s="3" t="s">
        <v>24</v>
      </c>
      <c r="E321" s="3" t="s">
        <v>24</v>
      </c>
      <c r="F321" s="3" t="s">
        <v>25</v>
      </c>
      <c r="G321" s="3" t="s">
        <v>25</v>
      </c>
      <c r="H321" s="3" t="s">
        <v>25</v>
      </c>
      <c r="I321" s="6">
        <v>44621</v>
      </c>
      <c r="J321" s="4">
        <v>0</v>
      </c>
      <c r="K321" s="4">
        <v>0</v>
      </c>
      <c r="L321" s="4">
        <v>-8.8420000000000005</v>
      </c>
      <c r="M321" s="4">
        <v>-8.8420000000000005</v>
      </c>
      <c r="N321" s="4">
        <v>-8.8420000000000005</v>
      </c>
      <c r="O321" s="4">
        <v>-8.8420000000000005</v>
      </c>
      <c r="P321" s="4">
        <v>0</v>
      </c>
      <c r="Q321" s="3" t="s">
        <v>26</v>
      </c>
      <c r="R321" s="3">
        <v>0</v>
      </c>
      <c r="S321" s="3" t="s">
        <v>216</v>
      </c>
      <c r="T321" s="3" t="s">
        <v>455</v>
      </c>
      <c r="U321" s="3">
        <v>0</v>
      </c>
      <c r="V321" s="3">
        <v>19</v>
      </c>
      <c r="W321" s="3">
        <v>59</v>
      </c>
    </row>
    <row r="322" spans="1:23" ht="11.25" customHeight="1" x14ac:dyDescent="0.3">
      <c r="A322" s="3" t="s">
        <v>28</v>
      </c>
      <c r="B322" s="3" t="s">
        <v>22</v>
      </c>
      <c r="C322" s="3" t="s">
        <v>23</v>
      </c>
      <c r="D322" s="3" t="s">
        <v>24</v>
      </c>
      <c r="E322" s="3" t="s">
        <v>24</v>
      </c>
      <c r="F322" s="3" t="s">
        <v>25</v>
      </c>
      <c r="G322" s="3" t="s">
        <v>25</v>
      </c>
      <c r="H322" s="3" t="s">
        <v>25</v>
      </c>
      <c r="I322" s="6">
        <v>44621</v>
      </c>
      <c r="J322" s="4">
        <v>0</v>
      </c>
      <c r="K322" s="4">
        <v>0</v>
      </c>
      <c r="L322" s="4">
        <v>34.399000000000001</v>
      </c>
      <c r="M322" s="4">
        <v>34.399000000000001</v>
      </c>
      <c r="N322" s="4">
        <v>34.399000000000001</v>
      </c>
      <c r="O322" s="4">
        <v>34.399000000000001</v>
      </c>
      <c r="P322" s="4">
        <v>201</v>
      </c>
      <c r="Q322" s="3" t="s">
        <v>26</v>
      </c>
      <c r="R322" s="3">
        <v>0</v>
      </c>
      <c r="S322" s="3" t="s">
        <v>216</v>
      </c>
      <c r="T322" s="3" t="s">
        <v>455</v>
      </c>
      <c r="U322" s="3">
        <v>0</v>
      </c>
      <c r="V322" s="3">
        <v>19</v>
      </c>
      <c r="W322" s="3">
        <v>59</v>
      </c>
    </row>
    <row r="323" spans="1:23" ht="11.25" customHeight="1" x14ac:dyDescent="0.3">
      <c r="A323" s="3" t="s">
        <v>21</v>
      </c>
      <c r="B323" s="3" t="s">
        <v>22</v>
      </c>
      <c r="C323" s="3" t="s">
        <v>23</v>
      </c>
      <c r="D323" s="3" t="s">
        <v>24</v>
      </c>
      <c r="E323" s="3" t="s">
        <v>24</v>
      </c>
      <c r="F323" s="3" t="s">
        <v>25</v>
      </c>
      <c r="G323" s="3" t="s">
        <v>25</v>
      </c>
      <c r="H323" s="3" t="s">
        <v>25</v>
      </c>
      <c r="I323" s="6">
        <v>44652</v>
      </c>
      <c r="J323" s="4">
        <v>0</v>
      </c>
      <c r="K323" s="4">
        <v>0</v>
      </c>
      <c r="L323" s="4">
        <v>1361.423</v>
      </c>
      <c r="M323" s="4">
        <v>1361.423</v>
      </c>
      <c r="N323" s="4">
        <v>1361.423</v>
      </c>
      <c r="O323" s="4">
        <v>1361.423</v>
      </c>
      <c r="P323" s="4">
        <v>9150</v>
      </c>
      <c r="Q323" s="3" t="s">
        <v>26</v>
      </c>
      <c r="R323" s="3">
        <v>0</v>
      </c>
      <c r="S323" s="3" t="s">
        <v>217</v>
      </c>
      <c r="T323" s="3" t="s">
        <v>456</v>
      </c>
      <c r="U323" s="3">
        <v>0</v>
      </c>
      <c r="V323" s="3">
        <v>19</v>
      </c>
      <c r="W323" s="3">
        <v>59</v>
      </c>
    </row>
    <row r="324" spans="1:23" ht="11.25" customHeight="1" x14ac:dyDescent="0.3">
      <c r="A324" s="3" t="s">
        <v>27</v>
      </c>
      <c r="B324" s="3" t="s">
        <v>22</v>
      </c>
      <c r="C324" s="3" t="s">
        <v>23</v>
      </c>
      <c r="D324" s="3" t="s">
        <v>24</v>
      </c>
      <c r="E324" s="3" t="s">
        <v>24</v>
      </c>
      <c r="F324" s="3" t="s">
        <v>25</v>
      </c>
      <c r="G324" s="3" t="s">
        <v>25</v>
      </c>
      <c r="H324" s="3" t="s">
        <v>25</v>
      </c>
      <c r="I324" s="6">
        <v>44652</v>
      </c>
      <c r="J324" s="4">
        <v>0</v>
      </c>
      <c r="K324" s="4">
        <v>0</v>
      </c>
      <c r="L324" s="4">
        <v>-0.24</v>
      </c>
      <c r="M324" s="4">
        <v>-0.24</v>
      </c>
      <c r="N324" s="4">
        <v>-0.24</v>
      </c>
      <c r="O324" s="4">
        <v>-0.24</v>
      </c>
      <c r="P324" s="4">
        <v>0</v>
      </c>
      <c r="Q324" s="3" t="s">
        <v>26</v>
      </c>
      <c r="R324" s="3">
        <v>0</v>
      </c>
      <c r="S324" s="3" t="s">
        <v>217</v>
      </c>
      <c r="T324" s="3" t="s">
        <v>456</v>
      </c>
      <c r="U324" s="3">
        <v>0</v>
      </c>
      <c r="V324" s="3">
        <v>19</v>
      </c>
      <c r="W324" s="3">
        <v>59</v>
      </c>
    </row>
    <row r="325" spans="1:23" ht="11.25" customHeight="1" x14ac:dyDescent="0.3">
      <c r="A325" s="3" t="s">
        <v>28</v>
      </c>
      <c r="B325" s="3" t="s">
        <v>22</v>
      </c>
      <c r="C325" s="3" t="s">
        <v>23</v>
      </c>
      <c r="D325" s="3" t="s">
        <v>24</v>
      </c>
      <c r="E325" s="3" t="s">
        <v>24</v>
      </c>
      <c r="F325" s="3" t="s">
        <v>25</v>
      </c>
      <c r="G325" s="3" t="s">
        <v>25</v>
      </c>
      <c r="H325" s="3" t="s">
        <v>25</v>
      </c>
      <c r="I325" s="6">
        <v>44652</v>
      </c>
      <c r="J325" s="4">
        <v>0</v>
      </c>
      <c r="K325" s="4">
        <v>0</v>
      </c>
      <c r="L325" s="4">
        <v>22.411999999999999</v>
      </c>
      <c r="M325" s="4">
        <v>22.411999999999999</v>
      </c>
      <c r="N325" s="4">
        <v>22.411999999999999</v>
      </c>
      <c r="O325" s="4">
        <v>22.411999999999999</v>
      </c>
      <c r="P325" s="4">
        <v>212</v>
      </c>
      <c r="Q325" s="3" t="s">
        <v>26</v>
      </c>
      <c r="R325" s="3">
        <v>0</v>
      </c>
      <c r="S325" s="3" t="s">
        <v>217</v>
      </c>
      <c r="T325" s="3" t="s">
        <v>456</v>
      </c>
      <c r="U325" s="3">
        <v>0</v>
      </c>
      <c r="V325" s="3">
        <v>19</v>
      </c>
      <c r="W325" s="3">
        <v>59</v>
      </c>
    </row>
    <row r="326" spans="1:23" ht="11.25" customHeight="1" x14ac:dyDescent="0.3">
      <c r="A326" s="3" t="s">
        <v>21</v>
      </c>
      <c r="B326" s="3" t="s">
        <v>22</v>
      </c>
      <c r="C326" s="3" t="s">
        <v>23</v>
      </c>
      <c r="D326" s="3" t="s">
        <v>24</v>
      </c>
      <c r="E326" s="3" t="s">
        <v>24</v>
      </c>
      <c r="F326" s="3" t="s">
        <v>25</v>
      </c>
      <c r="G326" s="3" t="s">
        <v>25</v>
      </c>
      <c r="H326" s="3" t="s">
        <v>25</v>
      </c>
      <c r="I326" s="6">
        <v>44682</v>
      </c>
      <c r="J326" s="4">
        <v>0</v>
      </c>
      <c r="K326" s="4">
        <v>0</v>
      </c>
      <c r="L326" s="4">
        <v>1350.643</v>
      </c>
      <c r="M326" s="4">
        <v>1350.643</v>
      </c>
      <c r="N326" s="4">
        <v>1350.643</v>
      </c>
      <c r="O326" s="4">
        <v>1350.643</v>
      </c>
      <c r="P326" s="4">
        <v>8818</v>
      </c>
      <c r="Q326" s="3" t="s">
        <v>26</v>
      </c>
      <c r="R326" s="3">
        <v>0</v>
      </c>
      <c r="S326" s="3" t="s">
        <v>218</v>
      </c>
      <c r="T326" s="3" t="s">
        <v>457</v>
      </c>
      <c r="U326" s="3">
        <v>0</v>
      </c>
      <c r="V326" s="3">
        <v>19</v>
      </c>
      <c r="W326" s="3">
        <v>59</v>
      </c>
    </row>
    <row r="327" spans="1:23" ht="11.25" customHeight="1" x14ac:dyDescent="0.3">
      <c r="A327" s="3" t="s">
        <v>27</v>
      </c>
      <c r="B327" s="3" t="s">
        <v>22</v>
      </c>
      <c r="C327" s="3" t="s">
        <v>23</v>
      </c>
      <c r="D327" s="3" t="s">
        <v>24</v>
      </c>
      <c r="E327" s="3" t="s">
        <v>24</v>
      </c>
      <c r="F327" s="3" t="s">
        <v>25</v>
      </c>
      <c r="G327" s="3" t="s">
        <v>25</v>
      </c>
      <c r="H327" s="3" t="s">
        <v>25</v>
      </c>
      <c r="I327" s="6">
        <v>44682</v>
      </c>
      <c r="J327" s="4">
        <v>0</v>
      </c>
      <c r="K327" s="4">
        <v>0</v>
      </c>
      <c r="L327" s="4">
        <v>-1.476</v>
      </c>
      <c r="M327" s="4">
        <v>-1.476</v>
      </c>
      <c r="N327" s="4">
        <v>-1.476</v>
      </c>
      <c r="O327" s="4">
        <v>-1.476</v>
      </c>
      <c r="P327" s="4">
        <v>0</v>
      </c>
      <c r="Q327" s="3" t="s">
        <v>26</v>
      </c>
      <c r="R327" s="3">
        <v>0</v>
      </c>
      <c r="S327" s="3" t="s">
        <v>218</v>
      </c>
      <c r="T327" s="3" t="s">
        <v>457</v>
      </c>
      <c r="U327" s="3">
        <v>0</v>
      </c>
      <c r="V327" s="3">
        <v>19</v>
      </c>
      <c r="W327" s="3">
        <v>59</v>
      </c>
    </row>
    <row r="328" spans="1:23" ht="11.25" customHeight="1" x14ac:dyDescent="0.3">
      <c r="A328" s="3" t="s">
        <v>28</v>
      </c>
      <c r="B328" s="3" t="s">
        <v>22</v>
      </c>
      <c r="C328" s="3" t="s">
        <v>23</v>
      </c>
      <c r="D328" s="3" t="s">
        <v>24</v>
      </c>
      <c r="E328" s="3" t="s">
        <v>24</v>
      </c>
      <c r="F328" s="3" t="s">
        <v>25</v>
      </c>
      <c r="G328" s="3" t="s">
        <v>25</v>
      </c>
      <c r="H328" s="3" t="s">
        <v>25</v>
      </c>
      <c r="I328" s="6">
        <v>44682</v>
      </c>
      <c r="J328" s="4">
        <v>0</v>
      </c>
      <c r="K328" s="4">
        <v>0</v>
      </c>
      <c r="L328" s="4">
        <v>26.657</v>
      </c>
      <c r="M328" s="4">
        <v>26.657</v>
      </c>
      <c r="N328" s="4">
        <v>26.657</v>
      </c>
      <c r="O328" s="4">
        <v>26.657</v>
      </c>
      <c r="P328" s="4">
        <v>225</v>
      </c>
      <c r="Q328" s="3" t="s">
        <v>26</v>
      </c>
      <c r="R328" s="3">
        <v>0</v>
      </c>
      <c r="S328" s="3" t="s">
        <v>218</v>
      </c>
      <c r="T328" s="3" t="s">
        <v>457</v>
      </c>
      <c r="U328" s="3">
        <v>0</v>
      </c>
      <c r="V328" s="3">
        <v>19</v>
      </c>
      <c r="W328" s="3">
        <v>59</v>
      </c>
    </row>
    <row r="329" spans="1:23" ht="11.25" customHeight="1" x14ac:dyDescent="0.3">
      <c r="A329" s="3" t="s">
        <v>21</v>
      </c>
      <c r="B329" s="3" t="s">
        <v>22</v>
      </c>
      <c r="C329" s="3" t="s">
        <v>23</v>
      </c>
      <c r="D329" s="3" t="s">
        <v>24</v>
      </c>
      <c r="E329" s="3" t="s">
        <v>24</v>
      </c>
      <c r="F329" s="3" t="s">
        <v>25</v>
      </c>
      <c r="G329" s="3" t="s">
        <v>25</v>
      </c>
      <c r="H329" s="3" t="s">
        <v>25</v>
      </c>
      <c r="I329" s="6">
        <v>44713</v>
      </c>
      <c r="J329" s="4">
        <v>0</v>
      </c>
      <c r="K329" s="4">
        <v>0</v>
      </c>
      <c r="L329" s="4">
        <v>1479.26</v>
      </c>
      <c r="M329" s="4">
        <v>1479.26</v>
      </c>
      <c r="N329" s="4">
        <v>1479.26</v>
      </c>
      <c r="O329" s="4">
        <v>1479.26</v>
      </c>
      <c r="P329" s="4">
        <v>8837</v>
      </c>
      <c r="Q329" s="3" t="s">
        <v>26</v>
      </c>
      <c r="R329" s="3">
        <v>0</v>
      </c>
      <c r="S329" s="3" t="s">
        <v>219</v>
      </c>
      <c r="T329" s="3" t="s">
        <v>458</v>
      </c>
      <c r="U329" s="3">
        <v>0</v>
      </c>
      <c r="V329" s="3">
        <v>19</v>
      </c>
      <c r="W329" s="3">
        <v>59</v>
      </c>
    </row>
    <row r="330" spans="1:23" ht="11.25" customHeight="1" x14ac:dyDescent="0.3">
      <c r="A330" s="3" t="s">
        <v>28</v>
      </c>
      <c r="B330" s="3" t="s">
        <v>22</v>
      </c>
      <c r="C330" s="3" t="s">
        <v>23</v>
      </c>
      <c r="D330" s="3" t="s">
        <v>24</v>
      </c>
      <c r="E330" s="3" t="s">
        <v>24</v>
      </c>
      <c r="F330" s="3" t="s">
        <v>25</v>
      </c>
      <c r="G330" s="3" t="s">
        <v>25</v>
      </c>
      <c r="H330" s="3" t="s">
        <v>25</v>
      </c>
      <c r="I330" s="6">
        <v>44713</v>
      </c>
      <c r="J330" s="4">
        <v>0</v>
      </c>
      <c r="K330" s="4">
        <v>0</v>
      </c>
      <c r="L330" s="4">
        <v>38.671999999999997</v>
      </c>
      <c r="M330" s="4">
        <v>38.671999999999997</v>
      </c>
      <c r="N330" s="4">
        <v>38.671999999999997</v>
      </c>
      <c r="O330" s="4">
        <v>38.671999999999997</v>
      </c>
      <c r="P330" s="4">
        <v>251</v>
      </c>
      <c r="Q330" s="3" t="s">
        <v>26</v>
      </c>
      <c r="R330" s="3">
        <v>0</v>
      </c>
      <c r="S330" s="3" t="s">
        <v>219</v>
      </c>
      <c r="T330" s="3" t="s">
        <v>458</v>
      </c>
      <c r="U330" s="3">
        <v>0</v>
      </c>
      <c r="V330" s="3">
        <v>19</v>
      </c>
      <c r="W330" s="3">
        <v>59</v>
      </c>
    </row>
    <row r="331" spans="1:23" ht="11.25" customHeight="1" x14ac:dyDescent="0.3">
      <c r="A331" s="3" t="s">
        <v>21</v>
      </c>
      <c r="B331" s="3" t="s">
        <v>22</v>
      </c>
      <c r="C331" s="3" t="s">
        <v>23</v>
      </c>
      <c r="D331" s="3" t="s">
        <v>24</v>
      </c>
      <c r="E331" s="3" t="s">
        <v>29</v>
      </c>
      <c r="F331" s="3" t="s">
        <v>25</v>
      </c>
      <c r="G331" s="3" t="s">
        <v>25</v>
      </c>
      <c r="H331" s="3" t="s">
        <v>25</v>
      </c>
      <c r="I331" s="6">
        <v>44378</v>
      </c>
      <c r="J331" s="4">
        <v>0</v>
      </c>
      <c r="K331" s="4">
        <v>0</v>
      </c>
      <c r="L331" s="4">
        <v>32.19</v>
      </c>
      <c r="M331" s="4">
        <v>32.19</v>
      </c>
      <c r="N331" s="4">
        <v>32.19</v>
      </c>
      <c r="O331" s="4">
        <v>32.19</v>
      </c>
      <c r="P331" s="4">
        <v>64</v>
      </c>
      <c r="Q331" s="3" t="s">
        <v>26</v>
      </c>
      <c r="R331" s="3">
        <v>0</v>
      </c>
      <c r="S331" s="3" t="s">
        <v>220</v>
      </c>
      <c r="T331" s="3" t="s">
        <v>459</v>
      </c>
      <c r="U331" s="3">
        <v>0</v>
      </c>
      <c r="V331" s="3">
        <v>20</v>
      </c>
      <c r="W331" s="3">
        <v>60</v>
      </c>
    </row>
    <row r="332" spans="1:23" ht="11.25" customHeight="1" x14ac:dyDescent="0.3">
      <c r="A332" s="3" t="s">
        <v>28</v>
      </c>
      <c r="B332" s="3" t="s">
        <v>22</v>
      </c>
      <c r="C332" s="3" t="s">
        <v>23</v>
      </c>
      <c r="D332" s="3" t="s">
        <v>24</v>
      </c>
      <c r="E332" s="3" t="s">
        <v>29</v>
      </c>
      <c r="F332" s="3" t="s">
        <v>25</v>
      </c>
      <c r="G332" s="3" t="s">
        <v>25</v>
      </c>
      <c r="H332" s="3" t="s">
        <v>25</v>
      </c>
      <c r="I332" s="6">
        <v>44378</v>
      </c>
      <c r="J332" s="4">
        <v>0</v>
      </c>
      <c r="K332" s="4">
        <v>0</v>
      </c>
      <c r="L332" s="4">
        <v>0.06</v>
      </c>
      <c r="M332" s="4">
        <v>0.06</v>
      </c>
      <c r="N332" s="4">
        <v>0.06</v>
      </c>
      <c r="O332" s="4">
        <v>0.06</v>
      </c>
      <c r="P332" s="4">
        <v>1</v>
      </c>
      <c r="Q332" s="3" t="s">
        <v>26</v>
      </c>
      <c r="R332" s="3">
        <v>0</v>
      </c>
      <c r="S332" s="3" t="s">
        <v>220</v>
      </c>
      <c r="T332" s="3" t="s">
        <v>459</v>
      </c>
      <c r="U332" s="3">
        <v>0</v>
      </c>
      <c r="V332" s="3">
        <v>20</v>
      </c>
      <c r="W332" s="3">
        <v>60</v>
      </c>
    </row>
    <row r="333" spans="1:23" ht="11.25" customHeight="1" x14ac:dyDescent="0.3">
      <c r="A333" s="3" t="s">
        <v>21</v>
      </c>
      <c r="B333" s="3" t="s">
        <v>22</v>
      </c>
      <c r="C333" s="3" t="s">
        <v>23</v>
      </c>
      <c r="D333" s="3" t="s">
        <v>24</v>
      </c>
      <c r="E333" s="3" t="s">
        <v>29</v>
      </c>
      <c r="F333" s="3" t="s">
        <v>25</v>
      </c>
      <c r="G333" s="3" t="s">
        <v>25</v>
      </c>
      <c r="H333" s="3" t="s">
        <v>25</v>
      </c>
      <c r="I333" s="6">
        <v>44409</v>
      </c>
      <c r="J333" s="4">
        <v>0</v>
      </c>
      <c r="K333" s="4">
        <v>0</v>
      </c>
      <c r="L333" s="4">
        <v>32.31</v>
      </c>
      <c r="M333" s="4">
        <v>32.31</v>
      </c>
      <c r="N333" s="4">
        <v>32.31</v>
      </c>
      <c r="O333" s="4">
        <v>32.31</v>
      </c>
      <c r="P333" s="4">
        <v>63</v>
      </c>
      <c r="Q333" s="3" t="s">
        <v>26</v>
      </c>
      <c r="R333" s="3">
        <v>0</v>
      </c>
      <c r="S333" s="3" t="s">
        <v>221</v>
      </c>
      <c r="T333" s="3" t="s">
        <v>460</v>
      </c>
      <c r="U333" s="3">
        <v>0</v>
      </c>
      <c r="V333" s="3">
        <v>20</v>
      </c>
      <c r="W333" s="3">
        <v>60</v>
      </c>
    </row>
    <row r="334" spans="1:23" ht="11.25" customHeight="1" x14ac:dyDescent="0.3">
      <c r="A334" s="3" t="s">
        <v>28</v>
      </c>
      <c r="B334" s="3" t="s">
        <v>22</v>
      </c>
      <c r="C334" s="3" t="s">
        <v>23</v>
      </c>
      <c r="D334" s="3" t="s">
        <v>24</v>
      </c>
      <c r="E334" s="3" t="s">
        <v>29</v>
      </c>
      <c r="F334" s="3" t="s">
        <v>25</v>
      </c>
      <c r="G334" s="3" t="s">
        <v>25</v>
      </c>
      <c r="H334" s="3" t="s">
        <v>25</v>
      </c>
      <c r="I334" s="6">
        <v>44409</v>
      </c>
      <c r="J334" s="4">
        <v>0</v>
      </c>
      <c r="K334" s="4">
        <v>0</v>
      </c>
      <c r="L334" s="4">
        <v>0.03</v>
      </c>
      <c r="M334" s="4">
        <v>0.03</v>
      </c>
      <c r="N334" s="4">
        <v>0.03</v>
      </c>
      <c r="O334" s="4">
        <v>0.03</v>
      </c>
      <c r="P334" s="4">
        <v>1</v>
      </c>
      <c r="Q334" s="3" t="s">
        <v>26</v>
      </c>
      <c r="R334" s="3">
        <v>0</v>
      </c>
      <c r="S334" s="3" t="s">
        <v>221</v>
      </c>
      <c r="T334" s="3" t="s">
        <v>460</v>
      </c>
      <c r="U334" s="3">
        <v>0</v>
      </c>
      <c r="V334" s="3">
        <v>20</v>
      </c>
      <c r="W334" s="3">
        <v>60</v>
      </c>
    </row>
    <row r="335" spans="1:23" ht="11.25" customHeight="1" x14ac:dyDescent="0.3">
      <c r="A335" s="3" t="s">
        <v>21</v>
      </c>
      <c r="B335" s="3" t="s">
        <v>22</v>
      </c>
      <c r="C335" s="3" t="s">
        <v>23</v>
      </c>
      <c r="D335" s="3" t="s">
        <v>24</v>
      </c>
      <c r="E335" s="3" t="s">
        <v>29</v>
      </c>
      <c r="F335" s="3" t="s">
        <v>25</v>
      </c>
      <c r="G335" s="3" t="s">
        <v>25</v>
      </c>
      <c r="H335" s="3" t="s">
        <v>25</v>
      </c>
      <c r="I335" s="6">
        <v>44440</v>
      </c>
      <c r="J335" s="4">
        <v>0</v>
      </c>
      <c r="K335" s="4">
        <v>0</v>
      </c>
      <c r="L335" s="4">
        <v>32.58</v>
      </c>
      <c r="M335" s="4">
        <v>32.58</v>
      </c>
      <c r="N335" s="4">
        <v>32.58</v>
      </c>
      <c r="O335" s="4">
        <v>32.58</v>
      </c>
      <c r="P335" s="4">
        <v>51</v>
      </c>
      <c r="Q335" s="3" t="s">
        <v>26</v>
      </c>
      <c r="R335" s="3">
        <v>0</v>
      </c>
      <c r="S335" s="3" t="s">
        <v>222</v>
      </c>
      <c r="T335" s="3" t="s">
        <v>461</v>
      </c>
      <c r="U335" s="3">
        <v>0</v>
      </c>
      <c r="V335" s="3">
        <v>20</v>
      </c>
      <c r="W335" s="3">
        <v>60</v>
      </c>
    </row>
    <row r="336" spans="1:23" ht="11.25" customHeight="1" x14ac:dyDescent="0.3">
      <c r="A336" s="3" t="s">
        <v>28</v>
      </c>
      <c r="B336" s="3" t="s">
        <v>22</v>
      </c>
      <c r="C336" s="3" t="s">
        <v>23</v>
      </c>
      <c r="D336" s="3" t="s">
        <v>24</v>
      </c>
      <c r="E336" s="3" t="s">
        <v>29</v>
      </c>
      <c r="F336" s="3" t="s">
        <v>25</v>
      </c>
      <c r="G336" s="3" t="s">
        <v>25</v>
      </c>
      <c r="H336" s="3" t="s">
        <v>25</v>
      </c>
      <c r="I336" s="6">
        <v>44440</v>
      </c>
      <c r="J336" s="4">
        <v>0</v>
      </c>
      <c r="K336" s="4">
        <v>0</v>
      </c>
      <c r="L336" s="4">
        <v>0.03</v>
      </c>
      <c r="M336" s="4">
        <v>0.03</v>
      </c>
      <c r="N336" s="4">
        <v>0.03</v>
      </c>
      <c r="O336" s="4">
        <v>0.03</v>
      </c>
      <c r="P336" s="4">
        <v>1</v>
      </c>
      <c r="Q336" s="3" t="s">
        <v>26</v>
      </c>
      <c r="R336" s="3">
        <v>0</v>
      </c>
      <c r="S336" s="3" t="s">
        <v>222</v>
      </c>
      <c r="T336" s="3" t="s">
        <v>461</v>
      </c>
      <c r="U336" s="3">
        <v>0</v>
      </c>
      <c r="V336" s="3">
        <v>20</v>
      </c>
      <c r="W336" s="3">
        <v>60</v>
      </c>
    </row>
    <row r="337" spans="1:23" ht="11.25" customHeight="1" x14ac:dyDescent="0.3">
      <c r="A337" s="3" t="s">
        <v>21</v>
      </c>
      <c r="B337" s="3" t="s">
        <v>22</v>
      </c>
      <c r="C337" s="3" t="s">
        <v>23</v>
      </c>
      <c r="D337" s="3" t="s">
        <v>24</v>
      </c>
      <c r="E337" s="3" t="s">
        <v>29</v>
      </c>
      <c r="F337" s="3" t="s">
        <v>25</v>
      </c>
      <c r="G337" s="3" t="s">
        <v>25</v>
      </c>
      <c r="H337" s="3" t="s">
        <v>25</v>
      </c>
      <c r="I337" s="6">
        <v>44470</v>
      </c>
      <c r="J337" s="4">
        <v>0</v>
      </c>
      <c r="K337" s="4">
        <v>0</v>
      </c>
      <c r="L337" s="4">
        <v>32.700000000000003</v>
      </c>
      <c r="M337" s="4">
        <v>32.700000000000003</v>
      </c>
      <c r="N337" s="4">
        <v>32.700000000000003</v>
      </c>
      <c r="O337" s="4">
        <v>32.700000000000003</v>
      </c>
      <c r="P337" s="4">
        <v>53</v>
      </c>
      <c r="Q337" s="3" t="s">
        <v>26</v>
      </c>
      <c r="R337" s="3">
        <v>0</v>
      </c>
      <c r="S337" s="3" t="s">
        <v>223</v>
      </c>
      <c r="T337" s="3" t="s">
        <v>462</v>
      </c>
      <c r="U337" s="3">
        <v>0</v>
      </c>
      <c r="V337" s="3">
        <v>20</v>
      </c>
      <c r="W337" s="3">
        <v>60</v>
      </c>
    </row>
    <row r="338" spans="1:23" ht="11.25" customHeight="1" x14ac:dyDescent="0.3">
      <c r="A338" s="3" t="s">
        <v>28</v>
      </c>
      <c r="B338" s="3" t="s">
        <v>22</v>
      </c>
      <c r="C338" s="3" t="s">
        <v>23</v>
      </c>
      <c r="D338" s="3" t="s">
        <v>24</v>
      </c>
      <c r="E338" s="3" t="s">
        <v>29</v>
      </c>
      <c r="F338" s="3" t="s">
        <v>25</v>
      </c>
      <c r="G338" s="3" t="s">
        <v>25</v>
      </c>
      <c r="H338" s="3" t="s">
        <v>25</v>
      </c>
      <c r="I338" s="6">
        <v>44470</v>
      </c>
      <c r="J338" s="4">
        <v>0</v>
      </c>
      <c r="K338" s="4">
        <v>0</v>
      </c>
      <c r="L338" s="4">
        <v>0.03</v>
      </c>
      <c r="M338" s="4">
        <v>0.03</v>
      </c>
      <c r="N338" s="4">
        <v>0.03</v>
      </c>
      <c r="O338" s="4">
        <v>0.03</v>
      </c>
      <c r="P338" s="4">
        <v>1</v>
      </c>
      <c r="Q338" s="3" t="s">
        <v>26</v>
      </c>
      <c r="R338" s="3">
        <v>0</v>
      </c>
      <c r="S338" s="3" t="s">
        <v>223</v>
      </c>
      <c r="T338" s="3" t="s">
        <v>462</v>
      </c>
      <c r="U338" s="3">
        <v>0</v>
      </c>
      <c r="V338" s="3">
        <v>20</v>
      </c>
      <c r="W338" s="3">
        <v>60</v>
      </c>
    </row>
    <row r="339" spans="1:23" ht="11.25" customHeight="1" x14ac:dyDescent="0.3">
      <c r="A339" s="3" t="s">
        <v>21</v>
      </c>
      <c r="B339" s="3" t="s">
        <v>22</v>
      </c>
      <c r="C339" s="3" t="s">
        <v>23</v>
      </c>
      <c r="D339" s="3" t="s">
        <v>24</v>
      </c>
      <c r="E339" s="3" t="s">
        <v>29</v>
      </c>
      <c r="F339" s="3" t="s">
        <v>25</v>
      </c>
      <c r="G339" s="3" t="s">
        <v>25</v>
      </c>
      <c r="H339" s="3" t="s">
        <v>25</v>
      </c>
      <c r="I339" s="6">
        <v>44501</v>
      </c>
      <c r="J339" s="4">
        <v>0</v>
      </c>
      <c r="K339" s="4">
        <v>0</v>
      </c>
      <c r="L339" s="4">
        <v>32.880000000000003</v>
      </c>
      <c r="M339" s="4">
        <v>32.880000000000003</v>
      </c>
      <c r="N339" s="4">
        <v>32.880000000000003</v>
      </c>
      <c r="O339" s="4">
        <v>32.880000000000003</v>
      </c>
      <c r="P339" s="4">
        <v>43</v>
      </c>
      <c r="Q339" s="3" t="s">
        <v>26</v>
      </c>
      <c r="R339" s="3">
        <v>0</v>
      </c>
      <c r="S339" s="3" t="s">
        <v>224</v>
      </c>
      <c r="T339" s="3" t="s">
        <v>463</v>
      </c>
      <c r="U339" s="3">
        <v>0</v>
      </c>
      <c r="V339" s="3">
        <v>20</v>
      </c>
      <c r="W339" s="3">
        <v>60</v>
      </c>
    </row>
    <row r="340" spans="1:23" ht="11.25" customHeight="1" x14ac:dyDescent="0.3">
      <c r="A340" s="3" t="s">
        <v>28</v>
      </c>
      <c r="B340" s="3" t="s">
        <v>22</v>
      </c>
      <c r="C340" s="3" t="s">
        <v>23</v>
      </c>
      <c r="D340" s="3" t="s">
        <v>24</v>
      </c>
      <c r="E340" s="3" t="s">
        <v>29</v>
      </c>
      <c r="F340" s="3" t="s">
        <v>25</v>
      </c>
      <c r="G340" s="3" t="s">
        <v>25</v>
      </c>
      <c r="H340" s="3" t="s">
        <v>25</v>
      </c>
      <c r="I340" s="6">
        <v>44501</v>
      </c>
      <c r="J340" s="4">
        <v>0</v>
      </c>
      <c r="K340" s="4">
        <v>0</v>
      </c>
      <c r="L340" s="4">
        <v>0.03</v>
      </c>
      <c r="M340" s="4">
        <v>0.03</v>
      </c>
      <c r="N340" s="4">
        <v>0.03</v>
      </c>
      <c r="O340" s="4">
        <v>0.03</v>
      </c>
      <c r="P340" s="4">
        <v>1</v>
      </c>
      <c r="Q340" s="3" t="s">
        <v>26</v>
      </c>
      <c r="R340" s="3">
        <v>0</v>
      </c>
      <c r="S340" s="3" t="s">
        <v>224</v>
      </c>
      <c r="T340" s="3" t="s">
        <v>463</v>
      </c>
      <c r="U340" s="3">
        <v>0</v>
      </c>
      <c r="V340" s="3">
        <v>20</v>
      </c>
      <c r="W340" s="3">
        <v>60</v>
      </c>
    </row>
    <row r="341" spans="1:23" ht="11.25" customHeight="1" x14ac:dyDescent="0.3">
      <c r="A341" s="3" t="s">
        <v>21</v>
      </c>
      <c r="B341" s="3" t="s">
        <v>22</v>
      </c>
      <c r="C341" s="3" t="s">
        <v>23</v>
      </c>
      <c r="D341" s="3" t="s">
        <v>24</v>
      </c>
      <c r="E341" s="3" t="s">
        <v>29</v>
      </c>
      <c r="F341" s="3" t="s">
        <v>25</v>
      </c>
      <c r="G341" s="3" t="s">
        <v>25</v>
      </c>
      <c r="H341" s="3" t="s">
        <v>25</v>
      </c>
      <c r="I341" s="6">
        <v>44531</v>
      </c>
      <c r="J341" s="4">
        <v>0</v>
      </c>
      <c r="K341" s="4">
        <v>0</v>
      </c>
      <c r="L341" s="4">
        <v>33.526000000000003</v>
      </c>
      <c r="M341" s="4">
        <v>33.526000000000003</v>
      </c>
      <c r="N341" s="4">
        <v>33.526000000000003</v>
      </c>
      <c r="O341" s="4">
        <v>33.526000000000003</v>
      </c>
      <c r="P341" s="4">
        <v>45</v>
      </c>
      <c r="Q341" s="3" t="s">
        <v>26</v>
      </c>
      <c r="R341" s="3">
        <v>0</v>
      </c>
      <c r="S341" s="3" t="s">
        <v>225</v>
      </c>
      <c r="T341" s="3" t="s">
        <v>464</v>
      </c>
      <c r="U341" s="3">
        <v>0</v>
      </c>
      <c r="V341" s="3">
        <v>20</v>
      </c>
      <c r="W341" s="3">
        <v>60</v>
      </c>
    </row>
    <row r="342" spans="1:23" ht="11.25" customHeight="1" x14ac:dyDescent="0.3">
      <c r="A342" s="3" t="s">
        <v>28</v>
      </c>
      <c r="B342" s="3" t="s">
        <v>22</v>
      </c>
      <c r="C342" s="3" t="s">
        <v>23</v>
      </c>
      <c r="D342" s="3" t="s">
        <v>24</v>
      </c>
      <c r="E342" s="3" t="s">
        <v>29</v>
      </c>
      <c r="F342" s="3" t="s">
        <v>25</v>
      </c>
      <c r="G342" s="3" t="s">
        <v>25</v>
      </c>
      <c r="H342" s="3" t="s">
        <v>25</v>
      </c>
      <c r="I342" s="6">
        <v>44531</v>
      </c>
      <c r="J342" s="4">
        <v>0</v>
      </c>
      <c r="K342" s="4">
        <v>0</v>
      </c>
      <c r="L342" s="4">
        <v>0.03</v>
      </c>
      <c r="M342" s="4">
        <v>1.0500000000000001E-2</v>
      </c>
      <c r="N342" s="4">
        <v>0.03</v>
      </c>
      <c r="O342" s="4">
        <v>1.0500000000000001E-2</v>
      </c>
      <c r="P342" s="4">
        <v>0</v>
      </c>
      <c r="Q342" s="3" t="s">
        <v>26</v>
      </c>
      <c r="R342" s="3">
        <v>0</v>
      </c>
      <c r="S342" s="3" t="s">
        <v>225</v>
      </c>
      <c r="T342" s="3" t="s">
        <v>464</v>
      </c>
      <c r="U342" s="3">
        <v>0</v>
      </c>
      <c r="V342" s="3">
        <v>20</v>
      </c>
      <c r="W342" s="3">
        <v>60</v>
      </c>
    </row>
    <row r="343" spans="1:23" ht="11.25" customHeight="1" x14ac:dyDescent="0.3">
      <c r="A343" s="3" t="s">
        <v>21</v>
      </c>
      <c r="B343" s="3" t="s">
        <v>22</v>
      </c>
      <c r="C343" s="3" t="s">
        <v>23</v>
      </c>
      <c r="D343" s="3" t="s">
        <v>24</v>
      </c>
      <c r="E343" s="3" t="s">
        <v>29</v>
      </c>
      <c r="F343" s="3" t="s">
        <v>25</v>
      </c>
      <c r="G343" s="3" t="s">
        <v>25</v>
      </c>
      <c r="H343" s="3" t="s">
        <v>25</v>
      </c>
      <c r="I343" s="6">
        <v>44562</v>
      </c>
      <c r="J343" s="4">
        <v>0</v>
      </c>
      <c r="K343" s="4">
        <v>0</v>
      </c>
      <c r="L343" s="4">
        <v>33.99</v>
      </c>
      <c r="M343" s="4">
        <v>33.99</v>
      </c>
      <c r="N343" s="4">
        <v>33.99</v>
      </c>
      <c r="O343" s="4">
        <v>33.99</v>
      </c>
      <c r="P343" s="4">
        <v>44</v>
      </c>
      <c r="Q343" s="3" t="s">
        <v>26</v>
      </c>
      <c r="R343" s="3">
        <v>0</v>
      </c>
      <c r="S343" s="3" t="s">
        <v>226</v>
      </c>
      <c r="T343" s="3" t="s">
        <v>465</v>
      </c>
      <c r="U343" s="3">
        <v>0</v>
      </c>
      <c r="V343" s="3">
        <v>20</v>
      </c>
      <c r="W343" s="3">
        <v>60</v>
      </c>
    </row>
    <row r="344" spans="1:23" ht="11.25" customHeight="1" x14ac:dyDescent="0.3">
      <c r="A344" s="3" t="s">
        <v>28</v>
      </c>
      <c r="B344" s="3" t="s">
        <v>22</v>
      </c>
      <c r="C344" s="3" t="s">
        <v>23</v>
      </c>
      <c r="D344" s="3" t="s">
        <v>24</v>
      </c>
      <c r="E344" s="3" t="s">
        <v>29</v>
      </c>
      <c r="F344" s="3" t="s">
        <v>25</v>
      </c>
      <c r="G344" s="3" t="s">
        <v>25</v>
      </c>
      <c r="H344" s="3" t="s">
        <v>25</v>
      </c>
      <c r="I344" s="6">
        <v>44562</v>
      </c>
      <c r="J344" s="4">
        <v>0</v>
      </c>
      <c r="K344" s="4">
        <v>0</v>
      </c>
      <c r="L344" s="4">
        <v>0.03</v>
      </c>
      <c r="M344" s="4">
        <v>1.0500000000000001E-2</v>
      </c>
      <c r="N344" s="4">
        <v>0.03</v>
      </c>
      <c r="O344" s="4">
        <v>1.0500000000000001E-2</v>
      </c>
      <c r="P344" s="4">
        <v>0</v>
      </c>
      <c r="Q344" s="3" t="s">
        <v>26</v>
      </c>
      <c r="R344" s="3">
        <v>0</v>
      </c>
      <c r="S344" s="3" t="s">
        <v>226</v>
      </c>
      <c r="T344" s="3" t="s">
        <v>465</v>
      </c>
      <c r="U344" s="3">
        <v>0</v>
      </c>
      <c r="V344" s="3">
        <v>20</v>
      </c>
      <c r="W344" s="3">
        <v>60</v>
      </c>
    </row>
    <row r="345" spans="1:23" ht="11.25" customHeight="1" x14ac:dyDescent="0.3">
      <c r="A345" s="3" t="s">
        <v>21</v>
      </c>
      <c r="B345" s="3" t="s">
        <v>22</v>
      </c>
      <c r="C345" s="3" t="s">
        <v>23</v>
      </c>
      <c r="D345" s="3" t="s">
        <v>24</v>
      </c>
      <c r="E345" s="3" t="s">
        <v>29</v>
      </c>
      <c r="F345" s="3" t="s">
        <v>25</v>
      </c>
      <c r="G345" s="3" t="s">
        <v>25</v>
      </c>
      <c r="H345" s="3" t="s">
        <v>25</v>
      </c>
      <c r="I345" s="6">
        <v>44593</v>
      </c>
      <c r="J345" s="4">
        <v>0</v>
      </c>
      <c r="K345" s="4">
        <v>0</v>
      </c>
      <c r="L345" s="4">
        <v>34.17</v>
      </c>
      <c r="M345" s="4">
        <v>34.17</v>
      </c>
      <c r="N345" s="4">
        <v>34.17</v>
      </c>
      <c r="O345" s="4">
        <v>34.17</v>
      </c>
      <c r="P345" s="4">
        <v>35</v>
      </c>
      <c r="Q345" s="3" t="s">
        <v>26</v>
      </c>
      <c r="R345" s="3">
        <v>0</v>
      </c>
      <c r="S345" s="3" t="s">
        <v>227</v>
      </c>
      <c r="T345" s="3" t="s">
        <v>466</v>
      </c>
      <c r="U345" s="3">
        <v>0</v>
      </c>
      <c r="V345" s="3">
        <v>20</v>
      </c>
      <c r="W345" s="3">
        <v>60</v>
      </c>
    </row>
    <row r="346" spans="1:23" ht="11.25" customHeight="1" x14ac:dyDescent="0.3">
      <c r="A346" s="3" t="s">
        <v>28</v>
      </c>
      <c r="B346" s="3" t="s">
        <v>22</v>
      </c>
      <c r="C346" s="3" t="s">
        <v>23</v>
      </c>
      <c r="D346" s="3" t="s">
        <v>24</v>
      </c>
      <c r="E346" s="3" t="s">
        <v>29</v>
      </c>
      <c r="F346" s="3" t="s">
        <v>25</v>
      </c>
      <c r="G346" s="3" t="s">
        <v>25</v>
      </c>
      <c r="H346" s="3" t="s">
        <v>25</v>
      </c>
      <c r="I346" s="6">
        <v>44593</v>
      </c>
      <c r="J346" s="4">
        <v>0</v>
      </c>
      <c r="K346" s="4">
        <v>0</v>
      </c>
      <c r="L346" s="4">
        <v>0.03</v>
      </c>
      <c r="M346" s="4">
        <v>1.0500000000000001E-2</v>
      </c>
      <c r="N346" s="4">
        <v>0.03</v>
      </c>
      <c r="O346" s="4">
        <v>1.0500000000000001E-2</v>
      </c>
      <c r="P346" s="4">
        <v>0</v>
      </c>
      <c r="Q346" s="3" t="s">
        <v>26</v>
      </c>
      <c r="R346" s="3">
        <v>0</v>
      </c>
      <c r="S346" s="3" t="s">
        <v>227</v>
      </c>
      <c r="T346" s="3" t="s">
        <v>466</v>
      </c>
      <c r="U346" s="3">
        <v>0</v>
      </c>
      <c r="V346" s="3">
        <v>20</v>
      </c>
      <c r="W346" s="3">
        <v>60</v>
      </c>
    </row>
    <row r="347" spans="1:23" ht="11.25" customHeight="1" x14ac:dyDescent="0.3">
      <c r="A347" s="3" t="s">
        <v>21</v>
      </c>
      <c r="B347" s="3" t="s">
        <v>22</v>
      </c>
      <c r="C347" s="3" t="s">
        <v>23</v>
      </c>
      <c r="D347" s="3" t="s">
        <v>24</v>
      </c>
      <c r="E347" s="3" t="s">
        <v>29</v>
      </c>
      <c r="F347" s="3" t="s">
        <v>25</v>
      </c>
      <c r="G347" s="3" t="s">
        <v>25</v>
      </c>
      <c r="H347" s="3" t="s">
        <v>25</v>
      </c>
      <c r="I347" s="6">
        <v>44621</v>
      </c>
      <c r="J347" s="4">
        <v>0</v>
      </c>
      <c r="K347" s="4">
        <v>0</v>
      </c>
      <c r="L347" s="4">
        <v>34.92</v>
      </c>
      <c r="M347" s="4">
        <v>34.92</v>
      </c>
      <c r="N347" s="4">
        <v>34.92</v>
      </c>
      <c r="O347" s="4">
        <v>34.92</v>
      </c>
      <c r="P347" s="4">
        <v>42</v>
      </c>
      <c r="Q347" s="3" t="s">
        <v>26</v>
      </c>
      <c r="R347" s="3">
        <v>0</v>
      </c>
      <c r="S347" s="3" t="s">
        <v>228</v>
      </c>
      <c r="T347" s="3" t="s">
        <v>467</v>
      </c>
      <c r="U347" s="3">
        <v>0</v>
      </c>
      <c r="V347" s="3">
        <v>20</v>
      </c>
      <c r="W347" s="3">
        <v>60</v>
      </c>
    </row>
    <row r="348" spans="1:23" ht="11.25" customHeight="1" x14ac:dyDescent="0.3">
      <c r="A348" s="3" t="s">
        <v>28</v>
      </c>
      <c r="B348" s="3" t="s">
        <v>22</v>
      </c>
      <c r="C348" s="3" t="s">
        <v>23</v>
      </c>
      <c r="D348" s="3" t="s">
        <v>24</v>
      </c>
      <c r="E348" s="3" t="s">
        <v>29</v>
      </c>
      <c r="F348" s="3" t="s">
        <v>25</v>
      </c>
      <c r="G348" s="3" t="s">
        <v>25</v>
      </c>
      <c r="H348" s="3" t="s">
        <v>25</v>
      </c>
      <c r="I348" s="6">
        <v>44621</v>
      </c>
      <c r="J348" s="4">
        <v>0</v>
      </c>
      <c r="K348" s="4">
        <v>0</v>
      </c>
      <c r="L348" s="4">
        <v>0.03</v>
      </c>
      <c r="M348" s="4">
        <v>1.0500000000000001E-2</v>
      </c>
      <c r="N348" s="4">
        <v>0.03</v>
      </c>
      <c r="O348" s="4">
        <v>1.0500000000000001E-2</v>
      </c>
      <c r="P348" s="4">
        <v>0</v>
      </c>
      <c r="Q348" s="3" t="s">
        <v>26</v>
      </c>
      <c r="R348" s="3">
        <v>0</v>
      </c>
      <c r="S348" s="3" t="s">
        <v>228</v>
      </c>
      <c r="T348" s="3" t="s">
        <v>467</v>
      </c>
      <c r="U348" s="3">
        <v>0</v>
      </c>
      <c r="V348" s="3">
        <v>20</v>
      </c>
      <c r="W348" s="3">
        <v>60</v>
      </c>
    </row>
    <row r="349" spans="1:23" ht="11.25" customHeight="1" x14ac:dyDescent="0.3">
      <c r="A349" s="3" t="s">
        <v>21</v>
      </c>
      <c r="B349" s="3" t="s">
        <v>22</v>
      </c>
      <c r="C349" s="3" t="s">
        <v>23</v>
      </c>
      <c r="D349" s="3" t="s">
        <v>24</v>
      </c>
      <c r="E349" s="3" t="s">
        <v>29</v>
      </c>
      <c r="F349" s="3" t="s">
        <v>25</v>
      </c>
      <c r="G349" s="3" t="s">
        <v>25</v>
      </c>
      <c r="H349" s="3" t="s">
        <v>25</v>
      </c>
      <c r="I349" s="6">
        <v>44652</v>
      </c>
      <c r="J349" s="4">
        <v>0</v>
      </c>
      <c r="K349" s="4">
        <v>0</v>
      </c>
      <c r="L349" s="4">
        <v>35.58</v>
      </c>
      <c r="M349" s="4">
        <v>35.58</v>
      </c>
      <c r="N349" s="4">
        <v>35.58</v>
      </c>
      <c r="O349" s="4">
        <v>35.58</v>
      </c>
      <c r="P349" s="4">
        <v>40</v>
      </c>
      <c r="Q349" s="3" t="s">
        <v>26</v>
      </c>
      <c r="R349" s="3">
        <v>0</v>
      </c>
      <c r="S349" s="3" t="s">
        <v>229</v>
      </c>
      <c r="T349" s="3" t="s">
        <v>468</v>
      </c>
      <c r="U349" s="3">
        <v>0</v>
      </c>
      <c r="V349" s="3">
        <v>20</v>
      </c>
      <c r="W349" s="3">
        <v>60</v>
      </c>
    </row>
    <row r="350" spans="1:23" ht="11.25" customHeight="1" x14ac:dyDescent="0.3">
      <c r="A350" s="3" t="s">
        <v>28</v>
      </c>
      <c r="B350" s="3" t="s">
        <v>22</v>
      </c>
      <c r="C350" s="3" t="s">
        <v>23</v>
      </c>
      <c r="D350" s="3" t="s">
        <v>24</v>
      </c>
      <c r="E350" s="3" t="s">
        <v>29</v>
      </c>
      <c r="F350" s="3" t="s">
        <v>25</v>
      </c>
      <c r="G350" s="3" t="s">
        <v>25</v>
      </c>
      <c r="H350" s="3" t="s">
        <v>25</v>
      </c>
      <c r="I350" s="6">
        <v>44652</v>
      </c>
      <c r="J350" s="4">
        <v>0</v>
      </c>
      <c r="K350" s="4">
        <v>0</v>
      </c>
      <c r="L350" s="4">
        <v>0.03</v>
      </c>
      <c r="M350" s="4">
        <v>1.0500000000000001E-2</v>
      </c>
      <c r="N350" s="4">
        <v>0.03</v>
      </c>
      <c r="O350" s="4">
        <v>1.0500000000000001E-2</v>
      </c>
      <c r="P350" s="4">
        <v>0</v>
      </c>
      <c r="Q350" s="3" t="s">
        <v>26</v>
      </c>
      <c r="R350" s="3">
        <v>0</v>
      </c>
      <c r="S350" s="3" t="s">
        <v>229</v>
      </c>
      <c r="T350" s="3" t="s">
        <v>468</v>
      </c>
      <c r="U350" s="3">
        <v>0</v>
      </c>
      <c r="V350" s="3">
        <v>20</v>
      </c>
      <c r="W350" s="3">
        <v>60</v>
      </c>
    </row>
    <row r="351" spans="1:23" ht="11.25" customHeight="1" x14ac:dyDescent="0.3">
      <c r="A351" s="3" t="s">
        <v>21</v>
      </c>
      <c r="B351" s="3" t="s">
        <v>22</v>
      </c>
      <c r="C351" s="3" t="s">
        <v>23</v>
      </c>
      <c r="D351" s="3" t="s">
        <v>24</v>
      </c>
      <c r="E351" s="3" t="s">
        <v>29</v>
      </c>
      <c r="F351" s="3" t="s">
        <v>25</v>
      </c>
      <c r="G351" s="3" t="s">
        <v>25</v>
      </c>
      <c r="H351" s="3" t="s">
        <v>25</v>
      </c>
      <c r="I351" s="6">
        <v>44682</v>
      </c>
      <c r="J351" s="4">
        <v>0</v>
      </c>
      <c r="K351" s="4">
        <v>0</v>
      </c>
      <c r="L351" s="4">
        <v>45.710999999999999</v>
      </c>
      <c r="M351" s="4">
        <v>45.710999999999999</v>
      </c>
      <c r="N351" s="4">
        <v>45.710999999999999</v>
      </c>
      <c r="O351" s="4">
        <v>45.710999999999999</v>
      </c>
      <c r="P351" s="4">
        <v>70</v>
      </c>
      <c r="Q351" s="3" t="s">
        <v>26</v>
      </c>
      <c r="R351" s="3">
        <v>0</v>
      </c>
      <c r="S351" s="3" t="s">
        <v>230</v>
      </c>
      <c r="T351" s="3" t="s">
        <v>469</v>
      </c>
      <c r="U351" s="3">
        <v>0</v>
      </c>
      <c r="V351" s="3">
        <v>20</v>
      </c>
      <c r="W351" s="3">
        <v>60</v>
      </c>
    </row>
    <row r="352" spans="1:23" ht="11.25" customHeight="1" x14ac:dyDescent="0.3">
      <c r="A352" s="3" t="s">
        <v>28</v>
      </c>
      <c r="B352" s="3" t="s">
        <v>22</v>
      </c>
      <c r="C352" s="3" t="s">
        <v>23</v>
      </c>
      <c r="D352" s="3" t="s">
        <v>24</v>
      </c>
      <c r="E352" s="3" t="s">
        <v>29</v>
      </c>
      <c r="F352" s="3" t="s">
        <v>25</v>
      </c>
      <c r="G352" s="3" t="s">
        <v>25</v>
      </c>
      <c r="H352" s="3" t="s">
        <v>25</v>
      </c>
      <c r="I352" s="6">
        <v>44682</v>
      </c>
      <c r="J352" s="4">
        <v>0</v>
      </c>
      <c r="K352" s="4">
        <v>0</v>
      </c>
      <c r="L352" s="4">
        <v>0.03</v>
      </c>
      <c r="M352" s="4">
        <v>1.0500000000000001E-2</v>
      </c>
      <c r="N352" s="4">
        <v>0.03</v>
      </c>
      <c r="O352" s="4">
        <v>1.0500000000000001E-2</v>
      </c>
      <c r="P352" s="4">
        <v>0</v>
      </c>
      <c r="Q352" s="3" t="s">
        <v>26</v>
      </c>
      <c r="R352" s="3">
        <v>0</v>
      </c>
      <c r="S352" s="3" t="s">
        <v>230</v>
      </c>
      <c r="T352" s="3" t="s">
        <v>469</v>
      </c>
      <c r="U352" s="3">
        <v>0</v>
      </c>
      <c r="V352" s="3">
        <v>20</v>
      </c>
      <c r="W352" s="3">
        <v>60</v>
      </c>
    </row>
    <row r="353" spans="1:23" ht="11.25" customHeight="1" x14ac:dyDescent="0.3">
      <c r="A353" s="3" t="s">
        <v>21</v>
      </c>
      <c r="B353" s="3" t="s">
        <v>22</v>
      </c>
      <c r="C353" s="3" t="s">
        <v>23</v>
      </c>
      <c r="D353" s="3" t="s">
        <v>24</v>
      </c>
      <c r="E353" s="3" t="s">
        <v>29</v>
      </c>
      <c r="F353" s="3" t="s">
        <v>25</v>
      </c>
      <c r="G353" s="3" t="s">
        <v>25</v>
      </c>
      <c r="H353" s="3" t="s">
        <v>25</v>
      </c>
      <c r="I353" s="6">
        <v>44713</v>
      </c>
      <c r="J353" s="4">
        <v>0</v>
      </c>
      <c r="K353" s="4">
        <v>0</v>
      </c>
      <c r="L353" s="4">
        <v>44.174999999999997</v>
      </c>
      <c r="M353" s="4">
        <v>44.174999999999997</v>
      </c>
      <c r="N353" s="4">
        <v>44.174999999999997</v>
      </c>
      <c r="O353" s="4">
        <v>44.174999999999997</v>
      </c>
      <c r="P353" s="4">
        <v>59</v>
      </c>
      <c r="Q353" s="3" t="s">
        <v>26</v>
      </c>
      <c r="R353" s="3">
        <v>0</v>
      </c>
      <c r="S353" s="3" t="s">
        <v>231</v>
      </c>
      <c r="T353" s="3" t="s">
        <v>470</v>
      </c>
      <c r="U353" s="3">
        <v>0</v>
      </c>
      <c r="V353" s="3">
        <v>20</v>
      </c>
      <c r="W353" s="3">
        <v>60</v>
      </c>
    </row>
    <row r="354" spans="1:23" ht="11.25" customHeight="1" x14ac:dyDescent="0.3">
      <c r="A354" s="3" t="s">
        <v>28</v>
      </c>
      <c r="B354" s="3" t="s">
        <v>22</v>
      </c>
      <c r="C354" s="3" t="s">
        <v>23</v>
      </c>
      <c r="D354" s="3" t="s">
        <v>24</v>
      </c>
      <c r="E354" s="3" t="s">
        <v>29</v>
      </c>
      <c r="F354" s="3" t="s">
        <v>25</v>
      </c>
      <c r="G354" s="3" t="s">
        <v>25</v>
      </c>
      <c r="H354" s="3" t="s">
        <v>25</v>
      </c>
      <c r="I354" s="6">
        <v>44713</v>
      </c>
      <c r="J354" s="4">
        <v>0</v>
      </c>
      <c r="K354" s="4">
        <v>0</v>
      </c>
      <c r="L354" s="4">
        <v>0.03</v>
      </c>
      <c r="M354" s="4">
        <v>-8.9999999999999993E-3</v>
      </c>
      <c r="N354" s="4">
        <v>0.03</v>
      </c>
      <c r="O354" s="4">
        <v>-8.9999999999999993E-3</v>
      </c>
      <c r="P354" s="4">
        <v>0</v>
      </c>
      <c r="Q354" s="3" t="s">
        <v>26</v>
      </c>
      <c r="R354" s="3">
        <v>0</v>
      </c>
      <c r="S354" s="3" t="s">
        <v>231</v>
      </c>
      <c r="T354" s="3" t="s">
        <v>470</v>
      </c>
      <c r="U354" s="3">
        <v>0</v>
      </c>
      <c r="V354" s="3">
        <v>20</v>
      </c>
      <c r="W354" s="3">
        <v>60</v>
      </c>
    </row>
    <row r="355" spans="1:23" ht="11.25" customHeight="1" x14ac:dyDescent="0.3">
      <c r="A355" s="3" t="s">
        <v>21</v>
      </c>
      <c r="B355" s="3" t="s">
        <v>22</v>
      </c>
      <c r="C355" s="3" t="s">
        <v>23</v>
      </c>
      <c r="D355" s="3" t="s">
        <v>24</v>
      </c>
      <c r="E355" s="3" t="s">
        <v>30</v>
      </c>
      <c r="F355" s="3" t="s">
        <v>25</v>
      </c>
      <c r="G355" s="3" t="s">
        <v>25</v>
      </c>
      <c r="H355" s="3" t="s">
        <v>25</v>
      </c>
      <c r="I355" s="6">
        <v>44378</v>
      </c>
      <c r="J355" s="4">
        <v>0</v>
      </c>
      <c r="K355" s="4">
        <v>0</v>
      </c>
      <c r="L355" s="4">
        <v>62.991</v>
      </c>
      <c r="M355" s="4">
        <v>62.991</v>
      </c>
      <c r="N355" s="4">
        <v>62.991</v>
      </c>
      <c r="O355" s="4">
        <v>62.991</v>
      </c>
      <c r="P355" s="4">
        <v>268</v>
      </c>
      <c r="Q355" s="3" t="s">
        <v>26</v>
      </c>
      <c r="R355" s="3">
        <v>0</v>
      </c>
      <c r="S355" s="3" t="s">
        <v>232</v>
      </c>
      <c r="T355" s="3" t="s">
        <v>471</v>
      </c>
      <c r="U355" s="3">
        <v>0</v>
      </c>
      <c r="V355" s="3">
        <v>21</v>
      </c>
      <c r="W355" s="3">
        <v>61</v>
      </c>
    </row>
    <row r="356" spans="1:23" ht="11.25" customHeight="1" x14ac:dyDescent="0.3">
      <c r="A356" s="3" t="s">
        <v>27</v>
      </c>
      <c r="B356" s="3" t="s">
        <v>22</v>
      </c>
      <c r="C356" s="3" t="s">
        <v>23</v>
      </c>
      <c r="D356" s="3" t="s">
        <v>24</v>
      </c>
      <c r="E356" s="3" t="s">
        <v>30</v>
      </c>
      <c r="F356" s="3" t="s">
        <v>25</v>
      </c>
      <c r="G356" s="3" t="s">
        <v>25</v>
      </c>
      <c r="H356" s="3" t="s">
        <v>25</v>
      </c>
      <c r="I356" s="6">
        <v>44378</v>
      </c>
      <c r="J356" s="4">
        <v>0</v>
      </c>
      <c r="K356" s="4">
        <v>0</v>
      </c>
      <c r="L356" s="4">
        <v>-6.6000000000000003E-2</v>
      </c>
      <c r="M356" s="4">
        <v>-6.6000000000000003E-2</v>
      </c>
      <c r="N356" s="4">
        <v>-6.6000000000000003E-2</v>
      </c>
      <c r="O356" s="4">
        <v>-6.6000000000000003E-2</v>
      </c>
      <c r="P356" s="4">
        <v>0</v>
      </c>
      <c r="Q356" s="3" t="s">
        <v>26</v>
      </c>
      <c r="R356" s="3">
        <v>0</v>
      </c>
      <c r="S356" s="3" t="s">
        <v>232</v>
      </c>
      <c r="T356" s="3" t="s">
        <v>471</v>
      </c>
      <c r="U356" s="3">
        <v>0</v>
      </c>
      <c r="V356" s="3">
        <v>21</v>
      </c>
      <c r="W356" s="3">
        <v>61</v>
      </c>
    </row>
    <row r="357" spans="1:23" ht="11.25" customHeight="1" x14ac:dyDescent="0.3">
      <c r="A357" s="3" t="s">
        <v>28</v>
      </c>
      <c r="B357" s="3" t="s">
        <v>22</v>
      </c>
      <c r="C357" s="3" t="s">
        <v>23</v>
      </c>
      <c r="D357" s="3" t="s">
        <v>24</v>
      </c>
      <c r="E357" s="3" t="s">
        <v>30</v>
      </c>
      <c r="F357" s="3" t="s">
        <v>25</v>
      </c>
      <c r="G357" s="3" t="s">
        <v>25</v>
      </c>
      <c r="H357" s="3" t="s">
        <v>25</v>
      </c>
      <c r="I357" s="6">
        <v>44378</v>
      </c>
      <c r="J357" s="4">
        <v>0</v>
      </c>
      <c r="K357" s="4">
        <v>0</v>
      </c>
      <c r="L357" s="4">
        <v>0.14000000000000001</v>
      </c>
      <c r="M357" s="4">
        <v>0.14000000000000001</v>
      </c>
      <c r="N357" s="4">
        <v>0.14000000000000001</v>
      </c>
      <c r="O357" s="4">
        <v>0.14000000000000001</v>
      </c>
      <c r="P357" s="4">
        <v>0</v>
      </c>
      <c r="Q357" s="3" t="s">
        <v>26</v>
      </c>
      <c r="R357" s="3">
        <v>0</v>
      </c>
      <c r="S357" s="3" t="s">
        <v>232</v>
      </c>
      <c r="T357" s="3" t="s">
        <v>471</v>
      </c>
      <c r="U357" s="3">
        <v>0</v>
      </c>
      <c r="V357" s="3">
        <v>21</v>
      </c>
      <c r="W357" s="3">
        <v>61</v>
      </c>
    </row>
    <row r="358" spans="1:23" ht="11.25" customHeight="1" x14ac:dyDescent="0.3">
      <c r="A358" s="3" t="s">
        <v>21</v>
      </c>
      <c r="B358" s="3" t="s">
        <v>22</v>
      </c>
      <c r="C358" s="3" t="s">
        <v>23</v>
      </c>
      <c r="D358" s="3" t="s">
        <v>24</v>
      </c>
      <c r="E358" s="3" t="s">
        <v>30</v>
      </c>
      <c r="F358" s="3" t="s">
        <v>25</v>
      </c>
      <c r="G358" s="3" t="s">
        <v>25</v>
      </c>
      <c r="H358" s="3" t="s">
        <v>25</v>
      </c>
      <c r="I358" s="6">
        <v>44409</v>
      </c>
      <c r="J358" s="4">
        <v>0</v>
      </c>
      <c r="K358" s="4">
        <v>0</v>
      </c>
      <c r="L358" s="4">
        <v>64.536000000000001</v>
      </c>
      <c r="M358" s="4">
        <v>64.536000000000001</v>
      </c>
      <c r="N358" s="4">
        <v>64.536000000000001</v>
      </c>
      <c r="O358" s="4">
        <v>64.536000000000001</v>
      </c>
      <c r="P358" s="4">
        <v>215</v>
      </c>
      <c r="Q358" s="3" t="s">
        <v>26</v>
      </c>
      <c r="R358" s="3">
        <v>0</v>
      </c>
      <c r="S358" s="3" t="s">
        <v>233</v>
      </c>
      <c r="T358" s="3" t="s">
        <v>472</v>
      </c>
      <c r="U358" s="3">
        <v>0</v>
      </c>
      <c r="V358" s="3">
        <v>21</v>
      </c>
      <c r="W358" s="3">
        <v>61</v>
      </c>
    </row>
    <row r="359" spans="1:23" ht="11.25" customHeight="1" x14ac:dyDescent="0.3">
      <c r="A359" s="3" t="s">
        <v>27</v>
      </c>
      <c r="B359" s="3" t="s">
        <v>22</v>
      </c>
      <c r="C359" s="3" t="s">
        <v>23</v>
      </c>
      <c r="D359" s="3" t="s">
        <v>24</v>
      </c>
      <c r="E359" s="3" t="s">
        <v>30</v>
      </c>
      <c r="F359" s="3" t="s">
        <v>25</v>
      </c>
      <c r="G359" s="3" t="s">
        <v>25</v>
      </c>
      <c r="H359" s="3" t="s">
        <v>25</v>
      </c>
      <c r="I359" s="6">
        <v>44409</v>
      </c>
      <c r="J359" s="4">
        <v>0</v>
      </c>
      <c r="K359" s="4">
        <v>0</v>
      </c>
      <c r="L359" s="4">
        <v>0.14000000000000001</v>
      </c>
      <c r="M359" s="4">
        <v>0.14000000000000001</v>
      </c>
      <c r="N359" s="4">
        <v>0.14000000000000001</v>
      </c>
      <c r="O359" s="4">
        <v>0.14000000000000001</v>
      </c>
      <c r="P359" s="4">
        <v>0</v>
      </c>
      <c r="Q359" s="3" t="s">
        <v>26</v>
      </c>
      <c r="R359" s="3">
        <v>0</v>
      </c>
      <c r="S359" s="3" t="s">
        <v>233</v>
      </c>
      <c r="T359" s="3" t="s">
        <v>472</v>
      </c>
      <c r="U359" s="3">
        <v>0</v>
      </c>
      <c r="V359" s="3">
        <v>21</v>
      </c>
      <c r="W359" s="3">
        <v>61</v>
      </c>
    </row>
    <row r="360" spans="1:23" ht="11.25" customHeight="1" x14ac:dyDescent="0.3">
      <c r="A360" s="3" t="s">
        <v>28</v>
      </c>
      <c r="B360" s="3" t="s">
        <v>22</v>
      </c>
      <c r="C360" s="3" t="s">
        <v>23</v>
      </c>
      <c r="D360" s="3" t="s">
        <v>24</v>
      </c>
      <c r="E360" s="3" t="s">
        <v>30</v>
      </c>
      <c r="F360" s="3" t="s">
        <v>25</v>
      </c>
      <c r="G360" s="3" t="s">
        <v>25</v>
      </c>
      <c r="H360" s="3" t="s">
        <v>25</v>
      </c>
      <c r="I360" s="6">
        <v>44409</v>
      </c>
      <c r="J360" s="4">
        <v>0</v>
      </c>
      <c r="K360" s="4">
        <v>0</v>
      </c>
      <c r="L360" s="4">
        <v>6.2E-2</v>
      </c>
      <c r="M360" s="4">
        <v>6.2E-2</v>
      </c>
      <c r="N360" s="4">
        <v>6.2E-2</v>
      </c>
      <c r="O360" s="4">
        <v>6.2E-2</v>
      </c>
      <c r="P360" s="4">
        <v>0</v>
      </c>
      <c r="Q360" s="3" t="s">
        <v>26</v>
      </c>
      <c r="R360" s="3">
        <v>0</v>
      </c>
      <c r="S360" s="3" t="s">
        <v>233</v>
      </c>
      <c r="T360" s="3" t="s">
        <v>472</v>
      </c>
      <c r="U360" s="3">
        <v>0</v>
      </c>
      <c r="V360" s="3">
        <v>21</v>
      </c>
      <c r="W360" s="3">
        <v>61</v>
      </c>
    </row>
    <row r="361" spans="1:23" ht="11.25" customHeight="1" x14ac:dyDescent="0.3">
      <c r="A361" s="3" t="s">
        <v>21</v>
      </c>
      <c r="B361" s="3" t="s">
        <v>22</v>
      </c>
      <c r="C361" s="3" t="s">
        <v>23</v>
      </c>
      <c r="D361" s="3" t="s">
        <v>24</v>
      </c>
      <c r="E361" s="3" t="s">
        <v>30</v>
      </c>
      <c r="F361" s="3" t="s">
        <v>25</v>
      </c>
      <c r="G361" s="3" t="s">
        <v>25</v>
      </c>
      <c r="H361" s="3" t="s">
        <v>25</v>
      </c>
      <c r="I361" s="6">
        <v>44440</v>
      </c>
      <c r="J361" s="4">
        <v>0</v>
      </c>
      <c r="K361" s="4">
        <v>0</v>
      </c>
      <c r="L361" s="4">
        <v>65.968999999999994</v>
      </c>
      <c r="M361" s="4">
        <v>65.968999999999994</v>
      </c>
      <c r="N361" s="4">
        <v>65.968999999999994</v>
      </c>
      <c r="O361" s="4">
        <v>65.968999999999994</v>
      </c>
      <c r="P361" s="4">
        <v>234</v>
      </c>
      <c r="Q361" s="3" t="s">
        <v>26</v>
      </c>
      <c r="R361" s="3">
        <v>0</v>
      </c>
      <c r="S361" s="3" t="s">
        <v>234</v>
      </c>
      <c r="T361" s="3" t="s">
        <v>473</v>
      </c>
      <c r="U361" s="3">
        <v>0</v>
      </c>
      <c r="V361" s="3">
        <v>21</v>
      </c>
      <c r="W361" s="3">
        <v>61</v>
      </c>
    </row>
    <row r="362" spans="1:23" ht="11.25" customHeight="1" x14ac:dyDescent="0.3">
      <c r="A362" s="3" t="s">
        <v>28</v>
      </c>
      <c r="B362" s="3" t="s">
        <v>22</v>
      </c>
      <c r="C362" s="3" t="s">
        <v>23</v>
      </c>
      <c r="D362" s="3" t="s">
        <v>24</v>
      </c>
      <c r="E362" s="3" t="s">
        <v>30</v>
      </c>
      <c r="F362" s="3" t="s">
        <v>25</v>
      </c>
      <c r="G362" s="3" t="s">
        <v>25</v>
      </c>
      <c r="H362" s="3" t="s">
        <v>25</v>
      </c>
      <c r="I362" s="6">
        <v>44440</v>
      </c>
      <c r="J362" s="4">
        <v>0</v>
      </c>
      <c r="K362" s="4">
        <v>0</v>
      </c>
      <c r="L362" s="4">
        <v>7.0000000000000007E-2</v>
      </c>
      <c r="M362" s="4">
        <v>7.0000000000000007E-2</v>
      </c>
      <c r="N362" s="4">
        <v>7.0000000000000007E-2</v>
      </c>
      <c r="O362" s="4">
        <v>7.0000000000000007E-2</v>
      </c>
      <c r="P362" s="4">
        <v>0</v>
      </c>
      <c r="Q362" s="3" t="s">
        <v>26</v>
      </c>
      <c r="R362" s="3">
        <v>0</v>
      </c>
      <c r="S362" s="3" t="s">
        <v>234</v>
      </c>
      <c r="T362" s="3" t="s">
        <v>473</v>
      </c>
      <c r="U362" s="3">
        <v>0</v>
      </c>
      <c r="V362" s="3">
        <v>21</v>
      </c>
      <c r="W362" s="3">
        <v>61</v>
      </c>
    </row>
    <row r="363" spans="1:23" ht="11.25" customHeight="1" x14ac:dyDescent="0.3">
      <c r="A363" s="3" t="s">
        <v>21</v>
      </c>
      <c r="B363" s="3" t="s">
        <v>22</v>
      </c>
      <c r="C363" s="3" t="s">
        <v>23</v>
      </c>
      <c r="D363" s="3" t="s">
        <v>24</v>
      </c>
      <c r="E363" s="3" t="s">
        <v>30</v>
      </c>
      <c r="F363" s="3" t="s">
        <v>25</v>
      </c>
      <c r="G363" s="3" t="s">
        <v>25</v>
      </c>
      <c r="H363" s="3" t="s">
        <v>25</v>
      </c>
      <c r="I363" s="6">
        <v>44470</v>
      </c>
      <c r="J363" s="4">
        <v>0</v>
      </c>
      <c r="K363" s="4">
        <v>0</v>
      </c>
      <c r="L363" s="4">
        <v>67.483999999999995</v>
      </c>
      <c r="M363" s="4">
        <v>67.483999999999995</v>
      </c>
      <c r="N363" s="4">
        <v>67.483999999999995</v>
      </c>
      <c r="O363" s="4">
        <v>67.483999999999995</v>
      </c>
      <c r="P363" s="4">
        <v>198</v>
      </c>
      <c r="Q363" s="3" t="s">
        <v>26</v>
      </c>
      <c r="R363" s="3">
        <v>0</v>
      </c>
      <c r="S363" s="3" t="s">
        <v>235</v>
      </c>
      <c r="T363" s="3" t="s">
        <v>474</v>
      </c>
      <c r="U363" s="3">
        <v>0</v>
      </c>
      <c r="V363" s="3">
        <v>21</v>
      </c>
      <c r="W363" s="3">
        <v>61</v>
      </c>
    </row>
    <row r="364" spans="1:23" ht="11.25" customHeight="1" x14ac:dyDescent="0.3">
      <c r="A364" s="3" t="s">
        <v>28</v>
      </c>
      <c r="B364" s="3" t="s">
        <v>22</v>
      </c>
      <c r="C364" s="3" t="s">
        <v>23</v>
      </c>
      <c r="D364" s="3" t="s">
        <v>24</v>
      </c>
      <c r="E364" s="3" t="s">
        <v>30</v>
      </c>
      <c r="F364" s="3" t="s">
        <v>25</v>
      </c>
      <c r="G364" s="3" t="s">
        <v>25</v>
      </c>
      <c r="H364" s="3" t="s">
        <v>25</v>
      </c>
      <c r="I364" s="6">
        <v>44470</v>
      </c>
      <c r="J364" s="4">
        <v>0</v>
      </c>
      <c r="K364" s="4">
        <v>0</v>
      </c>
      <c r="L364" s="4">
        <v>7.0000000000000007E-2</v>
      </c>
      <c r="M364" s="4">
        <v>7.0000000000000007E-2</v>
      </c>
      <c r="N364" s="4">
        <v>7.0000000000000007E-2</v>
      </c>
      <c r="O364" s="4">
        <v>7.0000000000000007E-2</v>
      </c>
      <c r="P364" s="4">
        <v>0</v>
      </c>
      <c r="Q364" s="3" t="s">
        <v>26</v>
      </c>
      <c r="R364" s="3">
        <v>0</v>
      </c>
      <c r="S364" s="3" t="s">
        <v>235</v>
      </c>
      <c r="T364" s="3" t="s">
        <v>474</v>
      </c>
      <c r="U364" s="3">
        <v>0</v>
      </c>
      <c r="V364" s="3">
        <v>21</v>
      </c>
      <c r="W364" s="3">
        <v>61</v>
      </c>
    </row>
    <row r="365" spans="1:23" ht="11.25" customHeight="1" x14ac:dyDescent="0.3">
      <c r="A365" s="3" t="s">
        <v>21</v>
      </c>
      <c r="B365" s="3" t="s">
        <v>22</v>
      </c>
      <c r="C365" s="3" t="s">
        <v>23</v>
      </c>
      <c r="D365" s="3" t="s">
        <v>24</v>
      </c>
      <c r="E365" s="3" t="s">
        <v>30</v>
      </c>
      <c r="F365" s="3" t="s">
        <v>25</v>
      </c>
      <c r="G365" s="3" t="s">
        <v>25</v>
      </c>
      <c r="H365" s="3" t="s">
        <v>25</v>
      </c>
      <c r="I365" s="6">
        <v>44501</v>
      </c>
      <c r="J365" s="4">
        <v>0</v>
      </c>
      <c r="K365" s="4">
        <v>0</v>
      </c>
      <c r="L365" s="4">
        <v>68.765000000000001</v>
      </c>
      <c r="M365" s="4">
        <v>68.765000000000001</v>
      </c>
      <c r="N365" s="4">
        <v>68.765000000000001</v>
      </c>
      <c r="O365" s="4">
        <v>68.765000000000001</v>
      </c>
      <c r="P365" s="4">
        <v>185</v>
      </c>
      <c r="Q365" s="3" t="s">
        <v>26</v>
      </c>
      <c r="R365" s="3">
        <v>0</v>
      </c>
      <c r="S365" s="3" t="s">
        <v>236</v>
      </c>
      <c r="T365" s="3" t="s">
        <v>475</v>
      </c>
      <c r="U365" s="3">
        <v>0</v>
      </c>
      <c r="V365" s="3">
        <v>21</v>
      </c>
      <c r="W365" s="3">
        <v>61</v>
      </c>
    </row>
    <row r="366" spans="1:23" ht="11.25" customHeight="1" x14ac:dyDescent="0.3">
      <c r="A366" s="3" t="s">
        <v>28</v>
      </c>
      <c r="B366" s="3" t="s">
        <v>22</v>
      </c>
      <c r="C366" s="3" t="s">
        <v>23</v>
      </c>
      <c r="D366" s="3" t="s">
        <v>24</v>
      </c>
      <c r="E366" s="3" t="s">
        <v>30</v>
      </c>
      <c r="F366" s="3" t="s">
        <v>25</v>
      </c>
      <c r="G366" s="3" t="s">
        <v>25</v>
      </c>
      <c r="H366" s="3" t="s">
        <v>25</v>
      </c>
      <c r="I366" s="6">
        <v>44501</v>
      </c>
      <c r="J366" s="4">
        <v>0</v>
      </c>
      <c r="K366" s="4">
        <v>0</v>
      </c>
      <c r="L366" s="4">
        <v>0.14000000000000001</v>
      </c>
      <c r="M366" s="4">
        <v>0.14000000000000001</v>
      </c>
      <c r="N366" s="4">
        <v>0.14000000000000001</v>
      </c>
      <c r="O366" s="4">
        <v>0.14000000000000001</v>
      </c>
      <c r="P366" s="4">
        <v>0</v>
      </c>
      <c r="Q366" s="3" t="s">
        <v>26</v>
      </c>
      <c r="R366" s="3">
        <v>0</v>
      </c>
      <c r="S366" s="3" t="s">
        <v>236</v>
      </c>
      <c r="T366" s="3" t="s">
        <v>475</v>
      </c>
      <c r="U366" s="3">
        <v>0</v>
      </c>
      <c r="V366" s="3">
        <v>21</v>
      </c>
      <c r="W366" s="3">
        <v>61</v>
      </c>
    </row>
    <row r="367" spans="1:23" ht="11.25" customHeight="1" x14ac:dyDescent="0.3">
      <c r="A367" s="3" t="s">
        <v>21</v>
      </c>
      <c r="B367" s="3" t="s">
        <v>22</v>
      </c>
      <c r="C367" s="3" t="s">
        <v>23</v>
      </c>
      <c r="D367" s="3" t="s">
        <v>24</v>
      </c>
      <c r="E367" s="3" t="s">
        <v>30</v>
      </c>
      <c r="F367" s="3" t="s">
        <v>25</v>
      </c>
      <c r="G367" s="3" t="s">
        <v>25</v>
      </c>
      <c r="H367" s="3" t="s">
        <v>25</v>
      </c>
      <c r="I367" s="6">
        <v>44531</v>
      </c>
      <c r="J367" s="4">
        <v>0</v>
      </c>
      <c r="K367" s="4">
        <v>0</v>
      </c>
      <c r="L367" s="4">
        <v>70.614000000000004</v>
      </c>
      <c r="M367" s="4">
        <v>70.614000000000004</v>
      </c>
      <c r="N367" s="4">
        <v>70.614000000000004</v>
      </c>
      <c r="O367" s="4">
        <v>70.614000000000004</v>
      </c>
      <c r="P367" s="4">
        <v>162</v>
      </c>
      <c r="Q367" s="3" t="s">
        <v>26</v>
      </c>
      <c r="R367" s="3">
        <v>0</v>
      </c>
      <c r="S367" s="3" t="s">
        <v>237</v>
      </c>
      <c r="T367" s="3" t="s">
        <v>476</v>
      </c>
      <c r="U367" s="3">
        <v>0</v>
      </c>
      <c r="V367" s="3">
        <v>21</v>
      </c>
      <c r="W367" s="3">
        <v>61</v>
      </c>
    </row>
    <row r="368" spans="1:23" ht="11.25" customHeight="1" x14ac:dyDescent="0.3">
      <c r="A368" s="3" t="s">
        <v>28</v>
      </c>
      <c r="B368" s="3" t="s">
        <v>22</v>
      </c>
      <c r="C368" s="3" t="s">
        <v>23</v>
      </c>
      <c r="D368" s="3" t="s">
        <v>24</v>
      </c>
      <c r="E368" s="3" t="s">
        <v>30</v>
      </c>
      <c r="F368" s="3" t="s">
        <v>25</v>
      </c>
      <c r="G368" s="3" t="s">
        <v>25</v>
      </c>
      <c r="H368" s="3" t="s">
        <v>25</v>
      </c>
      <c r="I368" s="6">
        <v>44531</v>
      </c>
      <c r="J368" s="4">
        <v>0</v>
      </c>
      <c r="K368" s="4">
        <v>0</v>
      </c>
      <c r="L368" s="4">
        <v>3.1E-2</v>
      </c>
      <c r="M368" s="4">
        <v>1.8599999999999998E-2</v>
      </c>
      <c r="N368" s="4">
        <v>3.1E-2</v>
      </c>
      <c r="O368" s="4">
        <v>1.8599999999999998E-2</v>
      </c>
      <c r="P368" s="4">
        <v>0</v>
      </c>
      <c r="Q368" s="3" t="s">
        <v>26</v>
      </c>
      <c r="R368" s="3">
        <v>0</v>
      </c>
      <c r="S368" s="3" t="s">
        <v>237</v>
      </c>
      <c r="T368" s="3" t="s">
        <v>476</v>
      </c>
      <c r="U368" s="3">
        <v>0</v>
      </c>
      <c r="V368" s="3">
        <v>21</v>
      </c>
      <c r="W368" s="3">
        <v>61</v>
      </c>
    </row>
    <row r="369" spans="1:23" ht="11.25" customHeight="1" x14ac:dyDescent="0.3">
      <c r="A369" s="3" t="s">
        <v>21</v>
      </c>
      <c r="B369" s="3" t="s">
        <v>22</v>
      </c>
      <c r="C369" s="3" t="s">
        <v>23</v>
      </c>
      <c r="D369" s="3" t="s">
        <v>24</v>
      </c>
      <c r="E369" s="3" t="s">
        <v>30</v>
      </c>
      <c r="F369" s="3" t="s">
        <v>25</v>
      </c>
      <c r="G369" s="3" t="s">
        <v>25</v>
      </c>
      <c r="H369" s="3" t="s">
        <v>25</v>
      </c>
      <c r="I369" s="6">
        <v>44562</v>
      </c>
      <c r="J369" s="4">
        <v>0</v>
      </c>
      <c r="K369" s="4">
        <v>0</v>
      </c>
      <c r="L369" s="4">
        <v>73.241</v>
      </c>
      <c r="M369" s="4">
        <v>73.241</v>
      </c>
      <c r="N369" s="4">
        <v>73.241</v>
      </c>
      <c r="O369" s="4">
        <v>73.241</v>
      </c>
      <c r="P369" s="4">
        <v>122</v>
      </c>
      <c r="Q369" s="3" t="s">
        <v>26</v>
      </c>
      <c r="R369" s="3">
        <v>0</v>
      </c>
      <c r="S369" s="3" t="s">
        <v>238</v>
      </c>
      <c r="T369" s="3" t="s">
        <v>477</v>
      </c>
      <c r="U369" s="3">
        <v>0</v>
      </c>
      <c r="V369" s="3">
        <v>21</v>
      </c>
      <c r="W369" s="3">
        <v>61</v>
      </c>
    </row>
    <row r="370" spans="1:23" ht="11.25" customHeight="1" x14ac:dyDescent="0.3">
      <c r="A370" s="3" t="s">
        <v>28</v>
      </c>
      <c r="B370" s="3" t="s">
        <v>22</v>
      </c>
      <c r="C370" s="3" t="s">
        <v>23</v>
      </c>
      <c r="D370" s="3" t="s">
        <v>24</v>
      </c>
      <c r="E370" s="3" t="s">
        <v>30</v>
      </c>
      <c r="F370" s="3" t="s">
        <v>25</v>
      </c>
      <c r="G370" s="3" t="s">
        <v>25</v>
      </c>
      <c r="H370" s="3" t="s">
        <v>25</v>
      </c>
      <c r="I370" s="6">
        <v>44562</v>
      </c>
      <c r="J370" s="4">
        <v>0</v>
      </c>
      <c r="K370" s="4">
        <v>0</v>
      </c>
      <c r="L370" s="4">
        <v>7.0000000000000007E-2</v>
      </c>
      <c r="M370" s="4">
        <v>4.2000000000000003E-2</v>
      </c>
      <c r="N370" s="4">
        <v>7.0000000000000007E-2</v>
      </c>
      <c r="O370" s="4">
        <v>4.2000000000000003E-2</v>
      </c>
      <c r="P370" s="4">
        <v>0</v>
      </c>
      <c r="Q370" s="3" t="s">
        <v>26</v>
      </c>
      <c r="R370" s="3">
        <v>0</v>
      </c>
      <c r="S370" s="3" t="s">
        <v>238</v>
      </c>
      <c r="T370" s="3" t="s">
        <v>477</v>
      </c>
      <c r="U370" s="3">
        <v>0</v>
      </c>
      <c r="V370" s="3">
        <v>21</v>
      </c>
      <c r="W370" s="3">
        <v>61</v>
      </c>
    </row>
    <row r="371" spans="1:23" ht="11.25" customHeight="1" x14ac:dyDescent="0.3">
      <c r="A371" s="3" t="s">
        <v>21</v>
      </c>
      <c r="B371" s="3" t="s">
        <v>22</v>
      </c>
      <c r="C371" s="3" t="s">
        <v>23</v>
      </c>
      <c r="D371" s="3" t="s">
        <v>24</v>
      </c>
      <c r="E371" s="3" t="s">
        <v>30</v>
      </c>
      <c r="F371" s="3" t="s">
        <v>25</v>
      </c>
      <c r="G371" s="3" t="s">
        <v>25</v>
      </c>
      <c r="H371" s="3" t="s">
        <v>25</v>
      </c>
      <c r="I371" s="6">
        <v>44593</v>
      </c>
      <c r="J371" s="4">
        <v>0</v>
      </c>
      <c r="K371" s="4">
        <v>0</v>
      </c>
      <c r="L371" s="4">
        <v>74.933000000000007</v>
      </c>
      <c r="M371" s="4">
        <v>74.933000000000007</v>
      </c>
      <c r="N371" s="4">
        <v>74.933000000000007</v>
      </c>
      <c r="O371" s="4">
        <v>74.933000000000007</v>
      </c>
      <c r="P371" s="4">
        <v>103</v>
      </c>
      <c r="Q371" s="3" t="s">
        <v>26</v>
      </c>
      <c r="R371" s="3">
        <v>0</v>
      </c>
      <c r="S371" s="3" t="s">
        <v>239</v>
      </c>
      <c r="T371" s="3" t="s">
        <v>478</v>
      </c>
      <c r="U371" s="3">
        <v>0</v>
      </c>
      <c r="V371" s="3">
        <v>21</v>
      </c>
      <c r="W371" s="3">
        <v>61</v>
      </c>
    </row>
    <row r="372" spans="1:23" ht="11.25" customHeight="1" x14ac:dyDescent="0.3">
      <c r="A372" s="3" t="s">
        <v>28</v>
      </c>
      <c r="B372" s="3" t="s">
        <v>22</v>
      </c>
      <c r="C372" s="3" t="s">
        <v>23</v>
      </c>
      <c r="D372" s="3" t="s">
        <v>24</v>
      </c>
      <c r="E372" s="3" t="s">
        <v>30</v>
      </c>
      <c r="F372" s="3" t="s">
        <v>25</v>
      </c>
      <c r="G372" s="3" t="s">
        <v>25</v>
      </c>
      <c r="H372" s="3" t="s">
        <v>25</v>
      </c>
      <c r="I372" s="6">
        <v>44593</v>
      </c>
      <c r="J372" s="4">
        <v>0</v>
      </c>
      <c r="K372" s="4">
        <v>0</v>
      </c>
      <c r="L372" s="4">
        <v>7.0000000000000007E-2</v>
      </c>
      <c r="M372" s="4">
        <v>4.2000000000000003E-2</v>
      </c>
      <c r="N372" s="4">
        <v>7.0000000000000007E-2</v>
      </c>
      <c r="O372" s="4">
        <v>4.2000000000000003E-2</v>
      </c>
      <c r="P372" s="4">
        <v>0</v>
      </c>
      <c r="Q372" s="3" t="s">
        <v>26</v>
      </c>
      <c r="R372" s="3">
        <v>0</v>
      </c>
      <c r="S372" s="3" t="s">
        <v>239</v>
      </c>
      <c r="T372" s="3" t="s">
        <v>478</v>
      </c>
      <c r="U372" s="3">
        <v>0</v>
      </c>
      <c r="V372" s="3">
        <v>21</v>
      </c>
      <c r="W372" s="3">
        <v>61</v>
      </c>
    </row>
    <row r="373" spans="1:23" ht="11.25" customHeight="1" x14ac:dyDescent="0.3">
      <c r="A373" s="3" t="s">
        <v>21</v>
      </c>
      <c r="B373" s="3" t="s">
        <v>22</v>
      </c>
      <c r="C373" s="3" t="s">
        <v>23</v>
      </c>
      <c r="D373" s="3" t="s">
        <v>24</v>
      </c>
      <c r="E373" s="3" t="s">
        <v>30</v>
      </c>
      <c r="F373" s="3" t="s">
        <v>25</v>
      </c>
      <c r="G373" s="3" t="s">
        <v>25</v>
      </c>
      <c r="H373" s="3" t="s">
        <v>25</v>
      </c>
      <c r="I373" s="6">
        <v>44621</v>
      </c>
      <c r="J373" s="4">
        <v>0</v>
      </c>
      <c r="K373" s="4">
        <v>0</v>
      </c>
      <c r="L373" s="4">
        <v>75.010000000000005</v>
      </c>
      <c r="M373" s="4">
        <v>75.010000000000005</v>
      </c>
      <c r="N373" s="4">
        <v>75.010000000000005</v>
      </c>
      <c r="O373" s="4">
        <v>75.010000000000005</v>
      </c>
      <c r="P373" s="4">
        <v>138</v>
      </c>
      <c r="Q373" s="3" t="s">
        <v>26</v>
      </c>
      <c r="R373" s="3">
        <v>0</v>
      </c>
      <c r="S373" s="3" t="s">
        <v>240</v>
      </c>
      <c r="T373" s="3" t="s">
        <v>479</v>
      </c>
      <c r="U373" s="3">
        <v>0</v>
      </c>
      <c r="V373" s="3">
        <v>21</v>
      </c>
      <c r="W373" s="3">
        <v>61</v>
      </c>
    </row>
    <row r="374" spans="1:23" ht="11.25" customHeight="1" x14ac:dyDescent="0.3">
      <c r="A374" s="3" t="s">
        <v>28</v>
      </c>
      <c r="B374" s="3" t="s">
        <v>22</v>
      </c>
      <c r="C374" s="3" t="s">
        <v>23</v>
      </c>
      <c r="D374" s="3" t="s">
        <v>24</v>
      </c>
      <c r="E374" s="3" t="s">
        <v>30</v>
      </c>
      <c r="F374" s="3" t="s">
        <v>25</v>
      </c>
      <c r="G374" s="3" t="s">
        <v>25</v>
      </c>
      <c r="H374" s="3" t="s">
        <v>25</v>
      </c>
      <c r="I374" s="6">
        <v>44621</v>
      </c>
      <c r="J374" s="4">
        <v>0</v>
      </c>
      <c r="K374" s="4">
        <v>0</v>
      </c>
      <c r="L374" s="4">
        <v>7.0000000000000007E-2</v>
      </c>
      <c r="M374" s="4">
        <v>4.2000000000000003E-2</v>
      </c>
      <c r="N374" s="4">
        <v>7.0000000000000007E-2</v>
      </c>
      <c r="O374" s="4">
        <v>4.2000000000000003E-2</v>
      </c>
      <c r="P374" s="4">
        <v>0</v>
      </c>
      <c r="Q374" s="3" t="s">
        <v>26</v>
      </c>
      <c r="R374" s="3">
        <v>0</v>
      </c>
      <c r="S374" s="3" t="s">
        <v>240</v>
      </c>
      <c r="T374" s="3" t="s">
        <v>479</v>
      </c>
      <c r="U374" s="3">
        <v>0</v>
      </c>
      <c r="V374" s="3">
        <v>21</v>
      </c>
      <c r="W374" s="3">
        <v>61</v>
      </c>
    </row>
    <row r="375" spans="1:23" ht="11.25" customHeight="1" x14ac:dyDescent="0.3">
      <c r="A375" s="3" t="s">
        <v>21</v>
      </c>
      <c r="B375" s="3" t="s">
        <v>22</v>
      </c>
      <c r="C375" s="3" t="s">
        <v>23</v>
      </c>
      <c r="D375" s="3" t="s">
        <v>24</v>
      </c>
      <c r="E375" s="3" t="s">
        <v>30</v>
      </c>
      <c r="F375" s="3" t="s">
        <v>25</v>
      </c>
      <c r="G375" s="3" t="s">
        <v>25</v>
      </c>
      <c r="H375" s="3" t="s">
        <v>25</v>
      </c>
      <c r="I375" s="6">
        <v>44652</v>
      </c>
      <c r="J375" s="4">
        <v>0</v>
      </c>
      <c r="K375" s="4">
        <v>0</v>
      </c>
      <c r="L375" s="4">
        <v>73.043000000000006</v>
      </c>
      <c r="M375" s="4">
        <v>73.043000000000006</v>
      </c>
      <c r="N375" s="4">
        <v>73.043000000000006</v>
      </c>
      <c r="O375" s="4">
        <v>73.043000000000006</v>
      </c>
      <c r="P375" s="4">
        <v>265</v>
      </c>
      <c r="Q375" s="3" t="s">
        <v>26</v>
      </c>
      <c r="R375" s="3">
        <v>0</v>
      </c>
      <c r="S375" s="3" t="s">
        <v>241</v>
      </c>
      <c r="T375" s="3" t="s">
        <v>480</v>
      </c>
      <c r="U375" s="3">
        <v>0</v>
      </c>
      <c r="V375" s="3">
        <v>21</v>
      </c>
      <c r="W375" s="3">
        <v>61</v>
      </c>
    </row>
    <row r="376" spans="1:23" ht="11.25" customHeight="1" x14ac:dyDescent="0.3">
      <c r="A376" s="3" t="s">
        <v>28</v>
      </c>
      <c r="B376" s="3" t="s">
        <v>22</v>
      </c>
      <c r="C376" s="3" t="s">
        <v>23</v>
      </c>
      <c r="D376" s="3" t="s">
        <v>24</v>
      </c>
      <c r="E376" s="3" t="s">
        <v>30</v>
      </c>
      <c r="F376" s="3" t="s">
        <v>25</v>
      </c>
      <c r="G376" s="3" t="s">
        <v>25</v>
      </c>
      <c r="H376" s="3" t="s">
        <v>25</v>
      </c>
      <c r="I376" s="6">
        <v>44652</v>
      </c>
      <c r="J376" s="4">
        <v>0</v>
      </c>
      <c r="K376" s="4">
        <v>0</v>
      </c>
      <c r="L376" s="4">
        <v>5.8999999999999997E-2</v>
      </c>
      <c r="M376" s="4">
        <v>3.5400000000000001E-2</v>
      </c>
      <c r="N376" s="4">
        <v>5.8999999999999997E-2</v>
      </c>
      <c r="O376" s="4">
        <v>3.5400000000000001E-2</v>
      </c>
      <c r="P376" s="4">
        <v>0</v>
      </c>
      <c r="Q376" s="3" t="s">
        <v>26</v>
      </c>
      <c r="R376" s="3">
        <v>0</v>
      </c>
      <c r="S376" s="3" t="s">
        <v>241</v>
      </c>
      <c r="T376" s="3" t="s">
        <v>480</v>
      </c>
      <c r="U376" s="3">
        <v>0</v>
      </c>
      <c r="V376" s="3">
        <v>21</v>
      </c>
      <c r="W376" s="3">
        <v>61</v>
      </c>
    </row>
    <row r="377" spans="1:23" ht="11.25" customHeight="1" x14ac:dyDescent="0.3">
      <c r="A377" s="3" t="s">
        <v>21</v>
      </c>
      <c r="B377" s="3" t="s">
        <v>22</v>
      </c>
      <c r="C377" s="3" t="s">
        <v>23</v>
      </c>
      <c r="D377" s="3" t="s">
        <v>24</v>
      </c>
      <c r="E377" s="3" t="s">
        <v>30</v>
      </c>
      <c r="F377" s="3" t="s">
        <v>25</v>
      </c>
      <c r="G377" s="3" t="s">
        <v>25</v>
      </c>
      <c r="H377" s="3" t="s">
        <v>25</v>
      </c>
      <c r="I377" s="6">
        <v>44682</v>
      </c>
      <c r="J377" s="4">
        <v>0</v>
      </c>
      <c r="K377" s="4">
        <v>0</v>
      </c>
      <c r="L377" s="4">
        <v>90.843999999999994</v>
      </c>
      <c r="M377" s="4">
        <v>90.843999999999994</v>
      </c>
      <c r="N377" s="4">
        <v>90.843999999999994</v>
      </c>
      <c r="O377" s="4">
        <v>90.843999999999994</v>
      </c>
      <c r="P377" s="4">
        <v>370</v>
      </c>
      <c r="Q377" s="3" t="s">
        <v>26</v>
      </c>
      <c r="R377" s="3">
        <v>0</v>
      </c>
      <c r="S377" s="3" t="s">
        <v>242</v>
      </c>
      <c r="T377" s="3" t="s">
        <v>481</v>
      </c>
      <c r="U377" s="3">
        <v>0</v>
      </c>
      <c r="V377" s="3">
        <v>21</v>
      </c>
      <c r="W377" s="3">
        <v>61</v>
      </c>
    </row>
    <row r="378" spans="1:23" ht="11.25" customHeight="1" x14ac:dyDescent="0.3">
      <c r="A378" s="3" t="s">
        <v>28</v>
      </c>
      <c r="B378" s="3" t="s">
        <v>22</v>
      </c>
      <c r="C378" s="3" t="s">
        <v>23</v>
      </c>
      <c r="D378" s="3" t="s">
        <v>24</v>
      </c>
      <c r="E378" s="3" t="s">
        <v>30</v>
      </c>
      <c r="F378" s="3" t="s">
        <v>25</v>
      </c>
      <c r="G378" s="3" t="s">
        <v>25</v>
      </c>
      <c r="H378" s="3" t="s">
        <v>25</v>
      </c>
      <c r="I378" s="6">
        <v>44682</v>
      </c>
      <c r="J378" s="4">
        <v>0</v>
      </c>
      <c r="K378" s="4">
        <v>0</v>
      </c>
      <c r="L378" s="4">
        <v>7.0000000000000007E-2</v>
      </c>
      <c r="M378" s="4">
        <v>4.2000000000000003E-2</v>
      </c>
      <c r="N378" s="4">
        <v>7.0000000000000007E-2</v>
      </c>
      <c r="O378" s="4">
        <v>4.2000000000000003E-2</v>
      </c>
      <c r="P378" s="4">
        <v>0</v>
      </c>
      <c r="Q378" s="3" t="s">
        <v>26</v>
      </c>
      <c r="R378" s="3">
        <v>0</v>
      </c>
      <c r="S378" s="3" t="s">
        <v>242</v>
      </c>
      <c r="T378" s="3" t="s">
        <v>481</v>
      </c>
      <c r="U378" s="3">
        <v>0</v>
      </c>
      <c r="V378" s="3">
        <v>21</v>
      </c>
      <c r="W378" s="3">
        <v>61</v>
      </c>
    </row>
    <row r="379" spans="1:23" ht="11.25" customHeight="1" x14ac:dyDescent="0.3">
      <c r="A379" s="3" t="s">
        <v>21</v>
      </c>
      <c r="B379" s="3" t="s">
        <v>22</v>
      </c>
      <c r="C379" s="3" t="s">
        <v>23</v>
      </c>
      <c r="D379" s="3" t="s">
        <v>24</v>
      </c>
      <c r="E379" s="3" t="s">
        <v>30</v>
      </c>
      <c r="F379" s="3" t="s">
        <v>25</v>
      </c>
      <c r="G379" s="3" t="s">
        <v>25</v>
      </c>
      <c r="H379" s="3" t="s">
        <v>25</v>
      </c>
      <c r="I379" s="6">
        <v>44713</v>
      </c>
      <c r="J379" s="4">
        <v>0</v>
      </c>
      <c r="K379" s="4">
        <v>0</v>
      </c>
      <c r="L379" s="4">
        <v>88.426000000000002</v>
      </c>
      <c r="M379" s="4">
        <v>88.426000000000002</v>
      </c>
      <c r="N379" s="4">
        <v>88.426000000000002</v>
      </c>
      <c r="O379" s="4">
        <v>88.426000000000002</v>
      </c>
      <c r="P379" s="4">
        <v>339</v>
      </c>
      <c r="Q379" s="3" t="s">
        <v>26</v>
      </c>
      <c r="R379" s="3">
        <v>0</v>
      </c>
      <c r="S379" s="3" t="s">
        <v>243</v>
      </c>
      <c r="T379" s="3" t="s">
        <v>482</v>
      </c>
      <c r="U379" s="3">
        <v>0</v>
      </c>
      <c r="V379" s="3">
        <v>21</v>
      </c>
      <c r="W379" s="3">
        <v>61</v>
      </c>
    </row>
    <row r="380" spans="1:23" ht="11.25" customHeight="1" x14ac:dyDescent="0.3">
      <c r="A380" s="3" t="s">
        <v>28</v>
      </c>
      <c r="B380" s="3" t="s">
        <v>22</v>
      </c>
      <c r="C380" s="3" t="s">
        <v>23</v>
      </c>
      <c r="D380" s="3" t="s">
        <v>24</v>
      </c>
      <c r="E380" s="3" t="s">
        <v>30</v>
      </c>
      <c r="F380" s="3" t="s">
        <v>25</v>
      </c>
      <c r="G380" s="3" t="s">
        <v>25</v>
      </c>
      <c r="H380" s="3" t="s">
        <v>25</v>
      </c>
      <c r="I380" s="6">
        <v>44713</v>
      </c>
      <c r="J380" s="4">
        <v>0</v>
      </c>
      <c r="K380" s="4">
        <v>0</v>
      </c>
      <c r="L380" s="4">
        <v>7.0000000000000007E-2</v>
      </c>
      <c r="M380" s="4">
        <v>1.4E-2</v>
      </c>
      <c r="N380" s="4">
        <v>7.0000000000000007E-2</v>
      </c>
      <c r="O380" s="4">
        <v>1.4E-2</v>
      </c>
      <c r="P380" s="4">
        <v>0</v>
      </c>
      <c r="Q380" s="3" t="s">
        <v>26</v>
      </c>
      <c r="R380" s="3">
        <v>0</v>
      </c>
      <c r="S380" s="3" t="s">
        <v>243</v>
      </c>
      <c r="T380" s="3" t="s">
        <v>482</v>
      </c>
      <c r="U380" s="3">
        <v>0</v>
      </c>
      <c r="V380" s="3">
        <v>21</v>
      </c>
      <c r="W380" s="3">
        <v>61</v>
      </c>
    </row>
    <row r="381" spans="1:23" ht="11.25" customHeight="1" x14ac:dyDescent="0.3">
      <c r="A381" s="3" t="s">
        <v>21</v>
      </c>
      <c r="B381" s="3" t="s">
        <v>22</v>
      </c>
      <c r="C381" s="3" t="s">
        <v>23</v>
      </c>
      <c r="D381" s="3" t="s">
        <v>24</v>
      </c>
      <c r="E381" s="3" t="s">
        <v>31</v>
      </c>
      <c r="F381" s="3" t="s">
        <v>25</v>
      </c>
      <c r="G381" s="3" t="s">
        <v>25</v>
      </c>
      <c r="H381" s="3" t="s">
        <v>25</v>
      </c>
      <c r="I381" s="6">
        <v>44378</v>
      </c>
      <c r="J381" s="4">
        <v>0</v>
      </c>
      <c r="K381" s="4">
        <v>0</v>
      </c>
      <c r="L381" s="4">
        <v>52.960999999999999</v>
      </c>
      <c r="M381" s="4">
        <v>52.960999999999999</v>
      </c>
      <c r="N381" s="4">
        <v>52.960999999999999</v>
      </c>
      <c r="O381" s="4">
        <v>52.960999999999999</v>
      </c>
      <c r="P381" s="4">
        <v>545</v>
      </c>
      <c r="Q381" s="3" t="s">
        <v>26</v>
      </c>
      <c r="R381" s="3">
        <v>0</v>
      </c>
      <c r="S381" s="3" t="s">
        <v>244</v>
      </c>
      <c r="T381" s="3" t="s">
        <v>483</v>
      </c>
      <c r="U381" s="3">
        <v>0</v>
      </c>
      <c r="V381" s="3">
        <v>22</v>
      </c>
      <c r="W381" s="3">
        <v>62</v>
      </c>
    </row>
    <row r="382" spans="1:23" ht="11.25" customHeight="1" x14ac:dyDescent="0.3">
      <c r="A382" s="3" t="s">
        <v>27</v>
      </c>
      <c r="B382" s="3" t="s">
        <v>22</v>
      </c>
      <c r="C382" s="3" t="s">
        <v>23</v>
      </c>
      <c r="D382" s="3" t="s">
        <v>24</v>
      </c>
      <c r="E382" s="3" t="s">
        <v>31</v>
      </c>
      <c r="F382" s="3" t="s">
        <v>25</v>
      </c>
      <c r="G382" s="3" t="s">
        <v>25</v>
      </c>
      <c r="H382" s="3" t="s">
        <v>25</v>
      </c>
      <c r="I382" s="6">
        <v>44378</v>
      </c>
      <c r="J382" s="4">
        <v>0</v>
      </c>
      <c r="K382" s="4">
        <v>0</v>
      </c>
      <c r="L382" s="4">
        <v>-0.12</v>
      </c>
      <c r="M382" s="4">
        <v>-0.12</v>
      </c>
      <c r="N382" s="4">
        <v>-0.12</v>
      </c>
      <c r="O382" s="4">
        <v>-0.12</v>
      </c>
      <c r="P382" s="4">
        <v>0</v>
      </c>
      <c r="Q382" s="3" t="s">
        <v>26</v>
      </c>
      <c r="R382" s="3">
        <v>0</v>
      </c>
      <c r="S382" s="3" t="s">
        <v>244</v>
      </c>
      <c r="T382" s="3" t="s">
        <v>483</v>
      </c>
      <c r="U382" s="3">
        <v>0</v>
      </c>
      <c r="V382" s="3">
        <v>22</v>
      </c>
      <c r="W382" s="3">
        <v>62</v>
      </c>
    </row>
    <row r="383" spans="1:23" ht="11.25" customHeight="1" x14ac:dyDescent="0.3">
      <c r="A383" s="3" t="s">
        <v>28</v>
      </c>
      <c r="B383" s="3" t="s">
        <v>22</v>
      </c>
      <c r="C383" s="3" t="s">
        <v>23</v>
      </c>
      <c r="D383" s="3" t="s">
        <v>24</v>
      </c>
      <c r="E383" s="3" t="s">
        <v>31</v>
      </c>
      <c r="F383" s="3" t="s">
        <v>25</v>
      </c>
      <c r="G383" s="3" t="s">
        <v>25</v>
      </c>
      <c r="H383" s="3" t="s">
        <v>25</v>
      </c>
      <c r="I383" s="6">
        <v>44378</v>
      </c>
      <c r="J383" s="4">
        <v>0</v>
      </c>
      <c r="K383" s="4">
        <v>0</v>
      </c>
      <c r="L383" s="4">
        <v>4.3999999999999997E-2</v>
      </c>
      <c r="M383" s="4">
        <v>4.3999999999999997E-2</v>
      </c>
      <c r="N383" s="4">
        <v>4.3999999999999997E-2</v>
      </c>
      <c r="O383" s="4">
        <v>4.3999999999999997E-2</v>
      </c>
      <c r="P383" s="4">
        <v>0</v>
      </c>
      <c r="Q383" s="3" t="s">
        <v>26</v>
      </c>
      <c r="R383" s="3">
        <v>0</v>
      </c>
      <c r="S383" s="3" t="s">
        <v>244</v>
      </c>
      <c r="T383" s="3" t="s">
        <v>483</v>
      </c>
      <c r="U383" s="3">
        <v>0</v>
      </c>
      <c r="V383" s="3">
        <v>22</v>
      </c>
      <c r="W383" s="3">
        <v>62</v>
      </c>
    </row>
    <row r="384" spans="1:23" ht="11.25" customHeight="1" x14ac:dyDescent="0.3">
      <c r="A384" s="3" t="s">
        <v>21</v>
      </c>
      <c r="B384" s="3" t="s">
        <v>22</v>
      </c>
      <c r="C384" s="3" t="s">
        <v>23</v>
      </c>
      <c r="D384" s="3" t="s">
        <v>24</v>
      </c>
      <c r="E384" s="3" t="s">
        <v>31</v>
      </c>
      <c r="F384" s="3" t="s">
        <v>25</v>
      </c>
      <c r="G384" s="3" t="s">
        <v>25</v>
      </c>
      <c r="H384" s="3" t="s">
        <v>25</v>
      </c>
      <c r="I384" s="6">
        <v>44409</v>
      </c>
      <c r="J384" s="4">
        <v>0</v>
      </c>
      <c r="K384" s="4">
        <v>0</v>
      </c>
      <c r="L384" s="4">
        <v>61.317999999999998</v>
      </c>
      <c r="M384" s="4">
        <v>61.317999999999998</v>
      </c>
      <c r="N384" s="4">
        <v>61.317999999999998</v>
      </c>
      <c r="O384" s="4">
        <v>61.317999999999998</v>
      </c>
      <c r="P384" s="4">
        <v>566</v>
      </c>
      <c r="Q384" s="3" t="s">
        <v>26</v>
      </c>
      <c r="R384" s="3">
        <v>0</v>
      </c>
      <c r="S384" s="3" t="s">
        <v>245</v>
      </c>
      <c r="T384" s="3" t="s">
        <v>484</v>
      </c>
      <c r="U384" s="3">
        <v>0</v>
      </c>
      <c r="V384" s="3">
        <v>22</v>
      </c>
      <c r="W384" s="3">
        <v>62</v>
      </c>
    </row>
    <row r="385" spans="1:23" ht="11.25" customHeight="1" x14ac:dyDescent="0.3">
      <c r="A385" s="3" t="s">
        <v>27</v>
      </c>
      <c r="B385" s="3" t="s">
        <v>22</v>
      </c>
      <c r="C385" s="3" t="s">
        <v>23</v>
      </c>
      <c r="D385" s="3" t="s">
        <v>24</v>
      </c>
      <c r="E385" s="3" t="s">
        <v>31</v>
      </c>
      <c r="F385" s="3" t="s">
        <v>25</v>
      </c>
      <c r="G385" s="3" t="s">
        <v>25</v>
      </c>
      <c r="H385" s="3" t="s">
        <v>25</v>
      </c>
      <c r="I385" s="6">
        <v>44409</v>
      </c>
      <c r="J385" s="4">
        <v>0</v>
      </c>
      <c r="K385" s="4">
        <v>0</v>
      </c>
      <c r="L385" s="4">
        <v>0.23799999999999999</v>
      </c>
      <c r="M385" s="4">
        <v>0.23799999999999999</v>
      </c>
      <c r="N385" s="4">
        <v>0.23799999999999999</v>
      </c>
      <c r="O385" s="4">
        <v>0.23799999999999999</v>
      </c>
      <c r="P385" s="4">
        <v>0</v>
      </c>
      <c r="Q385" s="3" t="s">
        <v>26</v>
      </c>
      <c r="R385" s="3">
        <v>0</v>
      </c>
      <c r="S385" s="3" t="s">
        <v>245</v>
      </c>
      <c r="T385" s="3" t="s">
        <v>484</v>
      </c>
      <c r="U385" s="3">
        <v>0</v>
      </c>
      <c r="V385" s="3">
        <v>22</v>
      </c>
      <c r="W385" s="3">
        <v>62</v>
      </c>
    </row>
    <row r="386" spans="1:23" ht="11.25" customHeight="1" x14ac:dyDescent="0.3">
      <c r="A386" s="3" t="s">
        <v>21</v>
      </c>
      <c r="B386" s="3" t="s">
        <v>22</v>
      </c>
      <c r="C386" s="3" t="s">
        <v>23</v>
      </c>
      <c r="D386" s="3" t="s">
        <v>24</v>
      </c>
      <c r="E386" s="3" t="s">
        <v>31</v>
      </c>
      <c r="F386" s="3" t="s">
        <v>25</v>
      </c>
      <c r="G386" s="3" t="s">
        <v>25</v>
      </c>
      <c r="H386" s="3" t="s">
        <v>25</v>
      </c>
      <c r="I386" s="6">
        <v>44440</v>
      </c>
      <c r="J386" s="4">
        <v>0</v>
      </c>
      <c r="K386" s="4">
        <v>0</v>
      </c>
      <c r="L386" s="4">
        <v>58.665999999999997</v>
      </c>
      <c r="M386" s="4">
        <v>58.665999999999997</v>
      </c>
      <c r="N386" s="4">
        <v>58.665999999999997</v>
      </c>
      <c r="O386" s="4">
        <v>58.665999999999997</v>
      </c>
      <c r="P386" s="4">
        <v>579</v>
      </c>
      <c r="Q386" s="3" t="s">
        <v>26</v>
      </c>
      <c r="R386" s="3">
        <v>0</v>
      </c>
      <c r="S386" s="3" t="s">
        <v>246</v>
      </c>
      <c r="T386" s="3" t="s">
        <v>485</v>
      </c>
      <c r="U386" s="3">
        <v>0</v>
      </c>
      <c r="V386" s="3">
        <v>22</v>
      </c>
      <c r="W386" s="3">
        <v>62</v>
      </c>
    </row>
    <row r="387" spans="1:23" ht="11.25" customHeight="1" x14ac:dyDescent="0.3">
      <c r="A387" s="3" t="s">
        <v>28</v>
      </c>
      <c r="B387" s="3" t="s">
        <v>22</v>
      </c>
      <c r="C387" s="3" t="s">
        <v>23</v>
      </c>
      <c r="D387" s="3" t="s">
        <v>24</v>
      </c>
      <c r="E387" s="3" t="s">
        <v>31</v>
      </c>
      <c r="F387" s="3" t="s">
        <v>25</v>
      </c>
      <c r="G387" s="3" t="s">
        <v>25</v>
      </c>
      <c r="H387" s="3" t="s">
        <v>25</v>
      </c>
      <c r="I387" s="6">
        <v>44440</v>
      </c>
      <c r="J387" s="4">
        <v>0</v>
      </c>
      <c r="K387" s="4">
        <v>0</v>
      </c>
      <c r="L387" s="4">
        <v>3.0000000000000001E-3</v>
      </c>
      <c r="M387" s="4">
        <v>3.0000000000000001E-3</v>
      </c>
      <c r="N387" s="4">
        <v>3.0000000000000001E-3</v>
      </c>
      <c r="O387" s="4">
        <v>3.0000000000000001E-3</v>
      </c>
      <c r="P387" s="4">
        <v>0</v>
      </c>
      <c r="Q387" s="3" t="s">
        <v>26</v>
      </c>
      <c r="R387" s="3">
        <v>0</v>
      </c>
      <c r="S387" s="3" t="s">
        <v>246</v>
      </c>
      <c r="T387" s="3" t="s">
        <v>485</v>
      </c>
      <c r="U387" s="3">
        <v>0</v>
      </c>
      <c r="V387" s="3">
        <v>22</v>
      </c>
      <c r="W387" s="3">
        <v>62</v>
      </c>
    </row>
    <row r="388" spans="1:23" ht="11.25" customHeight="1" x14ac:dyDescent="0.3">
      <c r="A388" s="3" t="s">
        <v>21</v>
      </c>
      <c r="B388" s="3" t="s">
        <v>22</v>
      </c>
      <c r="C388" s="3" t="s">
        <v>23</v>
      </c>
      <c r="D388" s="3" t="s">
        <v>24</v>
      </c>
      <c r="E388" s="3" t="s">
        <v>31</v>
      </c>
      <c r="F388" s="3" t="s">
        <v>25</v>
      </c>
      <c r="G388" s="3" t="s">
        <v>25</v>
      </c>
      <c r="H388" s="3" t="s">
        <v>25</v>
      </c>
      <c r="I388" s="6">
        <v>44470</v>
      </c>
      <c r="J388" s="4">
        <v>0</v>
      </c>
      <c r="K388" s="4">
        <v>0</v>
      </c>
      <c r="L388" s="4">
        <v>62.91</v>
      </c>
      <c r="M388" s="4">
        <v>62.91</v>
      </c>
      <c r="N388" s="4">
        <v>62.91</v>
      </c>
      <c r="O388" s="4">
        <v>62.91</v>
      </c>
      <c r="P388" s="4">
        <v>595</v>
      </c>
      <c r="Q388" s="3" t="s">
        <v>26</v>
      </c>
      <c r="R388" s="3">
        <v>0</v>
      </c>
      <c r="S388" s="3" t="s">
        <v>247</v>
      </c>
      <c r="T388" s="3" t="s">
        <v>486</v>
      </c>
      <c r="U388" s="3">
        <v>0</v>
      </c>
      <c r="V388" s="3">
        <v>22</v>
      </c>
      <c r="W388" s="3">
        <v>62</v>
      </c>
    </row>
    <row r="389" spans="1:23" ht="11.25" customHeight="1" x14ac:dyDescent="0.3">
      <c r="A389" s="3" t="s">
        <v>21</v>
      </c>
      <c r="B389" s="3" t="s">
        <v>22</v>
      </c>
      <c r="C389" s="3" t="s">
        <v>23</v>
      </c>
      <c r="D389" s="3" t="s">
        <v>24</v>
      </c>
      <c r="E389" s="3" t="s">
        <v>31</v>
      </c>
      <c r="F389" s="3" t="s">
        <v>25</v>
      </c>
      <c r="G389" s="3" t="s">
        <v>25</v>
      </c>
      <c r="H389" s="3" t="s">
        <v>25</v>
      </c>
      <c r="I389" s="6">
        <v>44501</v>
      </c>
      <c r="J389" s="4">
        <v>0</v>
      </c>
      <c r="K389" s="4">
        <v>0</v>
      </c>
      <c r="L389" s="4">
        <v>70.632000000000005</v>
      </c>
      <c r="M389" s="4">
        <v>70.632000000000005</v>
      </c>
      <c r="N389" s="4">
        <v>70.632000000000005</v>
      </c>
      <c r="O389" s="4">
        <v>70.632000000000005</v>
      </c>
      <c r="P389" s="4">
        <v>564</v>
      </c>
      <c r="Q389" s="3" t="s">
        <v>26</v>
      </c>
      <c r="R389" s="3">
        <v>0</v>
      </c>
      <c r="S389" s="3" t="s">
        <v>248</v>
      </c>
      <c r="T389" s="3" t="s">
        <v>487</v>
      </c>
      <c r="U389" s="3">
        <v>0</v>
      </c>
      <c r="V389" s="3">
        <v>22</v>
      </c>
      <c r="W389" s="3">
        <v>62</v>
      </c>
    </row>
    <row r="390" spans="1:23" ht="11.25" customHeight="1" x14ac:dyDescent="0.3">
      <c r="A390" s="3" t="s">
        <v>21</v>
      </c>
      <c r="B390" s="3" t="s">
        <v>22</v>
      </c>
      <c r="C390" s="3" t="s">
        <v>23</v>
      </c>
      <c r="D390" s="3" t="s">
        <v>24</v>
      </c>
      <c r="E390" s="3" t="s">
        <v>31</v>
      </c>
      <c r="F390" s="3" t="s">
        <v>25</v>
      </c>
      <c r="G390" s="3" t="s">
        <v>25</v>
      </c>
      <c r="H390" s="3" t="s">
        <v>25</v>
      </c>
      <c r="I390" s="6">
        <v>44531</v>
      </c>
      <c r="J390" s="4">
        <v>0</v>
      </c>
      <c r="K390" s="4">
        <v>0</v>
      </c>
      <c r="L390" s="4">
        <v>75.957999999999998</v>
      </c>
      <c r="M390" s="4">
        <v>75.957999999999998</v>
      </c>
      <c r="N390" s="4">
        <v>75.957999999999998</v>
      </c>
      <c r="O390" s="4">
        <v>75.957999999999998</v>
      </c>
      <c r="P390" s="4">
        <v>557</v>
      </c>
      <c r="Q390" s="3" t="s">
        <v>26</v>
      </c>
      <c r="R390" s="3">
        <v>0</v>
      </c>
      <c r="S390" s="3" t="s">
        <v>249</v>
      </c>
      <c r="T390" s="3" t="s">
        <v>488</v>
      </c>
      <c r="U390" s="3">
        <v>0</v>
      </c>
      <c r="V390" s="3">
        <v>22</v>
      </c>
      <c r="W390" s="3">
        <v>62</v>
      </c>
    </row>
    <row r="391" spans="1:23" ht="11.25" customHeight="1" x14ac:dyDescent="0.3">
      <c r="A391" s="3" t="s">
        <v>21</v>
      </c>
      <c r="B391" s="3" t="s">
        <v>22</v>
      </c>
      <c r="C391" s="3" t="s">
        <v>23</v>
      </c>
      <c r="D391" s="3" t="s">
        <v>24</v>
      </c>
      <c r="E391" s="3" t="s">
        <v>31</v>
      </c>
      <c r="F391" s="3" t="s">
        <v>25</v>
      </c>
      <c r="G391" s="3" t="s">
        <v>25</v>
      </c>
      <c r="H391" s="3" t="s">
        <v>25</v>
      </c>
      <c r="I391" s="6">
        <v>44562</v>
      </c>
      <c r="J391" s="4">
        <v>0</v>
      </c>
      <c r="K391" s="4">
        <v>0</v>
      </c>
      <c r="L391" s="4">
        <v>86.519000000000005</v>
      </c>
      <c r="M391" s="4">
        <v>86.519000000000005</v>
      </c>
      <c r="N391" s="4">
        <v>86.519000000000005</v>
      </c>
      <c r="O391" s="4">
        <v>86.519000000000005</v>
      </c>
      <c r="P391" s="4">
        <v>513</v>
      </c>
      <c r="Q391" s="3" t="s">
        <v>26</v>
      </c>
      <c r="R391" s="3">
        <v>0</v>
      </c>
      <c r="S391" s="3" t="s">
        <v>250</v>
      </c>
      <c r="T391" s="3" t="s">
        <v>489</v>
      </c>
      <c r="U391" s="3">
        <v>0</v>
      </c>
      <c r="V391" s="3">
        <v>22</v>
      </c>
      <c r="W391" s="3">
        <v>62</v>
      </c>
    </row>
    <row r="392" spans="1:23" ht="11.25" customHeight="1" x14ac:dyDescent="0.3">
      <c r="A392" s="3" t="s">
        <v>28</v>
      </c>
      <c r="B392" s="3" t="s">
        <v>22</v>
      </c>
      <c r="C392" s="3" t="s">
        <v>23</v>
      </c>
      <c r="D392" s="3" t="s">
        <v>24</v>
      </c>
      <c r="E392" s="3" t="s">
        <v>31</v>
      </c>
      <c r="F392" s="3" t="s">
        <v>25</v>
      </c>
      <c r="G392" s="3" t="s">
        <v>25</v>
      </c>
      <c r="H392" s="3" t="s">
        <v>25</v>
      </c>
      <c r="I392" s="6">
        <v>44562</v>
      </c>
      <c r="J392" s="4">
        <v>0</v>
      </c>
      <c r="K392" s="4">
        <v>0</v>
      </c>
      <c r="L392" s="4">
        <v>2.5000000000000001E-2</v>
      </c>
      <c r="M392" s="4">
        <v>2.2499999999999999E-2</v>
      </c>
      <c r="N392" s="4">
        <v>2.5000000000000001E-2</v>
      </c>
      <c r="O392" s="4">
        <v>2.2499999999999999E-2</v>
      </c>
      <c r="P392" s="4">
        <v>0</v>
      </c>
      <c r="Q392" s="3" t="s">
        <v>26</v>
      </c>
      <c r="R392" s="3">
        <v>0</v>
      </c>
      <c r="S392" s="3" t="s">
        <v>250</v>
      </c>
      <c r="T392" s="3" t="s">
        <v>489</v>
      </c>
      <c r="U392" s="3">
        <v>0</v>
      </c>
      <c r="V392" s="3">
        <v>22</v>
      </c>
      <c r="W392" s="3">
        <v>62</v>
      </c>
    </row>
    <row r="393" spans="1:23" ht="11.25" customHeight="1" x14ac:dyDescent="0.3">
      <c r="A393" s="3" t="s">
        <v>21</v>
      </c>
      <c r="B393" s="3" t="s">
        <v>22</v>
      </c>
      <c r="C393" s="3" t="s">
        <v>23</v>
      </c>
      <c r="D393" s="3" t="s">
        <v>24</v>
      </c>
      <c r="E393" s="3" t="s">
        <v>31</v>
      </c>
      <c r="F393" s="3" t="s">
        <v>25</v>
      </c>
      <c r="G393" s="3" t="s">
        <v>25</v>
      </c>
      <c r="H393" s="3" t="s">
        <v>25</v>
      </c>
      <c r="I393" s="6">
        <v>44593</v>
      </c>
      <c r="J393" s="4">
        <v>0</v>
      </c>
      <c r="K393" s="4">
        <v>0</v>
      </c>
      <c r="L393" s="4">
        <v>96.45</v>
      </c>
      <c r="M393" s="4">
        <v>96.45</v>
      </c>
      <c r="N393" s="4">
        <v>96.45</v>
      </c>
      <c r="O393" s="4">
        <v>96.45</v>
      </c>
      <c r="P393" s="4">
        <v>437</v>
      </c>
      <c r="Q393" s="3" t="s">
        <v>26</v>
      </c>
      <c r="R393" s="3">
        <v>0</v>
      </c>
      <c r="S393" s="3" t="s">
        <v>251</v>
      </c>
      <c r="T393" s="3" t="s">
        <v>490</v>
      </c>
      <c r="U393" s="3">
        <v>0</v>
      </c>
      <c r="V393" s="3">
        <v>22</v>
      </c>
      <c r="W393" s="3">
        <v>62</v>
      </c>
    </row>
    <row r="394" spans="1:23" ht="11.25" customHeight="1" x14ac:dyDescent="0.3">
      <c r="A394" s="3" t="s">
        <v>27</v>
      </c>
      <c r="B394" s="3" t="s">
        <v>22</v>
      </c>
      <c r="C394" s="3" t="s">
        <v>23</v>
      </c>
      <c r="D394" s="3" t="s">
        <v>24</v>
      </c>
      <c r="E394" s="3" t="s">
        <v>31</v>
      </c>
      <c r="F394" s="3" t="s">
        <v>25</v>
      </c>
      <c r="G394" s="3" t="s">
        <v>25</v>
      </c>
      <c r="H394" s="3" t="s">
        <v>25</v>
      </c>
      <c r="I394" s="6">
        <v>44593</v>
      </c>
      <c r="J394" s="4">
        <v>0</v>
      </c>
      <c r="K394" s="4">
        <v>0</v>
      </c>
      <c r="L394" s="4">
        <v>-9.4E-2</v>
      </c>
      <c r="M394" s="4">
        <v>-9.4E-2</v>
      </c>
      <c r="N394" s="4">
        <v>-9.4E-2</v>
      </c>
      <c r="O394" s="4">
        <v>-9.4E-2</v>
      </c>
      <c r="P394" s="4">
        <v>0</v>
      </c>
      <c r="Q394" s="3" t="s">
        <v>26</v>
      </c>
      <c r="R394" s="3">
        <v>0</v>
      </c>
      <c r="S394" s="3" t="s">
        <v>251</v>
      </c>
      <c r="T394" s="3" t="s">
        <v>490</v>
      </c>
      <c r="U394" s="3">
        <v>0</v>
      </c>
      <c r="V394" s="3">
        <v>22</v>
      </c>
      <c r="W394" s="3">
        <v>62</v>
      </c>
    </row>
    <row r="395" spans="1:23" ht="11.25" customHeight="1" x14ac:dyDescent="0.3">
      <c r="A395" s="3" t="s">
        <v>28</v>
      </c>
      <c r="B395" s="3" t="s">
        <v>22</v>
      </c>
      <c r="C395" s="3" t="s">
        <v>23</v>
      </c>
      <c r="D395" s="3" t="s">
        <v>24</v>
      </c>
      <c r="E395" s="3" t="s">
        <v>31</v>
      </c>
      <c r="F395" s="3" t="s">
        <v>25</v>
      </c>
      <c r="G395" s="3" t="s">
        <v>25</v>
      </c>
      <c r="H395" s="3" t="s">
        <v>25</v>
      </c>
      <c r="I395" s="6">
        <v>44593</v>
      </c>
      <c r="J395" s="4">
        <v>0</v>
      </c>
      <c r="K395" s="4">
        <v>0</v>
      </c>
      <c r="L395" s="4">
        <v>0.12</v>
      </c>
      <c r="M395" s="4">
        <v>0.108</v>
      </c>
      <c r="N395" s="4">
        <v>0.12</v>
      </c>
      <c r="O395" s="4">
        <v>0.108</v>
      </c>
      <c r="P395" s="4">
        <v>0</v>
      </c>
      <c r="Q395" s="3" t="s">
        <v>26</v>
      </c>
      <c r="R395" s="3">
        <v>0</v>
      </c>
      <c r="S395" s="3" t="s">
        <v>251</v>
      </c>
      <c r="T395" s="3" t="s">
        <v>490</v>
      </c>
      <c r="U395" s="3">
        <v>0</v>
      </c>
      <c r="V395" s="3">
        <v>22</v>
      </c>
      <c r="W395" s="3">
        <v>62</v>
      </c>
    </row>
    <row r="396" spans="1:23" ht="11.25" customHeight="1" x14ac:dyDescent="0.3">
      <c r="A396" s="3" t="s">
        <v>21</v>
      </c>
      <c r="B396" s="3" t="s">
        <v>22</v>
      </c>
      <c r="C396" s="3" t="s">
        <v>23</v>
      </c>
      <c r="D396" s="3" t="s">
        <v>24</v>
      </c>
      <c r="E396" s="3" t="s">
        <v>31</v>
      </c>
      <c r="F396" s="3" t="s">
        <v>25</v>
      </c>
      <c r="G396" s="3" t="s">
        <v>25</v>
      </c>
      <c r="H396" s="3" t="s">
        <v>25</v>
      </c>
      <c r="I396" s="6">
        <v>44621</v>
      </c>
      <c r="J396" s="4">
        <v>0</v>
      </c>
      <c r="K396" s="4">
        <v>0</v>
      </c>
      <c r="L396" s="4">
        <v>87.647000000000006</v>
      </c>
      <c r="M396" s="4">
        <v>87.647000000000006</v>
      </c>
      <c r="N396" s="4">
        <v>87.647000000000006</v>
      </c>
      <c r="O396" s="4">
        <v>87.647000000000006</v>
      </c>
      <c r="P396" s="4">
        <v>538</v>
      </c>
      <c r="Q396" s="3" t="s">
        <v>26</v>
      </c>
      <c r="R396" s="3">
        <v>0</v>
      </c>
      <c r="S396" s="3" t="s">
        <v>252</v>
      </c>
      <c r="T396" s="3" t="s">
        <v>491</v>
      </c>
      <c r="U396" s="3">
        <v>0</v>
      </c>
      <c r="V396" s="3">
        <v>22</v>
      </c>
      <c r="W396" s="3">
        <v>62</v>
      </c>
    </row>
    <row r="397" spans="1:23" ht="11.25" customHeight="1" x14ac:dyDescent="0.3">
      <c r="A397" s="3" t="s">
        <v>27</v>
      </c>
      <c r="B397" s="3" t="s">
        <v>22</v>
      </c>
      <c r="C397" s="3" t="s">
        <v>23</v>
      </c>
      <c r="D397" s="3" t="s">
        <v>24</v>
      </c>
      <c r="E397" s="3" t="s">
        <v>31</v>
      </c>
      <c r="F397" s="3" t="s">
        <v>25</v>
      </c>
      <c r="G397" s="3" t="s">
        <v>25</v>
      </c>
      <c r="H397" s="3" t="s">
        <v>25</v>
      </c>
      <c r="I397" s="6">
        <v>44621</v>
      </c>
      <c r="J397" s="4">
        <v>0</v>
      </c>
      <c r="K397" s="4">
        <v>0</v>
      </c>
      <c r="L397" s="4">
        <v>-8.4000000000000005E-2</v>
      </c>
      <c r="M397" s="4">
        <v>-8.4000000000000005E-2</v>
      </c>
      <c r="N397" s="4">
        <v>-8.4000000000000005E-2</v>
      </c>
      <c r="O397" s="4">
        <v>-8.4000000000000005E-2</v>
      </c>
      <c r="P397" s="4">
        <v>0</v>
      </c>
      <c r="Q397" s="3" t="s">
        <v>26</v>
      </c>
      <c r="R397" s="3">
        <v>0</v>
      </c>
      <c r="S397" s="3" t="s">
        <v>252</v>
      </c>
      <c r="T397" s="3" t="s">
        <v>491</v>
      </c>
      <c r="U397" s="3">
        <v>0</v>
      </c>
      <c r="V397" s="3">
        <v>22</v>
      </c>
      <c r="W397" s="3">
        <v>62</v>
      </c>
    </row>
    <row r="398" spans="1:23" ht="11.25" customHeight="1" x14ac:dyDescent="0.3">
      <c r="A398" s="3" t="s">
        <v>28</v>
      </c>
      <c r="B398" s="3" t="s">
        <v>22</v>
      </c>
      <c r="C398" s="3" t="s">
        <v>23</v>
      </c>
      <c r="D398" s="3" t="s">
        <v>24</v>
      </c>
      <c r="E398" s="3" t="s">
        <v>31</v>
      </c>
      <c r="F398" s="3" t="s">
        <v>25</v>
      </c>
      <c r="G398" s="3" t="s">
        <v>25</v>
      </c>
      <c r="H398" s="3" t="s">
        <v>25</v>
      </c>
      <c r="I398" s="6">
        <v>44621</v>
      </c>
      <c r="J398" s="4">
        <v>0</v>
      </c>
      <c r="K398" s="4">
        <v>0</v>
      </c>
      <c r="L398" s="4">
        <v>6.5000000000000002E-2</v>
      </c>
      <c r="M398" s="4">
        <v>5.8500000000000003E-2</v>
      </c>
      <c r="N398" s="4">
        <v>6.5000000000000002E-2</v>
      </c>
      <c r="O398" s="4">
        <v>5.8500000000000003E-2</v>
      </c>
      <c r="P398" s="4">
        <v>0</v>
      </c>
      <c r="Q398" s="3" t="s">
        <v>26</v>
      </c>
      <c r="R398" s="3">
        <v>0</v>
      </c>
      <c r="S398" s="3" t="s">
        <v>252</v>
      </c>
      <c r="T398" s="3" t="s">
        <v>491</v>
      </c>
      <c r="U398" s="3">
        <v>0</v>
      </c>
      <c r="V398" s="3">
        <v>22</v>
      </c>
      <c r="W398" s="3">
        <v>62</v>
      </c>
    </row>
    <row r="399" spans="1:23" ht="11.25" customHeight="1" x14ac:dyDescent="0.3">
      <c r="A399" s="3" t="s">
        <v>21</v>
      </c>
      <c r="B399" s="3" t="s">
        <v>22</v>
      </c>
      <c r="C399" s="3" t="s">
        <v>23</v>
      </c>
      <c r="D399" s="3" t="s">
        <v>24</v>
      </c>
      <c r="E399" s="3" t="s">
        <v>31</v>
      </c>
      <c r="F399" s="3" t="s">
        <v>25</v>
      </c>
      <c r="G399" s="3" t="s">
        <v>25</v>
      </c>
      <c r="H399" s="3" t="s">
        <v>25</v>
      </c>
      <c r="I399" s="6">
        <v>44652</v>
      </c>
      <c r="J399" s="4">
        <v>0</v>
      </c>
      <c r="K399" s="4">
        <v>0</v>
      </c>
      <c r="L399" s="4">
        <v>65.495000000000005</v>
      </c>
      <c r="M399" s="4">
        <v>65.495000000000005</v>
      </c>
      <c r="N399" s="4">
        <v>65.495000000000005</v>
      </c>
      <c r="O399" s="4">
        <v>65.495000000000005</v>
      </c>
      <c r="P399" s="4">
        <v>636</v>
      </c>
      <c r="Q399" s="3" t="s">
        <v>26</v>
      </c>
      <c r="R399" s="3">
        <v>0</v>
      </c>
      <c r="S399" s="3" t="s">
        <v>253</v>
      </c>
      <c r="T399" s="3" t="s">
        <v>492</v>
      </c>
      <c r="U399" s="3">
        <v>0</v>
      </c>
      <c r="V399" s="3">
        <v>22</v>
      </c>
      <c r="W399" s="3">
        <v>62</v>
      </c>
    </row>
    <row r="400" spans="1:23" ht="11.25" customHeight="1" x14ac:dyDescent="0.3">
      <c r="A400" s="3" t="s">
        <v>21</v>
      </c>
      <c r="B400" s="3" t="s">
        <v>22</v>
      </c>
      <c r="C400" s="3" t="s">
        <v>23</v>
      </c>
      <c r="D400" s="3" t="s">
        <v>24</v>
      </c>
      <c r="E400" s="3" t="s">
        <v>31</v>
      </c>
      <c r="F400" s="3" t="s">
        <v>25</v>
      </c>
      <c r="G400" s="3" t="s">
        <v>25</v>
      </c>
      <c r="H400" s="3" t="s">
        <v>25</v>
      </c>
      <c r="I400" s="6">
        <v>44682</v>
      </c>
      <c r="J400" s="4">
        <v>0</v>
      </c>
      <c r="K400" s="4">
        <v>0</v>
      </c>
      <c r="L400" s="4">
        <v>77.677999999999997</v>
      </c>
      <c r="M400" s="4">
        <v>77.677999999999997</v>
      </c>
      <c r="N400" s="4">
        <v>77.677999999999997</v>
      </c>
      <c r="O400" s="4">
        <v>77.677999999999997</v>
      </c>
      <c r="P400" s="4">
        <v>771</v>
      </c>
      <c r="Q400" s="3" t="s">
        <v>26</v>
      </c>
      <c r="R400" s="3">
        <v>0</v>
      </c>
      <c r="S400" s="3" t="s">
        <v>254</v>
      </c>
      <c r="T400" s="3" t="s">
        <v>493</v>
      </c>
      <c r="U400" s="3">
        <v>0</v>
      </c>
      <c r="V400" s="3">
        <v>22</v>
      </c>
      <c r="W400" s="3">
        <v>62</v>
      </c>
    </row>
    <row r="401" spans="1:23" ht="11.25" customHeight="1" x14ac:dyDescent="0.3">
      <c r="A401" s="3" t="s">
        <v>28</v>
      </c>
      <c r="B401" s="3" t="s">
        <v>22</v>
      </c>
      <c r="C401" s="3" t="s">
        <v>23</v>
      </c>
      <c r="D401" s="3" t="s">
        <v>24</v>
      </c>
      <c r="E401" s="3" t="s">
        <v>31</v>
      </c>
      <c r="F401" s="3" t="s">
        <v>25</v>
      </c>
      <c r="G401" s="3" t="s">
        <v>25</v>
      </c>
      <c r="H401" s="3" t="s">
        <v>25</v>
      </c>
      <c r="I401" s="6">
        <v>44682</v>
      </c>
      <c r="J401" s="4">
        <v>0</v>
      </c>
      <c r="K401" s="4">
        <v>0</v>
      </c>
      <c r="L401" s="4">
        <v>4.7E-2</v>
      </c>
      <c r="M401" s="4">
        <v>4.2299999999999997E-2</v>
      </c>
      <c r="N401" s="4">
        <v>4.7E-2</v>
      </c>
      <c r="O401" s="4">
        <v>4.2299999999999997E-2</v>
      </c>
      <c r="P401" s="4">
        <v>0</v>
      </c>
      <c r="Q401" s="3" t="s">
        <v>26</v>
      </c>
      <c r="R401" s="3">
        <v>0</v>
      </c>
      <c r="S401" s="3" t="s">
        <v>254</v>
      </c>
      <c r="T401" s="3" t="s">
        <v>493</v>
      </c>
      <c r="U401" s="3">
        <v>0</v>
      </c>
      <c r="V401" s="3">
        <v>22</v>
      </c>
      <c r="W401" s="3">
        <v>62</v>
      </c>
    </row>
    <row r="402" spans="1:23" ht="11.25" customHeight="1" x14ac:dyDescent="0.3">
      <c r="A402" s="3" t="s">
        <v>21</v>
      </c>
      <c r="B402" s="3" t="s">
        <v>22</v>
      </c>
      <c r="C402" s="3" t="s">
        <v>23</v>
      </c>
      <c r="D402" s="3" t="s">
        <v>24</v>
      </c>
      <c r="E402" s="3" t="s">
        <v>31</v>
      </c>
      <c r="F402" s="3" t="s">
        <v>25</v>
      </c>
      <c r="G402" s="3" t="s">
        <v>25</v>
      </c>
      <c r="H402" s="3" t="s">
        <v>25</v>
      </c>
      <c r="I402" s="6">
        <v>44713</v>
      </c>
      <c r="J402" s="4">
        <v>0</v>
      </c>
      <c r="K402" s="4">
        <v>0</v>
      </c>
      <c r="L402" s="4">
        <v>79.436999999999998</v>
      </c>
      <c r="M402" s="4">
        <v>79.436999999999998</v>
      </c>
      <c r="N402" s="4">
        <v>79.436999999999998</v>
      </c>
      <c r="O402" s="4">
        <v>79.436999999999998</v>
      </c>
      <c r="P402" s="4">
        <v>738</v>
      </c>
      <c r="Q402" s="3" t="s">
        <v>26</v>
      </c>
      <c r="R402" s="3">
        <v>0</v>
      </c>
      <c r="S402" s="3" t="s">
        <v>255</v>
      </c>
      <c r="T402" s="3" t="s">
        <v>494</v>
      </c>
      <c r="U402" s="3">
        <v>0</v>
      </c>
      <c r="V402" s="3">
        <v>22</v>
      </c>
      <c r="W402" s="3">
        <v>62</v>
      </c>
    </row>
    <row r="403" spans="1:23" ht="11.25" customHeight="1" x14ac:dyDescent="0.3">
      <c r="A403" s="3" t="s">
        <v>28</v>
      </c>
      <c r="B403" s="3" t="s">
        <v>22</v>
      </c>
      <c r="C403" s="3" t="s">
        <v>23</v>
      </c>
      <c r="D403" s="3" t="s">
        <v>24</v>
      </c>
      <c r="E403" s="3" t="s">
        <v>31</v>
      </c>
      <c r="F403" s="3" t="s">
        <v>25</v>
      </c>
      <c r="G403" s="3" t="s">
        <v>25</v>
      </c>
      <c r="H403" s="3" t="s">
        <v>25</v>
      </c>
      <c r="I403" s="6">
        <v>44713</v>
      </c>
      <c r="J403" s="4">
        <v>0</v>
      </c>
      <c r="K403" s="4">
        <v>0</v>
      </c>
      <c r="L403" s="4">
        <v>8.5999999999999993E-2</v>
      </c>
      <c r="M403" s="4">
        <v>6.88E-2</v>
      </c>
      <c r="N403" s="4">
        <v>8.5999999999999993E-2</v>
      </c>
      <c r="O403" s="4">
        <v>6.88E-2</v>
      </c>
      <c r="P403" s="4">
        <v>1</v>
      </c>
      <c r="Q403" s="3" t="s">
        <v>26</v>
      </c>
      <c r="R403" s="3">
        <v>0</v>
      </c>
      <c r="S403" s="3" t="s">
        <v>255</v>
      </c>
      <c r="T403" s="3" t="s">
        <v>494</v>
      </c>
      <c r="U403" s="3">
        <v>0</v>
      </c>
      <c r="V403" s="3">
        <v>22</v>
      </c>
      <c r="W403" s="3">
        <v>62</v>
      </c>
    </row>
    <row r="404" spans="1:23" ht="11.25" customHeight="1" x14ac:dyDescent="0.3">
      <c r="A404" s="3" t="s">
        <v>21</v>
      </c>
      <c r="B404" s="3" t="s">
        <v>22</v>
      </c>
      <c r="C404" s="3" t="s">
        <v>23</v>
      </c>
      <c r="D404" s="3" t="s">
        <v>24</v>
      </c>
      <c r="E404" s="3" t="s">
        <v>32</v>
      </c>
      <c r="F404" s="3" t="s">
        <v>25</v>
      </c>
      <c r="G404" s="3" t="s">
        <v>25</v>
      </c>
      <c r="H404" s="3" t="s">
        <v>25</v>
      </c>
      <c r="I404" s="6">
        <v>44378</v>
      </c>
      <c r="J404" s="4">
        <v>0</v>
      </c>
      <c r="K404" s="4">
        <v>0</v>
      </c>
      <c r="L404" s="4">
        <v>12.297000000000001</v>
      </c>
      <c r="M404" s="4">
        <v>12.297000000000001</v>
      </c>
      <c r="N404" s="4">
        <v>12.297000000000001</v>
      </c>
      <c r="O404" s="4">
        <v>12.297000000000001</v>
      </c>
      <c r="P404" s="4">
        <v>196</v>
      </c>
      <c r="Q404" s="3" t="s">
        <v>26</v>
      </c>
      <c r="R404" s="3">
        <v>0</v>
      </c>
      <c r="S404" s="3" t="s">
        <v>256</v>
      </c>
      <c r="T404" s="3" t="s">
        <v>495</v>
      </c>
      <c r="U404" s="3">
        <v>0</v>
      </c>
      <c r="V404" s="3">
        <v>23</v>
      </c>
      <c r="W404" s="3">
        <v>63</v>
      </c>
    </row>
    <row r="405" spans="1:23" ht="11.25" customHeight="1" x14ac:dyDescent="0.3">
      <c r="A405" s="3" t="s">
        <v>27</v>
      </c>
      <c r="B405" s="3" t="s">
        <v>22</v>
      </c>
      <c r="C405" s="3" t="s">
        <v>23</v>
      </c>
      <c r="D405" s="3" t="s">
        <v>24</v>
      </c>
      <c r="E405" s="3" t="s">
        <v>32</v>
      </c>
      <c r="F405" s="3" t="s">
        <v>25</v>
      </c>
      <c r="G405" s="3" t="s">
        <v>25</v>
      </c>
      <c r="H405" s="3" t="s">
        <v>25</v>
      </c>
      <c r="I405" s="6">
        <v>44378</v>
      </c>
      <c r="J405" s="4">
        <v>0</v>
      </c>
      <c r="K405" s="4">
        <v>0</v>
      </c>
      <c r="L405" s="4">
        <v>-0.03</v>
      </c>
      <c r="M405" s="4">
        <v>-0.03</v>
      </c>
      <c r="N405" s="4">
        <v>-0.03</v>
      </c>
      <c r="O405" s="4">
        <v>-0.03</v>
      </c>
      <c r="P405" s="4">
        <v>0</v>
      </c>
      <c r="Q405" s="3" t="s">
        <v>26</v>
      </c>
      <c r="R405" s="3">
        <v>0</v>
      </c>
      <c r="S405" s="3" t="s">
        <v>256</v>
      </c>
      <c r="T405" s="3" t="s">
        <v>495</v>
      </c>
      <c r="U405" s="3">
        <v>0</v>
      </c>
      <c r="V405" s="3">
        <v>23</v>
      </c>
      <c r="W405" s="3">
        <v>63</v>
      </c>
    </row>
    <row r="406" spans="1:23" ht="11.25" customHeight="1" x14ac:dyDescent="0.3">
      <c r="A406" s="3" t="s">
        <v>21</v>
      </c>
      <c r="B406" s="3" t="s">
        <v>22</v>
      </c>
      <c r="C406" s="3" t="s">
        <v>23</v>
      </c>
      <c r="D406" s="3" t="s">
        <v>24</v>
      </c>
      <c r="E406" s="3" t="s">
        <v>32</v>
      </c>
      <c r="F406" s="3" t="s">
        <v>25</v>
      </c>
      <c r="G406" s="3" t="s">
        <v>25</v>
      </c>
      <c r="H406" s="3" t="s">
        <v>25</v>
      </c>
      <c r="I406" s="6">
        <v>44409</v>
      </c>
      <c r="J406" s="4">
        <v>0</v>
      </c>
      <c r="K406" s="4">
        <v>0</v>
      </c>
      <c r="L406" s="4">
        <v>16.533000000000001</v>
      </c>
      <c r="M406" s="4">
        <v>16.533000000000001</v>
      </c>
      <c r="N406" s="4">
        <v>16.533000000000001</v>
      </c>
      <c r="O406" s="4">
        <v>16.533000000000001</v>
      </c>
      <c r="P406" s="4">
        <v>233</v>
      </c>
      <c r="Q406" s="3" t="s">
        <v>26</v>
      </c>
      <c r="R406" s="3">
        <v>0</v>
      </c>
      <c r="S406" s="3" t="s">
        <v>257</v>
      </c>
      <c r="T406" s="3" t="s">
        <v>496</v>
      </c>
      <c r="U406" s="3">
        <v>0</v>
      </c>
      <c r="V406" s="3">
        <v>23</v>
      </c>
      <c r="W406" s="3">
        <v>63</v>
      </c>
    </row>
    <row r="407" spans="1:23" ht="11.25" customHeight="1" x14ac:dyDescent="0.3">
      <c r="A407" s="3" t="s">
        <v>21</v>
      </c>
      <c r="B407" s="3" t="s">
        <v>22</v>
      </c>
      <c r="C407" s="3" t="s">
        <v>23</v>
      </c>
      <c r="D407" s="3" t="s">
        <v>24</v>
      </c>
      <c r="E407" s="3" t="s">
        <v>32</v>
      </c>
      <c r="F407" s="3" t="s">
        <v>25</v>
      </c>
      <c r="G407" s="3" t="s">
        <v>25</v>
      </c>
      <c r="H407" s="3" t="s">
        <v>25</v>
      </c>
      <c r="I407" s="6">
        <v>44440</v>
      </c>
      <c r="J407" s="4">
        <v>0</v>
      </c>
      <c r="K407" s="4">
        <v>0</v>
      </c>
      <c r="L407" s="4">
        <v>14.256</v>
      </c>
      <c r="M407" s="4">
        <v>14.256</v>
      </c>
      <c r="N407" s="4">
        <v>14.256</v>
      </c>
      <c r="O407" s="4">
        <v>14.256</v>
      </c>
      <c r="P407" s="4">
        <v>222</v>
      </c>
      <c r="Q407" s="3" t="s">
        <v>26</v>
      </c>
      <c r="R407" s="3">
        <v>0</v>
      </c>
      <c r="S407" s="3" t="s">
        <v>258</v>
      </c>
      <c r="T407" s="3" t="s">
        <v>497</v>
      </c>
      <c r="U407" s="3">
        <v>0</v>
      </c>
      <c r="V407" s="3">
        <v>23</v>
      </c>
      <c r="W407" s="3">
        <v>63</v>
      </c>
    </row>
    <row r="408" spans="1:23" ht="11.25" customHeight="1" x14ac:dyDescent="0.3">
      <c r="A408" s="3" t="s">
        <v>21</v>
      </c>
      <c r="B408" s="3" t="s">
        <v>22</v>
      </c>
      <c r="C408" s="3" t="s">
        <v>23</v>
      </c>
      <c r="D408" s="3" t="s">
        <v>24</v>
      </c>
      <c r="E408" s="3" t="s">
        <v>32</v>
      </c>
      <c r="F408" s="3" t="s">
        <v>25</v>
      </c>
      <c r="G408" s="3" t="s">
        <v>25</v>
      </c>
      <c r="H408" s="3" t="s">
        <v>25</v>
      </c>
      <c r="I408" s="6">
        <v>44470</v>
      </c>
      <c r="J408" s="4">
        <v>0</v>
      </c>
      <c r="K408" s="4">
        <v>0</v>
      </c>
      <c r="L408" s="4">
        <v>15.997999999999999</v>
      </c>
      <c r="M408" s="4">
        <v>15.997999999999999</v>
      </c>
      <c r="N408" s="4">
        <v>15.997999999999999</v>
      </c>
      <c r="O408" s="4">
        <v>15.997999999999999</v>
      </c>
      <c r="P408" s="4">
        <v>244</v>
      </c>
      <c r="Q408" s="3" t="s">
        <v>26</v>
      </c>
      <c r="R408" s="3">
        <v>0</v>
      </c>
      <c r="S408" s="3" t="s">
        <v>259</v>
      </c>
      <c r="T408" s="3" t="s">
        <v>498</v>
      </c>
      <c r="U408" s="3">
        <v>0</v>
      </c>
      <c r="V408" s="3">
        <v>23</v>
      </c>
      <c r="W408" s="3">
        <v>63</v>
      </c>
    </row>
    <row r="409" spans="1:23" ht="11.25" customHeight="1" x14ac:dyDescent="0.3">
      <c r="A409" s="3" t="s">
        <v>21</v>
      </c>
      <c r="B409" s="3" t="s">
        <v>22</v>
      </c>
      <c r="C409" s="3" t="s">
        <v>23</v>
      </c>
      <c r="D409" s="3" t="s">
        <v>24</v>
      </c>
      <c r="E409" s="3" t="s">
        <v>32</v>
      </c>
      <c r="F409" s="3" t="s">
        <v>25</v>
      </c>
      <c r="G409" s="3" t="s">
        <v>25</v>
      </c>
      <c r="H409" s="3" t="s">
        <v>25</v>
      </c>
      <c r="I409" s="6">
        <v>44501</v>
      </c>
      <c r="J409" s="4">
        <v>0</v>
      </c>
      <c r="K409" s="4">
        <v>0</v>
      </c>
      <c r="L409" s="4">
        <v>22.010999999999999</v>
      </c>
      <c r="M409" s="4">
        <v>22.010999999999999</v>
      </c>
      <c r="N409" s="4">
        <v>22.010999999999999</v>
      </c>
      <c r="O409" s="4">
        <v>22.010999999999999</v>
      </c>
      <c r="P409" s="4">
        <v>303</v>
      </c>
      <c r="Q409" s="3" t="s">
        <v>26</v>
      </c>
      <c r="R409" s="3">
        <v>0</v>
      </c>
      <c r="S409" s="3" t="s">
        <v>260</v>
      </c>
      <c r="T409" s="3" t="s">
        <v>499</v>
      </c>
      <c r="U409" s="3">
        <v>0</v>
      </c>
      <c r="V409" s="3">
        <v>23</v>
      </c>
      <c r="W409" s="3">
        <v>63</v>
      </c>
    </row>
    <row r="410" spans="1:23" ht="11.25" customHeight="1" x14ac:dyDescent="0.3">
      <c r="A410" s="3" t="s">
        <v>21</v>
      </c>
      <c r="B410" s="3" t="s">
        <v>22</v>
      </c>
      <c r="C410" s="3" t="s">
        <v>23</v>
      </c>
      <c r="D410" s="3" t="s">
        <v>24</v>
      </c>
      <c r="E410" s="3" t="s">
        <v>32</v>
      </c>
      <c r="F410" s="3" t="s">
        <v>25</v>
      </c>
      <c r="G410" s="3" t="s">
        <v>25</v>
      </c>
      <c r="H410" s="3" t="s">
        <v>25</v>
      </c>
      <c r="I410" s="6">
        <v>44531</v>
      </c>
      <c r="J410" s="4">
        <v>0</v>
      </c>
      <c r="K410" s="4">
        <v>0</v>
      </c>
      <c r="L410" s="4">
        <v>25.661000000000001</v>
      </c>
      <c r="M410" s="4">
        <v>25.661000000000001</v>
      </c>
      <c r="N410" s="4">
        <v>25.661000000000001</v>
      </c>
      <c r="O410" s="4">
        <v>25.661000000000001</v>
      </c>
      <c r="P410" s="4">
        <v>354</v>
      </c>
      <c r="Q410" s="3" t="s">
        <v>26</v>
      </c>
      <c r="R410" s="3">
        <v>0</v>
      </c>
      <c r="S410" s="3" t="s">
        <v>261</v>
      </c>
      <c r="T410" s="3" t="s">
        <v>500</v>
      </c>
      <c r="U410" s="3">
        <v>0</v>
      </c>
      <c r="V410" s="3">
        <v>23</v>
      </c>
      <c r="W410" s="3">
        <v>63</v>
      </c>
    </row>
    <row r="411" spans="1:23" ht="11.25" customHeight="1" x14ac:dyDescent="0.3">
      <c r="A411" s="3" t="s">
        <v>21</v>
      </c>
      <c r="B411" s="3" t="s">
        <v>22</v>
      </c>
      <c r="C411" s="3" t="s">
        <v>23</v>
      </c>
      <c r="D411" s="3" t="s">
        <v>24</v>
      </c>
      <c r="E411" s="3" t="s">
        <v>32</v>
      </c>
      <c r="F411" s="3" t="s">
        <v>25</v>
      </c>
      <c r="G411" s="3" t="s">
        <v>25</v>
      </c>
      <c r="H411" s="3" t="s">
        <v>25</v>
      </c>
      <c r="I411" s="6">
        <v>44562</v>
      </c>
      <c r="J411" s="4">
        <v>0</v>
      </c>
      <c r="K411" s="4">
        <v>0</v>
      </c>
      <c r="L411" s="4">
        <v>47.101999999999997</v>
      </c>
      <c r="M411" s="4">
        <v>47.101999999999997</v>
      </c>
      <c r="N411" s="4">
        <v>47.101999999999997</v>
      </c>
      <c r="O411" s="4">
        <v>47.101999999999997</v>
      </c>
      <c r="P411" s="4">
        <v>453</v>
      </c>
      <c r="Q411" s="3" t="s">
        <v>26</v>
      </c>
      <c r="R411" s="3">
        <v>0</v>
      </c>
      <c r="S411" s="3" t="s">
        <v>262</v>
      </c>
      <c r="T411" s="3" t="s">
        <v>501</v>
      </c>
      <c r="U411" s="3">
        <v>0</v>
      </c>
      <c r="V411" s="3">
        <v>23</v>
      </c>
      <c r="W411" s="3">
        <v>63</v>
      </c>
    </row>
    <row r="412" spans="1:23" ht="11.25" customHeight="1" x14ac:dyDescent="0.3">
      <c r="A412" s="3" t="s">
        <v>27</v>
      </c>
      <c r="B412" s="3" t="s">
        <v>22</v>
      </c>
      <c r="C412" s="3" t="s">
        <v>23</v>
      </c>
      <c r="D412" s="3" t="s">
        <v>24</v>
      </c>
      <c r="E412" s="3" t="s">
        <v>32</v>
      </c>
      <c r="F412" s="3" t="s">
        <v>25</v>
      </c>
      <c r="G412" s="3" t="s">
        <v>25</v>
      </c>
      <c r="H412" s="3" t="s">
        <v>25</v>
      </c>
      <c r="I412" s="6">
        <v>44562</v>
      </c>
      <c r="J412" s="4">
        <v>0</v>
      </c>
      <c r="K412" s="4">
        <v>0</v>
      </c>
      <c r="L412" s="4">
        <v>0.24</v>
      </c>
      <c r="M412" s="4">
        <v>0.24</v>
      </c>
      <c r="N412" s="4">
        <v>0.24</v>
      </c>
      <c r="O412" s="4">
        <v>0.24</v>
      </c>
      <c r="P412" s="4">
        <v>0</v>
      </c>
      <c r="Q412" s="3" t="s">
        <v>26</v>
      </c>
      <c r="R412" s="3">
        <v>0</v>
      </c>
      <c r="S412" s="3" t="s">
        <v>262</v>
      </c>
      <c r="T412" s="3" t="s">
        <v>501</v>
      </c>
      <c r="U412" s="3">
        <v>0</v>
      </c>
      <c r="V412" s="3">
        <v>23</v>
      </c>
      <c r="W412" s="3">
        <v>63</v>
      </c>
    </row>
    <row r="413" spans="1:23" ht="11.25" customHeight="1" x14ac:dyDescent="0.3">
      <c r="A413" s="3" t="s">
        <v>21</v>
      </c>
      <c r="B413" s="3" t="s">
        <v>22</v>
      </c>
      <c r="C413" s="3" t="s">
        <v>23</v>
      </c>
      <c r="D413" s="3" t="s">
        <v>24</v>
      </c>
      <c r="E413" s="3" t="s">
        <v>32</v>
      </c>
      <c r="F413" s="3" t="s">
        <v>25</v>
      </c>
      <c r="G413" s="3" t="s">
        <v>25</v>
      </c>
      <c r="H413" s="3" t="s">
        <v>25</v>
      </c>
      <c r="I413" s="6">
        <v>44593</v>
      </c>
      <c r="J413" s="4">
        <v>0</v>
      </c>
      <c r="K413" s="4">
        <v>0</v>
      </c>
      <c r="L413" s="4">
        <v>70.347999999999999</v>
      </c>
      <c r="M413" s="4">
        <v>70.347999999999999</v>
      </c>
      <c r="N413" s="4">
        <v>70.347999999999999</v>
      </c>
      <c r="O413" s="4">
        <v>70.347999999999999</v>
      </c>
      <c r="P413" s="4">
        <v>564</v>
      </c>
      <c r="Q413" s="3" t="s">
        <v>26</v>
      </c>
      <c r="R413" s="3">
        <v>0</v>
      </c>
      <c r="S413" s="3" t="s">
        <v>263</v>
      </c>
      <c r="T413" s="3" t="s">
        <v>502</v>
      </c>
      <c r="U413" s="3">
        <v>0</v>
      </c>
      <c r="V413" s="3">
        <v>23</v>
      </c>
      <c r="W413" s="3">
        <v>63</v>
      </c>
    </row>
    <row r="414" spans="1:23" ht="11.25" customHeight="1" x14ac:dyDescent="0.3">
      <c r="A414" s="3" t="s">
        <v>27</v>
      </c>
      <c r="B414" s="3" t="s">
        <v>22</v>
      </c>
      <c r="C414" s="3" t="s">
        <v>23</v>
      </c>
      <c r="D414" s="3" t="s">
        <v>24</v>
      </c>
      <c r="E414" s="3" t="s">
        <v>32</v>
      </c>
      <c r="F414" s="3" t="s">
        <v>25</v>
      </c>
      <c r="G414" s="3" t="s">
        <v>25</v>
      </c>
      <c r="H414" s="3" t="s">
        <v>25</v>
      </c>
      <c r="I414" s="6">
        <v>44593</v>
      </c>
      <c r="J414" s="4">
        <v>0</v>
      </c>
      <c r="K414" s="4">
        <v>0</v>
      </c>
      <c r="L414" s="4">
        <v>-0.61499999999999999</v>
      </c>
      <c r="M414" s="4">
        <v>-0.61499999999999999</v>
      </c>
      <c r="N414" s="4">
        <v>-0.61499999999999999</v>
      </c>
      <c r="O414" s="4">
        <v>-0.61499999999999999</v>
      </c>
      <c r="P414" s="4">
        <v>0</v>
      </c>
      <c r="Q414" s="3" t="s">
        <v>26</v>
      </c>
      <c r="R414" s="3">
        <v>0</v>
      </c>
      <c r="S414" s="3" t="s">
        <v>263</v>
      </c>
      <c r="T414" s="3" t="s">
        <v>502</v>
      </c>
      <c r="U414" s="3">
        <v>0</v>
      </c>
      <c r="V414" s="3">
        <v>23</v>
      </c>
      <c r="W414" s="3">
        <v>63</v>
      </c>
    </row>
    <row r="415" spans="1:23" ht="11.25" customHeight="1" x14ac:dyDescent="0.3">
      <c r="A415" s="3" t="s">
        <v>28</v>
      </c>
      <c r="B415" s="3" t="s">
        <v>22</v>
      </c>
      <c r="C415" s="3" t="s">
        <v>23</v>
      </c>
      <c r="D415" s="3" t="s">
        <v>24</v>
      </c>
      <c r="E415" s="3" t="s">
        <v>32</v>
      </c>
      <c r="F415" s="3" t="s">
        <v>25</v>
      </c>
      <c r="G415" s="3" t="s">
        <v>25</v>
      </c>
      <c r="H415" s="3" t="s">
        <v>25</v>
      </c>
      <c r="I415" s="6">
        <v>44593</v>
      </c>
      <c r="J415" s="4">
        <v>0</v>
      </c>
      <c r="K415" s="4">
        <v>0</v>
      </c>
      <c r="L415" s="4">
        <v>1.4E-2</v>
      </c>
      <c r="M415" s="4">
        <v>1.4E-2</v>
      </c>
      <c r="N415" s="4">
        <v>1.4E-2</v>
      </c>
      <c r="O415" s="4">
        <v>1.4E-2</v>
      </c>
      <c r="P415" s="4">
        <v>1</v>
      </c>
      <c r="Q415" s="3" t="s">
        <v>26</v>
      </c>
      <c r="R415" s="3">
        <v>0</v>
      </c>
      <c r="S415" s="3" t="s">
        <v>263</v>
      </c>
      <c r="T415" s="3" t="s">
        <v>502</v>
      </c>
      <c r="U415" s="3">
        <v>0</v>
      </c>
      <c r="V415" s="3">
        <v>23</v>
      </c>
      <c r="W415" s="3">
        <v>63</v>
      </c>
    </row>
    <row r="416" spans="1:23" ht="11.25" customHeight="1" x14ac:dyDescent="0.3">
      <c r="A416" s="3" t="s">
        <v>21</v>
      </c>
      <c r="B416" s="3" t="s">
        <v>22</v>
      </c>
      <c r="C416" s="3" t="s">
        <v>23</v>
      </c>
      <c r="D416" s="3" t="s">
        <v>24</v>
      </c>
      <c r="E416" s="3" t="s">
        <v>32</v>
      </c>
      <c r="F416" s="3" t="s">
        <v>25</v>
      </c>
      <c r="G416" s="3" t="s">
        <v>25</v>
      </c>
      <c r="H416" s="3" t="s">
        <v>25</v>
      </c>
      <c r="I416" s="6">
        <v>44621</v>
      </c>
      <c r="J416" s="4">
        <v>0</v>
      </c>
      <c r="K416" s="4">
        <v>0</v>
      </c>
      <c r="L416" s="4">
        <v>43.421999999999997</v>
      </c>
      <c r="M416" s="4">
        <v>43.421999999999997</v>
      </c>
      <c r="N416" s="4">
        <v>43.421999999999997</v>
      </c>
      <c r="O416" s="4">
        <v>43.421999999999997</v>
      </c>
      <c r="P416" s="4">
        <v>447</v>
      </c>
      <c r="Q416" s="3" t="s">
        <v>26</v>
      </c>
      <c r="R416" s="3">
        <v>0</v>
      </c>
      <c r="S416" s="3" t="s">
        <v>264</v>
      </c>
      <c r="T416" s="3" t="s">
        <v>503</v>
      </c>
      <c r="U416" s="3">
        <v>0</v>
      </c>
      <c r="V416" s="3">
        <v>23</v>
      </c>
      <c r="W416" s="3">
        <v>63</v>
      </c>
    </row>
    <row r="417" spans="1:23" ht="11.25" customHeight="1" x14ac:dyDescent="0.3">
      <c r="A417" s="3" t="s">
        <v>27</v>
      </c>
      <c r="B417" s="3" t="s">
        <v>22</v>
      </c>
      <c r="C417" s="3" t="s">
        <v>23</v>
      </c>
      <c r="D417" s="3" t="s">
        <v>24</v>
      </c>
      <c r="E417" s="3" t="s">
        <v>32</v>
      </c>
      <c r="F417" s="3" t="s">
        <v>25</v>
      </c>
      <c r="G417" s="3" t="s">
        <v>25</v>
      </c>
      <c r="H417" s="3" t="s">
        <v>25</v>
      </c>
      <c r="I417" s="6">
        <v>44621</v>
      </c>
      <c r="J417" s="4">
        <v>0</v>
      </c>
      <c r="K417" s="4">
        <v>0</v>
      </c>
      <c r="L417" s="4">
        <v>-0.43099999999999999</v>
      </c>
      <c r="M417" s="4">
        <v>-0.43099999999999999</v>
      </c>
      <c r="N417" s="4">
        <v>-0.43099999999999999</v>
      </c>
      <c r="O417" s="4">
        <v>-0.43099999999999999</v>
      </c>
      <c r="P417" s="4">
        <v>0</v>
      </c>
      <c r="Q417" s="3" t="s">
        <v>26</v>
      </c>
      <c r="R417" s="3">
        <v>0</v>
      </c>
      <c r="S417" s="3" t="s">
        <v>264</v>
      </c>
      <c r="T417" s="3" t="s">
        <v>503</v>
      </c>
      <c r="U417" s="3">
        <v>0</v>
      </c>
      <c r="V417" s="3">
        <v>23</v>
      </c>
      <c r="W417" s="3">
        <v>63</v>
      </c>
    </row>
    <row r="418" spans="1:23" ht="11.25" customHeight="1" x14ac:dyDescent="0.3">
      <c r="A418" s="3" t="s">
        <v>21</v>
      </c>
      <c r="B418" s="3" t="s">
        <v>22</v>
      </c>
      <c r="C418" s="3" t="s">
        <v>23</v>
      </c>
      <c r="D418" s="3" t="s">
        <v>24</v>
      </c>
      <c r="E418" s="3" t="s">
        <v>32</v>
      </c>
      <c r="F418" s="3" t="s">
        <v>25</v>
      </c>
      <c r="G418" s="3" t="s">
        <v>25</v>
      </c>
      <c r="H418" s="3" t="s">
        <v>25</v>
      </c>
      <c r="I418" s="6">
        <v>44652</v>
      </c>
      <c r="J418" s="4">
        <v>0</v>
      </c>
      <c r="K418" s="4">
        <v>0</v>
      </c>
      <c r="L418" s="4">
        <v>17.241</v>
      </c>
      <c r="M418" s="4">
        <v>17.241</v>
      </c>
      <c r="N418" s="4">
        <v>17.241</v>
      </c>
      <c r="O418" s="4">
        <v>17.241</v>
      </c>
      <c r="P418" s="4">
        <v>245</v>
      </c>
      <c r="Q418" s="3" t="s">
        <v>26</v>
      </c>
      <c r="R418" s="3">
        <v>0</v>
      </c>
      <c r="S418" s="3" t="s">
        <v>265</v>
      </c>
      <c r="T418" s="3" t="s">
        <v>504</v>
      </c>
      <c r="U418" s="3">
        <v>0</v>
      </c>
      <c r="V418" s="3">
        <v>23</v>
      </c>
      <c r="W418" s="3">
        <v>63</v>
      </c>
    </row>
    <row r="419" spans="1:23" ht="11.25" customHeight="1" x14ac:dyDescent="0.3">
      <c r="A419" s="3" t="s">
        <v>21</v>
      </c>
      <c r="B419" s="3" t="s">
        <v>22</v>
      </c>
      <c r="C419" s="3" t="s">
        <v>23</v>
      </c>
      <c r="D419" s="3" t="s">
        <v>24</v>
      </c>
      <c r="E419" s="3" t="s">
        <v>32</v>
      </c>
      <c r="F419" s="3" t="s">
        <v>25</v>
      </c>
      <c r="G419" s="3" t="s">
        <v>25</v>
      </c>
      <c r="H419" s="3" t="s">
        <v>25</v>
      </c>
      <c r="I419" s="6">
        <v>44682</v>
      </c>
      <c r="J419" s="4">
        <v>0</v>
      </c>
      <c r="K419" s="4">
        <v>0</v>
      </c>
      <c r="L419" s="4">
        <v>22.236000000000001</v>
      </c>
      <c r="M419" s="4">
        <v>22.236000000000001</v>
      </c>
      <c r="N419" s="4">
        <v>22.236000000000001</v>
      </c>
      <c r="O419" s="4">
        <v>22.236000000000001</v>
      </c>
      <c r="P419" s="4">
        <v>294</v>
      </c>
      <c r="Q419" s="3" t="s">
        <v>26</v>
      </c>
      <c r="R419" s="3">
        <v>0</v>
      </c>
      <c r="S419" s="3" t="s">
        <v>266</v>
      </c>
      <c r="T419" s="3" t="s">
        <v>505</v>
      </c>
      <c r="U419" s="3">
        <v>0</v>
      </c>
      <c r="V419" s="3">
        <v>23</v>
      </c>
      <c r="W419" s="3">
        <v>63</v>
      </c>
    </row>
    <row r="420" spans="1:23" ht="11.25" customHeight="1" x14ac:dyDescent="0.3">
      <c r="A420" s="3" t="s">
        <v>21</v>
      </c>
      <c r="B420" s="3" t="s">
        <v>22</v>
      </c>
      <c r="C420" s="3" t="s">
        <v>23</v>
      </c>
      <c r="D420" s="3" t="s">
        <v>24</v>
      </c>
      <c r="E420" s="3" t="s">
        <v>32</v>
      </c>
      <c r="F420" s="3" t="s">
        <v>25</v>
      </c>
      <c r="G420" s="3" t="s">
        <v>25</v>
      </c>
      <c r="H420" s="3" t="s">
        <v>25</v>
      </c>
      <c r="I420" s="6">
        <v>44713</v>
      </c>
      <c r="J420" s="4">
        <v>0</v>
      </c>
      <c r="K420" s="4">
        <v>0</v>
      </c>
      <c r="L420" s="4">
        <v>25.146999999999998</v>
      </c>
      <c r="M420" s="4">
        <v>25.146999999999998</v>
      </c>
      <c r="N420" s="4">
        <v>25.146999999999998</v>
      </c>
      <c r="O420" s="4">
        <v>25.146999999999998</v>
      </c>
      <c r="P420" s="4">
        <v>316</v>
      </c>
      <c r="Q420" s="3" t="s">
        <v>26</v>
      </c>
      <c r="R420" s="3">
        <v>0</v>
      </c>
      <c r="S420" s="3" t="s">
        <v>267</v>
      </c>
      <c r="T420" s="3" t="s">
        <v>506</v>
      </c>
      <c r="U420" s="3">
        <v>0</v>
      </c>
      <c r="V420" s="3">
        <v>23</v>
      </c>
      <c r="W420" s="3">
        <v>63</v>
      </c>
    </row>
    <row r="421" spans="1:23" ht="11.25" customHeight="1" x14ac:dyDescent="0.3">
      <c r="A421" s="3" t="s">
        <v>21</v>
      </c>
      <c r="B421" s="3" t="s">
        <v>42</v>
      </c>
      <c r="C421" s="3" t="s">
        <v>33</v>
      </c>
      <c r="D421" s="3" t="s">
        <v>43</v>
      </c>
      <c r="E421" s="3" t="s">
        <v>25</v>
      </c>
      <c r="F421" s="3" t="s">
        <v>25</v>
      </c>
      <c r="G421" s="3" t="s">
        <v>25</v>
      </c>
      <c r="H421" s="3" t="s">
        <v>35</v>
      </c>
      <c r="I421" s="6">
        <v>44409</v>
      </c>
      <c r="J421" s="4">
        <v>0</v>
      </c>
      <c r="K421" s="4">
        <v>0</v>
      </c>
      <c r="L421" s="4">
        <v>0.13700000000000001</v>
      </c>
      <c r="M421" s="4">
        <v>0.13700000000000001</v>
      </c>
      <c r="N421" s="4">
        <v>0.13700000000000001</v>
      </c>
      <c r="O421" s="4">
        <v>0.13700000000000001</v>
      </c>
      <c r="P421" s="4">
        <v>0</v>
      </c>
      <c r="Q421" s="3" t="s">
        <v>26</v>
      </c>
      <c r="R421" s="3">
        <v>0</v>
      </c>
      <c r="S421" s="3" t="s">
        <v>268</v>
      </c>
      <c r="T421" s="3" t="s">
        <v>507</v>
      </c>
      <c r="U421" s="3">
        <v>0</v>
      </c>
      <c r="V421" s="3">
        <v>31</v>
      </c>
      <c r="W421" s="3">
        <v>71</v>
      </c>
    </row>
    <row r="422" spans="1:23" ht="11.25" customHeight="1" x14ac:dyDescent="0.3">
      <c r="A422" s="3" t="s">
        <v>21</v>
      </c>
      <c r="B422" s="3" t="s">
        <v>42</v>
      </c>
      <c r="C422" s="3" t="s">
        <v>33</v>
      </c>
      <c r="D422" s="3" t="s">
        <v>43</v>
      </c>
      <c r="E422" s="3" t="s">
        <v>25</v>
      </c>
      <c r="F422" s="3" t="s">
        <v>25</v>
      </c>
      <c r="G422" s="3" t="s">
        <v>25</v>
      </c>
      <c r="H422" s="3" t="s">
        <v>35</v>
      </c>
      <c r="I422" s="6">
        <v>44470</v>
      </c>
      <c r="J422" s="4">
        <v>0</v>
      </c>
      <c r="K422" s="4">
        <v>0</v>
      </c>
      <c r="L422" s="4">
        <v>0.44500000000000001</v>
      </c>
      <c r="M422" s="4">
        <v>0.44500000000000001</v>
      </c>
      <c r="N422" s="4">
        <v>0.44500000000000001</v>
      </c>
      <c r="O422" s="4">
        <v>0.44500000000000001</v>
      </c>
      <c r="P422" s="4">
        <v>0</v>
      </c>
      <c r="Q422" s="3" t="s">
        <v>26</v>
      </c>
      <c r="R422" s="3">
        <v>0</v>
      </c>
      <c r="S422" s="3" t="s">
        <v>269</v>
      </c>
      <c r="T422" s="3" t="s">
        <v>508</v>
      </c>
      <c r="U422" s="3">
        <v>0</v>
      </c>
      <c r="V422" s="3">
        <v>31</v>
      </c>
      <c r="W422" s="3">
        <v>71</v>
      </c>
    </row>
    <row r="423" spans="1:23" ht="11.25" customHeight="1" x14ac:dyDescent="0.3">
      <c r="A423" s="3" t="s">
        <v>21</v>
      </c>
      <c r="B423" s="3" t="s">
        <v>42</v>
      </c>
      <c r="C423" s="3" t="s">
        <v>33</v>
      </c>
      <c r="D423" s="3" t="s">
        <v>43</v>
      </c>
      <c r="E423" s="3" t="s">
        <v>25</v>
      </c>
      <c r="F423" s="3" t="s">
        <v>25</v>
      </c>
      <c r="G423" s="3" t="s">
        <v>25</v>
      </c>
      <c r="H423" s="3" t="s">
        <v>35</v>
      </c>
      <c r="I423" s="6">
        <v>44501</v>
      </c>
      <c r="J423" s="4">
        <v>0</v>
      </c>
      <c r="K423" s="4">
        <v>0</v>
      </c>
      <c r="L423" s="4">
        <v>0.26400000000000001</v>
      </c>
      <c r="M423" s="4">
        <v>0.26400000000000001</v>
      </c>
      <c r="N423" s="4">
        <v>0.26400000000000001</v>
      </c>
      <c r="O423" s="4">
        <v>0.26400000000000001</v>
      </c>
      <c r="P423" s="4">
        <v>0</v>
      </c>
      <c r="Q423" s="3" t="s">
        <v>26</v>
      </c>
      <c r="R423" s="3">
        <v>0</v>
      </c>
      <c r="S423" s="3" t="s">
        <v>270</v>
      </c>
      <c r="T423" s="3" t="s">
        <v>509</v>
      </c>
      <c r="U423" s="3">
        <v>0</v>
      </c>
      <c r="V423" s="3">
        <v>31</v>
      </c>
      <c r="W423" s="3">
        <v>71</v>
      </c>
    </row>
    <row r="424" spans="1:23" ht="11.25" customHeight="1" x14ac:dyDescent="0.3">
      <c r="A424" s="3" t="s">
        <v>21</v>
      </c>
      <c r="B424" s="3" t="s">
        <v>42</v>
      </c>
      <c r="C424" s="3" t="s">
        <v>33</v>
      </c>
      <c r="D424" s="3" t="s">
        <v>43</v>
      </c>
      <c r="E424" s="3" t="s">
        <v>25</v>
      </c>
      <c r="F424" s="3" t="s">
        <v>25</v>
      </c>
      <c r="G424" s="3" t="s">
        <v>25</v>
      </c>
      <c r="H424" s="3" t="s">
        <v>35</v>
      </c>
      <c r="I424" s="6">
        <v>44531</v>
      </c>
      <c r="J424" s="4">
        <v>0</v>
      </c>
      <c r="K424" s="4">
        <v>0</v>
      </c>
      <c r="L424" s="4">
        <v>0.33200000000000002</v>
      </c>
      <c r="M424" s="4">
        <v>0.33200000000000002</v>
      </c>
      <c r="N424" s="4">
        <v>0.33200000000000002</v>
      </c>
      <c r="O424" s="4">
        <v>0.33200000000000002</v>
      </c>
      <c r="P424" s="4">
        <v>0</v>
      </c>
      <c r="Q424" s="3" t="s">
        <v>26</v>
      </c>
      <c r="R424" s="3">
        <v>0</v>
      </c>
      <c r="S424" s="3" t="s">
        <v>271</v>
      </c>
      <c r="T424" s="3" t="s">
        <v>510</v>
      </c>
      <c r="U424" s="3">
        <v>0</v>
      </c>
      <c r="V424" s="3">
        <v>31</v>
      </c>
      <c r="W424" s="3">
        <v>71</v>
      </c>
    </row>
    <row r="425" spans="1:23" ht="11.25" customHeight="1" x14ac:dyDescent="0.3">
      <c r="A425" s="3" t="s">
        <v>21</v>
      </c>
      <c r="B425" s="3" t="s">
        <v>42</v>
      </c>
      <c r="C425" s="3" t="s">
        <v>33</v>
      </c>
      <c r="D425" s="3" t="s">
        <v>43</v>
      </c>
      <c r="E425" s="3" t="s">
        <v>25</v>
      </c>
      <c r="F425" s="3" t="s">
        <v>25</v>
      </c>
      <c r="G425" s="3" t="s">
        <v>25</v>
      </c>
      <c r="H425" s="3" t="s">
        <v>35</v>
      </c>
      <c r="I425" s="6">
        <v>44562</v>
      </c>
      <c r="J425" s="4">
        <v>0</v>
      </c>
      <c r="K425" s="4">
        <v>0</v>
      </c>
      <c r="L425" s="4">
        <v>0.27600000000000002</v>
      </c>
      <c r="M425" s="4">
        <v>0.27600000000000002</v>
      </c>
      <c r="N425" s="4">
        <v>0.27600000000000002</v>
      </c>
      <c r="O425" s="4">
        <v>0.27600000000000002</v>
      </c>
      <c r="P425" s="4">
        <v>0</v>
      </c>
      <c r="Q425" s="3" t="s">
        <v>26</v>
      </c>
      <c r="R425" s="3">
        <v>0</v>
      </c>
      <c r="S425" s="3" t="s">
        <v>272</v>
      </c>
      <c r="T425" s="3" t="s">
        <v>511</v>
      </c>
      <c r="U425" s="3">
        <v>0</v>
      </c>
      <c r="V425" s="3">
        <v>31</v>
      </c>
      <c r="W425" s="3">
        <v>71</v>
      </c>
    </row>
    <row r="426" spans="1:23" ht="11.25" customHeight="1" x14ac:dyDescent="0.3">
      <c r="A426" s="3" t="s">
        <v>21</v>
      </c>
      <c r="B426" s="3" t="s">
        <v>42</v>
      </c>
      <c r="C426" s="3" t="s">
        <v>33</v>
      </c>
      <c r="D426" s="3" t="s">
        <v>43</v>
      </c>
      <c r="E426" s="3" t="s">
        <v>25</v>
      </c>
      <c r="F426" s="3" t="s">
        <v>25</v>
      </c>
      <c r="G426" s="3" t="s">
        <v>25</v>
      </c>
      <c r="H426" s="3" t="s">
        <v>35</v>
      </c>
      <c r="I426" s="6">
        <v>44593</v>
      </c>
      <c r="J426" s="4">
        <v>0</v>
      </c>
      <c r="K426" s="4">
        <v>0</v>
      </c>
      <c r="L426" s="4">
        <v>0.28100000000000003</v>
      </c>
      <c r="M426" s="4">
        <v>0.28100000000000003</v>
      </c>
      <c r="N426" s="4">
        <v>0.28100000000000003</v>
      </c>
      <c r="O426" s="4">
        <v>0.28100000000000003</v>
      </c>
      <c r="P426" s="4">
        <v>0</v>
      </c>
      <c r="Q426" s="3" t="s">
        <v>26</v>
      </c>
      <c r="R426" s="3">
        <v>0</v>
      </c>
      <c r="S426" s="3" t="s">
        <v>273</v>
      </c>
      <c r="T426" s="3" t="s">
        <v>512</v>
      </c>
      <c r="U426" s="3">
        <v>0</v>
      </c>
      <c r="V426" s="3">
        <v>31</v>
      </c>
      <c r="W426" s="3">
        <v>71</v>
      </c>
    </row>
    <row r="427" spans="1:23" ht="11.25" customHeight="1" x14ac:dyDescent="0.3">
      <c r="A427" s="3" t="s">
        <v>21</v>
      </c>
      <c r="B427" s="3" t="s">
        <v>42</v>
      </c>
      <c r="C427" s="3" t="s">
        <v>33</v>
      </c>
      <c r="D427" s="3" t="s">
        <v>43</v>
      </c>
      <c r="E427" s="3" t="s">
        <v>25</v>
      </c>
      <c r="F427" s="3" t="s">
        <v>25</v>
      </c>
      <c r="G427" s="3" t="s">
        <v>25</v>
      </c>
      <c r="H427" s="3" t="s">
        <v>35</v>
      </c>
      <c r="I427" s="6">
        <v>44621</v>
      </c>
      <c r="J427" s="4">
        <v>0</v>
      </c>
      <c r="K427" s="4">
        <v>0</v>
      </c>
      <c r="L427" s="4">
        <v>0.24199999999999999</v>
      </c>
      <c r="M427" s="4">
        <v>0.24199999999999999</v>
      </c>
      <c r="N427" s="4">
        <v>0.24199999999999999</v>
      </c>
      <c r="O427" s="4">
        <v>0.24199999999999999</v>
      </c>
      <c r="P427" s="4">
        <v>0</v>
      </c>
      <c r="Q427" s="3" t="s">
        <v>26</v>
      </c>
      <c r="R427" s="3">
        <v>0</v>
      </c>
      <c r="S427" s="3" t="s">
        <v>274</v>
      </c>
      <c r="T427" s="3" t="s">
        <v>513</v>
      </c>
      <c r="U427" s="3">
        <v>0</v>
      </c>
      <c r="V427" s="3">
        <v>31</v>
      </c>
      <c r="W427" s="3">
        <v>71</v>
      </c>
    </row>
    <row r="428" spans="1:23" ht="11.25" customHeight="1" x14ac:dyDescent="0.3">
      <c r="A428" s="3" t="s">
        <v>21</v>
      </c>
      <c r="B428" s="3" t="s">
        <v>42</v>
      </c>
      <c r="C428" s="3" t="s">
        <v>33</v>
      </c>
      <c r="D428" s="3" t="s">
        <v>43</v>
      </c>
      <c r="E428" s="3" t="s">
        <v>25</v>
      </c>
      <c r="F428" s="3" t="s">
        <v>25</v>
      </c>
      <c r="G428" s="3" t="s">
        <v>25</v>
      </c>
      <c r="H428" s="3" t="s">
        <v>35</v>
      </c>
      <c r="I428" s="6">
        <v>44652</v>
      </c>
      <c r="J428" s="4">
        <v>0</v>
      </c>
      <c r="K428" s="4">
        <v>0</v>
      </c>
      <c r="L428" s="4">
        <v>0.2</v>
      </c>
      <c r="M428" s="4">
        <v>0.2</v>
      </c>
      <c r="N428" s="4">
        <v>0.2</v>
      </c>
      <c r="O428" s="4">
        <v>0.2</v>
      </c>
      <c r="P428" s="4">
        <v>0</v>
      </c>
      <c r="Q428" s="3" t="s">
        <v>26</v>
      </c>
      <c r="R428" s="3">
        <v>0</v>
      </c>
      <c r="S428" s="3" t="s">
        <v>275</v>
      </c>
      <c r="T428" s="3" t="s">
        <v>514</v>
      </c>
      <c r="U428" s="3">
        <v>0</v>
      </c>
      <c r="V428" s="3">
        <v>31</v>
      </c>
      <c r="W428" s="3">
        <v>71</v>
      </c>
    </row>
    <row r="429" spans="1:23" ht="11.25" customHeight="1" x14ac:dyDescent="0.3">
      <c r="A429" s="3" t="s">
        <v>21</v>
      </c>
      <c r="B429" s="3" t="s">
        <v>42</v>
      </c>
      <c r="C429" s="3" t="s">
        <v>33</v>
      </c>
      <c r="D429" s="3" t="s">
        <v>43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44682</v>
      </c>
      <c r="J429" s="4">
        <v>0</v>
      </c>
      <c r="K429" s="4">
        <v>0</v>
      </c>
      <c r="L429" s="4">
        <v>0.16</v>
      </c>
      <c r="M429" s="4">
        <v>0.16</v>
      </c>
      <c r="N429" s="4">
        <v>0.16</v>
      </c>
      <c r="O429" s="4">
        <v>0.16</v>
      </c>
      <c r="P429" s="4">
        <v>0</v>
      </c>
      <c r="Q429" s="3" t="s">
        <v>26</v>
      </c>
      <c r="R429" s="3">
        <v>0</v>
      </c>
      <c r="S429" s="3" t="s">
        <v>276</v>
      </c>
      <c r="T429" s="3" t="s">
        <v>515</v>
      </c>
      <c r="U429" s="3">
        <v>0</v>
      </c>
      <c r="V429" s="3">
        <v>31</v>
      </c>
      <c r="W429" s="3">
        <v>71</v>
      </c>
    </row>
    <row r="430" spans="1:23" ht="11.25" customHeight="1" x14ac:dyDescent="0.3">
      <c r="A430" s="3" t="s">
        <v>21</v>
      </c>
      <c r="B430" s="3" t="s">
        <v>42</v>
      </c>
      <c r="C430" s="3" t="s">
        <v>33</v>
      </c>
      <c r="D430" s="3" t="s">
        <v>43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44713</v>
      </c>
      <c r="J430" s="4">
        <v>0</v>
      </c>
      <c r="K430" s="4">
        <v>0</v>
      </c>
      <c r="L430" s="4">
        <v>0.16</v>
      </c>
      <c r="M430" s="4">
        <v>0.16</v>
      </c>
      <c r="N430" s="4">
        <v>0.16</v>
      </c>
      <c r="O430" s="4">
        <v>0.16</v>
      </c>
      <c r="P430" s="4">
        <v>0</v>
      </c>
      <c r="Q430" s="3" t="s">
        <v>26</v>
      </c>
      <c r="R430" s="3">
        <v>0</v>
      </c>
      <c r="S430" s="3" t="s">
        <v>277</v>
      </c>
      <c r="T430" s="3" t="s">
        <v>516</v>
      </c>
      <c r="U430" s="3">
        <v>0</v>
      </c>
      <c r="V430" s="3">
        <v>31</v>
      </c>
      <c r="W430" s="3">
        <v>71</v>
      </c>
    </row>
    <row r="431" spans="1:23" ht="11.25" customHeight="1" x14ac:dyDescent="0.3">
      <c r="A431" s="3" t="s">
        <v>21</v>
      </c>
      <c r="B431" s="3" t="s">
        <v>42</v>
      </c>
      <c r="C431" s="3" t="s">
        <v>33</v>
      </c>
      <c r="D431" s="3" t="s">
        <v>43</v>
      </c>
      <c r="E431" s="3" t="s">
        <v>25</v>
      </c>
      <c r="F431" s="3" t="s">
        <v>25</v>
      </c>
      <c r="G431" s="3" t="s">
        <v>25</v>
      </c>
      <c r="H431" s="3" t="s">
        <v>36</v>
      </c>
      <c r="I431" s="6">
        <v>44409</v>
      </c>
      <c r="J431" s="4">
        <v>0</v>
      </c>
      <c r="K431" s="4">
        <v>0</v>
      </c>
      <c r="L431" s="4">
        <v>1.7000000000000001E-2</v>
      </c>
      <c r="M431" s="4">
        <v>1.7000000000000001E-2</v>
      </c>
      <c r="N431" s="4">
        <v>1.7000000000000001E-2</v>
      </c>
      <c r="O431" s="4">
        <v>1.7000000000000001E-2</v>
      </c>
      <c r="P431" s="4">
        <v>0</v>
      </c>
      <c r="Q431" s="3" t="s">
        <v>26</v>
      </c>
      <c r="R431" s="3">
        <v>0</v>
      </c>
      <c r="S431" s="3" t="s">
        <v>278</v>
      </c>
      <c r="T431" s="3" t="s">
        <v>517</v>
      </c>
      <c r="U431" s="3">
        <v>0</v>
      </c>
      <c r="V431" s="3">
        <v>30</v>
      </c>
      <c r="W431" s="3">
        <v>70</v>
      </c>
    </row>
    <row r="432" spans="1:23" ht="11.25" customHeight="1" x14ac:dyDescent="0.3">
      <c r="A432" s="3" t="s">
        <v>21</v>
      </c>
      <c r="B432" s="3" t="s">
        <v>42</v>
      </c>
      <c r="C432" s="3" t="s">
        <v>33</v>
      </c>
      <c r="D432" s="3" t="s">
        <v>43</v>
      </c>
      <c r="E432" s="3" t="s">
        <v>25</v>
      </c>
      <c r="F432" s="3" t="s">
        <v>25</v>
      </c>
      <c r="G432" s="3" t="s">
        <v>25</v>
      </c>
      <c r="H432" s="3" t="s">
        <v>36</v>
      </c>
      <c r="I432" s="6">
        <v>44470</v>
      </c>
      <c r="J432" s="4">
        <v>0</v>
      </c>
      <c r="K432" s="4">
        <v>0</v>
      </c>
      <c r="L432" s="4">
        <v>1.4999999999999999E-2</v>
      </c>
      <c r="M432" s="4">
        <v>1.4999999999999999E-2</v>
      </c>
      <c r="N432" s="4">
        <v>1.4999999999999999E-2</v>
      </c>
      <c r="O432" s="4">
        <v>1.4999999999999999E-2</v>
      </c>
      <c r="P432" s="4">
        <v>0</v>
      </c>
      <c r="Q432" s="3" t="s">
        <v>26</v>
      </c>
      <c r="R432" s="3">
        <v>0</v>
      </c>
      <c r="S432" s="3" t="s">
        <v>279</v>
      </c>
      <c r="T432" s="3" t="s">
        <v>518</v>
      </c>
      <c r="U432" s="3">
        <v>0</v>
      </c>
      <c r="V432" s="3">
        <v>30</v>
      </c>
      <c r="W432" s="3">
        <v>70</v>
      </c>
    </row>
    <row r="433" spans="1:23" ht="11.25" customHeight="1" x14ac:dyDescent="0.3">
      <c r="A433" s="3" t="s">
        <v>21</v>
      </c>
      <c r="B433" s="3" t="s">
        <v>42</v>
      </c>
      <c r="C433" s="3" t="s">
        <v>33</v>
      </c>
      <c r="D433" s="3" t="s">
        <v>43</v>
      </c>
      <c r="E433" s="3" t="s">
        <v>25</v>
      </c>
      <c r="F433" s="3" t="s">
        <v>25</v>
      </c>
      <c r="G433" s="3" t="s">
        <v>25</v>
      </c>
      <c r="H433" s="3" t="s">
        <v>36</v>
      </c>
      <c r="I433" s="6">
        <v>44501</v>
      </c>
      <c r="J433" s="4">
        <v>0</v>
      </c>
      <c r="K433" s="4">
        <v>0</v>
      </c>
      <c r="L433" s="4">
        <v>2.5999999999999999E-2</v>
      </c>
      <c r="M433" s="4">
        <v>2.5999999999999999E-2</v>
      </c>
      <c r="N433" s="4">
        <v>2.5999999999999999E-2</v>
      </c>
      <c r="O433" s="4">
        <v>2.5999999999999999E-2</v>
      </c>
      <c r="P433" s="4">
        <v>0</v>
      </c>
      <c r="Q433" s="3" t="s">
        <v>26</v>
      </c>
      <c r="R433" s="3">
        <v>0</v>
      </c>
      <c r="S433" s="3" t="s">
        <v>280</v>
      </c>
      <c r="T433" s="3" t="s">
        <v>519</v>
      </c>
      <c r="U433" s="3">
        <v>0</v>
      </c>
      <c r="V433" s="3">
        <v>30</v>
      </c>
      <c r="W433" s="3">
        <v>70</v>
      </c>
    </row>
    <row r="434" spans="1:23" ht="11.25" customHeight="1" x14ac:dyDescent="0.3">
      <c r="A434" s="3" t="s">
        <v>21</v>
      </c>
      <c r="B434" s="3" t="s">
        <v>42</v>
      </c>
      <c r="C434" s="3" t="s">
        <v>33</v>
      </c>
      <c r="D434" s="3" t="s">
        <v>43</v>
      </c>
      <c r="E434" s="3" t="s">
        <v>25</v>
      </c>
      <c r="F434" s="3" t="s">
        <v>25</v>
      </c>
      <c r="G434" s="3" t="s">
        <v>25</v>
      </c>
      <c r="H434" s="3" t="s">
        <v>36</v>
      </c>
      <c r="I434" s="6">
        <v>44531</v>
      </c>
      <c r="J434" s="4">
        <v>0</v>
      </c>
      <c r="K434" s="4">
        <v>0</v>
      </c>
      <c r="L434" s="4">
        <v>3.3000000000000002E-2</v>
      </c>
      <c r="M434" s="4">
        <v>3.3000000000000002E-2</v>
      </c>
      <c r="N434" s="4">
        <v>3.3000000000000002E-2</v>
      </c>
      <c r="O434" s="4">
        <v>3.3000000000000002E-2</v>
      </c>
      <c r="P434" s="4">
        <v>0</v>
      </c>
      <c r="Q434" s="3" t="s">
        <v>26</v>
      </c>
      <c r="R434" s="3">
        <v>0</v>
      </c>
      <c r="S434" s="3" t="s">
        <v>281</v>
      </c>
      <c r="T434" s="3" t="s">
        <v>520</v>
      </c>
      <c r="U434" s="3">
        <v>0</v>
      </c>
      <c r="V434" s="3">
        <v>30</v>
      </c>
      <c r="W434" s="3">
        <v>70</v>
      </c>
    </row>
    <row r="435" spans="1:23" ht="11.25" customHeight="1" x14ac:dyDescent="0.3">
      <c r="A435" s="3" t="s">
        <v>21</v>
      </c>
      <c r="B435" s="3" t="s">
        <v>42</v>
      </c>
      <c r="C435" s="3" t="s">
        <v>33</v>
      </c>
      <c r="D435" s="3" t="s">
        <v>43</v>
      </c>
      <c r="E435" s="3" t="s">
        <v>25</v>
      </c>
      <c r="F435" s="3" t="s">
        <v>25</v>
      </c>
      <c r="G435" s="3" t="s">
        <v>25</v>
      </c>
      <c r="H435" s="3" t="s">
        <v>36</v>
      </c>
      <c r="I435" s="6">
        <v>44562</v>
      </c>
      <c r="J435" s="4">
        <v>0</v>
      </c>
      <c r="K435" s="4">
        <v>0</v>
      </c>
      <c r="L435" s="4">
        <v>2.4E-2</v>
      </c>
      <c r="M435" s="4">
        <v>2.4E-2</v>
      </c>
      <c r="N435" s="4">
        <v>2.4E-2</v>
      </c>
      <c r="O435" s="4">
        <v>2.4E-2</v>
      </c>
      <c r="P435" s="4">
        <v>0</v>
      </c>
      <c r="Q435" s="3" t="s">
        <v>26</v>
      </c>
      <c r="R435" s="3">
        <v>0</v>
      </c>
      <c r="S435" s="3" t="s">
        <v>282</v>
      </c>
      <c r="T435" s="3" t="s">
        <v>521</v>
      </c>
      <c r="U435" s="3">
        <v>0</v>
      </c>
      <c r="V435" s="3">
        <v>30</v>
      </c>
      <c r="W435" s="3">
        <v>70</v>
      </c>
    </row>
    <row r="436" spans="1:23" ht="11.25" customHeight="1" x14ac:dyDescent="0.3">
      <c r="A436" s="3" t="s">
        <v>21</v>
      </c>
      <c r="B436" s="3" t="s">
        <v>42</v>
      </c>
      <c r="C436" s="3" t="s">
        <v>33</v>
      </c>
      <c r="D436" s="3" t="s">
        <v>43</v>
      </c>
      <c r="E436" s="3" t="s">
        <v>25</v>
      </c>
      <c r="F436" s="3" t="s">
        <v>25</v>
      </c>
      <c r="G436" s="3" t="s">
        <v>25</v>
      </c>
      <c r="H436" s="3" t="s">
        <v>36</v>
      </c>
      <c r="I436" s="6">
        <v>44593</v>
      </c>
      <c r="J436" s="4">
        <v>0</v>
      </c>
      <c r="K436" s="4">
        <v>0</v>
      </c>
      <c r="L436" s="4">
        <v>2.1000000000000001E-2</v>
      </c>
      <c r="M436" s="4">
        <v>2.1000000000000001E-2</v>
      </c>
      <c r="N436" s="4">
        <v>2.1000000000000001E-2</v>
      </c>
      <c r="O436" s="4">
        <v>2.1000000000000001E-2</v>
      </c>
      <c r="P436" s="4">
        <v>0</v>
      </c>
      <c r="Q436" s="3" t="s">
        <v>26</v>
      </c>
      <c r="R436" s="3">
        <v>0</v>
      </c>
      <c r="S436" s="3" t="s">
        <v>283</v>
      </c>
      <c r="T436" s="3" t="s">
        <v>522</v>
      </c>
      <c r="U436" s="3">
        <v>0</v>
      </c>
      <c r="V436" s="3">
        <v>30</v>
      </c>
      <c r="W436" s="3">
        <v>70</v>
      </c>
    </row>
    <row r="437" spans="1:23" ht="11.25" customHeight="1" x14ac:dyDescent="0.3">
      <c r="A437" s="3" t="s">
        <v>21</v>
      </c>
      <c r="B437" s="3" t="s">
        <v>42</v>
      </c>
      <c r="C437" s="3" t="s">
        <v>33</v>
      </c>
      <c r="D437" s="3" t="s">
        <v>43</v>
      </c>
      <c r="E437" s="3" t="s">
        <v>25</v>
      </c>
      <c r="F437" s="3" t="s">
        <v>25</v>
      </c>
      <c r="G437" s="3" t="s">
        <v>25</v>
      </c>
      <c r="H437" s="3" t="s">
        <v>36</v>
      </c>
      <c r="I437" s="6">
        <v>44621</v>
      </c>
      <c r="J437" s="4">
        <v>0</v>
      </c>
      <c r="K437" s="4">
        <v>0</v>
      </c>
      <c r="L437" s="4">
        <v>1.6E-2</v>
      </c>
      <c r="M437" s="4">
        <v>1.6E-2</v>
      </c>
      <c r="N437" s="4">
        <v>1.6E-2</v>
      </c>
      <c r="O437" s="4">
        <v>1.6E-2</v>
      </c>
      <c r="P437" s="4">
        <v>0</v>
      </c>
      <c r="Q437" s="3" t="s">
        <v>26</v>
      </c>
      <c r="R437" s="3">
        <v>0</v>
      </c>
      <c r="S437" s="3" t="s">
        <v>284</v>
      </c>
      <c r="T437" s="3" t="s">
        <v>523</v>
      </c>
      <c r="U437" s="3">
        <v>0</v>
      </c>
      <c r="V437" s="3">
        <v>30</v>
      </c>
      <c r="W437" s="3">
        <v>70</v>
      </c>
    </row>
    <row r="438" spans="1:23" ht="11.25" customHeight="1" x14ac:dyDescent="0.3">
      <c r="A438" s="3" t="s">
        <v>21</v>
      </c>
      <c r="B438" s="3" t="s">
        <v>42</v>
      </c>
      <c r="C438" s="3" t="s">
        <v>33</v>
      </c>
      <c r="D438" s="3" t="s">
        <v>43</v>
      </c>
      <c r="E438" s="3" t="s">
        <v>25</v>
      </c>
      <c r="F438" s="3" t="s">
        <v>25</v>
      </c>
      <c r="G438" s="3" t="s">
        <v>25</v>
      </c>
      <c r="H438" s="3" t="s">
        <v>36</v>
      </c>
      <c r="I438" s="6">
        <v>44652</v>
      </c>
      <c r="J438" s="4">
        <v>0</v>
      </c>
      <c r="K438" s="4">
        <v>0</v>
      </c>
      <c r="L438" s="4">
        <v>1.7999999999999999E-2</v>
      </c>
      <c r="M438" s="4">
        <v>1.7999999999999999E-2</v>
      </c>
      <c r="N438" s="4">
        <v>1.7999999999999999E-2</v>
      </c>
      <c r="O438" s="4">
        <v>1.7999999999999999E-2</v>
      </c>
      <c r="P438" s="4">
        <v>0</v>
      </c>
      <c r="Q438" s="3" t="s">
        <v>26</v>
      </c>
      <c r="R438" s="3">
        <v>0</v>
      </c>
      <c r="S438" s="3" t="s">
        <v>285</v>
      </c>
      <c r="T438" s="3" t="s">
        <v>524</v>
      </c>
      <c r="U438" s="3">
        <v>0</v>
      </c>
      <c r="V438" s="3">
        <v>30</v>
      </c>
      <c r="W438" s="3">
        <v>70</v>
      </c>
    </row>
    <row r="439" spans="1:23" ht="11.25" customHeight="1" x14ac:dyDescent="0.3">
      <c r="A439" s="3" t="s">
        <v>21</v>
      </c>
      <c r="B439" s="3" t="s">
        <v>42</v>
      </c>
      <c r="C439" s="3" t="s">
        <v>33</v>
      </c>
      <c r="D439" s="3" t="s">
        <v>43</v>
      </c>
      <c r="E439" s="3" t="s">
        <v>25</v>
      </c>
      <c r="F439" s="3" t="s">
        <v>25</v>
      </c>
      <c r="G439" s="3" t="s">
        <v>25</v>
      </c>
      <c r="H439" s="3" t="s">
        <v>36</v>
      </c>
      <c r="I439" s="6">
        <v>44682</v>
      </c>
      <c r="J439" s="4">
        <v>0</v>
      </c>
      <c r="K439" s="4">
        <v>0</v>
      </c>
      <c r="L439" s="4">
        <v>2.1999999999999999E-2</v>
      </c>
      <c r="M439" s="4">
        <v>2.1999999999999999E-2</v>
      </c>
      <c r="N439" s="4">
        <v>2.1999999999999999E-2</v>
      </c>
      <c r="O439" s="4">
        <v>2.1999999999999999E-2</v>
      </c>
      <c r="P439" s="4">
        <v>0</v>
      </c>
      <c r="Q439" s="3" t="s">
        <v>26</v>
      </c>
      <c r="R439" s="3">
        <v>0</v>
      </c>
      <c r="S439" s="3" t="s">
        <v>286</v>
      </c>
      <c r="T439" s="3" t="s">
        <v>525</v>
      </c>
      <c r="U439" s="3">
        <v>0</v>
      </c>
      <c r="V439" s="3">
        <v>30</v>
      </c>
      <c r="W439" s="3">
        <v>70</v>
      </c>
    </row>
    <row r="440" spans="1:23" ht="11.25" customHeight="1" x14ac:dyDescent="0.3">
      <c r="A440" s="3" t="s">
        <v>21</v>
      </c>
      <c r="B440" s="3" t="s">
        <v>42</v>
      </c>
      <c r="C440" s="3" t="s">
        <v>33</v>
      </c>
      <c r="D440" s="3" t="s">
        <v>43</v>
      </c>
      <c r="E440" s="3" t="s">
        <v>25</v>
      </c>
      <c r="F440" s="3" t="s">
        <v>25</v>
      </c>
      <c r="G440" s="3" t="s">
        <v>25</v>
      </c>
      <c r="H440" s="3" t="s">
        <v>36</v>
      </c>
      <c r="I440" s="6">
        <v>44713</v>
      </c>
      <c r="J440" s="4">
        <v>0</v>
      </c>
      <c r="K440" s="4">
        <v>0</v>
      </c>
      <c r="L440" s="4">
        <v>2.1999999999999999E-2</v>
      </c>
      <c r="M440" s="4">
        <v>2.1999999999999999E-2</v>
      </c>
      <c r="N440" s="4">
        <v>2.1999999999999999E-2</v>
      </c>
      <c r="O440" s="4">
        <v>2.1999999999999999E-2</v>
      </c>
      <c r="P440" s="4">
        <v>0</v>
      </c>
      <c r="Q440" s="3" t="s">
        <v>26</v>
      </c>
      <c r="R440" s="3">
        <v>0</v>
      </c>
      <c r="S440" s="3" t="s">
        <v>287</v>
      </c>
      <c r="T440" s="3" t="s">
        <v>526</v>
      </c>
      <c r="U440" s="3">
        <v>0</v>
      </c>
      <c r="V440" s="3">
        <v>30</v>
      </c>
      <c r="W440" s="3">
        <v>70</v>
      </c>
    </row>
    <row r="441" spans="1:23" ht="11.25" customHeight="1" x14ac:dyDescent="0.3">
      <c r="A441" s="3" t="s">
        <v>21</v>
      </c>
      <c r="B441" s="3" t="s">
        <v>42</v>
      </c>
      <c r="C441" s="3" t="s">
        <v>33</v>
      </c>
      <c r="D441" s="3" t="s">
        <v>43</v>
      </c>
      <c r="E441" s="3" t="s">
        <v>25</v>
      </c>
      <c r="F441" s="3" t="s">
        <v>25</v>
      </c>
      <c r="G441" s="3" t="s">
        <v>25</v>
      </c>
      <c r="H441" s="3" t="s">
        <v>34</v>
      </c>
      <c r="I441" s="6">
        <v>44409</v>
      </c>
      <c r="J441" s="4">
        <v>0</v>
      </c>
      <c r="K441" s="4">
        <v>0</v>
      </c>
      <c r="L441" s="4">
        <v>3.2000000000000001E-2</v>
      </c>
      <c r="M441" s="4">
        <v>3.2000000000000001E-2</v>
      </c>
      <c r="N441" s="4">
        <v>3.2000000000000001E-2</v>
      </c>
      <c r="O441" s="4">
        <v>3.2000000000000001E-2</v>
      </c>
      <c r="P441" s="4">
        <v>0</v>
      </c>
      <c r="Q441" s="3" t="s">
        <v>26</v>
      </c>
      <c r="R441" s="3">
        <v>0</v>
      </c>
      <c r="S441" s="3" t="s">
        <v>288</v>
      </c>
      <c r="T441" s="3" t="s">
        <v>527</v>
      </c>
      <c r="U441" s="3">
        <v>0</v>
      </c>
      <c r="V441" s="3">
        <v>29</v>
      </c>
      <c r="W441" s="3">
        <v>69</v>
      </c>
    </row>
    <row r="442" spans="1:23" ht="11.25" customHeight="1" x14ac:dyDescent="0.3">
      <c r="A442" s="3" t="s">
        <v>21</v>
      </c>
      <c r="B442" s="3" t="s">
        <v>42</v>
      </c>
      <c r="C442" s="3" t="s">
        <v>33</v>
      </c>
      <c r="D442" s="3" t="s">
        <v>43</v>
      </c>
      <c r="E442" s="3" t="s">
        <v>25</v>
      </c>
      <c r="F442" s="3" t="s">
        <v>25</v>
      </c>
      <c r="G442" s="3" t="s">
        <v>25</v>
      </c>
      <c r="H442" s="3" t="s">
        <v>34</v>
      </c>
      <c r="I442" s="6">
        <v>44470</v>
      </c>
      <c r="J442" s="4">
        <v>0</v>
      </c>
      <c r="K442" s="4">
        <v>0</v>
      </c>
      <c r="L442" s="4">
        <v>2.9000000000000001E-2</v>
      </c>
      <c r="M442" s="4">
        <v>2.9000000000000001E-2</v>
      </c>
      <c r="N442" s="4">
        <v>2.9000000000000001E-2</v>
      </c>
      <c r="O442" s="4">
        <v>2.9000000000000001E-2</v>
      </c>
      <c r="P442" s="4">
        <v>0</v>
      </c>
      <c r="Q442" s="3" t="s">
        <v>26</v>
      </c>
      <c r="R442" s="3">
        <v>0</v>
      </c>
      <c r="S442" s="3" t="s">
        <v>289</v>
      </c>
      <c r="T442" s="3" t="s">
        <v>528</v>
      </c>
      <c r="U442" s="3">
        <v>0</v>
      </c>
      <c r="V442" s="3">
        <v>29</v>
      </c>
      <c r="W442" s="3">
        <v>69</v>
      </c>
    </row>
    <row r="443" spans="1:23" ht="11.25" customHeight="1" x14ac:dyDescent="0.3">
      <c r="A443" s="3" t="s">
        <v>21</v>
      </c>
      <c r="B443" s="3" t="s">
        <v>42</v>
      </c>
      <c r="C443" s="3" t="s">
        <v>33</v>
      </c>
      <c r="D443" s="3" t="s">
        <v>43</v>
      </c>
      <c r="E443" s="3" t="s">
        <v>25</v>
      </c>
      <c r="F443" s="3" t="s">
        <v>25</v>
      </c>
      <c r="G443" s="3" t="s">
        <v>25</v>
      </c>
      <c r="H443" s="3" t="s">
        <v>34</v>
      </c>
      <c r="I443" s="6">
        <v>44501</v>
      </c>
      <c r="J443" s="4">
        <v>0</v>
      </c>
      <c r="K443" s="4">
        <v>0</v>
      </c>
      <c r="L443" s="4">
        <v>3.4000000000000002E-2</v>
      </c>
      <c r="M443" s="4">
        <v>3.4000000000000002E-2</v>
      </c>
      <c r="N443" s="4">
        <v>3.4000000000000002E-2</v>
      </c>
      <c r="O443" s="4">
        <v>3.4000000000000002E-2</v>
      </c>
      <c r="P443" s="4">
        <v>0</v>
      </c>
      <c r="Q443" s="3" t="s">
        <v>26</v>
      </c>
      <c r="R443" s="3">
        <v>0</v>
      </c>
      <c r="S443" s="3" t="s">
        <v>290</v>
      </c>
      <c r="T443" s="3" t="s">
        <v>529</v>
      </c>
      <c r="U443" s="3">
        <v>0</v>
      </c>
      <c r="V443" s="3">
        <v>29</v>
      </c>
      <c r="W443" s="3">
        <v>69</v>
      </c>
    </row>
    <row r="444" spans="1:23" ht="11.25" customHeight="1" x14ac:dyDescent="0.3">
      <c r="A444" s="3" t="s">
        <v>21</v>
      </c>
      <c r="B444" s="3" t="s">
        <v>42</v>
      </c>
      <c r="C444" s="3" t="s">
        <v>33</v>
      </c>
      <c r="D444" s="3" t="s">
        <v>43</v>
      </c>
      <c r="E444" s="3" t="s">
        <v>25</v>
      </c>
      <c r="F444" s="3" t="s">
        <v>25</v>
      </c>
      <c r="G444" s="3" t="s">
        <v>25</v>
      </c>
      <c r="H444" s="3" t="s">
        <v>34</v>
      </c>
      <c r="I444" s="6">
        <v>44531</v>
      </c>
      <c r="J444" s="4">
        <v>0</v>
      </c>
      <c r="K444" s="4">
        <v>0</v>
      </c>
      <c r="L444" s="4">
        <v>0.05</v>
      </c>
      <c r="M444" s="4">
        <v>0.05</v>
      </c>
      <c r="N444" s="4">
        <v>0.05</v>
      </c>
      <c r="O444" s="4">
        <v>0.05</v>
      </c>
      <c r="P444" s="4">
        <v>0</v>
      </c>
      <c r="Q444" s="3" t="s">
        <v>26</v>
      </c>
      <c r="R444" s="3">
        <v>0</v>
      </c>
      <c r="S444" s="3" t="s">
        <v>291</v>
      </c>
      <c r="T444" s="3" t="s">
        <v>530</v>
      </c>
      <c r="U444" s="3">
        <v>0</v>
      </c>
      <c r="V444" s="3">
        <v>29</v>
      </c>
      <c r="W444" s="3">
        <v>69</v>
      </c>
    </row>
    <row r="445" spans="1:23" ht="11.25" customHeight="1" x14ac:dyDescent="0.3">
      <c r="A445" s="3" t="s">
        <v>21</v>
      </c>
      <c r="B445" s="3" t="s">
        <v>42</v>
      </c>
      <c r="C445" s="3" t="s">
        <v>33</v>
      </c>
      <c r="D445" s="3" t="s">
        <v>43</v>
      </c>
      <c r="E445" s="3" t="s">
        <v>25</v>
      </c>
      <c r="F445" s="3" t="s">
        <v>25</v>
      </c>
      <c r="G445" s="3" t="s">
        <v>25</v>
      </c>
      <c r="H445" s="3" t="s">
        <v>34</v>
      </c>
      <c r="I445" s="6">
        <v>44562</v>
      </c>
      <c r="J445" s="4">
        <v>0</v>
      </c>
      <c r="K445" s="4">
        <v>0</v>
      </c>
      <c r="L445" s="4">
        <v>3.5000000000000003E-2</v>
      </c>
      <c r="M445" s="4">
        <v>3.5000000000000003E-2</v>
      </c>
      <c r="N445" s="4">
        <v>3.5000000000000003E-2</v>
      </c>
      <c r="O445" s="4">
        <v>3.5000000000000003E-2</v>
      </c>
      <c r="P445" s="4">
        <v>0</v>
      </c>
      <c r="Q445" s="3" t="s">
        <v>26</v>
      </c>
      <c r="R445" s="3">
        <v>0</v>
      </c>
      <c r="S445" s="3" t="s">
        <v>292</v>
      </c>
      <c r="T445" s="3" t="s">
        <v>531</v>
      </c>
      <c r="U445" s="3">
        <v>0</v>
      </c>
      <c r="V445" s="3">
        <v>29</v>
      </c>
      <c r="W445" s="3">
        <v>69</v>
      </c>
    </row>
    <row r="446" spans="1:23" ht="11.25" customHeight="1" x14ac:dyDescent="0.3">
      <c r="A446" s="3" t="s">
        <v>21</v>
      </c>
      <c r="B446" s="3" t="s">
        <v>42</v>
      </c>
      <c r="C446" s="3" t="s">
        <v>33</v>
      </c>
      <c r="D446" s="3" t="s">
        <v>43</v>
      </c>
      <c r="E446" s="3" t="s">
        <v>25</v>
      </c>
      <c r="F446" s="3" t="s">
        <v>25</v>
      </c>
      <c r="G446" s="3" t="s">
        <v>25</v>
      </c>
      <c r="H446" s="3" t="s">
        <v>34</v>
      </c>
      <c r="I446" s="6">
        <v>44593</v>
      </c>
      <c r="J446" s="4">
        <v>0</v>
      </c>
      <c r="K446" s="4">
        <v>0</v>
      </c>
      <c r="L446" s="4">
        <v>3.5999999999999997E-2</v>
      </c>
      <c r="M446" s="4">
        <v>3.5999999999999997E-2</v>
      </c>
      <c r="N446" s="4">
        <v>3.5999999999999997E-2</v>
      </c>
      <c r="O446" s="4">
        <v>3.5999999999999997E-2</v>
      </c>
      <c r="P446" s="4">
        <v>0</v>
      </c>
      <c r="Q446" s="3" t="s">
        <v>26</v>
      </c>
      <c r="R446" s="3">
        <v>0</v>
      </c>
      <c r="S446" s="3" t="s">
        <v>293</v>
      </c>
      <c r="T446" s="3" t="s">
        <v>532</v>
      </c>
      <c r="U446" s="3">
        <v>0</v>
      </c>
      <c r="V446" s="3">
        <v>29</v>
      </c>
      <c r="W446" s="3">
        <v>69</v>
      </c>
    </row>
    <row r="447" spans="1:23" ht="11.25" customHeight="1" x14ac:dyDescent="0.3">
      <c r="A447" s="3" t="s">
        <v>21</v>
      </c>
      <c r="B447" s="3" t="s">
        <v>42</v>
      </c>
      <c r="C447" s="3" t="s">
        <v>33</v>
      </c>
      <c r="D447" s="3" t="s">
        <v>43</v>
      </c>
      <c r="E447" s="3" t="s">
        <v>25</v>
      </c>
      <c r="F447" s="3" t="s">
        <v>25</v>
      </c>
      <c r="G447" s="3" t="s">
        <v>25</v>
      </c>
      <c r="H447" s="3" t="s">
        <v>34</v>
      </c>
      <c r="I447" s="6">
        <v>44621</v>
      </c>
      <c r="J447" s="4">
        <v>0</v>
      </c>
      <c r="K447" s="4">
        <v>0</v>
      </c>
      <c r="L447" s="4">
        <v>0.03</v>
      </c>
      <c r="M447" s="4">
        <v>0.03</v>
      </c>
      <c r="N447" s="4">
        <v>0.03</v>
      </c>
      <c r="O447" s="4">
        <v>0.03</v>
      </c>
      <c r="P447" s="4">
        <v>0</v>
      </c>
      <c r="Q447" s="3" t="s">
        <v>26</v>
      </c>
      <c r="R447" s="3">
        <v>0</v>
      </c>
      <c r="S447" s="3" t="s">
        <v>294</v>
      </c>
      <c r="T447" s="3" t="s">
        <v>533</v>
      </c>
      <c r="U447" s="3">
        <v>0</v>
      </c>
      <c r="V447" s="3">
        <v>29</v>
      </c>
      <c r="W447" s="3">
        <v>69</v>
      </c>
    </row>
    <row r="448" spans="1:23" ht="11.25" customHeight="1" x14ac:dyDescent="0.3">
      <c r="A448" s="3" t="s">
        <v>21</v>
      </c>
      <c r="B448" s="3" t="s">
        <v>42</v>
      </c>
      <c r="C448" s="3" t="s">
        <v>33</v>
      </c>
      <c r="D448" s="3" t="s">
        <v>43</v>
      </c>
      <c r="E448" s="3" t="s">
        <v>25</v>
      </c>
      <c r="F448" s="3" t="s">
        <v>25</v>
      </c>
      <c r="G448" s="3" t="s">
        <v>25</v>
      </c>
      <c r="H448" s="3" t="s">
        <v>34</v>
      </c>
      <c r="I448" s="6">
        <v>44652</v>
      </c>
      <c r="J448" s="4">
        <v>0</v>
      </c>
      <c r="K448" s="4">
        <v>0</v>
      </c>
      <c r="L448" s="4">
        <v>3.1E-2</v>
      </c>
      <c r="M448" s="4">
        <v>3.1E-2</v>
      </c>
      <c r="N448" s="4">
        <v>3.1E-2</v>
      </c>
      <c r="O448" s="4">
        <v>3.1E-2</v>
      </c>
      <c r="P448" s="4">
        <v>0</v>
      </c>
      <c r="Q448" s="3" t="s">
        <v>26</v>
      </c>
      <c r="R448" s="3">
        <v>0</v>
      </c>
      <c r="S448" s="3" t="s">
        <v>295</v>
      </c>
      <c r="T448" s="3" t="s">
        <v>534</v>
      </c>
      <c r="U448" s="3">
        <v>0</v>
      </c>
      <c r="V448" s="3">
        <v>29</v>
      </c>
      <c r="W448" s="3">
        <v>69</v>
      </c>
    </row>
    <row r="449" spans="1:23" ht="11.25" customHeight="1" x14ac:dyDescent="0.3">
      <c r="A449" s="3" t="s">
        <v>21</v>
      </c>
      <c r="B449" s="3" t="s">
        <v>42</v>
      </c>
      <c r="C449" s="3" t="s">
        <v>33</v>
      </c>
      <c r="D449" s="3" t="s">
        <v>43</v>
      </c>
      <c r="E449" s="3" t="s">
        <v>25</v>
      </c>
      <c r="F449" s="3" t="s">
        <v>25</v>
      </c>
      <c r="G449" s="3" t="s">
        <v>25</v>
      </c>
      <c r="H449" s="3" t="s">
        <v>34</v>
      </c>
      <c r="I449" s="6">
        <v>44682</v>
      </c>
      <c r="J449" s="4">
        <v>0</v>
      </c>
      <c r="K449" s="4">
        <v>0</v>
      </c>
      <c r="L449" s="4">
        <v>4.2000000000000003E-2</v>
      </c>
      <c r="M449" s="4">
        <v>4.2000000000000003E-2</v>
      </c>
      <c r="N449" s="4">
        <v>4.2000000000000003E-2</v>
      </c>
      <c r="O449" s="4">
        <v>4.2000000000000003E-2</v>
      </c>
      <c r="P449" s="4">
        <v>0</v>
      </c>
      <c r="Q449" s="3" t="s">
        <v>26</v>
      </c>
      <c r="R449" s="3">
        <v>0</v>
      </c>
      <c r="S449" s="3" t="s">
        <v>296</v>
      </c>
      <c r="T449" s="3" t="s">
        <v>535</v>
      </c>
      <c r="U449" s="3">
        <v>0</v>
      </c>
      <c r="V449" s="3">
        <v>29</v>
      </c>
      <c r="W449" s="3">
        <v>69</v>
      </c>
    </row>
    <row r="450" spans="1:23" ht="11.25" customHeight="1" x14ac:dyDescent="0.3">
      <c r="A450" s="3" t="s">
        <v>21</v>
      </c>
      <c r="B450" s="3" t="s">
        <v>42</v>
      </c>
      <c r="C450" s="3" t="s">
        <v>33</v>
      </c>
      <c r="D450" s="3" t="s">
        <v>43</v>
      </c>
      <c r="E450" s="3" t="s">
        <v>25</v>
      </c>
      <c r="F450" s="3" t="s">
        <v>25</v>
      </c>
      <c r="G450" s="3" t="s">
        <v>25</v>
      </c>
      <c r="H450" s="3" t="s">
        <v>34</v>
      </c>
      <c r="I450" s="6">
        <v>44713</v>
      </c>
      <c r="J450" s="4">
        <v>0</v>
      </c>
      <c r="K450" s="4">
        <v>0</v>
      </c>
      <c r="L450" s="4">
        <v>4.2000000000000003E-2</v>
      </c>
      <c r="M450" s="4">
        <v>4.2000000000000003E-2</v>
      </c>
      <c r="N450" s="4">
        <v>4.2000000000000003E-2</v>
      </c>
      <c r="O450" s="4">
        <v>4.2000000000000003E-2</v>
      </c>
      <c r="P450" s="4">
        <v>0</v>
      </c>
      <c r="Q450" s="3" t="s">
        <v>26</v>
      </c>
      <c r="R450" s="3">
        <v>0</v>
      </c>
      <c r="S450" s="3" t="s">
        <v>297</v>
      </c>
      <c r="T450" s="3" t="s">
        <v>536</v>
      </c>
      <c r="U450" s="3">
        <v>0</v>
      </c>
      <c r="V450" s="3">
        <v>29</v>
      </c>
      <c r="W450" s="3">
        <v>69</v>
      </c>
    </row>
    <row r="451" spans="1:23" ht="11.25" customHeight="1" x14ac:dyDescent="0.3">
      <c r="A451" s="3" t="s">
        <v>21</v>
      </c>
      <c r="B451" s="3" t="s">
        <v>42</v>
      </c>
      <c r="C451" s="3" t="s">
        <v>23</v>
      </c>
      <c r="D451" s="3" t="s">
        <v>43</v>
      </c>
      <c r="E451" s="3" t="s">
        <v>51</v>
      </c>
      <c r="F451" s="3" t="s">
        <v>52</v>
      </c>
      <c r="G451" s="3" t="s">
        <v>25</v>
      </c>
      <c r="H451" s="3" t="s">
        <v>25</v>
      </c>
      <c r="I451" s="6">
        <v>44378</v>
      </c>
      <c r="J451" s="4">
        <v>0</v>
      </c>
      <c r="K451" s="4">
        <v>0</v>
      </c>
      <c r="L451" s="4">
        <v>4.2359999999999998</v>
      </c>
      <c r="M451" s="4">
        <v>4.2359999999999998</v>
      </c>
      <c r="N451" s="4">
        <v>4.2359999999999998</v>
      </c>
      <c r="O451" s="4">
        <v>4.2359999999999998</v>
      </c>
      <c r="P451" s="4">
        <v>0</v>
      </c>
      <c r="Q451" s="3" t="s">
        <v>26</v>
      </c>
      <c r="R451" s="3">
        <v>0</v>
      </c>
      <c r="S451" s="3" t="s">
        <v>298</v>
      </c>
      <c r="T451" s="3" t="s">
        <v>537</v>
      </c>
      <c r="U451" s="3">
        <v>0</v>
      </c>
      <c r="V451" s="3">
        <v>32</v>
      </c>
      <c r="W451" s="3">
        <v>72</v>
      </c>
    </row>
    <row r="452" spans="1:23" ht="11.25" customHeight="1" x14ac:dyDescent="0.3">
      <c r="A452" s="3" t="s">
        <v>21</v>
      </c>
      <c r="B452" s="3" t="s">
        <v>42</v>
      </c>
      <c r="C452" s="3" t="s">
        <v>23</v>
      </c>
      <c r="D452" s="3" t="s">
        <v>43</v>
      </c>
      <c r="E452" s="3" t="s">
        <v>51</v>
      </c>
      <c r="F452" s="3" t="s">
        <v>52</v>
      </c>
      <c r="G452" s="3" t="s">
        <v>25</v>
      </c>
      <c r="H452" s="3" t="s">
        <v>25</v>
      </c>
      <c r="I452" s="6">
        <v>44409</v>
      </c>
      <c r="J452" s="4">
        <v>0</v>
      </c>
      <c r="K452" s="4">
        <v>0</v>
      </c>
      <c r="L452" s="4">
        <v>5.0670000000000002</v>
      </c>
      <c r="M452" s="4">
        <v>5.0670000000000002</v>
      </c>
      <c r="N452" s="4">
        <v>5.0670000000000002</v>
      </c>
      <c r="O452" s="4">
        <v>5.0670000000000002</v>
      </c>
      <c r="P452" s="4">
        <v>0</v>
      </c>
      <c r="Q452" s="3" t="s">
        <v>26</v>
      </c>
      <c r="R452" s="3">
        <v>0</v>
      </c>
      <c r="S452" s="3" t="s">
        <v>299</v>
      </c>
      <c r="T452" s="3" t="s">
        <v>538</v>
      </c>
      <c r="U452" s="3">
        <v>0</v>
      </c>
      <c r="V452" s="3">
        <v>32</v>
      </c>
      <c r="W452" s="3">
        <v>72</v>
      </c>
    </row>
    <row r="453" spans="1:23" ht="11.25" customHeight="1" x14ac:dyDescent="0.3">
      <c r="A453" s="3" t="s">
        <v>21</v>
      </c>
      <c r="B453" s="3" t="s">
        <v>42</v>
      </c>
      <c r="C453" s="3" t="s">
        <v>23</v>
      </c>
      <c r="D453" s="3" t="s">
        <v>43</v>
      </c>
      <c r="E453" s="3" t="s">
        <v>51</v>
      </c>
      <c r="F453" s="3" t="s">
        <v>52</v>
      </c>
      <c r="G453" s="3" t="s">
        <v>25</v>
      </c>
      <c r="H453" s="3" t="s">
        <v>25</v>
      </c>
      <c r="I453" s="6">
        <v>44440</v>
      </c>
      <c r="J453" s="4">
        <v>0</v>
      </c>
      <c r="K453" s="4">
        <v>0</v>
      </c>
      <c r="L453" s="4">
        <v>2.8380000000000001</v>
      </c>
      <c r="M453" s="4">
        <v>2.8380000000000001</v>
      </c>
      <c r="N453" s="4">
        <v>2.8380000000000001</v>
      </c>
      <c r="O453" s="4">
        <v>2.8380000000000001</v>
      </c>
      <c r="P453" s="4">
        <v>0</v>
      </c>
      <c r="Q453" s="3" t="s">
        <v>26</v>
      </c>
      <c r="R453" s="3">
        <v>0</v>
      </c>
      <c r="S453" s="3" t="s">
        <v>300</v>
      </c>
      <c r="T453" s="3" t="s">
        <v>539</v>
      </c>
      <c r="U453" s="3">
        <v>0</v>
      </c>
      <c r="V453" s="3">
        <v>32</v>
      </c>
      <c r="W453" s="3">
        <v>72</v>
      </c>
    </row>
    <row r="454" spans="1:23" ht="11.25" customHeight="1" x14ac:dyDescent="0.3">
      <c r="A454" s="3" t="s">
        <v>21</v>
      </c>
      <c r="B454" s="3" t="s">
        <v>42</v>
      </c>
      <c r="C454" s="3" t="s">
        <v>23</v>
      </c>
      <c r="D454" s="3" t="s">
        <v>43</v>
      </c>
      <c r="E454" s="3" t="s">
        <v>51</v>
      </c>
      <c r="F454" s="3" t="s">
        <v>52</v>
      </c>
      <c r="G454" s="3" t="s">
        <v>25</v>
      </c>
      <c r="H454" s="3" t="s">
        <v>25</v>
      </c>
      <c r="I454" s="6">
        <v>44470</v>
      </c>
      <c r="J454" s="4">
        <v>0</v>
      </c>
      <c r="K454" s="4">
        <v>0</v>
      </c>
      <c r="L454" s="4">
        <v>5.6070000000000002</v>
      </c>
      <c r="M454" s="4">
        <v>5.6070000000000002</v>
      </c>
      <c r="N454" s="4">
        <v>5.6070000000000002</v>
      </c>
      <c r="O454" s="4">
        <v>5.6070000000000002</v>
      </c>
      <c r="P454" s="4">
        <v>0</v>
      </c>
      <c r="Q454" s="3" t="s">
        <v>26</v>
      </c>
      <c r="R454" s="3">
        <v>0</v>
      </c>
      <c r="S454" s="3" t="s">
        <v>301</v>
      </c>
      <c r="T454" s="3" t="s">
        <v>540</v>
      </c>
      <c r="U454" s="3">
        <v>0</v>
      </c>
      <c r="V454" s="3">
        <v>32</v>
      </c>
      <c r="W454" s="3">
        <v>72</v>
      </c>
    </row>
    <row r="455" spans="1:23" ht="11.25" customHeight="1" x14ac:dyDescent="0.3">
      <c r="A455" s="3" t="s">
        <v>21</v>
      </c>
      <c r="B455" s="3" t="s">
        <v>42</v>
      </c>
      <c r="C455" s="3" t="s">
        <v>23</v>
      </c>
      <c r="D455" s="3" t="s">
        <v>43</v>
      </c>
      <c r="E455" s="3" t="s">
        <v>51</v>
      </c>
      <c r="F455" s="3" t="s">
        <v>52</v>
      </c>
      <c r="G455" s="3" t="s">
        <v>25</v>
      </c>
      <c r="H455" s="3" t="s">
        <v>25</v>
      </c>
      <c r="I455" s="6">
        <v>44501</v>
      </c>
      <c r="J455" s="4">
        <v>0</v>
      </c>
      <c r="K455" s="4">
        <v>0</v>
      </c>
      <c r="L455" s="4">
        <v>29.422000000000001</v>
      </c>
      <c r="M455" s="4">
        <v>29.422000000000001</v>
      </c>
      <c r="N455" s="4">
        <v>29.422000000000001</v>
      </c>
      <c r="O455" s="4">
        <v>29.422000000000001</v>
      </c>
      <c r="P455" s="4">
        <v>0</v>
      </c>
      <c r="Q455" s="3" t="s">
        <v>26</v>
      </c>
      <c r="R455" s="3">
        <v>0</v>
      </c>
      <c r="S455" s="3" t="s">
        <v>302</v>
      </c>
      <c r="T455" s="3" t="s">
        <v>541</v>
      </c>
      <c r="U455" s="3">
        <v>0</v>
      </c>
      <c r="V455" s="3">
        <v>32</v>
      </c>
      <c r="W455" s="3">
        <v>72</v>
      </c>
    </row>
    <row r="456" spans="1:23" ht="11.25" customHeight="1" x14ac:dyDescent="0.3">
      <c r="A456" s="3" t="s">
        <v>21</v>
      </c>
      <c r="B456" s="3" t="s">
        <v>42</v>
      </c>
      <c r="C456" s="3" t="s">
        <v>23</v>
      </c>
      <c r="D456" s="3" t="s">
        <v>43</v>
      </c>
      <c r="E456" s="3" t="s">
        <v>51</v>
      </c>
      <c r="F456" s="3" t="s">
        <v>52</v>
      </c>
      <c r="G456" s="3" t="s">
        <v>25</v>
      </c>
      <c r="H456" s="3" t="s">
        <v>25</v>
      </c>
      <c r="I456" s="6">
        <v>44531</v>
      </c>
      <c r="J456" s="4">
        <v>0</v>
      </c>
      <c r="K456" s="4">
        <v>0</v>
      </c>
      <c r="L456" s="4">
        <v>40.567999999999998</v>
      </c>
      <c r="M456" s="4">
        <v>40.567999999999998</v>
      </c>
      <c r="N456" s="4">
        <v>40.567999999999998</v>
      </c>
      <c r="O456" s="4">
        <v>40.567999999999998</v>
      </c>
      <c r="P456" s="4">
        <v>0</v>
      </c>
      <c r="Q456" s="3" t="s">
        <v>26</v>
      </c>
      <c r="R456" s="3">
        <v>0</v>
      </c>
      <c r="S456" s="3" t="s">
        <v>303</v>
      </c>
      <c r="T456" s="3" t="s">
        <v>542</v>
      </c>
      <c r="U456" s="3">
        <v>0</v>
      </c>
      <c r="V456" s="3">
        <v>32</v>
      </c>
      <c r="W456" s="3">
        <v>72</v>
      </c>
    </row>
    <row r="457" spans="1:23" ht="11.25" customHeight="1" x14ac:dyDescent="0.3">
      <c r="A457" s="3" t="s">
        <v>21</v>
      </c>
      <c r="B457" s="3" t="s">
        <v>42</v>
      </c>
      <c r="C457" s="3" t="s">
        <v>23</v>
      </c>
      <c r="D457" s="3" t="s">
        <v>43</v>
      </c>
      <c r="E457" s="3" t="s">
        <v>51</v>
      </c>
      <c r="F457" s="3" t="s">
        <v>52</v>
      </c>
      <c r="G457" s="3" t="s">
        <v>25</v>
      </c>
      <c r="H457" s="3" t="s">
        <v>25</v>
      </c>
      <c r="I457" s="6">
        <v>44562</v>
      </c>
      <c r="J457" s="4">
        <v>0</v>
      </c>
      <c r="K457" s="4">
        <v>0</v>
      </c>
      <c r="L457" s="4">
        <v>38.094000000000001</v>
      </c>
      <c r="M457" s="4">
        <v>38.094000000000001</v>
      </c>
      <c r="N457" s="4">
        <v>38.094000000000001</v>
      </c>
      <c r="O457" s="4">
        <v>38.094000000000001</v>
      </c>
      <c r="P457" s="4">
        <v>0</v>
      </c>
      <c r="Q457" s="3" t="s">
        <v>26</v>
      </c>
      <c r="R457" s="3">
        <v>0</v>
      </c>
      <c r="S457" s="3" t="s">
        <v>304</v>
      </c>
      <c r="T457" s="3" t="s">
        <v>543</v>
      </c>
      <c r="U457" s="3">
        <v>0</v>
      </c>
      <c r="V457" s="3">
        <v>32</v>
      </c>
      <c r="W457" s="3">
        <v>72</v>
      </c>
    </row>
    <row r="458" spans="1:23" ht="11.25" customHeight="1" x14ac:dyDescent="0.3">
      <c r="A458" s="3" t="s">
        <v>21</v>
      </c>
      <c r="B458" s="3" t="s">
        <v>42</v>
      </c>
      <c r="C458" s="3" t="s">
        <v>23</v>
      </c>
      <c r="D458" s="3" t="s">
        <v>43</v>
      </c>
      <c r="E458" s="3" t="s">
        <v>51</v>
      </c>
      <c r="F458" s="3" t="s">
        <v>52</v>
      </c>
      <c r="G458" s="3" t="s">
        <v>25</v>
      </c>
      <c r="H458" s="3" t="s">
        <v>25</v>
      </c>
      <c r="I458" s="6">
        <v>44593</v>
      </c>
      <c r="J458" s="4">
        <v>0</v>
      </c>
      <c r="K458" s="4">
        <v>0</v>
      </c>
      <c r="L458" s="4">
        <v>27.29</v>
      </c>
      <c r="M458" s="4">
        <v>27.29</v>
      </c>
      <c r="N458" s="4">
        <v>27.29</v>
      </c>
      <c r="O458" s="4">
        <v>27.29</v>
      </c>
      <c r="P458" s="4">
        <v>0</v>
      </c>
      <c r="Q458" s="3" t="s">
        <v>26</v>
      </c>
      <c r="R458" s="3">
        <v>0</v>
      </c>
      <c r="S458" s="3" t="s">
        <v>305</v>
      </c>
      <c r="T458" s="3" t="s">
        <v>544</v>
      </c>
      <c r="U458" s="3">
        <v>0</v>
      </c>
      <c r="V458" s="3">
        <v>32</v>
      </c>
      <c r="W458" s="3">
        <v>72</v>
      </c>
    </row>
    <row r="459" spans="1:23" ht="11.25" customHeight="1" x14ac:dyDescent="0.3">
      <c r="A459" s="3" t="s">
        <v>21</v>
      </c>
      <c r="B459" s="3" t="s">
        <v>42</v>
      </c>
      <c r="C459" s="3" t="s">
        <v>23</v>
      </c>
      <c r="D459" s="3" t="s">
        <v>43</v>
      </c>
      <c r="E459" s="3" t="s">
        <v>51</v>
      </c>
      <c r="F459" s="3" t="s">
        <v>52</v>
      </c>
      <c r="G459" s="3" t="s">
        <v>25</v>
      </c>
      <c r="H459" s="3" t="s">
        <v>25</v>
      </c>
      <c r="I459" s="6">
        <v>44621</v>
      </c>
      <c r="J459" s="4">
        <v>0</v>
      </c>
      <c r="K459" s="4">
        <v>0</v>
      </c>
      <c r="L459" s="4">
        <v>3.7909999999999999</v>
      </c>
      <c r="M459" s="4">
        <v>3.7909999999999999</v>
      </c>
      <c r="N459" s="4">
        <v>3.7909999999999999</v>
      </c>
      <c r="O459" s="4">
        <v>3.7909999999999999</v>
      </c>
      <c r="P459" s="4">
        <v>0</v>
      </c>
      <c r="Q459" s="3" t="s">
        <v>26</v>
      </c>
      <c r="R459" s="3">
        <v>0</v>
      </c>
      <c r="S459" s="3" t="s">
        <v>306</v>
      </c>
      <c r="T459" s="3" t="s">
        <v>545</v>
      </c>
      <c r="U459" s="3">
        <v>0</v>
      </c>
      <c r="V459" s="3">
        <v>32</v>
      </c>
      <c r="W459" s="3">
        <v>72</v>
      </c>
    </row>
    <row r="460" spans="1:23" ht="11.25" customHeight="1" x14ac:dyDescent="0.3">
      <c r="A460" s="3" t="s">
        <v>21</v>
      </c>
      <c r="B460" s="3" t="s">
        <v>42</v>
      </c>
      <c r="C460" s="3" t="s">
        <v>23</v>
      </c>
      <c r="D460" s="3" t="s">
        <v>43</v>
      </c>
      <c r="E460" s="3" t="s">
        <v>51</v>
      </c>
      <c r="F460" s="3" t="s">
        <v>52</v>
      </c>
      <c r="G460" s="3" t="s">
        <v>25</v>
      </c>
      <c r="H460" s="3" t="s">
        <v>25</v>
      </c>
      <c r="I460" s="6">
        <v>44652</v>
      </c>
      <c r="J460" s="4">
        <v>0</v>
      </c>
      <c r="K460" s="4">
        <v>0</v>
      </c>
      <c r="L460" s="4">
        <v>1.879</v>
      </c>
      <c r="M460" s="4">
        <v>1.879</v>
      </c>
      <c r="N460" s="4">
        <v>1.879</v>
      </c>
      <c r="O460" s="4">
        <v>1.879</v>
      </c>
      <c r="P460" s="4">
        <v>0</v>
      </c>
      <c r="Q460" s="3" t="s">
        <v>26</v>
      </c>
      <c r="R460" s="3">
        <v>0</v>
      </c>
      <c r="S460" s="3" t="s">
        <v>307</v>
      </c>
      <c r="T460" s="3" t="s">
        <v>546</v>
      </c>
      <c r="U460" s="3">
        <v>0</v>
      </c>
      <c r="V460" s="3">
        <v>32</v>
      </c>
      <c r="W460" s="3">
        <v>72</v>
      </c>
    </row>
    <row r="461" spans="1:23" ht="11.25" customHeight="1" x14ac:dyDescent="0.3">
      <c r="A461" s="3" t="s">
        <v>21</v>
      </c>
      <c r="B461" s="3" t="s">
        <v>42</v>
      </c>
      <c r="C461" s="3" t="s">
        <v>23</v>
      </c>
      <c r="D461" s="3" t="s">
        <v>43</v>
      </c>
      <c r="E461" s="3" t="s">
        <v>51</v>
      </c>
      <c r="F461" s="3" t="s">
        <v>52</v>
      </c>
      <c r="G461" s="3" t="s">
        <v>25</v>
      </c>
      <c r="H461" s="3" t="s">
        <v>25</v>
      </c>
      <c r="I461" s="6">
        <v>44682</v>
      </c>
      <c r="J461" s="4">
        <v>0</v>
      </c>
      <c r="K461" s="4">
        <v>0</v>
      </c>
      <c r="L461" s="4">
        <v>1.1619999999999999</v>
      </c>
      <c r="M461" s="4">
        <v>1.1619999999999999</v>
      </c>
      <c r="N461" s="4">
        <v>1.1619999999999999</v>
      </c>
      <c r="O461" s="4">
        <v>1.1619999999999999</v>
      </c>
      <c r="P461" s="4">
        <v>0</v>
      </c>
      <c r="Q461" s="3" t="s">
        <v>26</v>
      </c>
      <c r="R461" s="3">
        <v>0</v>
      </c>
      <c r="S461" s="3" t="s">
        <v>308</v>
      </c>
      <c r="T461" s="3" t="s">
        <v>547</v>
      </c>
      <c r="U461" s="3">
        <v>0</v>
      </c>
      <c r="V461" s="3">
        <v>32</v>
      </c>
      <c r="W461" s="3">
        <v>72</v>
      </c>
    </row>
    <row r="462" spans="1:23" ht="11.25" customHeight="1" x14ac:dyDescent="0.3">
      <c r="A462" s="3" t="s">
        <v>21</v>
      </c>
      <c r="B462" s="3" t="s">
        <v>42</v>
      </c>
      <c r="C462" s="3" t="s">
        <v>23</v>
      </c>
      <c r="D462" s="3" t="s">
        <v>43</v>
      </c>
      <c r="E462" s="3" t="s">
        <v>51</v>
      </c>
      <c r="F462" s="3" t="s">
        <v>52</v>
      </c>
      <c r="G462" s="3" t="s">
        <v>25</v>
      </c>
      <c r="H462" s="3" t="s">
        <v>25</v>
      </c>
      <c r="I462" s="6">
        <v>44713</v>
      </c>
      <c r="J462" s="4">
        <v>0</v>
      </c>
      <c r="K462" s="4">
        <v>0</v>
      </c>
      <c r="L462" s="4">
        <v>0.8</v>
      </c>
      <c r="M462" s="4">
        <v>0.8</v>
      </c>
      <c r="N462" s="4">
        <v>0.8</v>
      </c>
      <c r="O462" s="4">
        <v>0.8</v>
      </c>
      <c r="P462" s="4">
        <v>0</v>
      </c>
      <c r="Q462" s="3" t="s">
        <v>26</v>
      </c>
      <c r="R462" s="3">
        <v>0</v>
      </c>
      <c r="S462" s="3" t="s">
        <v>309</v>
      </c>
      <c r="T462" s="3" t="s">
        <v>548</v>
      </c>
      <c r="U462" s="3">
        <v>0</v>
      </c>
      <c r="V462" s="3">
        <v>32</v>
      </c>
      <c r="W462" s="3">
        <v>72</v>
      </c>
    </row>
    <row r="463" spans="1:23" ht="11.25" customHeight="1" x14ac:dyDescent="0.3">
      <c r="A463" s="3" t="s">
        <v>21</v>
      </c>
      <c r="B463" s="3" t="s">
        <v>42</v>
      </c>
      <c r="C463" s="3" t="s">
        <v>23</v>
      </c>
      <c r="D463" s="3" t="s">
        <v>43</v>
      </c>
      <c r="E463" s="3" t="s">
        <v>51</v>
      </c>
      <c r="F463" s="3" t="s">
        <v>53</v>
      </c>
      <c r="G463" s="3" t="s">
        <v>25</v>
      </c>
      <c r="H463" s="3" t="s">
        <v>25</v>
      </c>
      <c r="I463" s="6">
        <v>44378</v>
      </c>
      <c r="J463" s="4">
        <v>0</v>
      </c>
      <c r="K463" s="4">
        <v>0</v>
      </c>
      <c r="L463" s="4">
        <v>0.82299999999999995</v>
      </c>
      <c r="M463" s="4">
        <v>0.32919999999999999</v>
      </c>
      <c r="N463" s="4">
        <v>0.82299999999999995</v>
      </c>
      <c r="O463" s="4">
        <v>0.32919999999999999</v>
      </c>
      <c r="P463" s="4">
        <v>0</v>
      </c>
      <c r="Q463" s="3" t="s">
        <v>26</v>
      </c>
      <c r="R463" s="3">
        <v>0</v>
      </c>
      <c r="S463" s="3" t="s">
        <v>298</v>
      </c>
      <c r="T463" s="3" t="s">
        <v>537</v>
      </c>
      <c r="U463" s="3">
        <v>0</v>
      </c>
      <c r="V463" s="3">
        <v>32</v>
      </c>
      <c r="W463" s="3">
        <v>72</v>
      </c>
    </row>
    <row r="464" spans="1:23" ht="11.25" customHeight="1" x14ac:dyDescent="0.3">
      <c r="A464" s="3" t="s">
        <v>21</v>
      </c>
      <c r="B464" s="3" t="s">
        <v>42</v>
      </c>
      <c r="C464" s="3" t="s">
        <v>23</v>
      </c>
      <c r="D464" s="3" t="s">
        <v>43</v>
      </c>
      <c r="E464" s="3" t="s">
        <v>51</v>
      </c>
      <c r="F464" s="3" t="s">
        <v>53</v>
      </c>
      <c r="G464" s="3" t="s">
        <v>25</v>
      </c>
      <c r="H464" s="3" t="s">
        <v>25</v>
      </c>
      <c r="I464" s="6">
        <v>44409</v>
      </c>
      <c r="J464" s="4">
        <v>0</v>
      </c>
      <c r="K464" s="4">
        <v>0</v>
      </c>
      <c r="L464" s="4">
        <v>1.702</v>
      </c>
      <c r="M464" s="4">
        <v>0.68079999999999996</v>
      </c>
      <c r="N464" s="4">
        <v>1.702</v>
      </c>
      <c r="O464" s="4">
        <v>0.68079999999999996</v>
      </c>
      <c r="P464" s="4">
        <v>0</v>
      </c>
      <c r="Q464" s="3" t="s">
        <v>26</v>
      </c>
      <c r="R464" s="3">
        <v>0</v>
      </c>
      <c r="S464" s="3" t="s">
        <v>299</v>
      </c>
      <c r="T464" s="3" t="s">
        <v>538</v>
      </c>
      <c r="U464" s="3">
        <v>0</v>
      </c>
      <c r="V464" s="3">
        <v>32</v>
      </c>
      <c r="W464" s="3">
        <v>72</v>
      </c>
    </row>
    <row r="465" spans="1:23" ht="11.25" customHeight="1" x14ac:dyDescent="0.3">
      <c r="A465" s="3" t="s">
        <v>21</v>
      </c>
      <c r="B465" s="3" t="s">
        <v>42</v>
      </c>
      <c r="C465" s="3" t="s">
        <v>23</v>
      </c>
      <c r="D465" s="3" t="s">
        <v>43</v>
      </c>
      <c r="E465" s="3" t="s">
        <v>51</v>
      </c>
      <c r="F465" s="3" t="s">
        <v>53</v>
      </c>
      <c r="G465" s="3" t="s">
        <v>25</v>
      </c>
      <c r="H465" s="3" t="s">
        <v>25</v>
      </c>
      <c r="I465" s="6">
        <v>44440</v>
      </c>
      <c r="J465" s="4">
        <v>0</v>
      </c>
      <c r="K465" s="4">
        <v>0</v>
      </c>
      <c r="L465" s="4">
        <v>1.234</v>
      </c>
      <c r="M465" s="4">
        <v>0.49359999999999998</v>
      </c>
      <c r="N465" s="4">
        <v>1.234</v>
      </c>
      <c r="O465" s="4">
        <v>0.49359999999999998</v>
      </c>
      <c r="P465" s="4">
        <v>0</v>
      </c>
      <c r="Q465" s="3" t="s">
        <v>26</v>
      </c>
      <c r="R465" s="3">
        <v>0</v>
      </c>
      <c r="S465" s="3" t="s">
        <v>300</v>
      </c>
      <c r="T465" s="3" t="s">
        <v>539</v>
      </c>
      <c r="U465" s="3">
        <v>0</v>
      </c>
      <c r="V465" s="3">
        <v>32</v>
      </c>
      <c r="W465" s="3">
        <v>72</v>
      </c>
    </row>
    <row r="466" spans="1:23" ht="11.25" customHeight="1" x14ac:dyDescent="0.3">
      <c r="A466" s="3" t="s">
        <v>21</v>
      </c>
      <c r="B466" s="3" t="s">
        <v>42</v>
      </c>
      <c r="C466" s="3" t="s">
        <v>23</v>
      </c>
      <c r="D466" s="3" t="s">
        <v>43</v>
      </c>
      <c r="E466" s="3" t="s">
        <v>51</v>
      </c>
      <c r="F466" s="3" t="s">
        <v>53</v>
      </c>
      <c r="G466" s="3" t="s">
        <v>25</v>
      </c>
      <c r="H466" s="3" t="s">
        <v>25</v>
      </c>
      <c r="I466" s="6">
        <v>44470</v>
      </c>
      <c r="J466" s="4">
        <v>0</v>
      </c>
      <c r="K466" s="4">
        <v>0</v>
      </c>
      <c r="L466" s="4">
        <v>2.4849999999999999</v>
      </c>
      <c r="M466" s="4">
        <v>0.99399999999999999</v>
      </c>
      <c r="N466" s="4">
        <v>2.4849999999999999</v>
      </c>
      <c r="O466" s="4">
        <v>0.99399999999999999</v>
      </c>
      <c r="P466" s="4">
        <v>0</v>
      </c>
      <c r="Q466" s="3" t="s">
        <v>26</v>
      </c>
      <c r="R466" s="3">
        <v>0</v>
      </c>
      <c r="S466" s="3" t="s">
        <v>301</v>
      </c>
      <c r="T466" s="3" t="s">
        <v>540</v>
      </c>
      <c r="U466" s="3">
        <v>0</v>
      </c>
      <c r="V466" s="3">
        <v>32</v>
      </c>
      <c r="W466" s="3">
        <v>72</v>
      </c>
    </row>
    <row r="467" spans="1:23" ht="11.25" customHeight="1" x14ac:dyDescent="0.3">
      <c r="A467" s="3" t="s">
        <v>21</v>
      </c>
      <c r="B467" s="3" t="s">
        <v>42</v>
      </c>
      <c r="C467" s="3" t="s">
        <v>23</v>
      </c>
      <c r="D467" s="3" t="s">
        <v>43</v>
      </c>
      <c r="E467" s="3" t="s">
        <v>51</v>
      </c>
      <c r="F467" s="3" t="s">
        <v>53</v>
      </c>
      <c r="G467" s="3" t="s">
        <v>25</v>
      </c>
      <c r="H467" s="3" t="s">
        <v>25</v>
      </c>
      <c r="I467" s="6">
        <v>44501</v>
      </c>
      <c r="J467" s="4">
        <v>0</v>
      </c>
      <c r="K467" s="4">
        <v>0</v>
      </c>
      <c r="L467" s="4">
        <v>12.452</v>
      </c>
      <c r="M467" s="4">
        <v>4.9808000000000003</v>
      </c>
      <c r="N467" s="4">
        <v>12.452</v>
      </c>
      <c r="O467" s="4">
        <v>4.9808000000000003</v>
      </c>
      <c r="P467" s="4">
        <v>0</v>
      </c>
      <c r="Q467" s="3" t="s">
        <v>26</v>
      </c>
      <c r="R467" s="3">
        <v>0</v>
      </c>
      <c r="S467" s="3" t="s">
        <v>302</v>
      </c>
      <c r="T467" s="3" t="s">
        <v>541</v>
      </c>
      <c r="U467" s="3">
        <v>0</v>
      </c>
      <c r="V467" s="3">
        <v>32</v>
      </c>
      <c r="W467" s="3">
        <v>72</v>
      </c>
    </row>
    <row r="468" spans="1:23" ht="11.25" customHeight="1" x14ac:dyDescent="0.3">
      <c r="A468" s="3" t="s">
        <v>21</v>
      </c>
      <c r="B468" s="3" t="s">
        <v>42</v>
      </c>
      <c r="C468" s="3" t="s">
        <v>23</v>
      </c>
      <c r="D468" s="3" t="s">
        <v>43</v>
      </c>
      <c r="E468" s="3" t="s">
        <v>51</v>
      </c>
      <c r="F468" s="3" t="s">
        <v>53</v>
      </c>
      <c r="G468" s="3" t="s">
        <v>25</v>
      </c>
      <c r="H468" s="3" t="s">
        <v>25</v>
      </c>
      <c r="I468" s="6">
        <v>44531</v>
      </c>
      <c r="J468" s="4">
        <v>0</v>
      </c>
      <c r="K468" s="4">
        <v>0</v>
      </c>
      <c r="L468" s="4">
        <v>17.614999999999998</v>
      </c>
      <c r="M468" s="4">
        <v>7.0460000000000003</v>
      </c>
      <c r="N468" s="4">
        <v>17.614999999999998</v>
      </c>
      <c r="O468" s="4">
        <v>7.0460000000000003</v>
      </c>
      <c r="P468" s="4">
        <v>0</v>
      </c>
      <c r="Q468" s="3" t="s">
        <v>26</v>
      </c>
      <c r="R468" s="3">
        <v>0</v>
      </c>
      <c r="S468" s="3" t="s">
        <v>303</v>
      </c>
      <c r="T468" s="3" t="s">
        <v>542</v>
      </c>
      <c r="U468" s="3">
        <v>0</v>
      </c>
      <c r="V468" s="3">
        <v>32</v>
      </c>
      <c r="W468" s="3">
        <v>72</v>
      </c>
    </row>
    <row r="469" spans="1:23" ht="11.25" customHeight="1" x14ac:dyDescent="0.3">
      <c r="A469" s="3" t="s">
        <v>21</v>
      </c>
      <c r="B469" s="3" t="s">
        <v>42</v>
      </c>
      <c r="C469" s="3" t="s">
        <v>23</v>
      </c>
      <c r="D469" s="3" t="s">
        <v>43</v>
      </c>
      <c r="E469" s="3" t="s">
        <v>51</v>
      </c>
      <c r="F469" s="3" t="s">
        <v>53</v>
      </c>
      <c r="G469" s="3" t="s">
        <v>25</v>
      </c>
      <c r="H469" s="3" t="s">
        <v>25</v>
      </c>
      <c r="I469" s="6">
        <v>44562</v>
      </c>
      <c r="J469" s="4">
        <v>0</v>
      </c>
      <c r="K469" s="4">
        <v>0</v>
      </c>
      <c r="L469" s="4">
        <v>19.951000000000001</v>
      </c>
      <c r="M469" s="4">
        <v>7.9804000000000004</v>
      </c>
      <c r="N469" s="4">
        <v>19.951000000000001</v>
      </c>
      <c r="O469" s="4">
        <v>7.9804000000000004</v>
      </c>
      <c r="P469" s="4">
        <v>0</v>
      </c>
      <c r="Q469" s="3" t="s">
        <v>26</v>
      </c>
      <c r="R469" s="3">
        <v>0</v>
      </c>
      <c r="S469" s="3" t="s">
        <v>304</v>
      </c>
      <c r="T469" s="3" t="s">
        <v>543</v>
      </c>
      <c r="U469" s="3">
        <v>0</v>
      </c>
      <c r="V469" s="3">
        <v>32</v>
      </c>
      <c r="W469" s="3">
        <v>72</v>
      </c>
    </row>
    <row r="470" spans="1:23" ht="11.25" customHeight="1" x14ac:dyDescent="0.3">
      <c r="A470" s="3" t="s">
        <v>21</v>
      </c>
      <c r="B470" s="3" t="s">
        <v>42</v>
      </c>
      <c r="C470" s="3" t="s">
        <v>23</v>
      </c>
      <c r="D470" s="3" t="s">
        <v>43</v>
      </c>
      <c r="E470" s="3" t="s">
        <v>51</v>
      </c>
      <c r="F470" s="3" t="s">
        <v>53</v>
      </c>
      <c r="G470" s="3" t="s">
        <v>25</v>
      </c>
      <c r="H470" s="3" t="s">
        <v>25</v>
      </c>
      <c r="I470" s="6">
        <v>44593</v>
      </c>
      <c r="J470" s="4">
        <v>0</v>
      </c>
      <c r="K470" s="4">
        <v>0</v>
      </c>
      <c r="L470" s="4">
        <v>13.702999999999999</v>
      </c>
      <c r="M470" s="4">
        <v>5.4812000000000003</v>
      </c>
      <c r="N470" s="4">
        <v>13.702999999999999</v>
      </c>
      <c r="O470" s="4">
        <v>5.4812000000000003</v>
      </c>
      <c r="P470" s="4">
        <v>0</v>
      </c>
      <c r="Q470" s="3" t="s">
        <v>26</v>
      </c>
      <c r="R470" s="3">
        <v>0</v>
      </c>
      <c r="S470" s="3" t="s">
        <v>305</v>
      </c>
      <c r="T470" s="3" t="s">
        <v>544</v>
      </c>
      <c r="U470" s="3">
        <v>0</v>
      </c>
      <c r="V470" s="3">
        <v>32</v>
      </c>
      <c r="W470" s="3">
        <v>72</v>
      </c>
    </row>
    <row r="471" spans="1:23" ht="11.25" customHeight="1" x14ac:dyDescent="0.3">
      <c r="A471" s="3" t="s">
        <v>21</v>
      </c>
      <c r="B471" s="3" t="s">
        <v>42</v>
      </c>
      <c r="C471" s="3" t="s">
        <v>23</v>
      </c>
      <c r="D471" s="3" t="s">
        <v>43</v>
      </c>
      <c r="E471" s="3" t="s">
        <v>51</v>
      </c>
      <c r="F471" s="3" t="s">
        <v>53</v>
      </c>
      <c r="G471" s="3" t="s">
        <v>25</v>
      </c>
      <c r="H471" s="3" t="s">
        <v>25</v>
      </c>
      <c r="I471" s="6">
        <v>44621</v>
      </c>
      <c r="J471" s="4">
        <v>0</v>
      </c>
      <c r="K471" s="4">
        <v>0</v>
      </c>
      <c r="L471" s="4">
        <v>1.51</v>
      </c>
      <c r="M471" s="4">
        <v>0.60399999999999998</v>
      </c>
      <c r="N471" s="4">
        <v>1.51</v>
      </c>
      <c r="O471" s="4">
        <v>0.60399999999999998</v>
      </c>
      <c r="P471" s="4">
        <v>0</v>
      </c>
      <c r="Q471" s="3" t="s">
        <v>26</v>
      </c>
      <c r="R471" s="3">
        <v>0</v>
      </c>
      <c r="S471" s="3" t="s">
        <v>306</v>
      </c>
      <c r="T471" s="3" t="s">
        <v>545</v>
      </c>
      <c r="U471" s="3">
        <v>0</v>
      </c>
      <c r="V471" s="3">
        <v>32</v>
      </c>
      <c r="W471" s="3">
        <v>72</v>
      </c>
    </row>
    <row r="472" spans="1:23" ht="11.25" customHeight="1" x14ac:dyDescent="0.3">
      <c r="A472" s="3" t="s">
        <v>21</v>
      </c>
      <c r="B472" s="3" t="s">
        <v>42</v>
      </c>
      <c r="C472" s="3" t="s">
        <v>23</v>
      </c>
      <c r="D472" s="3" t="s">
        <v>43</v>
      </c>
      <c r="E472" s="3" t="s">
        <v>51</v>
      </c>
      <c r="F472" s="3" t="s">
        <v>53</v>
      </c>
      <c r="G472" s="3" t="s">
        <v>25</v>
      </c>
      <c r="H472" s="3" t="s">
        <v>25</v>
      </c>
      <c r="I472" s="6">
        <v>44652</v>
      </c>
      <c r="J472" s="4">
        <v>0</v>
      </c>
      <c r="K472" s="4">
        <v>0</v>
      </c>
      <c r="L472" s="4">
        <v>0.372</v>
      </c>
      <c r="M472" s="4">
        <v>0.14879999999999999</v>
      </c>
      <c r="N472" s="4">
        <v>0.372</v>
      </c>
      <c r="O472" s="4">
        <v>0.14879999999999999</v>
      </c>
      <c r="P472" s="4">
        <v>0</v>
      </c>
      <c r="Q472" s="3" t="s">
        <v>26</v>
      </c>
      <c r="R472" s="3">
        <v>0</v>
      </c>
      <c r="S472" s="3" t="s">
        <v>307</v>
      </c>
      <c r="T472" s="3" t="s">
        <v>546</v>
      </c>
      <c r="U472" s="3">
        <v>0</v>
      </c>
      <c r="V472" s="3">
        <v>32</v>
      </c>
      <c r="W472" s="3">
        <v>72</v>
      </c>
    </row>
    <row r="473" spans="1:23" ht="11.25" customHeight="1" x14ac:dyDescent="0.3">
      <c r="A473" s="3" t="s">
        <v>21</v>
      </c>
      <c r="B473" s="3" t="s">
        <v>42</v>
      </c>
      <c r="C473" s="3" t="s">
        <v>23</v>
      </c>
      <c r="D473" s="3" t="s">
        <v>43</v>
      </c>
      <c r="E473" s="3" t="s">
        <v>51</v>
      </c>
      <c r="F473" s="3" t="s">
        <v>53</v>
      </c>
      <c r="G473" s="3" t="s">
        <v>25</v>
      </c>
      <c r="H473" s="3" t="s">
        <v>25</v>
      </c>
      <c r="I473" s="6">
        <v>44682</v>
      </c>
      <c r="J473" s="4">
        <v>0</v>
      </c>
      <c r="K473" s="4">
        <v>0</v>
      </c>
      <c r="L473" s="4">
        <v>0.152</v>
      </c>
      <c r="M473" s="4">
        <v>6.08E-2</v>
      </c>
      <c r="N473" s="4">
        <v>0.152</v>
      </c>
      <c r="O473" s="4">
        <v>6.08E-2</v>
      </c>
      <c r="P473" s="4">
        <v>0</v>
      </c>
      <c r="Q473" s="3" t="s">
        <v>26</v>
      </c>
      <c r="R473" s="3">
        <v>0</v>
      </c>
      <c r="S473" s="3" t="s">
        <v>308</v>
      </c>
      <c r="T473" s="3" t="s">
        <v>547</v>
      </c>
      <c r="U473" s="3">
        <v>0</v>
      </c>
      <c r="V473" s="3">
        <v>32</v>
      </c>
      <c r="W473" s="3">
        <v>72</v>
      </c>
    </row>
    <row r="474" spans="1:23" ht="11.25" customHeight="1" x14ac:dyDescent="0.3">
      <c r="A474" s="3" t="s">
        <v>21</v>
      </c>
      <c r="B474" s="3" t="s">
        <v>42</v>
      </c>
      <c r="C474" s="3" t="s">
        <v>23</v>
      </c>
      <c r="D474" s="3" t="s">
        <v>43</v>
      </c>
      <c r="E474" s="3" t="s">
        <v>25</v>
      </c>
      <c r="F474" s="3" t="s">
        <v>25</v>
      </c>
      <c r="G474" s="3" t="s">
        <v>25</v>
      </c>
      <c r="H474" s="3" t="s">
        <v>25</v>
      </c>
      <c r="I474" s="6">
        <v>44378</v>
      </c>
      <c r="J474" s="4">
        <v>0</v>
      </c>
      <c r="K474" s="4">
        <v>0</v>
      </c>
      <c r="L474" s="4">
        <v>1126.674</v>
      </c>
      <c r="M474" s="4">
        <v>1126.674</v>
      </c>
      <c r="N474" s="4">
        <v>1126.674</v>
      </c>
      <c r="O474" s="4">
        <v>1126.674</v>
      </c>
      <c r="P474" s="4">
        <v>4531</v>
      </c>
      <c r="Q474" s="3" t="s">
        <v>26</v>
      </c>
      <c r="R474" s="3">
        <v>0</v>
      </c>
      <c r="S474" s="3" t="s">
        <v>298</v>
      </c>
      <c r="T474" s="3" t="s">
        <v>537</v>
      </c>
      <c r="U474" s="3">
        <v>0</v>
      </c>
      <c r="V474" s="3">
        <v>32</v>
      </c>
      <c r="W474" s="3">
        <v>72</v>
      </c>
    </row>
    <row r="475" spans="1:23" ht="11.25" customHeight="1" x14ac:dyDescent="0.3">
      <c r="A475" s="3" t="s">
        <v>27</v>
      </c>
      <c r="B475" s="3" t="s">
        <v>42</v>
      </c>
      <c r="C475" s="3" t="s">
        <v>23</v>
      </c>
      <c r="D475" s="3" t="s">
        <v>43</v>
      </c>
      <c r="E475" s="3" t="s">
        <v>25</v>
      </c>
      <c r="F475" s="3" t="s">
        <v>25</v>
      </c>
      <c r="G475" s="3" t="s">
        <v>25</v>
      </c>
      <c r="H475" s="3" t="s">
        <v>25</v>
      </c>
      <c r="I475" s="6">
        <v>44378</v>
      </c>
      <c r="J475" s="4">
        <v>0</v>
      </c>
      <c r="K475" s="4">
        <v>0</v>
      </c>
      <c r="L475" s="4">
        <v>-1.522</v>
      </c>
      <c r="M475" s="4">
        <v>-1.522</v>
      </c>
      <c r="N475" s="4">
        <v>-1.522</v>
      </c>
      <c r="O475" s="4">
        <v>-1.522</v>
      </c>
      <c r="P475" s="4">
        <v>0</v>
      </c>
      <c r="Q475" s="3" t="s">
        <v>26</v>
      </c>
      <c r="R475" s="3">
        <v>0</v>
      </c>
      <c r="S475" s="3" t="s">
        <v>298</v>
      </c>
      <c r="T475" s="3" t="s">
        <v>537</v>
      </c>
      <c r="U475" s="3">
        <v>0</v>
      </c>
      <c r="V475" s="3">
        <v>32</v>
      </c>
      <c r="W475" s="3">
        <v>72</v>
      </c>
    </row>
    <row r="476" spans="1:23" ht="11.25" customHeight="1" x14ac:dyDescent="0.3">
      <c r="A476" s="3" t="s">
        <v>28</v>
      </c>
      <c r="B476" s="3" t="s">
        <v>42</v>
      </c>
      <c r="C476" s="3" t="s">
        <v>23</v>
      </c>
      <c r="D476" s="3" t="s">
        <v>43</v>
      </c>
      <c r="E476" s="3" t="s">
        <v>25</v>
      </c>
      <c r="F476" s="3" t="s">
        <v>25</v>
      </c>
      <c r="G476" s="3" t="s">
        <v>25</v>
      </c>
      <c r="H476" s="3" t="s">
        <v>25</v>
      </c>
      <c r="I476" s="6">
        <v>44378</v>
      </c>
      <c r="J476" s="4">
        <v>0</v>
      </c>
      <c r="K476" s="4">
        <v>0</v>
      </c>
      <c r="L476" s="4">
        <v>12.750999999999999</v>
      </c>
      <c r="M476" s="4">
        <v>12.750999999999999</v>
      </c>
      <c r="N476" s="4">
        <v>12.750999999999999</v>
      </c>
      <c r="O476" s="4">
        <v>12.750999999999999</v>
      </c>
      <c r="P476" s="4">
        <v>37</v>
      </c>
      <c r="Q476" s="3" t="s">
        <v>26</v>
      </c>
      <c r="R476" s="3">
        <v>0</v>
      </c>
      <c r="S476" s="3" t="s">
        <v>298</v>
      </c>
      <c r="T476" s="3" t="s">
        <v>537</v>
      </c>
      <c r="U476" s="3">
        <v>0</v>
      </c>
      <c r="V476" s="3">
        <v>32</v>
      </c>
      <c r="W476" s="3">
        <v>72</v>
      </c>
    </row>
    <row r="477" spans="1:23" ht="11.25" customHeight="1" x14ac:dyDescent="0.3">
      <c r="A477" s="3" t="s">
        <v>21</v>
      </c>
      <c r="B477" s="3" t="s">
        <v>42</v>
      </c>
      <c r="C477" s="3" t="s">
        <v>23</v>
      </c>
      <c r="D477" s="3" t="s">
        <v>43</v>
      </c>
      <c r="E477" s="3" t="s">
        <v>25</v>
      </c>
      <c r="F477" s="3" t="s">
        <v>25</v>
      </c>
      <c r="G477" s="3" t="s">
        <v>25</v>
      </c>
      <c r="H477" s="3" t="s">
        <v>25</v>
      </c>
      <c r="I477" s="6">
        <v>44409</v>
      </c>
      <c r="J477" s="4">
        <v>0</v>
      </c>
      <c r="K477" s="4">
        <v>0</v>
      </c>
      <c r="L477" s="4">
        <v>1124.0170000000001</v>
      </c>
      <c r="M477" s="4">
        <v>1124.0170000000001</v>
      </c>
      <c r="N477" s="4">
        <v>1124.0170000000001</v>
      </c>
      <c r="O477" s="4">
        <v>1124.0170000000001</v>
      </c>
      <c r="P477" s="4">
        <v>4536</v>
      </c>
      <c r="Q477" s="3" t="s">
        <v>26</v>
      </c>
      <c r="R477" s="3">
        <v>0</v>
      </c>
      <c r="S477" s="3" t="s">
        <v>299</v>
      </c>
      <c r="T477" s="3" t="s">
        <v>538</v>
      </c>
      <c r="U477" s="3">
        <v>0</v>
      </c>
      <c r="V477" s="3">
        <v>32</v>
      </c>
      <c r="W477" s="3">
        <v>72</v>
      </c>
    </row>
    <row r="478" spans="1:23" ht="11.25" customHeight="1" x14ac:dyDescent="0.3">
      <c r="A478" s="3" t="s">
        <v>27</v>
      </c>
      <c r="B478" s="3" t="s">
        <v>42</v>
      </c>
      <c r="C478" s="3" t="s">
        <v>23</v>
      </c>
      <c r="D478" s="3" t="s">
        <v>43</v>
      </c>
      <c r="E478" s="3" t="s">
        <v>25</v>
      </c>
      <c r="F478" s="3" t="s">
        <v>25</v>
      </c>
      <c r="G478" s="3" t="s">
        <v>25</v>
      </c>
      <c r="H478" s="3" t="s">
        <v>25</v>
      </c>
      <c r="I478" s="6">
        <v>44409</v>
      </c>
      <c r="J478" s="4">
        <v>0</v>
      </c>
      <c r="K478" s="4">
        <v>0</v>
      </c>
      <c r="L478" s="4">
        <v>1.9E-2</v>
      </c>
      <c r="M478" s="4">
        <v>1.9E-2</v>
      </c>
      <c r="N478" s="4">
        <v>1.9E-2</v>
      </c>
      <c r="O478" s="4">
        <v>1.9E-2</v>
      </c>
      <c r="P478" s="4">
        <v>0</v>
      </c>
      <c r="Q478" s="3" t="s">
        <v>26</v>
      </c>
      <c r="R478" s="3">
        <v>0</v>
      </c>
      <c r="S478" s="3" t="s">
        <v>299</v>
      </c>
      <c r="T478" s="3" t="s">
        <v>538</v>
      </c>
      <c r="U478" s="3">
        <v>0</v>
      </c>
      <c r="V478" s="3">
        <v>32</v>
      </c>
      <c r="W478" s="3">
        <v>72</v>
      </c>
    </row>
    <row r="479" spans="1:23" ht="11.25" customHeight="1" x14ac:dyDescent="0.3">
      <c r="A479" s="3" t="s">
        <v>28</v>
      </c>
      <c r="B479" s="3" t="s">
        <v>42</v>
      </c>
      <c r="C479" s="3" t="s">
        <v>23</v>
      </c>
      <c r="D479" s="3" t="s">
        <v>43</v>
      </c>
      <c r="E479" s="3" t="s">
        <v>25</v>
      </c>
      <c r="F479" s="3" t="s">
        <v>25</v>
      </c>
      <c r="G479" s="3" t="s">
        <v>25</v>
      </c>
      <c r="H479" s="3" t="s">
        <v>25</v>
      </c>
      <c r="I479" s="6">
        <v>44409</v>
      </c>
      <c r="J479" s="4">
        <v>0</v>
      </c>
      <c r="K479" s="4">
        <v>0</v>
      </c>
      <c r="L479" s="4">
        <v>12.103999999999999</v>
      </c>
      <c r="M479" s="4">
        <v>12.103999999999999</v>
      </c>
      <c r="N479" s="4">
        <v>12.103999999999999</v>
      </c>
      <c r="O479" s="4">
        <v>12.103999999999999</v>
      </c>
      <c r="P479" s="4">
        <v>39</v>
      </c>
      <c r="Q479" s="3" t="s">
        <v>26</v>
      </c>
      <c r="R479" s="3">
        <v>0</v>
      </c>
      <c r="S479" s="3" t="s">
        <v>299</v>
      </c>
      <c r="T479" s="3" t="s">
        <v>538</v>
      </c>
      <c r="U479" s="3">
        <v>0</v>
      </c>
      <c r="V479" s="3">
        <v>32</v>
      </c>
      <c r="W479" s="3">
        <v>72</v>
      </c>
    </row>
    <row r="480" spans="1:23" ht="11.25" customHeight="1" x14ac:dyDescent="0.3">
      <c r="A480" s="3" t="s">
        <v>21</v>
      </c>
      <c r="B480" s="3" t="s">
        <v>42</v>
      </c>
      <c r="C480" s="3" t="s">
        <v>23</v>
      </c>
      <c r="D480" s="3" t="s">
        <v>43</v>
      </c>
      <c r="E480" s="3" t="s">
        <v>25</v>
      </c>
      <c r="F480" s="3" t="s">
        <v>25</v>
      </c>
      <c r="G480" s="3" t="s">
        <v>25</v>
      </c>
      <c r="H480" s="3" t="s">
        <v>25</v>
      </c>
      <c r="I480" s="6">
        <v>44440</v>
      </c>
      <c r="J480" s="4">
        <v>0</v>
      </c>
      <c r="K480" s="4">
        <v>0</v>
      </c>
      <c r="L480" s="4">
        <v>1096.153</v>
      </c>
      <c r="M480" s="4">
        <v>1096.153</v>
      </c>
      <c r="N480" s="4">
        <v>1096.153</v>
      </c>
      <c r="O480" s="4">
        <v>1096.153</v>
      </c>
      <c r="P480" s="4">
        <v>4534</v>
      </c>
      <c r="Q480" s="3" t="s">
        <v>26</v>
      </c>
      <c r="R480" s="3">
        <v>0</v>
      </c>
      <c r="S480" s="3" t="s">
        <v>300</v>
      </c>
      <c r="T480" s="3" t="s">
        <v>539</v>
      </c>
      <c r="U480" s="3">
        <v>0</v>
      </c>
      <c r="V480" s="3">
        <v>32</v>
      </c>
      <c r="W480" s="3">
        <v>72</v>
      </c>
    </row>
    <row r="481" spans="1:23" ht="11.25" customHeight="1" x14ac:dyDescent="0.3">
      <c r="A481" s="3" t="s">
        <v>27</v>
      </c>
      <c r="B481" s="3" t="s">
        <v>42</v>
      </c>
      <c r="C481" s="3" t="s">
        <v>23</v>
      </c>
      <c r="D481" s="3" t="s">
        <v>43</v>
      </c>
      <c r="E481" s="3" t="s">
        <v>25</v>
      </c>
      <c r="F481" s="3" t="s">
        <v>25</v>
      </c>
      <c r="G481" s="3" t="s">
        <v>25</v>
      </c>
      <c r="H481" s="3" t="s">
        <v>25</v>
      </c>
      <c r="I481" s="6">
        <v>44440</v>
      </c>
      <c r="J481" s="4">
        <v>0</v>
      </c>
      <c r="K481" s="4">
        <v>0</v>
      </c>
      <c r="L481" s="4">
        <v>-2.4340000000000002</v>
      </c>
      <c r="M481" s="4">
        <v>-2.4340000000000002</v>
      </c>
      <c r="N481" s="4">
        <v>-2.4340000000000002</v>
      </c>
      <c r="O481" s="4">
        <v>-2.4340000000000002</v>
      </c>
      <c r="P481" s="4">
        <v>0</v>
      </c>
      <c r="Q481" s="3" t="s">
        <v>26</v>
      </c>
      <c r="R481" s="3">
        <v>0</v>
      </c>
      <c r="S481" s="3" t="s">
        <v>300</v>
      </c>
      <c r="T481" s="3" t="s">
        <v>539</v>
      </c>
      <c r="U481" s="3">
        <v>0</v>
      </c>
      <c r="V481" s="3">
        <v>32</v>
      </c>
      <c r="W481" s="3">
        <v>72</v>
      </c>
    </row>
    <row r="482" spans="1:23" ht="11.25" customHeight="1" x14ac:dyDescent="0.3">
      <c r="A482" s="3" t="s">
        <v>28</v>
      </c>
      <c r="B482" s="3" t="s">
        <v>42</v>
      </c>
      <c r="C482" s="3" t="s">
        <v>23</v>
      </c>
      <c r="D482" s="3" t="s">
        <v>43</v>
      </c>
      <c r="E482" s="3" t="s">
        <v>25</v>
      </c>
      <c r="F482" s="3" t="s">
        <v>25</v>
      </c>
      <c r="G482" s="3" t="s">
        <v>25</v>
      </c>
      <c r="H482" s="3" t="s">
        <v>25</v>
      </c>
      <c r="I482" s="6">
        <v>44440</v>
      </c>
      <c r="J482" s="4">
        <v>0</v>
      </c>
      <c r="K482" s="4">
        <v>0</v>
      </c>
      <c r="L482" s="4">
        <v>10.117000000000001</v>
      </c>
      <c r="M482" s="4">
        <v>10.117000000000001</v>
      </c>
      <c r="N482" s="4">
        <v>10.117000000000001</v>
      </c>
      <c r="O482" s="4">
        <v>10.117000000000001</v>
      </c>
      <c r="P482" s="4">
        <v>40</v>
      </c>
      <c r="Q482" s="3" t="s">
        <v>26</v>
      </c>
      <c r="R482" s="3">
        <v>0</v>
      </c>
      <c r="S482" s="3" t="s">
        <v>300</v>
      </c>
      <c r="T482" s="3" t="s">
        <v>539</v>
      </c>
      <c r="U482" s="3">
        <v>0</v>
      </c>
      <c r="V482" s="3">
        <v>32</v>
      </c>
      <c r="W482" s="3">
        <v>72</v>
      </c>
    </row>
    <row r="483" spans="1:23" ht="11.25" customHeight="1" x14ac:dyDescent="0.3">
      <c r="A483" s="3" t="s">
        <v>21</v>
      </c>
      <c r="B483" s="3" t="s">
        <v>42</v>
      </c>
      <c r="C483" s="3" t="s">
        <v>23</v>
      </c>
      <c r="D483" s="3" t="s">
        <v>43</v>
      </c>
      <c r="E483" s="3" t="s">
        <v>25</v>
      </c>
      <c r="F483" s="3" t="s">
        <v>25</v>
      </c>
      <c r="G483" s="3" t="s">
        <v>25</v>
      </c>
      <c r="H483" s="3" t="s">
        <v>25</v>
      </c>
      <c r="I483" s="6">
        <v>44470</v>
      </c>
      <c r="J483" s="4">
        <v>0</v>
      </c>
      <c r="K483" s="4">
        <v>0</v>
      </c>
      <c r="L483" s="4">
        <v>1158.865</v>
      </c>
      <c r="M483" s="4">
        <v>1158.865</v>
      </c>
      <c r="N483" s="4">
        <v>1158.865</v>
      </c>
      <c r="O483" s="4">
        <v>1158.865</v>
      </c>
      <c r="P483" s="4">
        <v>4539</v>
      </c>
      <c r="Q483" s="3" t="s">
        <v>26</v>
      </c>
      <c r="R483" s="3">
        <v>0</v>
      </c>
      <c r="S483" s="3" t="s">
        <v>301</v>
      </c>
      <c r="T483" s="3" t="s">
        <v>540</v>
      </c>
      <c r="U483" s="3">
        <v>0</v>
      </c>
      <c r="V483" s="3">
        <v>32</v>
      </c>
      <c r="W483" s="3">
        <v>72</v>
      </c>
    </row>
    <row r="484" spans="1:23" ht="11.25" customHeight="1" x14ac:dyDescent="0.3">
      <c r="A484" s="3" t="s">
        <v>27</v>
      </c>
      <c r="B484" s="3" t="s">
        <v>42</v>
      </c>
      <c r="C484" s="3" t="s">
        <v>23</v>
      </c>
      <c r="D484" s="3" t="s">
        <v>43</v>
      </c>
      <c r="E484" s="3" t="s">
        <v>25</v>
      </c>
      <c r="F484" s="3" t="s">
        <v>25</v>
      </c>
      <c r="G484" s="3" t="s">
        <v>25</v>
      </c>
      <c r="H484" s="3" t="s">
        <v>25</v>
      </c>
      <c r="I484" s="6">
        <v>44470</v>
      </c>
      <c r="J484" s="4">
        <v>0</v>
      </c>
      <c r="K484" s="4">
        <v>0</v>
      </c>
      <c r="L484" s="4">
        <v>-1.619</v>
      </c>
      <c r="M484" s="4">
        <v>-1.619</v>
      </c>
      <c r="N484" s="4">
        <v>-1.619</v>
      </c>
      <c r="O484" s="4">
        <v>-1.619</v>
      </c>
      <c r="P484" s="4">
        <v>0</v>
      </c>
      <c r="Q484" s="3" t="s">
        <v>26</v>
      </c>
      <c r="R484" s="3">
        <v>0</v>
      </c>
      <c r="S484" s="3" t="s">
        <v>301</v>
      </c>
      <c r="T484" s="3" t="s">
        <v>540</v>
      </c>
      <c r="U484" s="3">
        <v>0</v>
      </c>
      <c r="V484" s="3">
        <v>32</v>
      </c>
      <c r="W484" s="3">
        <v>72</v>
      </c>
    </row>
    <row r="485" spans="1:23" ht="11.25" customHeight="1" x14ac:dyDescent="0.3">
      <c r="A485" s="3" t="s">
        <v>28</v>
      </c>
      <c r="B485" s="3" t="s">
        <v>42</v>
      </c>
      <c r="C485" s="3" t="s">
        <v>23</v>
      </c>
      <c r="D485" s="3" t="s">
        <v>43</v>
      </c>
      <c r="E485" s="3" t="s">
        <v>25</v>
      </c>
      <c r="F485" s="3" t="s">
        <v>25</v>
      </c>
      <c r="G485" s="3" t="s">
        <v>25</v>
      </c>
      <c r="H485" s="3" t="s">
        <v>25</v>
      </c>
      <c r="I485" s="6">
        <v>44470</v>
      </c>
      <c r="J485" s="4">
        <v>0</v>
      </c>
      <c r="K485" s="4">
        <v>0</v>
      </c>
      <c r="L485" s="4">
        <v>11.327</v>
      </c>
      <c r="M485" s="4">
        <v>11.327</v>
      </c>
      <c r="N485" s="4">
        <v>11.327</v>
      </c>
      <c r="O485" s="4">
        <v>11.327</v>
      </c>
      <c r="P485" s="4">
        <v>45</v>
      </c>
      <c r="Q485" s="3" t="s">
        <v>26</v>
      </c>
      <c r="R485" s="3">
        <v>0</v>
      </c>
      <c r="S485" s="3" t="s">
        <v>301</v>
      </c>
      <c r="T485" s="3" t="s">
        <v>540</v>
      </c>
      <c r="U485" s="3">
        <v>0</v>
      </c>
      <c r="V485" s="3">
        <v>32</v>
      </c>
      <c r="W485" s="3">
        <v>72</v>
      </c>
    </row>
    <row r="486" spans="1:23" ht="11.25" customHeight="1" x14ac:dyDescent="0.3">
      <c r="A486" s="3" t="s">
        <v>21</v>
      </c>
      <c r="B486" s="3" t="s">
        <v>42</v>
      </c>
      <c r="C486" s="3" t="s">
        <v>23</v>
      </c>
      <c r="D486" s="3" t="s">
        <v>43</v>
      </c>
      <c r="E486" s="3" t="s">
        <v>25</v>
      </c>
      <c r="F486" s="3" t="s">
        <v>25</v>
      </c>
      <c r="G486" s="3" t="s">
        <v>25</v>
      </c>
      <c r="H486" s="3" t="s">
        <v>25</v>
      </c>
      <c r="I486" s="6">
        <v>44501</v>
      </c>
      <c r="J486" s="4">
        <v>0</v>
      </c>
      <c r="K486" s="4">
        <v>0</v>
      </c>
      <c r="L486" s="4">
        <v>1383.107</v>
      </c>
      <c r="M486" s="4">
        <v>1383.107</v>
      </c>
      <c r="N486" s="4">
        <v>1383.107</v>
      </c>
      <c r="O486" s="4">
        <v>1383.107</v>
      </c>
      <c r="P486" s="4">
        <v>4514</v>
      </c>
      <c r="Q486" s="3" t="s">
        <v>26</v>
      </c>
      <c r="R486" s="3">
        <v>0</v>
      </c>
      <c r="S486" s="3" t="s">
        <v>302</v>
      </c>
      <c r="T486" s="3" t="s">
        <v>541</v>
      </c>
      <c r="U486" s="3">
        <v>0</v>
      </c>
      <c r="V486" s="3">
        <v>32</v>
      </c>
      <c r="W486" s="3">
        <v>72</v>
      </c>
    </row>
    <row r="487" spans="1:23" ht="11.25" customHeight="1" x14ac:dyDescent="0.3">
      <c r="A487" s="3" t="s">
        <v>27</v>
      </c>
      <c r="B487" s="3" t="s">
        <v>42</v>
      </c>
      <c r="C487" s="3" t="s">
        <v>23</v>
      </c>
      <c r="D487" s="3" t="s">
        <v>43</v>
      </c>
      <c r="E487" s="3" t="s">
        <v>25</v>
      </c>
      <c r="F487" s="3" t="s">
        <v>25</v>
      </c>
      <c r="G487" s="3" t="s">
        <v>25</v>
      </c>
      <c r="H487" s="3" t="s">
        <v>25</v>
      </c>
      <c r="I487" s="6">
        <v>44501</v>
      </c>
      <c r="J487" s="4">
        <v>0</v>
      </c>
      <c r="K487" s="4">
        <v>0</v>
      </c>
      <c r="L487" s="4">
        <v>-8.7420000000000009</v>
      </c>
      <c r="M487" s="4">
        <v>-8.7420000000000009</v>
      </c>
      <c r="N487" s="4">
        <v>-8.7420000000000009</v>
      </c>
      <c r="O487" s="4">
        <v>-8.7420000000000009</v>
      </c>
      <c r="P487" s="4">
        <v>0</v>
      </c>
      <c r="Q487" s="3" t="s">
        <v>26</v>
      </c>
      <c r="R487" s="3">
        <v>0</v>
      </c>
      <c r="S487" s="3" t="s">
        <v>302</v>
      </c>
      <c r="T487" s="3" t="s">
        <v>541</v>
      </c>
      <c r="U487" s="3">
        <v>0</v>
      </c>
      <c r="V487" s="3">
        <v>32</v>
      </c>
      <c r="W487" s="3">
        <v>72</v>
      </c>
    </row>
    <row r="488" spans="1:23" ht="11.25" customHeight="1" x14ac:dyDescent="0.3">
      <c r="A488" s="3" t="s">
        <v>28</v>
      </c>
      <c r="B488" s="3" t="s">
        <v>42</v>
      </c>
      <c r="C488" s="3" t="s">
        <v>23</v>
      </c>
      <c r="D488" s="3" t="s">
        <v>43</v>
      </c>
      <c r="E488" s="3" t="s">
        <v>25</v>
      </c>
      <c r="F488" s="3" t="s">
        <v>25</v>
      </c>
      <c r="G488" s="3" t="s">
        <v>25</v>
      </c>
      <c r="H488" s="3" t="s">
        <v>25</v>
      </c>
      <c r="I488" s="6">
        <v>44501</v>
      </c>
      <c r="J488" s="4">
        <v>0</v>
      </c>
      <c r="K488" s="4">
        <v>0</v>
      </c>
      <c r="L488" s="4">
        <v>16.164999999999999</v>
      </c>
      <c r="M488" s="4">
        <v>16.164999999999999</v>
      </c>
      <c r="N488" s="4">
        <v>16.164999999999999</v>
      </c>
      <c r="O488" s="4">
        <v>16.164999999999999</v>
      </c>
      <c r="P488" s="4">
        <v>47</v>
      </c>
      <c r="Q488" s="3" t="s">
        <v>26</v>
      </c>
      <c r="R488" s="3">
        <v>0</v>
      </c>
      <c r="S488" s="3" t="s">
        <v>302</v>
      </c>
      <c r="T488" s="3" t="s">
        <v>541</v>
      </c>
      <c r="U488" s="3">
        <v>0</v>
      </c>
      <c r="V488" s="3">
        <v>32</v>
      </c>
      <c r="W488" s="3">
        <v>72</v>
      </c>
    </row>
    <row r="489" spans="1:23" ht="11.25" customHeight="1" x14ac:dyDescent="0.3">
      <c r="A489" s="3" t="s">
        <v>21</v>
      </c>
      <c r="B489" s="3" t="s">
        <v>42</v>
      </c>
      <c r="C489" s="3" t="s">
        <v>23</v>
      </c>
      <c r="D489" s="3" t="s">
        <v>43</v>
      </c>
      <c r="E489" s="3" t="s">
        <v>25</v>
      </c>
      <c r="F489" s="3" t="s">
        <v>25</v>
      </c>
      <c r="G489" s="3" t="s">
        <v>25</v>
      </c>
      <c r="H489" s="3" t="s">
        <v>25</v>
      </c>
      <c r="I489" s="6">
        <v>44531</v>
      </c>
      <c r="J489" s="4">
        <v>0</v>
      </c>
      <c r="K489" s="4">
        <v>0</v>
      </c>
      <c r="L489" s="4">
        <v>1749.32</v>
      </c>
      <c r="M489" s="4">
        <v>1749.32</v>
      </c>
      <c r="N489" s="4">
        <v>1749.32</v>
      </c>
      <c r="O489" s="4">
        <v>1749.32</v>
      </c>
      <c r="P489" s="4">
        <v>4519</v>
      </c>
      <c r="Q489" s="3" t="s">
        <v>26</v>
      </c>
      <c r="R489" s="3">
        <v>0</v>
      </c>
      <c r="S489" s="3" t="s">
        <v>303</v>
      </c>
      <c r="T489" s="3" t="s">
        <v>542</v>
      </c>
      <c r="U489" s="3">
        <v>0</v>
      </c>
      <c r="V489" s="3">
        <v>32</v>
      </c>
      <c r="W489" s="3">
        <v>72</v>
      </c>
    </row>
    <row r="490" spans="1:23" ht="11.25" customHeight="1" x14ac:dyDescent="0.3">
      <c r="A490" s="3" t="s">
        <v>27</v>
      </c>
      <c r="B490" s="3" t="s">
        <v>42</v>
      </c>
      <c r="C490" s="3" t="s">
        <v>23</v>
      </c>
      <c r="D490" s="3" t="s">
        <v>43</v>
      </c>
      <c r="E490" s="3" t="s">
        <v>25</v>
      </c>
      <c r="F490" s="3" t="s">
        <v>25</v>
      </c>
      <c r="G490" s="3" t="s">
        <v>25</v>
      </c>
      <c r="H490" s="3" t="s">
        <v>25</v>
      </c>
      <c r="I490" s="6">
        <v>44531</v>
      </c>
      <c r="J490" s="4">
        <v>0</v>
      </c>
      <c r="K490" s="4">
        <v>0</v>
      </c>
      <c r="L490" s="4">
        <v>3.4449999999999998</v>
      </c>
      <c r="M490" s="4">
        <v>3.4449999999999998</v>
      </c>
      <c r="N490" s="4">
        <v>3.4449999999999998</v>
      </c>
      <c r="O490" s="4">
        <v>3.4449999999999998</v>
      </c>
      <c r="P490" s="4">
        <v>0</v>
      </c>
      <c r="Q490" s="3" t="s">
        <v>26</v>
      </c>
      <c r="R490" s="3">
        <v>0</v>
      </c>
      <c r="S490" s="3" t="s">
        <v>303</v>
      </c>
      <c r="T490" s="3" t="s">
        <v>542</v>
      </c>
      <c r="U490" s="3">
        <v>0</v>
      </c>
      <c r="V490" s="3">
        <v>32</v>
      </c>
      <c r="W490" s="3">
        <v>72</v>
      </c>
    </row>
    <row r="491" spans="1:23" ht="11.25" customHeight="1" x14ac:dyDescent="0.3">
      <c r="A491" s="3" t="s">
        <v>28</v>
      </c>
      <c r="B491" s="3" t="s">
        <v>42</v>
      </c>
      <c r="C491" s="3" t="s">
        <v>23</v>
      </c>
      <c r="D491" s="3" t="s">
        <v>43</v>
      </c>
      <c r="E491" s="3" t="s">
        <v>25</v>
      </c>
      <c r="F491" s="3" t="s">
        <v>25</v>
      </c>
      <c r="G491" s="3" t="s">
        <v>25</v>
      </c>
      <c r="H491" s="3" t="s">
        <v>25</v>
      </c>
      <c r="I491" s="6">
        <v>44531</v>
      </c>
      <c r="J491" s="4">
        <v>0</v>
      </c>
      <c r="K491" s="4">
        <v>0</v>
      </c>
      <c r="L491" s="4">
        <v>26.19</v>
      </c>
      <c r="M491" s="4">
        <v>26.19</v>
      </c>
      <c r="N491" s="4">
        <v>26.19</v>
      </c>
      <c r="O491" s="4">
        <v>26.19</v>
      </c>
      <c r="P491" s="4">
        <v>49</v>
      </c>
      <c r="Q491" s="3" t="s">
        <v>26</v>
      </c>
      <c r="R491" s="3">
        <v>0</v>
      </c>
      <c r="S491" s="3" t="s">
        <v>303</v>
      </c>
      <c r="T491" s="3" t="s">
        <v>542</v>
      </c>
      <c r="U491" s="3">
        <v>0</v>
      </c>
      <c r="V491" s="3">
        <v>32</v>
      </c>
      <c r="W491" s="3">
        <v>72</v>
      </c>
    </row>
    <row r="492" spans="1:23" ht="11.25" customHeight="1" x14ac:dyDescent="0.3">
      <c r="A492" s="3" t="s">
        <v>21</v>
      </c>
      <c r="B492" s="3" t="s">
        <v>42</v>
      </c>
      <c r="C492" s="3" t="s">
        <v>23</v>
      </c>
      <c r="D492" s="3" t="s">
        <v>43</v>
      </c>
      <c r="E492" s="3" t="s">
        <v>25</v>
      </c>
      <c r="F492" s="3" t="s">
        <v>25</v>
      </c>
      <c r="G492" s="3" t="s">
        <v>25</v>
      </c>
      <c r="H492" s="3" t="s">
        <v>25</v>
      </c>
      <c r="I492" s="6">
        <v>44562</v>
      </c>
      <c r="J492" s="4">
        <v>0</v>
      </c>
      <c r="K492" s="4">
        <v>0</v>
      </c>
      <c r="L492" s="4">
        <v>2106.8679999999999</v>
      </c>
      <c r="M492" s="4">
        <v>2106.8679999999999</v>
      </c>
      <c r="N492" s="4">
        <v>2106.8679999999999</v>
      </c>
      <c r="O492" s="4">
        <v>2106.8679999999999</v>
      </c>
      <c r="P492" s="4">
        <v>4514</v>
      </c>
      <c r="Q492" s="3" t="s">
        <v>26</v>
      </c>
      <c r="R492" s="3">
        <v>0</v>
      </c>
      <c r="S492" s="3" t="s">
        <v>304</v>
      </c>
      <c r="T492" s="3" t="s">
        <v>543</v>
      </c>
      <c r="U492" s="3">
        <v>0</v>
      </c>
      <c r="V492" s="3">
        <v>32</v>
      </c>
      <c r="W492" s="3">
        <v>72</v>
      </c>
    </row>
    <row r="493" spans="1:23" ht="11.25" customHeight="1" x14ac:dyDescent="0.3">
      <c r="A493" s="3" t="s">
        <v>27</v>
      </c>
      <c r="B493" s="3" t="s">
        <v>42</v>
      </c>
      <c r="C493" s="3" t="s">
        <v>23</v>
      </c>
      <c r="D493" s="3" t="s">
        <v>43</v>
      </c>
      <c r="E493" s="3" t="s">
        <v>25</v>
      </c>
      <c r="F493" s="3" t="s">
        <v>25</v>
      </c>
      <c r="G493" s="3" t="s">
        <v>25</v>
      </c>
      <c r="H493" s="3" t="s">
        <v>25</v>
      </c>
      <c r="I493" s="6">
        <v>44562</v>
      </c>
      <c r="J493" s="4">
        <v>0</v>
      </c>
      <c r="K493" s="4">
        <v>0</v>
      </c>
      <c r="L493" s="4">
        <v>1.38</v>
      </c>
      <c r="M493" s="4">
        <v>1.38</v>
      </c>
      <c r="N493" s="4">
        <v>1.38</v>
      </c>
      <c r="O493" s="4">
        <v>1.38</v>
      </c>
      <c r="P493" s="4">
        <v>0</v>
      </c>
      <c r="Q493" s="3" t="s">
        <v>26</v>
      </c>
      <c r="R493" s="3">
        <v>0</v>
      </c>
      <c r="S493" s="3" t="s">
        <v>304</v>
      </c>
      <c r="T493" s="3" t="s">
        <v>543</v>
      </c>
      <c r="U493" s="3">
        <v>0</v>
      </c>
      <c r="V493" s="3">
        <v>32</v>
      </c>
      <c r="W493" s="3">
        <v>72</v>
      </c>
    </row>
    <row r="494" spans="1:23" ht="11.25" customHeight="1" x14ac:dyDescent="0.3">
      <c r="A494" s="3" t="s">
        <v>28</v>
      </c>
      <c r="B494" s="3" t="s">
        <v>42</v>
      </c>
      <c r="C494" s="3" t="s">
        <v>23</v>
      </c>
      <c r="D494" s="3" t="s">
        <v>43</v>
      </c>
      <c r="E494" s="3" t="s">
        <v>25</v>
      </c>
      <c r="F494" s="3" t="s">
        <v>25</v>
      </c>
      <c r="G494" s="3" t="s">
        <v>25</v>
      </c>
      <c r="H494" s="3" t="s">
        <v>25</v>
      </c>
      <c r="I494" s="6">
        <v>44562</v>
      </c>
      <c r="J494" s="4">
        <v>0</v>
      </c>
      <c r="K494" s="4">
        <v>0</v>
      </c>
      <c r="L494" s="4">
        <v>26.847999999999999</v>
      </c>
      <c r="M494" s="4">
        <v>26.847999999999999</v>
      </c>
      <c r="N494" s="4">
        <v>26.847999999999999</v>
      </c>
      <c r="O494" s="4">
        <v>26.847999999999999</v>
      </c>
      <c r="P494" s="4">
        <v>50</v>
      </c>
      <c r="Q494" s="3" t="s">
        <v>26</v>
      </c>
      <c r="R494" s="3">
        <v>0</v>
      </c>
      <c r="S494" s="3" t="s">
        <v>304</v>
      </c>
      <c r="T494" s="3" t="s">
        <v>543</v>
      </c>
      <c r="U494" s="3">
        <v>0</v>
      </c>
      <c r="V494" s="3">
        <v>32</v>
      </c>
      <c r="W494" s="3">
        <v>72</v>
      </c>
    </row>
    <row r="495" spans="1:23" ht="11.25" customHeight="1" x14ac:dyDescent="0.3">
      <c r="A495" s="3" t="s">
        <v>21</v>
      </c>
      <c r="B495" s="3" t="s">
        <v>42</v>
      </c>
      <c r="C495" s="3" t="s">
        <v>23</v>
      </c>
      <c r="D495" s="3" t="s">
        <v>43</v>
      </c>
      <c r="E495" s="3" t="s">
        <v>25</v>
      </c>
      <c r="F495" s="3" t="s">
        <v>25</v>
      </c>
      <c r="G495" s="3" t="s">
        <v>25</v>
      </c>
      <c r="H495" s="3" t="s">
        <v>25</v>
      </c>
      <c r="I495" s="6">
        <v>44593</v>
      </c>
      <c r="J495" s="4">
        <v>0</v>
      </c>
      <c r="K495" s="4">
        <v>0</v>
      </c>
      <c r="L495" s="4">
        <v>2103.116</v>
      </c>
      <c r="M495" s="4">
        <v>2103.116</v>
      </c>
      <c r="N495" s="4">
        <v>2103.116</v>
      </c>
      <c r="O495" s="4">
        <v>2103.116</v>
      </c>
      <c r="P495" s="4">
        <v>4485</v>
      </c>
      <c r="Q495" s="3" t="s">
        <v>26</v>
      </c>
      <c r="R495" s="3">
        <v>0</v>
      </c>
      <c r="S495" s="3" t="s">
        <v>305</v>
      </c>
      <c r="T495" s="3" t="s">
        <v>544</v>
      </c>
      <c r="U495" s="3">
        <v>0</v>
      </c>
      <c r="V495" s="3">
        <v>32</v>
      </c>
      <c r="W495" s="3">
        <v>72</v>
      </c>
    </row>
    <row r="496" spans="1:23" ht="11.25" customHeight="1" x14ac:dyDescent="0.3">
      <c r="A496" s="3" t="s">
        <v>27</v>
      </c>
      <c r="B496" s="3" t="s">
        <v>42</v>
      </c>
      <c r="C496" s="3" t="s">
        <v>23</v>
      </c>
      <c r="D496" s="3" t="s">
        <v>43</v>
      </c>
      <c r="E496" s="3" t="s">
        <v>25</v>
      </c>
      <c r="F496" s="3" t="s">
        <v>25</v>
      </c>
      <c r="G496" s="3" t="s">
        <v>25</v>
      </c>
      <c r="H496" s="3" t="s">
        <v>25</v>
      </c>
      <c r="I496" s="6">
        <v>44593</v>
      </c>
      <c r="J496" s="4">
        <v>0</v>
      </c>
      <c r="K496" s="4">
        <v>0</v>
      </c>
      <c r="L496" s="4">
        <v>15.670999999999999</v>
      </c>
      <c r="M496" s="4">
        <v>15.670999999999999</v>
      </c>
      <c r="N496" s="4">
        <v>15.670999999999999</v>
      </c>
      <c r="O496" s="4">
        <v>15.670999999999999</v>
      </c>
      <c r="P496" s="4">
        <v>0</v>
      </c>
      <c r="Q496" s="3" t="s">
        <v>26</v>
      </c>
      <c r="R496" s="3">
        <v>0</v>
      </c>
      <c r="S496" s="3" t="s">
        <v>305</v>
      </c>
      <c r="T496" s="3" t="s">
        <v>544</v>
      </c>
      <c r="U496" s="3">
        <v>0</v>
      </c>
      <c r="V496" s="3">
        <v>32</v>
      </c>
      <c r="W496" s="3">
        <v>72</v>
      </c>
    </row>
    <row r="497" spans="1:23" ht="11.25" customHeight="1" x14ac:dyDescent="0.3">
      <c r="A497" s="3" t="s">
        <v>28</v>
      </c>
      <c r="B497" s="3" t="s">
        <v>42</v>
      </c>
      <c r="C497" s="3" t="s">
        <v>23</v>
      </c>
      <c r="D497" s="3" t="s">
        <v>43</v>
      </c>
      <c r="E497" s="3" t="s">
        <v>25</v>
      </c>
      <c r="F497" s="3" t="s">
        <v>25</v>
      </c>
      <c r="G497" s="3" t="s">
        <v>25</v>
      </c>
      <c r="H497" s="3" t="s">
        <v>25</v>
      </c>
      <c r="I497" s="6">
        <v>44593</v>
      </c>
      <c r="J497" s="4">
        <v>0</v>
      </c>
      <c r="K497" s="4">
        <v>0</v>
      </c>
      <c r="L497" s="4">
        <v>17.902999999999999</v>
      </c>
      <c r="M497" s="4">
        <v>17.902999999999999</v>
      </c>
      <c r="N497" s="4">
        <v>17.902999999999999</v>
      </c>
      <c r="O497" s="4">
        <v>17.902999999999999</v>
      </c>
      <c r="P497" s="4">
        <v>50</v>
      </c>
      <c r="Q497" s="3" t="s">
        <v>26</v>
      </c>
      <c r="R497" s="3">
        <v>0</v>
      </c>
      <c r="S497" s="3" t="s">
        <v>305</v>
      </c>
      <c r="T497" s="3" t="s">
        <v>544</v>
      </c>
      <c r="U497" s="3">
        <v>0</v>
      </c>
      <c r="V497" s="3">
        <v>32</v>
      </c>
      <c r="W497" s="3">
        <v>72</v>
      </c>
    </row>
    <row r="498" spans="1:23" ht="11.25" customHeight="1" x14ac:dyDescent="0.3">
      <c r="A498" s="3" t="s">
        <v>21</v>
      </c>
      <c r="B498" s="3" t="s">
        <v>42</v>
      </c>
      <c r="C498" s="3" t="s">
        <v>23</v>
      </c>
      <c r="D498" s="3" t="s">
        <v>43</v>
      </c>
      <c r="E498" s="3" t="s">
        <v>25</v>
      </c>
      <c r="F498" s="3" t="s">
        <v>25</v>
      </c>
      <c r="G498" s="3" t="s">
        <v>25</v>
      </c>
      <c r="H498" s="3" t="s">
        <v>25</v>
      </c>
      <c r="I498" s="6">
        <v>44621</v>
      </c>
      <c r="J498" s="4">
        <v>0</v>
      </c>
      <c r="K498" s="4">
        <v>0</v>
      </c>
      <c r="L498" s="4">
        <v>1813.027</v>
      </c>
      <c r="M498" s="4">
        <v>1813.027</v>
      </c>
      <c r="N498" s="4">
        <v>1813.027</v>
      </c>
      <c r="O498" s="4">
        <v>1813.027</v>
      </c>
      <c r="P498" s="4">
        <v>4493</v>
      </c>
      <c r="Q498" s="3" t="s">
        <v>26</v>
      </c>
      <c r="R498" s="3">
        <v>0</v>
      </c>
      <c r="S498" s="3" t="s">
        <v>306</v>
      </c>
      <c r="T498" s="3" t="s">
        <v>545</v>
      </c>
      <c r="U498" s="3">
        <v>0</v>
      </c>
      <c r="V498" s="3">
        <v>32</v>
      </c>
      <c r="W498" s="3">
        <v>72</v>
      </c>
    </row>
    <row r="499" spans="1:23" ht="11.25" customHeight="1" x14ac:dyDescent="0.3">
      <c r="A499" s="3" t="s">
        <v>27</v>
      </c>
      <c r="B499" s="3" t="s">
        <v>42</v>
      </c>
      <c r="C499" s="3" t="s">
        <v>23</v>
      </c>
      <c r="D499" s="3" t="s">
        <v>43</v>
      </c>
      <c r="E499" s="3" t="s">
        <v>25</v>
      </c>
      <c r="F499" s="3" t="s">
        <v>25</v>
      </c>
      <c r="G499" s="3" t="s">
        <v>25</v>
      </c>
      <c r="H499" s="3" t="s">
        <v>25</v>
      </c>
      <c r="I499" s="6">
        <v>44621</v>
      </c>
      <c r="J499" s="4">
        <v>0</v>
      </c>
      <c r="K499" s="4">
        <v>0</v>
      </c>
      <c r="L499" s="4">
        <v>1.29</v>
      </c>
      <c r="M499" s="4">
        <v>1.29</v>
      </c>
      <c r="N499" s="4">
        <v>1.29</v>
      </c>
      <c r="O499" s="4">
        <v>1.29</v>
      </c>
      <c r="P499" s="4">
        <v>0</v>
      </c>
      <c r="Q499" s="3" t="s">
        <v>26</v>
      </c>
      <c r="R499" s="3">
        <v>0</v>
      </c>
      <c r="S499" s="3" t="s">
        <v>306</v>
      </c>
      <c r="T499" s="3" t="s">
        <v>545</v>
      </c>
      <c r="U499" s="3">
        <v>0</v>
      </c>
      <c r="V499" s="3">
        <v>32</v>
      </c>
      <c r="W499" s="3">
        <v>72</v>
      </c>
    </row>
    <row r="500" spans="1:23" ht="11.25" customHeight="1" x14ac:dyDescent="0.3">
      <c r="A500" s="3" t="s">
        <v>28</v>
      </c>
      <c r="B500" s="3" t="s">
        <v>42</v>
      </c>
      <c r="C500" s="3" t="s">
        <v>23</v>
      </c>
      <c r="D500" s="3" t="s">
        <v>43</v>
      </c>
      <c r="E500" s="3" t="s">
        <v>25</v>
      </c>
      <c r="F500" s="3" t="s">
        <v>25</v>
      </c>
      <c r="G500" s="3" t="s">
        <v>25</v>
      </c>
      <c r="H500" s="3" t="s">
        <v>25</v>
      </c>
      <c r="I500" s="6">
        <v>44621</v>
      </c>
      <c r="J500" s="4">
        <v>0</v>
      </c>
      <c r="K500" s="4">
        <v>0</v>
      </c>
      <c r="L500" s="4">
        <v>34.594000000000001</v>
      </c>
      <c r="M500" s="4">
        <v>34.594000000000001</v>
      </c>
      <c r="N500" s="4">
        <v>34.594000000000001</v>
      </c>
      <c r="O500" s="4">
        <v>34.594000000000001</v>
      </c>
      <c r="P500" s="4">
        <v>45</v>
      </c>
      <c r="Q500" s="3" t="s">
        <v>26</v>
      </c>
      <c r="R500" s="3">
        <v>0</v>
      </c>
      <c r="S500" s="3" t="s">
        <v>306</v>
      </c>
      <c r="T500" s="3" t="s">
        <v>545</v>
      </c>
      <c r="U500" s="3">
        <v>0</v>
      </c>
      <c r="V500" s="3">
        <v>32</v>
      </c>
      <c r="W500" s="3">
        <v>72</v>
      </c>
    </row>
    <row r="501" spans="1:23" ht="11.25" customHeight="1" x14ac:dyDescent="0.3">
      <c r="A501" s="3" t="s">
        <v>21</v>
      </c>
      <c r="B501" s="3" t="s">
        <v>42</v>
      </c>
      <c r="C501" s="3" t="s">
        <v>23</v>
      </c>
      <c r="D501" s="3" t="s">
        <v>43</v>
      </c>
      <c r="E501" s="3" t="s">
        <v>25</v>
      </c>
      <c r="F501" s="3" t="s">
        <v>25</v>
      </c>
      <c r="G501" s="3" t="s">
        <v>25</v>
      </c>
      <c r="H501" s="3" t="s">
        <v>25</v>
      </c>
      <c r="I501" s="6">
        <v>44652</v>
      </c>
      <c r="J501" s="4">
        <v>0</v>
      </c>
      <c r="K501" s="4">
        <v>0</v>
      </c>
      <c r="L501" s="4">
        <v>1764.9369999999999</v>
      </c>
      <c r="M501" s="4">
        <v>1764.9369999999999</v>
      </c>
      <c r="N501" s="4">
        <v>1764.9369999999999</v>
      </c>
      <c r="O501" s="4">
        <v>1764.9369999999999</v>
      </c>
      <c r="P501" s="4">
        <v>4502</v>
      </c>
      <c r="Q501" s="3" t="s">
        <v>26</v>
      </c>
      <c r="R501" s="3">
        <v>0</v>
      </c>
      <c r="S501" s="3" t="s">
        <v>307</v>
      </c>
      <c r="T501" s="3" t="s">
        <v>546</v>
      </c>
      <c r="U501" s="3">
        <v>0</v>
      </c>
      <c r="V501" s="3">
        <v>32</v>
      </c>
      <c r="W501" s="3">
        <v>72</v>
      </c>
    </row>
    <row r="502" spans="1:23" ht="11.25" customHeight="1" x14ac:dyDescent="0.3">
      <c r="A502" s="3" t="s">
        <v>27</v>
      </c>
      <c r="B502" s="3" t="s">
        <v>42</v>
      </c>
      <c r="C502" s="3" t="s">
        <v>23</v>
      </c>
      <c r="D502" s="3" t="s">
        <v>43</v>
      </c>
      <c r="E502" s="3" t="s">
        <v>25</v>
      </c>
      <c r="F502" s="3" t="s">
        <v>25</v>
      </c>
      <c r="G502" s="3" t="s">
        <v>25</v>
      </c>
      <c r="H502" s="3" t="s">
        <v>25</v>
      </c>
      <c r="I502" s="6">
        <v>44652</v>
      </c>
      <c r="J502" s="4">
        <v>0</v>
      </c>
      <c r="K502" s="4">
        <v>0</v>
      </c>
      <c r="L502" s="4">
        <v>-3.8220000000000001</v>
      </c>
      <c r="M502" s="4">
        <v>-3.8220000000000001</v>
      </c>
      <c r="N502" s="4">
        <v>-3.8220000000000001</v>
      </c>
      <c r="O502" s="4">
        <v>-3.8220000000000001</v>
      </c>
      <c r="P502" s="4">
        <v>0</v>
      </c>
      <c r="Q502" s="3" t="s">
        <v>26</v>
      </c>
      <c r="R502" s="3">
        <v>0</v>
      </c>
      <c r="S502" s="3" t="s">
        <v>307</v>
      </c>
      <c r="T502" s="3" t="s">
        <v>546</v>
      </c>
      <c r="U502" s="3">
        <v>0</v>
      </c>
      <c r="V502" s="3">
        <v>32</v>
      </c>
      <c r="W502" s="3">
        <v>72</v>
      </c>
    </row>
    <row r="503" spans="1:23" ht="11.25" customHeight="1" x14ac:dyDescent="0.3">
      <c r="A503" s="3" t="s">
        <v>28</v>
      </c>
      <c r="B503" s="3" t="s">
        <v>42</v>
      </c>
      <c r="C503" s="3" t="s">
        <v>23</v>
      </c>
      <c r="D503" s="3" t="s">
        <v>43</v>
      </c>
      <c r="E503" s="3" t="s">
        <v>25</v>
      </c>
      <c r="F503" s="3" t="s">
        <v>25</v>
      </c>
      <c r="G503" s="3" t="s">
        <v>25</v>
      </c>
      <c r="H503" s="3" t="s">
        <v>25</v>
      </c>
      <c r="I503" s="6">
        <v>44652</v>
      </c>
      <c r="J503" s="4">
        <v>0</v>
      </c>
      <c r="K503" s="4">
        <v>0</v>
      </c>
      <c r="L503" s="4">
        <v>25.048999999999999</v>
      </c>
      <c r="M503" s="4">
        <v>25.048999999999999</v>
      </c>
      <c r="N503" s="4">
        <v>25.048999999999999</v>
      </c>
      <c r="O503" s="4">
        <v>25.048999999999999</v>
      </c>
      <c r="P503" s="4">
        <v>40</v>
      </c>
      <c r="Q503" s="3" t="s">
        <v>26</v>
      </c>
      <c r="R503" s="3">
        <v>0</v>
      </c>
      <c r="S503" s="3" t="s">
        <v>307</v>
      </c>
      <c r="T503" s="3" t="s">
        <v>546</v>
      </c>
      <c r="U503" s="3">
        <v>0</v>
      </c>
      <c r="V503" s="3">
        <v>32</v>
      </c>
      <c r="W503" s="3">
        <v>72</v>
      </c>
    </row>
    <row r="504" spans="1:23" ht="11.25" customHeight="1" x14ac:dyDescent="0.3">
      <c r="A504" s="3" t="s">
        <v>21</v>
      </c>
      <c r="B504" s="3" t="s">
        <v>42</v>
      </c>
      <c r="C504" s="3" t="s">
        <v>23</v>
      </c>
      <c r="D504" s="3" t="s">
        <v>43</v>
      </c>
      <c r="E504" s="3" t="s">
        <v>25</v>
      </c>
      <c r="F504" s="3" t="s">
        <v>25</v>
      </c>
      <c r="G504" s="3" t="s">
        <v>25</v>
      </c>
      <c r="H504" s="3" t="s">
        <v>25</v>
      </c>
      <c r="I504" s="6">
        <v>44682</v>
      </c>
      <c r="J504" s="4">
        <v>0</v>
      </c>
      <c r="K504" s="4">
        <v>0</v>
      </c>
      <c r="L504" s="4">
        <v>1466.04</v>
      </c>
      <c r="M504" s="4">
        <v>1466.04</v>
      </c>
      <c r="N504" s="4">
        <v>1466.04</v>
      </c>
      <c r="O504" s="4">
        <v>1466.04</v>
      </c>
      <c r="P504" s="4">
        <v>4505</v>
      </c>
      <c r="Q504" s="3" t="s">
        <v>26</v>
      </c>
      <c r="R504" s="3">
        <v>0</v>
      </c>
      <c r="S504" s="3" t="s">
        <v>308</v>
      </c>
      <c r="T504" s="3" t="s">
        <v>547</v>
      </c>
      <c r="U504" s="3">
        <v>0</v>
      </c>
      <c r="V504" s="3">
        <v>32</v>
      </c>
      <c r="W504" s="3">
        <v>72</v>
      </c>
    </row>
    <row r="505" spans="1:23" ht="11.25" customHeight="1" x14ac:dyDescent="0.3">
      <c r="A505" s="3" t="s">
        <v>27</v>
      </c>
      <c r="B505" s="3" t="s">
        <v>42</v>
      </c>
      <c r="C505" s="3" t="s">
        <v>23</v>
      </c>
      <c r="D505" s="3" t="s">
        <v>43</v>
      </c>
      <c r="E505" s="3" t="s">
        <v>25</v>
      </c>
      <c r="F505" s="3" t="s">
        <v>25</v>
      </c>
      <c r="G505" s="3" t="s">
        <v>25</v>
      </c>
      <c r="H505" s="3" t="s">
        <v>25</v>
      </c>
      <c r="I505" s="6">
        <v>44682</v>
      </c>
      <c r="J505" s="4">
        <v>0</v>
      </c>
      <c r="K505" s="4">
        <v>0</v>
      </c>
      <c r="L505" s="4">
        <v>0.58299999999999996</v>
      </c>
      <c r="M505" s="4">
        <v>0.58299999999999996</v>
      </c>
      <c r="N505" s="4">
        <v>0.58299999999999996</v>
      </c>
      <c r="O505" s="4">
        <v>0.58299999999999996</v>
      </c>
      <c r="P505" s="4">
        <v>0</v>
      </c>
      <c r="Q505" s="3" t="s">
        <v>26</v>
      </c>
      <c r="R505" s="3">
        <v>0</v>
      </c>
      <c r="S505" s="3" t="s">
        <v>308</v>
      </c>
      <c r="T505" s="3" t="s">
        <v>547</v>
      </c>
      <c r="U505" s="3">
        <v>0</v>
      </c>
      <c r="V505" s="3">
        <v>32</v>
      </c>
      <c r="W505" s="3">
        <v>72</v>
      </c>
    </row>
    <row r="506" spans="1:23" ht="11.25" customHeight="1" x14ac:dyDescent="0.3">
      <c r="A506" s="3" t="s">
        <v>28</v>
      </c>
      <c r="B506" s="3" t="s">
        <v>42</v>
      </c>
      <c r="C506" s="3" t="s">
        <v>23</v>
      </c>
      <c r="D506" s="3" t="s">
        <v>43</v>
      </c>
      <c r="E506" s="3" t="s">
        <v>25</v>
      </c>
      <c r="F506" s="3" t="s">
        <v>25</v>
      </c>
      <c r="G506" s="3" t="s">
        <v>25</v>
      </c>
      <c r="H506" s="3" t="s">
        <v>25</v>
      </c>
      <c r="I506" s="6">
        <v>44682</v>
      </c>
      <c r="J506" s="4">
        <v>0</v>
      </c>
      <c r="K506" s="4">
        <v>0</v>
      </c>
      <c r="L506" s="4">
        <v>14.222</v>
      </c>
      <c r="M506" s="4">
        <v>14.222</v>
      </c>
      <c r="N506" s="4">
        <v>14.222</v>
      </c>
      <c r="O506" s="4">
        <v>14.222</v>
      </c>
      <c r="P506" s="4">
        <v>48</v>
      </c>
      <c r="Q506" s="3" t="s">
        <v>26</v>
      </c>
      <c r="R506" s="3">
        <v>0</v>
      </c>
      <c r="S506" s="3" t="s">
        <v>308</v>
      </c>
      <c r="T506" s="3" t="s">
        <v>547</v>
      </c>
      <c r="U506" s="3">
        <v>0</v>
      </c>
      <c r="V506" s="3">
        <v>32</v>
      </c>
      <c r="W506" s="3">
        <v>72</v>
      </c>
    </row>
    <row r="507" spans="1:23" ht="11.25" customHeight="1" x14ac:dyDescent="0.3">
      <c r="A507" s="3" t="s">
        <v>21</v>
      </c>
      <c r="B507" s="3" t="s">
        <v>42</v>
      </c>
      <c r="C507" s="3" t="s">
        <v>23</v>
      </c>
      <c r="D507" s="3" t="s">
        <v>43</v>
      </c>
      <c r="E507" s="3" t="s">
        <v>25</v>
      </c>
      <c r="F507" s="3" t="s">
        <v>25</v>
      </c>
      <c r="G507" s="3" t="s">
        <v>25</v>
      </c>
      <c r="H507" s="3" t="s">
        <v>25</v>
      </c>
      <c r="I507" s="6">
        <v>44713</v>
      </c>
      <c r="J507" s="4">
        <v>0</v>
      </c>
      <c r="K507" s="4">
        <v>0</v>
      </c>
      <c r="L507" s="4">
        <v>1335.79</v>
      </c>
      <c r="M507" s="4">
        <v>1335.79</v>
      </c>
      <c r="N507" s="4">
        <v>1335.79</v>
      </c>
      <c r="O507" s="4">
        <v>1335.79</v>
      </c>
      <c r="P507" s="4">
        <v>4496</v>
      </c>
      <c r="Q507" s="3" t="s">
        <v>26</v>
      </c>
      <c r="R507" s="3">
        <v>0</v>
      </c>
      <c r="S507" s="3" t="s">
        <v>309</v>
      </c>
      <c r="T507" s="3" t="s">
        <v>548</v>
      </c>
      <c r="U507" s="3">
        <v>0</v>
      </c>
      <c r="V507" s="3">
        <v>32</v>
      </c>
      <c r="W507" s="3">
        <v>72</v>
      </c>
    </row>
    <row r="508" spans="1:23" ht="11.25" customHeight="1" x14ac:dyDescent="0.3">
      <c r="A508" s="3" t="s">
        <v>27</v>
      </c>
      <c r="B508" s="3" t="s">
        <v>42</v>
      </c>
      <c r="C508" s="3" t="s">
        <v>23</v>
      </c>
      <c r="D508" s="3" t="s">
        <v>43</v>
      </c>
      <c r="E508" s="3" t="s">
        <v>25</v>
      </c>
      <c r="F508" s="3" t="s">
        <v>25</v>
      </c>
      <c r="G508" s="3" t="s">
        <v>25</v>
      </c>
      <c r="H508" s="3" t="s">
        <v>25</v>
      </c>
      <c r="I508" s="6">
        <v>44713</v>
      </c>
      <c r="J508" s="4">
        <v>0</v>
      </c>
      <c r="K508" s="4">
        <v>0</v>
      </c>
      <c r="L508" s="4">
        <v>-2.8180000000000001</v>
      </c>
      <c r="M508" s="4">
        <v>-2.8180000000000001</v>
      </c>
      <c r="N508" s="4">
        <v>-2.8180000000000001</v>
      </c>
      <c r="O508" s="4">
        <v>-2.8180000000000001</v>
      </c>
      <c r="P508" s="4">
        <v>0</v>
      </c>
      <c r="Q508" s="3" t="s">
        <v>26</v>
      </c>
      <c r="R508" s="3">
        <v>0</v>
      </c>
      <c r="S508" s="3" t="s">
        <v>309</v>
      </c>
      <c r="T508" s="3" t="s">
        <v>548</v>
      </c>
      <c r="U508" s="3">
        <v>0</v>
      </c>
      <c r="V508" s="3">
        <v>32</v>
      </c>
      <c r="W508" s="3">
        <v>72</v>
      </c>
    </row>
    <row r="509" spans="1:23" ht="11.25" customHeight="1" x14ac:dyDescent="0.3">
      <c r="A509" s="3" t="s">
        <v>28</v>
      </c>
      <c r="B509" s="3" t="s">
        <v>42</v>
      </c>
      <c r="C509" s="3" t="s">
        <v>23</v>
      </c>
      <c r="D509" s="3" t="s">
        <v>43</v>
      </c>
      <c r="E509" s="3" t="s">
        <v>25</v>
      </c>
      <c r="F509" s="3" t="s">
        <v>25</v>
      </c>
      <c r="G509" s="3" t="s">
        <v>25</v>
      </c>
      <c r="H509" s="3" t="s">
        <v>25</v>
      </c>
      <c r="I509" s="6">
        <v>44713</v>
      </c>
      <c r="J509" s="4">
        <v>0</v>
      </c>
      <c r="K509" s="4">
        <v>0</v>
      </c>
      <c r="L509" s="4">
        <v>22.350999999999999</v>
      </c>
      <c r="M509" s="4">
        <v>22.350999999999999</v>
      </c>
      <c r="N509" s="4">
        <v>22.350999999999999</v>
      </c>
      <c r="O509" s="4">
        <v>22.350999999999999</v>
      </c>
      <c r="P509" s="4">
        <v>52</v>
      </c>
      <c r="Q509" s="3" t="s">
        <v>26</v>
      </c>
      <c r="R509" s="3">
        <v>0</v>
      </c>
      <c r="S509" s="3" t="s">
        <v>309</v>
      </c>
      <c r="T509" s="3" t="s">
        <v>548</v>
      </c>
      <c r="U509" s="3">
        <v>0</v>
      </c>
      <c r="V509" s="3">
        <v>32</v>
      </c>
      <c r="W509" s="3">
        <v>72</v>
      </c>
    </row>
    <row r="510" spans="1:23" ht="11.25" customHeight="1" x14ac:dyDescent="0.3">
      <c r="A510" s="3" t="s">
        <v>21</v>
      </c>
      <c r="B510" s="3" t="s">
        <v>37</v>
      </c>
      <c r="C510" s="3" t="s">
        <v>33</v>
      </c>
      <c r="D510" s="3" t="s">
        <v>41</v>
      </c>
      <c r="E510" s="3" t="s">
        <v>25</v>
      </c>
      <c r="F510" s="3" t="s">
        <v>25</v>
      </c>
      <c r="G510" s="3" t="s">
        <v>25</v>
      </c>
      <c r="H510" s="3" t="s">
        <v>35</v>
      </c>
      <c r="I510" s="6">
        <v>44378</v>
      </c>
      <c r="J510" s="4">
        <v>0</v>
      </c>
      <c r="K510" s="4">
        <v>0</v>
      </c>
      <c r="L510" s="4">
        <v>0.42899999999999999</v>
      </c>
      <c r="M510" s="4">
        <v>0.42899999999999999</v>
      </c>
      <c r="N510" s="4">
        <v>0.42899999999999999</v>
      </c>
      <c r="O510" s="4">
        <v>0.42899999999999999</v>
      </c>
      <c r="P510" s="4">
        <v>0</v>
      </c>
      <c r="Q510" s="3" t="s">
        <v>26</v>
      </c>
      <c r="R510" s="3">
        <v>0</v>
      </c>
      <c r="S510" s="3" t="s">
        <v>310</v>
      </c>
      <c r="T510" s="3" t="s">
        <v>549</v>
      </c>
      <c r="U510" s="3">
        <v>0</v>
      </c>
      <c r="V510" s="3">
        <v>46</v>
      </c>
      <c r="W510" s="3">
        <v>86</v>
      </c>
    </row>
    <row r="511" spans="1:23" ht="11.25" customHeight="1" x14ac:dyDescent="0.3">
      <c r="A511" s="3" t="s">
        <v>21</v>
      </c>
      <c r="B511" s="3" t="s">
        <v>37</v>
      </c>
      <c r="C511" s="3" t="s">
        <v>33</v>
      </c>
      <c r="D511" s="3" t="s">
        <v>41</v>
      </c>
      <c r="E511" s="3" t="s">
        <v>25</v>
      </c>
      <c r="F511" s="3" t="s">
        <v>25</v>
      </c>
      <c r="G511" s="3" t="s">
        <v>25</v>
      </c>
      <c r="H511" s="3" t="s">
        <v>35</v>
      </c>
      <c r="I511" s="6">
        <v>44409</v>
      </c>
      <c r="J511" s="4">
        <v>0</v>
      </c>
      <c r="K511" s="4">
        <v>0</v>
      </c>
      <c r="L511" s="4">
        <v>0.34499999999999997</v>
      </c>
      <c r="M511" s="4">
        <v>0.34499999999999997</v>
      </c>
      <c r="N511" s="4">
        <v>0.34499999999999997</v>
      </c>
      <c r="O511" s="4">
        <v>0.34499999999999997</v>
      </c>
      <c r="P511" s="4">
        <v>0</v>
      </c>
      <c r="Q511" s="3" t="s">
        <v>26</v>
      </c>
      <c r="R511" s="3">
        <v>0</v>
      </c>
      <c r="S511" s="3" t="s">
        <v>311</v>
      </c>
      <c r="T511" s="3" t="s">
        <v>550</v>
      </c>
      <c r="U511" s="3">
        <v>0</v>
      </c>
      <c r="V511" s="3">
        <v>46</v>
      </c>
      <c r="W511" s="3">
        <v>86</v>
      </c>
    </row>
    <row r="512" spans="1:23" ht="11.25" customHeight="1" x14ac:dyDescent="0.3">
      <c r="A512" s="3" t="s">
        <v>21</v>
      </c>
      <c r="B512" s="3" t="s">
        <v>37</v>
      </c>
      <c r="C512" s="3" t="s">
        <v>33</v>
      </c>
      <c r="D512" s="3" t="s">
        <v>41</v>
      </c>
      <c r="E512" s="3" t="s">
        <v>25</v>
      </c>
      <c r="F512" s="3" t="s">
        <v>25</v>
      </c>
      <c r="G512" s="3" t="s">
        <v>25</v>
      </c>
      <c r="H512" s="3" t="s">
        <v>35</v>
      </c>
      <c r="I512" s="6">
        <v>44440</v>
      </c>
      <c r="J512" s="4">
        <v>0</v>
      </c>
      <c r="K512" s="4">
        <v>0</v>
      </c>
      <c r="L512" s="4">
        <v>0.19600000000000001</v>
      </c>
      <c r="M512" s="4">
        <v>0.19600000000000001</v>
      </c>
      <c r="N512" s="4">
        <v>0.19600000000000001</v>
      </c>
      <c r="O512" s="4">
        <v>0.19600000000000001</v>
      </c>
      <c r="P512" s="4">
        <v>0</v>
      </c>
      <c r="Q512" s="3" t="s">
        <v>26</v>
      </c>
      <c r="R512" s="3">
        <v>0</v>
      </c>
      <c r="S512" s="3" t="s">
        <v>312</v>
      </c>
      <c r="T512" s="3" t="s">
        <v>551</v>
      </c>
      <c r="U512" s="3">
        <v>0</v>
      </c>
      <c r="V512" s="3">
        <v>46</v>
      </c>
      <c r="W512" s="3">
        <v>86</v>
      </c>
    </row>
    <row r="513" spans="1:23" ht="11.25" customHeight="1" x14ac:dyDescent="0.3">
      <c r="A513" s="3" t="s">
        <v>21</v>
      </c>
      <c r="B513" s="3" t="s">
        <v>37</v>
      </c>
      <c r="C513" s="3" t="s">
        <v>33</v>
      </c>
      <c r="D513" s="3" t="s">
        <v>41</v>
      </c>
      <c r="E513" s="3" t="s">
        <v>25</v>
      </c>
      <c r="F513" s="3" t="s">
        <v>25</v>
      </c>
      <c r="G513" s="3" t="s">
        <v>25</v>
      </c>
      <c r="H513" s="3" t="s">
        <v>35</v>
      </c>
      <c r="I513" s="6">
        <v>44470</v>
      </c>
      <c r="J513" s="4">
        <v>0</v>
      </c>
      <c r="K513" s="4">
        <v>0</v>
      </c>
      <c r="L513" s="4">
        <v>0.192</v>
      </c>
      <c r="M513" s="4">
        <v>0.192</v>
      </c>
      <c r="N513" s="4">
        <v>0.192</v>
      </c>
      <c r="O513" s="4">
        <v>0.192</v>
      </c>
      <c r="P513" s="4">
        <v>0</v>
      </c>
      <c r="Q513" s="3" t="s">
        <v>26</v>
      </c>
      <c r="R513" s="3">
        <v>0</v>
      </c>
      <c r="S513" s="3" t="s">
        <v>313</v>
      </c>
      <c r="T513" s="3" t="s">
        <v>552</v>
      </c>
      <c r="U513" s="3">
        <v>0</v>
      </c>
      <c r="V513" s="3">
        <v>46</v>
      </c>
      <c r="W513" s="3">
        <v>86</v>
      </c>
    </row>
    <row r="514" spans="1:23" ht="11.25" customHeight="1" x14ac:dyDescent="0.3">
      <c r="A514" s="3" t="s">
        <v>21</v>
      </c>
      <c r="B514" s="3" t="s">
        <v>37</v>
      </c>
      <c r="C514" s="3" t="s">
        <v>33</v>
      </c>
      <c r="D514" s="3" t="s">
        <v>41</v>
      </c>
      <c r="E514" s="3" t="s">
        <v>25</v>
      </c>
      <c r="F514" s="3" t="s">
        <v>25</v>
      </c>
      <c r="G514" s="3" t="s">
        <v>25</v>
      </c>
      <c r="H514" s="3" t="s">
        <v>35</v>
      </c>
      <c r="I514" s="6">
        <v>44501</v>
      </c>
      <c r="J514" s="4">
        <v>0</v>
      </c>
      <c r="K514" s="4">
        <v>0</v>
      </c>
      <c r="L514" s="4">
        <v>0.28599999999999998</v>
      </c>
      <c r="M514" s="4">
        <v>0.28599999999999998</v>
      </c>
      <c r="N514" s="4">
        <v>0.28599999999999998</v>
      </c>
      <c r="O514" s="4">
        <v>0.28599999999999998</v>
      </c>
      <c r="P514" s="4">
        <v>0</v>
      </c>
      <c r="Q514" s="3" t="s">
        <v>26</v>
      </c>
      <c r="R514" s="3">
        <v>0</v>
      </c>
      <c r="S514" s="3" t="s">
        <v>314</v>
      </c>
      <c r="T514" s="3" t="s">
        <v>553</v>
      </c>
      <c r="U514" s="3">
        <v>0</v>
      </c>
      <c r="V514" s="3">
        <v>46</v>
      </c>
      <c r="W514" s="3">
        <v>86</v>
      </c>
    </row>
    <row r="515" spans="1:23" ht="11.25" customHeight="1" x14ac:dyDescent="0.3">
      <c r="A515" s="3" t="s">
        <v>21</v>
      </c>
      <c r="B515" s="3" t="s">
        <v>37</v>
      </c>
      <c r="C515" s="3" t="s">
        <v>33</v>
      </c>
      <c r="D515" s="3" t="s">
        <v>41</v>
      </c>
      <c r="E515" s="3" t="s">
        <v>25</v>
      </c>
      <c r="F515" s="3" t="s">
        <v>25</v>
      </c>
      <c r="G515" s="3" t="s">
        <v>25</v>
      </c>
      <c r="H515" s="3" t="s">
        <v>35</v>
      </c>
      <c r="I515" s="6">
        <v>44531</v>
      </c>
      <c r="J515" s="4">
        <v>0</v>
      </c>
      <c r="K515" s="4">
        <v>0</v>
      </c>
      <c r="L515" s="4">
        <v>0.39400000000000002</v>
      </c>
      <c r="M515" s="4">
        <v>0.39400000000000002</v>
      </c>
      <c r="N515" s="4">
        <v>0.39400000000000002</v>
      </c>
      <c r="O515" s="4">
        <v>0.39400000000000002</v>
      </c>
      <c r="P515" s="4">
        <v>0</v>
      </c>
      <c r="Q515" s="3" t="s">
        <v>26</v>
      </c>
      <c r="R515" s="3">
        <v>0</v>
      </c>
      <c r="S515" s="3" t="s">
        <v>315</v>
      </c>
      <c r="T515" s="3" t="s">
        <v>554</v>
      </c>
      <c r="U515" s="3">
        <v>0</v>
      </c>
      <c r="V515" s="3">
        <v>46</v>
      </c>
      <c r="W515" s="3">
        <v>86</v>
      </c>
    </row>
    <row r="516" spans="1:23" ht="11.25" customHeight="1" x14ac:dyDescent="0.3">
      <c r="A516" s="3" t="s">
        <v>21</v>
      </c>
      <c r="B516" s="3" t="s">
        <v>37</v>
      </c>
      <c r="C516" s="3" t="s">
        <v>33</v>
      </c>
      <c r="D516" s="3" t="s">
        <v>41</v>
      </c>
      <c r="E516" s="3" t="s">
        <v>25</v>
      </c>
      <c r="F516" s="3" t="s">
        <v>25</v>
      </c>
      <c r="G516" s="3" t="s">
        <v>25</v>
      </c>
      <c r="H516" s="3" t="s">
        <v>35</v>
      </c>
      <c r="I516" s="6">
        <v>44562</v>
      </c>
      <c r="J516" s="4">
        <v>0</v>
      </c>
      <c r="K516" s="4">
        <v>0</v>
      </c>
      <c r="L516" s="4">
        <v>0.47399999999999998</v>
      </c>
      <c r="M516" s="4">
        <v>0.47399999999999998</v>
      </c>
      <c r="N516" s="4">
        <v>0.47399999999999998</v>
      </c>
      <c r="O516" s="4">
        <v>0.47399999999999998</v>
      </c>
      <c r="P516" s="4">
        <v>0</v>
      </c>
      <c r="Q516" s="3" t="s">
        <v>26</v>
      </c>
      <c r="R516" s="3">
        <v>0</v>
      </c>
      <c r="S516" s="3" t="s">
        <v>316</v>
      </c>
      <c r="T516" s="3" t="s">
        <v>555</v>
      </c>
      <c r="U516" s="3">
        <v>0</v>
      </c>
      <c r="V516" s="3">
        <v>46</v>
      </c>
      <c r="W516" s="3">
        <v>86</v>
      </c>
    </row>
    <row r="517" spans="1:23" ht="11.25" customHeight="1" x14ac:dyDescent="0.3">
      <c r="A517" s="3" t="s">
        <v>21</v>
      </c>
      <c r="B517" s="3" t="s">
        <v>37</v>
      </c>
      <c r="C517" s="3" t="s">
        <v>33</v>
      </c>
      <c r="D517" s="3" t="s">
        <v>41</v>
      </c>
      <c r="E517" s="3" t="s">
        <v>25</v>
      </c>
      <c r="F517" s="3" t="s">
        <v>25</v>
      </c>
      <c r="G517" s="3" t="s">
        <v>25</v>
      </c>
      <c r="H517" s="3" t="s">
        <v>35</v>
      </c>
      <c r="I517" s="6">
        <v>44593</v>
      </c>
      <c r="J517" s="4">
        <v>0</v>
      </c>
      <c r="K517" s="4">
        <v>0</v>
      </c>
      <c r="L517" s="4">
        <v>0.59299999999999997</v>
      </c>
      <c r="M517" s="4">
        <v>0.59299999999999997</v>
      </c>
      <c r="N517" s="4">
        <v>0.59299999999999997</v>
      </c>
      <c r="O517" s="4">
        <v>0.59299999999999997</v>
      </c>
      <c r="P517" s="4">
        <v>0</v>
      </c>
      <c r="Q517" s="3" t="s">
        <v>26</v>
      </c>
      <c r="R517" s="3">
        <v>0</v>
      </c>
      <c r="S517" s="3" t="s">
        <v>317</v>
      </c>
      <c r="T517" s="3" t="s">
        <v>556</v>
      </c>
      <c r="U517" s="3">
        <v>0</v>
      </c>
      <c r="V517" s="3">
        <v>46</v>
      </c>
      <c r="W517" s="3">
        <v>86</v>
      </c>
    </row>
    <row r="518" spans="1:23" ht="11.25" customHeight="1" x14ac:dyDescent="0.3">
      <c r="A518" s="3" t="s">
        <v>21</v>
      </c>
      <c r="B518" s="3" t="s">
        <v>37</v>
      </c>
      <c r="C518" s="3" t="s">
        <v>33</v>
      </c>
      <c r="D518" s="3" t="s">
        <v>41</v>
      </c>
      <c r="E518" s="3" t="s">
        <v>25</v>
      </c>
      <c r="F518" s="3" t="s">
        <v>25</v>
      </c>
      <c r="G518" s="3" t="s">
        <v>25</v>
      </c>
      <c r="H518" s="3" t="s">
        <v>35</v>
      </c>
      <c r="I518" s="6">
        <v>44621</v>
      </c>
      <c r="J518" s="4">
        <v>0</v>
      </c>
      <c r="K518" s="4">
        <v>0</v>
      </c>
      <c r="L518" s="4">
        <v>0.46</v>
      </c>
      <c r="M518" s="4">
        <v>0.46</v>
      </c>
      <c r="N518" s="4">
        <v>0.46</v>
      </c>
      <c r="O518" s="4">
        <v>0.46</v>
      </c>
      <c r="P518" s="4">
        <v>0</v>
      </c>
      <c r="Q518" s="3" t="s">
        <v>26</v>
      </c>
      <c r="R518" s="3">
        <v>0</v>
      </c>
      <c r="S518" s="3" t="s">
        <v>318</v>
      </c>
      <c r="T518" s="3" t="s">
        <v>557</v>
      </c>
      <c r="U518" s="3">
        <v>0</v>
      </c>
      <c r="V518" s="3">
        <v>46</v>
      </c>
      <c r="W518" s="3">
        <v>86</v>
      </c>
    </row>
    <row r="519" spans="1:23" ht="11.25" customHeight="1" x14ac:dyDescent="0.3">
      <c r="A519" s="3" t="s">
        <v>21</v>
      </c>
      <c r="B519" s="3" t="s">
        <v>37</v>
      </c>
      <c r="C519" s="3" t="s">
        <v>33</v>
      </c>
      <c r="D519" s="3" t="s">
        <v>41</v>
      </c>
      <c r="E519" s="3" t="s">
        <v>25</v>
      </c>
      <c r="F519" s="3" t="s">
        <v>25</v>
      </c>
      <c r="G519" s="3" t="s">
        <v>25</v>
      </c>
      <c r="H519" s="3" t="s">
        <v>35</v>
      </c>
      <c r="I519" s="6">
        <v>44652</v>
      </c>
      <c r="J519" s="4">
        <v>0</v>
      </c>
      <c r="K519" s="4">
        <v>0</v>
      </c>
      <c r="L519" s="4">
        <v>0.18099999999999999</v>
      </c>
      <c r="M519" s="4">
        <v>0.18099999999999999</v>
      </c>
      <c r="N519" s="4">
        <v>0.18099999999999999</v>
      </c>
      <c r="O519" s="4">
        <v>0.18099999999999999</v>
      </c>
      <c r="P519" s="4">
        <v>0</v>
      </c>
      <c r="Q519" s="3" t="s">
        <v>26</v>
      </c>
      <c r="R519" s="3">
        <v>0</v>
      </c>
      <c r="S519" s="3" t="s">
        <v>319</v>
      </c>
      <c r="T519" s="3" t="s">
        <v>558</v>
      </c>
      <c r="U519" s="3">
        <v>0</v>
      </c>
      <c r="V519" s="3">
        <v>46</v>
      </c>
      <c r="W519" s="3">
        <v>86</v>
      </c>
    </row>
    <row r="520" spans="1:23" ht="11.25" customHeight="1" x14ac:dyDescent="0.3">
      <c r="A520" s="3" t="s">
        <v>21</v>
      </c>
      <c r="B520" s="3" t="s">
        <v>37</v>
      </c>
      <c r="C520" s="3" t="s">
        <v>33</v>
      </c>
      <c r="D520" s="3" t="s">
        <v>41</v>
      </c>
      <c r="E520" s="3" t="s">
        <v>25</v>
      </c>
      <c r="F520" s="3" t="s">
        <v>25</v>
      </c>
      <c r="G520" s="3" t="s">
        <v>25</v>
      </c>
      <c r="H520" s="3" t="s">
        <v>35</v>
      </c>
      <c r="I520" s="6">
        <v>44682</v>
      </c>
      <c r="J520" s="4">
        <v>0</v>
      </c>
      <c r="K520" s="4">
        <v>0</v>
      </c>
      <c r="L520" s="4">
        <v>0.14000000000000001</v>
      </c>
      <c r="M520" s="4">
        <v>0.14000000000000001</v>
      </c>
      <c r="N520" s="4">
        <v>0.14000000000000001</v>
      </c>
      <c r="O520" s="4">
        <v>0.14000000000000001</v>
      </c>
      <c r="P520" s="4">
        <v>0</v>
      </c>
      <c r="Q520" s="3" t="s">
        <v>26</v>
      </c>
      <c r="R520" s="3">
        <v>0</v>
      </c>
      <c r="S520" s="3" t="s">
        <v>320</v>
      </c>
      <c r="T520" s="3" t="s">
        <v>559</v>
      </c>
      <c r="U520" s="3">
        <v>0</v>
      </c>
      <c r="V520" s="3">
        <v>46</v>
      </c>
      <c r="W520" s="3">
        <v>86</v>
      </c>
    </row>
    <row r="521" spans="1:23" ht="11.25" customHeight="1" x14ac:dyDescent="0.3">
      <c r="A521" s="3" t="s">
        <v>21</v>
      </c>
      <c r="B521" s="3" t="s">
        <v>37</v>
      </c>
      <c r="C521" s="3" t="s">
        <v>33</v>
      </c>
      <c r="D521" s="3" t="s">
        <v>41</v>
      </c>
      <c r="E521" s="3" t="s">
        <v>25</v>
      </c>
      <c r="F521" s="3" t="s">
        <v>25</v>
      </c>
      <c r="G521" s="3" t="s">
        <v>25</v>
      </c>
      <c r="H521" s="3" t="s">
        <v>35</v>
      </c>
      <c r="I521" s="6">
        <v>44713</v>
      </c>
      <c r="J521" s="4">
        <v>0</v>
      </c>
      <c r="K521" s="4">
        <v>0</v>
      </c>
      <c r="L521" s="4">
        <v>0.34399999999999997</v>
      </c>
      <c r="M521" s="4">
        <v>0.34399999999999997</v>
      </c>
      <c r="N521" s="4">
        <v>0.34399999999999997</v>
      </c>
      <c r="O521" s="4">
        <v>0.34399999999999997</v>
      </c>
      <c r="P521" s="4">
        <v>0</v>
      </c>
      <c r="Q521" s="3" t="s">
        <v>26</v>
      </c>
      <c r="R521" s="3">
        <v>0</v>
      </c>
      <c r="S521" s="3" t="s">
        <v>321</v>
      </c>
      <c r="T521" s="3" t="s">
        <v>560</v>
      </c>
      <c r="U521" s="3">
        <v>0</v>
      </c>
      <c r="V521" s="3">
        <v>46</v>
      </c>
      <c r="W521" s="3">
        <v>86</v>
      </c>
    </row>
    <row r="522" spans="1:23" ht="11.25" customHeight="1" x14ac:dyDescent="0.3">
      <c r="A522" s="3" t="s">
        <v>21</v>
      </c>
      <c r="B522" s="3" t="s">
        <v>37</v>
      </c>
      <c r="C522" s="3" t="s">
        <v>33</v>
      </c>
      <c r="D522" s="3" t="s">
        <v>41</v>
      </c>
      <c r="E522" s="3" t="s">
        <v>25</v>
      </c>
      <c r="F522" s="3" t="s">
        <v>25</v>
      </c>
      <c r="G522" s="3" t="s">
        <v>25</v>
      </c>
      <c r="H522" s="3" t="s">
        <v>36</v>
      </c>
      <c r="I522" s="6">
        <v>44378</v>
      </c>
      <c r="J522" s="4">
        <v>0</v>
      </c>
      <c r="K522" s="4">
        <v>0</v>
      </c>
      <c r="L522" s="4">
        <v>3.2000000000000001E-2</v>
      </c>
      <c r="M522" s="4">
        <v>3.2000000000000001E-2</v>
      </c>
      <c r="N522" s="4">
        <v>3.2000000000000001E-2</v>
      </c>
      <c r="O522" s="4">
        <v>3.2000000000000001E-2</v>
      </c>
      <c r="P522" s="4">
        <v>0</v>
      </c>
      <c r="Q522" s="3" t="s">
        <v>26</v>
      </c>
      <c r="R522" s="3">
        <v>0</v>
      </c>
      <c r="S522" s="3" t="s">
        <v>322</v>
      </c>
      <c r="T522" s="3" t="s">
        <v>561</v>
      </c>
      <c r="U522" s="3">
        <v>0</v>
      </c>
      <c r="V522" s="3">
        <v>45</v>
      </c>
      <c r="W522" s="3">
        <v>85</v>
      </c>
    </row>
    <row r="523" spans="1:23" ht="11.25" customHeight="1" x14ac:dyDescent="0.3">
      <c r="A523" s="3" t="s">
        <v>21</v>
      </c>
      <c r="B523" s="3" t="s">
        <v>37</v>
      </c>
      <c r="C523" s="3" t="s">
        <v>33</v>
      </c>
      <c r="D523" s="3" t="s">
        <v>41</v>
      </c>
      <c r="E523" s="3" t="s">
        <v>25</v>
      </c>
      <c r="F523" s="3" t="s">
        <v>25</v>
      </c>
      <c r="G523" s="3" t="s">
        <v>25</v>
      </c>
      <c r="H523" s="3" t="s">
        <v>36</v>
      </c>
      <c r="I523" s="6">
        <v>44409</v>
      </c>
      <c r="J523" s="4">
        <v>0</v>
      </c>
      <c r="K523" s="4">
        <v>0</v>
      </c>
      <c r="L523" s="4">
        <v>2.4E-2</v>
      </c>
      <c r="M523" s="4">
        <v>2.4E-2</v>
      </c>
      <c r="N523" s="4">
        <v>2.4E-2</v>
      </c>
      <c r="O523" s="4">
        <v>2.4E-2</v>
      </c>
      <c r="P523" s="4">
        <v>0</v>
      </c>
      <c r="Q523" s="3" t="s">
        <v>26</v>
      </c>
      <c r="R523" s="3">
        <v>0</v>
      </c>
      <c r="S523" s="3" t="s">
        <v>323</v>
      </c>
      <c r="T523" s="3" t="s">
        <v>562</v>
      </c>
      <c r="U523" s="3">
        <v>0</v>
      </c>
      <c r="V523" s="3">
        <v>45</v>
      </c>
      <c r="W523" s="3">
        <v>85</v>
      </c>
    </row>
    <row r="524" spans="1:23" ht="11.25" customHeight="1" x14ac:dyDescent="0.3">
      <c r="A524" s="3" t="s">
        <v>21</v>
      </c>
      <c r="B524" s="3" t="s">
        <v>37</v>
      </c>
      <c r="C524" s="3" t="s">
        <v>33</v>
      </c>
      <c r="D524" s="3" t="s">
        <v>41</v>
      </c>
      <c r="E524" s="3" t="s">
        <v>25</v>
      </c>
      <c r="F524" s="3" t="s">
        <v>25</v>
      </c>
      <c r="G524" s="3" t="s">
        <v>25</v>
      </c>
      <c r="H524" s="3" t="s">
        <v>36</v>
      </c>
      <c r="I524" s="6">
        <v>44440</v>
      </c>
      <c r="J524" s="4">
        <v>0</v>
      </c>
      <c r="K524" s="4">
        <v>0</v>
      </c>
      <c r="L524" s="4">
        <v>1.2999999999999999E-2</v>
      </c>
      <c r="M524" s="4">
        <v>1.2999999999999999E-2</v>
      </c>
      <c r="N524" s="4">
        <v>1.2999999999999999E-2</v>
      </c>
      <c r="O524" s="4">
        <v>1.2999999999999999E-2</v>
      </c>
      <c r="P524" s="4">
        <v>0</v>
      </c>
      <c r="Q524" s="3" t="s">
        <v>26</v>
      </c>
      <c r="R524" s="3">
        <v>0</v>
      </c>
      <c r="S524" s="3" t="s">
        <v>324</v>
      </c>
      <c r="T524" s="3" t="s">
        <v>563</v>
      </c>
      <c r="U524" s="3">
        <v>0</v>
      </c>
      <c r="V524" s="3">
        <v>45</v>
      </c>
      <c r="W524" s="3">
        <v>85</v>
      </c>
    </row>
    <row r="525" spans="1:23" ht="11.25" customHeight="1" x14ac:dyDescent="0.3">
      <c r="A525" s="3" t="s">
        <v>21</v>
      </c>
      <c r="B525" s="3" t="s">
        <v>37</v>
      </c>
      <c r="C525" s="3" t="s">
        <v>33</v>
      </c>
      <c r="D525" s="3" t="s">
        <v>41</v>
      </c>
      <c r="E525" s="3" t="s">
        <v>25</v>
      </c>
      <c r="F525" s="3" t="s">
        <v>25</v>
      </c>
      <c r="G525" s="3" t="s">
        <v>25</v>
      </c>
      <c r="H525" s="3" t="s">
        <v>36</v>
      </c>
      <c r="I525" s="6">
        <v>44470</v>
      </c>
      <c r="J525" s="4">
        <v>0</v>
      </c>
      <c r="K525" s="4">
        <v>0</v>
      </c>
      <c r="L525" s="4">
        <v>1.7000000000000001E-2</v>
      </c>
      <c r="M525" s="4">
        <v>1.7000000000000001E-2</v>
      </c>
      <c r="N525" s="4">
        <v>1.7000000000000001E-2</v>
      </c>
      <c r="O525" s="4">
        <v>1.7000000000000001E-2</v>
      </c>
      <c r="P525" s="4">
        <v>0</v>
      </c>
      <c r="Q525" s="3" t="s">
        <v>26</v>
      </c>
      <c r="R525" s="3">
        <v>0</v>
      </c>
      <c r="S525" s="3" t="s">
        <v>325</v>
      </c>
      <c r="T525" s="3" t="s">
        <v>564</v>
      </c>
      <c r="U525" s="3">
        <v>0</v>
      </c>
      <c r="V525" s="3">
        <v>45</v>
      </c>
      <c r="W525" s="3">
        <v>85</v>
      </c>
    </row>
    <row r="526" spans="1:23" ht="11.25" customHeight="1" x14ac:dyDescent="0.3">
      <c r="A526" s="3" t="s">
        <v>21</v>
      </c>
      <c r="B526" s="3" t="s">
        <v>37</v>
      </c>
      <c r="C526" s="3" t="s">
        <v>33</v>
      </c>
      <c r="D526" s="3" t="s">
        <v>41</v>
      </c>
      <c r="E526" s="3" t="s">
        <v>25</v>
      </c>
      <c r="F526" s="3" t="s">
        <v>25</v>
      </c>
      <c r="G526" s="3" t="s">
        <v>25</v>
      </c>
      <c r="H526" s="3" t="s">
        <v>36</v>
      </c>
      <c r="I526" s="6">
        <v>44501</v>
      </c>
      <c r="J526" s="4">
        <v>0</v>
      </c>
      <c r="K526" s="4">
        <v>0</v>
      </c>
      <c r="L526" s="4">
        <v>0.04</v>
      </c>
      <c r="M526" s="4">
        <v>0.04</v>
      </c>
      <c r="N526" s="4">
        <v>0.04</v>
      </c>
      <c r="O526" s="4">
        <v>0.04</v>
      </c>
      <c r="P526" s="4">
        <v>0</v>
      </c>
      <c r="Q526" s="3" t="s">
        <v>26</v>
      </c>
      <c r="R526" s="3">
        <v>0</v>
      </c>
      <c r="S526" s="3" t="s">
        <v>326</v>
      </c>
      <c r="T526" s="3" t="s">
        <v>565</v>
      </c>
      <c r="U526" s="3">
        <v>0</v>
      </c>
      <c r="V526" s="3">
        <v>45</v>
      </c>
      <c r="W526" s="3">
        <v>85</v>
      </c>
    </row>
    <row r="527" spans="1:23" ht="11.25" customHeight="1" x14ac:dyDescent="0.3">
      <c r="A527" s="3" t="s">
        <v>21</v>
      </c>
      <c r="B527" s="3" t="s">
        <v>37</v>
      </c>
      <c r="C527" s="3" t="s">
        <v>33</v>
      </c>
      <c r="D527" s="3" t="s">
        <v>41</v>
      </c>
      <c r="E527" s="3" t="s">
        <v>25</v>
      </c>
      <c r="F527" s="3" t="s">
        <v>25</v>
      </c>
      <c r="G527" s="3" t="s">
        <v>25</v>
      </c>
      <c r="H527" s="3" t="s">
        <v>36</v>
      </c>
      <c r="I527" s="6">
        <v>44531</v>
      </c>
      <c r="J527" s="4">
        <v>0</v>
      </c>
      <c r="K527" s="4">
        <v>0</v>
      </c>
      <c r="L527" s="4">
        <v>5.1999999999999998E-2</v>
      </c>
      <c r="M527" s="4">
        <v>5.1999999999999998E-2</v>
      </c>
      <c r="N527" s="4">
        <v>5.1999999999999998E-2</v>
      </c>
      <c r="O527" s="4">
        <v>5.1999999999999998E-2</v>
      </c>
      <c r="P527" s="4">
        <v>0</v>
      </c>
      <c r="Q527" s="3" t="s">
        <v>26</v>
      </c>
      <c r="R527" s="3">
        <v>0</v>
      </c>
      <c r="S527" s="3" t="s">
        <v>327</v>
      </c>
      <c r="T527" s="3" t="s">
        <v>566</v>
      </c>
      <c r="U527" s="3">
        <v>0</v>
      </c>
      <c r="V527" s="3">
        <v>45</v>
      </c>
      <c r="W527" s="3">
        <v>85</v>
      </c>
    </row>
    <row r="528" spans="1:23" ht="11.25" customHeight="1" x14ac:dyDescent="0.3">
      <c r="A528" s="3" t="s">
        <v>21</v>
      </c>
      <c r="B528" s="3" t="s">
        <v>37</v>
      </c>
      <c r="C528" s="3" t="s">
        <v>33</v>
      </c>
      <c r="D528" s="3" t="s">
        <v>41</v>
      </c>
      <c r="E528" s="3" t="s">
        <v>25</v>
      </c>
      <c r="F528" s="3" t="s">
        <v>25</v>
      </c>
      <c r="G528" s="3" t="s">
        <v>25</v>
      </c>
      <c r="H528" s="3" t="s">
        <v>36</v>
      </c>
      <c r="I528" s="6">
        <v>44562</v>
      </c>
      <c r="J528" s="4">
        <v>0</v>
      </c>
      <c r="K528" s="4">
        <v>0</v>
      </c>
      <c r="L528" s="4">
        <v>6.0999999999999999E-2</v>
      </c>
      <c r="M528" s="4">
        <v>6.0999999999999999E-2</v>
      </c>
      <c r="N528" s="4">
        <v>6.0999999999999999E-2</v>
      </c>
      <c r="O528" s="4">
        <v>6.0999999999999999E-2</v>
      </c>
      <c r="P528" s="4">
        <v>0</v>
      </c>
      <c r="Q528" s="3" t="s">
        <v>26</v>
      </c>
      <c r="R528" s="3">
        <v>0</v>
      </c>
      <c r="S528" s="3" t="s">
        <v>328</v>
      </c>
      <c r="T528" s="3" t="s">
        <v>567</v>
      </c>
      <c r="U528" s="3">
        <v>0</v>
      </c>
      <c r="V528" s="3">
        <v>45</v>
      </c>
      <c r="W528" s="3">
        <v>85</v>
      </c>
    </row>
    <row r="529" spans="1:23" ht="11.25" customHeight="1" x14ac:dyDescent="0.3">
      <c r="A529" s="3" t="s">
        <v>21</v>
      </c>
      <c r="B529" s="3" t="s">
        <v>37</v>
      </c>
      <c r="C529" s="3" t="s">
        <v>33</v>
      </c>
      <c r="D529" s="3" t="s">
        <v>41</v>
      </c>
      <c r="E529" s="3" t="s">
        <v>25</v>
      </c>
      <c r="F529" s="3" t="s">
        <v>25</v>
      </c>
      <c r="G529" s="3" t="s">
        <v>25</v>
      </c>
      <c r="H529" s="3" t="s">
        <v>36</v>
      </c>
      <c r="I529" s="6">
        <v>44593</v>
      </c>
      <c r="J529" s="4">
        <v>0</v>
      </c>
      <c r="K529" s="4">
        <v>0</v>
      </c>
      <c r="L529" s="4">
        <v>6.9000000000000006E-2</v>
      </c>
      <c r="M529" s="4">
        <v>6.9000000000000006E-2</v>
      </c>
      <c r="N529" s="4">
        <v>6.9000000000000006E-2</v>
      </c>
      <c r="O529" s="4">
        <v>6.9000000000000006E-2</v>
      </c>
      <c r="P529" s="4">
        <v>0</v>
      </c>
      <c r="Q529" s="3" t="s">
        <v>26</v>
      </c>
      <c r="R529" s="3">
        <v>0</v>
      </c>
      <c r="S529" s="3" t="s">
        <v>329</v>
      </c>
      <c r="T529" s="3" t="s">
        <v>568</v>
      </c>
      <c r="U529" s="3">
        <v>0</v>
      </c>
      <c r="V529" s="3">
        <v>45</v>
      </c>
      <c r="W529" s="3">
        <v>85</v>
      </c>
    </row>
    <row r="530" spans="1:23" ht="11.25" customHeight="1" x14ac:dyDescent="0.3">
      <c r="A530" s="3" t="s">
        <v>21</v>
      </c>
      <c r="B530" s="3" t="s">
        <v>37</v>
      </c>
      <c r="C530" s="3" t="s">
        <v>33</v>
      </c>
      <c r="D530" s="3" t="s">
        <v>41</v>
      </c>
      <c r="E530" s="3" t="s">
        <v>25</v>
      </c>
      <c r="F530" s="3" t="s">
        <v>25</v>
      </c>
      <c r="G530" s="3" t="s">
        <v>25</v>
      </c>
      <c r="H530" s="3" t="s">
        <v>36</v>
      </c>
      <c r="I530" s="6">
        <v>44621</v>
      </c>
      <c r="J530" s="4">
        <v>0</v>
      </c>
      <c r="K530" s="4">
        <v>0</v>
      </c>
      <c r="L530" s="4">
        <v>5.2999999999999999E-2</v>
      </c>
      <c r="M530" s="4">
        <v>5.2999999999999999E-2</v>
      </c>
      <c r="N530" s="4">
        <v>5.2999999999999999E-2</v>
      </c>
      <c r="O530" s="4">
        <v>5.2999999999999999E-2</v>
      </c>
      <c r="P530" s="4">
        <v>0</v>
      </c>
      <c r="Q530" s="3" t="s">
        <v>26</v>
      </c>
      <c r="R530" s="3">
        <v>0</v>
      </c>
      <c r="S530" s="3" t="s">
        <v>330</v>
      </c>
      <c r="T530" s="3" t="s">
        <v>569</v>
      </c>
      <c r="U530" s="3">
        <v>0</v>
      </c>
      <c r="V530" s="3">
        <v>45</v>
      </c>
      <c r="W530" s="3">
        <v>85</v>
      </c>
    </row>
    <row r="531" spans="1:23" ht="11.25" customHeight="1" x14ac:dyDescent="0.3">
      <c r="A531" s="3" t="s">
        <v>21</v>
      </c>
      <c r="B531" s="3" t="s">
        <v>37</v>
      </c>
      <c r="C531" s="3" t="s">
        <v>33</v>
      </c>
      <c r="D531" s="3" t="s">
        <v>41</v>
      </c>
      <c r="E531" s="3" t="s">
        <v>25</v>
      </c>
      <c r="F531" s="3" t="s">
        <v>25</v>
      </c>
      <c r="G531" s="3" t="s">
        <v>25</v>
      </c>
      <c r="H531" s="3" t="s">
        <v>36</v>
      </c>
      <c r="I531" s="6">
        <v>44652</v>
      </c>
      <c r="J531" s="4">
        <v>0</v>
      </c>
      <c r="K531" s="4">
        <v>0</v>
      </c>
      <c r="L531" s="4">
        <v>2.4E-2</v>
      </c>
      <c r="M531" s="4">
        <v>2.4E-2</v>
      </c>
      <c r="N531" s="4">
        <v>2.4E-2</v>
      </c>
      <c r="O531" s="4">
        <v>2.4E-2</v>
      </c>
      <c r="P531" s="4">
        <v>0</v>
      </c>
      <c r="Q531" s="3" t="s">
        <v>26</v>
      </c>
      <c r="R531" s="3">
        <v>0</v>
      </c>
      <c r="S531" s="3" t="s">
        <v>331</v>
      </c>
      <c r="T531" s="3" t="s">
        <v>570</v>
      </c>
      <c r="U531" s="3">
        <v>0</v>
      </c>
      <c r="V531" s="3">
        <v>45</v>
      </c>
      <c r="W531" s="3">
        <v>85</v>
      </c>
    </row>
    <row r="532" spans="1:23" ht="11.25" customHeight="1" x14ac:dyDescent="0.3">
      <c r="A532" s="3" t="s">
        <v>21</v>
      </c>
      <c r="B532" s="3" t="s">
        <v>37</v>
      </c>
      <c r="C532" s="3" t="s">
        <v>33</v>
      </c>
      <c r="D532" s="3" t="s">
        <v>41</v>
      </c>
      <c r="E532" s="3" t="s">
        <v>25</v>
      </c>
      <c r="F532" s="3" t="s">
        <v>25</v>
      </c>
      <c r="G532" s="3" t="s">
        <v>25</v>
      </c>
      <c r="H532" s="3" t="s">
        <v>36</v>
      </c>
      <c r="I532" s="6">
        <v>44682</v>
      </c>
      <c r="J532" s="4">
        <v>0</v>
      </c>
      <c r="K532" s="4">
        <v>0</v>
      </c>
      <c r="L532" s="4">
        <v>1.2999999999999999E-2</v>
      </c>
      <c r="M532" s="4">
        <v>1.2999999999999999E-2</v>
      </c>
      <c r="N532" s="4">
        <v>1.2999999999999999E-2</v>
      </c>
      <c r="O532" s="4">
        <v>1.2999999999999999E-2</v>
      </c>
      <c r="P532" s="4">
        <v>0</v>
      </c>
      <c r="Q532" s="3" t="s">
        <v>26</v>
      </c>
      <c r="R532" s="3">
        <v>0</v>
      </c>
      <c r="S532" s="3" t="s">
        <v>332</v>
      </c>
      <c r="T532" s="3" t="s">
        <v>571</v>
      </c>
      <c r="U532" s="3">
        <v>0</v>
      </c>
      <c r="V532" s="3">
        <v>45</v>
      </c>
      <c r="W532" s="3">
        <v>85</v>
      </c>
    </row>
    <row r="533" spans="1:23" ht="11.25" customHeight="1" x14ac:dyDescent="0.3">
      <c r="A533" s="3" t="s">
        <v>21</v>
      </c>
      <c r="B533" s="3" t="s">
        <v>37</v>
      </c>
      <c r="C533" s="3" t="s">
        <v>33</v>
      </c>
      <c r="D533" s="3" t="s">
        <v>41</v>
      </c>
      <c r="E533" s="3" t="s">
        <v>25</v>
      </c>
      <c r="F533" s="3" t="s">
        <v>25</v>
      </c>
      <c r="G533" s="3" t="s">
        <v>25</v>
      </c>
      <c r="H533" s="3" t="s">
        <v>36</v>
      </c>
      <c r="I533" s="6">
        <v>44713</v>
      </c>
      <c r="J533" s="4">
        <v>0</v>
      </c>
      <c r="K533" s="4">
        <v>0</v>
      </c>
      <c r="L533" s="4">
        <v>2.9000000000000001E-2</v>
      </c>
      <c r="M533" s="4">
        <v>2.9000000000000001E-2</v>
      </c>
      <c r="N533" s="4">
        <v>2.9000000000000001E-2</v>
      </c>
      <c r="O533" s="4">
        <v>2.9000000000000001E-2</v>
      </c>
      <c r="P533" s="4">
        <v>0</v>
      </c>
      <c r="Q533" s="3" t="s">
        <v>26</v>
      </c>
      <c r="R533" s="3">
        <v>0</v>
      </c>
      <c r="S533" s="3" t="s">
        <v>333</v>
      </c>
      <c r="T533" s="3" t="s">
        <v>572</v>
      </c>
      <c r="U533" s="3">
        <v>0</v>
      </c>
      <c r="V533" s="3">
        <v>45</v>
      </c>
      <c r="W533" s="3">
        <v>85</v>
      </c>
    </row>
    <row r="534" spans="1:23" ht="11.25" customHeight="1" x14ac:dyDescent="0.3">
      <c r="A534" s="3" t="s">
        <v>21</v>
      </c>
      <c r="B534" s="3" t="s">
        <v>37</v>
      </c>
      <c r="C534" s="3" t="s">
        <v>33</v>
      </c>
      <c r="D534" s="3" t="s">
        <v>41</v>
      </c>
      <c r="E534" s="3" t="s">
        <v>25</v>
      </c>
      <c r="F534" s="3" t="s">
        <v>25</v>
      </c>
      <c r="G534" s="3" t="s">
        <v>25</v>
      </c>
      <c r="H534" s="3" t="s">
        <v>34</v>
      </c>
      <c r="I534" s="6">
        <v>44378</v>
      </c>
      <c r="J534" s="4">
        <v>0</v>
      </c>
      <c r="K534" s="4">
        <v>0</v>
      </c>
      <c r="L534" s="4">
        <v>1.9E-2</v>
      </c>
      <c r="M534" s="4">
        <v>1.9E-2</v>
      </c>
      <c r="N534" s="4">
        <v>1.9E-2</v>
      </c>
      <c r="O534" s="4">
        <v>1.9E-2</v>
      </c>
      <c r="P534" s="4">
        <v>0</v>
      </c>
      <c r="Q534" s="3" t="s">
        <v>26</v>
      </c>
      <c r="R534" s="3">
        <v>0</v>
      </c>
      <c r="S534" s="3" t="s">
        <v>334</v>
      </c>
      <c r="T534" s="3" t="s">
        <v>573</v>
      </c>
      <c r="U534" s="3">
        <v>0</v>
      </c>
      <c r="V534" s="3">
        <v>44</v>
      </c>
      <c r="W534" s="3">
        <v>84</v>
      </c>
    </row>
    <row r="535" spans="1:23" ht="11.25" customHeight="1" x14ac:dyDescent="0.3">
      <c r="A535" s="3" t="s">
        <v>21</v>
      </c>
      <c r="B535" s="3" t="s">
        <v>37</v>
      </c>
      <c r="C535" s="3" t="s">
        <v>33</v>
      </c>
      <c r="D535" s="3" t="s">
        <v>41</v>
      </c>
      <c r="E535" s="3" t="s">
        <v>25</v>
      </c>
      <c r="F535" s="3" t="s">
        <v>25</v>
      </c>
      <c r="G535" s="3" t="s">
        <v>25</v>
      </c>
      <c r="H535" s="3" t="s">
        <v>34</v>
      </c>
      <c r="I535" s="6">
        <v>44409</v>
      </c>
      <c r="J535" s="4">
        <v>0</v>
      </c>
      <c r="K535" s="4">
        <v>0</v>
      </c>
      <c r="L535" s="4">
        <v>0.02</v>
      </c>
      <c r="M535" s="4">
        <v>0.02</v>
      </c>
      <c r="N535" s="4">
        <v>0.02</v>
      </c>
      <c r="O535" s="4">
        <v>0.02</v>
      </c>
      <c r="P535" s="4">
        <v>0</v>
      </c>
      <c r="Q535" s="3" t="s">
        <v>26</v>
      </c>
      <c r="R535" s="3">
        <v>0</v>
      </c>
      <c r="S535" s="3" t="s">
        <v>335</v>
      </c>
      <c r="T535" s="3" t="s">
        <v>574</v>
      </c>
      <c r="U535" s="3">
        <v>0</v>
      </c>
      <c r="V535" s="3">
        <v>44</v>
      </c>
      <c r="W535" s="3">
        <v>84</v>
      </c>
    </row>
    <row r="536" spans="1:23" ht="11.25" customHeight="1" x14ac:dyDescent="0.3">
      <c r="A536" s="3" t="s">
        <v>21</v>
      </c>
      <c r="B536" s="3" t="s">
        <v>37</v>
      </c>
      <c r="C536" s="3" t="s">
        <v>33</v>
      </c>
      <c r="D536" s="3" t="s">
        <v>41</v>
      </c>
      <c r="E536" s="3" t="s">
        <v>25</v>
      </c>
      <c r="F536" s="3" t="s">
        <v>25</v>
      </c>
      <c r="G536" s="3" t="s">
        <v>25</v>
      </c>
      <c r="H536" s="3" t="s">
        <v>34</v>
      </c>
      <c r="I536" s="6">
        <v>44440</v>
      </c>
      <c r="J536" s="4">
        <v>0</v>
      </c>
      <c r="K536" s="4">
        <v>0</v>
      </c>
      <c r="L536" s="4">
        <v>1.4E-2</v>
      </c>
      <c r="M536" s="4">
        <v>1.4E-2</v>
      </c>
      <c r="N536" s="4">
        <v>1.4E-2</v>
      </c>
      <c r="O536" s="4">
        <v>1.4E-2</v>
      </c>
      <c r="P536" s="4">
        <v>0</v>
      </c>
      <c r="Q536" s="3" t="s">
        <v>26</v>
      </c>
      <c r="R536" s="3">
        <v>0</v>
      </c>
      <c r="S536" s="3" t="s">
        <v>336</v>
      </c>
      <c r="T536" s="3" t="s">
        <v>575</v>
      </c>
      <c r="U536" s="3">
        <v>0</v>
      </c>
      <c r="V536" s="3">
        <v>44</v>
      </c>
      <c r="W536" s="3">
        <v>84</v>
      </c>
    </row>
    <row r="537" spans="1:23" ht="11.25" customHeight="1" x14ac:dyDescent="0.3">
      <c r="A537" s="3" t="s">
        <v>21</v>
      </c>
      <c r="B537" s="3" t="s">
        <v>37</v>
      </c>
      <c r="C537" s="3" t="s">
        <v>33</v>
      </c>
      <c r="D537" s="3" t="s">
        <v>41</v>
      </c>
      <c r="E537" s="3" t="s">
        <v>25</v>
      </c>
      <c r="F537" s="3" t="s">
        <v>25</v>
      </c>
      <c r="G537" s="3" t="s">
        <v>25</v>
      </c>
      <c r="H537" s="3" t="s">
        <v>34</v>
      </c>
      <c r="I537" s="6">
        <v>44470</v>
      </c>
      <c r="J537" s="4">
        <v>0</v>
      </c>
      <c r="K537" s="4">
        <v>0</v>
      </c>
      <c r="L537" s="4">
        <v>1.4999999999999999E-2</v>
      </c>
      <c r="M537" s="4">
        <v>1.4999999999999999E-2</v>
      </c>
      <c r="N537" s="4">
        <v>1.4999999999999999E-2</v>
      </c>
      <c r="O537" s="4">
        <v>1.4999999999999999E-2</v>
      </c>
      <c r="P537" s="4">
        <v>0</v>
      </c>
      <c r="Q537" s="3" t="s">
        <v>26</v>
      </c>
      <c r="R537" s="3">
        <v>0</v>
      </c>
      <c r="S537" s="3" t="s">
        <v>337</v>
      </c>
      <c r="T537" s="3" t="s">
        <v>576</v>
      </c>
      <c r="U537" s="3">
        <v>0</v>
      </c>
      <c r="V537" s="3">
        <v>44</v>
      </c>
      <c r="W537" s="3">
        <v>84</v>
      </c>
    </row>
    <row r="538" spans="1:23" ht="11.25" customHeight="1" x14ac:dyDescent="0.3">
      <c r="A538" s="3" t="s">
        <v>21</v>
      </c>
      <c r="B538" s="3" t="s">
        <v>37</v>
      </c>
      <c r="C538" s="3" t="s">
        <v>33</v>
      </c>
      <c r="D538" s="3" t="s">
        <v>41</v>
      </c>
      <c r="E538" s="3" t="s">
        <v>25</v>
      </c>
      <c r="F538" s="3" t="s">
        <v>25</v>
      </c>
      <c r="G538" s="3" t="s">
        <v>25</v>
      </c>
      <c r="H538" s="3" t="s">
        <v>34</v>
      </c>
      <c r="I538" s="6">
        <v>44501</v>
      </c>
      <c r="J538" s="4">
        <v>0</v>
      </c>
      <c r="K538" s="4">
        <v>0</v>
      </c>
      <c r="L538" s="4">
        <v>1.4E-2</v>
      </c>
      <c r="M538" s="4">
        <v>1.4E-2</v>
      </c>
      <c r="N538" s="4">
        <v>1.4E-2</v>
      </c>
      <c r="O538" s="4">
        <v>1.4E-2</v>
      </c>
      <c r="P538" s="4">
        <v>0</v>
      </c>
      <c r="Q538" s="3" t="s">
        <v>26</v>
      </c>
      <c r="R538" s="3">
        <v>0</v>
      </c>
      <c r="S538" s="3" t="s">
        <v>338</v>
      </c>
      <c r="T538" s="3" t="s">
        <v>577</v>
      </c>
      <c r="U538" s="3">
        <v>0</v>
      </c>
      <c r="V538" s="3">
        <v>44</v>
      </c>
      <c r="W538" s="3">
        <v>84</v>
      </c>
    </row>
    <row r="539" spans="1:23" ht="11.25" customHeight="1" x14ac:dyDescent="0.3">
      <c r="A539" s="3" t="s">
        <v>21</v>
      </c>
      <c r="B539" s="3" t="s">
        <v>37</v>
      </c>
      <c r="C539" s="3" t="s">
        <v>33</v>
      </c>
      <c r="D539" s="3" t="s">
        <v>41</v>
      </c>
      <c r="E539" s="3" t="s">
        <v>25</v>
      </c>
      <c r="F539" s="3" t="s">
        <v>25</v>
      </c>
      <c r="G539" s="3" t="s">
        <v>25</v>
      </c>
      <c r="H539" s="3" t="s">
        <v>34</v>
      </c>
      <c r="I539" s="6">
        <v>44531</v>
      </c>
      <c r="J539" s="4">
        <v>0</v>
      </c>
      <c r="K539" s="4">
        <v>0</v>
      </c>
      <c r="L539" s="4">
        <v>0.02</v>
      </c>
      <c r="M539" s="4">
        <v>0.02</v>
      </c>
      <c r="N539" s="4">
        <v>0.02</v>
      </c>
      <c r="O539" s="4">
        <v>0.02</v>
      </c>
      <c r="P539" s="4">
        <v>0</v>
      </c>
      <c r="Q539" s="3" t="s">
        <v>26</v>
      </c>
      <c r="R539" s="3">
        <v>0</v>
      </c>
      <c r="S539" s="3" t="s">
        <v>339</v>
      </c>
      <c r="T539" s="3" t="s">
        <v>578</v>
      </c>
      <c r="U539" s="3">
        <v>0</v>
      </c>
      <c r="V539" s="3">
        <v>44</v>
      </c>
      <c r="W539" s="3">
        <v>84</v>
      </c>
    </row>
    <row r="540" spans="1:23" ht="11.25" customHeight="1" x14ac:dyDescent="0.3">
      <c r="A540" s="3" t="s">
        <v>21</v>
      </c>
      <c r="B540" s="3" t="s">
        <v>37</v>
      </c>
      <c r="C540" s="3" t="s">
        <v>33</v>
      </c>
      <c r="D540" s="3" t="s">
        <v>41</v>
      </c>
      <c r="E540" s="3" t="s">
        <v>25</v>
      </c>
      <c r="F540" s="3" t="s">
        <v>25</v>
      </c>
      <c r="G540" s="3" t="s">
        <v>25</v>
      </c>
      <c r="H540" s="3" t="s">
        <v>34</v>
      </c>
      <c r="I540" s="6">
        <v>44562</v>
      </c>
      <c r="J540" s="4">
        <v>0</v>
      </c>
      <c r="K540" s="4">
        <v>0</v>
      </c>
      <c r="L540" s="4">
        <v>0.02</v>
      </c>
      <c r="M540" s="4">
        <v>0.02</v>
      </c>
      <c r="N540" s="4">
        <v>0.02</v>
      </c>
      <c r="O540" s="4">
        <v>0.02</v>
      </c>
      <c r="P540" s="4">
        <v>0</v>
      </c>
      <c r="Q540" s="3" t="s">
        <v>26</v>
      </c>
      <c r="R540" s="3">
        <v>0</v>
      </c>
      <c r="S540" s="3" t="s">
        <v>340</v>
      </c>
      <c r="T540" s="3" t="s">
        <v>579</v>
      </c>
      <c r="U540" s="3">
        <v>0</v>
      </c>
      <c r="V540" s="3">
        <v>44</v>
      </c>
      <c r="W540" s="3">
        <v>84</v>
      </c>
    </row>
    <row r="541" spans="1:23" ht="11.25" customHeight="1" x14ac:dyDescent="0.3">
      <c r="A541" s="3" t="s">
        <v>21</v>
      </c>
      <c r="B541" s="3" t="s">
        <v>37</v>
      </c>
      <c r="C541" s="3" t="s">
        <v>33</v>
      </c>
      <c r="D541" s="3" t="s">
        <v>41</v>
      </c>
      <c r="E541" s="3" t="s">
        <v>25</v>
      </c>
      <c r="F541" s="3" t="s">
        <v>25</v>
      </c>
      <c r="G541" s="3" t="s">
        <v>25</v>
      </c>
      <c r="H541" s="3" t="s">
        <v>34</v>
      </c>
      <c r="I541" s="6">
        <v>44593</v>
      </c>
      <c r="J541" s="4">
        <v>0</v>
      </c>
      <c r="K541" s="4">
        <v>0</v>
      </c>
      <c r="L541" s="4">
        <v>2.7E-2</v>
      </c>
      <c r="M541" s="4">
        <v>2.7E-2</v>
      </c>
      <c r="N541" s="4">
        <v>2.7E-2</v>
      </c>
      <c r="O541" s="4">
        <v>2.7E-2</v>
      </c>
      <c r="P541" s="4">
        <v>0</v>
      </c>
      <c r="Q541" s="3" t="s">
        <v>26</v>
      </c>
      <c r="R541" s="3">
        <v>0</v>
      </c>
      <c r="S541" s="3" t="s">
        <v>341</v>
      </c>
      <c r="T541" s="3" t="s">
        <v>580</v>
      </c>
      <c r="U541" s="3">
        <v>0</v>
      </c>
      <c r="V541" s="3">
        <v>44</v>
      </c>
      <c r="W541" s="3">
        <v>84</v>
      </c>
    </row>
    <row r="542" spans="1:23" ht="11.25" customHeight="1" x14ac:dyDescent="0.3">
      <c r="A542" s="3" t="s">
        <v>21</v>
      </c>
      <c r="B542" s="3" t="s">
        <v>37</v>
      </c>
      <c r="C542" s="3" t="s">
        <v>33</v>
      </c>
      <c r="D542" s="3" t="s">
        <v>41</v>
      </c>
      <c r="E542" s="3" t="s">
        <v>25</v>
      </c>
      <c r="F542" s="3" t="s">
        <v>25</v>
      </c>
      <c r="G542" s="3" t="s">
        <v>25</v>
      </c>
      <c r="H542" s="3" t="s">
        <v>34</v>
      </c>
      <c r="I542" s="6">
        <v>44621</v>
      </c>
      <c r="J542" s="4">
        <v>0</v>
      </c>
      <c r="K542" s="4">
        <v>0</v>
      </c>
      <c r="L542" s="4">
        <v>0.03</v>
      </c>
      <c r="M542" s="4">
        <v>0.03</v>
      </c>
      <c r="N542" s="4">
        <v>0.03</v>
      </c>
      <c r="O542" s="4">
        <v>0.03</v>
      </c>
      <c r="P542" s="4">
        <v>0</v>
      </c>
      <c r="Q542" s="3" t="s">
        <v>26</v>
      </c>
      <c r="R542" s="3">
        <v>0</v>
      </c>
      <c r="S542" s="3" t="s">
        <v>342</v>
      </c>
      <c r="T542" s="3" t="s">
        <v>581</v>
      </c>
      <c r="U542" s="3">
        <v>0</v>
      </c>
      <c r="V542" s="3">
        <v>44</v>
      </c>
      <c r="W542" s="3">
        <v>84</v>
      </c>
    </row>
    <row r="543" spans="1:23" ht="11.25" customHeight="1" x14ac:dyDescent="0.3">
      <c r="A543" s="3" t="s">
        <v>21</v>
      </c>
      <c r="B543" s="3" t="s">
        <v>37</v>
      </c>
      <c r="C543" s="3" t="s">
        <v>33</v>
      </c>
      <c r="D543" s="3" t="s">
        <v>41</v>
      </c>
      <c r="E543" s="3" t="s">
        <v>25</v>
      </c>
      <c r="F543" s="3" t="s">
        <v>25</v>
      </c>
      <c r="G543" s="3" t="s">
        <v>25</v>
      </c>
      <c r="H543" s="3" t="s">
        <v>34</v>
      </c>
      <c r="I543" s="6">
        <v>44652</v>
      </c>
      <c r="J543" s="4">
        <v>0</v>
      </c>
      <c r="K543" s="4">
        <v>0</v>
      </c>
      <c r="L543" s="4">
        <v>2.3E-2</v>
      </c>
      <c r="M543" s="4">
        <v>2.3E-2</v>
      </c>
      <c r="N543" s="4">
        <v>2.3E-2</v>
      </c>
      <c r="O543" s="4">
        <v>2.3E-2</v>
      </c>
      <c r="P543" s="4">
        <v>0</v>
      </c>
      <c r="Q543" s="3" t="s">
        <v>26</v>
      </c>
      <c r="R543" s="3">
        <v>0</v>
      </c>
      <c r="S543" s="3" t="s">
        <v>343</v>
      </c>
      <c r="T543" s="3" t="s">
        <v>582</v>
      </c>
      <c r="U543" s="3">
        <v>0</v>
      </c>
      <c r="V543" s="3">
        <v>44</v>
      </c>
      <c r="W543" s="3">
        <v>84</v>
      </c>
    </row>
    <row r="544" spans="1:23" ht="11.25" customHeight="1" x14ac:dyDescent="0.3">
      <c r="A544" s="3" t="s">
        <v>21</v>
      </c>
      <c r="B544" s="3" t="s">
        <v>37</v>
      </c>
      <c r="C544" s="3" t="s">
        <v>33</v>
      </c>
      <c r="D544" s="3" t="s">
        <v>41</v>
      </c>
      <c r="E544" s="3" t="s">
        <v>25</v>
      </c>
      <c r="F544" s="3" t="s">
        <v>25</v>
      </c>
      <c r="G544" s="3" t="s">
        <v>25</v>
      </c>
      <c r="H544" s="3" t="s">
        <v>34</v>
      </c>
      <c r="I544" s="6">
        <v>44682</v>
      </c>
      <c r="J544" s="4">
        <v>0</v>
      </c>
      <c r="K544" s="4">
        <v>0</v>
      </c>
      <c r="L544" s="4">
        <v>1.2999999999999999E-2</v>
      </c>
      <c r="M544" s="4">
        <v>1.2999999999999999E-2</v>
      </c>
      <c r="N544" s="4">
        <v>1.2999999999999999E-2</v>
      </c>
      <c r="O544" s="4">
        <v>1.2999999999999999E-2</v>
      </c>
      <c r="P544" s="4">
        <v>0</v>
      </c>
      <c r="Q544" s="3" t="s">
        <v>26</v>
      </c>
      <c r="R544" s="3">
        <v>0</v>
      </c>
      <c r="S544" s="3" t="s">
        <v>344</v>
      </c>
      <c r="T544" s="3" t="s">
        <v>583</v>
      </c>
      <c r="U544" s="3">
        <v>0</v>
      </c>
      <c r="V544" s="3">
        <v>44</v>
      </c>
      <c r="W544" s="3">
        <v>84</v>
      </c>
    </row>
    <row r="545" spans="1:23" ht="11.25" customHeight="1" x14ac:dyDescent="0.3">
      <c r="A545" s="3" t="s">
        <v>21</v>
      </c>
      <c r="B545" s="3" t="s">
        <v>37</v>
      </c>
      <c r="C545" s="3" t="s">
        <v>33</v>
      </c>
      <c r="D545" s="3" t="s">
        <v>41</v>
      </c>
      <c r="E545" s="3" t="s">
        <v>25</v>
      </c>
      <c r="F545" s="3" t="s">
        <v>25</v>
      </c>
      <c r="G545" s="3" t="s">
        <v>25</v>
      </c>
      <c r="H545" s="3" t="s">
        <v>34</v>
      </c>
      <c r="I545" s="6">
        <v>44713</v>
      </c>
      <c r="J545" s="4">
        <v>0</v>
      </c>
      <c r="K545" s="4">
        <v>0</v>
      </c>
      <c r="L545" s="4">
        <v>1.2E-2</v>
      </c>
      <c r="M545" s="4">
        <v>1.2E-2</v>
      </c>
      <c r="N545" s="4">
        <v>1.2E-2</v>
      </c>
      <c r="O545" s="4">
        <v>1.2E-2</v>
      </c>
      <c r="P545" s="4">
        <v>0</v>
      </c>
      <c r="Q545" s="3" t="s">
        <v>26</v>
      </c>
      <c r="R545" s="3">
        <v>0</v>
      </c>
      <c r="S545" s="3" t="s">
        <v>345</v>
      </c>
      <c r="T545" s="3" t="s">
        <v>584</v>
      </c>
      <c r="U545" s="3">
        <v>0</v>
      </c>
      <c r="V545" s="3">
        <v>44</v>
      </c>
      <c r="W545" s="3">
        <v>84</v>
      </c>
    </row>
    <row r="546" spans="1:23" ht="11.25" customHeight="1" x14ac:dyDescent="0.3">
      <c r="A546" s="3" t="s">
        <v>21</v>
      </c>
      <c r="B546" s="3" t="s">
        <v>37</v>
      </c>
      <c r="C546" s="3" t="s">
        <v>33</v>
      </c>
      <c r="D546" s="3" t="s">
        <v>38</v>
      </c>
      <c r="E546" s="3" t="s">
        <v>25</v>
      </c>
      <c r="F546" s="3" t="s">
        <v>25</v>
      </c>
      <c r="G546" s="3" t="s">
        <v>25</v>
      </c>
      <c r="H546" s="3" t="s">
        <v>34</v>
      </c>
      <c r="I546" s="6">
        <v>44562</v>
      </c>
      <c r="J546" s="4">
        <v>0</v>
      </c>
      <c r="K546" s="4">
        <v>0</v>
      </c>
      <c r="L546" s="4">
        <v>5.3410000000000002</v>
      </c>
      <c r="M546" s="4">
        <v>5.3410000000000002</v>
      </c>
      <c r="N546" s="4">
        <v>5.3410000000000002</v>
      </c>
      <c r="O546" s="4">
        <v>5.3410000000000002</v>
      </c>
      <c r="P546" s="4">
        <v>0</v>
      </c>
      <c r="Q546" s="3" t="s">
        <v>26</v>
      </c>
      <c r="R546" s="3">
        <v>0</v>
      </c>
      <c r="S546" s="3" t="s">
        <v>340</v>
      </c>
      <c r="T546" s="3" t="s">
        <v>579</v>
      </c>
      <c r="U546" s="3">
        <v>0</v>
      </c>
      <c r="V546" s="3">
        <v>44</v>
      </c>
      <c r="W546" s="3">
        <v>84</v>
      </c>
    </row>
    <row r="547" spans="1:23" ht="11.25" customHeight="1" x14ac:dyDescent="0.3">
      <c r="A547" s="3" t="s">
        <v>21</v>
      </c>
      <c r="B547" s="3" t="s">
        <v>37</v>
      </c>
      <c r="C547" s="3" t="s">
        <v>33</v>
      </c>
      <c r="D547" s="3" t="s">
        <v>44</v>
      </c>
      <c r="E547" s="3" t="s">
        <v>25</v>
      </c>
      <c r="F547" s="3" t="s">
        <v>25</v>
      </c>
      <c r="G547" s="3" t="s">
        <v>25</v>
      </c>
      <c r="H547" s="3" t="s">
        <v>35</v>
      </c>
      <c r="I547" s="6">
        <v>44652</v>
      </c>
      <c r="J547" s="4">
        <v>0</v>
      </c>
      <c r="K547" s="4">
        <v>0</v>
      </c>
      <c r="L547" s="4">
        <v>0.433</v>
      </c>
      <c r="M547" s="4">
        <v>0.433</v>
      </c>
      <c r="N547" s="4">
        <v>0.433</v>
      </c>
      <c r="O547" s="4">
        <v>0.433</v>
      </c>
      <c r="P547" s="4">
        <v>0</v>
      </c>
      <c r="Q547" s="3" t="s">
        <v>26</v>
      </c>
      <c r="R547" s="3">
        <v>0</v>
      </c>
      <c r="S547" s="3" t="s">
        <v>319</v>
      </c>
      <c r="T547" s="3" t="s">
        <v>558</v>
      </c>
      <c r="U547" s="3">
        <v>0</v>
      </c>
      <c r="V547" s="3">
        <v>46</v>
      </c>
      <c r="W547" s="3">
        <v>86</v>
      </c>
    </row>
    <row r="548" spans="1:23" ht="11.25" customHeight="1" x14ac:dyDescent="0.3">
      <c r="A548" s="3" t="s">
        <v>21</v>
      </c>
      <c r="B548" s="3" t="s">
        <v>37</v>
      </c>
      <c r="C548" s="3" t="s">
        <v>33</v>
      </c>
      <c r="D548" s="3" t="s">
        <v>44</v>
      </c>
      <c r="E548" s="3" t="s">
        <v>25</v>
      </c>
      <c r="F548" s="3" t="s">
        <v>25</v>
      </c>
      <c r="G548" s="3" t="s">
        <v>25</v>
      </c>
      <c r="H548" s="3" t="s">
        <v>35</v>
      </c>
      <c r="I548" s="6">
        <v>44682</v>
      </c>
      <c r="J548" s="4">
        <v>0</v>
      </c>
      <c r="K548" s="4">
        <v>0</v>
      </c>
      <c r="L548" s="4">
        <v>1.272</v>
      </c>
      <c r="M548" s="4">
        <v>1.272</v>
      </c>
      <c r="N548" s="4">
        <v>1.272</v>
      </c>
      <c r="O548" s="4">
        <v>1.272</v>
      </c>
      <c r="P548" s="4">
        <v>0</v>
      </c>
      <c r="Q548" s="3" t="s">
        <v>26</v>
      </c>
      <c r="R548" s="3">
        <v>0</v>
      </c>
      <c r="S548" s="3" t="s">
        <v>320</v>
      </c>
      <c r="T548" s="3" t="s">
        <v>559</v>
      </c>
      <c r="U548" s="3">
        <v>0</v>
      </c>
      <c r="V548" s="3">
        <v>46</v>
      </c>
      <c r="W548" s="3">
        <v>86</v>
      </c>
    </row>
    <row r="549" spans="1:23" ht="11.25" customHeight="1" x14ac:dyDescent="0.3">
      <c r="A549" s="3" t="s">
        <v>21</v>
      </c>
      <c r="B549" s="3" t="s">
        <v>37</v>
      </c>
      <c r="C549" s="3" t="s">
        <v>33</v>
      </c>
      <c r="D549" s="3" t="s">
        <v>44</v>
      </c>
      <c r="E549" s="3" t="s">
        <v>25</v>
      </c>
      <c r="F549" s="3" t="s">
        <v>25</v>
      </c>
      <c r="G549" s="3" t="s">
        <v>25</v>
      </c>
      <c r="H549" s="3" t="s">
        <v>35</v>
      </c>
      <c r="I549" s="6">
        <v>44713</v>
      </c>
      <c r="J549" s="4">
        <v>0</v>
      </c>
      <c r="K549" s="4">
        <v>0</v>
      </c>
      <c r="L549" s="4">
        <v>1.7450000000000001</v>
      </c>
      <c r="M549" s="4">
        <v>1.7450000000000001</v>
      </c>
      <c r="N549" s="4">
        <v>1.7450000000000001</v>
      </c>
      <c r="O549" s="4">
        <v>1.7450000000000001</v>
      </c>
      <c r="P549" s="4">
        <v>0</v>
      </c>
      <c r="Q549" s="3" t="s">
        <v>26</v>
      </c>
      <c r="R549" s="3">
        <v>0</v>
      </c>
      <c r="S549" s="3" t="s">
        <v>321</v>
      </c>
      <c r="T549" s="3" t="s">
        <v>560</v>
      </c>
      <c r="U549" s="3">
        <v>0</v>
      </c>
      <c r="V549" s="3">
        <v>46</v>
      </c>
      <c r="W549" s="3">
        <v>86</v>
      </c>
    </row>
    <row r="550" spans="1:23" ht="11.25" customHeight="1" x14ac:dyDescent="0.3">
      <c r="A550" s="3" t="s">
        <v>21</v>
      </c>
      <c r="B550" s="3" t="s">
        <v>37</v>
      </c>
      <c r="C550" s="3" t="s">
        <v>33</v>
      </c>
      <c r="D550" s="3" t="s">
        <v>44</v>
      </c>
      <c r="E550" s="3" t="s">
        <v>25</v>
      </c>
      <c r="F550" s="3" t="s">
        <v>25</v>
      </c>
      <c r="G550" s="3" t="s">
        <v>25</v>
      </c>
      <c r="H550" s="3" t="s">
        <v>36</v>
      </c>
      <c r="I550" s="6">
        <v>44652</v>
      </c>
      <c r="J550" s="4">
        <v>0</v>
      </c>
      <c r="K550" s="4">
        <v>0</v>
      </c>
      <c r="L550" s="4">
        <v>1.0999999999999999E-2</v>
      </c>
      <c r="M550" s="4">
        <v>1.0999999999999999E-2</v>
      </c>
      <c r="N550" s="4">
        <v>1.0999999999999999E-2</v>
      </c>
      <c r="O550" s="4">
        <v>1.0999999999999999E-2</v>
      </c>
      <c r="P550" s="4">
        <v>0</v>
      </c>
      <c r="Q550" s="3" t="s">
        <v>26</v>
      </c>
      <c r="R550" s="3">
        <v>0</v>
      </c>
      <c r="S550" s="3" t="s">
        <v>331</v>
      </c>
      <c r="T550" s="3" t="s">
        <v>570</v>
      </c>
      <c r="U550" s="3">
        <v>0</v>
      </c>
      <c r="V550" s="3">
        <v>45</v>
      </c>
      <c r="W550" s="3">
        <v>85</v>
      </c>
    </row>
    <row r="551" spans="1:23" ht="11.25" customHeight="1" x14ac:dyDescent="0.3">
      <c r="A551" s="3" t="s">
        <v>21</v>
      </c>
      <c r="B551" s="3" t="s">
        <v>37</v>
      </c>
      <c r="C551" s="3" t="s">
        <v>33</v>
      </c>
      <c r="D551" s="3" t="s">
        <v>44</v>
      </c>
      <c r="E551" s="3" t="s">
        <v>25</v>
      </c>
      <c r="F551" s="3" t="s">
        <v>25</v>
      </c>
      <c r="G551" s="3" t="s">
        <v>25</v>
      </c>
      <c r="H551" s="3" t="s">
        <v>36</v>
      </c>
      <c r="I551" s="6">
        <v>44682</v>
      </c>
      <c r="J551" s="4">
        <v>0</v>
      </c>
      <c r="K551" s="4">
        <v>0</v>
      </c>
      <c r="L551" s="4">
        <v>7.5999999999999998E-2</v>
      </c>
      <c r="M551" s="4">
        <v>7.5999999999999998E-2</v>
      </c>
      <c r="N551" s="4">
        <v>7.5999999999999998E-2</v>
      </c>
      <c r="O551" s="4">
        <v>7.5999999999999998E-2</v>
      </c>
      <c r="P551" s="4">
        <v>0</v>
      </c>
      <c r="Q551" s="3" t="s">
        <v>26</v>
      </c>
      <c r="R551" s="3">
        <v>0</v>
      </c>
      <c r="S551" s="3" t="s">
        <v>332</v>
      </c>
      <c r="T551" s="3" t="s">
        <v>571</v>
      </c>
      <c r="U551" s="3">
        <v>0</v>
      </c>
      <c r="V551" s="3">
        <v>45</v>
      </c>
      <c r="W551" s="3">
        <v>85</v>
      </c>
    </row>
    <row r="552" spans="1:23" ht="11.25" customHeight="1" x14ac:dyDescent="0.3">
      <c r="A552" s="3" t="s">
        <v>21</v>
      </c>
      <c r="B552" s="3" t="s">
        <v>37</v>
      </c>
      <c r="C552" s="3" t="s">
        <v>33</v>
      </c>
      <c r="D552" s="3" t="s">
        <v>44</v>
      </c>
      <c r="E552" s="3" t="s">
        <v>25</v>
      </c>
      <c r="F552" s="3" t="s">
        <v>25</v>
      </c>
      <c r="G552" s="3" t="s">
        <v>25</v>
      </c>
      <c r="H552" s="3" t="s">
        <v>36</v>
      </c>
      <c r="I552" s="6">
        <v>44713</v>
      </c>
      <c r="J552" s="4">
        <v>0</v>
      </c>
      <c r="K552" s="4">
        <v>0</v>
      </c>
      <c r="L552" s="4">
        <v>0.113</v>
      </c>
      <c r="M552" s="4">
        <v>0.113</v>
      </c>
      <c r="N552" s="4">
        <v>0.113</v>
      </c>
      <c r="O552" s="4">
        <v>0.113</v>
      </c>
      <c r="P552" s="4">
        <v>0</v>
      </c>
      <c r="Q552" s="3" t="s">
        <v>26</v>
      </c>
      <c r="R552" s="3">
        <v>0</v>
      </c>
      <c r="S552" s="3" t="s">
        <v>333</v>
      </c>
      <c r="T552" s="3" t="s">
        <v>572</v>
      </c>
      <c r="U552" s="3">
        <v>0</v>
      </c>
      <c r="V552" s="3">
        <v>45</v>
      </c>
      <c r="W552" s="3">
        <v>85</v>
      </c>
    </row>
    <row r="553" spans="1:23" ht="11.25" customHeight="1" x14ac:dyDescent="0.3">
      <c r="A553" s="3" t="s">
        <v>21</v>
      </c>
      <c r="B553" s="3" t="s">
        <v>37</v>
      </c>
      <c r="C553" s="3" t="s">
        <v>33</v>
      </c>
      <c r="D553" s="3" t="s">
        <v>44</v>
      </c>
      <c r="E553" s="3" t="s">
        <v>25</v>
      </c>
      <c r="F553" s="3" t="s">
        <v>25</v>
      </c>
      <c r="G553" s="3" t="s">
        <v>25</v>
      </c>
      <c r="H553" s="3" t="s">
        <v>34</v>
      </c>
      <c r="I553" s="6">
        <v>44562</v>
      </c>
      <c r="J553" s="4">
        <v>0</v>
      </c>
      <c r="K553" s="4">
        <v>0</v>
      </c>
      <c r="L553" s="4">
        <v>2.669</v>
      </c>
      <c r="M553" s="4">
        <v>2.669</v>
      </c>
      <c r="N553" s="4">
        <v>2.669</v>
      </c>
      <c r="O553" s="4">
        <v>2.669</v>
      </c>
      <c r="P553" s="4">
        <v>0</v>
      </c>
      <c r="Q553" s="3" t="s">
        <v>26</v>
      </c>
      <c r="R553" s="3">
        <v>0</v>
      </c>
      <c r="S553" s="3" t="s">
        <v>340</v>
      </c>
      <c r="T553" s="3" t="s">
        <v>579</v>
      </c>
      <c r="U553" s="3">
        <v>0</v>
      </c>
      <c r="V553" s="3">
        <v>44</v>
      </c>
      <c r="W553" s="3">
        <v>84</v>
      </c>
    </row>
    <row r="554" spans="1:23" ht="11.25" customHeight="1" x14ac:dyDescent="0.3">
      <c r="A554" s="3" t="s">
        <v>21</v>
      </c>
      <c r="B554" s="3" t="s">
        <v>37</v>
      </c>
      <c r="C554" s="3" t="s">
        <v>33</v>
      </c>
      <c r="D554" s="3" t="s">
        <v>44</v>
      </c>
      <c r="E554" s="3" t="s">
        <v>25</v>
      </c>
      <c r="F554" s="3" t="s">
        <v>25</v>
      </c>
      <c r="G554" s="3" t="s">
        <v>25</v>
      </c>
      <c r="H554" s="3" t="s">
        <v>34</v>
      </c>
      <c r="I554" s="6">
        <v>44652</v>
      </c>
      <c r="J554" s="4">
        <v>0</v>
      </c>
      <c r="K554" s="4">
        <v>0</v>
      </c>
      <c r="L554" s="4">
        <v>1.4E-2</v>
      </c>
      <c r="M554" s="4">
        <v>1.4E-2</v>
      </c>
      <c r="N554" s="4">
        <v>1.4E-2</v>
      </c>
      <c r="O554" s="4">
        <v>1.4E-2</v>
      </c>
      <c r="P554" s="4">
        <v>0</v>
      </c>
      <c r="Q554" s="3" t="s">
        <v>26</v>
      </c>
      <c r="R554" s="3">
        <v>0</v>
      </c>
      <c r="S554" s="3" t="s">
        <v>343</v>
      </c>
      <c r="T554" s="3" t="s">
        <v>582</v>
      </c>
      <c r="U554" s="3">
        <v>0</v>
      </c>
      <c r="V554" s="3">
        <v>44</v>
      </c>
      <c r="W554" s="3">
        <v>84</v>
      </c>
    </row>
    <row r="555" spans="1:23" ht="11.25" customHeight="1" x14ac:dyDescent="0.3">
      <c r="A555" s="3" t="s">
        <v>21</v>
      </c>
      <c r="B555" s="3" t="s">
        <v>37</v>
      </c>
      <c r="C555" s="3" t="s">
        <v>33</v>
      </c>
      <c r="D555" s="3" t="s">
        <v>44</v>
      </c>
      <c r="E555" s="3" t="s">
        <v>25</v>
      </c>
      <c r="F555" s="3" t="s">
        <v>25</v>
      </c>
      <c r="G555" s="3" t="s">
        <v>25</v>
      </c>
      <c r="H555" s="3" t="s">
        <v>34</v>
      </c>
      <c r="I555" s="6">
        <v>44682</v>
      </c>
      <c r="J555" s="4">
        <v>0</v>
      </c>
      <c r="K555" s="4">
        <v>0</v>
      </c>
      <c r="L555" s="4">
        <v>6.7000000000000004E-2</v>
      </c>
      <c r="M555" s="4">
        <v>6.7000000000000004E-2</v>
      </c>
      <c r="N555" s="4">
        <v>6.7000000000000004E-2</v>
      </c>
      <c r="O555" s="4">
        <v>6.7000000000000004E-2</v>
      </c>
      <c r="P555" s="4">
        <v>0</v>
      </c>
      <c r="Q555" s="3" t="s">
        <v>26</v>
      </c>
      <c r="R555" s="3">
        <v>0</v>
      </c>
      <c r="S555" s="3" t="s">
        <v>344</v>
      </c>
      <c r="T555" s="3" t="s">
        <v>583</v>
      </c>
      <c r="U555" s="3">
        <v>0</v>
      </c>
      <c r="V555" s="3">
        <v>44</v>
      </c>
      <c r="W555" s="3">
        <v>84</v>
      </c>
    </row>
    <row r="556" spans="1:23" ht="11.25" customHeight="1" x14ac:dyDescent="0.3">
      <c r="A556" s="3" t="s">
        <v>21</v>
      </c>
      <c r="B556" s="3" t="s">
        <v>37</v>
      </c>
      <c r="C556" s="3" t="s">
        <v>33</v>
      </c>
      <c r="D556" s="3" t="s">
        <v>44</v>
      </c>
      <c r="E556" s="3" t="s">
        <v>25</v>
      </c>
      <c r="F556" s="3" t="s">
        <v>25</v>
      </c>
      <c r="G556" s="3" t="s">
        <v>25</v>
      </c>
      <c r="H556" s="3" t="s">
        <v>34</v>
      </c>
      <c r="I556" s="6">
        <v>44713</v>
      </c>
      <c r="J556" s="4">
        <v>0</v>
      </c>
      <c r="K556" s="4">
        <v>0</v>
      </c>
      <c r="L556" s="4">
        <v>9.6000000000000002E-2</v>
      </c>
      <c r="M556" s="4">
        <v>9.6000000000000002E-2</v>
      </c>
      <c r="N556" s="4">
        <v>9.6000000000000002E-2</v>
      </c>
      <c r="O556" s="4">
        <v>9.6000000000000002E-2</v>
      </c>
      <c r="P556" s="4">
        <v>0</v>
      </c>
      <c r="Q556" s="3" t="s">
        <v>26</v>
      </c>
      <c r="R556" s="3">
        <v>0</v>
      </c>
      <c r="S556" s="3" t="s">
        <v>345</v>
      </c>
      <c r="T556" s="3" t="s">
        <v>584</v>
      </c>
      <c r="U556" s="3">
        <v>0</v>
      </c>
      <c r="V556" s="3">
        <v>44</v>
      </c>
      <c r="W556" s="3">
        <v>84</v>
      </c>
    </row>
    <row r="557" spans="1:23" ht="11.25" customHeight="1" x14ac:dyDescent="0.3">
      <c r="A557" s="3" t="s">
        <v>21</v>
      </c>
      <c r="B557" s="3" t="s">
        <v>37</v>
      </c>
      <c r="C557" s="3" t="s">
        <v>33</v>
      </c>
      <c r="D557" s="3" t="s">
        <v>48</v>
      </c>
      <c r="E557" s="3" t="s">
        <v>49</v>
      </c>
      <c r="F557" s="3" t="s">
        <v>25</v>
      </c>
      <c r="G557" s="3" t="s">
        <v>25</v>
      </c>
      <c r="H557" s="3" t="s">
        <v>34</v>
      </c>
      <c r="I557" s="6">
        <v>44562</v>
      </c>
      <c r="J557" s="4">
        <v>0</v>
      </c>
      <c r="K557" s="4">
        <v>0</v>
      </c>
      <c r="L557" s="4">
        <v>0.69399999999999995</v>
      </c>
      <c r="M557" s="4">
        <v>0.65235999999999994</v>
      </c>
      <c r="N557" s="4">
        <v>0.69399999999999995</v>
      </c>
      <c r="O557" s="4">
        <v>0.65235999999999994</v>
      </c>
      <c r="P557" s="4">
        <v>0</v>
      </c>
      <c r="Q557" s="3" t="s">
        <v>26</v>
      </c>
      <c r="R557" s="3">
        <v>0</v>
      </c>
      <c r="S557" s="3" t="s">
        <v>340</v>
      </c>
      <c r="T557" s="3" t="s">
        <v>579</v>
      </c>
      <c r="U557" s="3">
        <v>0</v>
      </c>
      <c r="V557" s="3">
        <v>44</v>
      </c>
      <c r="W557" s="3">
        <v>84</v>
      </c>
    </row>
    <row r="558" spans="1:23" ht="11.25" customHeight="1" x14ac:dyDescent="0.3">
      <c r="A558" s="3" t="s">
        <v>21</v>
      </c>
      <c r="B558" s="3" t="s">
        <v>37</v>
      </c>
      <c r="C558" s="3" t="s">
        <v>23</v>
      </c>
      <c r="D558" s="3" t="s">
        <v>41</v>
      </c>
      <c r="E558" s="3" t="s">
        <v>25</v>
      </c>
      <c r="F558" s="3" t="s">
        <v>25</v>
      </c>
      <c r="G558" s="3" t="s">
        <v>25</v>
      </c>
      <c r="H558" s="3" t="s">
        <v>25</v>
      </c>
      <c r="I558" s="6">
        <v>44378</v>
      </c>
      <c r="J558" s="4">
        <v>0</v>
      </c>
      <c r="K558" s="4">
        <v>0</v>
      </c>
      <c r="L558" s="4">
        <v>511.387</v>
      </c>
      <c r="M558" s="4">
        <v>511.387</v>
      </c>
      <c r="N558" s="4">
        <v>511.387</v>
      </c>
      <c r="O558" s="4">
        <v>511.387</v>
      </c>
      <c r="P558" s="4">
        <v>1166</v>
      </c>
      <c r="Q558" s="3" t="s">
        <v>26</v>
      </c>
      <c r="R558" s="3">
        <v>0</v>
      </c>
      <c r="S558" s="3" t="s">
        <v>346</v>
      </c>
      <c r="T558" s="3" t="s">
        <v>585</v>
      </c>
      <c r="U558" s="3">
        <v>0</v>
      </c>
      <c r="V558" s="3">
        <v>47</v>
      </c>
      <c r="W558" s="3">
        <v>87</v>
      </c>
    </row>
    <row r="559" spans="1:23" ht="11.25" customHeight="1" x14ac:dyDescent="0.3">
      <c r="A559" s="3" t="s">
        <v>27</v>
      </c>
      <c r="B559" s="3" t="s">
        <v>37</v>
      </c>
      <c r="C559" s="3" t="s">
        <v>23</v>
      </c>
      <c r="D559" s="3" t="s">
        <v>41</v>
      </c>
      <c r="E559" s="3" t="s">
        <v>25</v>
      </c>
      <c r="F559" s="3" t="s">
        <v>25</v>
      </c>
      <c r="G559" s="3" t="s">
        <v>25</v>
      </c>
      <c r="H559" s="3" t="s">
        <v>25</v>
      </c>
      <c r="I559" s="6">
        <v>44378</v>
      </c>
      <c r="J559" s="4">
        <v>0</v>
      </c>
      <c r="K559" s="4">
        <v>0</v>
      </c>
      <c r="L559" s="4">
        <v>-10.084</v>
      </c>
      <c r="M559" s="4">
        <v>-10.084</v>
      </c>
      <c r="N559" s="4">
        <v>-10.084</v>
      </c>
      <c r="O559" s="4">
        <v>-10.084</v>
      </c>
      <c r="P559" s="4">
        <v>0</v>
      </c>
      <c r="Q559" s="3" t="s">
        <v>26</v>
      </c>
      <c r="R559" s="3">
        <v>0</v>
      </c>
      <c r="S559" s="3" t="s">
        <v>346</v>
      </c>
      <c r="T559" s="3" t="s">
        <v>585</v>
      </c>
      <c r="U559" s="3">
        <v>0</v>
      </c>
      <c r="V559" s="3">
        <v>47</v>
      </c>
      <c r="W559" s="3">
        <v>87</v>
      </c>
    </row>
    <row r="560" spans="1:23" ht="11.25" customHeight="1" x14ac:dyDescent="0.3">
      <c r="A560" s="3" t="s">
        <v>28</v>
      </c>
      <c r="B560" s="3" t="s">
        <v>37</v>
      </c>
      <c r="C560" s="3" t="s">
        <v>23</v>
      </c>
      <c r="D560" s="3" t="s">
        <v>41</v>
      </c>
      <c r="E560" s="3" t="s">
        <v>25</v>
      </c>
      <c r="F560" s="3" t="s">
        <v>25</v>
      </c>
      <c r="G560" s="3" t="s">
        <v>25</v>
      </c>
      <c r="H560" s="3" t="s">
        <v>25</v>
      </c>
      <c r="I560" s="6">
        <v>44378</v>
      </c>
      <c r="J560" s="4">
        <v>0</v>
      </c>
      <c r="K560" s="4">
        <v>0</v>
      </c>
      <c r="L560" s="4">
        <v>50.249000000000002</v>
      </c>
      <c r="M560" s="4">
        <v>50.249000000000002</v>
      </c>
      <c r="N560" s="4">
        <v>50.249000000000002</v>
      </c>
      <c r="O560" s="4">
        <v>50.249000000000002</v>
      </c>
      <c r="P560" s="4">
        <v>38</v>
      </c>
      <c r="Q560" s="3" t="s">
        <v>26</v>
      </c>
      <c r="R560" s="3">
        <v>0</v>
      </c>
      <c r="S560" s="3" t="s">
        <v>346</v>
      </c>
      <c r="T560" s="3" t="s">
        <v>585</v>
      </c>
      <c r="U560" s="3">
        <v>0</v>
      </c>
      <c r="V560" s="3">
        <v>47</v>
      </c>
      <c r="W560" s="3">
        <v>87</v>
      </c>
    </row>
    <row r="561" spans="1:23" ht="11.25" customHeight="1" x14ac:dyDescent="0.3">
      <c r="A561" s="3" t="s">
        <v>21</v>
      </c>
      <c r="B561" s="3" t="s">
        <v>37</v>
      </c>
      <c r="C561" s="3" t="s">
        <v>23</v>
      </c>
      <c r="D561" s="3" t="s">
        <v>41</v>
      </c>
      <c r="E561" s="3" t="s">
        <v>25</v>
      </c>
      <c r="F561" s="3" t="s">
        <v>25</v>
      </c>
      <c r="G561" s="3" t="s">
        <v>25</v>
      </c>
      <c r="H561" s="3" t="s">
        <v>25</v>
      </c>
      <c r="I561" s="6">
        <v>44409</v>
      </c>
      <c r="J561" s="4">
        <v>0</v>
      </c>
      <c r="K561" s="4">
        <v>0</v>
      </c>
      <c r="L561" s="4">
        <v>549.75400000000002</v>
      </c>
      <c r="M561" s="4">
        <v>549.75400000000002</v>
      </c>
      <c r="N561" s="4">
        <v>549.75400000000002</v>
      </c>
      <c r="O561" s="4">
        <v>549.75400000000002</v>
      </c>
      <c r="P561" s="4">
        <v>1164</v>
      </c>
      <c r="Q561" s="3" t="s">
        <v>26</v>
      </c>
      <c r="R561" s="3">
        <v>0</v>
      </c>
      <c r="S561" s="3" t="s">
        <v>347</v>
      </c>
      <c r="T561" s="3" t="s">
        <v>586</v>
      </c>
      <c r="U561" s="3">
        <v>0</v>
      </c>
      <c r="V561" s="3">
        <v>47</v>
      </c>
      <c r="W561" s="3">
        <v>87</v>
      </c>
    </row>
    <row r="562" spans="1:23" ht="11.25" customHeight="1" x14ac:dyDescent="0.3">
      <c r="A562" s="3" t="s">
        <v>27</v>
      </c>
      <c r="B562" s="3" t="s">
        <v>37</v>
      </c>
      <c r="C562" s="3" t="s">
        <v>23</v>
      </c>
      <c r="D562" s="3" t="s">
        <v>41</v>
      </c>
      <c r="E562" s="3" t="s">
        <v>25</v>
      </c>
      <c r="F562" s="3" t="s">
        <v>25</v>
      </c>
      <c r="G562" s="3" t="s">
        <v>25</v>
      </c>
      <c r="H562" s="3" t="s">
        <v>25</v>
      </c>
      <c r="I562" s="6">
        <v>44409</v>
      </c>
      <c r="J562" s="4">
        <v>0</v>
      </c>
      <c r="K562" s="4">
        <v>0</v>
      </c>
      <c r="L562" s="4">
        <v>-6.5000000000000002E-2</v>
      </c>
      <c r="M562" s="4">
        <v>-6.5000000000000002E-2</v>
      </c>
      <c r="N562" s="4">
        <v>-6.5000000000000002E-2</v>
      </c>
      <c r="O562" s="4">
        <v>-6.5000000000000002E-2</v>
      </c>
      <c r="P562" s="4">
        <v>0</v>
      </c>
      <c r="Q562" s="3" t="s">
        <v>26</v>
      </c>
      <c r="R562" s="3">
        <v>0</v>
      </c>
      <c r="S562" s="3" t="s">
        <v>347</v>
      </c>
      <c r="T562" s="3" t="s">
        <v>586</v>
      </c>
      <c r="U562" s="3">
        <v>0</v>
      </c>
      <c r="V562" s="3">
        <v>47</v>
      </c>
      <c r="W562" s="3">
        <v>87</v>
      </c>
    </row>
    <row r="563" spans="1:23" ht="11.25" customHeight="1" x14ac:dyDescent="0.3">
      <c r="A563" s="3" t="s">
        <v>28</v>
      </c>
      <c r="B563" s="3" t="s">
        <v>37</v>
      </c>
      <c r="C563" s="3" t="s">
        <v>23</v>
      </c>
      <c r="D563" s="3" t="s">
        <v>41</v>
      </c>
      <c r="E563" s="3" t="s">
        <v>25</v>
      </c>
      <c r="F563" s="3" t="s">
        <v>25</v>
      </c>
      <c r="G563" s="3" t="s">
        <v>25</v>
      </c>
      <c r="H563" s="3" t="s">
        <v>25</v>
      </c>
      <c r="I563" s="6">
        <v>44409</v>
      </c>
      <c r="J563" s="4">
        <v>0</v>
      </c>
      <c r="K563" s="4">
        <v>0</v>
      </c>
      <c r="L563" s="4">
        <v>43.874000000000002</v>
      </c>
      <c r="M563" s="4">
        <v>43.874000000000002</v>
      </c>
      <c r="N563" s="4">
        <v>43.874000000000002</v>
      </c>
      <c r="O563" s="4">
        <v>43.874000000000002</v>
      </c>
      <c r="P563" s="4">
        <v>42</v>
      </c>
      <c r="Q563" s="3" t="s">
        <v>26</v>
      </c>
      <c r="R563" s="3">
        <v>0</v>
      </c>
      <c r="S563" s="3" t="s">
        <v>347</v>
      </c>
      <c r="T563" s="3" t="s">
        <v>586</v>
      </c>
      <c r="U563" s="3">
        <v>0</v>
      </c>
      <c r="V563" s="3">
        <v>47</v>
      </c>
      <c r="W563" s="3">
        <v>87</v>
      </c>
    </row>
    <row r="564" spans="1:23" ht="11.25" customHeight="1" x14ac:dyDescent="0.3">
      <c r="A564" s="3" t="s">
        <v>21</v>
      </c>
      <c r="B564" s="3" t="s">
        <v>37</v>
      </c>
      <c r="C564" s="3" t="s">
        <v>23</v>
      </c>
      <c r="D564" s="3" t="s">
        <v>41</v>
      </c>
      <c r="E564" s="3" t="s">
        <v>25</v>
      </c>
      <c r="F564" s="3" t="s">
        <v>25</v>
      </c>
      <c r="G564" s="3" t="s">
        <v>25</v>
      </c>
      <c r="H564" s="3" t="s">
        <v>25</v>
      </c>
      <c r="I564" s="6">
        <v>44440</v>
      </c>
      <c r="J564" s="4">
        <v>0</v>
      </c>
      <c r="K564" s="4">
        <v>0</v>
      </c>
      <c r="L564" s="4">
        <v>507.43700000000001</v>
      </c>
      <c r="M564" s="4">
        <v>507.43700000000001</v>
      </c>
      <c r="N564" s="4">
        <v>507.43700000000001</v>
      </c>
      <c r="O564" s="4">
        <v>507.43700000000001</v>
      </c>
      <c r="P564" s="4">
        <v>1174</v>
      </c>
      <c r="Q564" s="3" t="s">
        <v>26</v>
      </c>
      <c r="R564" s="3">
        <v>0</v>
      </c>
      <c r="S564" s="3" t="s">
        <v>348</v>
      </c>
      <c r="T564" s="3" t="s">
        <v>587</v>
      </c>
      <c r="U564" s="3">
        <v>0</v>
      </c>
      <c r="V564" s="3">
        <v>47</v>
      </c>
      <c r="W564" s="3">
        <v>87</v>
      </c>
    </row>
    <row r="565" spans="1:23" ht="11.25" customHeight="1" x14ac:dyDescent="0.3">
      <c r="A565" s="3" t="s">
        <v>28</v>
      </c>
      <c r="B565" s="3" t="s">
        <v>37</v>
      </c>
      <c r="C565" s="3" t="s">
        <v>23</v>
      </c>
      <c r="D565" s="3" t="s">
        <v>41</v>
      </c>
      <c r="E565" s="3" t="s">
        <v>25</v>
      </c>
      <c r="F565" s="3" t="s">
        <v>25</v>
      </c>
      <c r="G565" s="3" t="s">
        <v>25</v>
      </c>
      <c r="H565" s="3" t="s">
        <v>25</v>
      </c>
      <c r="I565" s="6">
        <v>44440</v>
      </c>
      <c r="J565" s="4">
        <v>0</v>
      </c>
      <c r="K565" s="4">
        <v>0</v>
      </c>
      <c r="L565" s="4">
        <v>46.741999999999997</v>
      </c>
      <c r="M565" s="4">
        <v>46.741999999999997</v>
      </c>
      <c r="N565" s="4">
        <v>46.741999999999997</v>
      </c>
      <c r="O565" s="4">
        <v>46.741999999999997</v>
      </c>
      <c r="P565" s="4">
        <v>42</v>
      </c>
      <c r="Q565" s="3" t="s">
        <v>26</v>
      </c>
      <c r="R565" s="3">
        <v>0</v>
      </c>
      <c r="S565" s="3" t="s">
        <v>348</v>
      </c>
      <c r="T565" s="3" t="s">
        <v>587</v>
      </c>
      <c r="U565" s="3">
        <v>0</v>
      </c>
      <c r="V565" s="3">
        <v>47</v>
      </c>
      <c r="W565" s="3">
        <v>87</v>
      </c>
    </row>
    <row r="566" spans="1:23" ht="11.25" customHeight="1" x14ac:dyDescent="0.3">
      <c r="A566" s="3" t="s">
        <v>21</v>
      </c>
      <c r="B566" s="3" t="s">
        <v>37</v>
      </c>
      <c r="C566" s="3" t="s">
        <v>23</v>
      </c>
      <c r="D566" s="3" t="s">
        <v>41</v>
      </c>
      <c r="E566" s="3" t="s">
        <v>25</v>
      </c>
      <c r="F566" s="3" t="s">
        <v>25</v>
      </c>
      <c r="G566" s="3" t="s">
        <v>25</v>
      </c>
      <c r="H566" s="3" t="s">
        <v>25</v>
      </c>
      <c r="I566" s="6">
        <v>44470</v>
      </c>
      <c r="J566" s="4">
        <v>0</v>
      </c>
      <c r="K566" s="4">
        <v>0</v>
      </c>
      <c r="L566" s="4">
        <v>545.47500000000002</v>
      </c>
      <c r="M566" s="4">
        <v>545.47500000000002</v>
      </c>
      <c r="N566" s="4">
        <v>545.47500000000002</v>
      </c>
      <c r="O566" s="4">
        <v>545.47500000000002</v>
      </c>
      <c r="P566" s="4">
        <v>1180</v>
      </c>
      <c r="Q566" s="3" t="s">
        <v>26</v>
      </c>
      <c r="R566" s="3">
        <v>0</v>
      </c>
      <c r="S566" s="3" t="s">
        <v>349</v>
      </c>
      <c r="T566" s="3" t="s">
        <v>588</v>
      </c>
      <c r="U566" s="3">
        <v>0</v>
      </c>
      <c r="V566" s="3">
        <v>47</v>
      </c>
      <c r="W566" s="3">
        <v>87</v>
      </c>
    </row>
    <row r="567" spans="1:23" ht="11.25" customHeight="1" x14ac:dyDescent="0.3">
      <c r="A567" s="3" t="s">
        <v>28</v>
      </c>
      <c r="B567" s="3" t="s">
        <v>37</v>
      </c>
      <c r="C567" s="3" t="s">
        <v>23</v>
      </c>
      <c r="D567" s="3" t="s">
        <v>41</v>
      </c>
      <c r="E567" s="3" t="s">
        <v>25</v>
      </c>
      <c r="F567" s="3" t="s">
        <v>25</v>
      </c>
      <c r="G567" s="3" t="s">
        <v>25</v>
      </c>
      <c r="H567" s="3" t="s">
        <v>25</v>
      </c>
      <c r="I567" s="6">
        <v>44470</v>
      </c>
      <c r="J567" s="4">
        <v>0</v>
      </c>
      <c r="K567" s="4">
        <v>0</v>
      </c>
      <c r="L567" s="4">
        <v>43.554000000000002</v>
      </c>
      <c r="M567" s="4">
        <v>43.554000000000002</v>
      </c>
      <c r="N567" s="4">
        <v>43.554000000000002</v>
      </c>
      <c r="O567" s="4">
        <v>43.554000000000002</v>
      </c>
      <c r="P567" s="4">
        <v>45</v>
      </c>
      <c r="Q567" s="3" t="s">
        <v>26</v>
      </c>
      <c r="R567" s="3">
        <v>0</v>
      </c>
      <c r="S567" s="3" t="s">
        <v>349</v>
      </c>
      <c r="T567" s="3" t="s">
        <v>588</v>
      </c>
      <c r="U567" s="3">
        <v>0</v>
      </c>
      <c r="V567" s="3">
        <v>47</v>
      </c>
      <c r="W567" s="3">
        <v>87</v>
      </c>
    </row>
    <row r="568" spans="1:23" ht="11.25" customHeight="1" x14ac:dyDescent="0.3">
      <c r="A568" s="3" t="s">
        <v>21</v>
      </c>
      <c r="B568" s="3" t="s">
        <v>37</v>
      </c>
      <c r="C568" s="3" t="s">
        <v>23</v>
      </c>
      <c r="D568" s="3" t="s">
        <v>41</v>
      </c>
      <c r="E568" s="3" t="s">
        <v>25</v>
      </c>
      <c r="F568" s="3" t="s">
        <v>25</v>
      </c>
      <c r="G568" s="3" t="s">
        <v>25</v>
      </c>
      <c r="H568" s="3" t="s">
        <v>25</v>
      </c>
      <c r="I568" s="6">
        <v>44501</v>
      </c>
      <c r="J568" s="4">
        <v>0</v>
      </c>
      <c r="K568" s="4">
        <v>0</v>
      </c>
      <c r="L568" s="4">
        <v>601.43600000000004</v>
      </c>
      <c r="M568" s="4">
        <v>601.43600000000004</v>
      </c>
      <c r="N568" s="4">
        <v>601.43600000000004</v>
      </c>
      <c r="O568" s="4">
        <v>601.43600000000004</v>
      </c>
      <c r="P568" s="4">
        <v>1177</v>
      </c>
      <c r="Q568" s="3" t="s">
        <v>26</v>
      </c>
      <c r="R568" s="3">
        <v>0</v>
      </c>
      <c r="S568" s="3" t="s">
        <v>350</v>
      </c>
      <c r="T568" s="3" t="s">
        <v>589</v>
      </c>
      <c r="U568" s="3">
        <v>0</v>
      </c>
      <c r="V568" s="3">
        <v>47</v>
      </c>
      <c r="W568" s="3">
        <v>87</v>
      </c>
    </row>
    <row r="569" spans="1:23" ht="11.25" customHeight="1" x14ac:dyDescent="0.3">
      <c r="A569" s="3" t="s">
        <v>27</v>
      </c>
      <c r="B569" s="3" t="s">
        <v>37</v>
      </c>
      <c r="C569" s="3" t="s">
        <v>23</v>
      </c>
      <c r="D569" s="3" t="s">
        <v>41</v>
      </c>
      <c r="E569" s="3" t="s">
        <v>25</v>
      </c>
      <c r="F569" s="3" t="s">
        <v>25</v>
      </c>
      <c r="G569" s="3" t="s">
        <v>25</v>
      </c>
      <c r="H569" s="3" t="s">
        <v>25</v>
      </c>
      <c r="I569" s="6">
        <v>44501</v>
      </c>
      <c r="J569" s="4">
        <v>0</v>
      </c>
      <c r="K569" s="4">
        <v>0</v>
      </c>
      <c r="L569" s="4">
        <v>-0.159</v>
      </c>
      <c r="M569" s="4">
        <v>-0.159</v>
      </c>
      <c r="N569" s="4">
        <v>-0.159</v>
      </c>
      <c r="O569" s="4">
        <v>-0.159</v>
      </c>
      <c r="P569" s="4">
        <v>0</v>
      </c>
      <c r="Q569" s="3" t="s">
        <v>26</v>
      </c>
      <c r="R569" s="3">
        <v>0</v>
      </c>
      <c r="S569" s="3" t="s">
        <v>350</v>
      </c>
      <c r="T569" s="3" t="s">
        <v>589</v>
      </c>
      <c r="U569" s="3">
        <v>0</v>
      </c>
      <c r="V569" s="3">
        <v>47</v>
      </c>
      <c r="W569" s="3">
        <v>87</v>
      </c>
    </row>
    <row r="570" spans="1:23" ht="11.25" customHeight="1" x14ac:dyDescent="0.3">
      <c r="A570" s="3" t="s">
        <v>28</v>
      </c>
      <c r="B570" s="3" t="s">
        <v>37</v>
      </c>
      <c r="C570" s="3" t="s">
        <v>23</v>
      </c>
      <c r="D570" s="3" t="s">
        <v>41</v>
      </c>
      <c r="E570" s="3" t="s">
        <v>25</v>
      </c>
      <c r="F570" s="3" t="s">
        <v>25</v>
      </c>
      <c r="G570" s="3" t="s">
        <v>25</v>
      </c>
      <c r="H570" s="3" t="s">
        <v>25</v>
      </c>
      <c r="I570" s="6">
        <v>44501</v>
      </c>
      <c r="J570" s="4">
        <v>0</v>
      </c>
      <c r="K570" s="4">
        <v>0</v>
      </c>
      <c r="L570" s="4">
        <v>34.328000000000003</v>
      </c>
      <c r="M570" s="4">
        <v>34.328000000000003</v>
      </c>
      <c r="N570" s="4">
        <v>34.328000000000003</v>
      </c>
      <c r="O570" s="4">
        <v>34.328000000000003</v>
      </c>
      <c r="P570" s="4">
        <v>48</v>
      </c>
      <c r="Q570" s="3" t="s">
        <v>26</v>
      </c>
      <c r="R570" s="3">
        <v>0</v>
      </c>
      <c r="S570" s="3" t="s">
        <v>350</v>
      </c>
      <c r="T570" s="3" t="s">
        <v>589</v>
      </c>
      <c r="U570" s="3">
        <v>0</v>
      </c>
      <c r="V570" s="3">
        <v>47</v>
      </c>
      <c r="W570" s="3">
        <v>87</v>
      </c>
    </row>
    <row r="571" spans="1:23" ht="11.25" customHeight="1" x14ac:dyDescent="0.3">
      <c r="A571" s="3" t="s">
        <v>28</v>
      </c>
      <c r="B571" s="3" t="s">
        <v>37</v>
      </c>
      <c r="C571" s="3" t="s">
        <v>23</v>
      </c>
      <c r="D571" s="3" t="s">
        <v>41</v>
      </c>
      <c r="E571" s="3" t="s">
        <v>25</v>
      </c>
      <c r="F571" s="3" t="s">
        <v>25</v>
      </c>
      <c r="G571" s="3" t="s">
        <v>25</v>
      </c>
      <c r="H571" s="3" t="s">
        <v>25</v>
      </c>
      <c r="I571" s="6">
        <v>44501</v>
      </c>
      <c r="J571" s="4">
        <v>0</v>
      </c>
      <c r="K571" s="4">
        <v>0</v>
      </c>
      <c r="L571" s="4">
        <v>0.377</v>
      </c>
      <c r="M571" s="4">
        <v>0.377</v>
      </c>
      <c r="N571" s="4">
        <v>0.377</v>
      </c>
      <c r="O571" s="4">
        <v>0.377</v>
      </c>
      <c r="P571" s="4">
        <v>1</v>
      </c>
      <c r="Q571" s="3" t="s">
        <v>26</v>
      </c>
      <c r="R571" s="3">
        <v>0</v>
      </c>
      <c r="S571" s="3" t="s">
        <v>350</v>
      </c>
      <c r="T571" s="3" t="s">
        <v>589</v>
      </c>
      <c r="U571" s="3">
        <v>0</v>
      </c>
      <c r="V571" s="3">
        <v>47</v>
      </c>
      <c r="W571" s="3">
        <v>87</v>
      </c>
    </row>
    <row r="572" spans="1:23" ht="11.25" customHeight="1" x14ac:dyDescent="0.3">
      <c r="A572" s="3" t="s">
        <v>21</v>
      </c>
      <c r="B572" s="3" t="s">
        <v>37</v>
      </c>
      <c r="C572" s="3" t="s">
        <v>23</v>
      </c>
      <c r="D572" s="3" t="s">
        <v>41</v>
      </c>
      <c r="E572" s="3" t="s">
        <v>25</v>
      </c>
      <c r="F572" s="3" t="s">
        <v>25</v>
      </c>
      <c r="G572" s="3" t="s">
        <v>25</v>
      </c>
      <c r="H572" s="3" t="s">
        <v>25</v>
      </c>
      <c r="I572" s="6">
        <v>44531</v>
      </c>
      <c r="J572" s="4">
        <v>0</v>
      </c>
      <c r="K572" s="4">
        <v>0</v>
      </c>
      <c r="L572" s="4">
        <v>657.19600000000003</v>
      </c>
      <c r="M572" s="4">
        <v>657.19600000000003</v>
      </c>
      <c r="N572" s="4">
        <v>657.19600000000003</v>
      </c>
      <c r="O572" s="4">
        <v>657.19600000000003</v>
      </c>
      <c r="P572" s="4">
        <v>1183</v>
      </c>
      <c r="Q572" s="3" t="s">
        <v>26</v>
      </c>
      <c r="R572" s="3">
        <v>0</v>
      </c>
      <c r="S572" s="3" t="s">
        <v>351</v>
      </c>
      <c r="T572" s="3" t="s">
        <v>590</v>
      </c>
      <c r="U572" s="3">
        <v>0</v>
      </c>
      <c r="V572" s="3">
        <v>47</v>
      </c>
      <c r="W572" s="3">
        <v>87</v>
      </c>
    </row>
    <row r="573" spans="1:23" ht="11.25" customHeight="1" x14ac:dyDescent="0.3">
      <c r="A573" s="3" t="s">
        <v>28</v>
      </c>
      <c r="B573" s="3" t="s">
        <v>37</v>
      </c>
      <c r="C573" s="3" t="s">
        <v>23</v>
      </c>
      <c r="D573" s="3" t="s">
        <v>41</v>
      </c>
      <c r="E573" s="3" t="s">
        <v>25</v>
      </c>
      <c r="F573" s="3" t="s">
        <v>25</v>
      </c>
      <c r="G573" s="3" t="s">
        <v>25</v>
      </c>
      <c r="H573" s="3" t="s">
        <v>25</v>
      </c>
      <c r="I573" s="6">
        <v>44531</v>
      </c>
      <c r="J573" s="4">
        <v>0</v>
      </c>
      <c r="K573" s="4">
        <v>0</v>
      </c>
      <c r="L573" s="4">
        <v>36.639000000000003</v>
      </c>
      <c r="M573" s="4">
        <v>36.639000000000003</v>
      </c>
      <c r="N573" s="4">
        <v>36.639000000000003</v>
      </c>
      <c r="O573" s="4">
        <v>36.639000000000003</v>
      </c>
      <c r="P573" s="4">
        <v>48</v>
      </c>
      <c r="Q573" s="3" t="s">
        <v>26</v>
      </c>
      <c r="R573" s="3">
        <v>0</v>
      </c>
      <c r="S573" s="3" t="s">
        <v>351</v>
      </c>
      <c r="T573" s="3" t="s">
        <v>590</v>
      </c>
      <c r="U573" s="3">
        <v>0</v>
      </c>
      <c r="V573" s="3">
        <v>47</v>
      </c>
      <c r="W573" s="3">
        <v>87</v>
      </c>
    </row>
    <row r="574" spans="1:23" ht="11.25" customHeight="1" x14ac:dyDescent="0.3">
      <c r="A574" s="3" t="s">
        <v>21</v>
      </c>
      <c r="B574" s="3" t="s">
        <v>37</v>
      </c>
      <c r="C574" s="3" t="s">
        <v>23</v>
      </c>
      <c r="D574" s="3" t="s">
        <v>41</v>
      </c>
      <c r="E574" s="3" t="s">
        <v>25</v>
      </c>
      <c r="F574" s="3" t="s">
        <v>25</v>
      </c>
      <c r="G574" s="3" t="s">
        <v>25</v>
      </c>
      <c r="H574" s="3" t="s">
        <v>25</v>
      </c>
      <c r="I574" s="6">
        <v>44562</v>
      </c>
      <c r="J574" s="4">
        <v>0</v>
      </c>
      <c r="K574" s="4">
        <v>0</v>
      </c>
      <c r="L574" s="4">
        <v>719.601</v>
      </c>
      <c r="M574" s="4">
        <v>719.601</v>
      </c>
      <c r="N574" s="4">
        <v>719.601</v>
      </c>
      <c r="O574" s="4">
        <v>719.601</v>
      </c>
      <c r="P574" s="4">
        <v>1195</v>
      </c>
      <c r="Q574" s="3" t="s">
        <v>26</v>
      </c>
      <c r="R574" s="3">
        <v>0</v>
      </c>
      <c r="S574" s="3" t="s">
        <v>352</v>
      </c>
      <c r="T574" s="3" t="s">
        <v>591</v>
      </c>
      <c r="U574" s="3">
        <v>0</v>
      </c>
      <c r="V574" s="3">
        <v>47</v>
      </c>
      <c r="W574" s="3">
        <v>87</v>
      </c>
    </row>
    <row r="575" spans="1:23" ht="11.25" customHeight="1" x14ac:dyDescent="0.3">
      <c r="A575" s="3" t="s">
        <v>27</v>
      </c>
      <c r="B575" s="3" t="s">
        <v>37</v>
      </c>
      <c r="C575" s="3" t="s">
        <v>23</v>
      </c>
      <c r="D575" s="3" t="s">
        <v>41</v>
      </c>
      <c r="E575" s="3" t="s">
        <v>25</v>
      </c>
      <c r="F575" s="3" t="s">
        <v>25</v>
      </c>
      <c r="G575" s="3" t="s">
        <v>25</v>
      </c>
      <c r="H575" s="3" t="s">
        <v>25</v>
      </c>
      <c r="I575" s="6">
        <v>44562</v>
      </c>
      <c r="J575" s="4">
        <v>0</v>
      </c>
      <c r="K575" s="4">
        <v>0</v>
      </c>
      <c r="L575" s="4">
        <v>3.2050000000000001</v>
      </c>
      <c r="M575" s="4">
        <v>3.2050000000000001</v>
      </c>
      <c r="N575" s="4">
        <v>3.2050000000000001</v>
      </c>
      <c r="O575" s="4">
        <v>3.2050000000000001</v>
      </c>
      <c r="P575" s="4">
        <v>0</v>
      </c>
      <c r="Q575" s="3" t="s">
        <v>26</v>
      </c>
      <c r="R575" s="3">
        <v>0</v>
      </c>
      <c r="S575" s="3" t="s">
        <v>352</v>
      </c>
      <c r="T575" s="3" t="s">
        <v>591</v>
      </c>
      <c r="U575" s="3">
        <v>0</v>
      </c>
      <c r="V575" s="3">
        <v>47</v>
      </c>
      <c r="W575" s="3">
        <v>87</v>
      </c>
    </row>
    <row r="576" spans="1:23" ht="11.25" customHeight="1" x14ac:dyDescent="0.3">
      <c r="A576" s="3" t="s">
        <v>28</v>
      </c>
      <c r="B576" s="3" t="s">
        <v>37</v>
      </c>
      <c r="C576" s="3" t="s">
        <v>23</v>
      </c>
      <c r="D576" s="3" t="s">
        <v>41</v>
      </c>
      <c r="E576" s="3" t="s">
        <v>25</v>
      </c>
      <c r="F576" s="3" t="s">
        <v>25</v>
      </c>
      <c r="G576" s="3" t="s">
        <v>25</v>
      </c>
      <c r="H576" s="3" t="s">
        <v>25</v>
      </c>
      <c r="I576" s="6">
        <v>44562</v>
      </c>
      <c r="J576" s="4">
        <v>0</v>
      </c>
      <c r="K576" s="4">
        <v>0</v>
      </c>
      <c r="L576" s="4">
        <v>43.732999999999997</v>
      </c>
      <c r="M576" s="4">
        <v>43.732999999999997</v>
      </c>
      <c r="N576" s="4">
        <v>43.732999999999997</v>
      </c>
      <c r="O576" s="4">
        <v>43.732999999999997</v>
      </c>
      <c r="P576" s="4">
        <v>47</v>
      </c>
      <c r="Q576" s="3" t="s">
        <v>26</v>
      </c>
      <c r="R576" s="3">
        <v>0</v>
      </c>
      <c r="S576" s="3" t="s">
        <v>352</v>
      </c>
      <c r="T576" s="3" t="s">
        <v>591</v>
      </c>
      <c r="U576" s="3">
        <v>0</v>
      </c>
      <c r="V576" s="3">
        <v>47</v>
      </c>
      <c r="W576" s="3">
        <v>87</v>
      </c>
    </row>
    <row r="577" spans="1:23" ht="11.25" customHeight="1" x14ac:dyDescent="0.3">
      <c r="A577" s="3" t="s">
        <v>21</v>
      </c>
      <c r="B577" s="3" t="s">
        <v>37</v>
      </c>
      <c r="C577" s="3" t="s">
        <v>23</v>
      </c>
      <c r="D577" s="3" t="s">
        <v>41</v>
      </c>
      <c r="E577" s="3" t="s">
        <v>25</v>
      </c>
      <c r="F577" s="3" t="s">
        <v>25</v>
      </c>
      <c r="G577" s="3" t="s">
        <v>25</v>
      </c>
      <c r="H577" s="3" t="s">
        <v>25</v>
      </c>
      <c r="I577" s="6">
        <v>44593</v>
      </c>
      <c r="J577" s="4">
        <v>0</v>
      </c>
      <c r="K577" s="4">
        <v>0</v>
      </c>
      <c r="L577" s="4">
        <v>849.50099999999998</v>
      </c>
      <c r="M577" s="4">
        <v>849.50099999999998</v>
      </c>
      <c r="N577" s="4">
        <v>849.50099999999998</v>
      </c>
      <c r="O577" s="4">
        <v>849.50099999999998</v>
      </c>
      <c r="P577" s="4">
        <v>1197</v>
      </c>
      <c r="Q577" s="3" t="s">
        <v>26</v>
      </c>
      <c r="R577" s="3">
        <v>0</v>
      </c>
      <c r="S577" s="3" t="s">
        <v>353</v>
      </c>
      <c r="T577" s="3" t="s">
        <v>592</v>
      </c>
      <c r="U577" s="3">
        <v>0</v>
      </c>
      <c r="V577" s="3">
        <v>47</v>
      </c>
      <c r="W577" s="3">
        <v>87</v>
      </c>
    </row>
    <row r="578" spans="1:23" ht="11.25" customHeight="1" x14ac:dyDescent="0.3">
      <c r="A578" s="3" t="s">
        <v>27</v>
      </c>
      <c r="B578" s="3" t="s">
        <v>37</v>
      </c>
      <c r="C578" s="3" t="s">
        <v>23</v>
      </c>
      <c r="D578" s="3" t="s">
        <v>41</v>
      </c>
      <c r="E578" s="3" t="s">
        <v>25</v>
      </c>
      <c r="F578" s="3" t="s">
        <v>25</v>
      </c>
      <c r="G578" s="3" t="s">
        <v>25</v>
      </c>
      <c r="H578" s="3" t="s">
        <v>25</v>
      </c>
      <c r="I578" s="6">
        <v>44593</v>
      </c>
      <c r="J578" s="4">
        <v>0</v>
      </c>
      <c r="K578" s="4">
        <v>0</v>
      </c>
      <c r="L578" s="4">
        <v>46.793999999999997</v>
      </c>
      <c r="M578" s="4">
        <v>46.793999999999997</v>
      </c>
      <c r="N578" s="4">
        <v>46.793999999999997</v>
      </c>
      <c r="O578" s="4">
        <v>46.793999999999997</v>
      </c>
      <c r="P578" s="4">
        <v>0</v>
      </c>
      <c r="Q578" s="3" t="s">
        <v>26</v>
      </c>
      <c r="R578" s="3">
        <v>0</v>
      </c>
      <c r="S578" s="3" t="s">
        <v>353</v>
      </c>
      <c r="T578" s="3" t="s">
        <v>592</v>
      </c>
      <c r="U578" s="3">
        <v>0</v>
      </c>
      <c r="V578" s="3">
        <v>47</v>
      </c>
      <c r="W578" s="3">
        <v>87</v>
      </c>
    </row>
    <row r="579" spans="1:23" ht="11.25" customHeight="1" x14ac:dyDescent="0.3">
      <c r="A579" s="3" t="s">
        <v>28</v>
      </c>
      <c r="B579" s="3" t="s">
        <v>37</v>
      </c>
      <c r="C579" s="3" t="s">
        <v>23</v>
      </c>
      <c r="D579" s="3" t="s">
        <v>41</v>
      </c>
      <c r="E579" s="3" t="s">
        <v>25</v>
      </c>
      <c r="F579" s="3" t="s">
        <v>25</v>
      </c>
      <c r="G579" s="3" t="s">
        <v>25</v>
      </c>
      <c r="H579" s="3" t="s">
        <v>25</v>
      </c>
      <c r="I579" s="6">
        <v>44593</v>
      </c>
      <c r="J579" s="4">
        <v>0</v>
      </c>
      <c r="K579" s="4">
        <v>0</v>
      </c>
      <c r="L579" s="4">
        <v>60.008000000000003</v>
      </c>
      <c r="M579" s="4">
        <v>60.008000000000003</v>
      </c>
      <c r="N579" s="4">
        <v>60.008000000000003</v>
      </c>
      <c r="O579" s="4">
        <v>60.008000000000003</v>
      </c>
      <c r="P579" s="4">
        <v>47</v>
      </c>
      <c r="Q579" s="3" t="s">
        <v>26</v>
      </c>
      <c r="R579" s="3">
        <v>0</v>
      </c>
      <c r="S579" s="3" t="s">
        <v>353</v>
      </c>
      <c r="T579" s="3" t="s">
        <v>592</v>
      </c>
      <c r="U579" s="3">
        <v>0</v>
      </c>
      <c r="V579" s="3">
        <v>47</v>
      </c>
      <c r="W579" s="3">
        <v>87</v>
      </c>
    </row>
    <row r="580" spans="1:23" ht="11.25" customHeight="1" x14ac:dyDescent="0.3">
      <c r="A580" s="3" t="s">
        <v>21</v>
      </c>
      <c r="B580" s="3" t="s">
        <v>37</v>
      </c>
      <c r="C580" s="3" t="s">
        <v>23</v>
      </c>
      <c r="D580" s="3" t="s">
        <v>41</v>
      </c>
      <c r="E580" s="3" t="s">
        <v>25</v>
      </c>
      <c r="F580" s="3" t="s">
        <v>25</v>
      </c>
      <c r="G580" s="3" t="s">
        <v>25</v>
      </c>
      <c r="H580" s="3" t="s">
        <v>25</v>
      </c>
      <c r="I580" s="6">
        <v>44621</v>
      </c>
      <c r="J580" s="4">
        <v>0</v>
      </c>
      <c r="K580" s="4">
        <v>0</v>
      </c>
      <c r="L580" s="4">
        <v>730.76400000000001</v>
      </c>
      <c r="M580" s="4">
        <v>730.76400000000001</v>
      </c>
      <c r="N580" s="4">
        <v>730.76400000000001</v>
      </c>
      <c r="O580" s="4">
        <v>730.76400000000001</v>
      </c>
      <c r="P580" s="4">
        <v>1240</v>
      </c>
      <c r="Q580" s="3" t="s">
        <v>26</v>
      </c>
      <c r="R580" s="3">
        <v>0</v>
      </c>
      <c r="S580" s="3" t="s">
        <v>354</v>
      </c>
      <c r="T580" s="3" t="s">
        <v>593</v>
      </c>
      <c r="U580" s="3">
        <v>0</v>
      </c>
      <c r="V580" s="3">
        <v>47</v>
      </c>
      <c r="W580" s="3">
        <v>87</v>
      </c>
    </row>
    <row r="581" spans="1:23" ht="11.25" customHeight="1" x14ac:dyDescent="0.3">
      <c r="A581" s="3" t="s">
        <v>28</v>
      </c>
      <c r="B581" s="3" t="s">
        <v>37</v>
      </c>
      <c r="C581" s="3" t="s">
        <v>23</v>
      </c>
      <c r="D581" s="3" t="s">
        <v>41</v>
      </c>
      <c r="E581" s="3" t="s">
        <v>25</v>
      </c>
      <c r="F581" s="3" t="s">
        <v>25</v>
      </c>
      <c r="G581" s="3" t="s">
        <v>25</v>
      </c>
      <c r="H581" s="3" t="s">
        <v>25</v>
      </c>
      <c r="I581" s="6">
        <v>44621</v>
      </c>
      <c r="J581" s="4">
        <v>0</v>
      </c>
      <c r="K581" s="4">
        <v>0</v>
      </c>
      <c r="L581" s="4">
        <v>68.831999999999994</v>
      </c>
      <c r="M581" s="4">
        <v>68.831999999999994</v>
      </c>
      <c r="N581" s="4">
        <v>68.831999999999994</v>
      </c>
      <c r="O581" s="4">
        <v>68.831999999999994</v>
      </c>
      <c r="P581" s="4">
        <v>51</v>
      </c>
      <c r="Q581" s="3" t="s">
        <v>26</v>
      </c>
      <c r="R581" s="3">
        <v>0</v>
      </c>
      <c r="S581" s="3" t="s">
        <v>354</v>
      </c>
      <c r="T581" s="3" t="s">
        <v>593</v>
      </c>
      <c r="U581" s="3">
        <v>0</v>
      </c>
      <c r="V581" s="3">
        <v>47</v>
      </c>
      <c r="W581" s="3">
        <v>87</v>
      </c>
    </row>
    <row r="582" spans="1:23" ht="11.25" customHeight="1" x14ac:dyDescent="0.3">
      <c r="A582" s="3" t="s">
        <v>21</v>
      </c>
      <c r="B582" s="3" t="s">
        <v>37</v>
      </c>
      <c r="C582" s="3" t="s">
        <v>23</v>
      </c>
      <c r="D582" s="3" t="s">
        <v>41</v>
      </c>
      <c r="E582" s="3" t="s">
        <v>25</v>
      </c>
      <c r="F582" s="3" t="s">
        <v>25</v>
      </c>
      <c r="G582" s="3" t="s">
        <v>25</v>
      </c>
      <c r="H582" s="3" t="s">
        <v>25</v>
      </c>
      <c r="I582" s="6">
        <v>44652</v>
      </c>
      <c r="J582" s="4">
        <v>0</v>
      </c>
      <c r="K582" s="4">
        <v>0</v>
      </c>
      <c r="L582" s="4">
        <v>547.755</v>
      </c>
      <c r="M582" s="4">
        <v>547.755</v>
      </c>
      <c r="N582" s="4">
        <v>547.755</v>
      </c>
      <c r="O582" s="4">
        <v>547.755</v>
      </c>
      <c r="P582" s="4">
        <v>1211</v>
      </c>
      <c r="Q582" s="3" t="s">
        <v>26</v>
      </c>
      <c r="R582" s="3">
        <v>0</v>
      </c>
      <c r="S582" s="3" t="s">
        <v>355</v>
      </c>
      <c r="T582" s="3" t="s">
        <v>594</v>
      </c>
      <c r="U582" s="3">
        <v>0</v>
      </c>
      <c r="V582" s="3">
        <v>47</v>
      </c>
      <c r="W582" s="3">
        <v>87</v>
      </c>
    </row>
    <row r="583" spans="1:23" ht="11.25" customHeight="1" x14ac:dyDescent="0.3">
      <c r="A583" s="3" t="s">
        <v>27</v>
      </c>
      <c r="B583" s="3" t="s">
        <v>37</v>
      </c>
      <c r="C583" s="3" t="s">
        <v>23</v>
      </c>
      <c r="D583" s="3" t="s">
        <v>41</v>
      </c>
      <c r="E583" s="3" t="s">
        <v>25</v>
      </c>
      <c r="F583" s="3" t="s">
        <v>25</v>
      </c>
      <c r="G583" s="3" t="s">
        <v>25</v>
      </c>
      <c r="H583" s="3" t="s">
        <v>25</v>
      </c>
      <c r="I583" s="6">
        <v>44652</v>
      </c>
      <c r="J583" s="4">
        <v>0</v>
      </c>
      <c r="K583" s="4">
        <v>0</v>
      </c>
      <c r="L583" s="4">
        <v>0.83199999999999996</v>
      </c>
      <c r="M583" s="4">
        <v>0.83199999999999996</v>
      </c>
      <c r="N583" s="4">
        <v>0.83199999999999996</v>
      </c>
      <c r="O583" s="4">
        <v>0.83199999999999996</v>
      </c>
      <c r="P583" s="4">
        <v>0</v>
      </c>
      <c r="Q583" s="3" t="s">
        <v>26</v>
      </c>
      <c r="R583" s="3">
        <v>0</v>
      </c>
      <c r="S583" s="3" t="s">
        <v>355</v>
      </c>
      <c r="T583" s="3" t="s">
        <v>594</v>
      </c>
      <c r="U583" s="3">
        <v>0</v>
      </c>
      <c r="V583" s="3">
        <v>47</v>
      </c>
      <c r="W583" s="3">
        <v>87</v>
      </c>
    </row>
    <row r="584" spans="1:23" ht="11.25" customHeight="1" x14ac:dyDescent="0.3">
      <c r="A584" s="3" t="s">
        <v>28</v>
      </c>
      <c r="B584" s="3" t="s">
        <v>37</v>
      </c>
      <c r="C584" s="3" t="s">
        <v>23</v>
      </c>
      <c r="D584" s="3" t="s">
        <v>41</v>
      </c>
      <c r="E584" s="3" t="s">
        <v>25</v>
      </c>
      <c r="F584" s="3" t="s">
        <v>25</v>
      </c>
      <c r="G584" s="3" t="s">
        <v>25</v>
      </c>
      <c r="H584" s="3" t="s">
        <v>25</v>
      </c>
      <c r="I584" s="6">
        <v>44652</v>
      </c>
      <c r="J584" s="4">
        <v>0</v>
      </c>
      <c r="K584" s="4">
        <v>0</v>
      </c>
      <c r="L584" s="4">
        <v>44.404000000000003</v>
      </c>
      <c r="M584" s="4">
        <v>44.404000000000003</v>
      </c>
      <c r="N584" s="4">
        <v>44.404000000000003</v>
      </c>
      <c r="O584" s="4">
        <v>44.404000000000003</v>
      </c>
      <c r="P584" s="4">
        <v>54</v>
      </c>
      <c r="Q584" s="3" t="s">
        <v>26</v>
      </c>
      <c r="R584" s="3">
        <v>0</v>
      </c>
      <c r="S584" s="3" t="s">
        <v>355</v>
      </c>
      <c r="T584" s="3" t="s">
        <v>594</v>
      </c>
      <c r="U584" s="3">
        <v>0</v>
      </c>
      <c r="V584" s="3">
        <v>47</v>
      </c>
      <c r="W584" s="3">
        <v>87</v>
      </c>
    </row>
    <row r="585" spans="1:23" ht="11.25" customHeight="1" x14ac:dyDescent="0.3">
      <c r="A585" s="3" t="s">
        <v>21</v>
      </c>
      <c r="B585" s="3" t="s">
        <v>37</v>
      </c>
      <c r="C585" s="3" t="s">
        <v>23</v>
      </c>
      <c r="D585" s="3" t="s">
        <v>41</v>
      </c>
      <c r="E585" s="3" t="s">
        <v>25</v>
      </c>
      <c r="F585" s="3" t="s">
        <v>25</v>
      </c>
      <c r="G585" s="3" t="s">
        <v>25</v>
      </c>
      <c r="H585" s="3" t="s">
        <v>25</v>
      </c>
      <c r="I585" s="6">
        <v>44682</v>
      </c>
      <c r="J585" s="4">
        <v>0</v>
      </c>
      <c r="K585" s="4">
        <v>0</v>
      </c>
      <c r="L585" s="4">
        <v>541.12</v>
      </c>
      <c r="M585" s="4">
        <v>541.12</v>
      </c>
      <c r="N585" s="4">
        <v>541.12</v>
      </c>
      <c r="O585" s="4">
        <v>541.12</v>
      </c>
      <c r="P585" s="4">
        <v>1205</v>
      </c>
      <c r="Q585" s="3" t="s">
        <v>26</v>
      </c>
      <c r="R585" s="3">
        <v>0</v>
      </c>
      <c r="S585" s="3" t="s">
        <v>356</v>
      </c>
      <c r="T585" s="3" t="s">
        <v>595</v>
      </c>
      <c r="U585" s="3">
        <v>0</v>
      </c>
      <c r="V585" s="3">
        <v>47</v>
      </c>
      <c r="W585" s="3">
        <v>87</v>
      </c>
    </row>
    <row r="586" spans="1:23" ht="11.25" customHeight="1" x14ac:dyDescent="0.3">
      <c r="A586" s="3" t="s">
        <v>28</v>
      </c>
      <c r="B586" s="3" t="s">
        <v>37</v>
      </c>
      <c r="C586" s="3" t="s">
        <v>23</v>
      </c>
      <c r="D586" s="3" t="s">
        <v>41</v>
      </c>
      <c r="E586" s="3" t="s">
        <v>25</v>
      </c>
      <c r="F586" s="3" t="s">
        <v>25</v>
      </c>
      <c r="G586" s="3" t="s">
        <v>25</v>
      </c>
      <c r="H586" s="3" t="s">
        <v>25</v>
      </c>
      <c r="I586" s="6">
        <v>44682</v>
      </c>
      <c r="J586" s="4">
        <v>0</v>
      </c>
      <c r="K586" s="4">
        <v>0</v>
      </c>
      <c r="L586" s="4">
        <v>65.277000000000001</v>
      </c>
      <c r="M586" s="4">
        <v>65.277000000000001</v>
      </c>
      <c r="N586" s="4">
        <v>65.277000000000001</v>
      </c>
      <c r="O586" s="4">
        <v>65.277000000000001</v>
      </c>
      <c r="P586" s="4">
        <v>57</v>
      </c>
      <c r="Q586" s="3" t="s">
        <v>26</v>
      </c>
      <c r="R586" s="3">
        <v>0</v>
      </c>
      <c r="S586" s="3" t="s">
        <v>356</v>
      </c>
      <c r="T586" s="3" t="s">
        <v>595</v>
      </c>
      <c r="U586" s="3">
        <v>0</v>
      </c>
      <c r="V586" s="3">
        <v>47</v>
      </c>
      <c r="W586" s="3">
        <v>87</v>
      </c>
    </row>
    <row r="587" spans="1:23" ht="11.25" customHeight="1" x14ac:dyDescent="0.3">
      <c r="A587" s="3" t="s">
        <v>21</v>
      </c>
      <c r="B587" s="3" t="s">
        <v>37</v>
      </c>
      <c r="C587" s="3" t="s">
        <v>23</v>
      </c>
      <c r="D587" s="3" t="s">
        <v>41</v>
      </c>
      <c r="E587" s="3" t="s">
        <v>25</v>
      </c>
      <c r="F587" s="3" t="s">
        <v>25</v>
      </c>
      <c r="G587" s="3" t="s">
        <v>25</v>
      </c>
      <c r="H587" s="3" t="s">
        <v>25</v>
      </c>
      <c r="I587" s="6">
        <v>44713</v>
      </c>
      <c r="J587" s="4">
        <v>0</v>
      </c>
      <c r="K587" s="4">
        <v>0</v>
      </c>
      <c r="L587" s="4">
        <v>562.08100000000002</v>
      </c>
      <c r="M587" s="4">
        <v>562.08100000000002</v>
      </c>
      <c r="N587" s="4">
        <v>562.08100000000002</v>
      </c>
      <c r="O587" s="4">
        <v>562.08100000000002</v>
      </c>
      <c r="P587" s="4">
        <v>1203</v>
      </c>
      <c r="Q587" s="3" t="s">
        <v>26</v>
      </c>
      <c r="R587" s="3">
        <v>0</v>
      </c>
      <c r="S587" s="3" t="s">
        <v>357</v>
      </c>
      <c r="T587" s="3" t="s">
        <v>596</v>
      </c>
      <c r="U587" s="3">
        <v>0</v>
      </c>
      <c r="V587" s="3">
        <v>47</v>
      </c>
      <c r="W587" s="3">
        <v>87</v>
      </c>
    </row>
    <row r="588" spans="1:23" ht="11.25" customHeight="1" x14ac:dyDescent="0.3">
      <c r="A588" s="3" t="s">
        <v>27</v>
      </c>
      <c r="B588" s="3" t="s">
        <v>37</v>
      </c>
      <c r="C588" s="3" t="s">
        <v>23</v>
      </c>
      <c r="D588" s="3" t="s">
        <v>41</v>
      </c>
      <c r="E588" s="3" t="s">
        <v>25</v>
      </c>
      <c r="F588" s="3" t="s">
        <v>25</v>
      </c>
      <c r="G588" s="3" t="s">
        <v>25</v>
      </c>
      <c r="H588" s="3" t="s">
        <v>25</v>
      </c>
      <c r="I588" s="6">
        <v>44713</v>
      </c>
      <c r="J588" s="4">
        <v>0</v>
      </c>
      <c r="K588" s="4">
        <v>0</v>
      </c>
      <c r="L588" s="4">
        <v>0.309</v>
      </c>
      <c r="M588" s="4">
        <v>0.309</v>
      </c>
      <c r="N588" s="4">
        <v>0.309</v>
      </c>
      <c r="O588" s="4">
        <v>0.309</v>
      </c>
      <c r="P588" s="4">
        <v>0</v>
      </c>
      <c r="Q588" s="3" t="s">
        <v>26</v>
      </c>
      <c r="R588" s="3">
        <v>0</v>
      </c>
      <c r="S588" s="3" t="s">
        <v>357</v>
      </c>
      <c r="T588" s="3" t="s">
        <v>596</v>
      </c>
      <c r="U588" s="3">
        <v>0</v>
      </c>
      <c r="V588" s="3">
        <v>47</v>
      </c>
      <c r="W588" s="3">
        <v>87</v>
      </c>
    </row>
    <row r="589" spans="1:23" ht="11.25" customHeight="1" x14ac:dyDescent="0.3">
      <c r="A589" s="3" t="s">
        <v>28</v>
      </c>
      <c r="B589" s="3" t="s">
        <v>37</v>
      </c>
      <c r="C589" s="3" t="s">
        <v>23</v>
      </c>
      <c r="D589" s="3" t="s">
        <v>41</v>
      </c>
      <c r="E589" s="3" t="s">
        <v>25</v>
      </c>
      <c r="F589" s="3" t="s">
        <v>25</v>
      </c>
      <c r="G589" s="3" t="s">
        <v>25</v>
      </c>
      <c r="H589" s="3" t="s">
        <v>25</v>
      </c>
      <c r="I589" s="6">
        <v>44713</v>
      </c>
      <c r="J589" s="4">
        <v>0</v>
      </c>
      <c r="K589" s="4">
        <v>0</v>
      </c>
      <c r="L589" s="4">
        <v>78.087000000000003</v>
      </c>
      <c r="M589" s="4">
        <v>78.087000000000003</v>
      </c>
      <c r="N589" s="4">
        <v>78.087000000000003</v>
      </c>
      <c r="O589" s="4">
        <v>78.087000000000003</v>
      </c>
      <c r="P589" s="4">
        <v>60</v>
      </c>
      <c r="Q589" s="3" t="s">
        <v>26</v>
      </c>
      <c r="R589" s="3">
        <v>0</v>
      </c>
      <c r="S589" s="3" t="s">
        <v>357</v>
      </c>
      <c r="T589" s="3" t="s">
        <v>596</v>
      </c>
      <c r="U589" s="3">
        <v>0</v>
      </c>
      <c r="V589" s="3">
        <v>47</v>
      </c>
      <c r="W589" s="3">
        <v>87</v>
      </c>
    </row>
    <row r="590" spans="1:23" ht="11.25" customHeight="1" x14ac:dyDescent="0.3">
      <c r="A590" s="3" t="s">
        <v>21</v>
      </c>
      <c r="B590" s="3" t="s">
        <v>37</v>
      </c>
      <c r="C590" s="3" t="s">
        <v>23</v>
      </c>
      <c r="D590" s="3" t="s">
        <v>50</v>
      </c>
      <c r="E590" s="3" t="s">
        <v>25</v>
      </c>
      <c r="F590" s="3" t="s">
        <v>25</v>
      </c>
      <c r="G590" s="3" t="s">
        <v>25</v>
      </c>
      <c r="H590" s="3" t="s">
        <v>25</v>
      </c>
      <c r="I590" s="6">
        <v>44378</v>
      </c>
      <c r="J590" s="4">
        <v>0</v>
      </c>
      <c r="K590" s="4">
        <v>0</v>
      </c>
      <c r="L590" s="4">
        <v>6.4450000000000003</v>
      </c>
      <c r="M590" s="4">
        <v>6.4450000000000003</v>
      </c>
      <c r="N590" s="4">
        <v>6.4450000000000003</v>
      </c>
      <c r="O590" s="4">
        <v>6.4450000000000003</v>
      </c>
      <c r="P590" s="4">
        <v>17</v>
      </c>
      <c r="Q590" s="3" t="s">
        <v>26</v>
      </c>
      <c r="R590" s="3">
        <v>0</v>
      </c>
      <c r="S590" s="3" t="s">
        <v>346</v>
      </c>
      <c r="T590" s="3" t="s">
        <v>585</v>
      </c>
      <c r="U590" s="3">
        <v>0</v>
      </c>
      <c r="V590" s="3">
        <v>47</v>
      </c>
      <c r="W590" s="3">
        <v>87</v>
      </c>
    </row>
    <row r="591" spans="1:23" ht="11.25" customHeight="1" x14ac:dyDescent="0.3">
      <c r="A591" s="3" t="s">
        <v>21</v>
      </c>
      <c r="B591" s="3" t="s">
        <v>37</v>
      </c>
      <c r="C591" s="3" t="s">
        <v>23</v>
      </c>
      <c r="D591" s="3" t="s">
        <v>50</v>
      </c>
      <c r="E591" s="3" t="s">
        <v>25</v>
      </c>
      <c r="F591" s="3" t="s">
        <v>25</v>
      </c>
      <c r="G591" s="3" t="s">
        <v>25</v>
      </c>
      <c r="H591" s="3" t="s">
        <v>25</v>
      </c>
      <c r="I591" s="6">
        <v>44409</v>
      </c>
      <c r="J591" s="4">
        <v>0</v>
      </c>
      <c r="K591" s="4">
        <v>0</v>
      </c>
      <c r="L591" s="4">
        <v>6.4909999999999997</v>
      </c>
      <c r="M591" s="4">
        <v>6.4909999999999997</v>
      </c>
      <c r="N591" s="4">
        <v>6.4909999999999997</v>
      </c>
      <c r="O591" s="4">
        <v>6.4909999999999997</v>
      </c>
      <c r="P591" s="4">
        <v>17</v>
      </c>
      <c r="Q591" s="3" t="s">
        <v>26</v>
      </c>
      <c r="R591" s="3">
        <v>0</v>
      </c>
      <c r="S591" s="3" t="s">
        <v>347</v>
      </c>
      <c r="T591" s="3" t="s">
        <v>586</v>
      </c>
      <c r="U591" s="3">
        <v>0</v>
      </c>
      <c r="V591" s="3">
        <v>47</v>
      </c>
      <c r="W591" s="3">
        <v>87</v>
      </c>
    </row>
    <row r="592" spans="1:23" ht="11.25" customHeight="1" x14ac:dyDescent="0.3">
      <c r="A592" s="3" t="s">
        <v>21</v>
      </c>
      <c r="B592" s="3" t="s">
        <v>37</v>
      </c>
      <c r="C592" s="3" t="s">
        <v>23</v>
      </c>
      <c r="D592" s="3" t="s">
        <v>50</v>
      </c>
      <c r="E592" s="3" t="s">
        <v>25</v>
      </c>
      <c r="F592" s="3" t="s">
        <v>25</v>
      </c>
      <c r="G592" s="3" t="s">
        <v>25</v>
      </c>
      <c r="H592" s="3" t="s">
        <v>25</v>
      </c>
      <c r="I592" s="6">
        <v>44440</v>
      </c>
      <c r="J592" s="4">
        <v>0</v>
      </c>
      <c r="K592" s="4">
        <v>0</v>
      </c>
      <c r="L592" s="4">
        <v>5.141</v>
      </c>
      <c r="M592" s="4">
        <v>5.141</v>
      </c>
      <c r="N592" s="4">
        <v>5.141</v>
      </c>
      <c r="O592" s="4">
        <v>5.141</v>
      </c>
      <c r="P592" s="4">
        <v>17</v>
      </c>
      <c r="Q592" s="3" t="s">
        <v>26</v>
      </c>
      <c r="R592" s="3">
        <v>0</v>
      </c>
      <c r="S592" s="3" t="s">
        <v>348</v>
      </c>
      <c r="T592" s="3" t="s">
        <v>587</v>
      </c>
      <c r="U592" s="3">
        <v>0</v>
      </c>
      <c r="V592" s="3">
        <v>47</v>
      </c>
      <c r="W592" s="3">
        <v>87</v>
      </c>
    </row>
    <row r="593" spans="1:23" ht="11.25" customHeight="1" x14ac:dyDescent="0.3">
      <c r="A593" s="3" t="s">
        <v>21</v>
      </c>
      <c r="B593" s="3" t="s">
        <v>37</v>
      </c>
      <c r="C593" s="3" t="s">
        <v>23</v>
      </c>
      <c r="D593" s="3" t="s">
        <v>50</v>
      </c>
      <c r="E593" s="3" t="s">
        <v>25</v>
      </c>
      <c r="F593" s="3" t="s">
        <v>25</v>
      </c>
      <c r="G593" s="3" t="s">
        <v>25</v>
      </c>
      <c r="H593" s="3" t="s">
        <v>25</v>
      </c>
      <c r="I593" s="6">
        <v>44470</v>
      </c>
      <c r="J593" s="4">
        <v>0</v>
      </c>
      <c r="K593" s="4">
        <v>0</v>
      </c>
      <c r="L593" s="4">
        <v>5.4859999999999998</v>
      </c>
      <c r="M593" s="4">
        <v>5.4859999999999998</v>
      </c>
      <c r="N593" s="4">
        <v>5.4859999999999998</v>
      </c>
      <c r="O593" s="4">
        <v>5.4859999999999998</v>
      </c>
      <c r="P593" s="4">
        <v>17</v>
      </c>
      <c r="Q593" s="3" t="s">
        <v>26</v>
      </c>
      <c r="R593" s="3">
        <v>0</v>
      </c>
      <c r="S593" s="3" t="s">
        <v>349</v>
      </c>
      <c r="T593" s="3" t="s">
        <v>588</v>
      </c>
      <c r="U593" s="3">
        <v>0</v>
      </c>
      <c r="V593" s="3">
        <v>47</v>
      </c>
      <c r="W593" s="3">
        <v>87</v>
      </c>
    </row>
    <row r="594" spans="1:23" ht="11.25" customHeight="1" x14ac:dyDescent="0.3">
      <c r="A594" s="3" t="s">
        <v>21</v>
      </c>
      <c r="B594" s="3" t="s">
        <v>37</v>
      </c>
      <c r="C594" s="3" t="s">
        <v>23</v>
      </c>
      <c r="D594" s="3" t="s">
        <v>50</v>
      </c>
      <c r="E594" s="3" t="s">
        <v>25</v>
      </c>
      <c r="F594" s="3" t="s">
        <v>25</v>
      </c>
      <c r="G594" s="3" t="s">
        <v>25</v>
      </c>
      <c r="H594" s="3" t="s">
        <v>25</v>
      </c>
      <c r="I594" s="6">
        <v>44501</v>
      </c>
      <c r="J594" s="4">
        <v>0</v>
      </c>
      <c r="K594" s="4">
        <v>0</v>
      </c>
      <c r="L594" s="4">
        <v>5.7949999999999999</v>
      </c>
      <c r="M594" s="4">
        <v>5.7949999999999999</v>
      </c>
      <c r="N594" s="4">
        <v>5.7949999999999999</v>
      </c>
      <c r="O594" s="4">
        <v>5.7949999999999999</v>
      </c>
      <c r="P594" s="4">
        <v>17</v>
      </c>
      <c r="Q594" s="3" t="s">
        <v>26</v>
      </c>
      <c r="R594" s="3">
        <v>0</v>
      </c>
      <c r="S594" s="3" t="s">
        <v>350</v>
      </c>
      <c r="T594" s="3" t="s">
        <v>589</v>
      </c>
      <c r="U594" s="3">
        <v>0</v>
      </c>
      <c r="V594" s="3">
        <v>47</v>
      </c>
      <c r="W594" s="3">
        <v>87</v>
      </c>
    </row>
    <row r="595" spans="1:23" ht="11.25" customHeight="1" x14ac:dyDescent="0.3">
      <c r="A595" s="3" t="s">
        <v>21</v>
      </c>
      <c r="B595" s="3" t="s">
        <v>37</v>
      </c>
      <c r="C595" s="3" t="s">
        <v>23</v>
      </c>
      <c r="D595" s="3" t="s">
        <v>50</v>
      </c>
      <c r="E595" s="3" t="s">
        <v>25</v>
      </c>
      <c r="F595" s="3" t="s">
        <v>25</v>
      </c>
      <c r="G595" s="3" t="s">
        <v>25</v>
      </c>
      <c r="H595" s="3" t="s">
        <v>25</v>
      </c>
      <c r="I595" s="6">
        <v>44531</v>
      </c>
      <c r="J595" s="4">
        <v>0</v>
      </c>
      <c r="K595" s="4">
        <v>0</v>
      </c>
      <c r="L595" s="4">
        <v>7.4290000000000003</v>
      </c>
      <c r="M595" s="4">
        <v>7.4290000000000003</v>
      </c>
      <c r="N595" s="4">
        <v>7.4290000000000003</v>
      </c>
      <c r="O595" s="4">
        <v>7.4290000000000003</v>
      </c>
      <c r="P595" s="4">
        <v>17</v>
      </c>
      <c r="Q595" s="3" t="s">
        <v>26</v>
      </c>
      <c r="R595" s="3">
        <v>0</v>
      </c>
      <c r="S595" s="3" t="s">
        <v>351</v>
      </c>
      <c r="T595" s="3" t="s">
        <v>590</v>
      </c>
      <c r="U595" s="3">
        <v>0</v>
      </c>
      <c r="V595" s="3">
        <v>47</v>
      </c>
      <c r="W595" s="3">
        <v>87</v>
      </c>
    </row>
    <row r="596" spans="1:23" ht="11.25" customHeight="1" x14ac:dyDescent="0.3">
      <c r="A596" s="3" t="s">
        <v>21</v>
      </c>
      <c r="B596" s="3" t="s">
        <v>37</v>
      </c>
      <c r="C596" s="3" t="s">
        <v>23</v>
      </c>
      <c r="D596" s="3" t="s">
        <v>50</v>
      </c>
      <c r="E596" s="3" t="s">
        <v>25</v>
      </c>
      <c r="F596" s="3" t="s">
        <v>25</v>
      </c>
      <c r="G596" s="3" t="s">
        <v>25</v>
      </c>
      <c r="H596" s="3" t="s">
        <v>25</v>
      </c>
      <c r="I596" s="6">
        <v>44562</v>
      </c>
      <c r="J596" s="4">
        <v>0</v>
      </c>
      <c r="K596" s="4">
        <v>0</v>
      </c>
      <c r="L596" s="4">
        <v>8.8239999999999998</v>
      </c>
      <c r="M596" s="4">
        <v>8.8239999999999998</v>
      </c>
      <c r="N596" s="4">
        <v>8.8239999999999998</v>
      </c>
      <c r="O596" s="4">
        <v>8.8239999999999998</v>
      </c>
      <c r="P596" s="4">
        <v>16</v>
      </c>
      <c r="Q596" s="3" t="s">
        <v>26</v>
      </c>
      <c r="R596" s="3">
        <v>0</v>
      </c>
      <c r="S596" s="3" t="s">
        <v>352</v>
      </c>
      <c r="T596" s="3" t="s">
        <v>591</v>
      </c>
      <c r="U596" s="3">
        <v>0</v>
      </c>
      <c r="V596" s="3">
        <v>47</v>
      </c>
      <c r="W596" s="3">
        <v>87</v>
      </c>
    </row>
    <row r="597" spans="1:23" ht="11.25" customHeight="1" x14ac:dyDescent="0.3">
      <c r="A597" s="3" t="s">
        <v>21</v>
      </c>
      <c r="B597" s="3" t="s">
        <v>37</v>
      </c>
      <c r="C597" s="3" t="s">
        <v>23</v>
      </c>
      <c r="D597" s="3" t="s">
        <v>50</v>
      </c>
      <c r="E597" s="3" t="s">
        <v>25</v>
      </c>
      <c r="F597" s="3" t="s">
        <v>25</v>
      </c>
      <c r="G597" s="3" t="s">
        <v>25</v>
      </c>
      <c r="H597" s="3" t="s">
        <v>25</v>
      </c>
      <c r="I597" s="6">
        <v>44593</v>
      </c>
      <c r="J597" s="4">
        <v>0</v>
      </c>
      <c r="K597" s="4">
        <v>0</v>
      </c>
      <c r="L597" s="4">
        <v>9.2780000000000005</v>
      </c>
      <c r="M597" s="4">
        <v>9.2780000000000005</v>
      </c>
      <c r="N597" s="4">
        <v>9.2780000000000005</v>
      </c>
      <c r="O597" s="4">
        <v>9.2780000000000005</v>
      </c>
      <c r="P597" s="4">
        <v>16</v>
      </c>
      <c r="Q597" s="3" t="s">
        <v>26</v>
      </c>
      <c r="R597" s="3">
        <v>0</v>
      </c>
      <c r="S597" s="3" t="s">
        <v>353</v>
      </c>
      <c r="T597" s="3" t="s">
        <v>592</v>
      </c>
      <c r="U597" s="3">
        <v>0</v>
      </c>
      <c r="V597" s="3">
        <v>47</v>
      </c>
      <c r="W597" s="3">
        <v>87</v>
      </c>
    </row>
    <row r="598" spans="1:23" ht="11.25" customHeight="1" x14ac:dyDescent="0.3">
      <c r="A598" s="3" t="s">
        <v>21</v>
      </c>
      <c r="B598" s="3" t="s">
        <v>37</v>
      </c>
      <c r="C598" s="3" t="s">
        <v>23</v>
      </c>
      <c r="D598" s="3" t="s">
        <v>50</v>
      </c>
      <c r="E598" s="3" t="s">
        <v>25</v>
      </c>
      <c r="F598" s="3" t="s">
        <v>25</v>
      </c>
      <c r="G598" s="3" t="s">
        <v>25</v>
      </c>
      <c r="H598" s="3" t="s">
        <v>25</v>
      </c>
      <c r="I598" s="6">
        <v>44621</v>
      </c>
      <c r="J598" s="4">
        <v>0</v>
      </c>
      <c r="K598" s="4">
        <v>0</v>
      </c>
      <c r="L598" s="4">
        <v>7.883</v>
      </c>
      <c r="M598" s="4">
        <v>7.883</v>
      </c>
      <c r="N598" s="4">
        <v>7.883</v>
      </c>
      <c r="O598" s="4">
        <v>7.883</v>
      </c>
      <c r="P598" s="4">
        <v>16</v>
      </c>
      <c r="Q598" s="3" t="s">
        <v>26</v>
      </c>
      <c r="R598" s="3">
        <v>0</v>
      </c>
      <c r="S598" s="3" t="s">
        <v>354</v>
      </c>
      <c r="T598" s="3" t="s">
        <v>593</v>
      </c>
      <c r="U598" s="3">
        <v>0</v>
      </c>
      <c r="V598" s="3">
        <v>47</v>
      </c>
      <c r="W598" s="3">
        <v>87</v>
      </c>
    </row>
    <row r="599" spans="1:23" ht="11.25" customHeight="1" x14ac:dyDescent="0.3">
      <c r="A599" s="3" t="s">
        <v>21</v>
      </c>
      <c r="B599" s="3" t="s">
        <v>37</v>
      </c>
      <c r="C599" s="3" t="s">
        <v>23</v>
      </c>
      <c r="D599" s="3" t="s">
        <v>50</v>
      </c>
      <c r="E599" s="3" t="s">
        <v>25</v>
      </c>
      <c r="F599" s="3" t="s">
        <v>25</v>
      </c>
      <c r="G599" s="3" t="s">
        <v>25</v>
      </c>
      <c r="H599" s="3" t="s">
        <v>25</v>
      </c>
      <c r="I599" s="6">
        <v>44652</v>
      </c>
      <c r="J599" s="4">
        <v>0</v>
      </c>
      <c r="K599" s="4">
        <v>0</v>
      </c>
      <c r="L599" s="4">
        <v>5.2270000000000003</v>
      </c>
      <c r="M599" s="4">
        <v>5.2270000000000003</v>
      </c>
      <c r="N599" s="4">
        <v>5.2270000000000003</v>
      </c>
      <c r="O599" s="4">
        <v>5.2270000000000003</v>
      </c>
      <c r="P599" s="4">
        <v>16</v>
      </c>
      <c r="Q599" s="3" t="s">
        <v>26</v>
      </c>
      <c r="R599" s="3">
        <v>0</v>
      </c>
      <c r="S599" s="3" t="s">
        <v>355</v>
      </c>
      <c r="T599" s="3" t="s">
        <v>594</v>
      </c>
      <c r="U599" s="3">
        <v>0</v>
      </c>
      <c r="V599" s="3">
        <v>47</v>
      </c>
      <c r="W599" s="3">
        <v>87</v>
      </c>
    </row>
    <row r="600" spans="1:23" ht="11.25" customHeight="1" x14ac:dyDescent="0.3">
      <c r="A600" s="3" t="s">
        <v>21</v>
      </c>
      <c r="B600" s="3" t="s">
        <v>37</v>
      </c>
      <c r="C600" s="3" t="s">
        <v>23</v>
      </c>
      <c r="D600" s="3" t="s">
        <v>50</v>
      </c>
      <c r="E600" s="3" t="s">
        <v>25</v>
      </c>
      <c r="F600" s="3" t="s">
        <v>25</v>
      </c>
      <c r="G600" s="3" t="s">
        <v>25</v>
      </c>
      <c r="H600" s="3" t="s">
        <v>25</v>
      </c>
      <c r="I600" s="6">
        <v>44682</v>
      </c>
      <c r="J600" s="4">
        <v>0</v>
      </c>
      <c r="K600" s="4">
        <v>0</v>
      </c>
      <c r="L600" s="4">
        <v>5.6920000000000002</v>
      </c>
      <c r="M600" s="4">
        <v>5.6920000000000002</v>
      </c>
      <c r="N600" s="4">
        <v>5.6920000000000002</v>
      </c>
      <c r="O600" s="4">
        <v>5.6920000000000002</v>
      </c>
      <c r="P600" s="4">
        <v>17</v>
      </c>
      <c r="Q600" s="3" t="s">
        <v>26</v>
      </c>
      <c r="R600" s="3">
        <v>0</v>
      </c>
      <c r="S600" s="3" t="s">
        <v>356</v>
      </c>
      <c r="T600" s="3" t="s">
        <v>595</v>
      </c>
      <c r="U600" s="3">
        <v>0</v>
      </c>
      <c r="V600" s="3">
        <v>47</v>
      </c>
      <c r="W600" s="3">
        <v>87</v>
      </c>
    </row>
    <row r="601" spans="1:23" ht="11.25" customHeight="1" x14ac:dyDescent="0.3">
      <c r="A601" s="3" t="s">
        <v>21</v>
      </c>
      <c r="B601" s="3" t="s">
        <v>37</v>
      </c>
      <c r="C601" s="3" t="s">
        <v>23</v>
      </c>
      <c r="D601" s="3" t="s">
        <v>50</v>
      </c>
      <c r="E601" s="3" t="s">
        <v>25</v>
      </c>
      <c r="F601" s="3" t="s">
        <v>25</v>
      </c>
      <c r="G601" s="3" t="s">
        <v>25</v>
      </c>
      <c r="H601" s="3" t="s">
        <v>25</v>
      </c>
      <c r="I601" s="6">
        <v>44713</v>
      </c>
      <c r="J601" s="4">
        <v>0</v>
      </c>
      <c r="K601" s="4">
        <v>0</v>
      </c>
      <c r="L601" s="4">
        <v>6.0880000000000001</v>
      </c>
      <c r="M601" s="4">
        <v>6.0880000000000001</v>
      </c>
      <c r="N601" s="4">
        <v>6.0880000000000001</v>
      </c>
      <c r="O601" s="4">
        <v>6.0880000000000001</v>
      </c>
      <c r="P601" s="4">
        <v>17</v>
      </c>
      <c r="Q601" s="3" t="s">
        <v>26</v>
      </c>
      <c r="R601" s="3">
        <v>0</v>
      </c>
      <c r="S601" s="3" t="s">
        <v>357</v>
      </c>
      <c r="T601" s="3" t="s">
        <v>596</v>
      </c>
      <c r="U601" s="3">
        <v>0</v>
      </c>
      <c r="V601" s="3">
        <v>47</v>
      </c>
      <c r="W601" s="3">
        <v>87</v>
      </c>
    </row>
    <row r="602" spans="1:23" ht="11.25" customHeight="1" x14ac:dyDescent="0.3">
      <c r="A602" s="3" t="s">
        <v>21</v>
      </c>
      <c r="B602" s="3" t="s">
        <v>37</v>
      </c>
      <c r="C602" s="3" t="s">
        <v>23</v>
      </c>
      <c r="D602" s="3" t="s">
        <v>38</v>
      </c>
      <c r="E602" s="3" t="s">
        <v>25</v>
      </c>
      <c r="F602" s="3" t="s">
        <v>25</v>
      </c>
      <c r="G602" s="3" t="s">
        <v>25</v>
      </c>
      <c r="H602" s="3" t="s">
        <v>25</v>
      </c>
      <c r="I602" s="6">
        <v>44378</v>
      </c>
      <c r="J602" s="4">
        <v>0</v>
      </c>
      <c r="K602" s="4">
        <v>0</v>
      </c>
      <c r="L602" s="4">
        <v>59.738</v>
      </c>
      <c r="M602" s="4">
        <v>59.738</v>
      </c>
      <c r="N602" s="4">
        <v>59.738</v>
      </c>
      <c r="O602" s="4">
        <v>59.738</v>
      </c>
      <c r="P602" s="4">
        <v>49</v>
      </c>
      <c r="Q602" s="3" t="s">
        <v>26</v>
      </c>
      <c r="R602" s="3">
        <v>0</v>
      </c>
      <c r="S602" s="3" t="s">
        <v>346</v>
      </c>
      <c r="T602" s="3" t="s">
        <v>585</v>
      </c>
      <c r="U602" s="3">
        <v>0</v>
      </c>
      <c r="V602" s="3">
        <v>47</v>
      </c>
      <c r="W602" s="3">
        <v>87</v>
      </c>
    </row>
    <row r="603" spans="1:23" ht="11.25" customHeight="1" x14ac:dyDescent="0.3">
      <c r="A603" s="3" t="s">
        <v>27</v>
      </c>
      <c r="B603" s="3" t="s">
        <v>37</v>
      </c>
      <c r="C603" s="3" t="s">
        <v>23</v>
      </c>
      <c r="D603" s="3" t="s">
        <v>38</v>
      </c>
      <c r="E603" s="3" t="s">
        <v>25</v>
      </c>
      <c r="F603" s="3" t="s">
        <v>25</v>
      </c>
      <c r="G603" s="3" t="s">
        <v>25</v>
      </c>
      <c r="H603" s="3" t="s">
        <v>25</v>
      </c>
      <c r="I603" s="6">
        <v>44378</v>
      </c>
      <c r="J603" s="4">
        <v>0</v>
      </c>
      <c r="K603" s="4">
        <v>0</v>
      </c>
      <c r="L603" s="4">
        <v>0.64900000000000002</v>
      </c>
      <c r="M603" s="4">
        <v>0.64900000000000002</v>
      </c>
      <c r="N603" s="4">
        <v>0.64900000000000002</v>
      </c>
      <c r="O603" s="4">
        <v>0.64900000000000002</v>
      </c>
      <c r="P603" s="4">
        <v>0</v>
      </c>
      <c r="Q603" s="3" t="s">
        <v>26</v>
      </c>
      <c r="R603" s="3">
        <v>0</v>
      </c>
      <c r="S603" s="3" t="s">
        <v>346</v>
      </c>
      <c r="T603" s="3" t="s">
        <v>585</v>
      </c>
      <c r="U603" s="3">
        <v>0</v>
      </c>
      <c r="V603" s="3">
        <v>47</v>
      </c>
      <c r="W603" s="3">
        <v>87</v>
      </c>
    </row>
    <row r="604" spans="1:23" ht="11.25" customHeight="1" x14ac:dyDescent="0.3">
      <c r="A604" s="3" t="s">
        <v>28</v>
      </c>
      <c r="B604" s="3" t="s">
        <v>37</v>
      </c>
      <c r="C604" s="3" t="s">
        <v>23</v>
      </c>
      <c r="D604" s="3" t="s">
        <v>38</v>
      </c>
      <c r="E604" s="3" t="s">
        <v>25</v>
      </c>
      <c r="F604" s="3" t="s">
        <v>25</v>
      </c>
      <c r="G604" s="3" t="s">
        <v>25</v>
      </c>
      <c r="H604" s="3" t="s">
        <v>25</v>
      </c>
      <c r="I604" s="6">
        <v>44378</v>
      </c>
      <c r="J604" s="4">
        <v>0</v>
      </c>
      <c r="K604" s="4">
        <v>0</v>
      </c>
      <c r="L604" s="4">
        <v>6.319</v>
      </c>
      <c r="M604" s="4">
        <v>6.319</v>
      </c>
      <c r="N604" s="4">
        <v>6.319</v>
      </c>
      <c r="O604" s="4">
        <v>6.319</v>
      </c>
      <c r="P604" s="4">
        <v>5</v>
      </c>
      <c r="Q604" s="3" t="s">
        <v>26</v>
      </c>
      <c r="R604" s="3">
        <v>0</v>
      </c>
      <c r="S604" s="3" t="s">
        <v>346</v>
      </c>
      <c r="T604" s="3" t="s">
        <v>585</v>
      </c>
      <c r="U604" s="3">
        <v>0</v>
      </c>
      <c r="V604" s="3">
        <v>47</v>
      </c>
      <c r="W604" s="3">
        <v>87</v>
      </c>
    </row>
    <row r="605" spans="1:23" ht="11.25" customHeight="1" x14ac:dyDescent="0.3">
      <c r="A605" s="3" t="s">
        <v>21</v>
      </c>
      <c r="B605" s="3" t="s">
        <v>37</v>
      </c>
      <c r="C605" s="3" t="s">
        <v>23</v>
      </c>
      <c r="D605" s="3" t="s">
        <v>38</v>
      </c>
      <c r="E605" s="3" t="s">
        <v>25</v>
      </c>
      <c r="F605" s="3" t="s">
        <v>25</v>
      </c>
      <c r="G605" s="3" t="s">
        <v>25</v>
      </c>
      <c r="H605" s="3" t="s">
        <v>25</v>
      </c>
      <c r="I605" s="6">
        <v>44409</v>
      </c>
      <c r="J605" s="4">
        <v>0</v>
      </c>
      <c r="K605" s="4">
        <v>0</v>
      </c>
      <c r="L605" s="4">
        <v>68.061999999999998</v>
      </c>
      <c r="M605" s="4">
        <v>68.061999999999998</v>
      </c>
      <c r="N605" s="4">
        <v>68.061999999999998</v>
      </c>
      <c r="O605" s="4">
        <v>68.061999999999998</v>
      </c>
      <c r="P605" s="4">
        <v>49</v>
      </c>
      <c r="Q605" s="3" t="s">
        <v>26</v>
      </c>
      <c r="R605" s="3">
        <v>0</v>
      </c>
      <c r="S605" s="3" t="s">
        <v>347</v>
      </c>
      <c r="T605" s="3" t="s">
        <v>586</v>
      </c>
      <c r="U605" s="3">
        <v>0</v>
      </c>
      <c r="V605" s="3">
        <v>47</v>
      </c>
      <c r="W605" s="3">
        <v>87</v>
      </c>
    </row>
    <row r="606" spans="1:23" ht="11.25" customHeight="1" x14ac:dyDescent="0.3">
      <c r="A606" s="3" t="s">
        <v>28</v>
      </c>
      <c r="B606" s="3" t="s">
        <v>37</v>
      </c>
      <c r="C606" s="3" t="s">
        <v>23</v>
      </c>
      <c r="D606" s="3" t="s">
        <v>38</v>
      </c>
      <c r="E606" s="3" t="s">
        <v>25</v>
      </c>
      <c r="F606" s="3" t="s">
        <v>25</v>
      </c>
      <c r="G606" s="3" t="s">
        <v>25</v>
      </c>
      <c r="H606" s="3" t="s">
        <v>25</v>
      </c>
      <c r="I606" s="6">
        <v>44409</v>
      </c>
      <c r="J606" s="4">
        <v>0</v>
      </c>
      <c r="K606" s="4">
        <v>0</v>
      </c>
      <c r="L606" s="4">
        <v>3.5510000000000002</v>
      </c>
      <c r="M606" s="4">
        <v>3.5510000000000002</v>
      </c>
      <c r="N606" s="4">
        <v>3.5510000000000002</v>
      </c>
      <c r="O606" s="4">
        <v>3.5510000000000002</v>
      </c>
      <c r="P606" s="4">
        <v>5</v>
      </c>
      <c r="Q606" s="3" t="s">
        <v>26</v>
      </c>
      <c r="R606" s="3">
        <v>0</v>
      </c>
      <c r="S606" s="3" t="s">
        <v>347</v>
      </c>
      <c r="T606" s="3" t="s">
        <v>586</v>
      </c>
      <c r="U606" s="3">
        <v>0</v>
      </c>
      <c r="V606" s="3">
        <v>47</v>
      </c>
      <c r="W606" s="3">
        <v>87</v>
      </c>
    </row>
    <row r="607" spans="1:23" ht="11.25" customHeight="1" x14ac:dyDescent="0.3">
      <c r="A607" s="3" t="s">
        <v>21</v>
      </c>
      <c r="B607" s="3" t="s">
        <v>37</v>
      </c>
      <c r="C607" s="3" t="s">
        <v>23</v>
      </c>
      <c r="D607" s="3" t="s">
        <v>38</v>
      </c>
      <c r="E607" s="3" t="s">
        <v>25</v>
      </c>
      <c r="F607" s="3" t="s">
        <v>25</v>
      </c>
      <c r="G607" s="3" t="s">
        <v>25</v>
      </c>
      <c r="H607" s="3" t="s">
        <v>25</v>
      </c>
      <c r="I607" s="6">
        <v>44440</v>
      </c>
      <c r="J607" s="4">
        <v>0</v>
      </c>
      <c r="K607" s="4">
        <v>0</v>
      </c>
      <c r="L607" s="4">
        <v>71.777000000000001</v>
      </c>
      <c r="M607" s="4">
        <v>71.777000000000001</v>
      </c>
      <c r="N607" s="4">
        <v>71.777000000000001</v>
      </c>
      <c r="O607" s="4">
        <v>71.777000000000001</v>
      </c>
      <c r="P607" s="4">
        <v>51</v>
      </c>
      <c r="Q607" s="3" t="s">
        <v>26</v>
      </c>
      <c r="R607" s="3">
        <v>0</v>
      </c>
      <c r="S607" s="3" t="s">
        <v>348</v>
      </c>
      <c r="T607" s="3" t="s">
        <v>587</v>
      </c>
      <c r="U607" s="3">
        <v>0</v>
      </c>
      <c r="V607" s="3">
        <v>47</v>
      </c>
      <c r="W607" s="3">
        <v>87</v>
      </c>
    </row>
    <row r="608" spans="1:23" ht="11.25" customHeight="1" x14ac:dyDescent="0.3">
      <c r="A608" s="3" t="s">
        <v>28</v>
      </c>
      <c r="B608" s="3" t="s">
        <v>37</v>
      </c>
      <c r="C608" s="3" t="s">
        <v>23</v>
      </c>
      <c r="D608" s="3" t="s">
        <v>38</v>
      </c>
      <c r="E608" s="3" t="s">
        <v>25</v>
      </c>
      <c r="F608" s="3" t="s">
        <v>25</v>
      </c>
      <c r="G608" s="3" t="s">
        <v>25</v>
      </c>
      <c r="H608" s="3" t="s">
        <v>25</v>
      </c>
      <c r="I608" s="6">
        <v>44440</v>
      </c>
      <c r="J608" s="4">
        <v>0</v>
      </c>
      <c r="K608" s="4">
        <v>0</v>
      </c>
      <c r="L608" s="4">
        <v>2.2349999999999999</v>
      </c>
      <c r="M608" s="4">
        <v>2.2349999999999999</v>
      </c>
      <c r="N608" s="4">
        <v>2.2349999999999999</v>
      </c>
      <c r="O608" s="4">
        <v>2.2349999999999999</v>
      </c>
      <c r="P608" s="4">
        <v>5</v>
      </c>
      <c r="Q608" s="3" t="s">
        <v>26</v>
      </c>
      <c r="R608" s="3">
        <v>0</v>
      </c>
      <c r="S608" s="3" t="s">
        <v>348</v>
      </c>
      <c r="T608" s="3" t="s">
        <v>587</v>
      </c>
      <c r="U608" s="3">
        <v>0</v>
      </c>
      <c r="V608" s="3">
        <v>47</v>
      </c>
      <c r="W608" s="3">
        <v>87</v>
      </c>
    </row>
    <row r="609" spans="1:23" ht="11.25" customHeight="1" x14ac:dyDescent="0.3">
      <c r="A609" s="3" t="s">
        <v>21</v>
      </c>
      <c r="B609" s="3" t="s">
        <v>37</v>
      </c>
      <c r="C609" s="3" t="s">
        <v>23</v>
      </c>
      <c r="D609" s="3" t="s">
        <v>38</v>
      </c>
      <c r="E609" s="3" t="s">
        <v>25</v>
      </c>
      <c r="F609" s="3" t="s">
        <v>25</v>
      </c>
      <c r="G609" s="3" t="s">
        <v>25</v>
      </c>
      <c r="H609" s="3" t="s">
        <v>25</v>
      </c>
      <c r="I609" s="6">
        <v>44470</v>
      </c>
      <c r="J609" s="4">
        <v>0</v>
      </c>
      <c r="K609" s="4">
        <v>0</v>
      </c>
      <c r="L609" s="4">
        <v>64.519000000000005</v>
      </c>
      <c r="M609" s="4">
        <v>64.519000000000005</v>
      </c>
      <c r="N609" s="4">
        <v>64.519000000000005</v>
      </c>
      <c r="O609" s="4">
        <v>64.519000000000005</v>
      </c>
      <c r="P609" s="4">
        <v>49</v>
      </c>
      <c r="Q609" s="3" t="s">
        <v>26</v>
      </c>
      <c r="R609" s="3">
        <v>0</v>
      </c>
      <c r="S609" s="3" t="s">
        <v>349</v>
      </c>
      <c r="T609" s="3" t="s">
        <v>588</v>
      </c>
      <c r="U609" s="3">
        <v>0</v>
      </c>
      <c r="V609" s="3">
        <v>47</v>
      </c>
      <c r="W609" s="3">
        <v>87</v>
      </c>
    </row>
    <row r="610" spans="1:23" ht="11.25" customHeight="1" x14ac:dyDescent="0.3">
      <c r="A610" s="3" t="s">
        <v>28</v>
      </c>
      <c r="B610" s="3" t="s">
        <v>37</v>
      </c>
      <c r="C610" s="3" t="s">
        <v>23</v>
      </c>
      <c r="D610" s="3" t="s">
        <v>38</v>
      </c>
      <c r="E610" s="3" t="s">
        <v>25</v>
      </c>
      <c r="F610" s="3" t="s">
        <v>25</v>
      </c>
      <c r="G610" s="3" t="s">
        <v>25</v>
      </c>
      <c r="H610" s="3" t="s">
        <v>25</v>
      </c>
      <c r="I610" s="6">
        <v>44470</v>
      </c>
      <c r="J610" s="4">
        <v>0</v>
      </c>
      <c r="K610" s="4">
        <v>0</v>
      </c>
      <c r="L610" s="4">
        <v>1.17</v>
      </c>
      <c r="M610" s="4">
        <v>1.17</v>
      </c>
      <c r="N610" s="4">
        <v>1.17</v>
      </c>
      <c r="O610" s="4">
        <v>1.17</v>
      </c>
      <c r="P610" s="4">
        <v>5</v>
      </c>
      <c r="Q610" s="3" t="s">
        <v>26</v>
      </c>
      <c r="R610" s="3">
        <v>0</v>
      </c>
      <c r="S610" s="3" t="s">
        <v>349</v>
      </c>
      <c r="T610" s="3" t="s">
        <v>588</v>
      </c>
      <c r="U610" s="3">
        <v>0</v>
      </c>
      <c r="V610" s="3">
        <v>47</v>
      </c>
      <c r="W610" s="3">
        <v>87</v>
      </c>
    </row>
    <row r="611" spans="1:23" ht="11.25" customHeight="1" x14ac:dyDescent="0.3">
      <c r="A611" s="3" t="s">
        <v>21</v>
      </c>
      <c r="B611" s="3" t="s">
        <v>37</v>
      </c>
      <c r="C611" s="3" t="s">
        <v>23</v>
      </c>
      <c r="D611" s="3" t="s">
        <v>38</v>
      </c>
      <c r="E611" s="3" t="s">
        <v>25</v>
      </c>
      <c r="F611" s="3" t="s">
        <v>25</v>
      </c>
      <c r="G611" s="3" t="s">
        <v>25</v>
      </c>
      <c r="H611" s="3" t="s">
        <v>25</v>
      </c>
      <c r="I611" s="6">
        <v>44501</v>
      </c>
      <c r="J611" s="4">
        <v>0</v>
      </c>
      <c r="K611" s="4">
        <v>0</v>
      </c>
      <c r="L611" s="4">
        <v>65.290999999999997</v>
      </c>
      <c r="M611" s="4">
        <v>65.290999999999997</v>
      </c>
      <c r="N611" s="4">
        <v>65.290999999999997</v>
      </c>
      <c r="O611" s="4">
        <v>65.290999999999997</v>
      </c>
      <c r="P611" s="4">
        <v>50</v>
      </c>
      <c r="Q611" s="3" t="s">
        <v>26</v>
      </c>
      <c r="R611" s="3">
        <v>0</v>
      </c>
      <c r="S611" s="3" t="s">
        <v>350</v>
      </c>
      <c r="T611" s="3" t="s">
        <v>589</v>
      </c>
      <c r="U611" s="3">
        <v>0</v>
      </c>
      <c r="V611" s="3">
        <v>47</v>
      </c>
      <c r="W611" s="3">
        <v>87</v>
      </c>
    </row>
    <row r="612" spans="1:23" ht="11.25" customHeight="1" x14ac:dyDescent="0.3">
      <c r="A612" s="3" t="s">
        <v>28</v>
      </c>
      <c r="B612" s="3" t="s">
        <v>37</v>
      </c>
      <c r="C612" s="3" t="s">
        <v>23</v>
      </c>
      <c r="D612" s="3" t="s">
        <v>38</v>
      </c>
      <c r="E612" s="3" t="s">
        <v>25</v>
      </c>
      <c r="F612" s="3" t="s">
        <v>25</v>
      </c>
      <c r="G612" s="3" t="s">
        <v>25</v>
      </c>
      <c r="H612" s="3" t="s">
        <v>25</v>
      </c>
      <c r="I612" s="6">
        <v>44501</v>
      </c>
      <c r="J612" s="4">
        <v>0</v>
      </c>
      <c r="K612" s="4">
        <v>0</v>
      </c>
      <c r="L612" s="4">
        <v>0.5</v>
      </c>
      <c r="M612" s="4">
        <v>0.5</v>
      </c>
      <c r="N612" s="4">
        <v>0.5</v>
      </c>
      <c r="O612" s="4">
        <v>0.5</v>
      </c>
      <c r="P612" s="4">
        <v>5</v>
      </c>
      <c r="Q612" s="3" t="s">
        <v>26</v>
      </c>
      <c r="R612" s="3">
        <v>0</v>
      </c>
      <c r="S612" s="3" t="s">
        <v>350</v>
      </c>
      <c r="T612" s="3" t="s">
        <v>589</v>
      </c>
      <c r="U612" s="3">
        <v>0</v>
      </c>
      <c r="V612" s="3">
        <v>47</v>
      </c>
      <c r="W612" s="3">
        <v>87</v>
      </c>
    </row>
    <row r="613" spans="1:23" ht="11.25" customHeight="1" x14ac:dyDescent="0.3">
      <c r="A613" s="3" t="s">
        <v>21</v>
      </c>
      <c r="B613" s="3" t="s">
        <v>37</v>
      </c>
      <c r="C613" s="3" t="s">
        <v>23</v>
      </c>
      <c r="D613" s="3" t="s">
        <v>38</v>
      </c>
      <c r="E613" s="3" t="s">
        <v>25</v>
      </c>
      <c r="F613" s="3" t="s">
        <v>25</v>
      </c>
      <c r="G613" s="3" t="s">
        <v>25</v>
      </c>
      <c r="H613" s="3" t="s">
        <v>25</v>
      </c>
      <c r="I613" s="6">
        <v>44531</v>
      </c>
      <c r="J613" s="4">
        <v>0</v>
      </c>
      <c r="K613" s="4">
        <v>0</v>
      </c>
      <c r="L613" s="4">
        <v>69.347999999999999</v>
      </c>
      <c r="M613" s="4">
        <v>69.347999999999999</v>
      </c>
      <c r="N613" s="4">
        <v>69.347999999999999</v>
      </c>
      <c r="O613" s="4">
        <v>69.347999999999999</v>
      </c>
      <c r="P613" s="4">
        <v>50</v>
      </c>
      <c r="Q613" s="3" t="s">
        <v>26</v>
      </c>
      <c r="R613" s="3">
        <v>0</v>
      </c>
      <c r="S613" s="3" t="s">
        <v>351</v>
      </c>
      <c r="T613" s="3" t="s">
        <v>590</v>
      </c>
      <c r="U613" s="3">
        <v>0</v>
      </c>
      <c r="V613" s="3">
        <v>47</v>
      </c>
      <c r="W613" s="3">
        <v>87</v>
      </c>
    </row>
    <row r="614" spans="1:23" ht="11.25" customHeight="1" x14ac:dyDescent="0.3">
      <c r="A614" s="3" t="s">
        <v>28</v>
      </c>
      <c r="B614" s="3" t="s">
        <v>37</v>
      </c>
      <c r="C614" s="3" t="s">
        <v>23</v>
      </c>
      <c r="D614" s="3" t="s">
        <v>38</v>
      </c>
      <c r="E614" s="3" t="s">
        <v>25</v>
      </c>
      <c r="F614" s="3" t="s">
        <v>25</v>
      </c>
      <c r="G614" s="3" t="s">
        <v>25</v>
      </c>
      <c r="H614" s="3" t="s">
        <v>25</v>
      </c>
      <c r="I614" s="6">
        <v>44531</v>
      </c>
      <c r="J614" s="4">
        <v>0</v>
      </c>
      <c r="K614" s="4">
        <v>0</v>
      </c>
      <c r="L614" s="4">
        <v>0.60899999999999999</v>
      </c>
      <c r="M614" s="4">
        <v>0.60899999999999999</v>
      </c>
      <c r="N614" s="4">
        <v>0.60899999999999999</v>
      </c>
      <c r="O614" s="4">
        <v>0.60899999999999999</v>
      </c>
      <c r="P614" s="4">
        <v>5</v>
      </c>
      <c r="Q614" s="3" t="s">
        <v>26</v>
      </c>
      <c r="R614" s="3">
        <v>0</v>
      </c>
      <c r="S614" s="3" t="s">
        <v>351</v>
      </c>
      <c r="T614" s="3" t="s">
        <v>590</v>
      </c>
      <c r="U614" s="3">
        <v>0</v>
      </c>
      <c r="V614" s="3">
        <v>47</v>
      </c>
      <c r="W614" s="3">
        <v>87</v>
      </c>
    </row>
    <row r="615" spans="1:23" ht="11.25" customHeight="1" x14ac:dyDescent="0.3">
      <c r="A615" s="3" t="s">
        <v>21</v>
      </c>
      <c r="B615" s="3" t="s">
        <v>37</v>
      </c>
      <c r="C615" s="3" t="s">
        <v>23</v>
      </c>
      <c r="D615" s="3" t="s">
        <v>38</v>
      </c>
      <c r="E615" s="3" t="s">
        <v>25</v>
      </c>
      <c r="F615" s="3" t="s">
        <v>25</v>
      </c>
      <c r="G615" s="3" t="s">
        <v>25</v>
      </c>
      <c r="H615" s="3" t="s">
        <v>25</v>
      </c>
      <c r="I615" s="6">
        <v>44562</v>
      </c>
      <c r="J615" s="4">
        <v>0</v>
      </c>
      <c r="K615" s="4">
        <v>0</v>
      </c>
      <c r="L615" s="4">
        <v>52.695</v>
      </c>
      <c r="M615" s="4">
        <v>52.695</v>
      </c>
      <c r="N615" s="4">
        <v>52.695</v>
      </c>
      <c r="O615" s="4">
        <v>52.695</v>
      </c>
      <c r="P615" s="4">
        <v>49</v>
      </c>
      <c r="Q615" s="3" t="s">
        <v>26</v>
      </c>
      <c r="R615" s="3">
        <v>0</v>
      </c>
      <c r="S615" s="3" t="s">
        <v>352</v>
      </c>
      <c r="T615" s="3" t="s">
        <v>591</v>
      </c>
      <c r="U615" s="3">
        <v>0</v>
      </c>
      <c r="V615" s="3">
        <v>47</v>
      </c>
      <c r="W615" s="3">
        <v>87</v>
      </c>
    </row>
    <row r="616" spans="1:23" ht="11.25" customHeight="1" x14ac:dyDescent="0.3">
      <c r="A616" s="3" t="s">
        <v>28</v>
      </c>
      <c r="B616" s="3" t="s">
        <v>37</v>
      </c>
      <c r="C616" s="3" t="s">
        <v>23</v>
      </c>
      <c r="D616" s="3" t="s">
        <v>38</v>
      </c>
      <c r="E616" s="3" t="s">
        <v>25</v>
      </c>
      <c r="F616" s="3" t="s">
        <v>25</v>
      </c>
      <c r="G616" s="3" t="s">
        <v>25</v>
      </c>
      <c r="H616" s="3" t="s">
        <v>25</v>
      </c>
      <c r="I616" s="6">
        <v>44562</v>
      </c>
      <c r="J616" s="4">
        <v>0</v>
      </c>
      <c r="K616" s="4">
        <v>0</v>
      </c>
      <c r="L616" s="4">
        <v>2.3839999999999999</v>
      </c>
      <c r="M616" s="4">
        <v>2.3839999999999999</v>
      </c>
      <c r="N616" s="4">
        <v>2.3839999999999999</v>
      </c>
      <c r="O616" s="4">
        <v>2.3839999999999999</v>
      </c>
      <c r="P616" s="4">
        <v>6</v>
      </c>
      <c r="Q616" s="3" t="s">
        <v>26</v>
      </c>
      <c r="R616" s="3">
        <v>0</v>
      </c>
      <c r="S616" s="3" t="s">
        <v>352</v>
      </c>
      <c r="T616" s="3" t="s">
        <v>591</v>
      </c>
      <c r="U616" s="3">
        <v>0</v>
      </c>
      <c r="V616" s="3">
        <v>47</v>
      </c>
      <c r="W616" s="3">
        <v>87</v>
      </c>
    </row>
    <row r="617" spans="1:23" ht="11.25" customHeight="1" x14ac:dyDescent="0.3">
      <c r="A617" s="3" t="s">
        <v>21</v>
      </c>
      <c r="B617" s="3" t="s">
        <v>37</v>
      </c>
      <c r="C617" s="3" t="s">
        <v>23</v>
      </c>
      <c r="D617" s="3" t="s">
        <v>38</v>
      </c>
      <c r="E617" s="3" t="s">
        <v>25</v>
      </c>
      <c r="F617" s="3" t="s">
        <v>25</v>
      </c>
      <c r="G617" s="3" t="s">
        <v>25</v>
      </c>
      <c r="H617" s="3" t="s">
        <v>25</v>
      </c>
      <c r="I617" s="6">
        <v>44593</v>
      </c>
      <c r="J617" s="4">
        <v>0</v>
      </c>
      <c r="K617" s="4">
        <v>0</v>
      </c>
      <c r="L617" s="4">
        <v>72.120999999999995</v>
      </c>
      <c r="M617" s="4">
        <v>72.120999999999995</v>
      </c>
      <c r="N617" s="4">
        <v>72.120999999999995</v>
      </c>
      <c r="O617" s="4">
        <v>72.120999999999995</v>
      </c>
      <c r="P617" s="4">
        <v>49</v>
      </c>
      <c r="Q617" s="3" t="s">
        <v>26</v>
      </c>
      <c r="R617" s="3">
        <v>0</v>
      </c>
      <c r="S617" s="3" t="s">
        <v>353</v>
      </c>
      <c r="T617" s="3" t="s">
        <v>592</v>
      </c>
      <c r="U617" s="3">
        <v>0</v>
      </c>
      <c r="V617" s="3">
        <v>47</v>
      </c>
      <c r="W617" s="3">
        <v>87</v>
      </c>
    </row>
    <row r="618" spans="1:23" ht="11.25" customHeight="1" x14ac:dyDescent="0.3">
      <c r="A618" s="3" t="s">
        <v>27</v>
      </c>
      <c r="B618" s="3" t="s">
        <v>37</v>
      </c>
      <c r="C618" s="3" t="s">
        <v>23</v>
      </c>
      <c r="D618" s="3" t="s">
        <v>38</v>
      </c>
      <c r="E618" s="3" t="s">
        <v>25</v>
      </c>
      <c r="F618" s="3" t="s">
        <v>25</v>
      </c>
      <c r="G618" s="3" t="s">
        <v>25</v>
      </c>
      <c r="H618" s="3" t="s">
        <v>25</v>
      </c>
      <c r="I618" s="6">
        <v>44593</v>
      </c>
      <c r="J618" s="4">
        <v>0</v>
      </c>
      <c r="K618" s="4">
        <v>0</v>
      </c>
      <c r="L618" s="4">
        <v>5.3410000000000002</v>
      </c>
      <c r="M618" s="4">
        <v>5.3410000000000002</v>
      </c>
      <c r="N618" s="4">
        <v>5.3410000000000002</v>
      </c>
      <c r="O618" s="4">
        <v>5.3410000000000002</v>
      </c>
      <c r="P618" s="4">
        <v>0</v>
      </c>
      <c r="Q618" s="3" t="s">
        <v>26</v>
      </c>
      <c r="R618" s="3">
        <v>0</v>
      </c>
      <c r="S618" s="3" t="s">
        <v>353</v>
      </c>
      <c r="T618" s="3" t="s">
        <v>592</v>
      </c>
      <c r="U618" s="3">
        <v>0</v>
      </c>
      <c r="V618" s="3">
        <v>47</v>
      </c>
      <c r="W618" s="3">
        <v>87</v>
      </c>
    </row>
    <row r="619" spans="1:23" ht="11.25" customHeight="1" x14ac:dyDescent="0.3">
      <c r="A619" s="3" t="s">
        <v>28</v>
      </c>
      <c r="B619" s="3" t="s">
        <v>37</v>
      </c>
      <c r="C619" s="3" t="s">
        <v>23</v>
      </c>
      <c r="D619" s="3" t="s">
        <v>38</v>
      </c>
      <c r="E619" s="3" t="s">
        <v>25</v>
      </c>
      <c r="F619" s="3" t="s">
        <v>25</v>
      </c>
      <c r="G619" s="3" t="s">
        <v>25</v>
      </c>
      <c r="H619" s="3" t="s">
        <v>25</v>
      </c>
      <c r="I619" s="6">
        <v>44593</v>
      </c>
      <c r="J619" s="4">
        <v>0</v>
      </c>
      <c r="K619" s="4">
        <v>0</v>
      </c>
      <c r="L619" s="4">
        <v>4.0590000000000002</v>
      </c>
      <c r="M619" s="4">
        <v>4.0590000000000002</v>
      </c>
      <c r="N619" s="4">
        <v>4.0590000000000002</v>
      </c>
      <c r="O619" s="4">
        <v>4.0590000000000002</v>
      </c>
      <c r="P619" s="4">
        <v>6</v>
      </c>
      <c r="Q619" s="3" t="s">
        <v>26</v>
      </c>
      <c r="R619" s="3">
        <v>0</v>
      </c>
      <c r="S619" s="3" t="s">
        <v>353</v>
      </c>
      <c r="T619" s="3" t="s">
        <v>592</v>
      </c>
      <c r="U619" s="3">
        <v>0</v>
      </c>
      <c r="V619" s="3">
        <v>47</v>
      </c>
      <c r="W619" s="3">
        <v>87</v>
      </c>
    </row>
    <row r="620" spans="1:23" ht="11.25" customHeight="1" x14ac:dyDescent="0.3">
      <c r="A620" s="3" t="s">
        <v>21</v>
      </c>
      <c r="B620" s="3" t="s">
        <v>37</v>
      </c>
      <c r="C620" s="3" t="s">
        <v>23</v>
      </c>
      <c r="D620" s="3" t="s">
        <v>38</v>
      </c>
      <c r="E620" s="3" t="s">
        <v>25</v>
      </c>
      <c r="F620" s="3" t="s">
        <v>25</v>
      </c>
      <c r="G620" s="3" t="s">
        <v>25</v>
      </c>
      <c r="H620" s="3" t="s">
        <v>25</v>
      </c>
      <c r="I620" s="6">
        <v>44621</v>
      </c>
      <c r="J620" s="4">
        <v>0</v>
      </c>
      <c r="K620" s="4">
        <v>0</v>
      </c>
      <c r="L620" s="4">
        <v>57.255000000000003</v>
      </c>
      <c r="M620" s="4">
        <v>57.255000000000003</v>
      </c>
      <c r="N620" s="4">
        <v>57.255000000000003</v>
      </c>
      <c r="O620" s="4">
        <v>57.255000000000003</v>
      </c>
      <c r="P620" s="4">
        <v>50</v>
      </c>
      <c r="Q620" s="3" t="s">
        <v>26</v>
      </c>
      <c r="R620" s="3">
        <v>0</v>
      </c>
      <c r="S620" s="3" t="s">
        <v>354</v>
      </c>
      <c r="T620" s="3" t="s">
        <v>593</v>
      </c>
      <c r="U620" s="3">
        <v>0</v>
      </c>
      <c r="V620" s="3">
        <v>47</v>
      </c>
      <c r="W620" s="3">
        <v>87</v>
      </c>
    </row>
    <row r="621" spans="1:23" ht="11.25" customHeight="1" x14ac:dyDescent="0.3">
      <c r="A621" s="3" t="s">
        <v>28</v>
      </c>
      <c r="B621" s="3" t="s">
        <v>37</v>
      </c>
      <c r="C621" s="3" t="s">
        <v>23</v>
      </c>
      <c r="D621" s="3" t="s">
        <v>38</v>
      </c>
      <c r="E621" s="3" t="s">
        <v>25</v>
      </c>
      <c r="F621" s="3" t="s">
        <v>25</v>
      </c>
      <c r="G621" s="3" t="s">
        <v>25</v>
      </c>
      <c r="H621" s="3" t="s">
        <v>25</v>
      </c>
      <c r="I621" s="6">
        <v>44621</v>
      </c>
      <c r="J621" s="4">
        <v>0</v>
      </c>
      <c r="K621" s="4">
        <v>0</v>
      </c>
      <c r="L621" s="4">
        <v>4.6589999999999998</v>
      </c>
      <c r="M621" s="4">
        <v>4.6589999999999998</v>
      </c>
      <c r="N621" s="4">
        <v>4.6589999999999998</v>
      </c>
      <c r="O621" s="4">
        <v>4.6589999999999998</v>
      </c>
      <c r="P621" s="4">
        <v>6</v>
      </c>
      <c r="Q621" s="3" t="s">
        <v>26</v>
      </c>
      <c r="R621" s="3">
        <v>0</v>
      </c>
      <c r="S621" s="3" t="s">
        <v>354</v>
      </c>
      <c r="T621" s="3" t="s">
        <v>593</v>
      </c>
      <c r="U621" s="3">
        <v>0</v>
      </c>
      <c r="V621" s="3">
        <v>47</v>
      </c>
      <c r="W621" s="3">
        <v>87</v>
      </c>
    </row>
    <row r="622" spans="1:23" ht="11.25" customHeight="1" x14ac:dyDescent="0.3">
      <c r="A622" s="3" t="s">
        <v>21</v>
      </c>
      <c r="B622" s="3" t="s">
        <v>37</v>
      </c>
      <c r="C622" s="3" t="s">
        <v>23</v>
      </c>
      <c r="D622" s="3" t="s">
        <v>38</v>
      </c>
      <c r="E622" s="3" t="s">
        <v>25</v>
      </c>
      <c r="F622" s="3" t="s">
        <v>25</v>
      </c>
      <c r="G622" s="3" t="s">
        <v>25</v>
      </c>
      <c r="H622" s="3" t="s">
        <v>25</v>
      </c>
      <c r="I622" s="6">
        <v>44652</v>
      </c>
      <c r="J622" s="4">
        <v>0</v>
      </c>
      <c r="K622" s="4">
        <v>0</v>
      </c>
      <c r="L622" s="4">
        <v>66.563000000000002</v>
      </c>
      <c r="M622" s="4">
        <v>66.563000000000002</v>
      </c>
      <c r="N622" s="4">
        <v>66.563000000000002</v>
      </c>
      <c r="O622" s="4">
        <v>66.563000000000002</v>
      </c>
      <c r="P622" s="4">
        <v>50</v>
      </c>
      <c r="Q622" s="3" t="s">
        <v>26</v>
      </c>
      <c r="R622" s="3">
        <v>0</v>
      </c>
      <c r="S622" s="3" t="s">
        <v>355</v>
      </c>
      <c r="T622" s="3" t="s">
        <v>594</v>
      </c>
      <c r="U622" s="3">
        <v>0</v>
      </c>
      <c r="V622" s="3">
        <v>47</v>
      </c>
      <c r="W622" s="3">
        <v>87</v>
      </c>
    </row>
    <row r="623" spans="1:23" ht="11.25" customHeight="1" x14ac:dyDescent="0.3">
      <c r="A623" s="3" t="s">
        <v>28</v>
      </c>
      <c r="B623" s="3" t="s">
        <v>37</v>
      </c>
      <c r="C623" s="3" t="s">
        <v>23</v>
      </c>
      <c r="D623" s="3" t="s">
        <v>38</v>
      </c>
      <c r="E623" s="3" t="s">
        <v>25</v>
      </c>
      <c r="F623" s="3" t="s">
        <v>25</v>
      </c>
      <c r="G623" s="3" t="s">
        <v>25</v>
      </c>
      <c r="H623" s="3" t="s">
        <v>25</v>
      </c>
      <c r="I623" s="6">
        <v>44652</v>
      </c>
      <c r="J623" s="4">
        <v>0</v>
      </c>
      <c r="K623" s="4">
        <v>0</v>
      </c>
      <c r="L623" s="4">
        <v>1.9670000000000001</v>
      </c>
      <c r="M623" s="4">
        <v>1.9670000000000001</v>
      </c>
      <c r="N623" s="4">
        <v>1.9670000000000001</v>
      </c>
      <c r="O623" s="4">
        <v>1.9670000000000001</v>
      </c>
      <c r="P623" s="4">
        <v>6</v>
      </c>
      <c r="Q623" s="3" t="s">
        <v>26</v>
      </c>
      <c r="R623" s="3">
        <v>0</v>
      </c>
      <c r="S623" s="3" t="s">
        <v>355</v>
      </c>
      <c r="T623" s="3" t="s">
        <v>594</v>
      </c>
      <c r="U623" s="3">
        <v>0</v>
      </c>
      <c r="V623" s="3">
        <v>47</v>
      </c>
      <c r="W623" s="3">
        <v>87</v>
      </c>
    </row>
    <row r="624" spans="1:23" ht="11.25" customHeight="1" x14ac:dyDescent="0.3">
      <c r="A624" s="3" t="s">
        <v>21</v>
      </c>
      <c r="B624" s="3" t="s">
        <v>37</v>
      </c>
      <c r="C624" s="3" t="s">
        <v>23</v>
      </c>
      <c r="D624" s="3" t="s">
        <v>38</v>
      </c>
      <c r="E624" s="3" t="s">
        <v>25</v>
      </c>
      <c r="F624" s="3" t="s">
        <v>25</v>
      </c>
      <c r="G624" s="3" t="s">
        <v>25</v>
      </c>
      <c r="H624" s="3" t="s">
        <v>25</v>
      </c>
      <c r="I624" s="6">
        <v>44682</v>
      </c>
      <c r="J624" s="4">
        <v>0</v>
      </c>
      <c r="K624" s="4">
        <v>0</v>
      </c>
      <c r="L624" s="4">
        <v>56.606999999999999</v>
      </c>
      <c r="M624" s="4">
        <v>56.606999999999999</v>
      </c>
      <c r="N624" s="4">
        <v>56.606999999999999</v>
      </c>
      <c r="O624" s="4">
        <v>56.606999999999999</v>
      </c>
      <c r="P624" s="4">
        <v>49</v>
      </c>
      <c r="Q624" s="3" t="s">
        <v>26</v>
      </c>
      <c r="R624" s="3">
        <v>0</v>
      </c>
      <c r="S624" s="3" t="s">
        <v>356</v>
      </c>
      <c r="T624" s="3" t="s">
        <v>595</v>
      </c>
      <c r="U624" s="3">
        <v>0</v>
      </c>
      <c r="V624" s="3">
        <v>47</v>
      </c>
      <c r="W624" s="3">
        <v>87</v>
      </c>
    </row>
    <row r="625" spans="1:23" ht="11.25" customHeight="1" x14ac:dyDescent="0.3">
      <c r="A625" s="3" t="s">
        <v>28</v>
      </c>
      <c r="B625" s="3" t="s">
        <v>37</v>
      </c>
      <c r="C625" s="3" t="s">
        <v>23</v>
      </c>
      <c r="D625" s="3" t="s">
        <v>38</v>
      </c>
      <c r="E625" s="3" t="s">
        <v>25</v>
      </c>
      <c r="F625" s="3" t="s">
        <v>25</v>
      </c>
      <c r="G625" s="3" t="s">
        <v>25</v>
      </c>
      <c r="H625" s="3" t="s">
        <v>25</v>
      </c>
      <c r="I625" s="6">
        <v>44682</v>
      </c>
      <c r="J625" s="4">
        <v>0</v>
      </c>
      <c r="K625" s="4">
        <v>0</v>
      </c>
      <c r="L625" s="4">
        <v>2.5289999999999999</v>
      </c>
      <c r="M625" s="4">
        <v>2.5289999999999999</v>
      </c>
      <c r="N625" s="4">
        <v>2.5289999999999999</v>
      </c>
      <c r="O625" s="4">
        <v>2.5289999999999999</v>
      </c>
      <c r="P625" s="4">
        <v>6</v>
      </c>
      <c r="Q625" s="3" t="s">
        <v>26</v>
      </c>
      <c r="R625" s="3">
        <v>0</v>
      </c>
      <c r="S625" s="3" t="s">
        <v>356</v>
      </c>
      <c r="T625" s="3" t="s">
        <v>595</v>
      </c>
      <c r="U625" s="3">
        <v>0</v>
      </c>
      <c r="V625" s="3">
        <v>47</v>
      </c>
      <c r="W625" s="3">
        <v>87</v>
      </c>
    </row>
    <row r="626" spans="1:23" ht="11.25" customHeight="1" x14ac:dyDescent="0.3">
      <c r="A626" s="3" t="s">
        <v>21</v>
      </c>
      <c r="B626" s="3" t="s">
        <v>37</v>
      </c>
      <c r="C626" s="3" t="s">
        <v>23</v>
      </c>
      <c r="D626" s="3" t="s">
        <v>38</v>
      </c>
      <c r="E626" s="3" t="s">
        <v>25</v>
      </c>
      <c r="F626" s="3" t="s">
        <v>25</v>
      </c>
      <c r="G626" s="3" t="s">
        <v>25</v>
      </c>
      <c r="H626" s="3" t="s">
        <v>25</v>
      </c>
      <c r="I626" s="6">
        <v>44713</v>
      </c>
      <c r="J626" s="4">
        <v>0</v>
      </c>
      <c r="K626" s="4">
        <v>0</v>
      </c>
      <c r="L626" s="4">
        <v>62.561</v>
      </c>
      <c r="M626" s="4">
        <v>62.561</v>
      </c>
      <c r="N626" s="4">
        <v>62.561</v>
      </c>
      <c r="O626" s="4">
        <v>62.561</v>
      </c>
      <c r="P626" s="4">
        <v>48</v>
      </c>
      <c r="Q626" s="3" t="s">
        <v>26</v>
      </c>
      <c r="R626" s="3">
        <v>0</v>
      </c>
      <c r="S626" s="3" t="s">
        <v>357</v>
      </c>
      <c r="T626" s="3" t="s">
        <v>596</v>
      </c>
      <c r="U626" s="3">
        <v>0</v>
      </c>
      <c r="V626" s="3">
        <v>47</v>
      </c>
      <c r="W626" s="3">
        <v>87</v>
      </c>
    </row>
    <row r="627" spans="1:23" ht="11.25" customHeight="1" x14ac:dyDescent="0.3">
      <c r="A627" s="3" t="s">
        <v>28</v>
      </c>
      <c r="B627" s="3" t="s">
        <v>37</v>
      </c>
      <c r="C627" s="3" t="s">
        <v>23</v>
      </c>
      <c r="D627" s="3" t="s">
        <v>38</v>
      </c>
      <c r="E627" s="3" t="s">
        <v>25</v>
      </c>
      <c r="F627" s="3" t="s">
        <v>25</v>
      </c>
      <c r="G627" s="3" t="s">
        <v>25</v>
      </c>
      <c r="H627" s="3" t="s">
        <v>25</v>
      </c>
      <c r="I627" s="6">
        <v>44713</v>
      </c>
      <c r="J627" s="4">
        <v>0</v>
      </c>
      <c r="K627" s="4">
        <v>0</v>
      </c>
      <c r="L627" s="4">
        <v>3.5859999999999999</v>
      </c>
      <c r="M627" s="4">
        <v>3.5859999999999999</v>
      </c>
      <c r="N627" s="4">
        <v>3.5859999999999999</v>
      </c>
      <c r="O627" s="4">
        <v>3.5859999999999999</v>
      </c>
      <c r="P627" s="4">
        <v>6</v>
      </c>
      <c r="Q627" s="3" t="s">
        <v>26</v>
      </c>
      <c r="R627" s="3">
        <v>0</v>
      </c>
      <c r="S627" s="3" t="s">
        <v>357</v>
      </c>
      <c r="T627" s="3" t="s">
        <v>596</v>
      </c>
      <c r="U627" s="3">
        <v>0</v>
      </c>
      <c r="V627" s="3">
        <v>47</v>
      </c>
      <c r="W627" s="3">
        <v>87</v>
      </c>
    </row>
    <row r="628" spans="1:23" ht="11.25" customHeight="1" x14ac:dyDescent="0.3">
      <c r="A628" s="3" t="s">
        <v>21</v>
      </c>
      <c r="B628" s="3" t="s">
        <v>37</v>
      </c>
      <c r="C628" s="3" t="s">
        <v>23</v>
      </c>
      <c r="D628" s="3" t="s">
        <v>44</v>
      </c>
      <c r="E628" s="3" t="s">
        <v>25</v>
      </c>
      <c r="F628" s="3" t="s">
        <v>25</v>
      </c>
      <c r="G628" s="3" t="s">
        <v>25</v>
      </c>
      <c r="H628" s="3" t="s">
        <v>25</v>
      </c>
      <c r="I628" s="6">
        <v>44378</v>
      </c>
      <c r="J628" s="4">
        <v>0</v>
      </c>
      <c r="K628" s="4">
        <v>0</v>
      </c>
      <c r="L628" s="4">
        <v>143.16200000000001</v>
      </c>
      <c r="M628" s="4">
        <v>143.16200000000001</v>
      </c>
      <c r="N628" s="4">
        <v>143.16200000000001</v>
      </c>
      <c r="O628" s="4">
        <v>143.16200000000001</v>
      </c>
      <c r="P628" s="4">
        <v>344</v>
      </c>
      <c r="Q628" s="3" t="s">
        <v>26</v>
      </c>
      <c r="R628" s="3">
        <v>0</v>
      </c>
      <c r="S628" s="3" t="s">
        <v>346</v>
      </c>
      <c r="T628" s="3" t="s">
        <v>585</v>
      </c>
      <c r="U628" s="3">
        <v>0</v>
      </c>
      <c r="V628" s="3">
        <v>47</v>
      </c>
      <c r="W628" s="3">
        <v>87</v>
      </c>
    </row>
    <row r="629" spans="1:23" ht="11.25" customHeight="1" x14ac:dyDescent="0.3">
      <c r="A629" s="3" t="s">
        <v>21</v>
      </c>
      <c r="B629" s="3" t="s">
        <v>37</v>
      </c>
      <c r="C629" s="3" t="s">
        <v>23</v>
      </c>
      <c r="D629" s="3" t="s">
        <v>44</v>
      </c>
      <c r="E629" s="3" t="s">
        <v>25</v>
      </c>
      <c r="F629" s="3" t="s">
        <v>25</v>
      </c>
      <c r="G629" s="3" t="s">
        <v>25</v>
      </c>
      <c r="H629" s="3" t="s">
        <v>25</v>
      </c>
      <c r="I629" s="6">
        <v>44409</v>
      </c>
      <c r="J629" s="4">
        <v>0</v>
      </c>
      <c r="K629" s="4">
        <v>0</v>
      </c>
      <c r="L629" s="4">
        <v>154.30500000000001</v>
      </c>
      <c r="M629" s="4">
        <v>154.30500000000001</v>
      </c>
      <c r="N629" s="4">
        <v>154.30500000000001</v>
      </c>
      <c r="O629" s="4">
        <v>154.30500000000001</v>
      </c>
      <c r="P629" s="4">
        <v>346</v>
      </c>
      <c r="Q629" s="3" t="s">
        <v>26</v>
      </c>
      <c r="R629" s="3">
        <v>0</v>
      </c>
      <c r="S629" s="3" t="s">
        <v>347</v>
      </c>
      <c r="T629" s="3" t="s">
        <v>586</v>
      </c>
      <c r="U629" s="3">
        <v>0</v>
      </c>
      <c r="V629" s="3">
        <v>47</v>
      </c>
      <c r="W629" s="3">
        <v>87</v>
      </c>
    </row>
    <row r="630" spans="1:23" ht="11.25" customHeight="1" x14ac:dyDescent="0.3">
      <c r="A630" s="3" t="s">
        <v>21</v>
      </c>
      <c r="B630" s="3" t="s">
        <v>37</v>
      </c>
      <c r="C630" s="3" t="s">
        <v>23</v>
      </c>
      <c r="D630" s="3" t="s">
        <v>44</v>
      </c>
      <c r="E630" s="3" t="s">
        <v>25</v>
      </c>
      <c r="F630" s="3" t="s">
        <v>25</v>
      </c>
      <c r="G630" s="3" t="s">
        <v>25</v>
      </c>
      <c r="H630" s="3" t="s">
        <v>25</v>
      </c>
      <c r="I630" s="6">
        <v>44440</v>
      </c>
      <c r="J630" s="4">
        <v>0</v>
      </c>
      <c r="K630" s="4">
        <v>0</v>
      </c>
      <c r="L630" s="4">
        <v>131.02699999999999</v>
      </c>
      <c r="M630" s="4">
        <v>131.02699999999999</v>
      </c>
      <c r="N630" s="4">
        <v>131.02699999999999</v>
      </c>
      <c r="O630" s="4">
        <v>131.02699999999999</v>
      </c>
      <c r="P630" s="4">
        <v>349</v>
      </c>
      <c r="Q630" s="3" t="s">
        <v>26</v>
      </c>
      <c r="R630" s="3">
        <v>0</v>
      </c>
      <c r="S630" s="3" t="s">
        <v>348</v>
      </c>
      <c r="T630" s="3" t="s">
        <v>587</v>
      </c>
      <c r="U630" s="3">
        <v>0</v>
      </c>
      <c r="V630" s="3">
        <v>47</v>
      </c>
      <c r="W630" s="3">
        <v>87</v>
      </c>
    </row>
    <row r="631" spans="1:23" ht="11.25" customHeight="1" x14ac:dyDescent="0.3">
      <c r="A631" s="3" t="s">
        <v>21</v>
      </c>
      <c r="B631" s="3" t="s">
        <v>37</v>
      </c>
      <c r="C631" s="3" t="s">
        <v>23</v>
      </c>
      <c r="D631" s="3" t="s">
        <v>44</v>
      </c>
      <c r="E631" s="3" t="s">
        <v>25</v>
      </c>
      <c r="F631" s="3" t="s">
        <v>25</v>
      </c>
      <c r="G631" s="3" t="s">
        <v>25</v>
      </c>
      <c r="H631" s="3" t="s">
        <v>25</v>
      </c>
      <c r="I631" s="6">
        <v>44470</v>
      </c>
      <c r="J631" s="4">
        <v>0</v>
      </c>
      <c r="K631" s="4">
        <v>0</v>
      </c>
      <c r="L631" s="4">
        <v>128.584</v>
      </c>
      <c r="M631" s="4">
        <v>128.584</v>
      </c>
      <c r="N631" s="4">
        <v>128.584</v>
      </c>
      <c r="O631" s="4">
        <v>128.584</v>
      </c>
      <c r="P631" s="4">
        <v>348</v>
      </c>
      <c r="Q631" s="3" t="s">
        <v>26</v>
      </c>
      <c r="R631" s="3">
        <v>0</v>
      </c>
      <c r="S631" s="3" t="s">
        <v>349</v>
      </c>
      <c r="T631" s="3" t="s">
        <v>588</v>
      </c>
      <c r="U631" s="3">
        <v>0</v>
      </c>
      <c r="V631" s="3">
        <v>47</v>
      </c>
      <c r="W631" s="3">
        <v>87</v>
      </c>
    </row>
    <row r="632" spans="1:23" ht="11.25" customHeight="1" x14ac:dyDescent="0.3">
      <c r="A632" s="3" t="s">
        <v>21</v>
      </c>
      <c r="B632" s="3" t="s">
        <v>37</v>
      </c>
      <c r="C632" s="3" t="s">
        <v>23</v>
      </c>
      <c r="D632" s="3" t="s">
        <v>44</v>
      </c>
      <c r="E632" s="3" t="s">
        <v>25</v>
      </c>
      <c r="F632" s="3" t="s">
        <v>25</v>
      </c>
      <c r="G632" s="3" t="s">
        <v>25</v>
      </c>
      <c r="H632" s="3" t="s">
        <v>25</v>
      </c>
      <c r="I632" s="6">
        <v>44501</v>
      </c>
      <c r="J632" s="4">
        <v>0</v>
      </c>
      <c r="K632" s="4">
        <v>0</v>
      </c>
      <c r="L632" s="4">
        <v>155.291</v>
      </c>
      <c r="M632" s="4">
        <v>155.291</v>
      </c>
      <c r="N632" s="4">
        <v>155.291</v>
      </c>
      <c r="O632" s="4">
        <v>155.291</v>
      </c>
      <c r="P632" s="4">
        <v>349</v>
      </c>
      <c r="Q632" s="3" t="s">
        <v>26</v>
      </c>
      <c r="R632" s="3">
        <v>0</v>
      </c>
      <c r="S632" s="3" t="s">
        <v>350</v>
      </c>
      <c r="T632" s="3" t="s">
        <v>589</v>
      </c>
      <c r="U632" s="3">
        <v>0</v>
      </c>
      <c r="V632" s="3">
        <v>47</v>
      </c>
      <c r="W632" s="3">
        <v>87</v>
      </c>
    </row>
    <row r="633" spans="1:23" ht="11.25" customHeight="1" x14ac:dyDescent="0.3">
      <c r="A633" s="3" t="s">
        <v>21</v>
      </c>
      <c r="B633" s="3" t="s">
        <v>37</v>
      </c>
      <c r="C633" s="3" t="s">
        <v>23</v>
      </c>
      <c r="D633" s="3" t="s">
        <v>44</v>
      </c>
      <c r="E633" s="3" t="s">
        <v>25</v>
      </c>
      <c r="F633" s="3" t="s">
        <v>25</v>
      </c>
      <c r="G633" s="3" t="s">
        <v>25</v>
      </c>
      <c r="H633" s="3" t="s">
        <v>25</v>
      </c>
      <c r="I633" s="6">
        <v>44531</v>
      </c>
      <c r="J633" s="4">
        <v>0</v>
      </c>
      <c r="K633" s="4">
        <v>0</v>
      </c>
      <c r="L633" s="4">
        <v>171.53299999999999</v>
      </c>
      <c r="M633" s="4">
        <v>171.53299999999999</v>
      </c>
      <c r="N633" s="4">
        <v>171.53299999999999</v>
      </c>
      <c r="O633" s="4">
        <v>171.53299999999999</v>
      </c>
      <c r="P633" s="4">
        <v>350</v>
      </c>
      <c r="Q633" s="3" t="s">
        <v>26</v>
      </c>
      <c r="R633" s="3">
        <v>0</v>
      </c>
      <c r="S633" s="3" t="s">
        <v>351</v>
      </c>
      <c r="T633" s="3" t="s">
        <v>590</v>
      </c>
      <c r="U633" s="3">
        <v>0</v>
      </c>
      <c r="V633" s="3">
        <v>47</v>
      </c>
      <c r="W633" s="3">
        <v>87</v>
      </c>
    </row>
    <row r="634" spans="1:23" ht="11.25" customHeight="1" x14ac:dyDescent="0.3">
      <c r="A634" s="3" t="s">
        <v>21</v>
      </c>
      <c r="B634" s="3" t="s">
        <v>37</v>
      </c>
      <c r="C634" s="3" t="s">
        <v>23</v>
      </c>
      <c r="D634" s="3" t="s">
        <v>44</v>
      </c>
      <c r="E634" s="3" t="s">
        <v>25</v>
      </c>
      <c r="F634" s="3" t="s">
        <v>25</v>
      </c>
      <c r="G634" s="3" t="s">
        <v>25</v>
      </c>
      <c r="H634" s="3" t="s">
        <v>25</v>
      </c>
      <c r="I634" s="6">
        <v>44562</v>
      </c>
      <c r="J634" s="4">
        <v>0</v>
      </c>
      <c r="K634" s="4">
        <v>0</v>
      </c>
      <c r="L634" s="4">
        <v>195.52199999999999</v>
      </c>
      <c r="M634" s="4">
        <v>195.52199999999999</v>
      </c>
      <c r="N634" s="4">
        <v>195.52199999999999</v>
      </c>
      <c r="O634" s="4">
        <v>195.52199999999999</v>
      </c>
      <c r="P634" s="4">
        <v>359</v>
      </c>
      <c r="Q634" s="3" t="s">
        <v>26</v>
      </c>
      <c r="R634" s="3">
        <v>0</v>
      </c>
      <c r="S634" s="3" t="s">
        <v>352</v>
      </c>
      <c r="T634" s="3" t="s">
        <v>591</v>
      </c>
      <c r="U634" s="3">
        <v>0</v>
      </c>
      <c r="V634" s="3">
        <v>47</v>
      </c>
      <c r="W634" s="3">
        <v>87</v>
      </c>
    </row>
    <row r="635" spans="1:23" ht="11.25" customHeight="1" x14ac:dyDescent="0.3">
      <c r="A635" s="3" t="s">
        <v>27</v>
      </c>
      <c r="B635" s="3" t="s">
        <v>37</v>
      </c>
      <c r="C635" s="3" t="s">
        <v>23</v>
      </c>
      <c r="D635" s="3" t="s">
        <v>44</v>
      </c>
      <c r="E635" s="3" t="s">
        <v>25</v>
      </c>
      <c r="F635" s="3" t="s">
        <v>25</v>
      </c>
      <c r="G635" s="3" t="s">
        <v>25</v>
      </c>
      <c r="H635" s="3" t="s">
        <v>25</v>
      </c>
      <c r="I635" s="6">
        <v>44562</v>
      </c>
      <c r="J635" s="4">
        <v>0</v>
      </c>
      <c r="K635" s="4">
        <v>0</v>
      </c>
      <c r="L635" s="4">
        <v>-0.85699999999999998</v>
      </c>
      <c r="M635" s="4">
        <v>-0.85699999999999998</v>
      </c>
      <c r="N635" s="4">
        <v>-0.85699999999999998</v>
      </c>
      <c r="O635" s="4">
        <v>-0.85699999999999998</v>
      </c>
      <c r="P635" s="4">
        <v>0</v>
      </c>
      <c r="Q635" s="3" t="s">
        <v>26</v>
      </c>
      <c r="R635" s="3">
        <v>0</v>
      </c>
      <c r="S635" s="3" t="s">
        <v>352</v>
      </c>
      <c r="T635" s="3" t="s">
        <v>591</v>
      </c>
      <c r="U635" s="3">
        <v>0</v>
      </c>
      <c r="V635" s="3">
        <v>47</v>
      </c>
      <c r="W635" s="3">
        <v>87</v>
      </c>
    </row>
    <row r="636" spans="1:23" ht="11.25" customHeight="1" x14ac:dyDescent="0.3">
      <c r="A636" s="3" t="s">
        <v>21</v>
      </c>
      <c r="B636" s="3" t="s">
        <v>37</v>
      </c>
      <c r="C636" s="3" t="s">
        <v>23</v>
      </c>
      <c r="D636" s="3" t="s">
        <v>44</v>
      </c>
      <c r="E636" s="3" t="s">
        <v>25</v>
      </c>
      <c r="F636" s="3" t="s">
        <v>25</v>
      </c>
      <c r="G636" s="3" t="s">
        <v>25</v>
      </c>
      <c r="H636" s="3" t="s">
        <v>25</v>
      </c>
      <c r="I636" s="6">
        <v>44593</v>
      </c>
      <c r="J636" s="4">
        <v>0</v>
      </c>
      <c r="K636" s="4">
        <v>0</v>
      </c>
      <c r="L636" s="4">
        <v>232.274</v>
      </c>
      <c r="M636" s="4">
        <v>232.274</v>
      </c>
      <c r="N636" s="4">
        <v>232.274</v>
      </c>
      <c r="O636" s="4">
        <v>232.274</v>
      </c>
      <c r="P636" s="4">
        <v>361</v>
      </c>
      <c r="Q636" s="3" t="s">
        <v>26</v>
      </c>
      <c r="R636" s="3">
        <v>0</v>
      </c>
      <c r="S636" s="3" t="s">
        <v>353</v>
      </c>
      <c r="T636" s="3" t="s">
        <v>592</v>
      </c>
      <c r="U636" s="3">
        <v>0</v>
      </c>
      <c r="V636" s="3">
        <v>47</v>
      </c>
      <c r="W636" s="3">
        <v>87</v>
      </c>
    </row>
    <row r="637" spans="1:23" ht="11.25" customHeight="1" x14ac:dyDescent="0.3">
      <c r="A637" s="3" t="s">
        <v>27</v>
      </c>
      <c r="B637" s="3" t="s">
        <v>37</v>
      </c>
      <c r="C637" s="3" t="s">
        <v>23</v>
      </c>
      <c r="D637" s="3" t="s">
        <v>44</v>
      </c>
      <c r="E637" s="3" t="s">
        <v>25</v>
      </c>
      <c r="F637" s="3" t="s">
        <v>25</v>
      </c>
      <c r="G637" s="3" t="s">
        <v>25</v>
      </c>
      <c r="H637" s="3" t="s">
        <v>25</v>
      </c>
      <c r="I637" s="6">
        <v>44593</v>
      </c>
      <c r="J637" s="4">
        <v>0</v>
      </c>
      <c r="K637" s="4">
        <v>0</v>
      </c>
      <c r="L637" s="4">
        <v>1.075</v>
      </c>
      <c r="M637" s="4">
        <v>1.075</v>
      </c>
      <c r="N637" s="4">
        <v>1.075</v>
      </c>
      <c r="O637" s="4">
        <v>1.075</v>
      </c>
      <c r="P637" s="4">
        <v>0</v>
      </c>
      <c r="Q637" s="3" t="s">
        <v>26</v>
      </c>
      <c r="R637" s="3">
        <v>0</v>
      </c>
      <c r="S637" s="3" t="s">
        <v>353</v>
      </c>
      <c r="T637" s="3" t="s">
        <v>592</v>
      </c>
      <c r="U637" s="3">
        <v>0</v>
      </c>
      <c r="V637" s="3">
        <v>47</v>
      </c>
      <c r="W637" s="3">
        <v>87</v>
      </c>
    </row>
    <row r="638" spans="1:23" ht="11.25" customHeight="1" x14ac:dyDescent="0.3">
      <c r="A638" s="3" t="s">
        <v>21</v>
      </c>
      <c r="B638" s="3" t="s">
        <v>37</v>
      </c>
      <c r="C638" s="3" t="s">
        <v>23</v>
      </c>
      <c r="D638" s="3" t="s">
        <v>44</v>
      </c>
      <c r="E638" s="3" t="s">
        <v>25</v>
      </c>
      <c r="F638" s="3" t="s">
        <v>25</v>
      </c>
      <c r="G638" s="3" t="s">
        <v>25</v>
      </c>
      <c r="H638" s="3" t="s">
        <v>25</v>
      </c>
      <c r="I638" s="6">
        <v>44621</v>
      </c>
      <c r="J638" s="4">
        <v>0</v>
      </c>
      <c r="K638" s="4">
        <v>0</v>
      </c>
      <c r="L638" s="4">
        <v>213.52600000000001</v>
      </c>
      <c r="M638" s="4">
        <v>213.52600000000001</v>
      </c>
      <c r="N638" s="4">
        <v>213.52600000000001</v>
      </c>
      <c r="O638" s="4">
        <v>213.52600000000001</v>
      </c>
      <c r="P638" s="4">
        <v>360</v>
      </c>
      <c r="Q638" s="3" t="s">
        <v>26</v>
      </c>
      <c r="R638" s="3">
        <v>0</v>
      </c>
      <c r="S638" s="3" t="s">
        <v>354</v>
      </c>
      <c r="T638" s="3" t="s">
        <v>593</v>
      </c>
      <c r="U638" s="3">
        <v>0</v>
      </c>
      <c r="V638" s="3">
        <v>47</v>
      </c>
      <c r="W638" s="3">
        <v>87</v>
      </c>
    </row>
    <row r="639" spans="1:23" ht="11.25" customHeight="1" x14ac:dyDescent="0.3">
      <c r="A639" s="3" t="s">
        <v>21</v>
      </c>
      <c r="B639" s="3" t="s">
        <v>37</v>
      </c>
      <c r="C639" s="3" t="s">
        <v>23</v>
      </c>
      <c r="D639" s="3" t="s">
        <v>44</v>
      </c>
      <c r="E639" s="3" t="s">
        <v>25</v>
      </c>
      <c r="F639" s="3" t="s">
        <v>25</v>
      </c>
      <c r="G639" s="3" t="s">
        <v>25</v>
      </c>
      <c r="H639" s="3" t="s">
        <v>25</v>
      </c>
      <c r="I639" s="6">
        <v>44652</v>
      </c>
      <c r="J639" s="4">
        <v>0</v>
      </c>
      <c r="K639" s="4">
        <v>0</v>
      </c>
      <c r="L639" s="4">
        <v>144.05799999999999</v>
      </c>
      <c r="M639" s="4">
        <v>144.05799999999999</v>
      </c>
      <c r="N639" s="4">
        <v>144.05799999999999</v>
      </c>
      <c r="O639" s="4">
        <v>144.05799999999999</v>
      </c>
      <c r="P639" s="4">
        <v>358</v>
      </c>
      <c r="Q639" s="3" t="s">
        <v>26</v>
      </c>
      <c r="R639" s="3">
        <v>0</v>
      </c>
      <c r="S639" s="3" t="s">
        <v>355</v>
      </c>
      <c r="T639" s="3" t="s">
        <v>594</v>
      </c>
      <c r="U639" s="3">
        <v>0</v>
      </c>
      <c r="V639" s="3">
        <v>47</v>
      </c>
      <c r="W639" s="3">
        <v>87</v>
      </c>
    </row>
    <row r="640" spans="1:23" ht="11.25" customHeight="1" x14ac:dyDescent="0.3">
      <c r="A640" s="3" t="s">
        <v>21</v>
      </c>
      <c r="B640" s="3" t="s">
        <v>37</v>
      </c>
      <c r="C640" s="3" t="s">
        <v>23</v>
      </c>
      <c r="D640" s="3" t="s">
        <v>44</v>
      </c>
      <c r="E640" s="3" t="s">
        <v>25</v>
      </c>
      <c r="F640" s="3" t="s">
        <v>25</v>
      </c>
      <c r="G640" s="3" t="s">
        <v>25</v>
      </c>
      <c r="H640" s="3" t="s">
        <v>25</v>
      </c>
      <c r="I640" s="6">
        <v>44682</v>
      </c>
      <c r="J640" s="4">
        <v>0</v>
      </c>
      <c r="K640" s="4">
        <v>0</v>
      </c>
      <c r="L640" s="4">
        <v>138.90100000000001</v>
      </c>
      <c r="M640" s="4">
        <v>138.90100000000001</v>
      </c>
      <c r="N640" s="4">
        <v>138.90100000000001</v>
      </c>
      <c r="O640" s="4">
        <v>138.90100000000001</v>
      </c>
      <c r="P640" s="4">
        <v>356</v>
      </c>
      <c r="Q640" s="3" t="s">
        <v>26</v>
      </c>
      <c r="R640" s="3">
        <v>0</v>
      </c>
      <c r="S640" s="3" t="s">
        <v>356</v>
      </c>
      <c r="T640" s="3" t="s">
        <v>595</v>
      </c>
      <c r="U640" s="3">
        <v>0</v>
      </c>
      <c r="V640" s="3">
        <v>47</v>
      </c>
      <c r="W640" s="3">
        <v>87</v>
      </c>
    </row>
    <row r="641" spans="1:23" ht="11.25" customHeight="1" x14ac:dyDescent="0.3">
      <c r="A641" s="3" t="s">
        <v>21</v>
      </c>
      <c r="B641" s="3" t="s">
        <v>37</v>
      </c>
      <c r="C641" s="3" t="s">
        <v>23</v>
      </c>
      <c r="D641" s="3" t="s">
        <v>44</v>
      </c>
      <c r="E641" s="3" t="s">
        <v>25</v>
      </c>
      <c r="F641" s="3" t="s">
        <v>25</v>
      </c>
      <c r="G641" s="3" t="s">
        <v>25</v>
      </c>
      <c r="H641" s="3" t="s">
        <v>25</v>
      </c>
      <c r="I641" s="6">
        <v>44713</v>
      </c>
      <c r="J641" s="4">
        <v>0</v>
      </c>
      <c r="K641" s="4">
        <v>0</v>
      </c>
      <c r="L641" s="4">
        <v>168.69499999999999</v>
      </c>
      <c r="M641" s="4">
        <v>168.69499999999999</v>
      </c>
      <c r="N641" s="4">
        <v>168.69499999999999</v>
      </c>
      <c r="O641" s="4">
        <v>168.69499999999999</v>
      </c>
      <c r="P641" s="4">
        <v>356</v>
      </c>
      <c r="Q641" s="3" t="s">
        <v>26</v>
      </c>
      <c r="R641" s="3">
        <v>0</v>
      </c>
      <c r="S641" s="3" t="s">
        <v>357</v>
      </c>
      <c r="T641" s="3" t="s">
        <v>596</v>
      </c>
      <c r="U641" s="3">
        <v>0</v>
      </c>
      <c r="V641" s="3">
        <v>47</v>
      </c>
      <c r="W641" s="3">
        <v>87</v>
      </c>
    </row>
    <row r="642" spans="1:23" ht="11.25" customHeight="1" x14ac:dyDescent="0.3">
      <c r="A642" s="3" t="s">
        <v>21</v>
      </c>
      <c r="B642" s="3" t="s">
        <v>37</v>
      </c>
      <c r="C642" s="3" t="s">
        <v>23</v>
      </c>
      <c r="D642" s="3" t="s">
        <v>48</v>
      </c>
      <c r="E642" s="3" t="s">
        <v>49</v>
      </c>
      <c r="F642" s="3" t="s">
        <v>25</v>
      </c>
      <c r="G642" s="3" t="s">
        <v>25</v>
      </c>
      <c r="H642" s="3" t="s">
        <v>25</v>
      </c>
      <c r="I642" s="6">
        <v>44378</v>
      </c>
      <c r="J642" s="4">
        <v>0</v>
      </c>
      <c r="K642" s="4">
        <v>0</v>
      </c>
      <c r="L642" s="4">
        <v>74.566999999999993</v>
      </c>
      <c r="M642" s="4">
        <v>70.092979999999983</v>
      </c>
      <c r="N642" s="4">
        <v>74.566999999999993</v>
      </c>
      <c r="O642" s="4">
        <v>70.092979999999983</v>
      </c>
      <c r="P642" s="4">
        <v>29</v>
      </c>
      <c r="Q642" s="3" t="s">
        <v>26</v>
      </c>
      <c r="R642" s="3">
        <v>0</v>
      </c>
      <c r="S642" s="3" t="s">
        <v>346</v>
      </c>
      <c r="T642" s="3" t="s">
        <v>585</v>
      </c>
      <c r="U642" s="3">
        <v>0</v>
      </c>
      <c r="V642" s="3">
        <v>47</v>
      </c>
      <c r="W642" s="3">
        <v>87</v>
      </c>
    </row>
    <row r="643" spans="1:23" ht="11.25" customHeight="1" x14ac:dyDescent="0.3">
      <c r="A643" s="3" t="s">
        <v>21</v>
      </c>
      <c r="B643" s="3" t="s">
        <v>37</v>
      </c>
      <c r="C643" s="3" t="s">
        <v>23</v>
      </c>
      <c r="D643" s="3" t="s">
        <v>48</v>
      </c>
      <c r="E643" s="3" t="s">
        <v>49</v>
      </c>
      <c r="F643" s="3" t="s">
        <v>25</v>
      </c>
      <c r="G643" s="3" t="s">
        <v>25</v>
      </c>
      <c r="H643" s="3" t="s">
        <v>25</v>
      </c>
      <c r="I643" s="6">
        <v>44409</v>
      </c>
      <c r="J643" s="4">
        <v>0</v>
      </c>
      <c r="K643" s="4">
        <v>0</v>
      </c>
      <c r="L643" s="4">
        <v>72.856999999999999</v>
      </c>
      <c r="M643" s="4">
        <v>68.485579999999999</v>
      </c>
      <c r="N643" s="4">
        <v>72.856999999999999</v>
      </c>
      <c r="O643" s="4">
        <v>68.485579999999999</v>
      </c>
      <c r="P643" s="4">
        <v>29</v>
      </c>
      <c r="Q643" s="3" t="s">
        <v>26</v>
      </c>
      <c r="R643" s="3">
        <v>0</v>
      </c>
      <c r="S643" s="3" t="s">
        <v>347</v>
      </c>
      <c r="T643" s="3" t="s">
        <v>586</v>
      </c>
      <c r="U643" s="3">
        <v>0</v>
      </c>
      <c r="V643" s="3">
        <v>47</v>
      </c>
      <c r="W643" s="3">
        <v>87</v>
      </c>
    </row>
    <row r="644" spans="1:23" ht="11.25" customHeight="1" x14ac:dyDescent="0.3">
      <c r="A644" s="3" t="s">
        <v>21</v>
      </c>
      <c r="B644" s="3" t="s">
        <v>37</v>
      </c>
      <c r="C644" s="3" t="s">
        <v>23</v>
      </c>
      <c r="D644" s="3" t="s">
        <v>48</v>
      </c>
      <c r="E644" s="3" t="s">
        <v>49</v>
      </c>
      <c r="F644" s="3" t="s">
        <v>25</v>
      </c>
      <c r="G644" s="3" t="s">
        <v>25</v>
      </c>
      <c r="H644" s="3" t="s">
        <v>25</v>
      </c>
      <c r="I644" s="6">
        <v>44440</v>
      </c>
      <c r="J644" s="4">
        <v>0</v>
      </c>
      <c r="K644" s="4">
        <v>0</v>
      </c>
      <c r="L644" s="4">
        <v>73.664000000000001</v>
      </c>
      <c r="M644" s="4">
        <v>69.244159999999994</v>
      </c>
      <c r="N644" s="4">
        <v>73.664000000000001</v>
      </c>
      <c r="O644" s="4">
        <v>69.244159999999994</v>
      </c>
      <c r="P644" s="4">
        <v>29</v>
      </c>
      <c r="Q644" s="3" t="s">
        <v>26</v>
      </c>
      <c r="R644" s="3">
        <v>0</v>
      </c>
      <c r="S644" s="3" t="s">
        <v>348</v>
      </c>
      <c r="T644" s="3" t="s">
        <v>587</v>
      </c>
      <c r="U644" s="3">
        <v>0</v>
      </c>
      <c r="V644" s="3">
        <v>47</v>
      </c>
      <c r="W644" s="3">
        <v>87</v>
      </c>
    </row>
    <row r="645" spans="1:23" ht="11.25" customHeight="1" x14ac:dyDescent="0.3">
      <c r="A645" s="3" t="s">
        <v>21</v>
      </c>
      <c r="B645" s="3" t="s">
        <v>37</v>
      </c>
      <c r="C645" s="3" t="s">
        <v>23</v>
      </c>
      <c r="D645" s="3" t="s">
        <v>48</v>
      </c>
      <c r="E645" s="3" t="s">
        <v>49</v>
      </c>
      <c r="F645" s="3" t="s">
        <v>25</v>
      </c>
      <c r="G645" s="3" t="s">
        <v>25</v>
      </c>
      <c r="H645" s="3" t="s">
        <v>25</v>
      </c>
      <c r="I645" s="6">
        <v>44470</v>
      </c>
      <c r="J645" s="4">
        <v>0</v>
      </c>
      <c r="K645" s="4">
        <v>0</v>
      </c>
      <c r="L645" s="4">
        <v>76.557000000000002</v>
      </c>
      <c r="M645" s="4">
        <v>71.963579999999993</v>
      </c>
      <c r="N645" s="4">
        <v>76.557000000000002</v>
      </c>
      <c r="O645" s="4">
        <v>71.963579999999993</v>
      </c>
      <c r="P645" s="4">
        <v>29</v>
      </c>
      <c r="Q645" s="3" t="s">
        <v>26</v>
      </c>
      <c r="R645" s="3">
        <v>0</v>
      </c>
      <c r="S645" s="3" t="s">
        <v>349</v>
      </c>
      <c r="T645" s="3" t="s">
        <v>588</v>
      </c>
      <c r="U645" s="3">
        <v>0</v>
      </c>
      <c r="V645" s="3">
        <v>47</v>
      </c>
      <c r="W645" s="3">
        <v>87</v>
      </c>
    </row>
    <row r="646" spans="1:23" ht="11.25" customHeight="1" x14ac:dyDescent="0.3">
      <c r="A646" s="3" t="s">
        <v>21</v>
      </c>
      <c r="B646" s="3" t="s">
        <v>37</v>
      </c>
      <c r="C646" s="3" t="s">
        <v>23</v>
      </c>
      <c r="D646" s="3" t="s">
        <v>48</v>
      </c>
      <c r="E646" s="3" t="s">
        <v>49</v>
      </c>
      <c r="F646" s="3" t="s">
        <v>25</v>
      </c>
      <c r="G646" s="3" t="s">
        <v>25</v>
      </c>
      <c r="H646" s="3" t="s">
        <v>25</v>
      </c>
      <c r="I646" s="6">
        <v>44501</v>
      </c>
      <c r="J646" s="4">
        <v>0</v>
      </c>
      <c r="K646" s="4">
        <v>0</v>
      </c>
      <c r="L646" s="4">
        <v>71.665999999999997</v>
      </c>
      <c r="M646" s="4">
        <v>67.366039999999998</v>
      </c>
      <c r="N646" s="4">
        <v>71.665999999999997</v>
      </c>
      <c r="O646" s="4">
        <v>67.366039999999998</v>
      </c>
      <c r="P646" s="4">
        <v>30</v>
      </c>
      <c r="Q646" s="3" t="s">
        <v>26</v>
      </c>
      <c r="R646" s="3">
        <v>0</v>
      </c>
      <c r="S646" s="3" t="s">
        <v>350</v>
      </c>
      <c r="T646" s="3" t="s">
        <v>589</v>
      </c>
      <c r="U646" s="3">
        <v>0</v>
      </c>
      <c r="V646" s="3">
        <v>47</v>
      </c>
      <c r="W646" s="3">
        <v>87</v>
      </c>
    </row>
    <row r="647" spans="1:23" ht="11.25" customHeight="1" x14ac:dyDescent="0.3">
      <c r="A647" s="3" t="s">
        <v>21</v>
      </c>
      <c r="B647" s="3" t="s">
        <v>37</v>
      </c>
      <c r="C647" s="3" t="s">
        <v>23</v>
      </c>
      <c r="D647" s="3" t="s">
        <v>48</v>
      </c>
      <c r="E647" s="3" t="s">
        <v>49</v>
      </c>
      <c r="F647" s="3" t="s">
        <v>25</v>
      </c>
      <c r="G647" s="3" t="s">
        <v>25</v>
      </c>
      <c r="H647" s="3" t="s">
        <v>25</v>
      </c>
      <c r="I647" s="6">
        <v>44531</v>
      </c>
      <c r="J647" s="4">
        <v>0</v>
      </c>
      <c r="K647" s="4">
        <v>0</v>
      </c>
      <c r="L647" s="4">
        <v>79.037000000000006</v>
      </c>
      <c r="M647" s="4">
        <v>74.294780000000003</v>
      </c>
      <c r="N647" s="4">
        <v>79.037000000000006</v>
      </c>
      <c r="O647" s="4">
        <v>74.294780000000003</v>
      </c>
      <c r="P647" s="4">
        <v>30</v>
      </c>
      <c r="Q647" s="3" t="s">
        <v>26</v>
      </c>
      <c r="R647" s="3">
        <v>0</v>
      </c>
      <c r="S647" s="3" t="s">
        <v>351</v>
      </c>
      <c r="T647" s="3" t="s">
        <v>590</v>
      </c>
      <c r="U647" s="3">
        <v>0</v>
      </c>
      <c r="V647" s="3">
        <v>47</v>
      </c>
      <c r="W647" s="3">
        <v>87</v>
      </c>
    </row>
    <row r="648" spans="1:23" ht="11.25" customHeight="1" x14ac:dyDescent="0.3">
      <c r="A648" s="3" t="s">
        <v>21</v>
      </c>
      <c r="B648" s="3" t="s">
        <v>37</v>
      </c>
      <c r="C648" s="3" t="s">
        <v>23</v>
      </c>
      <c r="D648" s="3" t="s">
        <v>48</v>
      </c>
      <c r="E648" s="3" t="s">
        <v>49</v>
      </c>
      <c r="F648" s="3" t="s">
        <v>25</v>
      </c>
      <c r="G648" s="3" t="s">
        <v>25</v>
      </c>
      <c r="H648" s="3" t="s">
        <v>25</v>
      </c>
      <c r="I648" s="6">
        <v>44562</v>
      </c>
      <c r="J648" s="4">
        <v>0</v>
      </c>
      <c r="K648" s="4">
        <v>0</v>
      </c>
      <c r="L648" s="4">
        <v>82.933000000000007</v>
      </c>
      <c r="M648" s="4">
        <v>77.95702</v>
      </c>
      <c r="N648" s="4">
        <v>82.933000000000007</v>
      </c>
      <c r="O648" s="4">
        <v>77.95702</v>
      </c>
      <c r="P648" s="4">
        <v>31</v>
      </c>
      <c r="Q648" s="3" t="s">
        <v>26</v>
      </c>
      <c r="R648" s="3">
        <v>0</v>
      </c>
      <c r="S648" s="3" t="s">
        <v>352</v>
      </c>
      <c r="T648" s="3" t="s">
        <v>591</v>
      </c>
      <c r="U648" s="3">
        <v>0</v>
      </c>
      <c r="V648" s="3">
        <v>47</v>
      </c>
      <c r="W648" s="3">
        <v>87</v>
      </c>
    </row>
    <row r="649" spans="1:23" ht="11.25" customHeight="1" x14ac:dyDescent="0.3">
      <c r="A649" s="3" t="s">
        <v>21</v>
      </c>
      <c r="B649" s="3" t="s">
        <v>37</v>
      </c>
      <c r="C649" s="3" t="s">
        <v>23</v>
      </c>
      <c r="D649" s="3" t="s">
        <v>48</v>
      </c>
      <c r="E649" s="3" t="s">
        <v>49</v>
      </c>
      <c r="F649" s="3" t="s">
        <v>25</v>
      </c>
      <c r="G649" s="3" t="s">
        <v>25</v>
      </c>
      <c r="H649" s="3" t="s">
        <v>25</v>
      </c>
      <c r="I649" s="6">
        <v>44593</v>
      </c>
      <c r="J649" s="4">
        <v>0</v>
      </c>
      <c r="K649" s="4">
        <v>0</v>
      </c>
      <c r="L649" s="4">
        <v>102.13200000000001</v>
      </c>
      <c r="M649" s="4">
        <v>96.004080000000002</v>
      </c>
      <c r="N649" s="4">
        <v>102.13200000000001</v>
      </c>
      <c r="O649" s="4">
        <v>96.004080000000002</v>
      </c>
      <c r="P649" s="4">
        <v>31</v>
      </c>
      <c r="Q649" s="3" t="s">
        <v>26</v>
      </c>
      <c r="R649" s="3">
        <v>0</v>
      </c>
      <c r="S649" s="3" t="s">
        <v>353</v>
      </c>
      <c r="T649" s="3" t="s">
        <v>592</v>
      </c>
      <c r="U649" s="3">
        <v>0</v>
      </c>
      <c r="V649" s="3">
        <v>47</v>
      </c>
      <c r="W649" s="3">
        <v>87</v>
      </c>
    </row>
    <row r="650" spans="1:23" ht="11.25" customHeight="1" x14ac:dyDescent="0.3">
      <c r="A650" s="3" t="s">
        <v>27</v>
      </c>
      <c r="B650" s="3" t="s">
        <v>37</v>
      </c>
      <c r="C650" s="3" t="s">
        <v>23</v>
      </c>
      <c r="D650" s="3" t="s">
        <v>48</v>
      </c>
      <c r="E650" s="3" t="s">
        <v>49</v>
      </c>
      <c r="F650" s="3" t="s">
        <v>25</v>
      </c>
      <c r="G650" s="3" t="s">
        <v>25</v>
      </c>
      <c r="H650" s="3" t="s">
        <v>25</v>
      </c>
      <c r="I650" s="6">
        <v>44593</v>
      </c>
      <c r="J650" s="4">
        <v>0</v>
      </c>
      <c r="K650" s="4">
        <v>0</v>
      </c>
      <c r="L650" s="4">
        <v>0.69399999999999995</v>
      </c>
      <c r="M650" s="4">
        <v>0.65235999999999994</v>
      </c>
      <c r="N650" s="4">
        <v>0.69399999999999995</v>
      </c>
      <c r="O650" s="4">
        <v>0.65235999999999994</v>
      </c>
      <c r="P650" s="4">
        <v>0</v>
      </c>
      <c r="Q650" s="3" t="s">
        <v>26</v>
      </c>
      <c r="R650" s="3">
        <v>0</v>
      </c>
      <c r="S650" s="3" t="s">
        <v>353</v>
      </c>
      <c r="T650" s="3" t="s">
        <v>592</v>
      </c>
      <c r="U650" s="3">
        <v>0</v>
      </c>
      <c r="V650" s="3">
        <v>47</v>
      </c>
      <c r="W650" s="3">
        <v>87</v>
      </c>
    </row>
    <row r="651" spans="1:23" ht="11.25" customHeight="1" x14ac:dyDescent="0.3">
      <c r="A651" s="3" t="s">
        <v>21</v>
      </c>
      <c r="B651" s="3" t="s">
        <v>37</v>
      </c>
      <c r="C651" s="3" t="s">
        <v>23</v>
      </c>
      <c r="D651" s="3" t="s">
        <v>48</v>
      </c>
      <c r="E651" s="3" t="s">
        <v>49</v>
      </c>
      <c r="F651" s="3" t="s">
        <v>25</v>
      </c>
      <c r="G651" s="3" t="s">
        <v>25</v>
      </c>
      <c r="H651" s="3" t="s">
        <v>25</v>
      </c>
      <c r="I651" s="6">
        <v>44621</v>
      </c>
      <c r="J651" s="4">
        <v>0</v>
      </c>
      <c r="K651" s="4">
        <v>0</v>
      </c>
      <c r="L651" s="4">
        <v>94.444000000000003</v>
      </c>
      <c r="M651" s="4">
        <v>88.777360000000002</v>
      </c>
      <c r="N651" s="4">
        <v>94.444000000000003</v>
      </c>
      <c r="O651" s="4">
        <v>88.777360000000002</v>
      </c>
      <c r="P651" s="4">
        <v>31</v>
      </c>
      <c r="Q651" s="3" t="s">
        <v>26</v>
      </c>
      <c r="R651" s="3">
        <v>0</v>
      </c>
      <c r="S651" s="3" t="s">
        <v>354</v>
      </c>
      <c r="T651" s="3" t="s">
        <v>593</v>
      </c>
      <c r="U651" s="3">
        <v>0</v>
      </c>
      <c r="V651" s="3">
        <v>47</v>
      </c>
      <c r="W651" s="3">
        <v>87</v>
      </c>
    </row>
    <row r="652" spans="1:23" ht="11.25" customHeight="1" x14ac:dyDescent="0.3">
      <c r="A652" s="3" t="s">
        <v>21</v>
      </c>
      <c r="B652" s="3" t="s">
        <v>37</v>
      </c>
      <c r="C652" s="3" t="s">
        <v>23</v>
      </c>
      <c r="D652" s="3" t="s">
        <v>48</v>
      </c>
      <c r="E652" s="3" t="s">
        <v>49</v>
      </c>
      <c r="F652" s="3" t="s">
        <v>25</v>
      </c>
      <c r="G652" s="3" t="s">
        <v>25</v>
      </c>
      <c r="H652" s="3" t="s">
        <v>25</v>
      </c>
      <c r="I652" s="6">
        <v>44652</v>
      </c>
      <c r="J652" s="4">
        <v>0</v>
      </c>
      <c r="K652" s="4">
        <v>0</v>
      </c>
      <c r="L652" s="4">
        <v>81.756</v>
      </c>
      <c r="M652" s="4">
        <v>76.850639999999999</v>
      </c>
      <c r="N652" s="4">
        <v>81.756</v>
      </c>
      <c r="O652" s="4">
        <v>76.850639999999999</v>
      </c>
      <c r="P652" s="4">
        <v>31</v>
      </c>
      <c r="Q652" s="3" t="s">
        <v>26</v>
      </c>
      <c r="R652" s="3">
        <v>0</v>
      </c>
      <c r="S652" s="3" t="s">
        <v>355</v>
      </c>
      <c r="T652" s="3" t="s">
        <v>594</v>
      </c>
      <c r="U652" s="3">
        <v>0</v>
      </c>
      <c r="V652" s="3">
        <v>47</v>
      </c>
      <c r="W652" s="3">
        <v>87</v>
      </c>
    </row>
    <row r="653" spans="1:23" ht="11.25" customHeight="1" x14ac:dyDescent="0.3">
      <c r="A653" s="3" t="s">
        <v>21</v>
      </c>
      <c r="B653" s="3" t="s">
        <v>37</v>
      </c>
      <c r="C653" s="3" t="s">
        <v>23</v>
      </c>
      <c r="D653" s="3" t="s">
        <v>48</v>
      </c>
      <c r="E653" s="3" t="s">
        <v>49</v>
      </c>
      <c r="F653" s="3" t="s">
        <v>25</v>
      </c>
      <c r="G653" s="3" t="s">
        <v>25</v>
      </c>
      <c r="H653" s="3" t="s">
        <v>25</v>
      </c>
      <c r="I653" s="6">
        <v>44682</v>
      </c>
      <c r="J653" s="4">
        <v>0</v>
      </c>
      <c r="K653" s="4">
        <v>0</v>
      </c>
      <c r="L653" s="4">
        <v>80.668999999999997</v>
      </c>
      <c r="M653" s="4">
        <v>75.828859999999992</v>
      </c>
      <c r="N653" s="4">
        <v>80.668999999999997</v>
      </c>
      <c r="O653" s="4">
        <v>75.828859999999992</v>
      </c>
      <c r="P653" s="4">
        <v>32</v>
      </c>
      <c r="Q653" s="3" t="s">
        <v>26</v>
      </c>
      <c r="R653" s="3">
        <v>0</v>
      </c>
      <c r="S653" s="3" t="s">
        <v>356</v>
      </c>
      <c r="T653" s="3" t="s">
        <v>595</v>
      </c>
      <c r="U653" s="3">
        <v>0</v>
      </c>
      <c r="V653" s="3">
        <v>47</v>
      </c>
      <c r="W653" s="3">
        <v>87</v>
      </c>
    </row>
    <row r="654" spans="1:23" ht="11.25" customHeight="1" x14ac:dyDescent="0.3">
      <c r="A654" s="3" t="s">
        <v>21</v>
      </c>
      <c r="B654" s="3" t="s">
        <v>37</v>
      </c>
      <c r="C654" s="3" t="s">
        <v>23</v>
      </c>
      <c r="D654" s="3" t="s">
        <v>48</v>
      </c>
      <c r="E654" s="3" t="s">
        <v>49</v>
      </c>
      <c r="F654" s="3" t="s">
        <v>25</v>
      </c>
      <c r="G654" s="3" t="s">
        <v>25</v>
      </c>
      <c r="H654" s="3" t="s">
        <v>25</v>
      </c>
      <c r="I654" s="6">
        <v>44713</v>
      </c>
      <c r="J654" s="4">
        <v>0</v>
      </c>
      <c r="K654" s="4">
        <v>0</v>
      </c>
      <c r="L654" s="4">
        <v>77.650999999999996</v>
      </c>
      <c r="M654" s="4">
        <v>72.991939999999985</v>
      </c>
      <c r="N654" s="4">
        <v>77.650999999999996</v>
      </c>
      <c r="O654" s="4">
        <v>72.991939999999985</v>
      </c>
      <c r="P654" s="4">
        <v>32</v>
      </c>
      <c r="Q654" s="3" t="s">
        <v>26</v>
      </c>
      <c r="R654" s="3">
        <v>0</v>
      </c>
      <c r="S654" s="3" t="s">
        <v>357</v>
      </c>
      <c r="T654" s="3" t="s">
        <v>596</v>
      </c>
      <c r="U654" s="3">
        <v>0</v>
      </c>
      <c r="V654" s="3">
        <v>47</v>
      </c>
      <c r="W654" s="3">
        <v>87</v>
      </c>
    </row>
    <row r="655" spans="1:23" ht="11.25" customHeight="1" x14ac:dyDescent="0.3">
      <c r="A655" s="3" t="s">
        <v>21</v>
      </c>
      <c r="B655" s="3" t="s">
        <v>45</v>
      </c>
      <c r="C655" s="3" t="s">
        <v>23</v>
      </c>
      <c r="D655" s="3" t="s">
        <v>46</v>
      </c>
      <c r="E655" s="3" t="s">
        <v>47</v>
      </c>
      <c r="F655" s="3" t="s">
        <v>25</v>
      </c>
      <c r="G655" s="3" t="s">
        <v>25</v>
      </c>
      <c r="H655" s="3" t="s">
        <v>25</v>
      </c>
      <c r="I655" s="6">
        <v>44378</v>
      </c>
      <c r="J655" s="4">
        <v>0</v>
      </c>
      <c r="K655" s="4">
        <v>0</v>
      </c>
      <c r="L655" s="4">
        <v>364.88</v>
      </c>
      <c r="M655" s="4">
        <v>364.88</v>
      </c>
      <c r="N655" s="4">
        <v>364.88</v>
      </c>
      <c r="O655" s="4">
        <v>364.88</v>
      </c>
      <c r="P655" s="4">
        <v>24</v>
      </c>
      <c r="Q655" s="3" t="s">
        <v>26</v>
      </c>
      <c r="R655" s="3">
        <v>0</v>
      </c>
      <c r="S655" s="3" t="s">
        <v>358</v>
      </c>
      <c r="T655" s="3" t="s">
        <v>597</v>
      </c>
      <c r="U655" s="3">
        <v>0</v>
      </c>
      <c r="V655" s="3">
        <v>49</v>
      </c>
      <c r="W655" s="3">
        <v>89</v>
      </c>
    </row>
    <row r="656" spans="1:23" ht="11.25" customHeight="1" x14ac:dyDescent="0.3">
      <c r="A656" s="3" t="s">
        <v>21</v>
      </c>
      <c r="B656" s="3" t="s">
        <v>45</v>
      </c>
      <c r="C656" s="3" t="s">
        <v>23</v>
      </c>
      <c r="D656" s="3" t="s">
        <v>46</v>
      </c>
      <c r="E656" s="3" t="s">
        <v>47</v>
      </c>
      <c r="F656" s="3" t="s">
        <v>25</v>
      </c>
      <c r="G656" s="3" t="s">
        <v>25</v>
      </c>
      <c r="H656" s="3" t="s">
        <v>25</v>
      </c>
      <c r="I656" s="6">
        <v>44409</v>
      </c>
      <c r="J656" s="4">
        <v>0</v>
      </c>
      <c r="K656" s="4">
        <v>0</v>
      </c>
      <c r="L656" s="4">
        <v>368.59399999999999</v>
      </c>
      <c r="M656" s="4">
        <v>368.59399999999999</v>
      </c>
      <c r="N656" s="4">
        <v>368.59399999999999</v>
      </c>
      <c r="O656" s="4">
        <v>368.59399999999999</v>
      </c>
      <c r="P656" s="4">
        <v>24</v>
      </c>
      <c r="Q656" s="3" t="s">
        <v>26</v>
      </c>
      <c r="R656" s="3">
        <v>0</v>
      </c>
      <c r="S656" s="3" t="s">
        <v>359</v>
      </c>
      <c r="T656" s="3" t="s">
        <v>598</v>
      </c>
      <c r="U656" s="3">
        <v>0</v>
      </c>
      <c r="V656" s="3">
        <v>49</v>
      </c>
      <c r="W656" s="3">
        <v>89</v>
      </c>
    </row>
    <row r="657" spans="1:23" ht="11.25" customHeight="1" x14ac:dyDescent="0.3">
      <c r="A657" s="3" t="s">
        <v>21</v>
      </c>
      <c r="B657" s="3" t="s">
        <v>45</v>
      </c>
      <c r="C657" s="3" t="s">
        <v>23</v>
      </c>
      <c r="D657" s="3" t="s">
        <v>46</v>
      </c>
      <c r="E657" s="3" t="s">
        <v>47</v>
      </c>
      <c r="F657" s="3" t="s">
        <v>25</v>
      </c>
      <c r="G657" s="3" t="s">
        <v>25</v>
      </c>
      <c r="H657" s="3" t="s">
        <v>25</v>
      </c>
      <c r="I657" s="6">
        <v>44440</v>
      </c>
      <c r="J657" s="4">
        <v>0</v>
      </c>
      <c r="K657" s="4">
        <v>0</v>
      </c>
      <c r="L657" s="4">
        <v>356.62299999999999</v>
      </c>
      <c r="M657" s="4">
        <v>356.62299999999999</v>
      </c>
      <c r="N657" s="4">
        <v>356.62299999999999</v>
      </c>
      <c r="O657" s="4">
        <v>356.62299999999999</v>
      </c>
      <c r="P657" s="4">
        <v>24</v>
      </c>
      <c r="Q657" s="3" t="s">
        <v>26</v>
      </c>
      <c r="R657" s="3">
        <v>0</v>
      </c>
      <c r="S657" s="3" t="s">
        <v>360</v>
      </c>
      <c r="T657" s="3" t="s">
        <v>599</v>
      </c>
      <c r="U657" s="3">
        <v>0</v>
      </c>
      <c r="V657" s="3">
        <v>49</v>
      </c>
      <c r="W657" s="3">
        <v>89</v>
      </c>
    </row>
    <row r="658" spans="1:23" ht="11.25" customHeight="1" x14ac:dyDescent="0.3">
      <c r="A658" s="3" t="s">
        <v>21</v>
      </c>
      <c r="B658" s="3" t="s">
        <v>45</v>
      </c>
      <c r="C658" s="3" t="s">
        <v>23</v>
      </c>
      <c r="D658" s="3" t="s">
        <v>46</v>
      </c>
      <c r="E658" s="3" t="s">
        <v>47</v>
      </c>
      <c r="F658" s="3" t="s">
        <v>25</v>
      </c>
      <c r="G658" s="3" t="s">
        <v>25</v>
      </c>
      <c r="H658" s="3" t="s">
        <v>25</v>
      </c>
      <c r="I658" s="6">
        <v>44470</v>
      </c>
      <c r="J658" s="4">
        <v>0</v>
      </c>
      <c r="K658" s="4">
        <v>0</v>
      </c>
      <c r="L658" s="4">
        <v>364.07400000000001</v>
      </c>
      <c r="M658" s="4">
        <v>364.07400000000001</v>
      </c>
      <c r="N658" s="4">
        <v>364.07400000000001</v>
      </c>
      <c r="O658" s="4">
        <v>364.07400000000001</v>
      </c>
      <c r="P658" s="4">
        <v>24</v>
      </c>
      <c r="Q658" s="3" t="s">
        <v>26</v>
      </c>
      <c r="R658" s="3">
        <v>0</v>
      </c>
      <c r="S658" s="3" t="s">
        <v>361</v>
      </c>
      <c r="T658" s="3" t="s">
        <v>600</v>
      </c>
      <c r="U658" s="3">
        <v>0</v>
      </c>
      <c r="V658" s="3">
        <v>49</v>
      </c>
      <c r="W658" s="3">
        <v>89</v>
      </c>
    </row>
    <row r="659" spans="1:23" ht="11.25" customHeight="1" x14ac:dyDescent="0.3">
      <c r="A659" s="3" t="s">
        <v>21</v>
      </c>
      <c r="B659" s="3" t="s">
        <v>45</v>
      </c>
      <c r="C659" s="3" t="s">
        <v>23</v>
      </c>
      <c r="D659" s="3" t="s">
        <v>46</v>
      </c>
      <c r="E659" s="3" t="s">
        <v>47</v>
      </c>
      <c r="F659" s="3" t="s">
        <v>25</v>
      </c>
      <c r="G659" s="3" t="s">
        <v>25</v>
      </c>
      <c r="H659" s="3" t="s">
        <v>25</v>
      </c>
      <c r="I659" s="6">
        <v>44501</v>
      </c>
      <c r="J659" s="4">
        <v>0</v>
      </c>
      <c r="K659" s="4">
        <v>0</v>
      </c>
      <c r="L659" s="4">
        <v>351.61599999999999</v>
      </c>
      <c r="M659" s="4">
        <v>351.61599999999999</v>
      </c>
      <c r="N659" s="4">
        <v>351.61599999999999</v>
      </c>
      <c r="O659" s="4">
        <v>351.61599999999999</v>
      </c>
      <c r="P659" s="4">
        <v>24</v>
      </c>
      <c r="Q659" s="3" t="s">
        <v>26</v>
      </c>
      <c r="R659" s="3">
        <v>0</v>
      </c>
      <c r="S659" s="3" t="s">
        <v>362</v>
      </c>
      <c r="T659" s="3" t="s">
        <v>601</v>
      </c>
      <c r="U659" s="3">
        <v>0</v>
      </c>
      <c r="V659" s="3">
        <v>49</v>
      </c>
      <c r="W659" s="3">
        <v>89</v>
      </c>
    </row>
    <row r="660" spans="1:23" ht="11.25" customHeight="1" x14ac:dyDescent="0.3">
      <c r="A660" s="3" t="s">
        <v>21</v>
      </c>
      <c r="B660" s="3" t="s">
        <v>45</v>
      </c>
      <c r="C660" s="3" t="s">
        <v>23</v>
      </c>
      <c r="D660" s="3" t="s">
        <v>46</v>
      </c>
      <c r="E660" s="3" t="s">
        <v>47</v>
      </c>
      <c r="F660" s="3" t="s">
        <v>25</v>
      </c>
      <c r="G660" s="3" t="s">
        <v>25</v>
      </c>
      <c r="H660" s="3" t="s">
        <v>25</v>
      </c>
      <c r="I660" s="6">
        <v>44531</v>
      </c>
      <c r="J660" s="4">
        <v>0</v>
      </c>
      <c r="K660" s="4">
        <v>0</v>
      </c>
      <c r="L660" s="4">
        <v>362.399</v>
      </c>
      <c r="M660" s="4">
        <v>362.399</v>
      </c>
      <c r="N660" s="4">
        <v>362.399</v>
      </c>
      <c r="O660" s="4">
        <v>362.399</v>
      </c>
      <c r="P660" s="4">
        <v>24</v>
      </c>
      <c r="Q660" s="3" t="s">
        <v>26</v>
      </c>
      <c r="R660" s="3">
        <v>0</v>
      </c>
      <c r="S660" s="3" t="s">
        <v>363</v>
      </c>
      <c r="T660" s="3" t="s">
        <v>602</v>
      </c>
      <c r="U660" s="3">
        <v>0</v>
      </c>
      <c r="V660" s="3">
        <v>49</v>
      </c>
      <c r="W660" s="3">
        <v>89</v>
      </c>
    </row>
    <row r="661" spans="1:23" ht="11.25" customHeight="1" x14ac:dyDescent="0.3">
      <c r="A661" s="3" t="s">
        <v>21</v>
      </c>
      <c r="B661" s="3" t="s">
        <v>45</v>
      </c>
      <c r="C661" s="3" t="s">
        <v>23</v>
      </c>
      <c r="D661" s="3" t="s">
        <v>46</v>
      </c>
      <c r="E661" s="3" t="s">
        <v>47</v>
      </c>
      <c r="F661" s="3" t="s">
        <v>25</v>
      </c>
      <c r="G661" s="3" t="s">
        <v>25</v>
      </c>
      <c r="H661" s="3" t="s">
        <v>25</v>
      </c>
      <c r="I661" s="6">
        <v>44562</v>
      </c>
      <c r="J661" s="4">
        <v>0</v>
      </c>
      <c r="K661" s="4">
        <v>0</v>
      </c>
      <c r="L661" s="4">
        <v>362.43400000000003</v>
      </c>
      <c r="M661" s="4">
        <v>362.43400000000003</v>
      </c>
      <c r="N661" s="4">
        <v>362.43400000000003</v>
      </c>
      <c r="O661" s="4">
        <v>362.43400000000003</v>
      </c>
      <c r="P661" s="4">
        <v>24</v>
      </c>
      <c r="Q661" s="3" t="s">
        <v>26</v>
      </c>
      <c r="R661" s="3">
        <v>0</v>
      </c>
      <c r="S661" s="3" t="s">
        <v>364</v>
      </c>
      <c r="T661" s="3" t="s">
        <v>603</v>
      </c>
      <c r="U661" s="3">
        <v>0</v>
      </c>
      <c r="V661" s="3">
        <v>49</v>
      </c>
      <c r="W661" s="3">
        <v>89</v>
      </c>
    </row>
    <row r="662" spans="1:23" ht="11.25" customHeight="1" x14ac:dyDescent="0.3">
      <c r="A662" s="3" t="s">
        <v>21</v>
      </c>
      <c r="B662" s="3" t="s">
        <v>45</v>
      </c>
      <c r="C662" s="3" t="s">
        <v>23</v>
      </c>
      <c r="D662" s="3" t="s">
        <v>46</v>
      </c>
      <c r="E662" s="3" t="s">
        <v>47</v>
      </c>
      <c r="F662" s="3" t="s">
        <v>25</v>
      </c>
      <c r="G662" s="3" t="s">
        <v>25</v>
      </c>
      <c r="H662" s="3" t="s">
        <v>25</v>
      </c>
      <c r="I662" s="6">
        <v>44593</v>
      </c>
      <c r="J662" s="4">
        <v>0</v>
      </c>
      <c r="K662" s="4">
        <v>0</v>
      </c>
      <c r="L662" s="4">
        <v>329.58800000000002</v>
      </c>
      <c r="M662" s="4">
        <v>329.58800000000002</v>
      </c>
      <c r="N662" s="4">
        <v>329.58800000000002</v>
      </c>
      <c r="O662" s="4">
        <v>329.58800000000002</v>
      </c>
      <c r="P662" s="4">
        <v>24</v>
      </c>
      <c r="Q662" s="3" t="s">
        <v>26</v>
      </c>
      <c r="R662" s="3">
        <v>0</v>
      </c>
      <c r="S662" s="3" t="s">
        <v>365</v>
      </c>
      <c r="T662" s="3" t="s">
        <v>604</v>
      </c>
      <c r="U662" s="3">
        <v>0</v>
      </c>
      <c r="V662" s="3">
        <v>49</v>
      </c>
      <c r="W662" s="3">
        <v>89</v>
      </c>
    </row>
    <row r="663" spans="1:23" ht="11.25" customHeight="1" x14ac:dyDescent="0.3">
      <c r="A663" s="3" t="s">
        <v>21</v>
      </c>
      <c r="B663" s="3" t="s">
        <v>45</v>
      </c>
      <c r="C663" s="3" t="s">
        <v>23</v>
      </c>
      <c r="D663" s="3" t="s">
        <v>46</v>
      </c>
      <c r="E663" s="3" t="s">
        <v>47</v>
      </c>
      <c r="F663" s="3" t="s">
        <v>25</v>
      </c>
      <c r="G663" s="3" t="s">
        <v>25</v>
      </c>
      <c r="H663" s="3" t="s">
        <v>25</v>
      </c>
      <c r="I663" s="6">
        <v>44621</v>
      </c>
      <c r="J663" s="4">
        <v>0</v>
      </c>
      <c r="K663" s="4">
        <v>0</v>
      </c>
      <c r="L663" s="4">
        <v>379.38499999999999</v>
      </c>
      <c r="M663" s="4">
        <v>379.38499999999999</v>
      </c>
      <c r="N663" s="4">
        <v>379.38499999999999</v>
      </c>
      <c r="O663" s="4">
        <v>379.38499999999999</v>
      </c>
      <c r="P663" s="4">
        <v>24</v>
      </c>
      <c r="Q663" s="3" t="s">
        <v>26</v>
      </c>
      <c r="R663" s="3">
        <v>0</v>
      </c>
      <c r="S663" s="3" t="s">
        <v>366</v>
      </c>
      <c r="T663" s="3" t="s">
        <v>605</v>
      </c>
      <c r="U663" s="3">
        <v>0</v>
      </c>
      <c r="V663" s="3">
        <v>49</v>
      </c>
      <c r="W663" s="3">
        <v>89</v>
      </c>
    </row>
    <row r="664" spans="1:23" ht="11.25" customHeight="1" x14ac:dyDescent="0.3">
      <c r="A664" s="3" t="s">
        <v>27</v>
      </c>
      <c r="B664" s="3" t="s">
        <v>45</v>
      </c>
      <c r="C664" s="3" t="s">
        <v>23</v>
      </c>
      <c r="D664" s="3" t="s">
        <v>46</v>
      </c>
      <c r="E664" s="3" t="s">
        <v>47</v>
      </c>
      <c r="F664" s="3" t="s">
        <v>25</v>
      </c>
      <c r="G664" s="3" t="s">
        <v>25</v>
      </c>
      <c r="H664" s="3" t="s">
        <v>25</v>
      </c>
      <c r="I664" s="6">
        <v>44621</v>
      </c>
      <c r="J664" s="4">
        <v>0</v>
      </c>
      <c r="K664" s="4">
        <v>0</v>
      </c>
      <c r="L664" s="4">
        <v>4.008</v>
      </c>
      <c r="M664" s="4">
        <v>4.008</v>
      </c>
      <c r="N664" s="4">
        <v>4.008</v>
      </c>
      <c r="O664" s="4">
        <v>4.008</v>
      </c>
      <c r="P664" s="4">
        <v>0</v>
      </c>
      <c r="Q664" s="3" t="s">
        <v>26</v>
      </c>
      <c r="R664" s="3">
        <v>0</v>
      </c>
      <c r="S664" s="3" t="s">
        <v>366</v>
      </c>
      <c r="T664" s="3" t="s">
        <v>605</v>
      </c>
      <c r="U664" s="3">
        <v>0</v>
      </c>
      <c r="V664" s="3">
        <v>49</v>
      </c>
      <c r="W664" s="3">
        <v>89</v>
      </c>
    </row>
    <row r="665" spans="1:23" ht="11.25" customHeight="1" x14ac:dyDescent="0.3">
      <c r="A665" s="3" t="s">
        <v>21</v>
      </c>
      <c r="B665" s="3" t="s">
        <v>45</v>
      </c>
      <c r="C665" s="3" t="s">
        <v>23</v>
      </c>
      <c r="D665" s="3" t="s">
        <v>46</v>
      </c>
      <c r="E665" s="3" t="s">
        <v>47</v>
      </c>
      <c r="F665" s="3" t="s">
        <v>25</v>
      </c>
      <c r="G665" s="3" t="s">
        <v>25</v>
      </c>
      <c r="H665" s="3" t="s">
        <v>25</v>
      </c>
      <c r="I665" s="6">
        <v>44652</v>
      </c>
      <c r="J665" s="4">
        <v>0</v>
      </c>
      <c r="K665" s="4">
        <v>0</v>
      </c>
      <c r="L665" s="4">
        <v>368.34699999999998</v>
      </c>
      <c r="M665" s="4">
        <v>368.34699999999998</v>
      </c>
      <c r="N665" s="4">
        <v>368.34699999999998</v>
      </c>
      <c r="O665" s="4">
        <v>368.34699999999998</v>
      </c>
      <c r="P665" s="4">
        <v>24</v>
      </c>
      <c r="Q665" s="3" t="s">
        <v>26</v>
      </c>
      <c r="R665" s="3">
        <v>0</v>
      </c>
      <c r="S665" s="3" t="s">
        <v>367</v>
      </c>
      <c r="T665" s="3" t="s">
        <v>606</v>
      </c>
      <c r="U665" s="3">
        <v>0</v>
      </c>
      <c r="V665" s="3">
        <v>49</v>
      </c>
      <c r="W665" s="3">
        <v>89</v>
      </c>
    </row>
    <row r="666" spans="1:23" ht="11.25" customHeight="1" x14ac:dyDescent="0.3">
      <c r="A666" s="3" t="s">
        <v>21</v>
      </c>
      <c r="B666" s="3" t="s">
        <v>45</v>
      </c>
      <c r="C666" s="3" t="s">
        <v>23</v>
      </c>
      <c r="D666" s="3" t="s">
        <v>46</v>
      </c>
      <c r="E666" s="3" t="s">
        <v>47</v>
      </c>
      <c r="F666" s="3" t="s">
        <v>25</v>
      </c>
      <c r="G666" s="3" t="s">
        <v>25</v>
      </c>
      <c r="H666" s="3" t="s">
        <v>25</v>
      </c>
      <c r="I666" s="6">
        <v>44682</v>
      </c>
      <c r="J666" s="4">
        <v>0</v>
      </c>
      <c r="K666" s="4">
        <v>0</v>
      </c>
      <c r="L666" s="4">
        <v>382.18</v>
      </c>
      <c r="M666" s="4">
        <v>382.18</v>
      </c>
      <c r="N666" s="4">
        <v>382.18</v>
      </c>
      <c r="O666" s="4">
        <v>382.18</v>
      </c>
      <c r="P666" s="4">
        <v>24</v>
      </c>
      <c r="Q666" s="3" t="s">
        <v>26</v>
      </c>
      <c r="R666" s="3">
        <v>0</v>
      </c>
      <c r="S666" s="3" t="s">
        <v>368</v>
      </c>
      <c r="T666" s="3" t="s">
        <v>607</v>
      </c>
      <c r="U666" s="3">
        <v>0</v>
      </c>
      <c r="V666" s="3">
        <v>49</v>
      </c>
      <c r="W666" s="3">
        <v>89</v>
      </c>
    </row>
    <row r="667" spans="1:23" ht="11.25" customHeight="1" x14ac:dyDescent="0.3">
      <c r="A667" s="3" t="s">
        <v>21</v>
      </c>
      <c r="B667" s="3" t="s">
        <v>45</v>
      </c>
      <c r="C667" s="3" t="s">
        <v>23</v>
      </c>
      <c r="D667" s="3" t="s">
        <v>46</v>
      </c>
      <c r="E667" s="3" t="s">
        <v>47</v>
      </c>
      <c r="F667" s="3" t="s">
        <v>25</v>
      </c>
      <c r="G667" s="3" t="s">
        <v>25</v>
      </c>
      <c r="H667" s="3" t="s">
        <v>25</v>
      </c>
      <c r="I667" s="6">
        <v>44713</v>
      </c>
      <c r="J667" s="4">
        <v>0</v>
      </c>
      <c r="K667" s="4">
        <v>0</v>
      </c>
      <c r="L667" s="4">
        <v>371.30099999999999</v>
      </c>
      <c r="M667" s="4">
        <v>371.30099999999999</v>
      </c>
      <c r="N667" s="4">
        <v>371.30099999999999</v>
      </c>
      <c r="O667" s="4">
        <v>371.30099999999999</v>
      </c>
      <c r="P667" s="4">
        <v>24</v>
      </c>
      <c r="Q667" s="3" t="s">
        <v>26</v>
      </c>
      <c r="R667" s="3">
        <v>0</v>
      </c>
      <c r="S667" s="3" t="s">
        <v>369</v>
      </c>
      <c r="T667" s="3" t="s">
        <v>608</v>
      </c>
      <c r="U667" s="3">
        <v>0</v>
      </c>
      <c r="V667" s="3">
        <v>49</v>
      </c>
      <c r="W667" s="3">
        <v>89</v>
      </c>
    </row>
  </sheetData>
  <sortState xmlns:xlrd2="http://schemas.microsoft.com/office/spreadsheetml/2017/richdata2" ref="A2:W667">
    <sortCondition ref="B2:B667"/>
    <sortCondition ref="C2:C667"/>
    <sortCondition ref="D2:D667"/>
    <sortCondition ref="E2:E667"/>
    <sortCondition ref="F2:F667"/>
    <sortCondition ref="H2:H667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095FC-BAD7-4836-A919-A4EA7CB601D9}">
  <sheetPr codeName="Planilha3"/>
  <dimension ref="A1:H78"/>
  <sheetViews>
    <sheetView showGridLines="0" workbookViewId="0">
      <selection activeCell="H1" sqref="H1"/>
    </sheetView>
  </sheetViews>
  <sheetFormatPr defaultColWidth="9.109375" defaultRowHeight="11.25" customHeight="1" x14ac:dyDescent="0.3"/>
  <cols>
    <col min="1" max="1" width="12.109375" style="8" bestFit="1" customWidth="1"/>
    <col min="2" max="2" width="15.88671875" style="8" bestFit="1" customWidth="1"/>
    <col min="3" max="3" width="4.6640625" style="8" bestFit="1" customWidth="1"/>
    <col min="4" max="4" width="6.44140625" style="8" bestFit="1" customWidth="1"/>
    <col min="5" max="5" width="8.44140625" style="8" bestFit="1" customWidth="1"/>
    <col min="6" max="6" width="9.109375" style="8"/>
    <col min="7" max="7" width="18.5546875" style="8" bestFit="1" customWidth="1"/>
    <col min="8" max="8" width="2" style="8" bestFit="1" customWidth="1"/>
    <col min="9" max="16384" width="9.109375" style="8"/>
  </cols>
  <sheetData>
    <row r="1" spans="1:8" s="7" customFormat="1" ht="11.25" customHeight="1" x14ac:dyDescent="0.3">
      <c r="A1" s="7" t="s">
        <v>60</v>
      </c>
      <c r="B1" s="7" t="s">
        <v>61</v>
      </c>
      <c r="C1" s="7" t="s">
        <v>62</v>
      </c>
      <c r="D1" s="7" t="s">
        <v>63</v>
      </c>
      <c r="E1" s="7" t="s">
        <v>64</v>
      </c>
      <c r="G1" s="7" t="s">
        <v>65</v>
      </c>
      <c r="H1" s="7">
        <f>COUNTA(A:A)</f>
        <v>78</v>
      </c>
    </row>
    <row r="2" spans="1:8" ht="11.25" customHeight="1" x14ac:dyDescent="0.3">
      <c r="A2" s="8" t="s">
        <v>395</v>
      </c>
      <c r="B2" s="8" t="s">
        <v>396</v>
      </c>
      <c r="C2" s="8" t="s">
        <v>397</v>
      </c>
      <c r="D2" s="8">
        <v>55</v>
      </c>
      <c r="E2" s="8" t="s">
        <v>398</v>
      </c>
    </row>
    <row r="3" spans="1:8" ht="11.25" customHeight="1" x14ac:dyDescent="0.3">
      <c r="A3" s="8" t="s">
        <v>395</v>
      </c>
      <c r="B3" s="8" t="s">
        <v>396</v>
      </c>
      <c r="C3" s="8" t="s">
        <v>397</v>
      </c>
      <c r="D3" s="8">
        <v>56</v>
      </c>
      <c r="E3" s="8" t="s">
        <v>398</v>
      </c>
    </row>
    <row r="4" spans="1:8" ht="11.25" customHeight="1" x14ac:dyDescent="0.3">
      <c r="A4" s="8" t="s">
        <v>395</v>
      </c>
      <c r="B4" s="8" t="s">
        <v>396</v>
      </c>
      <c r="C4" s="8" t="s">
        <v>397</v>
      </c>
      <c r="D4" s="8">
        <v>57</v>
      </c>
      <c r="E4" s="8" t="s">
        <v>398</v>
      </c>
    </row>
    <row r="5" spans="1:8" ht="11.25" customHeight="1" x14ac:dyDescent="0.3">
      <c r="A5" s="8" t="s">
        <v>395</v>
      </c>
      <c r="B5" s="8" t="s">
        <v>396</v>
      </c>
      <c r="C5" s="8" t="s">
        <v>397</v>
      </c>
      <c r="D5" s="8">
        <v>58</v>
      </c>
      <c r="E5" s="8" t="s">
        <v>398</v>
      </c>
    </row>
    <row r="6" spans="1:8" ht="11.25" customHeight="1" x14ac:dyDescent="0.3">
      <c r="A6" s="8" t="s">
        <v>395</v>
      </c>
      <c r="B6" s="8" t="s">
        <v>396</v>
      </c>
      <c r="C6" s="8" t="s">
        <v>397</v>
      </c>
      <c r="D6" s="8">
        <v>59</v>
      </c>
      <c r="E6" s="8" t="s">
        <v>398</v>
      </c>
    </row>
    <row r="7" spans="1:8" ht="11.25" customHeight="1" x14ac:dyDescent="0.3">
      <c r="A7" s="8" t="s">
        <v>395</v>
      </c>
      <c r="B7" s="8" t="s">
        <v>396</v>
      </c>
      <c r="C7" s="8" t="s">
        <v>397</v>
      </c>
      <c r="D7" s="8">
        <v>60</v>
      </c>
      <c r="E7" s="8" t="s">
        <v>398</v>
      </c>
    </row>
    <row r="8" spans="1:8" ht="11.25" customHeight="1" x14ac:dyDescent="0.3">
      <c r="A8" s="8" t="s">
        <v>395</v>
      </c>
      <c r="B8" s="8" t="s">
        <v>396</v>
      </c>
      <c r="C8" s="8" t="s">
        <v>397</v>
      </c>
      <c r="D8" s="8">
        <v>61</v>
      </c>
      <c r="E8" s="8" t="s">
        <v>398</v>
      </c>
    </row>
    <row r="9" spans="1:8" ht="11.25" customHeight="1" x14ac:dyDescent="0.3">
      <c r="A9" s="8" t="s">
        <v>395</v>
      </c>
      <c r="B9" s="8" t="s">
        <v>396</v>
      </c>
      <c r="C9" s="8" t="s">
        <v>397</v>
      </c>
      <c r="D9" s="8">
        <v>62</v>
      </c>
      <c r="E9" s="8" t="s">
        <v>398</v>
      </c>
    </row>
    <row r="10" spans="1:8" ht="11.25" customHeight="1" x14ac:dyDescent="0.3">
      <c r="A10" s="8" t="s">
        <v>395</v>
      </c>
      <c r="B10" s="8" t="s">
        <v>396</v>
      </c>
      <c r="C10" s="8" t="s">
        <v>397</v>
      </c>
      <c r="D10" s="8">
        <v>63</v>
      </c>
      <c r="E10" s="8" t="s">
        <v>398</v>
      </c>
    </row>
    <row r="11" spans="1:8" ht="11.25" customHeight="1" x14ac:dyDescent="0.3">
      <c r="A11" s="8" t="s">
        <v>395</v>
      </c>
      <c r="B11" s="8" t="s">
        <v>396</v>
      </c>
      <c r="C11" s="8" t="s">
        <v>397</v>
      </c>
      <c r="D11" s="8">
        <v>64</v>
      </c>
      <c r="E11" s="8" t="s">
        <v>398</v>
      </c>
    </row>
    <row r="12" spans="1:8" ht="11.25" customHeight="1" x14ac:dyDescent="0.3">
      <c r="A12" s="8" t="s">
        <v>395</v>
      </c>
      <c r="B12" s="8" t="s">
        <v>396</v>
      </c>
      <c r="C12" s="8" t="s">
        <v>397</v>
      </c>
      <c r="D12" s="8">
        <v>65</v>
      </c>
      <c r="E12" s="8" t="s">
        <v>398</v>
      </c>
    </row>
    <row r="13" spans="1:8" ht="11.25" customHeight="1" x14ac:dyDescent="0.3">
      <c r="A13" s="8" t="s">
        <v>395</v>
      </c>
      <c r="B13" s="8" t="s">
        <v>396</v>
      </c>
      <c r="C13" s="8" t="s">
        <v>397</v>
      </c>
      <c r="D13" s="8">
        <v>66</v>
      </c>
      <c r="E13" s="8" t="s">
        <v>398</v>
      </c>
    </row>
    <row r="14" spans="1:8" ht="11.25" customHeight="1" x14ac:dyDescent="0.3">
      <c r="A14" s="8" t="s">
        <v>395</v>
      </c>
      <c r="B14" s="8" t="s">
        <v>396</v>
      </c>
      <c r="C14" s="8" t="s">
        <v>397</v>
      </c>
      <c r="D14" s="8">
        <v>67</v>
      </c>
      <c r="E14" s="8" t="s">
        <v>398</v>
      </c>
    </row>
    <row r="15" spans="1:8" ht="11.25" customHeight="1" x14ac:dyDescent="0.3">
      <c r="A15" s="8" t="s">
        <v>395</v>
      </c>
      <c r="B15" s="8" t="s">
        <v>396</v>
      </c>
      <c r="C15" s="8" t="s">
        <v>397</v>
      </c>
      <c r="D15" s="8">
        <v>68</v>
      </c>
      <c r="E15" s="8" t="s">
        <v>398</v>
      </c>
    </row>
    <row r="16" spans="1:8" ht="11.25" customHeight="1" x14ac:dyDescent="0.3">
      <c r="A16" s="8" t="s">
        <v>395</v>
      </c>
      <c r="B16" s="8" t="s">
        <v>396</v>
      </c>
      <c r="C16" s="8" t="s">
        <v>397</v>
      </c>
      <c r="D16" s="8">
        <v>69</v>
      </c>
      <c r="E16" s="8" t="s">
        <v>398</v>
      </c>
    </row>
    <row r="17" spans="1:5" ht="11.25" customHeight="1" x14ac:dyDescent="0.3">
      <c r="A17" s="8" t="s">
        <v>395</v>
      </c>
      <c r="B17" s="8" t="s">
        <v>396</v>
      </c>
      <c r="C17" s="8" t="s">
        <v>397</v>
      </c>
      <c r="D17" s="8">
        <v>70</v>
      </c>
      <c r="E17" s="8" t="s">
        <v>398</v>
      </c>
    </row>
    <row r="18" spans="1:5" ht="11.25" customHeight="1" x14ac:dyDescent="0.3">
      <c r="A18" s="8" t="s">
        <v>395</v>
      </c>
      <c r="B18" s="8" t="s">
        <v>396</v>
      </c>
      <c r="C18" s="8" t="s">
        <v>397</v>
      </c>
      <c r="D18" s="8">
        <v>71</v>
      </c>
      <c r="E18" s="8" t="s">
        <v>398</v>
      </c>
    </row>
    <row r="19" spans="1:5" ht="11.25" customHeight="1" x14ac:dyDescent="0.3">
      <c r="A19" s="8" t="s">
        <v>395</v>
      </c>
      <c r="B19" s="8" t="s">
        <v>396</v>
      </c>
      <c r="C19" s="8" t="s">
        <v>397</v>
      </c>
      <c r="D19" s="8">
        <v>72</v>
      </c>
      <c r="E19" s="8" t="s">
        <v>398</v>
      </c>
    </row>
    <row r="20" spans="1:5" ht="11.25" customHeight="1" x14ac:dyDescent="0.3">
      <c r="A20" s="8" t="s">
        <v>395</v>
      </c>
      <c r="B20" s="8" t="s">
        <v>396</v>
      </c>
      <c r="C20" s="8" t="s">
        <v>397</v>
      </c>
      <c r="D20" s="8">
        <v>73</v>
      </c>
      <c r="E20" s="8" t="s">
        <v>398</v>
      </c>
    </row>
    <row r="21" spans="1:5" ht="11.25" customHeight="1" x14ac:dyDescent="0.3">
      <c r="A21" s="8" t="s">
        <v>395</v>
      </c>
      <c r="B21" s="8" t="s">
        <v>396</v>
      </c>
      <c r="C21" s="8" t="s">
        <v>397</v>
      </c>
      <c r="D21" s="8">
        <v>74</v>
      </c>
      <c r="E21" s="8" t="s">
        <v>398</v>
      </c>
    </row>
    <row r="22" spans="1:5" ht="11.25" customHeight="1" x14ac:dyDescent="0.3">
      <c r="A22" s="8" t="s">
        <v>395</v>
      </c>
      <c r="B22" s="8" t="s">
        <v>396</v>
      </c>
      <c r="C22" s="8" t="s">
        <v>397</v>
      </c>
      <c r="D22" s="8">
        <v>75</v>
      </c>
      <c r="E22" s="8" t="s">
        <v>398</v>
      </c>
    </row>
    <row r="23" spans="1:5" ht="11.25" customHeight="1" x14ac:dyDescent="0.3">
      <c r="A23" s="8" t="s">
        <v>395</v>
      </c>
      <c r="B23" s="8" t="s">
        <v>396</v>
      </c>
      <c r="C23" s="8" t="s">
        <v>397</v>
      </c>
      <c r="D23" s="8">
        <v>76</v>
      </c>
      <c r="E23" s="8" t="s">
        <v>398</v>
      </c>
    </row>
    <row r="24" spans="1:5" ht="11.25" customHeight="1" x14ac:dyDescent="0.3">
      <c r="A24" s="8" t="s">
        <v>395</v>
      </c>
      <c r="B24" s="8" t="s">
        <v>396</v>
      </c>
      <c r="C24" s="8" t="s">
        <v>397</v>
      </c>
      <c r="D24" s="8">
        <v>77</v>
      </c>
      <c r="E24" s="8" t="s">
        <v>398</v>
      </c>
    </row>
    <row r="25" spans="1:5" ht="11.25" customHeight="1" x14ac:dyDescent="0.3">
      <c r="A25" s="8" t="s">
        <v>395</v>
      </c>
      <c r="B25" s="8" t="s">
        <v>396</v>
      </c>
      <c r="C25" s="8" t="s">
        <v>397</v>
      </c>
      <c r="D25" s="8">
        <v>78</v>
      </c>
      <c r="E25" s="8" t="s">
        <v>398</v>
      </c>
    </row>
    <row r="26" spans="1:5" ht="11.25" customHeight="1" x14ac:dyDescent="0.3">
      <c r="A26" s="8" t="s">
        <v>395</v>
      </c>
      <c r="B26" s="8" t="s">
        <v>396</v>
      </c>
      <c r="C26" s="8" t="s">
        <v>397</v>
      </c>
      <c r="D26" s="8">
        <v>149</v>
      </c>
      <c r="E26" s="8" t="s">
        <v>398</v>
      </c>
    </row>
    <row r="27" spans="1:5" ht="11.25" customHeight="1" x14ac:dyDescent="0.3">
      <c r="A27" s="8" t="s">
        <v>395</v>
      </c>
      <c r="B27" s="8" t="s">
        <v>396</v>
      </c>
      <c r="C27" s="8" t="s">
        <v>397</v>
      </c>
      <c r="D27" s="8">
        <v>150</v>
      </c>
      <c r="E27" s="8" t="s">
        <v>398</v>
      </c>
    </row>
    <row r="28" spans="1:5" ht="11.25" customHeight="1" x14ac:dyDescent="0.3">
      <c r="A28" s="8" t="s">
        <v>395</v>
      </c>
      <c r="B28" s="8" t="s">
        <v>396</v>
      </c>
      <c r="C28" s="8" t="s">
        <v>397</v>
      </c>
      <c r="D28" s="8">
        <v>151</v>
      </c>
      <c r="E28" s="8" t="s">
        <v>398</v>
      </c>
    </row>
    <row r="29" spans="1:5" ht="11.25" customHeight="1" x14ac:dyDescent="0.3">
      <c r="A29" s="8" t="s">
        <v>395</v>
      </c>
      <c r="B29" s="8" t="s">
        <v>396</v>
      </c>
      <c r="C29" s="8" t="s">
        <v>397</v>
      </c>
      <c r="D29" s="8">
        <v>152</v>
      </c>
      <c r="E29" s="8" t="s">
        <v>398</v>
      </c>
    </row>
    <row r="30" spans="1:5" ht="11.25" customHeight="1" x14ac:dyDescent="0.3">
      <c r="A30" s="8" t="s">
        <v>395</v>
      </c>
      <c r="B30" s="8" t="s">
        <v>396</v>
      </c>
      <c r="C30" s="8" t="s">
        <v>397</v>
      </c>
      <c r="D30" s="8">
        <v>153</v>
      </c>
      <c r="E30" s="8" t="s">
        <v>398</v>
      </c>
    </row>
    <row r="31" spans="1:5" ht="11.25" customHeight="1" x14ac:dyDescent="0.3">
      <c r="A31" s="8" t="s">
        <v>395</v>
      </c>
      <c r="B31" s="8" t="s">
        <v>396</v>
      </c>
      <c r="C31" s="8" t="s">
        <v>397</v>
      </c>
      <c r="D31" s="8">
        <v>154</v>
      </c>
      <c r="E31" s="8" t="s">
        <v>398</v>
      </c>
    </row>
    <row r="32" spans="1:5" ht="11.25" customHeight="1" x14ac:dyDescent="0.3">
      <c r="A32" s="8" t="s">
        <v>395</v>
      </c>
      <c r="B32" s="8" t="s">
        <v>396</v>
      </c>
      <c r="C32" s="8" t="s">
        <v>397</v>
      </c>
      <c r="D32" s="8">
        <v>155</v>
      </c>
      <c r="E32" s="8" t="s">
        <v>398</v>
      </c>
    </row>
    <row r="33" spans="1:5" ht="11.25" customHeight="1" x14ac:dyDescent="0.3">
      <c r="A33" s="8" t="s">
        <v>395</v>
      </c>
      <c r="B33" s="8" t="s">
        <v>396</v>
      </c>
      <c r="C33" s="8" t="s">
        <v>397</v>
      </c>
      <c r="D33" s="8">
        <v>156</v>
      </c>
      <c r="E33" s="8" t="s">
        <v>398</v>
      </c>
    </row>
    <row r="34" spans="1:5" ht="11.25" customHeight="1" x14ac:dyDescent="0.3">
      <c r="A34" s="8" t="s">
        <v>395</v>
      </c>
      <c r="B34" s="8" t="s">
        <v>396</v>
      </c>
      <c r="C34" s="8" t="s">
        <v>397</v>
      </c>
      <c r="D34" s="8">
        <v>157</v>
      </c>
      <c r="E34" s="8" t="s">
        <v>398</v>
      </c>
    </row>
    <row r="35" spans="1:5" ht="11.25" customHeight="1" x14ac:dyDescent="0.3">
      <c r="A35" s="8" t="s">
        <v>395</v>
      </c>
      <c r="B35" s="8" t="s">
        <v>396</v>
      </c>
      <c r="C35" s="8" t="s">
        <v>397</v>
      </c>
      <c r="D35" s="8">
        <v>158</v>
      </c>
      <c r="E35" s="8" t="s">
        <v>398</v>
      </c>
    </row>
    <row r="36" spans="1:5" ht="11.25" customHeight="1" x14ac:dyDescent="0.3">
      <c r="A36" s="8" t="s">
        <v>395</v>
      </c>
      <c r="B36" s="8" t="s">
        <v>396</v>
      </c>
      <c r="C36" s="8" t="s">
        <v>397</v>
      </c>
      <c r="D36" s="8">
        <v>159</v>
      </c>
      <c r="E36" s="8" t="s">
        <v>398</v>
      </c>
    </row>
    <row r="37" spans="1:5" ht="11.25" customHeight="1" x14ac:dyDescent="0.3">
      <c r="A37" s="8" t="s">
        <v>395</v>
      </c>
      <c r="B37" s="8" t="s">
        <v>396</v>
      </c>
      <c r="C37" s="8" t="s">
        <v>397</v>
      </c>
      <c r="D37" s="8">
        <v>160</v>
      </c>
      <c r="E37" s="8" t="s">
        <v>398</v>
      </c>
    </row>
    <row r="38" spans="1:5" ht="11.25" customHeight="1" x14ac:dyDescent="0.3">
      <c r="A38" s="8" t="s">
        <v>395</v>
      </c>
      <c r="B38" s="8" t="s">
        <v>396</v>
      </c>
      <c r="C38" s="8" t="s">
        <v>397</v>
      </c>
      <c r="D38" s="8">
        <v>161</v>
      </c>
      <c r="E38" s="8" t="s">
        <v>398</v>
      </c>
    </row>
    <row r="39" spans="1:5" ht="11.25" customHeight="1" x14ac:dyDescent="0.3">
      <c r="A39" s="8" t="s">
        <v>395</v>
      </c>
      <c r="B39" s="8" t="s">
        <v>396</v>
      </c>
      <c r="C39" s="8" t="s">
        <v>397</v>
      </c>
      <c r="D39" s="8">
        <v>162</v>
      </c>
      <c r="E39" s="8" t="s">
        <v>398</v>
      </c>
    </row>
    <row r="40" spans="1:5" ht="11.25" customHeight="1" x14ac:dyDescent="0.3">
      <c r="A40" s="8" t="s">
        <v>395</v>
      </c>
      <c r="B40" s="8" t="s">
        <v>396</v>
      </c>
      <c r="C40" s="8" t="s">
        <v>397</v>
      </c>
      <c r="D40" s="8">
        <v>163</v>
      </c>
      <c r="E40" s="8" t="s">
        <v>398</v>
      </c>
    </row>
    <row r="41" spans="1:5" ht="11.25" customHeight="1" x14ac:dyDescent="0.3">
      <c r="A41" s="8" t="s">
        <v>395</v>
      </c>
      <c r="B41" s="8" t="s">
        <v>396</v>
      </c>
      <c r="C41" s="8" t="s">
        <v>397</v>
      </c>
      <c r="D41" s="8">
        <v>164</v>
      </c>
      <c r="E41" s="8" t="s">
        <v>398</v>
      </c>
    </row>
    <row r="42" spans="1:5" ht="11.25" customHeight="1" x14ac:dyDescent="0.3">
      <c r="A42" s="8" t="s">
        <v>395</v>
      </c>
      <c r="B42" s="8" t="s">
        <v>396</v>
      </c>
      <c r="C42" s="8" t="s">
        <v>397</v>
      </c>
      <c r="D42" s="8">
        <v>165</v>
      </c>
      <c r="E42" s="8" t="s">
        <v>398</v>
      </c>
    </row>
    <row r="43" spans="1:5" ht="11.25" customHeight="1" x14ac:dyDescent="0.3">
      <c r="A43" s="8" t="s">
        <v>395</v>
      </c>
      <c r="B43" s="8" t="s">
        <v>396</v>
      </c>
      <c r="C43" s="8" t="s">
        <v>397</v>
      </c>
      <c r="D43" s="8">
        <v>166</v>
      </c>
      <c r="E43" s="8" t="s">
        <v>398</v>
      </c>
    </row>
    <row r="44" spans="1:5" ht="11.25" customHeight="1" x14ac:dyDescent="0.3">
      <c r="A44" s="8" t="s">
        <v>395</v>
      </c>
      <c r="B44" s="8" t="s">
        <v>396</v>
      </c>
      <c r="C44" s="8" t="s">
        <v>397</v>
      </c>
      <c r="D44" s="8">
        <v>167</v>
      </c>
      <c r="E44" s="8" t="s">
        <v>398</v>
      </c>
    </row>
    <row r="45" spans="1:5" ht="11.25" customHeight="1" x14ac:dyDescent="0.3">
      <c r="A45" s="8" t="s">
        <v>395</v>
      </c>
      <c r="B45" s="8" t="s">
        <v>396</v>
      </c>
      <c r="C45" s="8" t="s">
        <v>397</v>
      </c>
      <c r="D45" s="8">
        <v>168</v>
      </c>
      <c r="E45" s="8" t="s">
        <v>398</v>
      </c>
    </row>
    <row r="46" spans="1:5" ht="11.25" customHeight="1" x14ac:dyDescent="0.3">
      <c r="A46" s="8" t="s">
        <v>395</v>
      </c>
      <c r="B46" s="8" t="s">
        <v>396</v>
      </c>
      <c r="C46" s="8" t="s">
        <v>397</v>
      </c>
      <c r="D46" s="8">
        <v>199</v>
      </c>
      <c r="E46" s="8" t="s">
        <v>398</v>
      </c>
    </row>
    <row r="47" spans="1:5" ht="11.25" customHeight="1" x14ac:dyDescent="0.3">
      <c r="A47" s="8" t="s">
        <v>395</v>
      </c>
      <c r="B47" s="8" t="s">
        <v>396</v>
      </c>
      <c r="C47" s="8" t="s">
        <v>397</v>
      </c>
      <c r="D47" s="8">
        <v>200</v>
      </c>
      <c r="E47" s="8" t="s">
        <v>398</v>
      </c>
    </row>
    <row r="48" spans="1:5" ht="11.25" customHeight="1" x14ac:dyDescent="0.3">
      <c r="A48" s="8" t="s">
        <v>395</v>
      </c>
      <c r="B48" s="8" t="s">
        <v>396</v>
      </c>
      <c r="C48" s="8" t="s">
        <v>397</v>
      </c>
      <c r="D48" s="8">
        <v>201</v>
      </c>
      <c r="E48" s="8" t="s">
        <v>398</v>
      </c>
    </row>
    <row r="49" spans="1:5" ht="11.25" customHeight="1" x14ac:dyDescent="0.3">
      <c r="A49" s="8" t="s">
        <v>395</v>
      </c>
      <c r="B49" s="8" t="s">
        <v>396</v>
      </c>
      <c r="C49" s="8" t="s">
        <v>397</v>
      </c>
      <c r="D49" s="8">
        <v>202</v>
      </c>
      <c r="E49" s="8" t="s">
        <v>398</v>
      </c>
    </row>
    <row r="50" spans="1:5" ht="11.25" customHeight="1" x14ac:dyDescent="0.3">
      <c r="A50" s="8" t="s">
        <v>395</v>
      </c>
      <c r="B50" s="8" t="s">
        <v>396</v>
      </c>
      <c r="C50" s="8" t="s">
        <v>397</v>
      </c>
      <c r="D50" s="8">
        <v>203</v>
      </c>
      <c r="E50" s="8" t="s">
        <v>398</v>
      </c>
    </row>
    <row r="51" spans="1:5" ht="11.25" customHeight="1" x14ac:dyDescent="0.3">
      <c r="A51" s="8" t="s">
        <v>395</v>
      </c>
      <c r="B51" s="8" t="s">
        <v>396</v>
      </c>
      <c r="C51" s="8" t="s">
        <v>397</v>
      </c>
      <c r="D51" s="8">
        <v>204</v>
      </c>
      <c r="E51" s="8" t="s">
        <v>398</v>
      </c>
    </row>
    <row r="52" spans="1:5" ht="11.25" customHeight="1" x14ac:dyDescent="0.3">
      <c r="A52" s="8" t="s">
        <v>395</v>
      </c>
      <c r="B52" s="8" t="s">
        <v>396</v>
      </c>
      <c r="C52" s="8" t="s">
        <v>397</v>
      </c>
      <c r="D52" s="8">
        <v>205</v>
      </c>
      <c r="E52" s="8" t="s">
        <v>398</v>
      </c>
    </row>
    <row r="53" spans="1:5" ht="11.25" customHeight="1" x14ac:dyDescent="0.3">
      <c r="A53" s="8" t="s">
        <v>395</v>
      </c>
      <c r="B53" s="8" t="s">
        <v>396</v>
      </c>
      <c r="C53" s="8" t="s">
        <v>397</v>
      </c>
      <c r="D53" s="8">
        <v>206</v>
      </c>
      <c r="E53" s="8" t="s">
        <v>398</v>
      </c>
    </row>
    <row r="54" spans="1:5" ht="11.25" customHeight="1" x14ac:dyDescent="0.3">
      <c r="A54" s="8" t="s">
        <v>395</v>
      </c>
      <c r="B54" s="8" t="s">
        <v>396</v>
      </c>
      <c r="C54" s="8" t="s">
        <v>397</v>
      </c>
      <c r="D54" s="8">
        <v>207</v>
      </c>
      <c r="E54" s="8" t="s">
        <v>398</v>
      </c>
    </row>
    <row r="55" spans="1:5" ht="11.25" customHeight="1" x14ac:dyDescent="0.3">
      <c r="A55" s="8" t="s">
        <v>395</v>
      </c>
      <c r="B55" s="8" t="s">
        <v>396</v>
      </c>
      <c r="C55" s="8" t="s">
        <v>397</v>
      </c>
      <c r="D55" s="8">
        <v>208</v>
      </c>
      <c r="E55" s="8" t="s">
        <v>398</v>
      </c>
    </row>
    <row r="56" spans="1:5" ht="11.25" customHeight="1" x14ac:dyDescent="0.3">
      <c r="A56" s="8" t="s">
        <v>395</v>
      </c>
      <c r="B56" s="8" t="s">
        <v>396</v>
      </c>
      <c r="C56" s="8" t="s">
        <v>397</v>
      </c>
      <c r="D56" s="8">
        <v>209</v>
      </c>
      <c r="E56" s="8" t="s">
        <v>398</v>
      </c>
    </row>
    <row r="57" spans="1:5" ht="11.25" customHeight="1" x14ac:dyDescent="0.3">
      <c r="A57" s="8" t="s">
        <v>395</v>
      </c>
      <c r="B57" s="8" t="s">
        <v>396</v>
      </c>
      <c r="C57" s="8" t="s">
        <v>397</v>
      </c>
      <c r="D57" s="8">
        <v>210</v>
      </c>
      <c r="E57" s="8" t="s">
        <v>398</v>
      </c>
    </row>
    <row r="58" spans="1:5" ht="11.25" customHeight="1" x14ac:dyDescent="0.3">
      <c r="A58" s="8" t="s">
        <v>395</v>
      </c>
      <c r="B58" s="8" t="s">
        <v>396</v>
      </c>
      <c r="C58" s="8" t="s">
        <v>397</v>
      </c>
      <c r="D58" s="8">
        <v>235</v>
      </c>
      <c r="E58" s="8" t="s">
        <v>398</v>
      </c>
    </row>
    <row r="59" spans="1:5" ht="11.25" customHeight="1" x14ac:dyDescent="0.3">
      <c r="A59" s="8" t="s">
        <v>395</v>
      </c>
      <c r="B59" s="8" t="s">
        <v>396</v>
      </c>
      <c r="C59" s="8" t="s">
        <v>397</v>
      </c>
      <c r="D59" s="8">
        <v>236</v>
      </c>
      <c r="E59" s="8" t="s">
        <v>398</v>
      </c>
    </row>
    <row r="60" spans="1:5" ht="11.25" customHeight="1" x14ac:dyDescent="0.3">
      <c r="A60" s="8" t="s">
        <v>395</v>
      </c>
      <c r="B60" s="8" t="s">
        <v>396</v>
      </c>
      <c r="C60" s="8" t="s">
        <v>397</v>
      </c>
      <c r="D60" s="8">
        <v>237</v>
      </c>
      <c r="E60" s="8" t="s">
        <v>398</v>
      </c>
    </row>
    <row r="61" spans="1:5" ht="11.25" customHeight="1" x14ac:dyDescent="0.3">
      <c r="A61" s="8" t="s">
        <v>395</v>
      </c>
      <c r="B61" s="8" t="s">
        <v>396</v>
      </c>
      <c r="C61" s="8" t="s">
        <v>397</v>
      </c>
      <c r="D61" s="8">
        <v>238</v>
      </c>
      <c r="E61" s="8" t="s">
        <v>398</v>
      </c>
    </row>
    <row r="62" spans="1:5" ht="11.25" customHeight="1" x14ac:dyDescent="0.3">
      <c r="A62" s="8" t="s">
        <v>395</v>
      </c>
      <c r="B62" s="8" t="s">
        <v>396</v>
      </c>
      <c r="C62" s="8" t="s">
        <v>397</v>
      </c>
      <c r="D62" s="8">
        <v>239</v>
      </c>
      <c r="E62" s="8" t="s">
        <v>398</v>
      </c>
    </row>
    <row r="63" spans="1:5" ht="11.25" customHeight="1" x14ac:dyDescent="0.3">
      <c r="A63" s="8" t="s">
        <v>395</v>
      </c>
      <c r="B63" s="8" t="s">
        <v>396</v>
      </c>
      <c r="C63" s="8" t="s">
        <v>397</v>
      </c>
      <c r="D63" s="8">
        <v>240</v>
      </c>
      <c r="E63" s="8" t="s">
        <v>398</v>
      </c>
    </row>
    <row r="64" spans="1:5" ht="11.25" customHeight="1" x14ac:dyDescent="0.3">
      <c r="A64" s="8" t="s">
        <v>395</v>
      </c>
      <c r="B64" s="8" t="s">
        <v>396</v>
      </c>
      <c r="C64" s="8" t="s">
        <v>397</v>
      </c>
      <c r="D64" s="8">
        <v>241</v>
      </c>
      <c r="E64" s="8" t="s">
        <v>398</v>
      </c>
    </row>
    <row r="65" spans="1:5" ht="11.25" customHeight="1" x14ac:dyDescent="0.3">
      <c r="A65" s="8" t="s">
        <v>395</v>
      </c>
      <c r="B65" s="8" t="s">
        <v>396</v>
      </c>
      <c r="C65" s="8" t="s">
        <v>397</v>
      </c>
      <c r="D65" s="8">
        <v>242</v>
      </c>
      <c r="E65" s="8" t="s">
        <v>398</v>
      </c>
    </row>
    <row r="66" spans="1:5" ht="11.25" customHeight="1" x14ac:dyDescent="0.3">
      <c r="A66" s="8" t="s">
        <v>395</v>
      </c>
      <c r="B66" s="8" t="s">
        <v>396</v>
      </c>
      <c r="C66" s="8" t="s">
        <v>397</v>
      </c>
      <c r="D66" s="8">
        <v>243</v>
      </c>
      <c r="E66" s="8" t="s">
        <v>398</v>
      </c>
    </row>
    <row r="67" spans="1:5" ht="11.25" customHeight="1" x14ac:dyDescent="0.3">
      <c r="A67" s="8" t="s">
        <v>395</v>
      </c>
      <c r="B67" s="8" t="s">
        <v>396</v>
      </c>
      <c r="C67" s="8" t="s">
        <v>397</v>
      </c>
      <c r="D67" s="8">
        <v>244</v>
      </c>
      <c r="E67" s="8" t="s">
        <v>398</v>
      </c>
    </row>
    <row r="68" spans="1:5" ht="11.25" customHeight="1" x14ac:dyDescent="0.3">
      <c r="A68" s="8" t="s">
        <v>395</v>
      </c>
      <c r="B68" s="8" t="s">
        <v>396</v>
      </c>
      <c r="C68" s="8" t="s">
        <v>397</v>
      </c>
      <c r="D68" s="8">
        <v>245</v>
      </c>
      <c r="E68" s="8" t="s">
        <v>398</v>
      </c>
    </row>
    <row r="69" spans="1:5" ht="11.25" customHeight="1" x14ac:dyDescent="0.3">
      <c r="A69" s="8" t="s">
        <v>395</v>
      </c>
      <c r="B69" s="8" t="s">
        <v>396</v>
      </c>
      <c r="C69" s="8" t="s">
        <v>397</v>
      </c>
      <c r="D69" s="8">
        <v>246</v>
      </c>
      <c r="E69" s="8" t="s">
        <v>398</v>
      </c>
    </row>
    <row r="70" spans="1:5" ht="11.25" customHeight="1" x14ac:dyDescent="0.3">
      <c r="A70" s="8" t="s">
        <v>395</v>
      </c>
      <c r="C70" s="8" t="s">
        <v>698</v>
      </c>
      <c r="D70" s="8">
        <v>40</v>
      </c>
      <c r="E70" s="8" t="s">
        <v>9</v>
      </c>
    </row>
    <row r="71" spans="1:5" ht="11.25" customHeight="1" x14ac:dyDescent="0.3">
      <c r="A71" s="8" t="s">
        <v>395</v>
      </c>
      <c r="C71" s="8" t="s">
        <v>698</v>
      </c>
      <c r="D71" s="8">
        <v>40</v>
      </c>
      <c r="E71" s="8" t="s">
        <v>9</v>
      </c>
    </row>
    <row r="72" spans="1:5" ht="11.25" customHeight="1" x14ac:dyDescent="0.3">
      <c r="A72" s="8" t="s">
        <v>395</v>
      </c>
      <c r="C72" s="8" t="s">
        <v>698</v>
      </c>
      <c r="D72" s="8">
        <v>40</v>
      </c>
      <c r="E72" s="8" t="s">
        <v>9</v>
      </c>
    </row>
    <row r="73" spans="1:5" ht="11.25" customHeight="1" x14ac:dyDescent="0.3">
      <c r="A73" s="8" t="s">
        <v>395</v>
      </c>
      <c r="C73" s="8" t="s">
        <v>698</v>
      </c>
      <c r="D73" s="8">
        <v>40</v>
      </c>
      <c r="E73" s="8" t="s">
        <v>9</v>
      </c>
    </row>
    <row r="74" spans="1:5" ht="11.25" customHeight="1" x14ac:dyDescent="0.3">
      <c r="A74" s="8" t="s">
        <v>395</v>
      </c>
      <c r="C74" s="8" t="s">
        <v>698</v>
      </c>
      <c r="D74" s="8">
        <v>40</v>
      </c>
      <c r="E74" s="8" t="s">
        <v>9</v>
      </c>
    </row>
    <row r="75" spans="1:5" ht="11.25" customHeight="1" x14ac:dyDescent="0.3">
      <c r="A75" s="8" t="s">
        <v>395</v>
      </c>
      <c r="C75" s="8" t="s">
        <v>698</v>
      </c>
      <c r="D75" s="8">
        <v>40</v>
      </c>
      <c r="E75" s="8" t="s">
        <v>9</v>
      </c>
    </row>
    <row r="76" spans="1:5" ht="11.25" customHeight="1" x14ac:dyDescent="0.3">
      <c r="A76" s="8" t="s">
        <v>395</v>
      </c>
      <c r="C76" s="8" t="s">
        <v>698</v>
      </c>
      <c r="D76" s="8">
        <v>40</v>
      </c>
      <c r="E76" s="8" t="s">
        <v>9</v>
      </c>
    </row>
    <row r="77" spans="1:5" ht="11.25" customHeight="1" x14ac:dyDescent="0.3">
      <c r="A77" s="8" t="s">
        <v>395</v>
      </c>
      <c r="C77" s="8" t="s">
        <v>698</v>
      </c>
      <c r="D77" s="8">
        <v>40</v>
      </c>
      <c r="E77" s="8" t="s">
        <v>9</v>
      </c>
    </row>
    <row r="78" spans="1:5" ht="11.25" customHeight="1" x14ac:dyDescent="0.3">
      <c r="A78" s="8" t="s">
        <v>395</v>
      </c>
      <c r="C78" s="8" t="s">
        <v>698</v>
      </c>
      <c r="D78" s="8">
        <v>40</v>
      </c>
      <c r="E78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DEBE-D8AB-41B9-A3A3-7114ACC6B6CA}">
  <sheetPr codeName="Planilha2"/>
  <dimension ref="A1:AX91"/>
  <sheetViews>
    <sheetView showGridLines="0" workbookViewId="0"/>
  </sheetViews>
  <sheetFormatPr defaultColWidth="9.109375" defaultRowHeight="10.199999999999999" x14ac:dyDescent="0.3"/>
  <cols>
    <col min="1" max="1" width="4.6640625" style="8" bestFit="1" customWidth="1"/>
    <col min="2" max="2" width="8.88671875" style="8" bestFit="1" customWidth="1"/>
    <col min="3" max="3" width="8.6640625" style="8" bestFit="1" customWidth="1"/>
    <col min="4" max="4" width="27.109375" style="8" bestFit="1" customWidth="1"/>
    <col min="5" max="5" width="13.5546875" style="8" bestFit="1" customWidth="1"/>
    <col min="6" max="6" width="25.109375" style="8" bestFit="1" customWidth="1"/>
    <col min="7" max="9" width="10.33203125" style="8" bestFit="1" customWidth="1"/>
    <col min="10" max="10" width="6.88671875" style="8" bestFit="1" customWidth="1"/>
    <col min="11" max="11" width="4.5546875" style="8" bestFit="1" customWidth="1"/>
    <col min="12" max="12" width="4.44140625" style="8" bestFit="1" customWidth="1"/>
    <col min="13" max="13" width="6.6640625" style="8" bestFit="1" customWidth="1"/>
    <col min="14" max="14" width="6.33203125" style="8" bestFit="1" customWidth="1"/>
    <col min="15" max="15" width="11.109375" style="8" bestFit="1" customWidth="1"/>
    <col min="16" max="16" width="10.44140625" style="8" bestFit="1" customWidth="1"/>
    <col min="17" max="16384" width="9.109375" style="8"/>
  </cols>
  <sheetData>
    <row r="1" spans="1:50" ht="11.25" customHeight="1" x14ac:dyDescent="0.3">
      <c r="A1" s="78" t="s">
        <v>736</v>
      </c>
      <c r="B1" s="78" t="s">
        <v>727</v>
      </c>
      <c r="C1" s="78" t="s">
        <v>1</v>
      </c>
      <c r="D1" s="78" t="s">
        <v>2</v>
      </c>
      <c r="E1" s="78" t="s">
        <v>3</v>
      </c>
      <c r="F1" s="78" t="s">
        <v>4</v>
      </c>
      <c r="G1" s="78" t="s">
        <v>5</v>
      </c>
      <c r="H1" s="78" t="s">
        <v>6</v>
      </c>
      <c r="I1" s="78" t="s">
        <v>7</v>
      </c>
      <c r="J1" s="78" t="s">
        <v>728</v>
      </c>
      <c r="K1" s="78" t="s">
        <v>729</v>
      </c>
      <c r="L1" s="78" t="s">
        <v>730</v>
      </c>
      <c r="M1" s="78" t="s">
        <v>731</v>
      </c>
      <c r="N1" s="78" t="s">
        <v>732</v>
      </c>
      <c r="O1" s="78" t="s">
        <v>630</v>
      </c>
      <c r="P1" s="78" t="s">
        <v>616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3">
      <c r="A2" s="79">
        <v>1</v>
      </c>
      <c r="B2" s="79" t="s">
        <v>610</v>
      </c>
      <c r="C2" s="79" t="s">
        <v>39</v>
      </c>
      <c r="D2" s="79" t="s">
        <v>83</v>
      </c>
      <c r="E2" s="79" t="s">
        <v>25</v>
      </c>
      <c r="F2" s="79" t="s">
        <v>25</v>
      </c>
      <c r="G2" s="79" t="s">
        <v>25</v>
      </c>
      <c r="H2" s="79" t="s">
        <v>25</v>
      </c>
      <c r="I2" s="79" t="s">
        <v>34</v>
      </c>
      <c r="J2" s="79" t="s">
        <v>733</v>
      </c>
      <c r="K2" s="79" t="s">
        <v>734</v>
      </c>
      <c r="L2" s="79" t="s">
        <v>84</v>
      </c>
      <c r="M2" s="79">
        <v>2021</v>
      </c>
      <c r="N2" s="79">
        <v>0</v>
      </c>
      <c r="O2" s="79">
        <v>68.55</v>
      </c>
      <c r="P2" s="79">
        <v>0</v>
      </c>
    </row>
    <row r="3" spans="1:50" ht="11.25" customHeight="1" x14ac:dyDescent="0.3">
      <c r="A3" s="79">
        <v>2</v>
      </c>
      <c r="B3" s="79" t="s">
        <v>610</v>
      </c>
      <c r="C3" s="79" t="s">
        <v>39</v>
      </c>
      <c r="D3" s="79" t="s">
        <v>83</v>
      </c>
      <c r="E3" s="79" t="s">
        <v>25</v>
      </c>
      <c r="F3" s="79" t="s">
        <v>25</v>
      </c>
      <c r="G3" s="79" t="s">
        <v>25</v>
      </c>
      <c r="H3" s="79" t="s">
        <v>25</v>
      </c>
      <c r="I3" s="79" t="s">
        <v>35</v>
      </c>
      <c r="J3" s="79" t="s">
        <v>733</v>
      </c>
      <c r="K3" s="79" t="s">
        <v>734</v>
      </c>
      <c r="L3" s="79" t="s">
        <v>84</v>
      </c>
      <c r="M3" s="79">
        <v>2021</v>
      </c>
      <c r="N3" s="79">
        <v>0</v>
      </c>
      <c r="O3" s="79">
        <v>33.97</v>
      </c>
      <c r="P3" s="79">
        <v>0</v>
      </c>
    </row>
    <row r="4" spans="1:50" ht="11.25" customHeight="1" x14ac:dyDescent="0.3">
      <c r="A4" s="79">
        <v>3</v>
      </c>
      <c r="B4" s="79" t="s">
        <v>610</v>
      </c>
      <c r="C4" s="79" t="s">
        <v>39</v>
      </c>
      <c r="D4" s="79" t="s">
        <v>83</v>
      </c>
      <c r="E4" s="79" t="s">
        <v>25</v>
      </c>
      <c r="F4" s="79" t="s">
        <v>25</v>
      </c>
      <c r="G4" s="79" t="s">
        <v>25</v>
      </c>
      <c r="H4" s="79" t="s">
        <v>25</v>
      </c>
      <c r="I4" s="79" t="s">
        <v>25</v>
      </c>
      <c r="J4" s="79" t="s">
        <v>735</v>
      </c>
      <c r="K4" s="79" t="s">
        <v>734</v>
      </c>
      <c r="L4" s="79" t="s">
        <v>76</v>
      </c>
      <c r="M4" s="79">
        <v>2021</v>
      </c>
      <c r="N4" s="79">
        <v>0</v>
      </c>
      <c r="O4" s="79">
        <v>90.54</v>
      </c>
      <c r="P4" s="79">
        <v>67.4939877039793</v>
      </c>
    </row>
    <row r="5" spans="1:50" ht="11.25" customHeight="1" x14ac:dyDescent="0.3">
      <c r="A5" s="79">
        <v>4</v>
      </c>
      <c r="B5" s="79" t="s">
        <v>610</v>
      </c>
      <c r="C5" s="79" t="s">
        <v>39</v>
      </c>
      <c r="D5" s="79" t="s">
        <v>83</v>
      </c>
      <c r="E5" s="79" t="s">
        <v>25</v>
      </c>
      <c r="F5" s="79" t="s">
        <v>25</v>
      </c>
      <c r="G5" s="79" t="s">
        <v>87</v>
      </c>
      <c r="H5" s="79" t="s">
        <v>25</v>
      </c>
      <c r="I5" s="79" t="s">
        <v>25</v>
      </c>
      <c r="J5" s="79" t="s">
        <v>735</v>
      </c>
      <c r="K5" s="79" t="s">
        <v>734</v>
      </c>
      <c r="L5" s="79" t="s">
        <v>76</v>
      </c>
      <c r="M5" s="79">
        <v>2021</v>
      </c>
      <c r="N5" s="79">
        <v>0</v>
      </c>
      <c r="O5" s="79">
        <v>14.24</v>
      </c>
      <c r="P5" s="79">
        <v>0</v>
      </c>
    </row>
    <row r="6" spans="1:50" ht="11.25" customHeight="1" x14ac:dyDescent="0.3">
      <c r="A6" s="79">
        <v>5</v>
      </c>
      <c r="B6" s="79" t="s">
        <v>610</v>
      </c>
      <c r="C6" s="79" t="s">
        <v>39</v>
      </c>
      <c r="D6" s="79" t="s">
        <v>56</v>
      </c>
      <c r="E6" s="79" t="s">
        <v>25</v>
      </c>
      <c r="F6" s="79" t="s">
        <v>25</v>
      </c>
      <c r="G6" s="79" t="s">
        <v>25</v>
      </c>
      <c r="H6" s="79" t="s">
        <v>58</v>
      </c>
      <c r="I6" s="79" t="s">
        <v>34</v>
      </c>
      <c r="J6" s="79" t="s">
        <v>733</v>
      </c>
      <c r="K6" s="79" t="s">
        <v>734</v>
      </c>
      <c r="L6" s="79" t="s">
        <v>84</v>
      </c>
      <c r="M6" s="79">
        <v>2021</v>
      </c>
      <c r="N6" s="79">
        <v>0</v>
      </c>
      <c r="O6" s="79">
        <v>23.23</v>
      </c>
      <c r="P6" s="79">
        <v>0</v>
      </c>
    </row>
    <row r="7" spans="1:50" ht="11.25" customHeight="1" x14ac:dyDescent="0.3">
      <c r="A7" s="79">
        <v>6</v>
      </c>
      <c r="B7" s="79" t="s">
        <v>610</v>
      </c>
      <c r="C7" s="79" t="s">
        <v>39</v>
      </c>
      <c r="D7" s="79" t="s">
        <v>56</v>
      </c>
      <c r="E7" s="79" t="s">
        <v>25</v>
      </c>
      <c r="F7" s="79" t="s">
        <v>25</v>
      </c>
      <c r="G7" s="79" t="s">
        <v>25</v>
      </c>
      <c r="H7" s="79" t="s">
        <v>58</v>
      </c>
      <c r="I7" s="79" t="s">
        <v>35</v>
      </c>
      <c r="J7" s="79" t="s">
        <v>733</v>
      </c>
      <c r="K7" s="79" t="s">
        <v>734</v>
      </c>
      <c r="L7" s="79" t="s">
        <v>84</v>
      </c>
      <c r="M7" s="79">
        <v>2021</v>
      </c>
      <c r="N7" s="79">
        <v>0</v>
      </c>
      <c r="O7" s="79">
        <v>23.37</v>
      </c>
      <c r="P7" s="79">
        <v>0</v>
      </c>
    </row>
    <row r="8" spans="1:50" ht="11.25" customHeight="1" x14ac:dyDescent="0.3">
      <c r="A8" s="79">
        <v>7</v>
      </c>
      <c r="B8" s="79" t="s">
        <v>610</v>
      </c>
      <c r="C8" s="79" t="s">
        <v>39</v>
      </c>
      <c r="D8" s="79" t="s">
        <v>56</v>
      </c>
      <c r="E8" s="79" t="s">
        <v>25</v>
      </c>
      <c r="F8" s="79" t="s">
        <v>25</v>
      </c>
      <c r="G8" s="79" t="s">
        <v>25</v>
      </c>
      <c r="H8" s="79" t="s">
        <v>58</v>
      </c>
      <c r="I8" s="79" t="s">
        <v>25</v>
      </c>
      <c r="J8" s="79" t="s">
        <v>735</v>
      </c>
      <c r="K8" s="79" t="s">
        <v>734</v>
      </c>
      <c r="L8" s="79" t="s">
        <v>76</v>
      </c>
      <c r="M8" s="79">
        <v>2021</v>
      </c>
      <c r="N8" s="79">
        <v>0</v>
      </c>
      <c r="O8" s="79">
        <v>12.96</v>
      </c>
      <c r="P8" s="79">
        <v>0</v>
      </c>
    </row>
    <row r="9" spans="1:50" ht="11.25" customHeight="1" x14ac:dyDescent="0.3">
      <c r="A9" s="79">
        <v>8</v>
      </c>
      <c r="B9" s="79" t="s">
        <v>610</v>
      </c>
      <c r="C9" s="79" t="s">
        <v>39</v>
      </c>
      <c r="D9" s="79" t="s">
        <v>88</v>
      </c>
      <c r="E9" s="79" t="s">
        <v>25</v>
      </c>
      <c r="F9" s="79" t="s">
        <v>25</v>
      </c>
      <c r="G9" s="79" t="s">
        <v>25</v>
      </c>
      <c r="H9" s="79" t="s">
        <v>25</v>
      </c>
      <c r="I9" s="79" t="s">
        <v>25</v>
      </c>
      <c r="J9" s="79" t="s">
        <v>733</v>
      </c>
      <c r="K9" s="79" t="s">
        <v>734</v>
      </c>
      <c r="L9" s="79" t="s">
        <v>84</v>
      </c>
      <c r="M9" s="79">
        <v>2021</v>
      </c>
      <c r="N9" s="79">
        <v>0</v>
      </c>
      <c r="O9" s="79">
        <v>15.94</v>
      </c>
      <c r="P9" s="79">
        <v>0</v>
      </c>
    </row>
    <row r="10" spans="1:50" ht="11.25" customHeight="1" x14ac:dyDescent="0.3">
      <c r="A10" s="79">
        <v>9</v>
      </c>
      <c r="B10" s="79" t="s">
        <v>610</v>
      </c>
      <c r="C10" s="79" t="s">
        <v>39</v>
      </c>
      <c r="D10" s="79" t="s">
        <v>40</v>
      </c>
      <c r="E10" s="79" t="s">
        <v>25</v>
      </c>
      <c r="F10" s="79" t="s">
        <v>25</v>
      </c>
      <c r="G10" s="79" t="s">
        <v>25</v>
      </c>
      <c r="H10" s="79" t="s">
        <v>25</v>
      </c>
      <c r="I10" s="79" t="s">
        <v>25</v>
      </c>
      <c r="J10" s="79" t="s">
        <v>733</v>
      </c>
      <c r="K10" s="79" t="s">
        <v>734</v>
      </c>
      <c r="L10" s="79" t="s">
        <v>84</v>
      </c>
      <c r="M10" s="79">
        <v>2021</v>
      </c>
      <c r="N10" s="79">
        <v>0</v>
      </c>
      <c r="O10" s="79">
        <v>33.97</v>
      </c>
      <c r="P10" s="79">
        <v>0</v>
      </c>
    </row>
    <row r="11" spans="1:50" ht="11.25" customHeight="1" x14ac:dyDescent="0.3">
      <c r="A11" s="79">
        <v>10</v>
      </c>
      <c r="B11" s="79" t="s">
        <v>610</v>
      </c>
      <c r="C11" s="79" t="s">
        <v>39</v>
      </c>
      <c r="D11" s="79" t="s">
        <v>40</v>
      </c>
      <c r="E11" s="79" t="s">
        <v>25</v>
      </c>
      <c r="F11" s="79" t="s">
        <v>25</v>
      </c>
      <c r="G11" s="79" t="s">
        <v>25</v>
      </c>
      <c r="H11" s="79" t="s">
        <v>25</v>
      </c>
      <c r="I11" s="79" t="s">
        <v>34</v>
      </c>
      <c r="J11" s="79" t="s">
        <v>735</v>
      </c>
      <c r="K11" s="79" t="s">
        <v>734</v>
      </c>
      <c r="L11" s="79" t="s">
        <v>76</v>
      </c>
      <c r="M11" s="79">
        <v>2021</v>
      </c>
      <c r="N11" s="79">
        <v>0</v>
      </c>
      <c r="O11" s="79">
        <v>1755.54</v>
      </c>
      <c r="P11" s="79">
        <v>67.4939877039793</v>
      </c>
    </row>
    <row r="12" spans="1:50" ht="11.25" customHeight="1" x14ac:dyDescent="0.3">
      <c r="A12" s="79">
        <v>11</v>
      </c>
      <c r="B12" s="79" t="s">
        <v>610</v>
      </c>
      <c r="C12" s="79" t="s">
        <v>39</v>
      </c>
      <c r="D12" s="79" t="s">
        <v>40</v>
      </c>
      <c r="E12" s="79" t="s">
        <v>25</v>
      </c>
      <c r="F12" s="79" t="s">
        <v>25</v>
      </c>
      <c r="G12" s="79" t="s">
        <v>25</v>
      </c>
      <c r="H12" s="79" t="s">
        <v>25</v>
      </c>
      <c r="I12" s="79" t="s">
        <v>35</v>
      </c>
      <c r="J12" s="79" t="s">
        <v>735</v>
      </c>
      <c r="K12" s="79" t="s">
        <v>734</v>
      </c>
      <c r="L12" s="79" t="s">
        <v>76</v>
      </c>
      <c r="M12" s="79">
        <v>2021</v>
      </c>
      <c r="N12" s="79">
        <v>0</v>
      </c>
      <c r="O12" s="79">
        <v>90.54</v>
      </c>
      <c r="P12" s="79">
        <v>67.4939877039793</v>
      </c>
    </row>
    <row r="13" spans="1:50" ht="11.25" customHeight="1" x14ac:dyDescent="0.3">
      <c r="A13" s="79">
        <v>12</v>
      </c>
      <c r="B13" s="79" t="s">
        <v>610</v>
      </c>
      <c r="C13" s="79" t="s">
        <v>39</v>
      </c>
      <c r="D13" s="79" t="s">
        <v>40</v>
      </c>
      <c r="E13" s="79" t="s">
        <v>25</v>
      </c>
      <c r="F13" s="79" t="s">
        <v>25</v>
      </c>
      <c r="G13" s="79" t="s">
        <v>87</v>
      </c>
      <c r="H13" s="79" t="s">
        <v>25</v>
      </c>
      <c r="I13" s="79" t="s">
        <v>34</v>
      </c>
      <c r="J13" s="79" t="s">
        <v>735</v>
      </c>
      <c r="K13" s="79" t="s">
        <v>734</v>
      </c>
      <c r="L13" s="79" t="s">
        <v>76</v>
      </c>
      <c r="M13" s="79">
        <v>2021</v>
      </c>
      <c r="N13" s="79">
        <v>0</v>
      </c>
      <c r="O13" s="79">
        <v>1679.24</v>
      </c>
      <c r="P13" s="79">
        <v>0</v>
      </c>
    </row>
    <row r="14" spans="1:50" ht="11.25" customHeight="1" x14ac:dyDescent="0.3">
      <c r="A14" s="79">
        <v>13</v>
      </c>
      <c r="B14" s="79" t="s">
        <v>610</v>
      </c>
      <c r="C14" s="79" t="s">
        <v>39</v>
      </c>
      <c r="D14" s="79" t="s">
        <v>40</v>
      </c>
      <c r="E14" s="79" t="s">
        <v>25</v>
      </c>
      <c r="F14" s="79" t="s">
        <v>25</v>
      </c>
      <c r="G14" s="79" t="s">
        <v>87</v>
      </c>
      <c r="H14" s="79" t="s">
        <v>25</v>
      </c>
      <c r="I14" s="79" t="s">
        <v>35</v>
      </c>
      <c r="J14" s="79" t="s">
        <v>735</v>
      </c>
      <c r="K14" s="79" t="s">
        <v>734</v>
      </c>
      <c r="L14" s="79" t="s">
        <v>76</v>
      </c>
      <c r="M14" s="79">
        <v>2021</v>
      </c>
      <c r="N14" s="79">
        <v>0</v>
      </c>
      <c r="O14" s="79">
        <v>14.24</v>
      </c>
      <c r="P14" s="79">
        <v>0</v>
      </c>
    </row>
    <row r="15" spans="1:50" ht="11.25" customHeight="1" x14ac:dyDescent="0.3">
      <c r="A15" s="79">
        <v>14</v>
      </c>
      <c r="B15" s="79" t="s">
        <v>610</v>
      </c>
      <c r="C15" s="79" t="s">
        <v>90</v>
      </c>
      <c r="D15" s="79" t="s">
        <v>88</v>
      </c>
      <c r="E15" s="79" t="s">
        <v>25</v>
      </c>
      <c r="F15" s="79" t="s">
        <v>25</v>
      </c>
      <c r="G15" s="79" t="s">
        <v>91</v>
      </c>
      <c r="H15" s="79" t="s">
        <v>25</v>
      </c>
      <c r="I15" s="79" t="s">
        <v>25</v>
      </c>
      <c r="J15" s="79" t="s">
        <v>733</v>
      </c>
      <c r="K15" s="79" t="s">
        <v>734</v>
      </c>
      <c r="L15" s="79" t="s">
        <v>84</v>
      </c>
      <c r="M15" s="79">
        <v>2021</v>
      </c>
      <c r="N15" s="79">
        <v>0</v>
      </c>
      <c r="O15" s="79">
        <v>6.25</v>
      </c>
      <c r="P15" s="79">
        <v>0</v>
      </c>
    </row>
    <row r="16" spans="1:50" ht="11.25" customHeight="1" x14ac:dyDescent="0.3">
      <c r="A16" s="79">
        <v>15</v>
      </c>
      <c r="B16" s="79" t="s">
        <v>610</v>
      </c>
      <c r="C16" s="79" t="s">
        <v>90</v>
      </c>
      <c r="D16" s="79" t="s">
        <v>88</v>
      </c>
      <c r="E16" s="79" t="s">
        <v>25</v>
      </c>
      <c r="F16" s="79" t="s">
        <v>25</v>
      </c>
      <c r="G16" s="79" t="s">
        <v>92</v>
      </c>
      <c r="H16" s="79" t="s">
        <v>25</v>
      </c>
      <c r="I16" s="79" t="s">
        <v>25</v>
      </c>
      <c r="J16" s="79" t="s">
        <v>733</v>
      </c>
      <c r="K16" s="79" t="s">
        <v>734</v>
      </c>
      <c r="L16" s="79" t="s">
        <v>84</v>
      </c>
      <c r="M16" s="79">
        <v>2021</v>
      </c>
      <c r="N16" s="79">
        <v>0</v>
      </c>
      <c r="O16" s="79">
        <v>11.37</v>
      </c>
      <c r="P16" s="79">
        <v>0</v>
      </c>
    </row>
    <row r="17" spans="1:16" ht="11.25" customHeight="1" x14ac:dyDescent="0.3">
      <c r="A17" s="79">
        <v>16</v>
      </c>
      <c r="B17" s="79" t="s">
        <v>610</v>
      </c>
      <c r="C17" s="79" t="s">
        <v>22</v>
      </c>
      <c r="D17" s="79" t="s">
        <v>33</v>
      </c>
      <c r="E17" s="79" t="s">
        <v>24</v>
      </c>
      <c r="F17" s="79" t="s">
        <v>24</v>
      </c>
      <c r="G17" s="79" t="s">
        <v>25</v>
      </c>
      <c r="H17" s="79" t="s">
        <v>25</v>
      </c>
      <c r="I17" s="79" t="s">
        <v>34</v>
      </c>
      <c r="J17" s="79" t="s">
        <v>735</v>
      </c>
      <c r="K17" s="79" t="s">
        <v>734</v>
      </c>
      <c r="L17" s="79" t="s">
        <v>76</v>
      </c>
      <c r="M17" s="79">
        <v>2021</v>
      </c>
      <c r="N17" s="79">
        <v>0</v>
      </c>
      <c r="O17" s="79">
        <v>907.08</v>
      </c>
      <c r="P17" s="79">
        <v>77.579296211470407</v>
      </c>
    </row>
    <row r="18" spans="1:16" ht="11.25" customHeight="1" x14ac:dyDescent="0.3">
      <c r="A18" s="79">
        <v>17</v>
      </c>
      <c r="B18" s="79" t="s">
        <v>610</v>
      </c>
      <c r="C18" s="79" t="s">
        <v>22</v>
      </c>
      <c r="D18" s="79" t="s">
        <v>33</v>
      </c>
      <c r="E18" s="79" t="s">
        <v>24</v>
      </c>
      <c r="F18" s="79" t="s">
        <v>24</v>
      </c>
      <c r="G18" s="79" t="s">
        <v>25</v>
      </c>
      <c r="H18" s="79" t="s">
        <v>25</v>
      </c>
      <c r="I18" s="79" t="s">
        <v>36</v>
      </c>
      <c r="J18" s="79" t="s">
        <v>735</v>
      </c>
      <c r="K18" s="79" t="s">
        <v>734</v>
      </c>
      <c r="L18" s="79" t="s">
        <v>76</v>
      </c>
      <c r="M18" s="79">
        <v>2021</v>
      </c>
      <c r="N18" s="79">
        <v>0</v>
      </c>
      <c r="O18" s="79">
        <v>589.08000000000004</v>
      </c>
      <c r="P18" s="79">
        <v>77.579296211470407</v>
      </c>
    </row>
    <row r="19" spans="1:16" ht="11.25" customHeight="1" x14ac:dyDescent="0.3">
      <c r="A19" s="79">
        <v>18</v>
      </c>
      <c r="B19" s="79" t="s">
        <v>610</v>
      </c>
      <c r="C19" s="79" t="s">
        <v>22</v>
      </c>
      <c r="D19" s="79" t="s">
        <v>33</v>
      </c>
      <c r="E19" s="79" t="s">
        <v>24</v>
      </c>
      <c r="F19" s="79" t="s">
        <v>24</v>
      </c>
      <c r="G19" s="79" t="s">
        <v>25</v>
      </c>
      <c r="H19" s="79" t="s">
        <v>25</v>
      </c>
      <c r="I19" s="79" t="s">
        <v>35</v>
      </c>
      <c r="J19" s="79" t="s">
        <v>735</v>
      </c>
      <c r="K19" s="79" t="s">
        <v>734</v>
      </c>
      <c r="L19" s="79" t="s">
        <v>76</v>
      </c>
      <c r="M19" s="79">
        <v>2021</v>
      </c>
      <c r="N19" s="79">
        <v>0</v>
      </c>
      <c r="O19" s="79">
        <v>271.08</v>
      </c>
      <c r="P19" s="79">
        <v>77.579296211470407</v>
      </c>
    </row>
    <row r="20" spans="1:16" ht="11.25" customHeight="1" x14ac:dyDescent="0.3">
      <c r="A20" s="79">
        <v>19</v>
      </c>
      <c r="B20" s="79" t="s">
        <v>610</v>
      </c>
      <c r="C20" s="79" t="s">
        <v>22</v>
      </c>
      <c r="D20" s="79" t="s">
        <v>23</v>
      </c>
      <c r="E20" s="79" t="s">
        <v>24</v>
      </c>
      <c r="F20" s="79" t="s">
        <v>24</v>
      </c>
      <c r="G20" s="79" t="s">
        <v>25</v>
      </c>
      <c r="H20" s="79" t="s">
        <v>25</v>
      </c>
      <c r="I20" s="79" t="s">
        <v>25</v>
      </c>
      <c r="J20" s="79" t="s">
        <v>735</v>
      </c>
      <c r="K20" s="79" t="s">
        <v>734</v>
      </c>
      <c r="L20" s="79" t="s">
        <v>76</v>
      </c>
      <c r="M20" s="79">
        <v>2021</v>
      </c>
      <c r="N20" s="79">
        <v>0</v>
      </c>
      <c r="O20" s="79">
        <v>406.52</v>
      </c>
      <c r="P20" s="79">
        <v>77.579296211470407</v>
      </c>
    </row>
    <row r="21" spans="1:16" ht="11.25" customHeight="1" x14ac:dyDescent="0.3">
      <c r="A21" s="79">
        <v>20</v>
      </c>
      <c r="B21" s="79" t="s">
        <v>610</v>
      </c>
      <c r="C21" s="79" t="s">
        <v>22</v>
      </c>
      <c r="D21" s="79" t="s">
        <v>23</v>
      </c>
      <c r="E21" s="79" t="s">
        <v>24</v>
      </c>
      <c r="F21" s="79" t="s">
        <v>29</v>
      </c>
      <c r="G21" s="79" t="s">
        <v>25</v>
      </c>
      <c r="H21" s="79" t="s">
        <v>25</v>
      </c>
      <c r="I21" s="79" t="s">
        <v>25</v>
      </c>
      <c r="J21" s="79" t="s">
        <v>735</v>
      </c>
      <c r="K21" s="79" t="s">
        <v>734</v>
      </c>
      <c r="L21" s="79" t="s">
        <v>76</v>
      </c>
      <c r="M21" s="79">
        <v>2021</v>
      </c>
      <c r="N21" s="79">
        <v>0</v>
      </c>
      <c r="O21" s="79">
        <v>112.15</v>
      </c>
      <c r="P21" s="79">
        <v>0</v>
      </c>
    </row>
    <row r="22" spans="1:16" ht="11.25" customHeight="1" x14ac:dyDescent="0.3">
      <c r="A22" s="79">
        <v>21</v>
      </c>
      <c r="B22" s="79" t="s">
        <v>610</v>
      </c>
      <c r="C22" s="79" t="s">
        <v>22</v>
      </c>
      <c r="D22" s="79" t="s">
        <v>23</v>
      </c>
      <c r="E22" s="79" t="s">
        <v>24</v>
      </c>
      <c r="F22" s="79" t="s">
        <v>30</v>
      </c>
      <c r="G22" s="79" t="s">
        <v>25</v>
      </c>
      <c r="H22" s="79" t="s">
        <v>25</v>
      </c>
      <c r="I22" s="79" t="s">
        <v>25</v>
      </c>
      <c r="J22" s="79" t="s">
        <v>735</v>
      </c>
      <c r="K22" s="79" t="s">
        <v>734</v>
      </c>
      <c r="L22" s="79" t="s">
        <v>76</v>
      </c>
      <c r="M22" s="79">
        <v>2021</v>
      </c>
      <c r="N22" s="79">
        <v>0</v>
      </c>
      <c r="O22" s="79">
        <v>192.27</v>
      </c>
      <c r="P22" s="79">
        <v>0</v>
      </c>
    </row>
    <row r="23" spans="1:16" ht="11.25" customHeight="1" x14ac:dyDescent="0.3">
      <c r="A23" s="79">
        <v>22</v>
      </c>
      <c r="B23" s="79" t="s">
        <v>610</v>
      </c>
      <c r="C23" s="79" t="s">
        <v>22</v>
      </c>
      <c r="D23" s="79" t="s">
        <v>23</v>
      </c>
      <c r="E23" s="79" t="s">
        <v>24</v>
      </c>
      <c r="F23" s="79" t="s">
        <v>31</v>
      </c>
      <c r="G23" s="79" t="s">
        <v>25</v>
      </c>
      <c r="H23" s="79" t="s">
        <v>25</v>
      </c>
      <c r="I23" s="79" t="s">
        <v>25</v>
      </c>
      <c r="J23" s="79" t="s">
        <v>735</v>
      </c>
      <c r="K23" s="79" t="s">
        <v>734</v>
      </c>
      <c r="L23" s="79" t="s">
        <v>76</v>
      </c>
      <c r="M23" s="79">
        <v>2021</v>
      </c>
      <c r="N23" s="79">
        <v>0</v>
      </c>
      <c r="O23" s="79">
        <v>288.39999999999998</v>
      </c>
      <c r="P23" s="79">
        <v>0</v>
      </c>
    </row>
    <row r="24" spans="1:16" ht="11.25" customHeight="1" x14ac:dyDescent="0.3">
      <c r="A24" s="79">
        <v>23</v>
      </c>
      <c r="B24" s="79" t="s">
        <v>610</v>
      </c>
      <c r="C24" s="79" t="s">
        <v>22</v>
      </c>
      <c r="D24" s="79" t="s">
        <v>23</v>
      </c>
      <c r="E24" s="79" t="s">
        <v>24</v>
      </c>
      <c r="F24" s="79" t="s">
        <v>32</v>
      </c>
      <c r="G24" s="79" t="s">
        <v>25</v>
      </c>
      <c r="H24" s="79" t="s">
        <v>25</v>
      </c>
      <c r="I24" s="79" t="s">
        <v>25</v>
      </c>
      <c r="J24" s="79" t="s">
        <v>735</v>
      </c>
      <c r="K24" s="79" t="s">
        <v>734</v>
      </c>
      <c r="L24" s="79" t="s">
        <v>76</v>
      </c>
      <c r="M24" s="79">
        <v>2021</v>
      </c>
      <c r="N24" s="79">
        <v>0</v>
      </c>
      <c r="O24" s="79">
        <v>320.44</v>
      </c>
      <c r="P24" s="79">
        <v>0</v>
      </c>
    </row>
    <row r="25" spans="1:16" ht="11.25" customHeight="1" x14ac:dyDescent="0.3">
      <c r="A25" s="79">
        <v>24</v>
      </c>
      <c r="B25" s="79" t="s">
        <v>610</v>
      </c>
      <c r="C25" s="79" t="s">
        <v>22</v>
      </c>
      <c r="D25" s="79" t="s">
        <v>95</v>
      </c>
      <c r="E25" s="79" t="s">
        <v>24</v>
      </c>
      <c r="F25" s="79" t="s">
        <v>24</v>
      </c>
      <c r="G25" s="79" t="s">
        <v>25</v>
      </c>
      <c r="H25" s="79" t="s">
        <v>25</v>
      </c>
      <c r="I25" s="79" t="s">
        <v>25</v>
      </c>
      <c r="J25" s="79" t="s">
        <v>735</v>
      </c>
      <c r="K25" s="79" t="s">
        <v>734</v>
      </c>
      <c r="L25" s="79" t="s">
        <v>76</v>
      </c>
      <c r="M25" s="79">
        <v>2021</v>
      </c>
      <c r="N25" s="79">
        <v>0</v>
      </c>
      <c r="O25" s="79">
        <v>406.52</v>
      </c>
      <c r="P25" s="79">
        <v>77.579296211470407</v>
      </c>
    </row>
    <row r="26" spans="1:16" ht="11.25" customHeight="1" x14ac:dyDescent="0.3">
      <c r="A26" s="79">
        <v>25</v>
      </c>
      <c r="B26" s="79" t="s">
        <v>610</v>
      </c>
      <c r="C26" s="79" t="s">
        <v>22</v>
      </c>
      <c r="D26" s="79" t="s">
        <v>95</v>
      </c>
      <c r="E26" s="79" t="s">
        <v>24</v>
      </c>
      <c r="F26" s="79" t="s">
        <v>29</v>
      </c>
      <c r="G26" s="79" t="s">
        <v>25</v>
      </c>
      <c r="H26" s="79" t="s">
        <v>25</v>
      </c>
      <c r="I26" s="79" t="s">
        <v>25</v>
      </c>
      <c r="J26" s="79" t="s">
        <v>735</v>
      </c>
      <c r="K26" s="79" t="s">
        <v>734</v>
      </c>
      <c r="L26" s="79" t="s">
        <v>76</v>
      </c>
      <c r="M26" s="79">
        <v>2021</v>
      </c>
      <c r="N26" s="79">
        <v>0</v>
      </c>
      <c r="O26" s="79">
        <v>112.15</v>
      </c>
      <c r="P26" s="79">
        <v>0</v>
      </c>
    </row>
    <row r="27" spans="1:16" ht="11.25" customHeight="1" x14ac:dyDescent="0.3">
      <c r="A27" s="79">
        <v>26</v>
      </c>
      <c r="B27" s="79" t="s">
        <v>610</v>
      </c>
      <c r="C27" s="79" t="s">
        <v>22</v>
      </c>
      <c r="D27" s="79" t="s">
        <v>95</v>
      </c>
      <c r="E27" s="79" t="s">
        <v>24</v>
      </c>
      <c r="F27" s="79" t="s">
        <v>30</v>
      </c>
      <c r="G27" s="79" t="s">
        <v>25</v>
      </c>
      <c r="H27" s="79" t="s">
        <v>25</v>
      </c>
      <c r="I27" s="79" t="s">
        <v>25</v>
      </c>
      <c r="J27" s="79" t="s">
        <v>735</v>
      </c>
      <c r="K27" s="79" t="s">
        <v>734</v>
      </c>
      <c r="L27" s="79" t="s">
        <v>76</v>
      </c>
      <c r="M27" s="79">
        <v>2021</v>
      </c>
      <c r="N27" s="79">
        <v>0</v>
      </c>
      <c r="O27" s="79">
        <v>192.27</v>
      </c>
      <c r="P27" s="79">
        <v>0</v>
      </c>
    </row>
    <row r="28" spans="1:16" ht="11.25" customHeight="1" x14ac:dyDescent="0.3">
      <c r="A28" s="79">
        <v>27</v>
      </c>
      <c r="B28" s="79" t="s">
        <v>610</v>
      </c>
      <c r="C28" s="79" t="s">
        <v>22</v>
      </c>
      <c r="D28" s="79" t="s">
        <v>95</v>
      </c>
      <c r="E28" s="79" t="s">
        <v>24</v>
      </c>
      <c r="F28" s="79" t="s">
        <v>31</v>
      </c>
      <c r="G28" s="79" t="s">
        <v>25</v>
      </c>
      <c r="H28" s="79" t="s">
        <v>25</v>
      </c>
      <c r="I28" s="79" t="s">
        <v>25</v>
      </c>
      <c r="J28" s="79" t="s">
        <v>735</v>
      </c>
      <c r="K28" s="79" t="s">
        <v>734</v>
      </c>
      <c r="L28" s="79" t="s">
        <v>76</v>
      </c>
      <c r="M28" s="79">
        <v>2021</v>
      </c>
      <c r="N28" s="79">
        <v>0</v>
      </c>
      <c r="O28" s="79">
        <v>288.39999999999998</v>
      </c>
      <c r="P28" s="79">
        <v>0</v>
      </c>
    </row>
    <row r="29" spans="1:16" ht="11.25" customHeight="1" x14ac:dyDescent="0.3">
      <c r="A29" s="79">
        <v>28</v>
      </c>
      <c r="B29" s="79" t="s">
        <v>610</v>
      </c>
      <c r="C29" s="79" t="s">
        <v>22</v>
      </c>
      <c r="D29" s="79" t="s">
        <v>95</v>
      </c>
      <c r="E29" s="79" t="s">
        <v>24</v>
      </c>
      <c r="F29" s="79" t="s">
        <v>32</v>
      </c>
      <c r="G29" s="79" t="s">
        <v>25</v>
      </c>
      <c r="H29" s="79" t="s">
        <v>25</v>
      </c>
      <c r="I29" s="79" t="s">
        <v>25</v>
      </c>
      <c r="J29" s="79" t="s">
        <v>735</v>
      </c>
      <c r="K29" s="79" t="s">
        <v>734</v>
      </c>
      <c r="L29" s="79" t="s">
        <v>76</v>
      </c>
      <c r="M29" s="79">
        <v>2021</v>
      </c>
      <c r="N29" s="79">
        <v>0</v>
      </c>
      <c r="O29" s="79">
        <v>320.44</v>
      </c>
      <c r="P29" s="79">
        <v>0</v>
      </c>
    </row>
    <row r="30" spans="1:16" ht="11.25" customHeight="1" x14ac:dyDescent="0.3">
      <c r="A30" s="79">
        <v>29</v>
      </c>
      <c r="B30" s="79" t="s">
        <v>610</v>
      </c>
      <c r="C30" s="79" t="s">
        <v>42</v>
      </c>
      <c r="D30" s="79" t="s">
        <v>33</v>
      </c>
      <c r="E30" s="79" t="s">
        <v>43</v>
      </c>
      <c r="F30" s="79" t="s">
        <v>25</v>
      </c>
      <c r="G30" s="79" t="s">
        <v>25</v>
      </c>
      <c r="H30" s="79" t="s">
        <v>25</v>
      </c>
      <c r="I30" s="79" t="s">
        <v>34</v>
      </c>
      <c r="J30" s="79" t="s">
        <v>735</v>
      </c>
      <c r="K30" s="79" t="s">
        <v>734</v>
      </c>
      <c r="L30" s="79" t="s">
        <v>76</v>
      </c>
      <c r="M30" s="79">
        <v>2021</v>
      </c>
      <c r="N30" s="79">
        <v>0</v>
      </c>
      <c r="O30" s="79">
        <v>824.14</v>
      </c>
      <c r="P30" s="79">
        <v>68.269780666093993</v>
      </c>
    </row>
    <row r="31" spans="1:16" ht="11.25" customHeight="1" x14ac:dyDescent="0.3">
      <c r="A31" s="79">
        <v>30</v>
      </c>
      <c r="B31" s="79" t="s">
        <v>610</v>
      </c>
      <c r="C31" s="79" t="s">
        <v>42</v>
      </c>
      <c r="D31" s="79" t="s">
        <v>33</v>
      </c>
      <c r="E31" s="79" t="s">
        <v>43</v>
      </c>
      <c r="F31" s="79" t="s">
        <v>25</v>
      </c>
      <c r="G31" s="79" t="s">
        <v>25</v>
      </c>
      <c r="H31" s="79" t="s">
        <v>25</v>
      </c>
      <c r="I31" s="79" t="s">
        <v>36</v>
      </c>
      <c r="J31" s="79" t="s">
        <v>735</v>
      </c>
      <c r="K31" s="79" t="s">
        <v>734</v>
      </c>
      <c r="L31" s="79" t="s">
        <v>76</v>
      </c>
      <c r="M31" s="79">
        <v>2021</v>
      </c>
      <c r="N31" s="79">
        <v>0</v>
      </c>
      <c r="O31" s="79">
        <v>533.92999999999995</v>
      </c>
      <c r="P31" s="79">
        <v>68.269780666093993</v>
      </c>
    </row>
    <row r="32" spans="1:16" ht="11.25" customHeight="1" x14ac:dyDescent="0.3">
      <c r="A32" s="79">
        <v>31</v>
      </c>
      <c r="B32" s="79" t="s">
        <v>610</v>
      </c>
      <c r="C32" s="79" t="s">
        <v>42</v>
      </c>
      <c r="D32" s="79" t="s">
        <v>33</v>
      </c>
      <c r="E32" s="79" t="s">
        <v>43</v>
      </c>
      <c r="F32" s="79" t="s">
        <v>25</v>
      </c>
      <c r="G32" s="79" t="s">
        <v>25</v>
      </c>
      <c r="H32" s="79" t="s">
        <v>25</v>
      </c>
      <c r="I32" s="79" t="s">
        <v>35</v>
      </c>
      <c r="J32" s="79" t="s">
        <v>735</v>
      </c>
      <c r="K32" s="79" t="s">
        <v>734</v>
      </c>
      <c r="L32" s="79" t="s">
        <v>76</v>
      </c>
      <c r="M32" s="79">
        <v>2021</v>
      </c>
      <c r="N32" s="79">
        <v>0</v>
      </c>
      <c r="O32" s="79">
        <v>243.73</v>
      </c>
      <c r="P32" s="79">
        <v>68.269780666093993</v>
      </c>
    </row>
    <row r="33" spans="1:16" ht="11.25" customHeight="1" x14ac:dyDescent="0.3">
      <c r="A33" s="79">
        <v>32</v>
      </c>
      <c r="B33" s="79" t="s">
        <v>610</v>
      </c>
      <c r="C33" s="79" t="s">
        <v>42</v>
      </c>
      <c r="D33" s="79" t="s">
        <v>23</v>
      </c>
      <c r="E33" s="79" t="s">
        <v>43</v>
      </c>
      <c r="F33" s="79" t="s">
        <v>25</v>
      </c>
      <c r="G33" s="79" t="s">
        <v>25</v>
      </c>
      <c r="H33" s="79" t="s">
        <v>25</v>
      </c>
      <c r="I33" s="79" t="s">
        <v>25</v>
      </c>
      <c r="J33" s="79" t="s">
        <v>735</v>
      </c>
      <c r="K33" s="79" t="s">
        <v>734</v>
      </c>
      <c r="L33" s="79" t="s">
        <v>76</v>
      </c>
      <c r="M33" s="79">
        <v>2021</v>
      </c>
      <c r="N33" s="79">
        <v>0</v>
      </c>
      <c r="O33" s="79">
        <v>357.74</v>
      </c>
      <c r="P33" s="79">
        <v>68.269780666093993</v>
      </c>
    </row>
    <row r="34" spans="1:16" ht="11.25" customHeight="1" x14ac:dyDescent="0.3">
      <c r="A34" s="79">
        <v>33</v>
      </c>
      <c r="B34" s="79" t="s">
        <v>610</v>
      </c>
      <c r="C34" s="79" t="s">
        <v>42</v>
      </c>
      <c r="D34" s="79" t="s">
        <v>33</v>
      </c>
      <c r="E34" s="79" t="s">
        <v>43</v>
      </c>
      <c r="F34" s="79" t="s">
        <v>96</v>
      </c>
      <c r="G34" s="79" t="s">
        <v>25</v>
      </c>
      <c r="H34" s="79" t="s">
        <v>25</v>
      </c>
      <c r="I34" s="79" t="s">
        <v>34</v>
      </c>
      <c r="J34" s="79" t="s">
        <v>735</v>
      </c>
      <c r="K34" s="79" t="s">
        <v>734</v>
      </c>
      <c r="L34" s="79" t="s">
        <v>76</v>
      </c>
      <c r="M34" s="79">
        <v>2021</v>
      </c>
      <c r="N34" s="79">
        <v>0</v>
      </c>
      <c r="O34" s="79">
        <v>786.68</v>
      </c>
      <c r="P34" s="79">
        <v>65.166608817635193</v>
      </c>
    </row>
    <row r="35" spans="1:16" ht="11.25" customHeight="1" x14ac:dyDescent="0.3">
      <c r="A35" s="79">
        <v>34</v>
      </c>
      <c r="B35" s="79" t="s">
        <v>610</v>
      </c>
      <c r="C35" s="79" t="s">
        <v>42</v>
      </c>
      <c r="D35" s="79" t="s">
        <v>33</v>
      </c>
      <c r="E35" s="79" t="s">
        <v>43</v>
      </c>
      <c r="F35" s="79" t="s">
        <v>96</v>
      </c>
      <c r="G35" s="79" t="s">
        <v>25</v>
      </c>
      <c r="H35" s="79" t="s">
        <v>25</v>
      </c>
      <c r="I35" s="79" t="s">
        <v>36</v>
      </c>
      <c r="J35" s="79" t="s">
        <v>735</v>
      </c>
      <c r="K35" s="79" t="s">
        <v>734</v>
      </c>
      <c r="L35" s="79" t="s">
        <v>76</v>
      </c>
      <c r="M35" s="79">
        <v>2021</v>
      </c>
      <c r="N35" s="79">
        <v>0</v>
      </c>
      <c r="O35" s="79">
        <v>509.67</v>
      </c>
      <c r="P35" s="79">
        <v>65.166608817635193</v>
      </c>
    </row>
    <row r="36" spans="1:16" ht="11.25" customHeight="1" x14ac:dyDescent="0.3">
      <c r="A36" s="79">
        <v>35</v>
      </c>
      <c r="B36" s="79" t="s">
        <v>610</v>
      </c>
      <c r="C36" s="79" t="s">
        <v>42</v>
      </c>
      <c r="D36" s="79" t="s">
        <v>33</v>
      </c>
      <c r="E36" s="79" t="s">
        <v>43</v>
      </c>
      <c r="F36" s="79" t="s">
        <v>96</v>
      </c>
      <c r="G36" s="79" t="s">
        <v>25</v>
      </c>
      <c r="H36" s="79" t="s">
        <v>25</v>
      </c>
      <c r="I36" s="79" t="s">
        <v>35</v>
      </c>
      <c r="J36" s="79" t="s">
        <v>735</v>
      </c>
      <c r="K36" s="79" t="s">
        <v>734</v>
      </c>
      <c r="L36" s="79" t="s">
        <v>76</v>
      </c>
      <c r="M36" s="79">
        <v>2021</v>
      </c>
      <c r="N36" s="79">
        <v>0</v>
      </c>
      <c r="O36" s="79">
        <v>232.65</v>
      </c>
      <c r="P36" s="79">
        <v>65.166608817635193</v>
      </c>
    </row>
    <row r="37" spans="1:16" ht="11.25" customHeight="1" x14ac:dyDescent="0.3">
      <c r="A37" s="79">
        <v>36</v>
      </c>
      <c r="B37" s="79" t="s">
        <v>610</v>
      </c>
      <c r="C37" s="79" t="s">
        <v>42</v>
      </c>
      <c r="D37" s="79" t="s">
        <v>23</v>
      </c>
      <c r="E37" s="79" t="s">
        <v>43</v>
      </c>
      <c r="F37" s="79" t="s">
        <v>96</v>
      </c>
      <c r="G37" s="79" t="s">
        <v>25</v>
      </c>
      <c r="H37" s="79" t="s">
        <v>25</v>
      </c>
      <c r="I37" s="79" t="s">
        <v>25</v>
      </c>
      <c r="J37" s="79" t="s">
        <v>735</v>
      </c>
      <c r="K37" s="79" t="s">
        <v>734</v>
      </c>
      <c r="L37" s="79" t="s">
        <v>76</v>
      </c>
      <c r="M37" s="79">
        <v>2021</v>
      </c>
      <c r="N37" s="79">
        <v>0</v>
      </c>
      <c r="O37" s="79">
        <v>341.48</v>
      </c>
      <c r="P37" s="79">
        <v>65.166608817635193</v>
      </c>
    </row>
    <row r="38" spans="1:16" ht="11.25" customHeight="1" x14ac:dyDescent="0.3">
      <c r="A38" s="79">
        <v>37</v>
      </c>
      <c r="B38" s="79" t="s">
        <v>610</v>
      </c>
      <c r="C38" s="79" t="s">
        <v>42</v>
      </c>
      <c r="D38" s="79" t="s">
        <v>33</v>
      </c>
      <c r="E38" s="79" t="s">
        <v>43</v>
      </c>
      <c r="F38" s="79" t="s">
        <v>97</v>
      </c>
      <c r="G38" s="79" t="s">
        <v>25</v>
      </c>
      <c r="H38" s="79" t="s">
        <v>25</v>
      </c>
      <c r="I38" s="79" t="s">
        <v>34</v>
      </c>
      <c r="J38" s="79" t="s">
        <v>735</v>
      </c>
      <c r="K38" s="79" t="s">
        <v>734</v>
      </c>
      <c r="L38" s="79" t="s">
        <v>76</v>
      </c>
      <c r="M38" s="79">
        <v>2021</v>
      </c>
      <c r="N38" s="79">
        <v>0</v>
      </c>
      <c r="O38" s="79">
        <v>786.68</v>
      </c>
      <c r="P38" s="79">
        <v>65.166608817635193</v>
      </c>
    </row>
    <row r="39" spans="1:16" ht="11.25" customHeight="1" x14ac:dyDescent="0.3">
      <c r="A39" s="79">
        <v>38</v>
      </c>
      <c r="B39" s="79" t="s">
        <v>610</v>
      </c>
      <c r="C39" s="79" t="s">
        <v>42</v>
      </c>
      <c r="D39" s="79" t="s">
        <v>33</v>
      </c>
      <c r="E39" s="79" t="s">
        <v>43</v>
      </c>
      <c r="F39" s="79" t="s">
        <v>97</v>
      </c>
      <c r="G39" s="79" t="s">
        <v>25</v>
      </c>
      <c r="H39" s="79" t="s">
        <v>25</v>
      </c>
      <c r="I39" s="79" t="s">
        <v>36</v>
      </c>
      <c r="J39" s="79" t="s">
        <v>735</v>
      </c>
      <c r="K39" s="79" t="s">
        <v>734</v>
      </c>
      <c r="L39" s="79" t="s">
        <v>76</v>
      </c>
      <c r="M39" s="79">
        <v>2021</v>
      </c>
      <c r="N39" s="79">
        <v>0</v>
      </c>
      <c r="O39" s="79">
        <v>509.67</v>
      </c>
      <c r="P39" s="79">
        <v>65.166608817635193</v>
      </c>
    </row>
    <row r="40" spans="1:16" ht="11.25" customHeight="1" x14ac:dyDescent="0.3">
      <c r="A40" s="79">
        <v>39</v>
      </c>
      <c r="B40" s="79" t="s">
        <v>610</v>
      </c>
      <c r="C40" s="79" t="s">
        <v>42</v>
      </c>
      <c r="D40" s="79" t="s">
        <v>33</v>
      </c>
      <c r="E40" s="79" t="s">
        <v>43</v>
      </c>
      <c r="F40" s="79" t="s">
        <v>97</v>
      </c>
      <c r="G40" s="79" t="s">
        <v>25</v>
      </c>
      <c r="H40" s="79" t="s">
        <v>25</v>
      </c>
      <c r="I40" s="79" t="s">
        <v>35</v>
      </c>
      <c r="J40" s="79" t="s">
        <v>735</v>
      </c>
      <c r="K40" s="79" t="s">
        <v>734</v>
      </c>
      <c r="L40" s="79" t="s">
        <v>76</v>
      </c>
      <c r="M40" s="79">
        <v>2021</v>
      </c>
      <c r="N40" s="79">
        <v>0</v>
      </c>
      <c r="O40" s="79">
        <v>232.65</v>
      </c>
      <c r="P40" s="79">
        <v>65.166608817635193</v>
      </c>
    </row>
    <row r="41" spans="1:16" ht="11.25" customHeight="1" x14ac:dyDescent="0.3">
      <c r="A41" s="79">
        <v>40</v>
      </c>
      <c r="B41" s="79" t="s">
        <v>610</v>
      </c>
      <c r="C41" s="79" t="s">
        <v>42</v>
      </c>
      <c r="D41" s="79" t="s">
        <v>23</v>
      </c>
      <c r="E41" s="79" t="s">
        <v>43</v>
      </c>
      <c r="F41" s="79" t="s">
        <v>97</v>
      </c>
      <c r="G41" s="79" t="s">
        <v>25</v>
      </c>
      <c r="H41" s="79" t="s">
        <v>25</v>
      </c>
      <c r="I41" s="79" t="s">
        <v>25</v>
      </c>
      <c r="J41" s="79" t="s">
        <v>735</v>
      </c>
      <c r="K41" s="79" t="s">
        <v>734</v>
      </c>
      <c r="L41" s="79" t="s">
        <v>76</v>
      </c>
      <c r="M41" s="79">
        <v>2021</v>
      </c>
      <c r="N41" s="79">
        <v>0</v>
      </c>
      <c r="O41" s="79">
        <v>341.48</v>
      </c>
      <c r="P41" s="79">
        <v>65.166608817635193</v>
      </c>
    </row>
    <row r="42" spans="1:16" ht="11.25" customHeight="1" x14ac:dyDescent="0.3">
      <c r="A42" s="79">
        <v>41</v>
      </c>
      <c r="B42" s="79" t="s">
        <v>610</v>
      </c>
      <c r="C42" s="79" t="s">
        <v>42</v>
      </c>
      <c r="D42" s="79" t="s">
        <v>95</v>
      </c>
      <c r="E42" s="79" t="s">
        <v>43</v>
      </c>
      <c r="F42" s="79" t="s">
        <v>25</v>
      </c>
      <c r="G42" s="79" t="s">
        <v>25</v>
      </c>
      <c r="H42" s="79" t="s">
        <v>25</v>
      </c>
      <c r="I42" s="79" t="s">
        <v>25</v>
      </c>
      <c r="J42" s="79" t="s">
        <v>735</v>
      </c>
      <c r="K42" s="79" t="s">
        <v>734</v>
      </c>
      <c r="L42" s="79" t="s">
        <v>76</v>
      </c>
      <c r="M42" s="79">
        <v>2021</v>
      </c>
      <c r="N42" s="79">
        <v>0</v>
      </c>
      <c r="O42" s="79">
        <v>357.74</v>
      </c>
      <c r="P42" s="79">
        <v>68.269780666093993</v>
      </c>
    </row>
    <row r="43" spans="1:16" ht="11.25" customHeight="1" x14ac:dyDescent="0.3">
      <c r="A43" s="79">
        <v>42</v>
      </c>
      <c r="B43" s="79" t="s">
        <v>610</v>
      </c>
      <c r="C43" s="79" t="s">
        <v>42</v>
      </c>
      <c r="D43" s="79" t="s">
        <v>95</v>
      </c>
      <c r="E43" s="79" t="s">
        <v>43</v>
      </c>
      <c r="F43" s="79" t="s">
        <v>96</v>
      </c>
      <c r="G43" s="79" t="s">
        <v>25</v>
      </c>
      <c r="H43" s="79" t="s">
        <v>25</v>
      </c>
      <c r="I43" s="79" t="s">
        <v>25</v>
      </c>
      <c r="J43" s="79" t="s">
        <v>735</v>
      </c>
      <c r="K43" s="79" t="s">
        <v>734</v>
      </c>
      <c r="L43" s="79" t="s">
        <v>76</v>
      </c>
      <c r="M43" s="79">
        <v>2021</v>
      </c>
      <c r="N43" s="79">
        <v>0</v>
      </c>
      <c r="O43" s="79">
        <v>341.48</v>
      </c>
      <c r="P43" s="79">
        <v>65.166608817635193</v>
      </c>
    </row>
    <row r="44" spans="1:16" ht="11.25" customHeight="1" x14ac:dyDescent="0.3">
      <c r="A44" s="79">
        <v>43</v>
      </c>
      <c r="B44" s="79" t="s">
        <v>610</v>
      </c>
      <c r="C44" s="79" t="s">
        <v>42</v>
      </c>
      <c r="D44" s="79" t="s">
        <v>95</v>
      </c>
      <c r="E44" s="79" t="s">
        <v>43</v>
      </c>
      <c r="F44" s="79" t="s">
        <v>97</v>
      </c>
      <c r="G44" s="79" t="s">
        <v>25</v>
      </c>
      <c r="H44" s="79" t="s">
        <v>25</v>
      </c>
      <c r="I44" s="79" t="s">
        <v>25</v>
      </c>
      <c r="J44" s="79" t="s">
        <v>735</v>
      </c>
      <c r="K44" s="79" t="s">
        <v>734</v>
      </c>
      <c r="L44" s="79" t="s">
        <v>76</v>
      </c>
      <c r="M44" s="79">
        <v>2021</v>
      </c>
      <c r="N44" s="79">
        <v>0</v>
      </c>
      <c r="O44" s="79">
        <v>341.48</v>
      </c>
      <c r="P44" s="79">
        <v>65.166608817635193</v>
      </c>
    </row>
    <row r="45" spans="1:16" ht="11.25" customHeight="1" x14ac:dyDescent="0.3">
      <c r="A45" s="79">
        <v>44</v>
      </c>
      <c r="B45" s="79" t="s">
        <v>610</v>
      </c>
      <c r="C45" s="79" t="s">
        <v>37</v>
      </c>
      <c r="D45" s="79" t="s">
        <v>33</v>
      </c>
      <c r="E45" s="79" t="s">
        <v>25</v>
      </c>
      <c r="F45" s="79" t="s">
        <v>25</v>
      </c>
      <c r="G45" s="79" t="s">
        <v>25</v>
      </c>
      <c r="H45" s="79" t="s">
        <v>25</v>
      </c>
      <c r="I45" s="79" t="s">
        <v>34</v>
      </c>
      <c r="J45" s="79" t="s">
        <v>735</v>
      </c>
      <c r="K45" s="79" t="s">
        <v>734</v>
      </c>
      <c r="L45" s="79" t="s">
        <v>76</v>
      </c>
      <c r="M45" s="79">
        <v>2021</v>
      </c>
      <c r="N45" s="79">
        <v>0</v>
      </c>
      <c r="O45" s="79">
        <v>1127.9100000000001</v>
      </c>
      <c r="P45" s="79">
        <v>77.579296211470407</v>
      </c>
    </row>
    <row r="46" spans="1:16" ht="11.25" customHeight="1" x14ac:dyDescent="0.3">
      <c r="A46" s="79">
        <v>45</v>
      </c>
      <c r="B46" s="79" t="s">
        <v>610</v>
      </c>
      <c r="C46" s="79" t="s">
        <v>37</v>
      </c>
      <c r="D46" s="79" t="s">
        <v>33</v>
      </c>
      <c r="E46" s="79" t="s">
        <v>25</v>
      </c>
      <c r="F46" s="79" t="s">
        <v>25</v>
      </c>
      <c r="G46" s="79" t="s">
        <v>25</v>
      </c>
      <c r="H46" s="79" t="s">
        <v>25</v>
      </c>
      <c r="I46" s="79" t="s">
        <v>36</v>
      </c>
      <c r="J46" s="79" t="s">
        <v>735</v>
      </c>
      <c r="K46" s="79" t="s">
        <v>734</v>
      </c>
      <c r="L46" s="79" t="s">
        <v>76</v>
      </c>
      <c r="M46" s="79">
        <v>2021</v>
      </c>
      <c r="N46" s="79">
        <v>0</v>
      </c>
      <c r="O46" s="79">
        <v>721.58</v>
      </c>
      <c r="P46" s="79">
        <v>77.579296211470407</v>
      </c>
    </row>
    <row r="47" spans="1:16" ht="11.25" customHeight="1" x14ac:dyDescent="0.3">
      <c r="A47" s="79">
        <v>46</v>
      </c>
      <c r="B47" s="79" t="s">
        <v>610</v>
      </c>
      <c r="C47" s="79" t="s">
        <v>37</v>
      </c>
      <c r="D47" s="79" t="s">
        <v>33</v>
      </c>
      <c r="E47" s="79" t="s">
        <v>25</v>
      </c>
      <c r="F47" s="79" t="s">
        <v>25</v>
      </c>
      <c r="G47" s="79" t="s">
        <v>25</v>
      </c>
      <c r="H47" s="79" t="s">
        <v>25</v>
      </c>
      <c r="I47" s="79" t="s">
        <v>35</v>
      </c>
      <c r="J47" s="79" t="s">
        <v>735</v>
      </c>
      <c r="K47" s="79" t="s">
        <v>734</v>
      </c>
      <c r="L47" s="79" t="s">
        <v>76</v>
      </c>
      <c r="M47" s="79">
        <v>2021</v>
      </c>
      <c r="N47" s="79">
        <v>0</v>
      </c>
      <c r="O47" s="79">
        <v>315.24</v>
      </c>
      <c r="P47" s="79">
        <v>77.579296211470407</v>
      </c>
    </row>
    <row r="48" spans="1:16" ht="11.25" customHeight="1" x14ac:dyDescent="0.3">
      <c r="A48" s="79">
        <v>47</v>
      </c>
      <c r="B48" s="79" t="s">
        <v>610</v>
      </c>
      <c r="C48" s="79" t="s">
        <v>37</v>
      </c>
      <c r="D48" s="79" t="s">
        <v>23</v>
      </c>
      <c r="E48" s="79" t="s">
        <v>25</v>
      </c>
      <c r="F48" s="79" t="s">
        <v>25</v>
      </c>
      <c r="G48" s="79" t="s">
        <v>25</v>
      </c>
      <c r="H48" s="79" t="s">
        <v>25</v>
      </c>
      <c r="I48" s="79" t="s">
        <v>25</v>
      </c>
      <c r="J48" s="79" t="s">
        <v>735</v>
      </c>
      <c r="K48" s="79" t="s">
        <v>734</v>
      </c>
      <c r="L48" s="79" t="s">
        <v>76</v>
      </c>
      <c r="M48" s="79">
        <v>2021</v>
      </c>
      <c r="N48" s="79">
        <v>0</v>
      </c>
      <c r="O48" s="79">
        <v>406.52</v>
      </c>
      <c r="P48" s="79">
        <v>77.579296211470407</v>
      </c>
    </row>
    <row r="49" spans="1:16" ht="11.25" customHeight="1" x14ac:dyDescent="0.3">
      <c r="A49" s="79">
        <v>48</v>
      </c>
      <c r="B49" s="79" t="s">
        <v>610</v>
      </c>
      <c r="C49" s="79" t="s">
        <v>37</v>
      </c>
      <c r="D49" s="79" t="s">
        <v>95</v>
      </c>
      <c r="E49" s="79" t="s">
        <v>25</v>
      </c>
      <c r="F49" s="79" t="s">
        <v>25</v>
      </c>
      <c r="G49" s="79" t="s">
        <v>25</v>
      </c>
      <c r="H49" s="79" t="s">
        <v>25</v>
      </c>
      <c r="I49" s="79" t="s">
        <v>25</v>
      </c>
      <c r="J49" s="79" t="s">
        <v>735</v>
      </c>
      <c r="K49" s="79" t="s">
        <v>734</v>
      </c>
      <c r="L49" s="79" t="s">
        <v>76</v>
      </c>
      <c r="M49" s="79">
        <v>2021</v>
      </c>
      <c r="N49" s="79">
        <v>0</v>
      </c>
      <c r="O49" s="79">
        <v>406.52</v>
      </c>
      <c r="P49" s="79">
        <v>77.579296211470407</v>
      </c>
    </row>
    <row r="50" spans="1:16" ht="11.25" customHeight="1" x14ac:dyDescent="0.3">
      <c r="A50" s="79">
        <v>49</v>
      </c>
      <c r="B50" s="79" t="s">
        <v>610</v>
      </c>
      <c r="C50" s="79" t="s">
        <v>45</v>
      </c>
      <c r="D50" s="79" t="s">
        <v>23</v>
      </c>
      <c r="E50" s="79" t="s">
        <v>46</v>
      </c>
      <c r="F50" s="79" t="s">
        <v>47</v>
      </c>
      <c r="G50" s="79" t="s">
        <v>25</v>
      </c>
      <c r="H50" s="79" t="s">
        <v>25</v>
      </c>
      <c r="I50" s="79" t="s">
        <v>25</v>
      </c>
      <c r="J50" s="79" t="s">
        <v>735</v>
      </c>
      <c r="K50" s="79" t="s">
        <v>734</v>
      </c>
      <c r="L50" s="79" t="s">
        <v>76</v>
      </c>
      <c r="M50" s="79">
        <v>2021</v>
      </c>
      <c r="N50" s="79">
        <v>0</v>
      </c>
      <c r="O50" s="79">
        <v>223.59</v>
      </c>
      <c r="P50" s="79">
        <v>42.668612916308803</v>
      </c>
    </row>
    <row r="51" spans="1:16" ht="11.25" customHeight="1" x14ac:dyDescent="0.3">
      <c r="A51" s="79">
        <v>50</v>
      </c>
      <c r="B51" s="79" t="s">
        <v>610</v>
      </c>
      <c r="C51" s="79" t="s">
        <v>45</v>
      </c>
      <c r="D51" s="79" t="s">
        <v>23</v>
      </c>
      <c r="E51" s="79" t="s">
        <v>46</v>
      </c>
      <c r="F51" s="79" t="s">
        <v>98</v>
      </c>
      <c r="G51" s="79" t="s">
        <v>25</v>
      </c>
      <c r="H51" s="79" t="s">
        <v>25</v>
      </c>
      <c r="I51" s="79" t="s">
        <v>25</v>
      </c>
      <c r="J51" s="79" t="s">
        <v>735</v>
      </c>
      <c r="K51" s="79" t="s">
        <v>734</v>
      </c>
      <c r="L51" s="79" t="s">
        <v>76</v>
      </c>
      <c r="M51" s="79">
        <v>2021</v>
      </c>
      <c r="N51" s="79">
        <v>0</v>
      </c>
      <c r="O51" s="79">
        <v>243.91</v>
      </c>
      <c r="P51" s="79">
        <v>46.547577726882302</v>
      </c>
    </row>
    <row r="52" spans="1:16" ht="11.25" customHeight="1" x14ac:dyDescent="0.3">
      <c r="A52" s="79">
        <v>51</v>
      </c>
      <c r="B52" s="79" t="s">
        <v>638</v>
      </c>
      <c r="C52" s="79" t="s">
        <v>39</v>
      </c>
      <c r="D52" s="79" t="s">
        <v>75</v>
      </c>
      <c r="E52" s="79" t="s">
        <v>25</v>
      </c>
      <c r="F52" s="79" t="s">
        <v>25</v>
      </c>
      <c r="G52" s="79" t="s">
        <v>25</v>
      </c>
      <c r="H52" s="79" t="s">
        <v>25</v>
      </c>
      <c r="I52" s="79" t="s">
        <v>34</v>
      </c>
      <c r="J52" s="79" t="s">
        <v>735</v>
      </c>
      <c r="K52" s="79" t="s">
        <v>734</v>
      </c>
      <c r="L52" s="79" t="s">
        <v>76</v>
      </c>
      <c r="M52" s="79">
        <v>2021</v>
      </c>
      <c r="N52" s="79">
        <v>0</v>
      </c>
      <c r="O52" s="79">
        <v>298.83999999999997</v>
      </c>
      <c r="P52" s="79"/>
    </row>
    <row r="53" spans="1:16" ht="11.25" customHeight="1" x14ac:dyDescent="0.3">
      <c r="A53" s="79">
        <v>52</v>
      </c>
      <c r="B53" s="79" t="s">
        <v>638</v>
      </c>
      <c r="C53" s="79" t="s">
        <v>39</v>
      </c>
      <c r="D53" s="79" t="s">
        <v>75</v>
      </c>
      <c r="E53" s="79" t="s">
        <v>25</v>
      </c>
      <c r="F53" s="79" t="s">
        <v>25</v>
      </c>
      <c r="G53" s="79" t="s">
        <v>25</v>
      </c>
      <c r="H53" s="79" t="s">
        <v>25</v>
      </c>
      <c r="I53" s="79" t="s">
        <v>35</v>
      </c>
      <c r="J53" s="79" t="s">
        <v>735</v>
      </c>
      <c r="K53" s="79" t="s">
        <v>734</v>
      </c>
      <c r="L53" s="79" t="s">
        <v>76</v>
      </c>
      <c r="M53" s="79">
        <v>2021</v>
      </c>
      <c r="N53" s="79">
        <v>0</v>
      </c>
      <c r="O53" s="79">
        <v>189.96</v>
      </c>
      <c r="P53" s="79"/>
    </row>
    <row r="54" spans="1:16" ht="11.25" customHeight="1" x14ac:dyDescent="0.3">
      <c r="A54" s="79">
        <v>53</v>
      </c>
      <c r="B54" s="79" t="s">
        <v>638</v>
      </c>
      <c r="C54" s="79" t="s">
        <v>39</v>
      </c>
      <c r="D54" s="79" t="s">
        <v>79</v>
      </c>
      <c r="E54" s="79" t="s">
        <v>25</v>
      </c>
      <c r="F54" s="79" t="s">
        <v>25</v>
      </c>
      <c r="G54" s="79" t="s">
        <v>80</v>
      </c>
      <c r="H54" s="79" t="s">
        <v>25</v>
      </c>
      <c r="I54" s="79" t="s">
        <v>25</v>
      </c>
      <c r="J54" s="79" t="s">
        <v>735</v>
      </c>
      <c r="K54" s="79" t="s">
        <v>734</v>
      </c>
      <c r="L54" s="79" t="s">
        <v>76</v>
      </c>
      <c r="M54" s="79">
        <v>2021</v>
      </c>
      <c r="N54" s="79">
        <v>0</v>
      </c>
      <c r="O54" s="79">
        <v>215.96</v>
      </c>
      <c r="P54" s="79"/>
    </row>
    <row r="55" spans="1:16" ht="11.25" customHeight="1" x14ac:dyDescent="0.3">
      <c r="A55" s="79">
        <v>54</v>
      </c>
      <c r="B55" s="79" t="s">
        <v>638</v>
      </c>
      <c r="C55" s="79" t="s">
        <v>39</v>
      </c>
      <c r="D55" s="79" t="s">
        <v>89</v>
      </c>
      <c r="E55" s="79" t="s">
        <v>25</v>
      </c>
      <c r="F55" s="79" t="s">
        <v>25</v>
      </c>
      <c r="G55" s="79" t="s">
        <v>80</v>
      </c>
      <c r="H55" s="79" t="s">
        <v>25</v>
      </c>
      <c r="I55" s="79" t="s">
        <v>25</v>
      </c>
      <c r="J55" s="79" t="s">
        <v>735</v>
      </c>
      <c r="K55" s="79" t="s">
        <v>734</v>
      </c>
      <c r="L55" s="79" t="s">
        <v>76</v>
      </c>
      <c r="M55" s="79">
        <v>2021</v>
      </c>
      <c r="N55" s="79">
        <v>0</v>
      </c>
      <c r="O55" s="79">
        <v>215.96</v>
      </c>
      <c r="P55" s="79"/>
    </row>
    <row r="56" spans="1:16" ht="11.25" customHeight="1" x14ac:dyDescent="0.3">
      <c r="A56" s="79">
        <v>55</v>
      </c>
      <c r="B56" s="79" t="s">
        <v>638</v>
      </c>
      <c r="C56" s="79" t="s">
        <v>39</v>
      </c>
      <c r="D56" s="79" t="s">
        <v>79</v>
      </c>
      <c r="E56" s="79" t="s">
        <v>25</v>
      </c>
      <c r="F56" s="79" t="s">
        <v>25</v>
      </c>
      <c r="G56" s="79" t="s">
        <v>25</v>
      </c>
      <c r="H56" s="79" t="s">
        <v>25</v>
      </c>
      <c r="I56" s="79" t="s">
        <v>25</v>
      </c>
      <c r="J56" s="79" t="s">
        <v>735</v>
      </c>
      <c r="K56" s="79" t="s">
        <v>734</v>
      </c>
      <c r="L56" s="79" t="s">
        <v>76</v>
      </c>
      <c r="M56" s="79">
        <v>2021</v>
      </c>
      <c r="N56" s="79">
        <v>0</v>
      </c>
      <c r="O56" s="79">
        <v>195.48</v>
      </c>
      <c r="P56" s="79"/>
    </row>
    <row r="57" spans="1:16" ht="11.25" customHeight="1" x14ac:dyDescent="0.3">
      <c r="A57" s="79">
        <v>56</v>
      </c>
      <c r="B57" s="79" t="s">
        <v>638</v>
      </c>
      <c r="C57" s="79" t="s">
        <v>22</v>
      </c>
      <c r="D57" s="79" t="s">
        <v>75</v>
      </c>
      <c r="E57" s="79" t="s">
        <v>24</v>
      </c>
      <c r="F57" s="79" t="s">
        <v>24</v>
      </c>
      <c r="G57" s="79" t="s">
        <v>25</v>
      </c>
      <c r="H57" s="79" t="s">
        <v>25</v>
      </c>
      <c r="I57" s="79" t="s">
        <v>34</v>
      </c>
      <c r="J57" s="79" t="s">
        <v>735</v>
      </c>
      <c r="K57" s="79" t="s">
        <v>734</v>
      </c>
      <c r="L57" s="79" t="s">
        <v>76</v>
      </c>
      <c r="M57" s="79">
        <v>2021</v>
      </c>
      <c r="N57" s="79">
        <v>0</v>
      </c>
      <c r="O57" s="79">
        <v>298.83999999999997</v>
      </c>
      <c r="P57" s="79"/>
    </row>
    <row r="58" spans="1:16" ht="11.25" customHeight="1" x14ac:dyDescent="0.3">
      <c r="A58" s="79">
        <v>57</v>
      </c>
      <c r="B58" s="79" t="s">
        <v>638</v>
      </c>
      <c r="C58" s="79" t="s">
        <v>22</v>
      </c>
      <c r="D58" s="79" t="s">
        <v>75</v>
      </c>
      <c r="E58" s="79" t="s">
        <v>24</v>
      </c>
      <c r="F58" s="79" t="s">
        <v>24</v>
      </c>
      <c r="G58" s="79" t="s">
        <v>25</v>
      </c>
      <c r="H58" s="79" t="s">
        <v>25</v>
      </c>
      <c r="I58" s="79" t="s">
        <v>36</v>
      </c>
      <c r="J58" s="79" t="s">
        <v>735</v>
      </c>
      <c r="K58" s="79" t="s">
        <v>734</v>
      </c>
      <c r="L58" s="79" t="s">
        <v>76</v>
      </c>
      <c r="M58" s="79">
        <v>2021</v>
      </c>
      <c r="N58" s="79">
        <v>0</v>
      </c>
      <c r="O58" s="79">
        <v>189.96</v>
      </c>
      <c r="P58" s="79"/>
    </row>
    <row r="59" spans="1:16" ht="11.25" customHeight="1" x14ac:dyDescent="0.3">
      <c r="A59" s="79">
        <v>58</v>
      </c>
      <c r="B59" s="79" t="s">
        <v>638</v>
      </c>
      <c r="C59" s="79" t="s">
        <v>22</v>
      </c>
      <c r="D59" s="79" t="s">
        <v>75</v>
      </c>
      <c r="E59" s="79" t="s">
        <v>24</v>
      </c>
      <c r="F59" s="79" t="s">
        <v>24</v>
      </c>
      <c r="G59" s="79" t="s">
        <v>25</v>
      </c>
      <c r="H59" s="79" t="s">
        <v>25</v>
      </c>
      <c r="I59" s="79" t="s">
        <v>35</v>
      </c>
      <c r="J59" s="79" t="s">
        <v>735</v>
      </c>
      <c r="K59" s="79" t="s">
        <v>734</v>
      </c>
      <c r="L59" s="79" t="s">
        <v>76</v>
      </c>
      <c r="M59" s="79">
        <v>2021</v>
      </c>
      <c r="N59" s="79">
        <v>0</v>
      </c>
      <c r="O59" s="79">
        <v>189.96</v>
      </c>
      <c r="P59" s="79"/>
    </row>
    <row r="60" spans="1:16" ht="11.25" customHeight="1" x14ac:dyDescent="0.3">
      <c r="A60" s="79">
        <v>59</v>
      </c>
      <c r="B60" s="79" t="s">
        <v>638</v>
      </c>
      <c r="C60" s="79" t="s">
        <v>22</v>
      </c>
      <c r="D60" s="79" t="s">
        <v>82</v>
      </c>
      <c r="E60" s="79" t="s">
        <v>24</v>
      </c>
      <c r="F60" s="79" t="s">
        <v>24</v>
      </c>
      <c r="G60" s="79" t="s">
        <v>25</v>
      </c>
      <c r="H60" s="79" t="s">
        <v>25</v>
      </c>
      <c r="I60" s="79" t="s">
        <v>25</v>
      </c>
      <c r="J60" s="79" t="s">
        <v>735</v>
      </c>
      <c r="K60" s="79" t="s">
        <v>734</v>
      </c>
      <c r="L60" s="79" t="s">
        <v>76</v>
      </c>
      <c r="M60" s="79">
        <v>2021</v>
      </c>
      <c r="N60" s="79">
        <v>0</v>
      </c>
      <c r="O60" s="79">
        <v>199.03</v>
      </c>
      <c r="P60" s="79"/>
    </row>
    <row r="61" spans="1:16" ht="11.25" customHeight="1" x14ac:dyDescent="0.3">
      <c r="A61" s="79">
        <v>60</v>
      </c>
      <c r="B61" s="79" t="s">
        <v>638</v>
      </c>
      <c r="C61" s="79" t="s">
        <v>22</v>
      </c>
      <c r="D61" s="79" t="s">
        <v>82</v>
      </c>
      <c r="E61" s="79" t="s">
        <v>24</v>
      </c>
      <c r="F61" s="79" t="s">
        <v>29</v>
      </c>
      <c r="G61" s="79" t="s">
        <v>25</v>
      </c>
      <c r="H61" s="79" t="s">
        <v>25</v>
      </c>
      <c r="I61" s="79" t="s">
        <v>25</v>
      </c>
      <c r="J61" s="79" t="s">
        <v>735</v>
      </c>
      <c r="K61" s="79" t="s">
        <v>734</v>
      </c>
      <c r="L61" s="79" t="s">
        <v>76</v>
      </c>
      <c r="M61" s="79">
        <v>2021</v>
      </c>
      <c r="N61" s="79">
        <v>0</v>
      </c>
      <c r="O61" s="79">
        <v>69.66</v>
      </c>
      <c r="P61" s="79"/>
    </row>
    <row r="62" spans="1:16" ht="11.25" customHeight="1" x14ac:dyDescent="0.3">
      <c r="A62" s="79">
        <v>61</v>
      </c>
      <c r="B62" s="79" t="s">
        <v>638</v>
      </c>
      <c r="C62" s="79" t="s">
        <v>22</v>
      </c>
      <c r="D62" s="79" t="s">
        <v>82</v>
      </c>
      <c r="E62" s="79" t="s">
        <v>24</v>
      </c>
      <c r="F62" s="79" t="s">
        <v>30</v>
      </c>
      <c r="G62" s="79" t="s">
        <v>25</v>
      </c>
      <c r="H62" s="79" t="s">
        <v>25</v>
      </c>
      <c r="I62" s="79" t="s">
        <v>25</v>
      </c>
      <c r="J62" s="79" t="s">
        <v>735</v>
      </c>
      <c r="K62" s="79" t="s">
        <v>734</v>
      </c>
      <c r="L62" s="79" t="s">
        <v>76</v>
      </c>
      <c r="M62" s="79">
        <v>2021</v>
      </c>
      <c r="N62" s="79">
        <v>0</v>
      </c>
      <c r="O62" s="79">
        <v>119.42</v>
      </c>
      <c r="P62" s="79"/>
    </row>
    <row r="63" spans="1:16" ht="11.25" customHeight="1" x14ac:dyDescent="0.3">
      <c r="A63" s="79">
        <v>62</v>
      </c>
      <c r="B63" s="79" t="s">
        <v>638</v>
      </c>
      <c r="C63" s="79" t="s">
        <v>22</v>
      </c>
      <c r="D63" s="79" t="s">
        <v>82</v>
      </c>
      <c r="E63" s="79" t="s">
        <v>24</v>
      </c>
      <c r="F63" s="79" t="s">
        <v>31</v>
      </c>
      <c r="G63" s="79" t="s">
        <v>25</v>
      </c>
      <c r="H63" s="79" t="s">
        <v>25</v>
      </c>
      <c r="I63" s="79" t="s">
        <v>25</v>
      </c>
      <c r="J63" s="79" t="s">
        <v>735</v>
      </c>
      <c r="K63" s="79" t="s">
        <v>734</v>
      </c>
      <c r="L63" s="79" t="s">
        <v>76</v>
      </c>
      <c r="M63" s="79">
        <v>2021</v>
      </c>
      <c r="N63" s="79">
        <v>0</v>
      </c>
      <c r="O63" s="79">
        <v>179.13</v>
      </c>
      <c r="P63" s="79"/>
    </row>
    <row r="64" spans="1:16" ht="11.25" customHeight="1" x14ac:dyDescent="0.3">
      <c r="A64" s="79">
        <v>63</v>
      </c>
      <c r="B64" s="79" t="s">
        <v>638</v>
      </c>
      <c r="C64" s="79" t="s">
        <v>22</v>
      </c>
      <c r="D64" s="79" t="s">
        <v>82</v>
      </c>
      <c r="E64" s="79" t="s">
        <v>24</v>
      </c>
      <c r="F64" s="79" t="s">
        <v>32</v>
      </c>
      <c r="G64" s="79" t="s">
        <v>25</v>
      </c>
      <c r="H64" s="79" t="s">
        <v>25</v>
      </c>
      <c r="I64" s="79" t="s">
        <v>25</v>
      </c>
      <c r="J64" s="79" t="s">
        <v>735</v>
      </c>
      <c r="K64" s="79" t="s">
        <v>734</v>
      </c>
      <c r="L64" s="79" t="s">
        <v>76</v>
      </c>
      <c r="M64" s="79">
        <v>2021</v>
      </c>
      <c r="N64" s="79">
        <v>0</v>
      </c>
      <c r="O64" s="79">
        <v>199.03</v>
      </c>
      <c r="P64" s="79"/>
    </row>
    <row r="65" spans="1:16" ht="11.25" customHeight="1" x14ac:dyDescent="0.3">
      <c r="A65" s="79">
        <v>64</v>
      </c>
      <c r="B65" s="79" t="s">
        <v>638</v>
      </c>
      <c r="C65" s="79" t="s">
        <v>22</v>
      </c>
      <c r="D65" s="79" t="s">
        <v>94</v>
      </c>
      <c r="E65" s="79" t="s">
        <v>24</v>
      </c>
      <c r="F65" s="79" t="s">
        <v>24</v>
      </c>
      <c r="G65" s="79" t="s">
        <v>25</v>
      </c>
      <c r="H65" s="79" t="s">
        <v>25</v>
      </c>
      <c r="I65" s="79" t="s">
        <v>25</v>
      </c>
      <c r="J65" s="79" t="s">
        <v>735</v>
      </c>
      <c r="K65" s="79" t="s">
        <v>734</v>
      </c>
      <c r="L65" s="79" t="s">
        <v>76</v>
      </c>
      <c r="M65" s="79">
        <v>2021</v>
      </c>
      <c r="N65" s="79">
        <v>0</v>
      </c>
      <c r="O65" s="79">
        <v>199.03</v>
      </c>
      <c r="P65" s="79"/>
    </row>
    <row r="66" spans="1:16" ht="11.25" customHeight="1" x14ac:dyDescent="0.3">
      <c r="A66" s="79">
        <v>65</v>
      </c>
      <c r="B66" s="79" t="s">
        <v>638</v>
      </c>
      <c r="C66" s="79" t="s">
        <v>22</v>
      </c>
      <c r="D66" s="79" t="s">
        <v>94</v>
      </c>
      <c r="E66" s="79" t="s">
        <v>24</v>
      </c>
      <c r="F66" s="79" t="s">
        <v>29</v>
      </c>
      <c r="G66" s="79" t="s">
        <v>25</v>
      </c>
      <c r="H66" s="79" t="s">
        <v>25</v>
      </c>
      <c r="I66" s="79" t="s">
        <v>25</v>
      </c>
      <c r="J66" s="79" t="s">
        <v>735</v>
      </c>
      <c r="K66" s="79" t="s">
        <v>734</v>
      </c>
      <c r="L66" s="79" t="s">
        <v>76</v>
      </c>
      <c r="M66" s="79">
        <v>2021</v>
      </c>
      <c r="N66" s="79">
        <v>0</v>
      </c>
      <c r="O66" s="79">
        <v>69.66</v>
      </c>
      <c r="P66" s="79"/>
    </row>
    <row r="67" spans="1:16" ht="11.25" customHeight="1" x14ac:dyDescent="0.3">
      <c r="A67" s="79">
        <v>66</v>
      </c>
      <c r="B67" s="79" t="s">
        <v>638</v>
      </c>
      <c r="C67" s="79" t="s">
        <v>22</v>
      </c>
      <c r="D67" s="79" t="s">
        <v>94</v>
      </c>
      <c r="E67" s="79" t="s">
        <v>24</v>
      </c>
      <c r="F67" s="79" t="s">
        <v>30</v>
      </c>
      <c r="G67" s="79" t="s">
        <v>25</v>
      </c>
      <c r="H67" s="79" t="s">
        <v>25</v>
      </c>
      <c r="I67" s="79" t="s">
        <v>25</v>
      </c>
      <c r="J67" s="79" t="s">
        <v>735</v>
      </c>
      <c r="K67" s="79" t="s">
        <v>734</v>
      </c>
      <c r="L67" s="79" t="s">
        <v>76</v>
      </c>
      <c r="M67" s="79">
        <v>2021</v>
      </c>
      <c r="N67" s="79">
        <v>0</v>
      </c>
      <c r="O67" s="79">
        <v>119.42</v>
      </c>
      <c r="P67" s="79"/>
    </row>
    <row r="68" spans="1:16" ht="11.25" customHeight="1" x14ac:dyDescent="0.3">
      <c r="A68" s="79">
        <v>67</v>
      </c>
      <c r="B68" s="79" t="s">
        <v>638</v>
      </c>
      <c r="C68" s="79" t="s">
        <v>22</v>
      </c>
      <c r="D68" s="79" t="s">
        <v>94</v>
      </c>
      <c r="E68" s="79" t="s">
        <v>24</v>
      </c>
      <c r="F68" s="79" t="s">
        <v>31</v>
      </c>
      <c r="G68" s="79" t="s">
        <v>25</v>
      </c>
      <c r="H68" s="79" t="s">
        <v>25</v>
      </c>
      <c r="I68" s="79" t="s">
        <v>25</v>
      </c>
      <c r="J68" s="79" t="s">
        <v>735</v>
      </c>
      <c r="K68" s="79" t="s">
        <v>734</v>
      </c>
      <c r="L68" s="79" t="s">
        <v>76</v>
      </c>
      <c r="M68" s="79">
        <v>2021</v>
      </c>
      <c r="N68" s="79">
        <v>0</v>
      </c>
      <c r="O68" s="79">
        <v>179.13</v>
      </c>
      <c r="P68" s="79"/>
    </row>
    <row r="69" spans="1:16" ht="11.25" customHeight="1" x14ac:dyDescent="0.3">
      <c r="A69" s="79">
        <v>68</v>
      </c>
      <c r="B69" s="79" t="s">
        <v>638</v>
      </c>
      <c r="C69" s="79" t="s">
        <v>22</v>
      </c>
      <c r="D69" s="79" t="s">
        <v>94</v>
      </c>
      <c r="E69" s="79" t="s">
        <v>24</v>
      </c>
      <c r="F69" s="79" t="s">
        <v>32</v>
      </c>
      <c r="G69" s="79" t="s">
        <v>25</v>
      </c>
      <c r="H69" s="79" t="s">
        <v>25</v>
      </c>
      <c r="I69" s="79" t="s">
        <v>25</v>
      </c>
      <c r="J69" s="79" t="s">
        <v>735</v>
      </c>
      <c r="K69" s="79" t="s">
        <v>734</v>
      </c>
      <c r="L69" s="79" t="s">
        <v>76</v>
      </c>
      <c r="M69" s="79">
        <v>2021</v>
      </c>
      <c r="N69" s="79">
        <v>0</v>
      </c>
      <c r="O69" s="79">
        <v>199.03</v>
      </c>
      <c r="P69" s="79"/>
    </row>
    <row r="70" spans="1:16" ht="11.25" customHeight="1" x14ac:dyDescent="0.3">
      <c r="A70" s="79">
        <v>69</v>
      </c>
      <c r="B70" s="79" t="s">
        <v>638</v>
      </c>
      <c r="C70" s="79" t="s">
        <v>42</v>
      </c>
      <c r="D70" s="79" t="s">
        <v>75</v>
      </c>
      <c r="E70" s="79" t="s">
        <v>43</v>
      </c>
      <c r="F70" s="79" t="s">
        <v>25</v>
      </c>
      <c r="G70" s="79" t="s">
        <v>25</v>
      </c>
      <c r="H70" s="79" t="s">
        <v>25</v>
      </c>
      <c r="I70" s="79" t="s">
        <v>34</v>
      </c>
      <c r="J70" s="79" t="s">
        <v>735</v>
      </c>
      <c r="K70" s="79" t="s">
        <v>734</v>
      </c>
      <c r="L70" s="79" t="s">
        <v>76</v>
      </c>
      <c r="M70" s="79">
        <v>2021</v>
      </c>
      <c r="N70" s="79">
        <v>0</v>
      </c>
      <c r="O70" s="79">
        <v>262.98</v>
      </c>
      <c r="P70" s="79"/>
    </row>
    <row r="71" spans="1:16" ht="11.25" customHeight="1" x14ac:dyDescent="0.3">
      <c r="A71" s="79">
        <v>70</v>
      </c>
      <c r="B71" s="79" t="s">
        <v>638</v>
      </c>
      <c r="C71" s="79" t="s">
        <v>42</v>
      </c>
      <c r="D71" s="79" t="s">
        <v>75</v>
      </c>
      <c r="E71" s="79" t="s">
        <v>43</v>
      </c>
      <c r="F71" s="79" t="s">
        <v>25</v>
      </c>
      <c r="G71" s="79" t="s">
        <v>25</v>
      </c>
      <c r="H71" s="79" t="s">
        <v>25</v>
      </c>
      <c r="I71" s="79" t="s">
        <v>36</v>
      </c>
      <c r="J71" s="79" t="s">
        <v>735</v>
      </c>
      <c r="K71" s="79" t="s">
        <v>734</v>
      </c>
      <c r="L71" s="79" t="s">
        <v>76</v>
      </c>
      <c r="M71" s="79">
        <v>2021</v>
      </c>
      <c r="N71" s="79">
        <v>0</v>
      </c>
      <c r="O71" s="79">
        <v>167.16</v>
      </c>
      <c r="P71" s="79"/>
    </row>
    <row r="72" spans="1:16" ht="11.25" customHeight="1" x14ac:dyDescent="0.3">
      <c r="A72" s="79">
        <v>71</v>
      </c>
      <c r="B72" s="79" t="s">
        <v>638</v>
      </c>
      <c r="C72" s="79" t="s">
        <v>42</v>
      </c>
      <c r="D72" s="79" t="s">
        <v>75</v>
      </c>
      <c r="E72" s="79" t="s">
        <v>43</v>
      </c>
      <c r="F72" s="79" t="s">
        <v>25</v>
      </c>
      <c r="G72" s="79" t="s">
        <v>25</v>
      </c>
      <c r="H72" s="79" t="s">
        <v>25</v>
      </c>
      <c r="I72" s="79" t="s">
        <v>35</v>
      </c>
      <c r="J72" s="79" t="s">
        <v>735</v>
      </c>
      <c r="K72" s="79" t="s">
        <v>734</v>
      </c>
      <c r="L72" s="79" t="s">
        <v>76</v>
      </c>
      <c r="M72" s="79">
        <v>2021</v>
      </c>
      <c r="N72" s="79">
        <v>0</v>
      </c>
      <c r="O72" s="79">
        <v>167.16</v>
      </c>
      <c r="P72" s="79"/>
    </row>
    <row r="73" spans="1:16" ht="11.25" customHeight="1" x14ac:dyDescent="0.3">
      <c r="A73" s="79">
        <v>72</v>
      </c>
      <c r="B73" s="79" t="s">
        <v>638</v>
      </c>
      <c r="C73" s="79" t="s">
        <v>42</v>
      </c>
      <c r="D73" s="79" t="s">
        <v>82</v>
      </c>
      <c r="E73" s="79" t="s">
        <v>43</v>
      </c>
      <c r="F73" s="79" t="s">
        <v>25</v>
      </c>
      <c r="G73" s="79" t="s">
        <v>25</v>
      </c>
      <c r="H73" s="79" t="s">
        <v>25</v>
      </c>
      <c r="I73" s="79" t="s">
        <v>25</v>
      </c>
      <c r="J73" s="79" t="s">
        <v>735</v>
      </c>
      <c r="K73" s="79" t="s">
        <v>734</v>
      </c>
      <c r="L73" s="79" t="s">
        <v>76</v>
      </c>
      <c r="M73" s="79">
        <v>2021</v>
      </c>
      <c r="N73" s="79">
        <v>0</v>
      </c>
      <c r="O73" s="79">
        <v>175.15</v>
      </c>
      <c r="P73" s="79"/>
    </row>
    <row r="74" spans="1:16" ht="11.25" customHeight="1" x14ac:dyDescent="0.3">
      <c r="A74" s="79">
        <v>73</v>
      </c>
      <c r="B74" s="79" t="s">
        <v>638</v>
      </c>
      <c r="C74" s="79" t="s">
        <v>42</v>
      </c>
      <c r="D74" s="79" t="s">
        <v>75</v>
      </c>
      <c r="E74" s="79" t="s">
        <v>43</v>
      </c>
      <c r="F74" s="79" t="s">
        <v>96</v>
      </c>
      <c r="G74" s="79" t="s">
        <v>25</v>
      </c>
      <c r="H74" s="79" t="s">
        <v>25</v>
      </c>
      <c r="I74" s="79" t="s">
        <v>34</v>
      </c>
      <c r="J74" s="79" t="s">
        <v>735</v>
      </c>
      <c r="K74" s="79" t="s">
        <v>734</v>
      </c>
      <c r="L74" s="79" t="s">
        <v>76</v>
      </c>
      <c r="M74" s="79">
        <v>2021</v>
      </c>
      <c r="N74" s="79">
        <v>0</v>
      </c>
      <c r="O74" s="79">
        <v>251.02</v>
      </c>
      <c r="P74" s="79"/>
    </row>
    <row r="75" spans="1:16" ht="11.25" customHeight="1" x14ac:dyDescent="0.3">
      <c r="A75" s="79">
        <v>74</v>
      </c>
      <c r="B75" s="79" t="s">
        <v>638</v>
      </c>
      <c r="C75" s="79" t="s">
        <v>42</v>
      </c>
      <c r="D75" s="79" t="s">
        <v>75</v>
      </c>
      <c r="E75" s="79" t="s">
        <v>43</v>
      </c>
      <c r="F75" s="79" t="s">
        <v>96</v>
      </c>
      <c r="G75" s="79" t="s">
        <v>25</v>
      </c>
      <c r="H75" s="79" t="s">
        <v>25</v>
      </c>
      <c r="I75" s="79" t="s">
        <v>36</v>
      </c>
      <c r="J75" s="79" t="s">
        <v>735</v>
      </c>
      <c r="K75" s="79" t="s">
        <v>734</v>
      </c>
      <c r="L75" s="79" t="s">
        <v>76</v>
      </c>
      <c r="M75" s="79">
        <v>2021</v>
      </c>
      <c r="N75" s="79">
        <v>0</v>
      </c>
      <c r="O75" s="79">
        <v>159.57</v>
      </c>
      <c r="P75" s="79"/>
    </row>
    <row r="76" spans="1:16" ht="11.25" customHeight="1" x14ac:dyDescent="0.3">
      <c r="A76" s="79">
        <v>75</v>
      </c>
      <c r="B76" s="79" t="s">
        <v>638</v>
      </c>
      <c r="C76" s="79" t="s">
        <v>42</v>
      </c>
      <c r="D76" s="79" t="s">
        <v>75</v>
      </c>
      <c r="E76" s="79" t="s">
        <v>43</v>
      </c>
      <c r="F76" s="79" t="s">
        <v>96</v>
      </c>
      <c r="G76" s="79" t="s">
        <v>25</v>
      </c>
      <c r="H76" s="79" t="s">
        <v>25</v>
      </c>
      <c r="I76" s="79" t="s">
        <v>35</v>
      </c>
      <c r="J76" s="79" t="s">
        <v>735</v>
      </c>
      <c r="K76" s="79" t="s">
        <v>734</v>
      </c>
      <c r="L76" s="79" t="s">
        <v>76</v>
      </c>
      <c r="M76" s="79">
        <v>2021</v>
      </c>
      <c r="N76" s="79">
        <v>0</v>
      </c>
      <c r="O76" s="79">
        <v>159.57</v>
      </c>
      <c r="P76" s="79"/>
    </row>
    <row r="77" spans="1:16" ht="11.25" customHeight="1" x14ac:dyDescent="0.3">
      <c r="A77" s="79">
        <v>76</v>
      </c>
      <c r="B77" s="79" t="s">
        <v>638</v>
      </c>
      <c r="C77" s="79" t="s">
        <v>42</v>
      </c>
      <c r="D77" s="79" t="s">
        <v>82</v>
      </c>
      <c r="E77" s="79" t="s">
        <v>43</v>
      </c>
      <c r="F77" s="79" t="s">
        <v>96</v>
      </c>
      <c r="G77" s="79" t="s">
        <v>25</v>
      </c>
      <c r="H77" s="79" t="s">
        <v>25</v>
      </c>
      <c r="I77" s="79" t="s">
        <v>25</v>
      </c>
      <c r="J77" s="79" t="s">
        <v>735</v>
      </c>
      <c r="K77" s="79" t="s">
        <v>734</v>
      </c>
      <c r="L77" s="79" t="s">
        <v>76</v>
      </c>
      <c r="M77" s="79">
        <v>2021</v>
      </c>
      <c r="N77" s="79">
        <v>0</v>
      </c>
      <c r="O77" s="79">
        <v>167.19</v>
      </c>
      <c r="P77" s="79"/>
    </row>
    <row r="78" spans="1:16" ht="11.25" customHeight="1" x14ac:dyDescent="0.3">
      <c r="A78" s="79">
        <v>77</v>
      </c>
      <c r="B78" s="79" t="s">
        <v>638</v>
      </c>
      <c r="C78" s="79" t="s">
        <v>42</v>
      </c>
      <c r="D78" s="79" t="s">
        <v>75</v>
      </c>
      <c r="E78" s="79" t="s">
        <v>43</v>
      </c>
      <c r="F78" s="79" t="s">
        <v>97</v>
      </c>
      <c r="G78" s="79" t="s">
        <v>25</v>
      </c>
      <c r="H78" s="79" t="s">
        <v>25</v>
      </c>
      <c r="I78" s="79" t="s">
        <v>34</v>
      </c>
      <c r="J78" s="79" t="s">
        <v>735</v>
      </c>
      <c r="K78" s="79" t="s">
        <v>734</v>
      </c>
      <c r="L78" s="79" t="s">
        <v>76</v>
      </c>
      <c r="M78" s="79">
        <v>2021</v>
      </c>
      <c r="N78" s="79">
        <v>0</v>
      </c>
      <c r="O78" s="79">
        <v>251.02</v>
      </c>
      <c r="P78" s="79"/>
    </row>
    <row r="79" spans="1:16" ht="11.25" customHeight="1" x14ac:dyDescent="0.3">
      <c r="A79" s="79">
        <v>78</v>
      </c>
      <c r="B79" s="79" t="s">
        <v>638</v>
      </c>
      <c r="C79" s="79" t="s">
        <v>42</v>
      </c>
      <c r="D79" s="79" t="s">
        <v>75</v>
      </c>
      <c r="E79" s="79" t="s">
        <v>43</v>
      </c>
      <c r="F79" s="79" t="s">
        <v>97</v>
      </c>
      <c r="G79" s="79" t="s">
        <v>25</v>
      </c>
      <c r="H79" s="79" t="s">
        <v>25</v>
      </c>
      <c r="I79" s="79" t="s">
        <v>36</v>
      </c>
      <c r="J79" s="79" t="s">
        <v>735</v>
      </c>
      <c r="K79" s="79" t="s">
        <v>734</v>
      </c>
      <c r="L79" s="79" t="s">
        <v>76</v>
      </c>
      <c r="M79" s="79">
        <v>2021</v>
      </c>
      <c r="N79" s="79">
        <v>0</v>
      </c>
      <c r="O79" s="79">
        <v>159.57</v>
      </c>
      <c r="P79" s="79"/>
    </row>
    <row r="80" spans="1:16" ht="11.25" customHeight="1" x14ac:dyDescent="0.3">
      <c r="A80" s="79">
        <v>79</v>
      </c>
      <c r="B80" s="79" t="s">
        <v>638</v>
      </c>
      <c r="C80" s="79" t="s">
        <v>42</v>
      </c>
      <c r="D80" s="79" t="s">
        <v>75</v>
      </c>
      <c r="E80" s="79" t="s">
        <v>43</v>
      </c>
      <c r="F80" s="79" t="s">
        <v>97</v>
      </c>
      <c r="G80" s="79" t="s">
        <v>25</v>
      </c>
      <c r="H80" s="79" t="s">
        <v>25</v>
      </c>
      <c r="I80" s="79" t="s">
        <v>35</v>
      </c>
      <c r="J80" s="79" t="s">
        <v>735</v>
      </c>
      <c r="K80" s="79" t="s">
        <v>734</v>
      </c>
      <c r="L80" s="79" t="s">
        <v>76</v>
      </c>
      <c r="M80" s="79">
        <v>2021</v>
      </c>
      <c r="N80" s="79">
        <v>0</v>
      </c>
      <c r="O80" s="79">
        <v>159.57</v>
      </c>
      <c r="P80" s="79"/>
    </row>
    <row r="81" spans="1:16" ht="11.25" customHeight="1" x14ac:dyDescent="0.3">
      <c r="A81" s="79">
        <v>80</v>
      </c>
      <c r="B81" s="79" t="s">
        <v>638</v>
      </c>
      <c r="C81" s="79" t="s">
        <v>42</v>
      </c>
      <c r="D81" s="79" t="s">
        <v>82</v>
      </c>
      <c r="E81" s="79" t="s">
        <v>43</v>
      </c>
      <c r="F81" s="79" t="s">
        <v>97</v>
      </c>
      <c r="G81" s="79" t="s">
        <v>25</v>
      </c>
      <c r="H81" s="79" t="s">
        <v>25</v>
      </c>
      <c r="I81" s="79" t="s">
        <v>25</v>
      </c>
      <c r="J81" s="79" t="s">
        <v>735</v>
      </c>
      <c r="K81" s="79" t="s">
        <v>734</v>
      </c>
      <c r="L81" s="79" t="s">
        <v>76</v>
      </c>
      <c r="M81" s="79">
        <v>2021</v>
      </c>
      <c r="N81" s="79">
        <v>0</v>
      </c>
      <c r="O81" s="79">
        <v>167.19</v>
      </c>
      <c r="P81" s="79"/>
    </row>
    <row r="82" spans="1:16" ht="11.25" customHeight="1" x14ac:dyDescent="0.3">
      <c r="A82" s="79">
        <v>81</v>
      </c>
      <c r="B82" s="79" t="s">
        <v>638</v>
      </c>
      <c r="C82" s="79" t="s">
        <v>42</v>
      </c>
      <c r="D82" s="79" t="s">
        <v>94</v>
      </c>
      <c r="E82" s="79" t="s">
        <v>43</v>
      </c>
      <c r="F82" s="79" t="s">
        <v>25</v>
      </c>
      <c r="G82" s="79" t="s">
        <v>25</v>
      </c>
      <c r="H82" s="79" t="s">
        <v>25</v>
      </c>
      <c r="I82" s="79" t="s">
        <v>25</v>
      </c>
      <c r="J82" s="79" t="s">
        <v>735</v>
      </c>
      <c r="K82" s="79" t="s">
        <v>734</v>
      </c>
      <c r="L82" s="79" t="s">
        <v>76</v>
      </c>
      <c r="M82" s="79">
        <v>2021</v>
      </c>
      <c r="N82" s="79">
        <v>0</v>
      </c>
      <c r="O82" s="79">
        <v>175.15</v>
      </c>
      <c r="P82" s="79"/>
    </row>
    <row r="83" spans="1:16" ht="11.25" customHeight="1" x14ac:dyDescent="0.3">
      <c r="A83" s="79">
        <v>82</v>
      </c>
      <c r="B83" s="79" t="s">
        <v>638</v>
      </c>
      <c r="C83" s="79" t="s">
        <v>42</v>
      </c>
      <c r="D83" s="79" t="s">
        <v>94</v>
      </c>
      <c r="E83" s="79" t="s">
        <v>43</v>
      </c>
      <c r="F83" s="79" t="s">
        <v>96</v>
      </c>
      <c r="G83" s="79" t="s">
        <v>25</v>
      </c>
      <c r="H83" s="79" t="s">
        <v>25</v>
      </c>
      <c r="I83" s="79" t="s">
        <v>25</v>
      </c>
      <c r="J83" s="79" t="s">
        <v>735</v>
      </c>
      <c r="K83" s="79" t="s">
        <v>734</v>
      </c>
      <c r="L83" s="79" t="s">
        <v>76</v>
      </c>
      <c r="M83" s="79">
        <v>2021</v>
      </c>
      <c r="N83" s="79">
        <v>0</v>
      </c>
      <c r="O83" s="79">
        <v>167.19</v>
      </c>
      <c r="P83" s="79"/>
    </row>
    <row r="84" spans="1:16" ht="11.25" customHeight="1" x14ac:dyDescent="0.3">
      <c r="A84" s="79">
        <v>83</v>
      </c>
      <c r="B84" s="79" t="s">
        <v>638</v>
      </c>
      <c r="C84" s="79" t="s">
        <v>42</v>
      </c>
      <c r="D84" s="79" t="s">
        <v>94</v>
      </c>
      <c r="E84" s="79" t="s">
        <v>43</v>
      </c>
      <c r="F84" s="79" t="s">
        <v>97</v>
      </c>
      <c r="G84" s="79" t="s">
        <v>25</v>
      </c>
      <c r="H84" s="79" t="s">
        <v>25</v>
      </c>
      <c r="I84" s="79" t="s">
        <v>25</v>
      </c>
      <c r="J84" s="79" t="s">
        <v>735</v>
      </c>
      <c r="K84" s="79" t="s">
        <v>734</v>
      </c>
      <c r="L84" s="79" t="s">
        <v>76</v>
      </c>
      <c r="M84" s="79">
        <v>2021</v>
      </c>
      <c r="N84" s="79">
        <v>0</v>
      </c>
      <c r="O84" s="79">
        <v>167.19</v>
      </c>
      <c r="P84" s="79"/>
    </row>
    <row r="85" spans="1:16" ht="11.25" customHeight="1" x14ac:dyDescent="0.3">
      <c r="A85" s="79">
        <v>84</v>
      </c>
      <c r="B85" s="79" t="s">
        <v>638</v>
      </c>
      <c r="C85" s="79" t="s">
        <v>37</v>
      </c>
      <c r="D85" s="79" t="s">
        <v>75</v>
      </c>
      <c r="E85" s="79" t="s">
        <v>25</v>
      </c>
      <c r="F85" s="79" t="s">
        <v>25</v>
      </c>
      <c r="G85" s="79" t="s">
        <v>25</v>
      </c>
      <c r="H85" s="79" t="s">
        <v>25</v>
      </c>
      <c r="I85" s="79" t="s">
        <v>34</v>
      </c>
      <c r="J85" s="79" t="s">
        <v>735</v>
      </c>
      <c r="K85" s="79" t="s">
        <v>734</v>
      </c>
      <c r="L85" s="79" t="s">
        <v>76</v>
      </c>
      <c r="M85" s="79">
        <v>2021</v>
      </c>
      <c r="N85" s="79">
        <v>0</v>
      </c>
      <c r="O85" s="79">
        <v>298.83999999999997</v>
      </c>
      <c r="P85" s="79"/>
    </row>
    <row r="86" spans="1:16" ht="11.25" customHeight="1" x14ac:dyDescent="0.3">
      <c r="A86" s="79">
        <v>85</v>
      </c>
      <c r="B86" s="79" t="s">
        <v>638</v>
      </c>
      <c r="C86" s="79" t="s">
        <v>37</v>
      </c>
      <c r="D86" s="79" t="s">
        <v>75</v>
      </c>
      <c r="E86" s="79" t="s">
        <v>25</v>
      </c>
      <c r="F86" s="79" t="s">
        <v>25</v>
      </c>
      <c r="G86" s="79" t="s">
        <v>25</v>
      </c>
      <c r="H86" s="79" t="s">
        <v>25</v>
      </c>
      <c r="I86" s="79" t="s">
        <v>36</v>
      </c>
      <c r="J86" s="79" t="s">
        <v>735</v>
      </c>
      <c r="K86" s="79" t="s">
        <v>734</v>
      </c>
      <c r="L86" s="79" t="s">
        <v>76</v>
      </c>
      <c r="M86" s="79">
        <v>2021</v>
      </c>
      <c r="N86" s="79">
        <v>0</v>
      </c>
      <c r="O86" s="79">
        <v>189.96</v>
      </c>
      <c r="P86" s="79"/>
    </row>
    <row r="87" spans="1:16" ht="11.25" customHeight="1" x14ac:dyDescent="0.3">
      <c r="A87" s="79">
        <v>86</v>
      </c>
      <c r="B87" s="79" t="s">
        <v>638</v>
      </c>
      <c r="C87" s="79" t="s">
        <v>37</v>
      </c>
      <c r="D87" s="79" t="s">
        <v>75</v>
      </c>
      <c r="E87" s="79" t="s">
        <v>25</v>
      </c>
      <c r="F87" s="79" t="s">
        <v>25</v>
      </c>
      <c r="G87" s="79" t="s">
        <v>25</v>
      </c>
      <c r="H87" s="79" t="s">
        <v>25</v>
      </c>
      <c r="I87" s="79" t="s">
        <v>35</v>
      </c>
      <c r="J87" s="79" t="s">
        <v>735</v>
      </c>
      <c r="K87" s="79" t="s">
        <v>734</v>
      </c>
      <c r="L87" s="79" t="s">
        <v>76</v>
      </c>
      <c r="M87" s="79">
        <v>2021</v>
      </c>
      <c r="N87" s="79">
        <v>0</v>
      </c>
      <c r="O87" s="79">
        <v>189.96</v>
      </c>
      <c r="P87" s="79"/>
    </row>
    <row r="88" spans="1:16" ht="11.25" customHeight="1" x14ac:dyDescent="0.3">
      <c r="A88" s="79">
        <v>87</v>
      </c>
      <c r="B88" s="79" t="s">
        <v>638</v>
      </c>
      <c r="C88" s="79" t="s">
        <v>37</v>
      </c>
      <c r="D88" s="79" t="s">
        <v>82</v>
      </c>
      <c r="E88" s="79" t="s">
        <v>25</v>
      </c>
      <c r="F88" s="79" t="s">
        <v>25</v>
      </c>
      <c r="G88" s="79" t="s">
        <v>25</v>
      </c>
      <c r="H88" s="79" t="s">
        <v>25</v>
      </c>
      <c r="I88" s="79" t="s">
        <v>25</v>
      </c>
      <c r="J88" s="79" t="s">
        <v>735</v>
      </c>
      <c r="K88" s="79" t="s">
        <v>734</v>
      </c>
      <c r="L88" s="79" t="s">
        <v>76</v>
      </c>
      <c r="M88" s="79">
        <v>2021</v>
      </c>
      <c r="N88" s="79">
        <v>0</v>
      </c>
      <c r="O88" s="79">
        <v>199.03</v>
      </c>
      <c r="P88" s="79"/>
    </row>
    <row r="89" spans="1:16" ht="11.25" customHeight="1" x14ac:dyDescent="0.3">
      <c r="A89" s="79">
        <v>88</v>
      </c>
      <c r="B89" s="79" t="s">
        <v>638</v>
      </c>
      <c r="C89" s="79" t="s">
        <v>37</v>
      </c>
      <c r="D89" s="79" t="s">
        <v>94</v>
      </c>
      <c r="E89" s="79" t="s">
        <v>25</v>
      </c>
      <c r="F89" s="79" t="s">
        <v>25</v>
      </c>
      <c r="G89" s="79" t="s">
        <v>25</v>
      </c>
      <c r="H89" s="79" t="s">
        <v>25</v>
      </c>
      <c r="I89" s="79" t="s">
        <v>25</v>
      </c>
      <c r="J89" s="79" t="s">
        <v>735</v>
      </c>
      <c r="K89" s="79" t="s">
        <v>734</v>
      </c>
      <c r="L89" s="79" t="s">
        <v>76</v>
      </c>
      <c r="M89" s="79">
        <v>2021</v>
      </c>
      <c r="N89" s="79">
        <v>0</v>
      </c>
      <c r="O89" s="79">
        <v>199.03</v>
      </c>
      <c r="P89" s="79"/>
    </row>
    <row r="90" spans="1:16" ht="11.25" customHeight="1" x14ac:dyDescent="0.3">
      <c r="A90" s="79">
        <v>89</v>
      </c>
      <c r="B90" s="79" t="s">
        <v>638</v>
      </c>
      <c r="C90" s="79" t="s">
        <v>45</v>
      </c>
      <c r="D90" s="79" t="s">
        <v>82</v>
      </c>
      <c r="E90" s="79" t="s">
        <v>46</v>
      </c>
      <c r="F90" s="79" t="s">
        <v>47</v>
      </c>
      <c r="G90" s="79" t="s">
        <v>25</v>
      </c>
      <c r="H90" s="79" t="s">
        <v>25</v>
      </c>
      <c r="I90" s="79" t="s">
        <v>25</v>
      </c>
      <c r="J90" s="79" t="s">
        <v>735</v>
      </c>
      <c r="K90" s="79" t="s">
        <v>734</v>
      </c>
      <c r="L90" s="79" t="s">
        <v>76</v>
      </c>
      <c r="M90" s="79">
        <v>2021</v>
      </c>
      <c r="N90" s="79">
        <v>0</v>
      </c>
      <c r="O90" s="79">
        <v>109.47</v>
      </c>
      <c r="P90" s="79"/>
    </row>
    <row r="91" spans="1:16" ht="11.25" customHeight="1" x14ac:dyDescent="0.3">
      <c r="A91" s="79">
        <v>90</v>
      </c>
      <c r="B91" s="79" t="s">
        <v>638</v>
      </c>
      <c r="C91" s="79" t="s">
        <v>45</v>
      </c>
      <c r="D91" s="79" t="s">
        <v>82</v>
      </c>
      <c r="E91" s="79" t="s">
        <v>46</v>
      </c>
      <c r="F91" s="79" t="s">
        <v>98</v>
      </c>
      <c r="G91" s="79" t="s">
        <v>25</v>
      </c>
      <c r="H91" s="79" t="s">
        <v>25</v>
      </c>
      <c r="I91" s="79" t="s">
        <v>25</v>
      </c>
      <c r="J91" s="79" t="s">
        <v>735</v>
      </c>
      <c r="K91" s="79" t="s">
        <v>734</v>
      </c>
      <c r="L91" s="79" t="s">
        <v>76</v>
      </c>
      <c r="M91" s="79">
        <v>2021</v>
      </c>
      <c r="N91" s="79">
        <v>0</v>
      </c>
      <c r="O91" s="79">
        <v>119.42</v>
      </c>
      <c r="P91" s="7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9E3DF-4216-47F4-9515-005E4318EC83}">
  <sheetPr codeName="Planilha4"/>
  <dimension ref="A1:AD52"/>
  <sheetViews>
    <sheetView showGridLines="0" workbookViewId="0">
      <selection sqref="A1:W52"/>
    </sheetView>
  </sheetViews>
  <sheetFormatPr defaultColWidth="9.1093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16" width="7" style="9" bestFit="1" customWidth="1"/>
    <col min="17" max="20" width="7.88671875" style="9" bestFit="1" customWidth="1"/>
    <col min="21" max="21" width="14.109375" style="9" bestFit="1" customWidth="1"/>
    <col min="22" max="16384" width="9.109375" style="9"/>
  </cols>
  <sheetData>
    <row r="1" spans="1:30" ht="11.25" customHeight="1" x14ac:dyDescent="0.3">
      <c r="A1" s="10" t="s">
        <v>66</v>
      </c>
      <c r="B1" s="10" t="s">
        <v>67</v>
      </c>
      <c r="C1" s="10" t="s">
        <v>68</v>
      </c>
      <c r="D1" s="10" t="s">
        <v>69</v>
      </c>
      <c r="E1" s="10" t="s">
        <v>70</v>
      </c>
      <c r="F1" s="10" t="s">
        <v>71</v>
      </c>
      <c r="G1" s="10" t="s">
        <v>72</v>
      </c>
      <c r="H1" s="10" t="s">
        <v>73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74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17" t="s">
        <v>39</v>
      </c>
      <c r="B2" s="117" t="s">
        <v>83</v>
      </c>
      <c r="C2" s="117" t="s">
        <v>25</v>
      </c>
      <c r="D2" s="117" t="s">
        <v>25</v>
      </c>
      <c r="E2" s="117" t="s">
        <v>25</v>
      </c>
      <c r="F2" s="117" t="s">
        <v>25</v>
      </c>
      <c r="G2" s="13" t="s">
        <v>85</v>
      </c>
      <c r="H2" s="13" t="s">
        <v>84</v>
      </c>
      <c r="I2" s="13">
        <f>SUMIF(Mercado_Receita!$S$2:$S$667,"44378A4AzulNão se aplicaNão se aplicaNão se aplicaNão se aplicaPonta",Mercado_Receita!$J$2:$J$667)+SUMIF(Mercado_Receita!$S$2:$S$667,"44378A4AzulNão se aplicaNão se aplicaAPENão se aplicaPonta",Mercado_Receita!$J$2:$J$667)</f>
        <v>0</v>
      </c>
      <c r="J2" s="13">
        <f>SUMIF(Mercado_Receita!$S$2:$S$667,"44409A4AzulNão se aplicaNão se aplicaNão se aplicaNão se aplicaPonta",Mercado_Receita!$J$2:$J$667)+SUMIF(Mercado_Receita!$S$2:$S$667,"44409A4AzulNão se aplicaNão se aplicaAPENão se aplicaPonta",Mercado_Receita!$J$2:$J$667)</f>
        <v>0</v>
      </c>
      <c r="K2" s="13">
        <f>SUMIF(Mercado_Receita!$S$2:$S$667,"44440A4AzulNão se aplicaNão se aplicaNão se aplicaNão se aplicaPonta",Mercado_Receita!$J$2:$J$667)+SUMIF(Mercado_Receita!$S$2:$S$667,"44440A4AzulNão se aplicaNão se aplicaAPENão se aplicaPonta",Mercado_Receita!$J$2:$J$667)</f>
        <v>0</v>
      </c>
      <c r="L2" s="13">
        <f>SUMIF(Mercado_Receita!$S$2:$S$667,"44470A4AzulNão se aplicaNão se aplicaNão se aplicaNão se aplicaPonta",Mercado_Receita!$J$2:$J$667)+SUMIF(Mercado_Receita!$S$2:$S$667,"44470A4AzulNão se aplicaNão se aplicaAPENão se aplicaPonta",Mercado_Receita!$J$2:$J$667)</f>
        <v>0</v>
      </c>
      <c r="M2" s="13">
        <f>SUMIF(Mercado_Receita!$S$2:$S$667,"44501A4AzulNão se aplicaNão se aplicaNão se aplicaNão se aplicaPonta",Mercado_Receita!$J$2:$J$667)+SUMIF(Mercado_Receita!$S$2:$S$667,"44501A4AzulNão se aplicaNão se aplicaAPENão se aplicaPonta",Mercado_Receita!$J$2:$J$667)</f>
        <v>0</v>
      </c>
      <c r="N2" s="13">
        <f>SUMIF(Mercado_Receita!$S$2:$S$667,"44531A4AzulNão se aplicaNão se aplicaNão se aplicaNão se aplicaPonta",Mercado_Receita!$J$2:$J$667)+SUMIF(Mercado_Receita!$S$2:$S$667,"44531A4AzulNão se aplicaNão se aplicaAPENão se aplicaPonta",Mercado_Receita!$J$2:$J$667)</f>
        <v>0</v>
      </c>
      <c r="O2" s="13">
        <f>SUMIF(Mercado_Receita!$S$2:$S$667,"44562A4AzulNão se aplicaNão se aplicaNão se aplicaNão se aplicaPonta",Mercado_Receita!$J$2:$J$667)+SUMIF(Mercado_Receita!$S$2:$S$667,"44562A4AzulNão se aplicaNão se aplicaAPENão se aplicaPonta",Mercado_Receita!$J$2:$J$667)</f>
        <v>0</v>
      </c>
      <c r="P2" s="13">
        <f>SUMIF(Mercado_Receita!$S$2:$S$667,"44593A4AzulNão se aplicaNão se aplicaNão se aplicaNão se aplicaPonta",Mercado_Receita!$J$2:$J$667)+SUMIF(Mercado_Receita!$S$2:$S$667,"44593A4AzulNão se aplicaNão se aplicaAPENão se aplicaPonta",Mercado_Receita!$J$2:$J$667)</f>
        <v>0</v>
      </c>
      <c r="Q2" s="13">
        <f>SUMIF(Mercado_Receita!$S$2:$S$667,"44621A4AzulNão se aplicaNão se aplicaNão se aplicaNão se aplicaPonta",Mercado_Receita!$J$2:$J$667)+SUMIF(Mercado_Receita!$S$2:$S$667,"44621A4AzulNão se aplicaNão se aplicaAPENão se aplicaPonta",Mercado_Receita!$J$2:$J$667)</f>
        <v>0</v>
      </c>
      <c r="R2" s="13">
        <f>SUMIF(Mercado_Receita!$S$2:$S$667,"44652A4AzulNão se aplicaNão se aplicaNão se aplicaNão se aplicaPonta",Mercado_Receita!$J$2:$J$667)+SUMIF(Mercado_Receita!$S$2:$S$667,"44652A4AzulNão se aplicaNão se aplicaAPENão se aplicaPonta",Mercado_Receita!$J$2:$J$667)</f>
        <v>0</v>
      </c>
      <c r="S2" s="13">
        <f>SUMIF(Mercado_Receita!$S$2:$S$667,"44682A4AzulNão se aplicaNão se aplicaNão se aplicaNão se aplicaPonta",Mercado_Receita!$J$2:$J$667)+SUMIF(Mercado_Receita!$S$2:$S$667,"44682A4AzulNão se aplicaNão se aplicaAPENão se aplicaPonta",Mercado_Receita!$J$2:$J$667)</f>
        <v>0</v>
      </c>
      <c r="T2" s="13">
        <f>SUMIF(Mercado_Receita!$S$2:$S$667,"44713A4AzulNão se aplicaNão se aplicaNão se aplicaNão se aplicaPonta",Mercado_Receita!$J$2:$J$667)+SUMIF(Mercado_Receita!$S$2:$S$667,"44713A4AzulNão se aplicaNão se aplicaAPENão se aplicaPonta",Mercado_Receita!$J$2:$J$667)</f>
        <v>0</v>
      </c>
      <c r="U2" s="13">
        <f t="shared" ref="U2:U33" si="0">SUM(I2:T2)</f>
        <v>0</v>
      </c>
      <c r="V2" s="13"/>
      <c r="W2" s="13"/>
    </row>
    <row r="3" spans="1:30" ht="11.25" customHeight="1" x14ac:dyDescent="0.3">
      <c r="A3" s="118"/>
      <c r="B3" s="118"/>
      <c r="C3" s="118"/>
      <c r="D3" s="118"/>
      <c r="E3" s="118"/>
      <c r="F3" s="118"/>
      <c r="G3" s="13" t="s">
        <v>86</v>
      </c>
      <c r="H3" s="13" t="s">
        <v>84</v>
      </c>
      <c r="I3" s="13">
        <f>SUMIF(Mercado_Receita!$S$2:$S$667,"44378A4AzulNão se aplicaNão se aplicaNão se aplicaNão se aplicaFora ponta",Mercado_Receita!$J$2:$J$667)+SUMIF(Mercado_Receita!$S$2:$S$667,"44378A4AzulNão se aplicaNão se aplicaAPENão se aplicaFora ponta",Mercado_Receita!$J$2:$J$667)</f>
        <v>0</v>
      </c>
      <c r="J3" s="13">
        <f>SUMIF(Mercado_Receita!$S$2:$S$667,"44409A4AzulNão se aplicaNão se aplicaNão se aplicaNão se aplicaFora ponta",Mercado_Receita!$J$2:$J$667)+SUMIF(Mercado_Receita!$S$2:$S$667,"44409A4AzulNão se aplicaNão se aplicaAPENão se aplicaFora ponta",Mercado_Receita!$J$2:$J$667)</f>
        <v>0</v>
      </c>
      <c r="K3" s="13">
        <f>SUMIF(Mercado_Receita!$S$2:$S$667,"44440A4AzulNão se aplicaNão se aplicaNão se aplicaNão se aplicaFora ponta",Mercado_Receita!$J$2:$J$667)+SUMIF(Mercado_Receita!$S$2:$S$667,"44440A4AzulNão se aplicaNão se aplicaAPENão se aplicaFora ponta",Mercado_Receita!$J$2:$J$667)</f>
        <v>0</v>
      </c>
      <c r="L3" s="13">
        <f>SUMIF(Mercado_Receita!$S$2:$S$667,"44470A4AzulNão se aplicaNão se aplicaNão se aplicaNão se aplicaFora ponta",Mercado_Receita!$J$2:$J$667)+SUMIF(Mercado_Receita!$S$2:$S$667,"44470A4AzulNão se aplicaNão se aplicaAPENão se aplicaFora ponta",Mercado_Receita!$J$2:$J$667)</f>
        <v>0</v>
      </c>
      <c r="M3" s="13">
        <f>SUMIF(Mercado_Receita!$S$2:$S$667,"44501A4AzulNão se aplicaNão se aplicaNão se aplicaNão se aplicaFora ponta",Mercado_Receita!$J$2:$J$667)+SUMIF(Mercado_Receita!$S$2:$S$667,"44501A4AzulNão se aplicaNão se aplicaAPENão se aplicaFora ponta",Mercado_Receita!$J$2:$J$667)</f>
        <v>0</v>
      </c>
      <c r="N3" s="13">
        <f>SUMIF(Mercado_Receita!$S$2:$S$667,"44531A4AzulNão se aplicaNão se aplicaNão se aplicaNão se aplicaFora ponta",Mercado_Receita!$J$2:$J$667)+SUMIF(Mercado_Receita!$S$2:$S$667,"44531A4AzulNão se aplicaNão se aplicaAPENão se aplicaFora ponta",Mercado_Receita!$J$2:$J$667)</f>
        <v>0</v>
      </c>
      <c r="O3" s="13">
        <f>SUMIF(Mercado_Receita!$S$2:$S$667,"44562A4AzulNão se aplicaNão se aplicaNão se aplicaNão se aplicaFora ponta",Mercado_Receita!$J$2:$J$667)+SUMIF(Mercado_Receita!$S$2:$S$667,"44562A4AzulNão se aplicaNão se aplicaAPENão se aplicaFora ponta",Mercado_Receita!$J$2:$J$667)</f>
        <v>0</v>
      </c>
      <c r="P3" s="13">
        <f>SUMIF(Mercado_Receita!$S$2:$S$667,"44593A4AzulNão se aplicaNão se aplicaNão se aplicaNão se aplicaFora ponta",Mercado_Receita!$J$2:$J$667)+SUMIF(Mercado_Receita!$S$2:$S$667,"44593A4AzulNão se aplicaNão se aplicaAPENão se aplicaFora ponta",Mercado_Receita!$J$2:$J$667)</f>
        <v>0</v>
      </c>
      <c r="Q3" s="13">
        <f>SUMIF(Mercado_Receita!$S$2:$S$667,"44621A4AzulNão se aplicaNão se aplicaNão se aplicaNão se aplicaFora ponta",Mercado_Receita!$J$2:$J$667)+SUMIF(Mercado_Receita!$S$2:$S$667,"44621A4AzulNão se aplicaNão se aplicaAPENão se aplicaFora ponta",Mercado_Receita!$J$2:$J$667)</f>
        <v>0</v>
      </c>
      <c r="R3" s="13">
        <f>SUMIF(Mercado_Receita!$S$2:$S$667,"44652A4AzulNão se aplicaNão se aplicaNão se aplicaNão se aplicaFora ponta",Mercado_Receita!$J$2:$J$667)+SUMIF(Mercado_Receita!$S$2:$S$667,"44652A4AzulNão se aplicaNão se aplicaAPENão se aplicaFora ponta",Mercado_Receita!$J$2:$J$667)</f>
        <v>0</v>
      </c>
      <c r="S3" s="13">
        <f>SUMIF(Mercado_Receita!$S$2:$S$667,"44682A4AzulNão se aplicaNão se aplicaNão se aplicaNão se aplicaFora ponta",Mercado_Receita!$J$2:$J$667)+SUMIF(Mercado_Receita!$S$2:$S$667,"44682A4AzulNão se aplicaNão se aplicaAPENão se aplicaFora ponta",Mercado_Receita!$J$2:$J$667)</f>
        <v>0</v>
      </c>
      <c r="T3" s="13">
        <f>SUMIF(Mercado_Receita!$S$2:$S$667,"44713A4AzulNão se aplicaNão se aplicaNão se aplicaNão se aplicaFora ponta",Mercado_Receita!$J$2:$J$667)+SUMIF(Mercado_Receita!$S$2:$S$667,"44713A4AzulNão se aplicaNão se aplicaAPENão se aplicaFora ponta",Mercado_Receita!$J$2:$J$667)</f>
        <v>0</v>
      </c>
      <c r="U3" s="13">
        <f t="shared" si="0"/>
        <v>0</v>
      </c>
      <c r="V3" s="13"/>
      <c r="W3" s="13"/>
    </row>
    <row r="4" spans="1:30" ht="11.25" customHeight="1" x14ac:dyDescent="0.3">
      <c r="A4" s="118"/>
      <c r="B4" s="118"/>
      <c r="C4" s="118"/>
      <c r="D4" s="118"/>
      <c r="E4" s="118"/>
      <c r="F4" s="118"/>
      <c r="G4" s="13" t="s">
        <v>81</v>
      </c>
      <c r="H4" s="13" t="s">
        <v>76</v>
      </c>
      <c r="I4" s="13">
        <f>SUMIF(Mercado_Receita!$S$2:$S$667,"44378A4AzulNão se aplicaNão se aplicaNão se aplicaNão se aplicaPonta",Mercado_Receita!$L$2:$L$667)+SUMIF(Mercado_Receita!$S$2:$S$667,"44378A4AzulNão se aplicaNão se aplicaNão se aplicaNão se aplicaFora ponta",Mercado_Receita!$L$2:$L$667)+SUMIF(Mercado_Receita!$S$2:$S$667,"44378A4AzulNão se aplicaNão se aplicaNão se aplicaNão se aplicaIntermediário",Mercado_Receita!$L$2:$L$667)+SUMIF(Mercado_Receita!$S$2:$S$667,"44378A4AzulNão se aplicaNão se aplicaNão se aplicaNão se aplicaNão se aplica",Mercado_Receita!$L$2:$L$667)</f>
        <v>0</v>
      </c>
      <c r="J4" s="13">
        <f>SUMIF(Mercado_Receita!$S$2:$S$667,"44409A4AzulNão se aplicaNão se aplicaNão se aplicaNão se aplicaPonta",Mercado_Receita!$L$2:$L$667)+SUMIF(Mercado_Receita!$S$2:$S$667,"44409A4AzulNão se aplicaNão se aplicaNão se aplicaNão se aplicaFora ponta",Mercado_Receita!$L$2:$L$667)+SUMIF(Mercado_Receita!$S$2:$S$667,"44409A4AzulNão se aplicaNão se aplicaNão se aplicaNão se aplicaIntermediário",Mercado_Receita!$L$2:$L$667)+SUMIF(Mercado_Receita!$S$2:$S$667,"44409A4AzulNão se aplicaNão se aplicaNão se aplicaNão se aplicaNão se aplica",Mercado_Receita!$L$2:$L$667)</f>
        <v>0</v>
      </c>
      <c r="K4" s="13">
        <f>SUMIF(Mercado_Receita!$S$2:$S$667,"44440A4AzulNão se aplicaNão se aplicaNão se aplicaNão se aplicaPonta",Mercado_Receita!$L$2:$L$667)+SUMIF(Mercado_Receita!$S$2:$S$667,"44440A4AzulNão se aplicaNão se aplicaNão se aplicaNão se aplicaFora ponta",Mercado_Receita!$L$2:$L$667)+SUMIF(Mercado_Receita!$S$2:$S$667,"44440A4AzulNão se aplicaNão se aplicaNão se aplicaNão se aplicaIntermediário",Mercado_Receita!$L$2:$L$667)+SUMIF(Mercado_Receita!$S$2:$S$667,"44440A4AzulNão se aplicaNão se aplicaNão se aplicaNão se aplicaNão se aplica",Mercado_Receita!$L$2:$L$667)</f>
        <v>0</v>
      </c>
      <c r="L4" s="13">
        <f>SUMIF(Mercado_Receita!$S$2:$S$667,"44470A4AzulNão se aplicaNão se aplicaNão se aplicaNão se aplicaPonta",Mercado_Receita!$L$2:$L$667)+SUMIF(Mercado_Receita!$S$2:$S$667,"44470A4AzulNão se aplicaNão se aplicaNão se aplicaNão se aplicaFora ponta",Mercado_Receita!$L$2:$L$667)+SUMIF(Mercado_Receita!$S$2:$S$667,"44470A4AzulNão se aplicaNão se aplicaNão se aplicaNão se aplicaIntermediário",Mercado_Receita!$L$2:$L$667)+SUMIF(Mercado_Receita!$S$2:$S$667,"44470A4AzulNão se aplicaNão se aplicaNão se aplicaNão se aplicaNão se aplica",Mercado_Receita!$L$2:$L$667)</f>
        <v>0</v>
      </c>
      <c r="M4" s="13">
        <f>SUMIF(Mercado_Receita!$S$2:$S$667,"44501A4AzulNão se aplicaNão se aplicaNão se aplicaNão se aplicaPonta",Mercado_Receita!$L$2:$L$667)+SUMIF(Mercado_Receita!$S$2:$S$667,"44501A4AzulNão se aplicaNão se aplicaNão se aplicaNão se aplicaFora ponta",Mercado_Receita!$L$2:$L$667)+SUMIF(Mercado_Receita!$S$2:$S$667,"44501A4AzulNão se aplicaNão se aplicaNão se aplicaNão se aplicaIntermediário",Mercado_Receita!$L$2:$L$667)+SUMIF(Mercado_Receita!$S$2:$S$667,"44501A4AzulNão se aplicaNão se aplicaNão se aplicaNão se aplicaNão se aplica",Mercado_Receita!$L$2:$L$667)</f>
        <v>0</v>
      </c>
      <c r="N4" s="13">
        <f>SUMIF(Mercado_Receita!$S$2:$S$667,"44531A4AzulNão se aplicaNão se aplicaNão se aplicaNão se aplicaPonta",Mercado_Receita!$L$2:$L$667)+SUMIF(Mercado_Receita!$S$2:$S$667,"44531A4AzulNão se aplicaNão se aplicaNão se aplicaNão se aplicaFora ponta",Mercado_Receita!$L$2:$L$667)+SUMIF(Mercado_Receita!$S$2:$S$667,"44531A4AzulNão se aplicaNão se aplicaNão se aplicaNão se aplicaIntermediário",Mercado_Receita!$L$2:$L$667)+SUMIF(Mercado_Receita!$S$2:$S$667,"44531A4AzulNão se aplicaNão se aplicaNão se aplicaNão se aplicaNão se aplica",Mercado_Receita!$L$2:$L$667)</f>
        <v>0</v>
      </c>
      <c r="O4" s="13">
        <f>SUMIF(Mercado_Receita!$S$2:$S$667,"44562A4AzulNão se aplicaNão se aplicaNão se aplicaNão se aplicaPonta",Mercado_Receita!$L$2:$L$667)+SUMIF(Mercado_Receita!$S$2:$S$667,"44562A4AzulNão se aplicaNão se aplicaNão se aplicaNão se aplicaFora ponta",Mercado_Receita!$L$2:$L$667)+SUMIF(Mercado_Receita!$S$2:$S$667,"44562A4AzulNão se aplicaNão se aplicaNão se aplicaNão se aplicaIntermediário",Mercado_Receita!$L$2:$L$667)+SUMIF(Mercado_Receita!$S$2:$S$667,"44562A4AzulNão se aplicaNão se aplicaNão se aplicaNão se aplicaNão se aplica",Mercado_Receita!$L$2:$L$667)</f>
        <v>0</v>
      </c>
      <c r="P4" s="13">
        <f>SUMIF(Mercado_Receita!$S$2:$S$667,"44593A4AzulNão se aplicaNão se aplicaNão se aplicaNão se aplicaPonta",Mercado_Receita!$L$2:$L$667)+SUMIF(Mercado_Receita!$S$2:$S$667,"44593A4AzulNão se aplicaNão se aplicaNão se aplicaNão se aplicaFora ponta",Mercado_Receita!$L$2:$L$667)+SUMIF(Mercado_Receita!$S$2:$S$667,"44593A4AzulNão se aplicaNão se aplicaNão se aplicaNão se aplicaIntermediário",Mercado_Receita!$L$2:$L$667)+SUMIF(Mercado_Receita!$S$2:$S$667,"44593A4AzulNão se aplicaNão se aplicaNão se aplicaNão se aplicaNão se aplica",Mercado_Receita!$L$2:$L$667)</f>
        <v>0</v>
      </c>
      <c r="Q4" s="13">
        <f>SUMIF(Mercado_Receita!$S$2:$S$667,"44621A4AzulNão se aplicaNão se aplicaNão se aplicaNão se aplicaPonta",Mercado_Receita!$L$2:$L$667)+SUMIF(Mercado_Receita!$S$2:$S$667,"44621A4AzulNão se aplicaNão se aplicaNão se aplicaNão se aplicaFora ponta",Mercado_Receita!$L$2:$L$667)+SUMIF(Mercado_Receita!$S$2:$S$667,"44621A4AzulNão se aplicaNão se aplicaNão se aplicaNão se aplicaIntermediário",Mercado_Receita!$L$2:$L$667)+SUMIF(Mercado_Receita!$S$2:$S$667,"44621A4AzulNão se aplicaNão se aplicaNão se aplicaNão se aplicaNão se aplica",Mercado_Receita!$L$2:$L$667)</f>
        <v>0</v>
      </c>
      <c r="R4" s="13">
        <f>SUMIF(Mercado_Receita!$S$2:$S$667,"44652A4AzulNão se aplicaNão se aplicaNão se aplicaNão se aplicaPonta",Mercado_Receita!$L$2:$L$667)+SUMIF(Mercado_Receita!$S$2:$S$667,"44652A4AzulNão se aplicaNão se aplicaNão se aplicaNão se aplicaFora ponta",Mercado_Receita!$L$2:$L$667)+SUMIF(Mercado_Receita!$S$2:$S$667,"44652A4AzulNão se aplicaNão se aplicaNão se aplicaNão se aplicaIntermediário",Mercado_Receita!$L$2:$L$667)+SUMIF(Mercado_Receita!$S$2:$S$667,"44652A4AzulNão se aplicaNão se aplicaNão se aplicaNão se aplicaNão se aplica",Mercado_Receita!$L$2:$L$667)</f>
        <v>0</v>
      </c>
      <c r="S4" s="13">
        <f>SUMIF(Mercado_Receita!$S$2:$S$667,"44682A4AzulNão se aplicaNão se aplicaNão se aplicaNão se aplicaPonta",Mercado_Receita!$L$2:$L$667)+SUMIF(Mercado_Receita!$S$2:$S$667,"44682A4AzulNão se aplicaNão se aplicaNão se aplicaNão se aplicaFora ponta",Mercado_Receita!$L$2:$L$667)+SUMIF(Mercado_Receita!$S$2:$S$667,"44682A4AzulNão se aplicaNão se aplicaNão se aplicaNão se aplicaIntermediário",Mercado_Receita!$L$2:$L$667)+SUMIF(Mercado_Receita!$S$2:$S$667,"44682A4AzulNão se aplicaNão se aplicaNão se aplicaNão se aplicaNão se aplica",Mercado_Receita!$L$2:$L$667)</f>
        <v>0</v>
      </c>
      <c r="T4" s="13">
        <f>SUMIF(Mercado_Receita!$S$2:$S$667,"44713A4AzulNão se aplicaNão se aplicaNão se aplicaNão se aplicaPonta",Mercado_Receita!$L$2:$L$667)+SUMIF(Mercado_Receita!$S$2:$S$667,"44713A4AzulNão se aplicaNão se aplicaNão se aplicaNão se aplicaFora ponta",Mercado_Receita!$L$2:$L$667)+SUMIF(Mercado_Receita!$S$2:$S$667,"44713A4AzulNão se aplicaNão se aplicaNão se aplicaNão se aplicaIntermediário",Mercado_Receita!$L$2:$L$667)+SUMIF(Mercado_Receita!$S$2:$S$667,"44713A4AzulNão se aplicaNão se aplicaNão se aplicaNão se aplicaNão se aplica",Mercado_Receita!$L$2:$L$667)</f>
        <v>0</v>
      </c>
      <c r="U4" s="13">
        <f t="shared" si="0"/>
        <v>0</v>
      </c>
      <c r="V4" s="13"/>
      <c r="W4" s="13"/>
    </row>
    <row r="5" spans="1:30" ht="11.25" customHeight="1" x14ac:dyDescent="0.3">
      <c r="A5" s="118"/>
      <c r="B5" s="118"/>
      <c r="C5" s="118"/>
      <c r="D5" s="118"/>
      <c r="E5" s="12" t="s">
        <v>87</v>
      </c>
      <c r="F5" s="12" t="s">
        <v>25</v>
      </c>
      <c r="G5" s="13" t="s">
        <v>81</v>
      </c>
      <c r="H5" s="13" t="s">
        <v>76</v>
      </c>
      <c r="I5" s="13">
        <f>SUMIF(Mercado_Receita!$S$2:$S$667,"44378A4AzulNão se aplicaNão se aplicaAPENão se aplicaPonta",Mercado_Receita!$L$2:$L$667)+SUMIF(Mercado_Receita!$S$2:$S$667,"44378A4AzulNão se aplicaNão se aplicaAPENão se aplicaFora ponta",Mercado_Receita!$L$2:$L$667)+SUMIF(Mercado_Receita!$S$2:$S$667,"44378A4AzulNão se aplicaNão se aplicaAPENão se aplicaIntermediário",Mercado_Receita!$L$2:$L$667)+SUMIF(Mercado_Receita!$S$2:$S$667,"44378A4AzulNão se aplicaNão se aplicaAPENão se aplicaNão se aplica",Mercado_Receita!$L$2:$L$667)</f>
        <v>0</v>
      </c>
      <c r="J5" s="13">
        <f>SUMIF(Mercado_Receita!$S$2:$S$667,"44409A4AzulNão se aplicaNão se aplicaAPENão se aplicaPonta",Mercado_Receita!$L$2:$L$667)+SUMIF(Mercado_Receita!$S$2:$S$667,"44409A4AzulNão se aplicaNão se aplicaAPENão se aplicaFora ponta",Mercado_Receita!$L$2:$L$667)+SUMIF(Mercado_Receita!$S$2:$S$667,"44409A4AzulNão se aplicaNão se aplicaAPENão se aplicaIntermediário",Mercado_Receita!$L$2:$L$667)+SUMIF(Mercado_Receita!$S$2:$S$667,"44409A4AzulNão se aplicaNão se aplicaAPENão se aplicaNão se aplica",Mercado_Receita!$L$2:$L$667)</f>
        <v>0</v>
      </c>
      <c r="K5" s="13">
        <f>SUMIF(Mercado_Receita!$S$2:$S$667,"44440A4AzulNão se aplicaNão se aplicaAPENão se aplicaPonta",Mercado_Receita!$L$2:$L$667)+SUMIF(Mercado_Receita!$S$2:$S$667,"44440A4AzulNão se aplicaNão se aplicaAPENão se aplicaFora ponta",Mercado_Receita!$L$2:$L$667)+SUMIF(Mercado_Receita!$S$2:$S$667,"44440A4AzulNão se aplicaNão se aplicaAPENão se aplicaIntermediário",Mercado_Receita!$L$2:$L$667)+SUMIF(Mercado_Receita!$S$2:$S$667,"44440A4AzulNão se aplicaNão se aplicaAPENão se aplicaNão se aplica",Mercado_Receita!$L$2:$L$667)</f>
        <v>0</v>
      </c>
      <c r="L5" s="13">
        <f>SUMIF(Mercado_Receita!$S$2:$S$667,"44470A4AzulNão se aplicaNão se aplicaAPENão se aplicaPonta",Mercado_Receita!$L$2:$L$667)+SUMIF(Mercado_Receita!$S$2:$S$667,"44470A4AzulNão se aplicaNão se aplicaAPENão se aplicaFora ponta",Mercado_Receita!$L$2:$L$667)+SUMIF(Mercado_Receita!$S$2:$S$667,"44470A4AzulNão se aplicaNão se aplicaAPENão se aplicaIntermediário",Mercado_Receita!$L$2:$L$667)+SUMIF(Mercado_Receita!$S$2:$S$667,"44470A4AzulNão se aplicaNão se aplicaAPENão se aplicaNão se aplica",Mercado_Receita!$L$2:$L$667)</f>
        <v>0</v>
      </c>
      <c r="M5" s="13">
        <f>SUMIF(Mercado_Receita!$S$2:$S$667,"44501A4AzulNão se aplicaNão se aplicaAPENão se aplicaPonta",Mercado_Receita!$L$2:$L$667)+SUMIF(Mercado_Receita!$S$2:$S$667,"44501A4AzulNão se aplicaNão se aplicaAPENão se aplicaFora ponta",Mercado_Receita!$L$2:$L$667)+SUMIF(Mercado_Receita!$S$2:$S$667,"44501A4AzulNão se aplicaNão se aplicaAPENão se aplicaIntermediário",Mercado_Receita!$L$2:$L$667)+SUMIF(Mercado_Receita!$S$2:$S$667,"44501A4AzulNão se aplicaNão se aplicaAPENão se aplicaNão se aplica",Mercado_Receita!$L$2:$L$667)</f>
        <v>0</v>
      </c>
      <c r="N5" s="13">
        <f>SUMIF(Mercado_Receita!$S$2:$S$667,"44531A4AzulNão se aplicaNão se aplicaAPENão se aplicaPonta",Mercado_Receita!$L$2:$L$667)+SUMIF(Mercado_Receita!$S$2:$S$667,"44531A4AzulNão se aplicaNão se aplicaAPENão se aplicaFora ponta",Mercado_Receita!$L$2:$L$667)+SUMIF(Mercado_Receita!$S$2:$S$667,"44531A4AzulNão se aplicaNão se aplicaAPENão se aplicaIntermediário",Mercado_Receita!$L$2:$L$667)+SUMIF(Mercado_Receita!$S$2:$S$667,"44531A4AzulNão se aplicaNão se aplicaAPENão se aplicaNão se aplica",Mercado_Receita!$L$2:$L$667)</f>
        <v>0</v>
      </c>
      <c r="O5" s="13">
        <f>SUMIF(Mercado_Receita!$S$2:$S$667,"44562A4AzulNão se aplicaNão se aplicaAPENão se aplicaPonta",Mercado_Receita!$L$2:$L$667)+SUMIF(Mercado_Receita!$S$2:$S$667,"44562A4AzulNão se aplicaNão se aplicaAPENão se aplicaFora ponta",Mercado_Receita!$L$2:$L$667)+SUMIF(Mercado_Receita!$S$2:$S$667,"44562A4AzulNão se aplicaNão se aplicaAPENão se aplicaIntermediário",Mercado_Receita!$L$2:$L$667)+SUMIF(Mercado_Receita!$S$2:$S$667,"44562A4AzulNão se aplicaNão se aplicaAPENão se aplicaNão se aplica",Mercado_Receita!$L$2:$L$667)</f>
        <v>0</v>
      </c>
      <c r="P5" s="13">
        <f>SUMIF(Mercado_Receita!$S$2:$S$667,"44593A4AzulNão se aplicaNão se aplicaAPENão se aplicaPonta",Mercado_Receita!$L$2:$L$667)+SUMIF(Mercado_Receita!$S$2:$S$667,"44593A4AzulNão se aplicaNão se aplicaAPENão se aplicaFora ponta",Mercado_Receita!$L$2:$L$667)+SUMIF(Mercado_Receita!$S$2:$S$667,"44593A4AzulNão se aplicaNão se aplicaAPENão se aplicaIntermediário",Mercado_Receita!$L$2:$L$667)+SUMIF(Mercado_Receita!$S$2:$S$667,"44593A4AzulNão se aplicaNão se aplicaAPENão se aplicaNão se aplica",Mercado_Receita!$L$2:$L$667)</f>
        <v>0</v>
      </c>
      <c r="Q5" s="13">
        <f>SUMIF(Mercado_Receita!$S$2:$S$667,"44621A4AzulNão se aplicaNão se aplicaAPENão se aplicaPonta",Mercado_Receita!$L$2:$L$667)+SUMIF(Mercado_Receita!$S$2:$S$667,"44621A4AzulNão se aplicaNão se aplicaAPENão se aplicaFora ponta",Mercado_Receita!$L$2:$L$667)+SUMIF(Mercado_Receita!$S$2:$S$667,"44621A4AzulNão se aplicaNão se aplicaAPENão se aplicaIntermediário",Mercado_Receita!$L$2:$L$667)+SUMIF(Mercado_Receita!$S$2:$S$667,"44621A4AzulNão se aplicaNão se aplicaAPENão se aplicaNão se aplica",Mercado_Receita!$L$2:$L$667)</f>
        <v>0</v>
      </c>
      <c r="R5" s="13">
        <f>SUMIF(Mercado_Receita!$S$2:$S$667,"44652A4AzulNão se aplicaNão se aplicaAPENão se aplicaPonta",Mercado_Receita!$L$2:$L$667)+SUMIF(Mercado_Receita!$S$2:$S$667,"44652A4AzulNão se aplicaNão se aplicaAPENão se aplicaFora ponta",Mercado_Receita!$L$2:$L$667)+SUMIF(Mercado_Receita!$S$2:$S$667,"44652A4AzulNão se aplicaNão se aplicaAPENão se aplicaIntermediário",Mercado_Receita!$L$2:$L$667)+SUMIF(Mercado_Receita!$S$2:$S$667,"44652A4AzulNão se aplicaNão se aplicaAPENão se aplicaNão se aplica",Mercado_Receita!$L$2:$L$667)</f>
        <v>0</v>
      </c>
      <c r="S5" s="13">
        <f>SUMIF(Mercado_Receita!$S$2:$S$667,"44682A4AzulNão se aplicaNão se aplicaAPENão se aplicaPonta",Mercado_Receita!$L$2:$L$667)+SUMIF(Mercado_Receita!$S$2:$S$667,"44682A4AzulNão se aplicaNão se aplicaAPENão se aplicaFora ponta",Mercado_Receita!$L$2:$L$667)+SUMIF(Mercado_Receita!$S$2:$S$667,"44682A4AzulNão se aplicaNão se aplicaAPENão se aplicaIntermediário",Mercado_Receita!$L$2:$L$667)+SUMIF(Mercado_Receita!$S$2:$S$667,"44682A4AzulNão se aplicaNão se aplicaAPENão se aplicaNão se aplica",Mercado_Receita!$L$2:$L$667)</f>
        <v>0</v>
      </c>
      <c r="T5" s="13">
        <f>SUMIF(Mercado_Receita!$S$2:$S$667,"44713A4AzulNão se aplicaNão se aplicaAPENão se aplicaPonta",Mercado_Receita!$L$2:$L$667)+SUMIF(Mercado_Receita!$S$2:$S$667,"44713A4AzulNão se aplicaNão se aplicaAPENão se aplicaFora ponta",Mercado_Receita!$L$2:$L$667)+SUMIF(Mercado_Receita!$S$2:$S$667,"44713A4AzulNão se aplicaNão se aplicaAPENão se aplicaIntermediário",Mercado_Receita!$L$2:$L$667)+SUMIF(Mercado_Receita!$S$2:$S$667,"44713A4AzulNão se aplicaNão se aplicaAPENão se aplicaNão se aplica",Mercado_Receita!$L$2:$L$667)</f>
        <v>0</v>
      </c>
      <c r="U5" s="13">
        <f t="shared" si="0"/>
        <v>0</v>
      </c>
      <c r="V5" s="13"/>
      <c r="W5" s="13"/>
    </row>
    <row r="6" spans="1:30" ht="11.25" customHeight="1" x14ac:dyDescent="0.3">
      <c r="A6" s="118"/>
      <c r="B6" s="117" t="s">
        <v>56</v>
      </c>
      <c r="C6" s="117" t="s">
        <v>25</v>
      </c>
      <c r="D6" s="117" t="s">
        <v>25</v>
      </c>
      <c r="E6" s="117" t="s">
        <v>25</v>
      </c>
      <c r="F6" s="117" t="s">
        <v>58</v>
      </c>
      <c r="G6" s="13" t="s">
        <v>85</v>
      </c>
      <c r="H6" s="13" t="s">
        <v>84</v>
      </c>
      <c r="I6" s="13">
        <f>SUMIF(Mercado_Receita!$S$2:$S$667,"44378A4DistribuiçãoNão se aplicaNão se aplicaNão se aplicaCELETROPonta",Mercado_Receita!$J$2:$J$667)+SUMIF(Mercado_Receita!$S$2:$S$667,"44378A4DistribuiçãoNão se aplicaNão se aplicaNão se aplicaCELETRONão se aplica",Mercado_Receita!$J$2:$J$667)*0.72</f>
        <v>1074</v>
      </c>
      <c r="J6" s="13">
        <f>SUMIF(Mercado_Receita!$S$2:$S$667,"44409A4DistribuiçãoNão se aplicaNão se aplicaNão se aplicaCELETROPonta",Mercado_Receita!$J$2:$J$667)+SUMIF(Mercado_Receita!$S$2:$S$667,"44409A4DistribuiçãoNão se aplicaNão se aplicaNão se aplicaCELETRONão se aplica",Mercado_Receita!$J$2:$J$667)*0.72</f>
        <v>1206</v>
      </c>
      <c r="K6" s="13">
        <f>SUMIF(Mercado_Receita!$S$2:$S$667,"44440A4DistribuiçãoNão se aplicaNão se aplicaNão se aplicaCELETROPonta",Mercado_Receita!$J$2:$J$667)+SUMIF(Mercado_Receita!$S$2:$S$667,"44440A4DistribuiçãoNão se aplicaNão se aplicaNão se aplicaCELETRONão se aplica",Mercado_Receita!$J$2:$J$667)*0.72</f>
        <v>1022</v>
      </c>
      <c r="L6" s="13">
        <f>SUMIF(Mercado_Receita!$S$2:$S$667,"44470A4DistribuiçãoNão se aplicaNão se aplicaNão se aplicaCELETROPonta",Mercado_Receita!$J$2:$J$667)+SUMIF(Mercado_Receita!$S$2:$S$667,"44470A4DistribuiçãoNão se aplicaNão se aplicaNão se aplicaCELETRONão se aplica",Mercado_Receita!$J$2:$J$667)*0.72</f>
        <v>1327</v>
      </c>
      <c r="M6" s="13">
        <f>SUMIF(Mercado_Receita!$S$2:$S$667,"44501A4DistribuiçãoNão se aplicaNão se aplicaNão se aplicaCELETROPonta",Mercado_Receita!$J$2:$J$667)+SUMIF(Mercado_Receita!$S$2:$S$667,"44501A4DistribuiçãoNão se aplicaNão se aplicaNão se aplicaCELETRONão se aplica",Mercado_Receita!$J$2:$J$667)*0.72</f>
        <v>1479</v>
      </c>
      <c r="N6" s="13">
        <f>SUMIF(Mercado_Receita!$S$2:$S$667,"44531A4DistribuiçãoNão se aplicaNão se aplicaNão se aplicaCELETROPonta",Mercado_Receita!$J$2:$J$667)+SUMIF(Mercado_Receita!$S$2:$S$667,"44531A4DistribuiçãoNão se aplicaNão se aplicaNão se aplicaCELETRONão se aplica",Mercado_Receita!$J$2:$J$667)*0.72</f>
        <v>1755</v>
      </c>
      <c r="O6" s="13">
        <f>SUMIF(Mercado_Receita!$S$2:$S$667,"44562A4DistribuiçãoNão se aplicaNão se aplicaNão se aplicaCELETROPonta",Mercado_Receita!$J$2:$J$667)+SUMIF(Mercado_Receita!$S$2:$S$667,"44562A4DistribuiçãoNão se aplicaNão se aplicaNão se aplicaCELETRONão se aplica",Mercado_Receita!$J$2:$J$667)*0.72</f>
        <v>2111</v>
      </c>
      <c r="P6" s="13">
        <f>SUMIF(Mercado_Receita!$S$2:$S$667,"44593A4DistribuiçãoNão se aplicaNão se aplicaNão se aplicaCELETROPonta",Mercado_Receita!$J$2:$J$667)+SUMIF(Mercado_Receita!$S$2:$S$667,"44593A4DistribuiçãoNão se aplicaNão se aplicaNão se aplicaCELETRONão se aplica",Mercado_Receita!$J$2:$J$667)*0.72</f>
        <v>1529</v>
      </c>
      <c r="Q6" s="13">
        <f>SUMIF(Mercado_Receita!$S$2:$S$667,"44621A4DistribuiçãoNão se aplicaNão se aplicaNão se aplicaCELETROPonta",Mercado_Receita!$J$2:$J$667)+SUMIF(Mercado_Receita!$S$2:$S$667,"44621A4DistribuiçãoNão se aplicaNão se aplicaNão se aplicaCELETRONão se aplica",Mercado_Receita!$J$2:$J$667)*0.72</f>
        <v>1264</v>
      </c>
      <c r="R6" s="13">
        <f>SUMIF(Mercado_Receita!$S$2:$S$667,"44652A4DistribuiçãoNão se aplicaNão se aplicaNão se aplicaCELETROPonta",Mercado_Receita!$J$2:$J$667)+SUMIF(Mercado_Receita!$S$2:$S$667,"44652A4DistribuiçãoNão se aplicaNão se aplicaNão se aplicaCELETRONão se aplica",Mercado_Receita!$J$2:$J$667)*0.72</f>
        <v>1361</v>
      </c>
      <c r="S6" s="13">
        <f>SUMIF(Mercado_Receita!$S$2:$S$667,"44682A4DistribuiçãoNão se aplicaNão se aplicaNão se aplicaCELETROPonta",Mercado_Receita!$J$2:$J$667)+SUMIF(Mercado_Receita!$S$2:$S$667,"44682A4DistribuiçãoNão se aplicaNão se aplicaNão se aplicaCELETRONão se aplica",Mercado_Receita!$J$2:$J$667)*0.72</f>
        <v>1251</v>
      </c>
      <c r="T6" s="13">
        <f>SUMIF(Mercado_Receita!$S$2:$S$667,"44713A4DistribuiçãoNão se aplicaNão se aplicaNão se aplicaCELETROPonta",Mercado_Receita!$J$2:$J$667)+SUMIF(Mercado_Receita!$S$2:$S$667,"44713A4DistribuiçãoNão se aplicaNão se aplicaNão se aplicaCELETRONão se aplica",Mercado_Receita!$J$2:$J$667)*0.72</f>
        <v>1161</v>
      </c>
      <c r="U6" s="13">
        <f t="shared" si="0"/>
        <v>16540</v>
      </c>
      <c r="V6" s="13"/>
      <c r="W6" s="13"/>
    </row>
    <row r="7" spans="1:30" ht="11.25" customHeight="1" x14ac:dyDescent="0.3">
      <c r="A7" s="118"/>
      <c r="B7" s="118"/>
      <c r="C7" s="118"/>
      <c r="D7" s="118"/>
      <c r="E7" s="118"/>
      <c r="F7" s="118"/>
      <c r="G7" s="13" t="s">
        <v>86</v>
      </c>
      <c r="H7" s="13" t="s">
        <v>84</v>
      </c>
      <c r="I7" s="13">
        <f>SUMIF(Mercado_Receita!$S$2:$S$667,"44378A4DistribuiçãoNão se aplicaNão se aplicaNão se aplicaCELETROFora ponta",Mercado_Receita!$J$2:$J$667)+SUMIF(Mercado_Receita!$S$2:$S$667,"44378A4DistribuiçãoNão se aplicaNão se aplicaNão se aplicaCELETRONão se aplica",Mercado_Receita!$J$2:$J$667)*1</f>
        <v>1083</v>
      </c>
      <c r="J7" s="13">
        <f>SUMIF(Mercado_Receita!$S$2:$S$667,"44409A4DistribuiçãoNão se aplicaNão se aplicaNão se aplicaCELETROFora ponta",Mercado_Receita!$J$2:$J$667)+SUMIF(Mercado_Receita!$S$2:$S$667,"44409A4DistribuiçãoNão se aplicaNão se aplicaNão se aplicaCELETRONão se aplica",Mercado_Receita!$J$2:$J$667)*1</f>
        <v>1058</v>
      </c>
      <c r="K7" s="13">
        <f>SUMIF(Mercado_Receita!$S$2:$S$667,"44440A4DistribuiçãoNão se aplicaNão se aplicaNão se aplicaCELETROFora ponta",Mercado_Receita!$J$2:$J$667)+SUMIF(Mercado_Receita!$S$2:$S$667,"44440A4DistribuiçãoNão se aplicaNão se aplicaNão se aplicaCELETRONão se aplica",Mercado_Receita!$J$2:$J$667)*1</f>
        <v>1067</v>
      </c>
      <c r="L7" s="13">
        <f>SUMIF(Mercado_Receita!$S$2:$S$667,"44470A4DistribuiçãoNão se aplicaNão se aplicaNão se aplicaCELETROFora ponta",Mercado_Receita!$J$2:$J$667)+SUMIF(Mercado_Receita!$S$2:$S$667,"44470A4DistribuiçãoNão se aplicaNão se aplicaNão se aplicaCELETRONão se aplica",Mercado_Receita!$J$2:$J$667)*1</f>
        <v>1154</v>
      </c>
      <c r="M7" s="13">
        <f>SUMIF(Mercado_Receita!$S$2:$S$667,"44501A4DistribuiçãoNão se aplicaNão se aplicaNão se aplicaCELETROFora ponta",Mercado_Receita!$J$2:$J$667)+SUMIF(Mercado_Receita!$S$2:$S$667,"44501A4DistribuiçãoNão se aplicaNão se aplicaNão se aplicaCELETRONão se aplica",Mercado_Receita!$J$2:$J$667)*1</f>
        <v>1511</v>
      </c>
      <c r="N7" s="13">
        <f>SUMIF(Mercado_Receita!$S$2:$S$667,"44531A4DistribuiçãoNão se aplicaNão se aplicaNão se aplicaCELETROFora ponta",Mercado_Receita!$J$2:$J$667)+SUMIF(Mercado_Receita!$S$2:$S$667,"44531A4DistribuiçãoNão se aplicaNão se aplicaNão se aplicaCELETRONão se aplica",Mercado_Receita!$J$2:$J$667)*1</f>
        <v>1813</v>
      </c>
      <c r="O7" s="13">
        <f>SUMIF(Mercado_Receita!$S$2:$S$667,"44562A4DistribuiçãoNão se aplicaNão se aplicaNão se aplicaCELETROFora ponta",Mercado_Receita!$J$2:$J$667)+SUMIF(Mercado_Receita!$S$2:$S$667,"44562A4DistribuiçãoNão se aplicaNão se aplicaNão se aplicaCELETRONão se aplica",Mercado_Receita!$J$2:$J$667)*1</f>
        <v>2086</v>
      </c>
      <c r="P7" s="13">
        <f>SUMIF(Mercado_Receita!$S$2:$S$667,"44593A4DistribuiçãoNão se aplicaNão se aplicaNão se aplicaCELETROFora ponta",Mercado_Receita!$J$2:$J$667)+SUMIF(Mercado_Receita!$S$2:$S$667,"44593A4DistribuiçãoNão se aplicaNão se aplicaNão se aplicaCELETRONão se aplica",Mercado_Receita!$J$2:$J$667)*1</f>
        <v>1549</v>
      </c>
      <c r="Q7" s="13">
        <f>SUMIF(Mercado_Receita!$S$2:$S$667,"44621A4DistribuiçãoNão se aplicaNão se aplicaNão se aplicaCELETROFora ponta",Mercado_Receita!$J$2:$J$667)+SUMIF(Mercado_Receita!$S$2:$S$667,"44621A4DistribuiçãoNão se aplicaNão se aplicaNão se aplicaCELETRONão se aplica",Mercado_Receita!$J$2:$J$667)*1</f>
        <v>1215</v>
      </c>
      <c r="R7" s="13">
        <f>SUMIF(Mercado_Receita!$S$2:$S$667,"44652A4DistribuiçãoNão se aplicaNão se aplicaNão se aplicaCELETROFora ponta",Mercado_Receita!$J$2:$J$667)+SUMIF(Mercado_Receita!$S$2:$S$667,"44652A4DistribuiçãoNão se aplicaNão se aplicaNão se aplicaCELETRONão se aplica",Mercado_Receita!$J$2:$J$667)*1</f>
        <v>1322</v>
      </c>
      <c r="S7" s="13">
        <f>SUMIF(Mercado_Receita!$S$2:$S$667,"44682A4DistribuiçãoNão se aplicaNão se aplicaNão se aplicaCELETROFora ponta",Mercado_Receita!$J$2:$J$667)+SUMIF(Mercado_Receita!$S$2:$S$667,"44682A4DistribuiçãoNão se aplicaNão se aplicaNão se aplicaCELETRONão se aplica",Mercado_Receita!$J$2:$J$667)*1</f>
        <v>1251</v>
      </c>
      <c r="T7" s="13">
        <f>SUMIF(Mercado_Receita!$S$2:$S$667,"44713A4DistribuiçãoNão se aplicaNão se aplicaNão se aplicaCELETROFora ponta",Mercado_Receita!$J$2:$J$667)+SUMIF(Mercado_Receita!$S$2:$S$667,"44713A4DistribuiçãoNão se aplicaNão se aplicaNão se aplicaCELETRONão se aplica",Mercado_Receita!$J$2:$J$667)*1</f>
        <v>1345</v>
      </c>
      <c r="U7" s="13">
        <f t="shared" si="0"/>
        <v>16454</v>
      </c>
      <c r="V7" s="13"/>
      <c r="W7" s="13"/>
    </row>
    <row r="8" spans="1:30" ht="11.25" customHeight="1" x14ac:dyDescent="0.3">
      <c r="A8" s="118"/>
      <c r="B8" s="118"/>
      <c r="C8" s="118"/>
      <c r="D8" s="118"/>
      <c r="E8" s="118"/>
      <c r="F8" s="118"/>
      <c r="G8" s="13" t="s">
        <v>81</v>
      </c>
      <c r="H8" s="13" t="s">
        <v>76</v>
      </c>
      <c r="I8" s="13">
        <f>IF((I6+I7)&lt;&gt;0,SUMIF(Mercado_Receita!$S$2:$S$667,"44378A4DistribuiçãoNão se aplicaNão se aplicaNão se aplicaCELETROPonta",Mercado_Receita!$L$2:$L$667)+SUMIF(Mercado_Receita!$S$2:$S$667,"44378A4DistribuiçãoNão se aplicaNão se aplicaNão se aplicaCELETROFora ponta",Mercado_Receita!$L$2:$L$667)+SUMIF(Mercado_Receita!$S$2:$S$667,"44378A4DistribuiçãoNão se aplicaNão se aplicaNão se aplicaCELETROIntermediário",Mercado_Receita!$L$2:$L$667)+SUMIF(Mercado_Receita!$S$2:$S$667,"44378A4DistribuiçãoNão se aplicaNão se aplicaNão se aplicaCELETRONão se aplica",Mercado_Receita!$L$2:$L$667),0)</f>
        <v>342.21800000000002</v>
      </c>
      <c r="J8" s="13">
        <f>IF((J6+J7)&lt;&gt;0,SUMIF(Mercado_Receita!$S$2:$S$667,"44409A4DistribuiçãoNão se aplicaNão se aplicaNão se aplicaCELETROPonta",Mercado_Receita!$L$2:$L$667)+SUMIF(Mercado_Receita!$S$2:$S$667,"44409A4DistribuiçãoNão se aplicaNão se aplicaNão se aplicaCELETROFora ponta",Mercado_Receita!$L$2:$L$667)+SUMIF(Mercado_Receita!$S$2:$S$667,"44409A4DistribuiçãoNão se aplicaNão se aplicaNão se aplicaCELETROIntermediário",Mercado_Receita!$L$2:$L$667)+SUMIF(Mercado_Receita!$S$2:$S$667,"44409A4DistribuiçãoNão se aplicaNão se aplicaNão se aplicaCELETRONão se aplica",Mercado_Receita!$L$2:$L$667),0)</f>
        <v>369.23899999999998</v>
      </c>
      <c r="K8" s="13">
        <f>IF((K6+K7)&lt;&gt;0,SUMIF(Mercado_Receita!$S$2:$S$667,"44440A4DistribuiçãoNão se aplicaNão se aplicaNão se aplicaCELETROPonta",Mercado_Receita!$L$2:$L$667)+SUMIF(Mercado_Receita!$S$2:$S$667,"44440A4DistribuiçãoNão se aplicaNão se aplicaNão se aplicaCELETROFora ponta",Mercado_Receita!$L$2:$L$667)+SUMIF(Mercado_Receita!$S$2:$S$667,"44440A4DistribuiçãoNão se aplicaNão se aplicaNão se aplicaCELETROIntermediário",Mercado_Receita!$L$2:$L$667)+SUMIF(Mercado_Receita!$S$2:$S$667,"44440A4DistribuiçãoNão se aplicaNão se aplicaNão se aplicaCELETRONão se aplica",Mercado_Receita!$L$2:$L$667),0)</f>
        <v>336.33800000000002</v>
      </c>
      <c r="L8" s="13">
        <f>IF((L6+L7)&lt;&gt;0,SUMIF(Mercado_Receita!$S$2:$S$667,"44470A4DistribuiçãoNão se aplicaNão se aplicaNão se aplicaCELETROPonta",Mercado_Receita!$L$2:$L$667)+SUMIF(Mercado_Receita!$S$2:$S$667,"44470A4DistribuiçãoNão se aplicaNão se aplicaNão se aplicaCELETROFora ponta",Mercado_Receita!$L$2:$L$667)+SUMIF(Mercado_Receita!$S$2:$S$667,"44470A4DistribuiçãoNão se aplicaNão se aplicaNão se aplicaCELETROIntermediário",Mercado_Receita!$L$2:$L$667)+SUMIF(Mercado_Receita!$S$2:$S$667,"44470A4DistribuiçãoNão se aplicaNão se aplicaNão se aplicaCELETRONão se aplica",Mercado_Receita!$L$2:$L$667),0)</f>
        <v>343.803</v>
      </c>
      <c r="M8" s="13">
        <f>IF((M6+M7)&lt;&gt;0,SUMIF(Mercado_Receita!$S$2:$S$667,"44501A4DistribuiçãoNão se aplicaNão se aplicaNão se aplicaCELETROPonta",Mercado_Receita!$L$2:$L$667)+SUMIF(Mercado_Receita!$S$2:$S$667,"44501A4DistribuiçãoNão se aplicaNão se aplicaNão se aplicaCELETROFora ponta",Mercado_Receita!$L$2:$L$667)+SUMIF(Mercado_Receita!$S$2:$S$667,"44501A4DistribuiçãoNão se aplicaNão se aplicaNão se aplicaCELETROIntermediário",Mercado_Receita!$L$2:$L$667)+SUMIF(Mercado_Receita!$S$2:$S$667,"44501A4DistribuiçãoNão se aplicaNão se aplicaNão se aplicaCELETRONão se aplica",Mercado_Receita!$L$2:$L$667),0)</f>
        <v>490.92599999999999</v>
      </c>
      <c r="N8" s="13">
        <f>IF((N6+N7)&lt;&gt;0,SUMIF(Mercado_Receita!$S$2:$S$667,"44531A4DistribuiçãoNão se aplicaNão se aplicaNão se aplicaCELETROPonta",Mercado_Receita!$L$2:$L$667)+SUMIF(Mercado_Receita!$S$2:$S$667,"44531A4DistribuiçãoNão se aplicaNão se aplicaNão se aplicaCELETROFora ponta",Mercado_Receita!$L$2:$L$667)+SUMIF(Mercado_Receita!$S$2:$S$667,"44531A4DistribuiçãoNão se aplicaNão se aplicaNão se aplicaCELETROIntermediário",Mercado_Receita!$L$2:$L$667)+SUMIF(Mercado_Receita!$S$2:$S$667,"44531A4DistribuiçãoNão se aplicaNão se aplicaNão se aplicaCELETRONão se aplica",Mercado_Receita!$L$2:$L$667),0)</f>
        <v>681.79300000000001</v>
      </c>
      <c r="O8" s="13">
        <f>IF((O6+O7)&lt;&gt;0,SUMIF(Mercado_Receita!$S$2:$S$667,"44562A4DistribuiçãoNão se aplicaNão se aplicaNão se aplicaCELETROPonta",Mercado_Receita!$L$2:$L$667)+SUMIF(Mercado_Receita!$S$2:$S$667,"44562A4DistribuiçãoNão se aplicaNão se aplicaNão se aplicaCELETROFora ponta",Mercado_Receita!$L$2:$L$667)+SUMIF(Mercado_Receita!$S$2:$S$667,"44562A4DistribuiçãoNão se aplicaNão se aplicaNão se aplicaCELETROIntermediário",Mercado_Receita!$L$2:$L$667)+SUMIF(Mercado_Receita!$S$2:$S$667,"44562A4DistribuiçãoNão se aplicaNão se aplicaNão se aplicaCELETRONão se aplica",Mercado_Receita!$L$2:$L$667),0)</f>
        <v>709.2</v>
      </c>
      <c r="P8" s="13">
        <f>IF((P6+P7)&lt;&gt;0,SUMIF(Mercado_Receita!$S$2:$S$667,"44593A4DistribuiçãoNão se aplicaNão se aplicaNão se aplicaCELETROPonta",Mercado_Receita!$L$2:$L$667)+SUMIF(Mercado_Receita!$S$2:$S$667,"44593A4DistribuiçãoNão se aplicaNão se aplicaNão se aplicaCELETROFora ponta",Mercado_Receita!$L$2:$L$667)+SUMIF(Mercado_Receita!$S$2:$S$667,"44593A4DistribuiçãoNão se aplicaNão se aplicaNão se aplicaCELETROIntermediário",Mercado_Receita!$L$2:$L$667)+SUMIF(Mercado_Receita!$S$2:$S$667,"44593A4DistribuiçãoNão se aplicaNão se aplicaNão se aplicaCELETRONão se aplica",Mercado_Receita!$L$2:$L$667),0)</f>
        <v>498.80799999999999</v>
      </c>
      <c r="Q8" s="13">
        <f>IF((Q6+Q7)&lt;&gt;0,SUMIF(Mercado_Receita!$S$2:$S$667,"44621A4DistribuiçãoNão se aplicaNão se aplicaNão se aplicaCELETROPonta",Mercado_Receita!$L$2:$L$667)+SUMIF(Mercado_Receita!$S$2:$S$667,"44621A4DistribuiçãoNão se aplicaNão se aplicaNão se aplicaCELETROFora ponta",Mercado_Receita!$L$2:$L$667)+SUMIF(Mercado_Receita!$S$2:$S$667,"44621A4DistribuiçãoNão se aplicaNão se aplicaNão se aplicaCELETROIntermediário",Mercado_Receita!$L$2:$L$667)+SUMIF(Mercado_Receita!$S$2:$S$667,"44621A4DistribuiçãoNão se aplicaNão se aplicaNão se aplicaCELETRONão se aplica",Mercado_Receita!$L$2:$L$667),0)</f>
        <v>469.10599999999999</v>
      </c>
      <c r="R8" s="13">
        <f>IF((R6+R7)&lt;&gt;0,SUMIF(Mercado_Receita!$S$2:$S$667,"44652A4DistribuiçãoNão se aplicaNão se aplicaNão se aplicaCELETROPonta",Mercado_Receita!$L$2:$L$667)+SUMIF(Mercado_Receita!$S$2:$S$667,"44652A4DistribuiçãoNão se aplicaNão se aplicaNão se aplicaCELETROFora ponta",Mercado_Receita!$L$2:$L$667)+SUMIF(Mercado_Receita!$S$2:$S$667,"44652A4DistribuiçãoNão se aplicaNão se aplicaNão se aplicaCELETROIntermediário",Mercado_Receita!$L$2:$L$667)+SUMIF(Mercado_Receita!$S$2:$S$667,"44652A4DistribuiçãoNão se aplicaNão se aplicaNão se aplicaCELETRONão se aplica",Mercado_Receita!$L$2:$L$667),0)</f>
        <v>444.86500000000001</v>
      </c>
      <c r="S8" s="13">
        <f>IF((S6+S7)&lt;&gt;0,SUMIF(Mercado_Receita!$S$2:$S$667,"44682A4DistribuiçãoNão se aplicaNão se aplicaNão se aplicaCELETROPonta",Mercado_Receita!$L$2:$L$667)+SUMIF(Mercado_Receita!$S$2:$S$667,"44682A4DistribuiçãoNão se aplicaNão se aplicaNão se aplicaCELETROFora ponta",Mercado_Receita!$L$2:$L$667)+SUMIF(Mercado_Receita!$S$2:$S$667,"44682A4DistribuiçãoNão se aplicaNão se aplicaNão se aplicaCELETROIntermediário",Mercado_Receita!$L$2:$L$667)+SUMIF(Mercado_Receita!$S$2:$S$667,"44682A4DistribuiçãoNão se aplicaNão se aplicaNão se aplicaCELETRONão se aplica",Mercado_Receita!$L$2:$L$667),0)</f>
        <v>398.43</v>
      </c>
      <c r="T8" s="13">
        <f>IF((T6+T7)&lt;&gt;0,SUMIF(Mercado_Receita!$S$2:$S$667,"44713A4DistribuiçãoNão se aplicaNão se aplicaNão se aplicaCELETROPonta",Mercado_Receita!$L$2:$L$667)+SUMIF(Mercado_Receita!$S$2:$S$667,"44713A4DistribuiçãoNão se aplicaNão se aplicaNão se aplicaCELETROFora ponta",Mercado_Receita!$L$2:$L$667)+SUMIF(Mercado_Receita!$S$2:$S$667,"44713A4DistribuiçãoNão se aplicaNão se aplicaNão se aplicaCELETROIntermediário",Mercado_Receita!$L$2:$L$667)+SUMIF(Mercado_Receita!$S$2:$S$667,"44713A4DistribuiçãoNão se aplicaNão se aplicaNão se aplicaCELETRONão se aplica",Mercado_Receita!$L$2:$L$667),0)</f>
        <v>404.363</v>
      </c>
      <c r="U8" s="13">
        <f t="shared" si="0"/>
        <v>5489.0889999999999</v>
      </c>
      <c r="V8" s="13"/>
      <c r="W8" s="13"/>
    </row>
    <row r="9" spans="1:30" ht="11.25" customHeight="1" x14ac:dyDescent="0.3">
      <c r="A9" s="118"/>
      <c r="B9" s="12" t="s">
        <v>88</v>
      </c>
      <c r="C9" s="12" t="s">
        <v>25</v>
      </c>
      <c r="D9" s="12" t="s">
        <v>25</v>
      </c>
      <c r="E9" s="12" t="s">
        <v>25</v>
      </c>
      <c r="F9" s="12" t="s">
        <v>25</v>
      </c>
      <c r="G9" s="13" t="s">
        <v>9</v>
      </c>
      <c r="H9" s="13" t="s">
        <v>84</v>
      </c>
      <c r="I9" s="13">
        <f>SUMIF(Mercado_Receita!$S$2:$S$667,"44378A4GeraçãoNão se aplicaNão se aplicaNão se aplicaNão se aplicaNão se aplica",Mercado_Receita!$J$2:$J$667)+SUMIF(Mercado_Receita!$S$2:$S$667,"44378A4GeraçãoNão se aplicaNão se aplicaAPENão se aplicaNão se aplica",Mercado_Receita!$J$2:$J$667)</f>
        <v>0</v>
      </c>
      <c r="J9" s="13">
        <f>SUMIF(Mercado_Receita!$S$2:$S$667,"44409A4GeraçãoNão se aplicaNão se aplicaNão se aplicaNão se aplicaNão se aplica",Mercado_Receita!$J$2:$J$667)+SUMIF(Mercado_Receita!$S$2:$S$667,"44409A4GeraçãoNão se aplicaNão se aplicaAPENão se aplicaNão se aplica",Mercado_Receita!$J$2:$J$667)</f>
        <v>0</v>
      </c>
      <c r="K9" s="13">
        <f>SUMIF(Mercado_Receita!$S$2:$S$667,"44440A4GeraçãoNão se aplicaNão se aplicaNão se aplicaNão se aplicaNão se aplica",Mercado_Receita!$J$2:$J$667)+SUMIF(Mercado_Receita!$S$2:$S$667,"44440A4GeraçãoNão se aplicaNão se aplicaAPENão se aplicaNão se aplica",Mercado_Receita!$J$2:$J$667)</f>
        <v>0</v>
      </c>
      <c r="L9" s="13">
        <f>SUMIF(Mercado_Receita!$S$2:$S$667,"44470A4GeraçãoNão se aplicaNão se aplicaNão se aplicaNão se aplicaNão se aplica",Mercado_Receita!$J$2:$J$667)+SUMIF(Mercado_Receita!$S$2:$S$667,"44470A4GeraçãoNão se aplicaNão se aplicaAPENão se aplicaNão se aplica",Mercado_Receita!$J$2:$J$667)</f>
        <v>0</v>
      </c>
      <c r="M9" s="13">
        <f>SUMIF(Mercado_Receita!$S$2:$S$667,"44501A4GeraçãoNão se aplicaNão se aplicaNão se aplicaNão se aplicaNão se aplica",Mercado_Receita!$J$2:$J$667)+SUMIF(Mercado_Receita!$S$2:$S$667,"44501A4GeraçãoNão se aplicaNão se aplicaAPENão se aplicaNão se aplica",Mercado_Receita!$J$2:$J$667)</f>
        <v>0</v>
      </c>
      <c r="N9" s="13">
        <f>SUMIF(Mercado_Receita!$S$2:$S$667,"44531A4GeraçãoNão se aplicaNão se aplicaNão se aplicaNão se aplicaNão se aplica",Mercado_Receita!$J$2:$J$667)+SUMIF(Mercado_Receita!$S$2:$S$667,"44531A4GeraçãoNão se aplicaNão se aplicaAPENão se aplicaNão se aplica",Mercado_Receita!$J$2:$J$667)</f>
        <v>0</v>
      </c>
      <c r="O9" s="13">
        <f>SUMIF(Mercado_Receita!$S$2:$S$667,"44562A4GeraçãoNão se aplicaNão se aplicaNão se aplicaNão se aplicaNão se aplica",Mercado_Receita!$J$2:$J$667)+SUMIF(Mercado_Receita!$S$2:$S$667,"44562A4GeraçãoNão se aplicaNão se aplicaAPENão se aplicaNão se aplica",Mercado_Receita!$J$2:$J$667)</f>
        <v>0</v>
      </c>
      <c r="P9" s="13">
        <f>SUMIF(Mercado_Receita!$S$2:$S$667,"44593A4GeraçãoNão se aplicaNão se aplicaNão se aplicaNão se aplicaNão se aplica",Mercado_Receita!$J$2:$J$667)+SUMIF(Mercado_Receita!$S$2:$S$667,"44593A4GeraçãoNão se aplicaNão se aplicaAPENão se aplicaNão se aplica",Mercado_Receita!$J$2:$J$667)</f>
        <v>0</v>
      </c>
      <c r="Q9" s="13">
        <f>SUMIF(Mercado_Receita!$S$2:$S$667,"44621A4GeraçãoNão se aplicaNão se aplicaNão se aplicaNão se aplicaNão se aplica",Mercado_Receita!$J$2:$J$667)+SUMIF(Mercado_Receita!$S$2:$S$667,"44621A4GeraçãoNão se aplicaNão se aplicaAPENão se aplicaNão se aplica",Mercado_Receita!$J$2:$J$667)</f>
        <v>0</v>
      </c>
      <c r="R9" s="13">
        <f>SUMIF(Mercado_Receita!$S$2:$S$667,"44652A4GeraçãoNão se aplicaNão se aplicaNão se aplicaNão se aplicaNão se aplica",Mercado_Receita!$J$2:$J$667)+SUMIF(Mercado_Receita!$S$2:$S$667,"44652A4GeraçãoNão se aplicaNão se aplicaAPENão se aplicaNão se aplica",Mercado_Receita!$J$2:$J$667)</f>
        <v>0</v>
      </c>
      <c r="S9" s="13">
        <f>SUMIF(Mercado_Receita!$S$2:$S$667,"44682A4GeraçãoNão se aplicaNão se aplicaNão se aplicaNão se aplicaNão se aplica",Mercado_Receita!$J$2:$J$667)+SUMIF(Mercado_Receita!$S$2:$S$667,"44682A4GeraçãoNão se aplicaNão se aplicaAPENão se aplicaNão se aplica",Mercado_Receita!$J$2:$J$667)</f>
        <v>0</v>
      </c>
      <c r="T9" s="13">
        <f>SUMIF(Mercado_Receita!$S$2:$S$667,"44713A4GeraçãoNão se aplicaNão se aplicaNão se aplicaNão se aplicaNão se aplica",Mercado_Receita!$J$2:$J$667)+SUMIF(Mercado_Receita!$S$2:$S$667,"44713A4GeraçãoNão se aplicaNão se aplicaAPENão se aplicaNão se aplica",Mercado_Receita!$J$2:$J$667)</f>
        <v>0</v>
      </c>
      <c r="U9" s="13">
        <f t="shared" si="0"/>
        <v>0</v>
      </c>
      <c r="V9" s="13"/>
      <c r="W9" s="13"/>
    </row>
    <row r="10" spans="1:30" ht="11.25" customHeight="1" x14ac:dyDescent="0.3">
      <c r="A10" s="118"/>
      <c r="B10" s="117" t="s">
        <v>40</v>
      </c>
      <c r="C10" s="117" t="s">
        <v>25</v>
      </c>
      <c r="D10" s="117" t="s">
        <v>25</v>
      </c>
      <c r="E10" s="117" t="s">
        <v>25</v>
      </c>
      <c r="F10" s="117" t="s">
        <v>25</v>
      </c>
      <c r="G10" s="13" t="s">
        <v>9</v>
      </c>
      <c r="H10" s="13" t="s">
        <v>84</v>
      </c>
      <c r="I10" s="13">
        <f>SUMIF(Mercado_Receita!$S$2:$S$667,"44378A4VerdeNão se aplicaNão se aplicaNão se aplicaNão se aplicaNão se aplica",Mercado_Receita!$J$2:$J$667)+SUMIF(Mercado_Receita!$S$2:$S$667,"44378A4VerdeNão se aplicaNão se aplicaAPENão se aplicaNão se aplica",Mercado_Receita!$J$2:$J$667)</f>
        <v>9715</v>
      </c>
      <c r="J10" s="13">
        <f>SUMIF(Mercado_Receita!$S$2:$S$667,"44409A4VerdeNão se aplicaNão se aplicaNão se aplicaNão se aplicaNão se aplica",Mercado_Receita!$J$2:$J$667)+SUMIF(Mercado_Receita!$S$2:$S$667,"44409A4VerdeNão se aplicaNão se aplicaAPENão se aplicaNão se aplica",Mercado_Receita!$J$2:$J$667)</f>
        <v>9347</v>
      </c>
      <c r="K10" s="13">
        <f>SUMIF(Mercado_Receita!$S$2:$S$667,"44440A4VerdeNão se aplicaNão se aplicaNão se aplicaNão se aplicaNão se aplica",Mercado_Receita!$J$2:$J$667)+SUMIF(Mercado_Receita!$S$2:$S$667,"44440A4VerdeNão se aplicaNão se aplicaAPENão se aplicaNão se aplica",Mercado_Receita!$J$2:$J$667)</f>
        <v>9419</v>
      </c>
      <c r="L10" s="13">
        <f>SUMIF(Mercado_Receita!$S$2:$S$667,"44470A4VerdeNão se aplicaNão se aplicaNão se aplicaNão se aplicaNão se aplica",Mercado_Receita!$J$2:$J$667)+SUMIF(Mercado_Receita!$S$2:$S$667,"44470A4VerdeNão se aplicaNão se aplicaAPENão se aplicaNão se aplica",Mercado_Receita!$J$2:$J$667)</f>
        <v>9574</v>
      </c>
      <c r="M10" s="13">
        <f>SUMIF(Mercado_Receita!$S$2:$S$667,"44501A4VerdeNão se aplicaNão se aplicaNão se aplicaNão se aplicaNão se aplica",Mercado_Receita!$J$2:$J$667)+SUMIF(Mercado_Receita!$S$2:$S$667,"44501A4VerdeNão se aplicaNão se aplicaAPENão se aplicaNão se aplica",Mercado_Receita!$J$2:$J$667)</f>
        <v>9643</v>
      </c>
      <c r="N10" s="13">
        <f>SUMIF(Mercado_Receita!$S$2:$S$667,"44531A4VerdeNão se aplicaNão se aplicaNão se aplicaNão se aplicaNão se aplica",Mercado_Receita!$J$2:$J$667)+SUMIF(Mercado_Receita!$S$2:$S$667,"44531A4VerdeNão se aplicaNão se aplicaAPENão se aplicaNão se aplica",Mercado_Receita!$J$2:$J$667)</f>
        <v>9715</v>
      </c>
      <c r="O10" s="13">
        <f>SUMIF(Mercado_Receita!$S$2:$S$667,"44562A4VerdeNão se aplicaNão se aplicaNão se aplicaNão se aplicaNão se aplica",Mercado_Receita!$J$2:$J$667)+SUMIF(Mercado_Receita!$S$2:$S$667,"44562A4VerdeNão se aplicaNão se aplicaAPENão se aplicaNão se aplica",Mercado_Receita!$J$2:$J$667)</f>
        <v>9758</v>
      </c>
      <c r="P10" s="13">
        <f>SUMIF(Mercado_Receita!$S$2:$S$667,"44593A4VerdeNão se aplicaNão se aplicaNão se aplicaNão se aplicaNão se aplica",Mercado_Receita!$J$2:$J$667)+SUMIF(Mercado_Receita!$S$2:$S$667,"44593A4VerdeNão se aplicaNão se aplicaAPENão se aplicaNão se aplica",Mercado_Receita!$J$2:$J$667)</f>
        <v>9747</v>
      </c>
      <c r="Q10" s="13">
        <f>SUMIF(Mercado_Receita!$S$2:$S$667,"44621A4VerdeNão se aplicaNão se aplicaNão se aplicaNão se aplicaNão se aplica",Mercado_Receita!$J$2:$J$667)+SUMIF(Mercado_Receita!$S$2:$S$667,"44621A4VerdeNão se aplicaNão se aplicaAPENão se aplicaNão se aplica",Mercado_Receita!$J$2:$J$667)</f>
        <v>10533</v>
      </c>
      <c r="R10" s="13">
        <f>SUMIF(Mercado_Receita!$S$2:$S$667,"44652A4VerdeNão se aplicaNão se aplicaNão se aplicaNão se aplicaNão se aplica",Mercado_Receita!$J$2:$J$667)+SUMIF(Mercado_Receita!$S$2:$S$667,"44652A4VerdeNão se aplicaNão se aplicaAPENão se aplicaNão se aplica",Mercado_Receita!$J$2:$J$667)</f>
        <v>10557</v>
      </c>
      <c r="S10" s="13">
        <f>SUMIF(Mercado_Receita!$S$2:$S$667,"44682A4VerdeNão se aplicaNão se aplicaNão se aplicaNão se aplicaNão se aplica",Mercado_Receita!$J$2:$J$667)+SUMIF(Mercado_Receita!$S$2:$S$667,"44682A4VerdeNão se aplicaNão se aplicaAPENão se aplicaNão se aplica",Mercado_Receita!$J$2:$J$667)</f>
        <v>10651</v>
      </c>
      <c r="T10" s="13">
        <f>SUMIF(Mercado_Receita!$S$2:$S$667,"44713A4VerdeNão se aplicaNão se aplicaNão se aplicaNão se aplicaNão se aplica",Mercado_Receita!$J$2:$J$667)+SUMIF(Mercado_Receita!$S$2:$S$667,"44713A4VerdeNão se aplicaNão se aplicaAPENão se aplicaNão se aplica",Mercado_Receita!$J$2:$J$667)</f>
        <v>10488</v>
      </c>
      <c r="U10" s="13">
        <f t="shared" si="0"/>
        <v>119147</v>
      </c>
      <c r="V10" s="13"/>
      <c r="W10" s="13"/>
    </row>
    <row r="11" spans="1:30" ht="11.25" customHeight="1" x14ac:dyDescent="0.3">
      <c r="A11" s="118"/>
      <c r="B11" s="118"/>
      <c r="C11" s="118"/>
      <c r="D11" s="118"/>
      <c r="E11" s="118"/>
      <c r="F11" s="118"/>
      <c r="G11" s="13" t="s">
        <v>77</v>
      </c>
      <c r="H11" s="13" t="s">
        <v>76</v>
      </c>
      <c r="I11" s="13">
        <f>SUMIF(Mercado_Receita!$S$2:$S$667,"44378A4VerdeNão se aplicaNão se aplicaNão se aplicaNão se aplicaPonta",Mercado_Receita!$L$2:$L$667)</f>
        <v>70.161000000000001</v>
      </c>
      <c r="J11" s="13">
        <f>SUMIF(Mercado_Receita!$S$2:$S$667,"44409A4VerdeNão se aplicaNão se aplicaNão se aplicaNão se aplicaPonta",Mercado_Receita!$L$2:$L$667)</f>
        <v>65.267999999999986</v>
      </c>
      <c r="K11" s="13">
        <f>SUMIF(Mercado_Receita!$S$2:$S$667,"44440A4VerdeNão se aplicaNão se aplicaNão se aplicaNão se aplicaPonta",Mercado_Receita!$L$2:$L$667)</f>
        <v>52.567999999999998</v>
      </c>
      <c r="L11" s="13">
        <f>SUMIF(Mercado_Receita!$S$2:$S$667,"44470A4VerdeNão se aplicaNão se aplicaNão se aplicaNão se aplicaPonta",Mercado_Receita!$L$2:$L$667)</f>
        <v>54.737999999999992</v>
      </c>
      <c r="M11" s="13">
        <f>SUMIF(Mercado_Receita!$S$2:$S$667,"44501A4VerdeNão se aplicaNão se aplicaNão se aplicaNão se aplicaPonta",Mercado_Receita!$L$2:$L$667)</f>
        <v>63.413999999999994</v>
      </c>
      <c r="N11" s="13">
        <f>SUMIF(Mercado_Receita!$S$2:$S$667,"44531A4VerdeNão se aplicaNão se aplicaNão se aplicaNão se aplicaPonta",Mercado_Receita!$L$2:$L$667)</f>
        <v>76.567999999999998</v>
      </c>
      <c r="O11" s="13">
        <f>SUMIF(Mercado_Receita!$S$2:$S$667,"44562A4VerdeNão se aplicaNão se aplicaNão se aplicaNão se aplicaPonta",Mercado_Receita!$L$2:$L$667)</f>
        <v>71.272000000000006</v>
      </c>
      <c r="P11" s="13">
        <f>SUMIF(Mercado_Receita!$S$2:$S$667,"44593A4VerdeNão se aplicaNão se aplicaNão se aplicaNão se aplicaPonta",Mercado_Receita!$L$2:$L$667)</f>
        <v>71.228999999999999</v>
      </c>
      <c r="Q11" s="13">
        <f>SUMIF(Mercado_Receita!$S$2:$S$667,"44621A4VerdeNão se aplicaNão se aplicaNão se aplicaNão se aplicaPonta",Mercado_Receita!$L$2:$L$667)</f>
        <v>132.69800000000004</v>
      </c>
      <c r="R11" s="13">
        <f>SUMIF(Mercado_Receita!$S$2:$S$667,"44652A4VerdeNão se aplicaNão se aplicaNão se aplicaNão se aplicaPonta",Mercado_Receita!$L$2:$L$667)</f>
        <v>96.381000000000014</v>
      </c>
      <c r="S11" s="13">
        <f>SUMIF(Mercado_Receita!$S$2:$S$667,"44682A4VerdeNão se aplicaNão se aplicaNão se aplicaNão se aplicaPonta",Mercado_Receita!$L$2:$L$667)</f>
        <v>110.429</v>
      </c>
      <c r="T11" s="13">
        <f>SUMIF(Mercado_Receita!$S$2:$S$667,"44713A4VerdeNão se aplicaNão se aplicaNão se aplicaNão se aplicaPonta",Mercado_Receita!$L$2:$L$667)</f>
        <v>99.781999999999996</v>
      </c>
      <c r="U11" s="13">
        <f t="shared" si="0"/>
        <v>964.50799999999992</v>
      </c>
      <c r="V11" s="13"/>
      <c r="W11" s="13"/>
    </row>
    <row r="12" spans="1:30" ht="11.25" customHeight="1" x14ac:dyDescent="0.3">
      <c r="A12" s="118"/>
      <c r="B12" s="118"/>
      <c r="C12" s="118"/>
      <c r="D12" s="118"/>
      <c r="E12" s="118"/>
      <c r="F12" s="118"/>
      <c r="G12" s="13" t="s">
        <v>78</v>
      </c>
      <c r="H12" s="13" t="s">
        <v>76</v>
      </c>
      <c r="I12" s="13">
        <f>SUMIF(Mercado_Receita!$S$2:$S$667,"44378A4VerdeNão se aplicaNão se aplicaNão se aplicaNão se aplicaFora ponta",Mercado_Receita!$L$2:$L$667)</f>
        <v>1538.117</v>
      </c>
      <c r="J12" s="13">
        <f>SUMIF(Mercado_Receita!$S$2:$S$667,"44409A4VerdeNão se aplicaNão se aplicaNão se aplicaNão se aplicaFora ponta",Mercado_Receita!$L$2:$L$667)</f>
        <v>1376.5429999999999</v>
      </c>
      <c r="K12" s="13">
        <f>SUMIF(Mercado_Receita!$S$2:$S$667,"44440A4VerdeNão se aplicaNão se aplicaNão se aplicaNão se aplicaFora ponta",Mercado_Receita!$L$2:$L$667)</f>
        <v>1389.6670000000001</v>
      </c>
      <c r="L12" s="13">
        <f>SUMIF(Mercado_Receita!$S$2:$S$667,"44470A4VerdeNão se aplicaNão se aplicaNão se aplicaNão se aplicaFora ponta",Mercado_Receita!$L$2:$L$667)</f>
        <v>1320.01</v>
      </c>
      <c r="M12" s="13">
        <f>SUMIF(Mercado_Receita!$S$2:$S$667,"44501A4VerdeNão se aplicaNão se aplicaNão se aplicaNão se aplicaFora ponta",Mercado_Receita!$L$2:$L$667)</f>
        <v>1468.0439999999999</v>
      </c>
      <c r="N12" s="13">
        <f>SUMIF(Mercado_Receita!$S$2:$S$667,"44531A4VerdeNão se aplicaNão se aplicaNão se aplicaNão se aplicaFora ponta",Mercado_Receita!$L$2:$L$667)</f>
        <v>1535.9769999999999</v>
      </c>
      <c r="O12" s="13">
        <f>SUMIF(Mercado_Receita!$S$2:$S$667,"44562A4VerdeNão se aplicaNão se aplicaNão se aplicaNão se aplicaFora ponta",Mercado_Receita!$L$2:$L$667)</f>
        <v>1512.2240000000002</v>
      </c>
      <c r="P12" s="13">
        <f>SUMIF(Mercado_Receita!$S$2:$S$667,"44593A4VerdeNão se aplicaNão se aplicaNão se aplicaNão se aplicaFora ponta",Mercado_Receita!$L$2:$L$667)</f>
        <v>1396.1699999999998</v>
      </c>
      <c r="Q12" s="13">
        <f>SUMIF(Mercado_Receita!$S$2:$S$667,"44621A4VerdeNão se aplicaNão se aplicaNão se aplicaNão se aplicaFora ponta",Mercado_Receita!$L$2:$L$667)</f>
        <v>2064.6659999999997</v>
      </c>
      <c r="R12" s="13">
        <f>SUMIF(Mercado_Receita!$S$2:$S$667,"44652A4VerdeNão se aplicaNão se aplicaNão se aplicaNão se aplicaFora ponta",Mercado_Receita!$L$2:$L$667)</f>
        <v>1738.998</v>
      </c>
      <c r="S12" s="13">
        <f>SUMIF(Mercado_Receita!$S$2:$S$667,"44682A4VerdeNão se aplicaNão se aplicaNão se aplicaNão se aplicaFora ponta",Mercado_Receita!$L$2:$L$667)</f>
        <v>1864.5930000000001</v>
      </c>
      <c r="T12" s="13">
        <f>SUMIF(Mercado_Receita!$S$2:$S$667,"44713A4VerdeNão se aplicaNão se aplicaNão se aplicaNão se aplicaFora ponta",Mercado_Receita!$L$2:$L$667)</f>
        <v>1638.14</v>
      </c>
      <c r="U12" s="13">
        <f t="shared" si="0"/>
        <v>18843.148999999998</v>
      </c>
      <c r="V12" s="13"/>
      <c r="W12" s="13"/>
    </row>
    <row r="13" spans="1:30" ht="11.25" customHeight="1" x14ac:dyDescent="0.3">
      <c r="A13" s="118"/>
      <c r="B13" s="118"/>
      <c r="C13" s="118"/>
      <c r="D13" s="118"/>
      <c r="E13" s="117" t="s">
        <v>87</v>
      </c>
      <c r="F13" s="117" t="s">
        <v>25</v>
      </c>
      <c r="G13" s="13" t="s">
        <v>77</v>
      </c>
      <c r="H13" s="13" t="s">
        <v>76</v>
      </c>
      <c r="I13" s="13">
        <f>SUMIF(Mercado_Receita!$S$2:$S$667,"44378A4VerdeNão se aplicaNão se aplicaAPENão se aplicaPonta",Mercado_Receita!$L$2:$L$667)</f>
        <v>0</v>
      </c>
      <c r="J13" s="13">
        <f>SUMIF(Mercado_Receita!$S$2:$S$667,"44409A4VerdeNão se aplicaNão se aplicaAPENão se aplicaPonta",Mercado_Receita!$L$2:$L$667)</f>
        <v>0</v>
      </c>
      <c r="K13" s="13">
        <f>SUMIF(Mercado_Receita!$S$2:$S$667,"44440A4VerdeNão se aplicaNão se aplicaAPENão se aplicaPonta",Mercado_Receita!$L$2:$L$667)</f>
        <v>0</v>
      </c>
      <c r="L13" s="13">
        <f>SUMIF(Mercado_Receita!$S$2:$S$667,"44470A4VerdeNão se aplicaNão se aplicaAPENão se aplicaPonta",Mercado_Receita!$L$2:$L$667)</f>
        <v>0</v>
      </c>
      <c r="M13" s="13">
        <f>SUMIF(Mercado_Receita!$S$2:$S$667,"44501A4VerdeNão se aplicaNão se aplicaAPENão se aplicaPonta",Mercado_Receita!$L$2:$L$667)</f>
        <v>0</v>
      </c>
      <c r="N13" s="13">
        <f>SUMIF(Mercado_Receita!$S$2:$S$667,"44531A4VerdeNão se aplicaNão se aplicaAPENão se aplicaPonta",Mercado_Receita!$L$2:$L$667)</f>
        <v>0</v>
      </c>
      <c r="O13" s="13">
        <f>SUMIF(Mercado_Receita!$S$2:$S$667,"44562A4VerdeNão se aplicaNão se aplicaAPENão se aplicaPonta",Mercado_Receita!$L$2:$L$667)</f>
        <v>0</v>
      </c>
      <c r="P13" s="13">
        <f>SUMIF(Mercado_Receita!$S$2:$S$667,"44593A4VerdeNão se aplicaNão se aplicaAPENão se aplicaPonta",Mercado_Receita!$L$2:$L$667)</f>
        <v>0</v>
      </c>
      <c r="Q13" s="13">
        <f>SUMIF(Mercado_Receita!$S$2:$S$667,"44621A4VerdeNão se aplicaNão se aplicaAPENão se aplicaPonta",Mercado_Receita!$L$2:$L$667)</f>
        <v>0</v>
      </c>
      <c r="R13" s="13">
        <f>SUMIF(Mercado_Receita!$S$2:$S$667,"44652A4VerdeNão se aplicaNão se aplicaAPENão se aplicaPonta",Mercado_Receita!$L$2:$L$667)</f>
        <v>0</v>
      </c>
      <c r="S13" s="13">
        <f>SUMIF(Mercado_Receita!$S$2:$S$667,"44682A4VerdeNão se aplicaNão se aplicaAPENão se aplicaPonta",Mercado_Receita!$L$2:$L$667)</f>
        <v>0</v>
      </c>
      <c r="T13" s="13">
        <f>SUMIF(Mercado_Receita!$S$2:$S$667,"44713A4VerdeNão se aplicaNão se aplicaAPENão se aplicaPonta",Mercado_Receita!$L$2:$L$667)</f>
        <v>0</v>
      </c>
      <c r="U13" s="13">
        <f t="shared" si="0"/>
        <v>0</v>
      </c>
      <c r="V13" s="13"/>
      <c r="W13" s="13"/>
    </row>
    <row r="14" spans="1:30" ht="11.25" customHeight="1" x14ac:dyDescent="0.3">
      <c r="A14" s="118"/>
      <c r="B14" s="118"/>
      <c r="C14" s="118"/>
      <c r="D14" s="118"/>
      <c r="E14" s="118"/>
      <c r="F14" s="118"/>
      <c r="G14" s="13" t="s">
        <v>78</v>
      </c>
      <c r="H14" s="13" t="s">
        <v>76</v>
      </c>
      <c r="I14" s="13">
        <f>SUMIF(Mercado_Receita!$S$2:$S$667,"44378A4VerdeNão se aplicaNão se aplicaAPENão se aplicaFora ponta",Mercado_Receita!$L$2:$L$667)</f>
        <v>0</v>
      </c>
      <c r="J14" s="13">
        <f>SUMIF(Mercado_Receita!$S$2:$S$667,"44409A4VerdeNão se aplicaNão se aplicaAPENão se aplicaFora ponta",Mercado_Receita!$L$2:$L$667)</f>
        <v>0</v>
      </c>
      <c r="K14" s="13">
        <f>SUMIF(Mercado_Receita!$S$2:$S$667,"44440A4VerdeNão se aplicaNão se aplicaAPENão se aplicaFora ponta",Mercado_Receita!$L$2:$L$667)</f>
        <v>0</v>
      </c>
      <c r="L14" s="13">
        <f>SUMIF(Mercado_Receita!$S$2:$S$667,"44470A4VerdeNão se aplicaNão se aplicaAPENão se aplicaFora ponta",Mercado_Receita!$L$2:$L$667)</f>
        <v>0</v>
      </c>
      <c r="M14" s="13">
        <f>SUMIF(Mercado_Receita!$S$2:$S$667,"44501A4VerdeNão se aplicaNão se aplicaAPENão se aplicaFora ponta",Mercado_Receita!$L$2:$L$667)</f>
        <v>0</v>
      </c>
      <c r="N14" s="13">
        <f>SUMIF(Mercado_Receita!$S$2:$S$667,"44531A4VerdeNão se aplicaNão se aplicaAPENão se aplicaFora ponta",Mercado_Receita!$L$2:$L$667)</f>
        <v>0</v>
      </c>
      <c r="O14" s="13">
        <f>SUMIF(Mercado_Receita!$S$2:$S$667,"44562A4VerdeNão se aplicaNão se aplicaAPENão se aplicaFora ponta",Mercado_Receita!$L$2:$L$667)</f>
        <v>0</v>
      </c>
      <c r="P14" s="13">
        <f>SUMIF(Mercado_Receita!$S$2:$S$667,"44593A4VerdeNão se aplicaNão se aplicaAPENão se aplicaFora ponta",Mercado_Receita!$L$2:$L$667)</f>
        <v>0</v>
      </c>
      <c r="Q14" s="13">
        <f>SUMIF(Mercado_Receita!$S$2:$S$667,"44621A4VerdeNão se aplicaNão se aplicaAPENão se aplicaFora ponta",Mercado_Receita!$L$2:$L$667)</f>
        <v>0</v>
      </c>
      <c r="R14" s="13">
        <f>SUMIF(Mercado_Receita!$S$2:$S$667,"44652A4VerdeNão se aplicaNão se aplicaAPENão se aplicaFora ponta",Mercado_Receita!$L$2:$L$667)</f>
        <v>0</v>
      </c>
      <c r="S14" s="13">
        <f>SUMIF(Mercado_Receita!$S$2:$S$667,"44682A4VerdeNão se aplicaNão se aplicaAPENão se aplicaFora ponta",Mercado_Receita!$L$2:$L$667)</f>
        <v>0</v>
      </c>
      <c r="T14" s="13">
        <f>SUMIF(Mercado_Receita!$S$2:$S$667,"44713A4VerdeNão se aplicaNão se aplicaAPENão se aplicaFora ponta",Mercado_Receita!$L$2:$L$667)</f>
        <v>0</v>
      </c>
      <c r="U14" s="13">
        <f t="shared" si="0"/>
        <v>0</v>
      </c>
      <c r="V14" s="13"/>
      <c r="W14" s="13"/>
    </row>
    <row r="15" spans="1:30" ht="11.25" customHeight="1" x14ac:dyDescent="0.3">
      <c r="A15" s="117" t="s">
        <v>90</v>
      </c>
      <c r="B15" s="117" t="s">
        <v>88</v>
      </c>
      <c r="C15" s="117" t="s">
        <v>25</v>
      </c>
      <c r="D15" s="117" t="s">
        <v>25</v>
      </c>
      <c r="E15" s="12" t="s">
        <v>91</v>
      </c>
      <c r="F15" s="12" t="s">
        <v>25</v>
      </c>
      <c r="G15" s="13" t="s">
        <v>9</v>
      </c>
      <c r="H15" s="13" t="s">
        <v>84</v>
      </c>
      <c r="I15" s="13">
        <f>SUMIF(Mercado_Receita!$S$2:$S$667,"44378BGeraçãoNão se aplicaNão se aplicaTIPO 01Não se aplicaNão se aplica",Mercado_Receita!$J$2:$J$667)+SUMIF(Mercado_Receita!$S$2:$S$667,"44378BGeraçãoNão se aplicaNão se aplicaAPENão se aplicaNão se aplica",Mercado_Receita!$J$2:$J$667)</f>
        <v>0</v>
      </c>
      <c r="J15" s="13">
        <f>SUMIF(Mercado_Receita!$S$2:$S$667,"44409BGeraçãoNão se aplicaNão se aplicaTIPO 01Não se aplicaNão se aplica",Mercado_Receita!$J$2:$J$667)+SUMIF(Mercado_Receita!$S$2:$S$667,"44409BGeraçãoNão se aplicaNão se aplicaAPENão se aplicaNão se aplica",Mercado_Receita!$J$2:$J$667)</f>
        <v>0</v>
      </c>
      <c r="K15" s="13">
        <f>SUMIF(Mercado_Receita!$S$2:$S$667,"44440BGeraçãoNão se aplicaNão se aplicaTIPO 01Não se aplicaNão se aplica",Mercado_Receita!$J$2:$J$667)+SUMIF(Mercado_Receita!$S$2:$S$667,"44440BGeraçãoNão se aplicaNão se aplicaAPENão se aplicaNão se aplica",Mercado_Receita!$J$2:$J$667)</f>
        <v>0</v>
      </c>
      <c r="L15" s="13">
        <f>SUMIF(Mercado_Receita!$S$2:$S$667,"44470BGeraçãoNão se aplicaNão se aplicaTIPO 01Não se aplicaNão se aplica",Mercado_Receita!$J$2:$J$667)+SUMIF(Mercado_Receita!$S$2:$S$667,"44470BGeraçãoNão se aplicaNão se aplicaAPENão se aplicaNão se aplica",Mercado_Receita!$J$2:$J$667)</f>
        <v>0</v>
      </c>
      <c r="M15" s="13">
        <f>SUMIF(Mercado_Receita!$S$2:$S$667,"44501BGeraçãoNão se aplicaNão se aplicaTIPO 01Não se aplicaNão se aplica",Mercado_Receita!$J$2:$J$667)+SUMIF(Mercado_Receita!$S$2:$S$667,"44501BGeraçãoNão se aplicaNão se aplicaAPENão se aplicaNão se aplica",Mercado_Receita!$J$2:$J$667)</f>
        <v>0</v>
      </c>
      <c r="N15" s="13">
        <f>SUMIF(Mercado_Receita!$S$2:$S$667,"44531BGeraçãoNão se aplicaNão se aplicaTIPO 01Não se aplicaNão se aplica",Mercado_Receita!$J$2:$J$667)+SUMIF(Mercado_Receita!$S$2:$S$667,"44531BGeraçãoNão se aplicaNão se aplicaAPENão se aplicaNão se aplica",Mercado_Receita!$J$2:$J$667)</f>
        <v>0</v>
      </c>
      <c r="O15" s="13">
        <f>SUMIF(Mercado_Receita!$S$2:$S$667,"44562BGeraçãoNão se aplicaNão se aplicaTIPO 01Não se aplicaNão se aplica",Mercado_Receita!$J$2:$J$667)+SUMIF(Mercado_Receita!$S$2:$S$667,"44562BGeraçãoNão se aplicaNão se aplicaAPENão se aplicaNão se aplica",Mercado_Receita!$J$2:$J$667)</f>
        <v>0</v>
      </c>
      <c r="P15" s="13">
        <f>SUMIF(Mercado_Receita!$S$2:$S$667,"44593BGeraçãoNão se aplicaNão se aplicaTIPO 01Não se aplicaNão se aplica",Mercado_Receita!$J$2:$J$667)+SUMIF(Mercado_Receita!$S$2:$S$667,"44593BGeraçãoNão se aplicaNão se aplicaAPENão se aplicaNão se aplica",Mercado_Receita!$J$2:$J$667)</f>
        <v>0</v>
      </c>
      <c r="Q15" s="13">
        <f>SUMIF(Mercado_Receita!$S$2:$S$667,"44621BGeraçãoNão se aplicaNão se aplicaTIPO 01Não se aplicaNão se aplica",Mercado_Receita!$J$2:$J$667)+SUMIF(Mercado_Receita!$S$2:$S$667,"44621BGeraçãoNão se aplicaNão se aplicaAPENão se aplicaNão se aplica",Mercado_Receita!$J$2:$J$667)</f>
        <v>0</v>
      </c>
      <c r="R15" s="13">
        <f>SUMIF(Mercado_Receita!$S$2:$S$667,"44652BGeraçãoNão se aplicaNão se aplicaTIPO 01Não se aplicaNão se aplica",Mercado_Receita!$J$2:$J$667)+SUMIF(Mercado_Receita!$S$2:$S$667,"44652BGeraçãoNão se aplicaNão se aplicaAPENão se aplicaNão se aplica",Mercado_Receita!$J$2:$J$667)</f>
        <v>0</v>
      </c>
      <c r="S15" s="13">
        <f>SUMIF(Mercado_Receita!$S$2:$S$667,"44682BGeraçãoNão se aplicaNão se aplicaTIPO 01Não se aplicaNão se aplica",Mercado_Receita!$J$2:$J$667)+SUMIF(Mercado_Receita!$S$2:$S$667,"44682BGeraçãoNão se aplicaNão se aplicaAPENão se aplicaNão se aplica",Mercado_Receita!$J$2:$J$667)</f>
        <v>0</v>
      </c>
      <c r="T15" s="13">
        <f>SUMIF(Mercado_Receita!$S$2:$S$667,"44713BGeraçãoNão se aplicaNão se aplicaTIPO 01Não se aplicaNão se aplica",Mercado_Receita!$J$2:$J$667)+SUMIF(Mercado_Receita!$S$2:$S$667,"44713BGeraçãoNão se aplicaNão se aplicaAPENão se aplicaNão se aplica",Mercado_Receita!$J$2:$J$667)</f>
        <v>0</v>
      </c>
      <c r="U15" s="13">
        <f t="shared" si="0"/>
        <v>0</v>
      </c>
      <c r="V15" s="13"/>
      <c r="W15" s="13"/>
    </row>
    <row r="16" spans="1:30" ht="11.25" customHeight="1" x14ac:dyDescent="0.3">
      <c r="A16" s="118"/>
      <c r="B16" s="118"/>
      <c r="C16" s="118"/>
      <c r="D16" s="118"/>
      <c r="E16" s="12" t="s">
        <v>92</v>
      </c>
      <c r="F16" s="12" t="s">
        <v>25</v>
      </c>
      <c r="G16" s="13" t="s">
        <v>9</v>
      </c>
      <c r="H16" s="13" t="s">
        <v>84</v>
      </c>
      <c r="I16" s="13">
        <f>SUMIF(Mercado_Receita!$S$2:$S$667,"44378BGeraçãoNão se aplicaNão se aplicaTIPO 02Não se aplicaNão se aplica",Mercado_Receita!$J$2:$J$667)+SUMIF(Mercado_Receita!$S$2:$S$667,"44378BGeraçãoNão se aplicaNão se aplicaAPENão se aplicaNão se aplica",Mercado_Receita!$J$2:$J$667)</f>
        <v>0</v>
      </c>
      <c r="J16" s="13">
        <f>SUMIF(Mercado_Receita!$S$2:$S$667,"44409BGeraçãoNão se aplicaNão se aplicaTIPO 02Não se aplicaNão se aplica",Mercado_Receita!$J$2:$J$667)+SUMIF(Mercado_Receita!$S$2:$S$667,"44409BGeraçãoNão se aplicaNão se aplicaAPENão se aplicaNão se aplica",Mercado_Receita!$J$2:$J$667)</f>
        <v>0</v>
      </c>
      <c r="K16" s="13">
        <f>SUMIF(Mercado_Receita!$S$2:$S$667,"44440BGeraçãoNão se aplicaNão se aplicaTIPO 02Não se aplicaNão se aplica",Mercado_Receita!$J$2:$J$667)+SUMIF(Mercado_Receita!$S$2:$S$667,"44440BGeraçãoNão se aplicaNão se aplicaAPENão se aplicaNão se aplica",Mercado_Receita!$J$2:$J$667)</f>
        <v>0</v>
      </c>
      <c r="L16" s="13">
        <f>SUMIF(Mercado_Receita!$S$2:$S$667,"44470BGeraçãoNão se aplicaNão se aplicaTIPO 02Não se aplicaNão se aplica",Mercado_Receita!$J$2:$J$667)+SUMIF(Mercado_Receita!$S$2:$S$667,"44470BGeraçãoNão se aplicaNão se aplicaAPENão se aplicaNão se aplica",Mercado_Receita!$J$2:$J$667)</f>
        <v>0</v>
      </c>
      <c r="M16" s="13">
        <f>SUMIF(Mercado_Receita!$S$2:$S$667,"44501BGeraçãoNão se aplicaNão se aplicaTIPO 02Não se aplicaNão se aplica",Mercado_Receita!$J$2:$J$667)+SUMIF(Mercado_Receita!$S$2:$S$667,"44501BGeraçãoNão se aplicaNão se aplicaAPENão se aplicaNão se aplica",Mercado_Receita!$J$2:$J$667)</f>
        <v>0</v>
      </c>
      <c r="N16" s="13">
        <f>SUMIF(Mercado_Receita!$S$2:$S$667,"44531BGeraçãoNão se aplicaNão se aplicaTIPO 02Não se aplicaNão se aplica",Mercado_Receita!$J$2:$J$667)+SUMIF(Mercado_Receita!$S$2:$S$667,"44531BGeraçãoNão se aplicaNão se aplicaAPENão se aplicaNão se aplica",Mercado_Receita!$J$2:$J$667)</f>
        <v>0</v>
      </c>
      <c r="O16" s="13">
        <f>SUMIF(Mercado_Receita!$S$2:$S$667,"44562BGeraçãoNão se aplicaNão se aplicaTIPO 02Não se aplicaNão se aplica",Mercado_Receita!$J$2:$J$667)+SUMIF(Mercado_Receita!$S$2:$S$667,"44562BGeraçãoNão se aplicaNão se aplicaAPENão se aplicaNão se aplica",Mercado_Receita!$J$2:$J$667)</f>
        <v>0</v>
      </c>
      <c r="P16" s="13">
        <f>SUMIF(Mercado_Receita!$S$2:$S$667,"44593BGeraçãoNão se aplicaNão se aplicaTIPO 02Não se aplicaNão se aplica",Mercado_Receita!$J$2:$J$667)+SUMIF(Mercado_Receita!$S$2:$S$667,"44593BGeraçãoNão se aplicaNão se aplicaAPENão se aplicaNão se aplica",Mercado_Receita!$J$2:$J$667)</f>
        <v>0</v>
      </c>
      <c r="Q16" s="13">
        <f>SUMIF(Mercado_Receita!$S$2:$S$667,"44621BGeraçãoNão se aplicaNão se aplicaTIPO 02Não se aplicaNão se aplica",Mercado_Receita!$J$2:$J$667)+SUMIF(Mercado_Receita!$S$2:$S$667,"44621BGeraçãoNão se aplicaNão se aplicaAPENão se aplicaNão se aplica",Mercado_Receita!$J$2:$J$667)</f>
        <v>0</v>
      </c>
      <c r="R16" s="13">
        <f>SUMIF(Mercado_Receita!$S$2:$S$667,"44652BGeraçãoNão se aplicaNão se aplicaTIPO 02Não se aplicaNão se aplica",Mercado_Receita!$J$2:$J$667)+SUMIF(Mercado_Receita!$S$2:$S$667,"44652BGeraçãoNão se aplicaNão se aplicaAPENão se aplicaNão se aplica",Mercado_Receita!$J$2:$J$667)</f>
        <v>0</v>
      </c>
      <c r="S16" s="13">
        <f>SUMIF(Mercado_Receita!$S$2:$S$667,"44682BGeraçãoNão se aplicaNão se aplicaTIPO 02Não se aplicaNão se aplica",Mercado_Receita!$J$2:$J$667)+SUMIF(Mercado_Receita!$S$2:$S$667,"44682BGeraçãoNão se aplicaNão se aplicaAPENão se aplicaNão se aplica",Mercado_Receita!$J$2:$J$667)</f>
        <v>0</v>
      </c>
      <c r="T16" s="13">
        <f>SUMIF(Mercado_Receita!$S$2:$S$667,"44713BGeraçãoNão se aplicaNão se aplicaTIPO 02Não se aplicaNão se aplica",Mercado_Receita!$J$2:$J$667)+SUMIF(Mercado_Receita!$S$2:$S$667,"44713BGeraçãoNão se aplicaNão se aplicaAPENão se aplicaNão se aplica",Mercado_Receita!$J$2:$J$667)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117" t="s">
        <v>22</v>
      </c>
      <c r="B17" s="117" t="s">
        <v>33</v>
      </c>
      <c r="C17" s="117" t="s">
        <v>24</v>
      </c>
      <c r="D17" s="117" t="s">
        <v>24</v>
      </c>
      <c r="E17" s="117" t="s">
        <v>25</v>
      </c>
      <c r="F17" s="117" t="s">
        <v>25</v>
      </c>
      <c r="G17" s="13" t="s">
        <v>77</v>
      </c>
      <c r="H17" s="13" t="s">
        <v>76</v>
      </c>
      <c r="I17" s="13">
        <f>SUMIF(Mercado_Receita!$S$2:$S$667,"44378B1BrancaResidencialResidencialNão se aplicaNão se aplicaPonta",Mercado_Receita!$L$2:$L$667)</f>
        <v>4.9000000000000002E-2</v>
      </c>
      <c r="J17" s="13">
        <f>SUMIF(Mercado_Receita!$S$2:$S$667,"44409B1BrancaResidencialResidencialNão se aplicaNão se aplicaPonta",Mercado_Receita!$L$2:$L$667)</f>
        <v>0.06</v>
      </c>
      <c r="K17" s="13">
        <f>SUMIF(Mercado_Receita!$S$2:$S$667,"44440B1BrancaResidencialResidencialNão se aplicaNão se aplicaPonta",Mercado_Receita!$L$2:$L$667)</f>
        <v>5.3999999999999999E-2</v>
      </c>
      <c r="L17" s="13">
        <f>SUMIF(Mercado_Receita!$S$2:$S$667,"44470B1BrancaResidencialResidencialNão se aplicaNão se aplicaPonta",Mercado_Receita!$L$2:$L$667)</f>
        <v>5.2999999999999999E-2</v>
      </c>
      <c r="M17" s="13">
        <f>SUMIF(Mercado_Receita!$S$2:$S$667,"44501B1BrancaResidencialResidencialNão se aplicaNão se aplicaPonta",Mercado_Receita!$L$2:$L$667)</f>
        <v>5.0999999999999997E-2</v>
      </c>
      <c r="N17" s="13">
        <f>SUMIF(Mercado_Receita!$S$2:$S$667,"44531B1BrancaResidencialResidencialNão se aplicaNão se aplicaPonta",Mercado_Receita!$L$2:$L$667)</f>
        <v>5.5E-2</v>
      </c>
      <c r="O17" s="13">
        <f>SUMIF(Mercado_Receita!$S$2:$S$667,"44562B1BrancaResidencialResidencialNão se aplicaNão se aplicaPonta",Mercado_Receita!$L$2:$L$667)</f>
        <v>6.3E-2</v>
      </c>
      <c r="P17" s="13">
        <f>SUMIF(Mercado_Receita!$S$2:$S$667,"44593B1BrancaResidencialResidencialNão se aplicaNão se aplicaPonta",Mercado_Receita!$L$2:$L$667)</f>
        <v>7.8E-2</v>
      </c>
      <c r="Q17" s="13">
        <f>SUMIF(Mercado_Receita!$S$2:$S$667,"44621B1BrancaResidencialResidencialNão se aplicaNão se aplicaPonta",Mercado_Receita!$L$2:$L$667)</f>
        <v>6.9000000000000006E-2</v>
      </c>
      <c r="R17" s="13">
        <f>SUMIF(Mercado_Receita!$S$2:$S$667,"44652B1BrancaResidencialResidencialNão se aplicaNão se aplicaPonta",Mercado_Receita!$L$2:$L$667)</f>
        <v>4.2000000000000003E-2</v>
      </c>
      <c r="S17" s="13">
        <f>SUMIF(Mercado_Receita!$S$2:$S$667,"44682B1BrancaResidencialResidencialNão se aplicaNão se aplicaPonta",Mercado_Receita!$L$2:$L$667)</f>
        <v>4.3999999999999997E-2</v>
      </c>
      <c r="T17" s="13">
        <f>SUMIF(Mercado_Receita!$S$2:$S$667,"44713B1BrancaResidencialResidencialNão se aplicaNão se aplicaPonta",Mercado_Receita!$L$2:$L$667)</f>
        <v>7.0000000000000007E-2</v>
      </c>
      <c r="U17" s="13">
        <f t="shared" si="0"/>
        <v>0.68800000000000017</v>
      </c>
      <c r="V17" s="13"/>
      <c r="W17" s="13"/>
    </row>
    <row r="18" spans="1:23" ht="11.25" customHeight="1" x14ac:dyDescent="0.3">
      <c r="A18" s="118"/>
      <c r="B18" s="118"/>
      <c r="C18" s="118"/>
      <c r="D18" s="118"/>
      <c r="E18" s="118"/>
      <c r="F18" s="118"/>
      <c r="G18" s="13" t="s">
        <v>93</v>
      </c>
      <c r="H18" s="13" t="s">
        <v>76</v>
      </c>
      <c r="I18" s="13">
        <f>SUMIF(Mercado_Receita!$S$2:$S$667,"44378B1BrancaResidencialResidencialNão se aplicaNão se aplicaIntermediário",Mercado_Receita!$L$2:$L$667)</f>
        <v>2.3E-2</v>
      </c>
      <c r="J18" s="13">
        <f>SUMIF(Mercado_Receita!$S$2:$S$667,"44409B1BrancaResidencialResidencialNão se aplicaNão se aplicaIntermediário",Mercado_Receita!$L$2:$L$667)</f>
        <v>2.7E-2</v>
      </c>
      <c r="K18" s="13">
        <f>SUMIF(Mercado_Receita!$S$2:$S$667,"44440B1BrancaResidencialResidencialNão se aplicaNão se aplicaIntermediário",Mercado_Receita!$L$2:$L$667)</f>
        <v>2.7E-2</v>
      </c>
      <c r="L18" s="13">
        <f>SUMIF(Mercado_Receita!$S$2:$S$667,"44470B1BrancaResidencialResidencialNão se aplicaNão se aplicaIntermediário",Mercado_Receita!$L$2:$L$667)</f>
        <v>2.5999999999999999E-2</v>
      </c>
      <c r="M18" s="13">
        <f>SUMIF(Mercado_Receita!$S$2:$S$667,"44501B1BrancaResidencialResidencialNão se aplicaNão se aplicaIntermediário",Mercado_Receita!$L$2:$L$667)</f>
        <v>4.1000000000000002E-2</v>
      </c>
      <c r="N18" s="13">
        <f>SUMIF(Mercado_Receita!$S$2:$S$667,"44531B1BrancaResidencialResidencialNão se aplicaNão se aplicaIntermediário",Mercado_Receita!$L$2:$L$667)</f>
        <v>4.3999999999999997E-2</v>
      </c>
      <c r="O18" s="13">
        <f>SUMIF(Mercado_Receita!$S$2:$S$667,"44562B1BrancaResidencialResidencialNão se aplicaNão se aplicaIntermediário",Mercado_Receita!$L$2:$L$667)</f>
        <v>5.8999999999999997E-2</v>
      </c>
      <c r="P18" s="13">
        <f>SUMIF(Mercado_Receita!$S$2:$S$667,"44593B1BrancaResidencialResidencialNão se aplicaNão se aplicaIntermediário",Mercado_Receita!$L$2:$L$667)</f>
        <v>7.0999999999999994E-2</v>
      </c>
      <c r="Q18" s="13">
        <f>SUMIF(Mercado_Receita!$S$2:$S$667,"44621B1BrancaResidencialResidencialNão se aplicaNão se aplicaIntermediário",Mercado_Receita!$L$2:$L$667)</f>
        <v>5.5E-2</v>
      </c>
      <c r="R18" s="13">
        <f>SUMIF(Mercado_Receita!$S$2:$S$667,"44652B1BrancaResidencialResidencialNão se aplicaNão se aplicaIntermediário",Mercado_Receita!$L$2:$L$667)</f>
        <v>2.7E-2</v>
      </c>
      <c r="S18" s="13">
        <f>SUMIF(Mercado_Receita!$S$2:$S$667,"44682B1BrancaResidencialResidencialNão se aplicaNão se aplicaIntermediário",Mercado_Receita!$L$2:$L$667)</f>
        <v>2.1999999999999999E-2</v>
      </c>
      <c r="T18" s="13">
        <f>SUMIF(Mercado_Receita!$S$2:$S$667,"44713B1BrancaResidencialResidencialNão se aplicaNão se aplicaIntermediário",Mercado_Receita!$L$2:$L$667)</f>
        <v>3.7999999999999999E-2</v>
      </c>
      <c r="U18" s="13">
        <f t="shared" si="0"/>
        <v>0.46</v>
      </c>
      <c r="V18" s="13"/>
      <c r="W18" s="13"/>
    </row>
    <row r="19" spans="1:23" ht="11.25" customHeight="1" x14ac:dyDescent="0.3">
      <c r="A19" s="118"/>
      <c r="B19" s="118"/>
      <c r="C19" s="118"/>
      <c r="D19" s="118"/>
      <c r="E19" s="118"/>
      <c r="F19" s="118"/>
      <c r="G19" s="13" t="s">
        <v>78</v>
      </c>
      <c r="H19" s="13" t="s">
        <v>76</v>
      </c>
      <c r="I19" s="13">
        <f>SUMIF(Mercado_Receita!$S$2:$S$667,"44378B1BrancaResidencialResidencialNão se aplicaNão se aplicaFora ponta",Mercado_Receita!$L$2:$L$667)</f>
        <v>0.318</v>
      </c>
      <c r="J19" s="13">
        <f>SUMIF(Mercado_Receita!$S$2:$S$667,"44409B1BrancaResidencialResidencialNão se aplicaNão se aplicaFora ponta",Mercado_Receita!$L$2:$L$667)</f>
        <v>0.35799999999999998</v>
      </c>
      <c r="K19" s="13">
        <f>SUMIF(Mercado_Receita!$S$2:$S$667,"44440B1BrancaResidencialResidencialNão se aplicaNão se aplicaFora ponta",Mercado_Receita!$L$2:$L$667)</f>
        <v>0.37</v>
      </c>
      <c r="L19" s="13">
        <f>SUMIF(Mercado_Receita!$S$2:$S$667,"44470B1BrancaResidencialResidencialNão se aplicaNão se aplicaFora ponta",Mercado_Receita!$L$2:$L$667)</f>
        <v>0.378</v>
      </c>
      <c r="M19" s="13">
        <f>SUMIF(Mercado_Receita!$S$2:$S$667,"44501B1BrancaResidencialResidencialNão se aplicaNão se aplicaFora ponta",Mercado_Receita!$L$2:$L$667)</f>
        <v>0.49199999999999999</v>
      </c>
      <c r="N19" s="13">
        <f>SUMIF(Mercado_Receita!$S$2:$S$667,"44531B1BrancaResidencialResidencialNão se aplicaNão se aplicaFora ponta",Mercado_Receita!$L$2:$L$667)</f>
        <v>0.54100000000000004</v>
      </c>
      <c r="O19" s="13">
        <f>SUMIF(Mercado_Receita!$S$2:$S$667,"44562B1BrancaResidencialResidencialNão se aplicaNão se aplicaFora ponta",Mercado_Receita!$L$2:$L$667)</f>
        <v>0.66900000000000004</v>
      </c>
      <c r="P19" s="13">
        <f>SUMIF(Mercado_Receita!$S$2:$S$667,"44593B1BrancaResidencialResidencialNão se aplicaNão se aplicaFora ponta",Mercado_Receita!$L$2:$L$667)</f>
        <v>0.77100000000000002</v>
      </c>
      <c r="Q19" s="13">
        <f>SUMIF(Mercado_Receita!$S$2:$S$667,"44621B1BrancaResidencialResidencialNão se aplicaNão se aplicaFora ponta",Mercado_Receita!$L$2:$L$667)</f>
        <v>0.61899999999999999</v>
      </c>
      <c r="R19" s="13">
        <f>SUMIF(Mercado_Receita!$S$2:$S$667,"44652B1BrancaResidencialResidencialNão se aplicaNão se aplicaFora ponta",Mercado_Receita!$L$2:$L$667)</f>
        <v>0.376</v>
      </c>
      <c r="S19" s="13">
        <f>SUMIF(Mercado_Receita!$S$2:$S$667,"44682B1BrancaResidencialResidencialNão se aplicaNão se aplicaFora ponta",Mercado_Receita!$L$2:$L$667)</f>
        <v>0.33100000000000002</v>
      </c>
      <c r="T19" s="13">
        <f>SUMIF(Mercado_Receita!$S$2:$S$667,"44713B1BrancaResidencialResidencialNão se aplicaNão se aplicaFora ponta",Mercado_Receita!$L$2:$L$667)</f>
        <v>0.46200000000000002</v>
      </c>
      <c r="U19" s="13">
        <f t="shared" si="0"/>
        <v>5.6850000000000005</v>
      </c>
      <c r="V19" s="13"/>
      <c r="W19" s="13"/>
    </row>
    <row r="20" spans="1:23" ht="11.25" customHeight="1" x14ac:dyDescent="0.3">
      <c r="A20" s="118"/>
      <c r="B20" s="117" t="s">
        <v>23</v>
      </c>
      <c r="C20" s="117" t="s">
        <v>24</v>
      </c>
      <c r="D20" s="12" t="s">
        <v>24</v>
      </c>
      <c r="E20" s="12" t="s">
        <v>25</v>
      </c>
      <c r="F20" s="12" t="s">
        <v>25</v>
      </c>
      <c r="G20" s="13" t="s">
        <v>81</v>
      </c>
      <c r="H20" s="13" t="s">
        <v>76</v>
      </c>
      <c r="I20" s="13">
        <f>SUMIF(Mercado_Receita!$S$2:$S$667,"44378B1ConvencionalResidencialResidencialNão se aplicaNão se aplicaPonta",Mercado_Receita!$L$2:$L$667)+SUMIF(Mercado_Receita!$S$2:$S$667,"44378B1ConvencionalResidencialResidencialNão se aplicaNão se aplicaFora ponta",Mercado_Receita!$L$2:$L$667)+SUMIF(Mercado_Receita!$S$2:$S$667,"44378B1ConvencionalResidencialResidencialNão se aplicaNão se aplicaIntermediário",Mercado_Receita!$L$2:$L$667)+SUMIF(Mercado_Receita!$S$2:$S$667,"44378B1ConvencionalResidencialResidencialNão se aplicaNão se aplicaNão se aplica",Mercado_Receita!$L$2:$L$667)</f>
        <v>1539.1669999999999</v>
      </c>
      <c r="J20" s="13">
        <f>SUMIF(Mercado_Receita!$S$2:$S$667,"44409B1ConvencionalResidencialResidencialNão se aplicaNão se aplicaPonta",Mercado_Receita!$L$2:$L$667)+SUMIF(Mercado_Receita!$S$2:$S$667,"44409B1ConvencionalResidencialResidencialNão se aplicaNão se aplicaFora ponta",Mercado_Receita!$L$2:$L$667)+SUMIF(Mercado_Receita!$S$2:$S$667,"44409B1ConvencionalResidencialResidencialNão se aplicaNão se aplicaIntermediário",Mercado_Receita!$L$2:$L$667)+SUMIF(Mercado_Receita!$S$2:$S$667,"44409B1ConvencionalResidencialResidencialNão se aplicaNão se aplicaNão se aplica",Mercado_Receita!$L$2:$L$667)</f>
        <v>1626.2089999999998</v>
      </c>
      <c r="K20" s="13">
        <f>SUMIF(Mercado_Receita!$S$2:$S$667,"44440B1ConvencionalResidencialResidencialNão se aplicaNão se aplicaPonta",Mercado_Receita!$L$2:$L$667)+SUMIF(Mercado_Receita!$S$2:$S$667,"44440B1ConvencionalResidencialResidencialNão se aplicaNão se aplicaFora ponta",Mercado_Receita!$L$2:$L$667)+SUMIF(Mercado_Receita!$S$2:$S$667,"44440B1ConvencionalResidencialResidencialNão se aplicaNão se aplicaIntermediário",Mercado_Receita!$L$2:$L$667)+SUMIF(Mercado_Receita!$S$2:$S$667,"44440B1ConvencionalResidencialResidencialNão se aplicaNão se aplicaNão se aplica",Mercado_Receita!$L$2:$L$667)</f>
        <v>1456.3320000000001</v>
      </c>
      <c r="L20" s="13">
        <f>SUMIF(Mercado_Receita!$S$2:$S$667,"44470B1ConvencionalResidencialResidencialNão se aplicaNão se aplicaPonta",Mercado_Receita!$L$2:$L$667)+SUMIF(Mercado_Receita!$S$2:$S$667,"44470B1ConvencionalResidencialResidencialNão se aplicaNão se aplicaFora ponta",Mercado_Receita!$L$2:$L$667)+SUMIF(Mercado_Receita!$S$2:$S$667,"44470B1ConvencionalResidencialResidencialNão se aplicaNão se aplicaIntermediário",Mercado_Receita!$L$2:$L$667)+SUMIF(Mercado_Receita!$S$2:$S$667,"44470B1ConvencionalResidencialResidencialNão se aplicaNão se aplicaNão se aplica",Mercado_Receita!$L$2:$L$667)</f>
        <v>1510.692</v>
      </c>
      <c r="M20" s="13">
        <f>SUMIF(Mercado_Receita!$S$2:$S$667,"44501B1ConvencionalResidencialResidencialNão se aplicaNão se aplicaPonta",Mercado_Receita!$L$2:$L$667)+SUMIF(Mercado_Receita!$S$2:$S$667,"44501B1ConvencionalResidencialResidencialNão se aplicaNão se aplicaFora ponta",Mercado_Receita!$L$2:$L$667)+SUMIF(Mercado_Receita!$S$2:$S$667,"44501B1ConvencionalResidencialResidencialNão se aplicaNão se aplicaIntermediário",Mercado_Receita!$L$2:$L$667)+SUMIF(Mercado_Receita!$S$2:$S$667,"44501B1ConvencionalResidencialResidencialNão se aplicaNão se aplicaNão se aplica",Mercado_Receita!$L$2:$L$667)</f>
        <v>1626.702</v>
      </c>
      <c r="N20" s="13">
        <f>SUMIF(Mercado_Receita!$S$2:$S$667,"44531B1ConvencionalResidencialResidencialNão se aplicaNão se aplicaPonta",Mercado_Receita!$L$2:$L$667)+SUMIF(Mercado_Receita!$S$2:$S$667,"44531B1ConvencionalResidencialResidencialNão se aplicaNão se aplicaFora ponta",Mercado_Receita!$L$2:$L$667)+SUMIF(Mercado_Receita!$S$2:$S$667,"44531B1ConvencionalResidencialResidencialNão se aplicaNão se aplicaIntermediário",Mercado_Receita!$L$2:$L$667)+SUMIF(Mercado_Receita!$S$2:$S$667,"44531B1ConvencionalResidencialResidencialNão se aplicaNão se aplicaNão se aplica",Mercado_Receita!$L$2:$L$667)</f>
        <v>1711.1389999999999</v>
      </c>
      <c r="O20" s="13">
        <f>SUMIF(Mercado_Receita!$S$2:$S$667,"44562B1ConvencionalResidencialResidencialNão se aplicaNão se aplicaPonta",Mercado_Receita!$L$2:$L$667)+SUMIF(Mercado_Receita!$S$2:$S$667,"44562B1ConvencionalResidencialResidencialNão se aplicaNão se aplicaFora ponta",Mercado_Receita!$L$2:$L$667)+SUMIF(Mercado_Receita!$S$2:$S$667,"44562B1ConvencionalResidencialResidencialNão se aplicaNão se aplicaIntermediário",Mercado_Receita!$L$2:$L$667)+SUMIF(Mercado_Receita!$S$2:$S$667,"44562B1ConvencionalResidencialResidencialNão se aplicaNão se aplicaNão se aplica",Mercado_Receita!$L$2:$L$667)</f>
        <v>2138.5360000000005</v>
      </c>
      <c r="P20" s="13">
        <f>SUMIF(Mercado_Receita!$S$2:$S$667,"44593B1ConvencionalResidencialResidencialNão se aplicaNão se aplicaPonta",Mercado_Receita!$L$2:$L$667)+SUMIF(Mercado_Receita!$S$2:$S$667,"44593B1ConvencionalResidencialResidencialNão se aplicaNão se aplicaFora ponta",Mercado_Receita!$L$2:$L$667)+SUMIF(Mercado_Receita!$S$2:$S$667,"44593B1ConvencionalResidencialResidencialNão se aplicaNão se aplicaIntermediário",Mercado_Receita!$L$2:$L$667)+SUMIF(Mercado_Receita!$S$2:$S$667,"44593B1ConvencionalResidencialResidencialNão se aplicaNão se aplicaNão se aplica",Mercado_Receita!$L$2:$L$667)</f>
        <v>2580.5899999999997</v>
      </c>
      <c r="Q20" s="13">
        <f>SUMIF(Mercado_Receita!$S$2:$S$667,"44621B1ConvencionalResidencialResidencialNão se aplicaNão se aplicaPonta",Mercado_Receita!$L$2:$L$667)+SUMIF(Mercado_Receita!$S$2:$S$667,"44621B1ConvencionalResidencialResidencialNão se aplicaNão se aplicaFora ponta",Mercado_Receita!$L$2:$L$667)+SUMIF(Mercado_Receita!$S$2:$S$667,"44621B1ConvencionalResidencialResidencialNão se aplicaNão se aplicaIntermediário",Mercado_Receita!$L$2:$L$667)+SUMIF(Mercado_Receita!$S$2:$S$667,"44621B1ConvencionalResidencialResidencialNão se aplicaNão se aplicaNão se aplica",Mercado_Receita!$L$2:$L$667)</f>
        <v>2003.953</v>
      </c>
      <c r="R20" s="13">
        <f>SUMIF(Mercado_Receita!$S$2:$S$667,"44652B1ConvencionalResidencialResidencialNão se aplicaNão se aplicaPonta",Mercado_Receita!$L$2:$L$667)+SUMIF(Mercado_Receita!$S$2:$S$667,"44652B1ConvencionalResidencialResidencialNão se aplicaNão se aplicaFora ponta",Mercado_Receita!$L$2:$L$667)+SUMIF(Mercado_Receita!$S$2:$S$667,"44652B1ConvencionalResidencialResidencialNão se aplicaNão se aplicaIntermediário",Mercado_Receita!$L$2:$L$667)+SUMIF(Mercado_Receita!$S$2:$S$667,"44652B1ConvencionalResidencialResidencialNão se aplicaNão se aplicaNão se aplica",Mercado_Receita!$L$2:$L$667)</f>
        <v>1383.595</v>
      </c>
      <c r="S20" s="13">
        <f>SUMIF(Mercado_Receita!$S$2:$S$667,"44682B1ConvencionalResidencialResidencialNão se aplicaNão se aplicaPonta",Mercado_Receita!$L$2:$L$667)+SUMIF(Mercado_Receita!$S$2:$S$667,"44682B1ConvencionalResidencialResidencialNão se aplicaNão se aplicaFora ponta",Mercado_Receita!$L$2:$L$667)+SUMIF(Mercado_Receita!$S$2:$S$667,"44682B1ConvencionalResidencialResidencialNão se aplicaNão se aplicaIntermediário",Mercado_Receita!$L$2:$L$667)+SUMIF(Mercado_Receita!$S$2:$S$667,"44682B1ConvencionalResidencialResidencialNão se aplicaNão se aplicaNão se aplica",Mercado_Receita!$L$2:$L$667)</f>
        <v>1375.8239999999998</v>
      </c>
      <c r="T20" s="13">
        <f>SUMIF(Mercado_Receita!$S$2:$S$667,"44713B1ConvencionalResidencialResidencialNão se aplicaNão se aplicaPonta",Mercado_Receita!$L$2:$L$667)+SUMIF(Mercado_Receita!$S$2:$S$667,"44713B1ConvencionalResidencialResidencialNão se aplicaNão se aplicaFora ponta",Mercado_Receita!$L$2:$L$667)+SUMIF(Mercado_Receita!$S$2:$S$667,"44713B1ConvencionalResidencialResidencialNão se aplicaNão se aplicaIntermediário",Mercado_Receita!$L$2:$L$667)+SUMIF(Mercado_Receita!$S$2:$S$667,"44713B1ConvencionalResidencialResidencialNão se aplicaNão se aplicaNão se aplica",Mercado_Receita!$L$2:$L$667)</f>
        <v>1517.932</v>
      </c>
      <c r="U20" s="13">
        <f t="shared" si="0"/>
        <v>20470.671000000002</v>
      </c>
      <c r="V20" s="13"/>
      <c r="W20" s="13"/>
    </row>
    <row r="21" spans="1:23" ht="11.25" customHeight="1" x14ac:dyDescent="0.3">
      <c r="A21" s="118"/>
      <c r="B21" s="118"/>
      <c r="C21" s="118"/>
      <c r="D21" s="12" t="s">
        <v>29</v>
      </c>
      <c r="E21" s="12" t="s">
        <v>25</v>
      </c>
      <c r="F21" s="12" t="s">
        <v>25</v>
      </c>
      <c r="G21" s="13" t="s">
        <v>81</v>
      </c>
      <c r="H21" s="13" t="s">
        <v>76</v>
      </c>
      <c r="I21" s="13">
        <f>SUMIF(Mercado_Receita!$S$2:$S$667,"44378B1ConvencionalResidencialResidencial baixa renda – faixa 01Não se aplicaNão se aplicaPonta",Mercado_Receita!$L$2:$L$667)+SUMIF(Mercado_Receita!$S$2:$S$667,"44378B1ConvencionalResidencialResidencial baixa renda – faixa 01Não se aplicaNão se aplicaFora ponta",Mercado_Receita!$L$2:$L$667)+SUMIF(Mercado_Receita!$S$2:$S$667,"44378B1ConvencionalResidencialResidencial baixa renda – faixa 01Não se aplicaNão se aplicaIntermediário",Mercado_Receita!$L$2:$L$667)+SUMIF(Mercado_Receita!$S$2:$S$667,"44378B1ConvencionalResidencialResidencial baixa renda – faixa 01Não se aplicaNão se aplicaNão se aplica",Mercado_Receita!$L$2:$L$667)</f>
        <v>32.25</v>
      </c>
      <c r="J21" s="13">
        <f>SUMIF(Mercado_Receita!$S$2:$S$667,"44409B1ConvencionalResidencialResidencial baixa renda – faixa 01Não se aplicaNão se aplicaPonta",Mercado_Receita!$L$2:$L$667)+SUMIF(Mercado_Receita!$S$2:$S$667,"44409B1ConvencionalResidencialResidencial baixa renda – faixa 01Não se aplicaNão se aplicaFora ponta",Mercado_Receita!$L$2:$L$667)+SUMIF(Mercado_Receita!$S$2:$S$667,"44409B1ConvencionalResidencialResidencial baixa renda – faixa 01Não se aplicaNão se aplicaIntermediário",Mercado_Receita!$L$2:$L$667)+SUMIF(Mercado_Receita!$S$2:$S$667,"44409B1ConvencionalResidencialResidencial baixa renda – faixa 01Não se aplicaNão se aplicaNão se aplica",Mercado_Receita!$L$2:$L$667)</f>
        <v>32.340000000000003</v>
      </c>
      <c r="K21" s="13">
        <f>SUMIF(Mercado_Receita!$S$2:$S$667,"44440B1ConvencionalResidencialResidencial baixa renda – faixa 01Não se aplicaNão se aplicaPonta",Mercado_Receita!$L$2:$L$667)+SUMIF(Mercado_Receita!$S$2:$S$667,"44440B1ConvencionalResidencialResidencial baixa renda – faixa 01Não se aplicaNão se aplicaFora ponta",Mercado_Receita!$L$2:$L$667)+SUMIF(Mercado_Receita!$S$2:$S$667,"44440B1ConvencionalResidencialResidencial baixa renda – faixa 01Não se aplicaNão se aplicaIntermediário",Mercado_Receita!$L$2:$L$667)+SUMIF(Mercado_Receita!$S$2:$S$667,"44440B1ConvencionalResidencialResidencial baixa renda – faixa 01Não se aplicaNão se aplicaNão se aplica",Mercado_Receita!$L$2:$L$667)</f>
        <v>32.61</v>
      </c>
      <c r="L21" s="13">
        <f>SUMIF(Mercado_Receita!$S$2:$S$667,"44470B1ConvencionalResidencialResidencial baixa renda – faixa 01Não se aplicaNão se aplicaPonta",Mercado_Receita!$L$2:$L$667)+SUMIF(Mercado_Receita!$S$2:$S$667,"44470B1ConvencionalResidencialResidencial baixa renda – faixa 01Não se aplicaNão se aplicaFora ponta",Mercado_Receita!$L$2:$L$667)+SUMIF(Mercado_Receita!$S$2:$S$667,"44470B1ConvencionalResidencialResidencial baixa renda – faixa 01Não se aplicaNão se aplicaIntermediário",Mercado_Receita!$L$2:$L$667)+SUMIF(Mercado_Receita!$S$2:$S$667,"44470B1ConvencionalResidencialResidencial baixa renda – faixa 01Não se aplicaNão se aplicaNão se aplica",Mercado_Receita!$L$2:$L$667)</f>
        <v>32.730000000000004</v>
      </c>
      <c r="M21" s="13">
        <f>SUMIF(Mercado_Receita!$S$2:$S$667,"44501B1ConvencionalResidencialResidencial baixa renda – faixa 01Não se aplicaNão se aplicaPonta",Mercado_Receita!$L$2:$L$667)+SUMIF(Mercado_Receita!$S$2:$S$667,"44501B1ConvencionalResidencialResidencial baixa renda – faixa 01Não se aplicaNão se aplicaFora ponta",Mercado_Receita!$L$2:$L$667)+SUMIF(Mercado_Receita!$S$2:$S$667,"44501B1ConvencionalResidencialResidencial baixa renda – faixa 01Não se aplicaNão se aplicaIntermediário",Mercado_Receita!$L$2:$L$667)+SUMIF(Mercado_Receita!$S$2:$S$667,"44501B1ConvencionalResidencialResidencial baixa renda – faixa 01Não se aplicaNão se aplicaNão se aplica",Mercado_Receita!$L$2:$L$667)</f>
        <v>32.910000000000004</v>
      </c>
      <c r="N21" s="13">
        <f>SUMIF(Mercado_Receita!$S$2:$S$667,"44531B1ConvencionalResidencialResidencial baixa renda – faixa 01Não se aplicaNão se aplicaPonta",Mercado_Receita!$L$2:$L$667)+SUMIF(Mercado_Receita!$S$2:$S$667,"44531B1ConvencionalResidencialResidencial baixa renda – faixa 01Não se aplicaNão se aplicaFora ponta",Mercado_Receita!$L$2:$L$667)+SUMIF(Mercado_Receita!$S$2:$S$667,"44531B1ConvencionalResidencialResidencial baixa renda – faixa 01Não se aplicaNão se aplicaIntermediário",Mercado_Receita!$L$2:$L$667)+SUMIF(Mercado_Receita!$S$2:$S$667,"44531B1ConvencionalResidencialResidencial baixa renda – faixa 01Não se aplicaNão se aplicaNão se aplica",Mercado_Receita!$L$2:$L$667)</f>
        <v>33.556000000000004</v>
      </c>
      <c r="O21" s="13">
        <f>SUMIF(Mercado_Receita!$S$2:$S$667,"44562B1ConvencionalResidencialResidencial baixa renda – faixa 01Não se aplicaNão se aplicaPonta",Mercado_Receita!$L$2:$L$667)+SUMIF(Mercado_Receita!$S$2:$S$667,"44562B1ConvencionalResidencialResidencial baixa renda – faixa 01Não se aplicaNão se aplicaFora ponta",Mercado_Receita!$L$2:$L$667)+SUMIF(Mercado_Receita!$S$2:$S$667,"44562B1ConvencionalResidencialResidencial baixa renda – faixa 01Não se aplicaNão se aplicaIntermediário",Mercado_Receita!$L$2:$L$667)+SUMIF(Mercado_Receita!$S$2:$S$667,"44562B1ConvencionalResidencialResidencial baixa renda – faixa 01Não se aplicaNão se aplicaNão se aplica",Mercado_Receita!$L$2:$L$667)</f>
        <v>34.020000000000003</v>
      </c>
      <c r="P21" s="13">
        <f>SUMIF(Mercado_Receita!$S$2:$S$667,"44593B1ConvencionalResidencialResidencial baixa renda – faixa 01Não se aplicaNão se aplicaPonta",Mercado_Receita!$L$2:$L$667)+SUMIF(Mercado_Receita!$S$2:$S$667,"44593B1ConvencionalResidencialResidencial baixa renda – faixa 01Não se aplicaNão se aplicaFora ponta",Mercado_Receita!$L$2:$L$667)+SUMIF(Mercado_Receita!$S$2:$S$667,"44593B1ConvencionalResidencialResidencial baixa renda – faixa 01Não se aplicaNão se aplicaIntermediário",Mercado_Receita!$L$2:$L$667)+SUMIF(Mercado_Receita!$S$2:$S$667,"44593B1ConvencionalResidencialResidencial baixa renda – faixa 01Não se aplicaNão se aplicaNão se aplica",Mercado_Receita!$L$2:$L$667)</f>
        <v>34.200000000000003</v>
      </c>
      <c r="Q21" s="13">
        <f>SUMIF(Mercado_Receita!$S$2:$S$667,"44621B1ConvencionalResidencialResidencial baixa renda – faixa 01Não se aplicaNão se aplicaPonta",Mercado_Receita!$L$2:$L$667)+SUMIF(Mercado_Receita!$S$2:$S$667,"44621B1ConvencionalResidencialResidencial baixa renda – faixa 01Não se aplicaNão se aplicaFora ponta",Mercado_Receita!$L$2:$L$667)+SUMIF(Mercado_Receita!$S$2:$S$667,"44621B1ConvencionalResidencialResidencial baixa renda – faixa 01Não se aplicaNão se aplicaIntermediário",Mercado_Receita!$L$2:$L$667)+SUMIF(Mercado_Receita!$S$2:$S$667,"44621B1ConvencionalResidencialResidencial baixa renda – faixa 01Não se aplicaNão se aplicaNão se aplica",Mercado_Receita!$L$2:$L$667)</f>
        <v>34.950000000000003</v>
      </c>
      <c r="R21" s="13">
        <f>SUMIF(Mercado_Receita!$S$2:$S$667,"44652B1ConvencionalResidencialResidencial baixa renda – faixa 01Não se aplicaNão se aplicaPonta",Mercado_Receita!$L$2:$L$667)+SUMIF(Mercado_Receita!$S$2:$S$667,"44652B1ConvencionalResidencialResidencial baixa renda – faixa 01Não se aplicaNão se aplicaFora ponta",Mercado_Receita!$L$2:$L$667)+SUMIF(Mercado_Receita!$S$2:$S$667,"44652B1ConvencionalResidencialResidencial baixa renda – faixa 01Não se aplicaNão se aplicaIntermediário",Mercado_Receita!$L$2:$L$667)+SUMIF(Mercado_Receita!$S$2:$S$667,"44652B1ConvencionalResidencialResidencial baixa renda – faixa 01Não se aplicaNão se aplicaNão se aplica",Mercado_Receita!$L$2:$L$667)</f>
        <v>35.61</v>
      </c>
      <c r="S21" s="13">
        <f>SUMIF(Mercado_Receita!$S$2:$S$667,"44682B1ConvencionalResidencialResidencial baixa renda – faixa 01Não se aplicaNão se aplicaPonta",Mercado_Receita!$L$2:$L$667)+SUMIF(Mercado_Receita!$S$2:$S$667,"44682B1ConvencionalResidencialResidencial baixa renda – faixa 01Não se aplicaNão se aplicaFora ponta",Mercado_Receita!$L$2:$L$667)+SUMIF(Mercado_Receita!$S$2:$S$667,"44682B1ConvencionalResidencialResidencial baixa renda – faixa 01Não se aplicaNão se aplicaIntermediário",Mercado_Receita!$L$2:$L$667)+SUMIF(Mercado_Receita!$S$2:$S$667,"44682B1ConvencionalResidencialResidencial baixa renda – faixa 01Não se aplicaNão se aplicaNão se aplica",Mercado_Receita!$L$2:$L$667)</f>
        <v>45.741</v>
      </c>
      <c r="T21" s="13">
        <f>SUMIF(Mercado_Receita!$S$2:$S$667,"44713B1ConvencionalResidencialResidencial baixa renda – faixa 01Não se aplicaNão se aplicaPonta",Mercado_Receita!$L$2:$L$667)+SUMIF(Mercado_Receita!$S$2:$S$667,"44713B1ConvencionalResidencialResidencial baixa renda – faixa 01Não se aplicaNão se aplicaFora ponta",Mercado_Receita!$L$2:$L$667)+SUMIF(Mercado_Receita!$S$2:$S$667,"44713B1ConvencionalResidencialResidencial baixa renda – faixa 01Não se aplicaNão se aplicaIntermediário",Mercado_Receita!$L$2:$L$667)+SUMIF(Mercado_Receita!$S$2:$S$667,"44713B1ConvencionalResidencialResidencial baixa renda – faixa 01Não se aplicaNão se aplicaNão se aplica",Mercado_Receita!$L$2:$L$667)</f>
        <v>44.204999999999998</v>
      </c>
      <c r="U21" s="13">
        <f t="shared" si="0"/>
        <v>425.12200000000001</v>
      </c>
      <c r="V21" s="13"/>
      <c r="W21" s="13"/>
    </row>
    <row r="22" spans="1:23" ht="11.25" customHeight="1" x14ac:dyDescent="0.3">
      <c r="A22" s="118"/>
      <c r="B22" s="118"/>
      <c r="C22" s="118"/>
      <c r="D22" s="12" t="s">
        <v>30</v>
      </c>
      <c r="E22" s="12" t="s">
        <v>25</v>
      </c>
      <c r="F22" s="12" t="s">
        <v>25</v>
      </c>
      <c r="G22" s="13" t="s">
        <v>81</v>
      </c>
      <c r="H22" s="13" t="s">
        <v>76</v>
      </c>
      <c r="I22" s="13">
        <f>SUMIF(Mercado_Receita!$S$2:$S$667,"44378B1ConvencionalResidencialResidencial baixa renda – faixa 02Não se aplicaNão se aplicaPonta",Mercado_Receita!$L$2:$L$667)+SUMIF(Mercado_Receita!$S$2:$S$667,"44378B1ConvencionalResidencialResidencial baixa renda – faixa 02Não se aplicaNão se aplicaFora ponta",Mercado_Receita!$L$2:$L$667)+SUMIF(Mercado_Receita!$S$2:$S$667,"44378B1ConvencionalResidencialResidencial baixa renda – faixa 02Não se aplicaNão se aplicaIntermediário",Mercado_Receita!$L$2:$L$667)+SUMIF(Mercado_Receita!$S$2:$S$667,"44378B1ConvencionalResidencialResidencial baixa renda – faixa 02Não se aplicaNão se aplicaNão se aplica",Mercado_Receita!$L$2:$L$667)</f>
        <v>63.064999999999998</v>
      </c>
      <c r="J22" s="13">
        <f>SUMIF(Mercado_Receita!$S$2:$S$667,"44409B1ConvencionalResidencialResidencial baixa renda – faixa 02Não se aplicaNão se aplicaPonta",Mercado_Receita!$L$2:$L$667)+SUMIF(Mercado_Receita!$S$2:$S$667,"44409B1ConvencionalResidencialResidencial baixa renda – faixa 02Não se aplicaNão se aplicaFora ponta",Mercado_Receita!$L$2:$L$667)+SUMIF(Mercado_Receita!$S$2:$S$667,"44409B1ConvencionalResidencialResidencial baixa renda – faixa 02Não se aplicaNão se aplicaIntermediário",Mercado_Receita!$L$2:$L$667)+SUMIF(Mercado_Receita!$S$2:$S$667,"44409B1ConvencionalResidencialResidencial baixa renda – faixa 02Não se aplicaNão se aplicaNão se aplica",Mercado_Receita!$L$2:$L$667)</f>
        <v>64.738</v>
      </c>
      <c r="K22" s="13">
        <f>SUMIF(Mercado_Receita!$S$2:$S$667,"44440B1ConvencionalResidencialResidencial baixa renda – faixa 02Não se aplicaNão se aplicaPonta",Mercado_Receita!$L$2:$L$667)+SUMIF(Mercado_Receita!$S$2:$S$667,"44440B1ConvencionalResidencialResidencial baixa renda – faixa 02Não se aplicaNão se aplicaFora ponta",Mercado_Receita!$L$2:$L$667)+SUMIF(Mercado_Receita!$S$2:$S$667,"44440B1ConvencionalResidencialResidencial baixa renda – faixa 02Não se aplicaNão se aplicaIntermediário",Mercado_Receita!$L$2:$L$667)+SUMIF(Mercado_Receita!$S$2:$S$667,"44440B1ConvencionalResidencialResidencial baixa renda – faixa 02Não se aplicaNão se aplicaNão se aplica",Mercado_Receita!$L$2:$L$667)</f>
        <v>66.038999999999987</v>
      </c>
      <c r="L22" s="13">
        <f>SUMIF(Mercado_Receita!$S$2:$S$667,"44470B1ConvencionalResidencialResidencial baixa renda – faixa 02Não se aplicaNão se aplicaPonta",Mercado_Receita!$L$2:$L$667)+SUMIF(Mercado_Receita!$S$2:$S$667,"44470B1ConvencionalResidencialResidencial baixa renda – faixa 02Não se aplicaNão se aplicaFora ponta",Mercado_Receita!$L$2:$L$667)+SUMIF(Mercado_Receita!$S$2:$S$667,"44470B1ConvencionalResidencialResidencial baixa renda – faixa 02Não se aplicaNão se aplicaIntermediário",Mercado_Receita!$L$2:$L$667)+SUMIF(Mercado_Receita!$S$2:$S$667,"44470B1ConvencionalResidencialResidencial baixa renda – faixa 02Não se aplicaNão se aplicaNão se aplica",Mercado_Receita!$L$2:$L$667)</f>
        <v>67.553999999999988</v>
      </c>
      <c r="M22" s="13">
        <f>SUMIF(Mercado_Receita!$S$2:$S$667,"44501B1ConvencionalResidencialResidencial baixa renda – faixa 02Não se aplicaNão se aplicaPonta",Mercado_Receita!$L$2:$L$667)+SUMIF(Mercado_Receita!$S$2:$S$667,"44501B1ConvencionalResidencialResidencial baixa renda – faixa 02Não se aplicaNão se aplicaFora ponta",Mercado_Receita!$L$2:$L$667)+SUMIF(Mercado_Receita!$S$2:$S$667,"44501B1ConvencionalResidencialResidencial baixa renda – faixa 02Não se aplicaNão se aplicaIntermediário",Mercado_Receita!$L$2:$L$667)+SUMIF(Mercado_Receita!$S$2:$S$667,"44501B1ConvencionalResidencialResidencial baixa renda – faixa 02Não se aplicaNão se aplicaNão se aplica",Mercado_Receita!$L$2:$L$667)</f>
        <v>68.905000000000001</v>
      </c>
      <c r="N22" s="13">
        <f>SUMIF(Mercado_Receita!$S$2:$S$667,"44531B1ConvencionalResidencialResidencial baixa renda – faixa 02Não se aplicaNão se aplicaPonta",Mercado_Receita!$L$2:$L$667)+SUMIF(Mercado_Receita!$S$2:$S$667,"44531B1ConvencionalResidencialResidencial baixa renda – faixa 02Não se aplicaNão se aplicaFora ponta",Mercado_Receita!$L$2:$L$667)+SUMIF(Mercado_Receita!$S$2:$S$667,"44531B1ConvencionalResidencialResidencial baixa renda – faixa 02Não se aplicaNão se aplicaIntermediário",Mercado_Receita!$L$2:$L$667)+SUMIF(Mercado_Receita!$S$2:$S$667,"44531B1ConvencionalResidencialResidencial baixa renda – faixa 02Não se aplicaNão se aplicaNão se aplica",Mercado_Receita!$L$2:$L$667)</f>
        <v>70.64500000000001</v>
      </c>
      <c r="O22" s="13">
        <f>SUMIF(Mercado_Receita!$S$2:$S$667,"44562B1ConvencionalResidencialResidencial baixa renda – faixa 02Não se aplicaNão se aplicaPonta",Mercado_Receita!$L$2:$L$667)+SUMIF(Mercado_Receita!$S$2:$S$667,"44562B1ConvencionalResidencialResidencial baixa renda – faixa 02Não se aplicaNão se aplicaFora ponta",Mercado_Receita!$L$2:$L$667)+SUMIF(Mercado_Receita!$S$2:$S$667,"44562B1ConvencionalResidencialResidencial baixa renda – faixa 02Não se aplicaNão se aplicaIntermediário",Mercado_Receita!$L$2:$L$667)+SUMIF(Mercado_Receita!$S$2:$S$667,"44562B1ConvencionalResidencialResidencial baixa renda – faixa 02Não se aplicaNão se aplicaNão se aplica",Mercado_Receita!$L$2:$L$667)</f>
        <v>73.310999999999993</v>
      </c>
      <c r="P22" s="13">
        <f>SUMIF(Mercado_Receita!$S$2:$S$667,"44593B1ConvencionalResidencialResidencial baixa renda – faixa 02Não se aplicaNão se aplicaPonta",Mercado_Receita!$L$2:$L$667)+SUMIF(Mercado_Receita!$S$2:$S$667,"44593B1ConvencionalResidencialResidencial baixa renda – faixa 02Não se aplicaNão se aplicaFora ponta",Mercado_Receita!$L$2:$L$667)+SUMIF(Mercado_Receita!$S$2:$S$667,"44593B1ConvencionalResidencialResidencial baixa renda – faixa 02Não se aplicaNão se aplicaIntermediário",Mercado_Receita!$L$2:$L$667)+SUMIF(Mercado_Receita!$S$2:$S$667,"44593B1ConvencionalResidencialResidencial baixa renda – faixa 02Não se aplicaNão se aplicaNão se aplica",Mercado_Receita!$L$2:$L$667)</f>
        <v>75.003</v>
      </c>
      <c r="Q22" s="13">
        <f>SUMIF(Mercado_Receita!$S$2:$S$667,"44621B1ConvencionalResidencialResidencial baixa renda – faixa 02Não se aplicaNão se aplicaPonta",Mercado_Receita!$L$2:$L$667)+SUMIF(Mercado_Receita!$S$2:$S$667,"44621B1ConvencionalResidencialResidencial baixa renda – faixa 02Não se aplicaNão se aplicaFora ponta",Mercado_Receita!$L$2:$L$667)+SUMIF(Mercado_Receita!$S$2:$S$667,"44621B1ConvencionalResidencialResidencial baixa renda – faixa 02Não se aplicaNão se aplicaIntermediário",Mercado_Receita!$L$2:$L$667)+SUMIF(Mercado_Receita!$S$2:$S$667,"44621B1ConvencionalResidencialResidencial baixa renda – faixa 02Não se aplicaNão se aplicaNão se aplica",Mercado_Receita!$L$2:$L$667)</f>
        <v>75.08</v>
      </c>
      <c r="R22" s="13">
        <f>SUMIF(Mercado_Receita!$S$2:$S$667,"44652B1ConvencionalResidencialResidencial baixa renda – faixa 02Não se aplicaNão se aplicaPonta",Mercado_Receita!$L$2:$L$667)+SUMIF(Mercado_Receita!$S$2:$S$667,"44652B1ConvencionalResidencialResidencial baixa renda – faixa 02Não se aplicaNão se aplicaFora ponta",Mercado_Receita!$L$2:$L$667)+SUMIF(Mercado_Receita!$S$2:$S$667,"44652B1ConvencionalResidencialResidencial baixa renda – faixa 02Não se aplicaNão se aplicaIntermediário",Mercado_Receita!$L$2:$L$667)+SUMIF(Mercado_Receita!$S$2:$S$667,"44652B1ConvencionalResidencialResidencial baixa renda – faixa 02Não se aplicaNão se aplicaNão se aplica",Mercado_Receita!$L$2:$L$667)</f>
        <v>73.102000000000004</v>
      </c>
      <c r="S22" s="13">
        <f>SUMIF(Mercado_Receita!$S$2:$S$667,"44682B1ConvencionalResidencialResidencial baixa renda – faixa 02Não se aplicaNão se aplicaPonta",Mercado_Receita!$L$2:$L$667)+SUMIF(Mercado_Receita!$S$2:$S$667,"44682B1ConvencionalResidencialResidencial baixa renda – faixa 02Não se aplicaNão se aplicaFora ponta",Mercado_Receita!$L$2:$L$667)+SUMIF(Mercado_Receita!$S$2:$S$667,"44682B1ConvencionalResidencialResidencial baixa renda – faixa 02Não se aplicaNão se aplicaIntermediário",Mercado_Receita!$L$2:$L$667)+SUMIF(Mercado_Receita!$S$2:$S$667,"44682B1ConvencionalResidencialResidencial baixa renda – faixa 02Não se aplicaNão se aplicaNão se aplica",Mercado_Receita!$L$2:$L$667)</f>
        <v>90.913999999999987</v>
      </c>
      <c r="T22" s="13">
        <f>SUMIF(Mercado_Receita!$S$2:$S$667,"44713B1ConvencionalResidencialResidencial baixa renda – faixa 02Não se aplicaNão se aplicaPonta",Mercado_Receita!$L$2:$L$667)+SUMIF(Mercado_Receita!$S$2:$S$667,"44713B1ConvencionalResidencialResidencial baixa renda – faixa 02Não se aplicaNão se aplicaFora ponta",Mercado_Receita!$L$2:$L$667)+SUMIF(Mercado_Receita!$S$2:$S$667,"44713B1ConvencionalResidencialResidencial baixa renda – faixa 02Não se aplicaNão se aplicaIntermediário",Mercado_Receita!$L$2:$L$667)+SUMIF(Mercado_Receita!$S$2:$S$667,"44713B1ConvencionalResidencialResidencial baixa renda – faixa 02Não se aplicaNão se aplicaNão se aplica",Mercado_Receita!$L$2:$L$667)</f>
        <v>88.495999999999995</v>
      </c>
      <c r="U22" s="13">
        <f t="shared" si="0"/>
        <v>876.85199999999986</v>
      </c>
      <c r="V22" s="13"/>
      <c r="W22" s="13"/>
    </row>
    <row r="23" spans="1:23" ht="11.25" customHeight="1" x14ac:dyDescent="0.3">
      <c r="A23" s="118"/>
      <c r="B23" s="118"/>
      <c r="C23" s="118"/>
      <c r="D23" s="12" t="s">
        <v>31</v>
      </c>
      <c r="E23" s="12" t="s">
        <v>25</v>
      </c>
      <c r="F23" s="12" t="s">
        <v>25</v>
      </c>
      <c r="G23" s="13" t="s">
        <v>81</v>
      </c>
      <c r="H23" s="13" t="s">
        <v>76</v>
      </c>
      <c r="I23" s="13">
        <f>SUMIF(Mercado_Receita!$S$2:$S$667,"44378B1ConvencionalResidencialResidencial baixa renda – faixa 03Não se aplicaNão se aplicaPonta",Mercado_Receita!$L$2:$L$667)+SUMIF(Mercado_Receita!$S$2:$S$667,"44378B1ConvencionalResidencialResidencial baixa renda – faixa 03Não se aplicaNão se aplicaFora ponta",Mercado_Receita!$L$2:$L$667)+SUMIF(Mercado_Receita!$S$2:$S$667,"44378B1ConvencionalResidencialResidencial baixa renda – faixa 03Não se aplicaNão se aplicaIntermediário",Mercado_Receita!$L$2:$L$667)+SUMIF(Mercado_Receita!$S$2:$S$667,"44378B1ConvencionalResidencialResidencial baixa renda – faixa 03Não se aplicaNão se aplicaNão se aplica",Mercado_Receita!$L$2:$L$667)</f>
        <v>52.884999999999998</v>
      </c>
      <c r="J23" s="13">
        <f>SUMIF(Mercado_Receita!$S$2:$S$667,"44409B1ConvencionalResidencialResidencial baixa renda – faixa 03Não se aplicaNão se aplicaPonta",Mercado_Receita!$L$2:$L$667)+SUMIF(Mercado_Receita!$S$2:$S$667,"44409B1ConvencionalResidencialResidencial baixa renda – faixa 03Não se aplicaNão se aplicaFora ponta",Mercado_Receita!$L$2:$L$667)+SUMIF(Mercado_Receita!$S$2:$S$667,"44409B1ConvencionalResidencialResidencial baixa renda – faixa 03Não se aplicaNão se aplicaIntermediário",Mercado_Receita!$L$2:$L$667)+SUMIF(Mercado_Receita!$S$2:$S$667,"44409B1ConvencionalResidencialResidencial baixa renda – faixa 03Não se aplicaNão se aplicaNão se aplica",Mercado_Receita!$L$2:$L$667)</f>
        <v>61.555999999999997</v>
      </c>
      <c r="K23" s="13">
        <f>SUMIF(Mercado_Receita!$S$2:$S$667,"44440B1ConvencionalResidencialResidencial baixa renda – faixa 03Não se aplicaNão se aplicaPonta",Mercado_Receita!$L$2:$L$667)+SUMIF(Mercado_Receita!$S$2:$S$667,"44440B1ConvencionalResidencialResidencial baixa renda – faixa 03Não se aplicaNão se aplicaFora ponta",Mercado_Receita!$L$2:$L$667)+SUMIF(Mercado_Receita!$S$2:$S$667,"44440B1ConvencionalResidencialResidencial baixa renda – faixa 03Não se aplicaNão se aplicaIntermediário",Mercado_Receita!$L$2:$L$667)+SUMIF(Mercado_Receita!$S$2:$S$667,"44440B1ConvencionalResidencialResidencial baixa renda – faixa 03Não se aplicaNão se aplicaNão se aplica",Mercado_Receita!$L$2:$L$667)</f>
        <v>58.668999999999997</v>
      </c>
      <c r="L23" s="13">
        <f>SUMIF(Mercado_Receita!$S$2:$S$667,"44470B1ConvencionalResidencialResidencial baixa renda – faixa 03Não se aplicaNão se aplicaPonta",Mercado_Receita!$L$2:$L$667)+SUMIF(Mercado_Receita!$S$2:$S$667,"44470B1ConvencionalResidencialResidencial baixa renda – faixa 03Não se aplicaNão se aplicaFora ponta",Mercado_Receita!$L$2:$L$667)+SUMIF(Mercado_Receita!$S$2:$S$667,"44470B1ConvencionalResidencialResidencial baixa renda – faixa 03Não se aplicaNão se aplicaIntermediário",Mercado_Receita!$L$2:$L$667)+SUMIF(Mercado_Receita!$S$2:$S$667,"44470B1ConvencionalResidencialResidencial baixa renda – faixa 03Não se aplicaNão se aplicaNão se aplica",Mercado_Receita!$L$2:$L$667)</f>
        <v>62.91</v>
      </c>
      <c r="M23" s="13">
        <f>SUMIF(Mercado_Receita!$S$2:$S$667,"44501B1ConvencionalResidencialResidencial baixa renda – faixa 03Não se aplicaNão se aplicaPonta",Mercado_Receita!$L$2:$L$667)+SUMIF(Mercado_Receita!$S$2:$S$667,"44501B1ConvencionalResidencialResidencial baixa renda – faixa 03Não se aplicaNão se aplicaFora ponta",Mercado_Receita!$L$2:$L$667)+SUMIF(Mercado_Receita!$S$2:$S$667,"44501B1ConvencionalResidencialResidencial baixa renda – faixa 03Não se aplicaNão se aplicaIntermediário",Mercado_Receita!$L$2:$L$667)+SUMIF(Mercado_Receita!$S$2:$S$667,"44501B1ConvencionalResidencialResidencial baixa renda – faixa 03Não se aplicaNão se aplicaNão se aplica",Mercado_Receita!$L$2:$L$667)</f>
        <v>70.632000000000005</v>
      </c>
      <c r="N23" s="13">
        <f>SUMIF(Mercado_Receita!$S$2:$S$667,"44531B1ConvencionalResidencialResidencial baixa renda – faixa 03Não se aplicaNão se aplicaPonta",Mercado_Receita!$L$2:$L$667)+SUMIF(Mercado_Receita!$S$2:$S$667,"44531B1ConvencionalResidencialResidencial baixa renda – faixa 03Não se aplicaNão se aplicaFora ponta",Mercado_Receita!$L$2:$L$667)+SUMIF(Mercado_Receita!$S$2:$S$667,"44531B1ConvencionalResidencialResidencial baixa renda – faixa 03Não se aplicaNão se aplicaIntermediário",Mercado_Receita!$L$2:$L$667)+SUMIF(Mercado_Receita!$S$2:$S$667,"44531B1ConvencionalResidencialResidencial baixa renda – faixa 03Não se aplicaNão se aplicaNão se aplica",Mercado_Receita!$L$2:$L$667)</f>
        <v>75.957999999999998</v>
      </c>
      <c r="O23" s="13">
        <f>SUMIF(Mercado_Receita!$S$2:$S$667,"44562B1ConvencionalResidencialResidencial baixa renda – faixa 03Não se aplicaNão se aplicaPonta",Mercado_Receita!$L$2:$L$667)+SUMIF(Mercado_Receita!$S$2:$S$667,"44562B1ConvencionalResidencialResidencial baixa renda – faixa 03Não se aplicaNão se aplicaFora ponta",Mercado_Receita!$L$2:$L$667)+SUMIF(Mercado_Receita!$S$2:$S$667,"44562B1ConvencionalResidencialResidencial baixa renda – faixa 03Não se aplicaNão se aplicaIntermediário",Mercado_Receita!$L$2:$L$667)+SUMIF(Mercado_Receita!$S$2:$S$667,"44562B1ConvencionalResidencialResidencial baixa renda – faixa 03Não se aplicaNão se aplicaNão se aplica",Mercado_Receita!$L$2:$L$667)</f>
        <v>86.544000000000011</v>
      </c>
      <c r="P23" s="13">
        <f>SUMIF(Mercado_Receita!$S$2:$S$667,"44593B1ConvencionalResidencialResidencial baixa renda – faixa 03Não se aplicaNão se aplicaPonta",Mercado_Receita!$L$2:$L$667)+SUMIF(Mercado_Receita!$S$2:$S$667,"44593B1ConvencionalResidencialResidencial baixa renda – faixa 03Não se aplicaNão se aplicaFora ponta",Mercado_Receita!$L$2:$L$667)+SUMIF(Mercado_Receita!$S$2:$S$667,"44593B1ConvencionalResidencialResidencial baixa renda – faixa 03Não se aplicaNão se aplicaIntermediário",Mercado_Receita!$L$2:$L$667)+SUMIF(Mercado_Receita!$S$2:$S$667,"44593B1ConvencionalResidencialResidencial baixa renda – faixa 03Não se aplicaNão se aplicaNão se aplica",Mercado_Receita!$L$2:$L$667)</f>
        <v>96.476000000000013</v>
      </c>
      <c r="Q23" s="13">
        <f>SUMIF(Mercado_Receita!$S$2:$S$667,"44621B1ConvencionalResidencialResidencial baixa renda – faixa 03Não se aplicaNão se aplicaPonta",Mercado_Receita!$L$2:$L$667)+SUMIF(Mercado_Receita!$S$2:$S$667,"44621B1ConvencionalResidencialResidencial baixa renda – faixa 03Não se aplicaNão se aplicaFora ponta",Mercado_Receita!$L$2:$L$667)+SUMIF(Mercado_Receita!$S$2:$S$667,"44621B1ConvencionalResidencialResidencial baixa renda – faixa 03Não se aplicaNão se aplicaIntermediário",Mercado_Receita!$L$2:$L$667)+SUMIF(Mercado_Receita!$S$2:$S$667,"44621B1ConvencionalResidencialResidencial baixa renda – faixa 03Não se aplicaNão se aplicaNão se aplica",Mercado_Receita!$L$2:$L$667)</f>
        <v>87.628</v>
      </c>
      <c r="R23" s="13">
        <f>SUMIF(Mercado_Receita!$S$2:$S$667,"44652B1ConvencionalResidencialResidencial baixa renda – faixa 03Não se aplicaNão se aplicaPonta",Mercado_Receita!$L$2:$L$667)+SUMIF(Mercado_Receita!$S$2:$S$667,"44652B1ConvencionalResidencialResidencial baixa renda – faixa 03Não se aplicaNão se aplicaFora ponta",Mercado_Receita!$L$2:$L$667)+SUMIF(Mercado_Receita!$S$2:$S$667,"44652B1ConvencionalResidencialResidencial baixa renda – faixa 03Não se aplicaNão se aplicaIntermediário",Mercado_Receita!$L$2:$L$667)+SUMIF(Mercado_Receita!$S$2:$S$667,"44652B1ConvencionalResidencialResidencial baixa renda – faixa 03Não se aplicaNão se aplicaNão se aplica",Mercado_Receita!$L$2:$L$667)</f>
        <v>65.495000000000005</v>
      </c>
      <c r="S23" s="13">
        <f>SUMIF(Mercado_Receita!$S$2:$S$667,"44682B1ConvencionalResidencialResidencial baixa renda – faixa 03Não se aplicaNão se aplicaPonta",Mercado_Receita!$L$2:$L$667)+SUMIF(Mercado_Receita!$S$2:$S$667,"44682B1ConvencionalResidencialResidencial baixa renda – faixa 03Não se aplicaNão se aplicaFora ponta",Mercado_Receita!$L$2:$L$667)+SUMIF(Mercado_Receita!$S$2:$S$667,"44682B1ConvencionalResidencialResidencial baixa renda – faixa 03Não se aplicaNão se aplicaIntermediário",Mercado_Receita!$L$2:$L$667)+SUMIF(Mercado_Receita!$S$2:$S$667,"44682B1ConvencionalResidencialResidencial baixa renda – faixa 03Não se aplicaNão se aplicaNão se aplica",Mercado_Receita!$L$2:$L$667)</f>
        <v>77.724999999999994</v>
      </c>
      <c r="T23" s="13">
        <f>SUMIF(Mercado_Receita!$S$2:$S$667,"44713B1ConvencionalResidencialResidencial baixa renda – faixa 03Não se aplicaNão se aplicaPonta",Mercado_Receita!$L$2:$L$667)+SUMIF(Mercado_Receita!$S$2:$S$667,"44713B1ConvencionalResidencialResidencial baixa renda – faixa 03Não se aplicaNão se aplicaFora ponta",Mercado_Receita!$L$2:$L$667)+SUMIF(Mercado_Receita!$S$2:$S$667,"44713B1ConvencionalResidencialResidencial baixa renda – faixa 03Não se aplicaNão se aplicaIntermediário",Mercado_Receita!$L$2:$L$667)+SUMIF(Mercado_Receita!$S$2:$S$667,"44713B1ConvencionalResidencialResidencial baixa renda – faixa 03Não se aplicaNão se aplicaNão se aplica",Mercado_Receita!$L$2:$L$667)</f>
        <v>79.522999999999996</v>
      </c>
      <c r="U23" s="13">
        <f t="shared" si="0"/>
        <v>876.00100000000009</v>
      </c>
      <c r="V23" s="13"/>
      <c r="W23" s="13"/>
    </row>
    <row r="24" spans="1:23" ht="11.25" customHeight="1" x14ac:dyDescent="0.3">
      <c r="A24" s="118"/>
      <c r="B24" s="118"/>
      <c r="C24" s="118"/>
      <c r="D24" s="12" t="s">
        <v>32</v>
      </c>
      <c r="E24" s="12" t="s">
        <v>25</v>
      </c>
      <c r="F24" s="12" t="s">
        <v>25</v>
      </c>
      <c r="G24" s="13" t="s">
        <v>81</v>
      </c>
      <c r="H24" s="13" t="s">
        <v>76</v>
      </c>
      <c r="I24" s="13">
        <f>SUMIF(Mercado_Receita!$S$2:$S$667,"44378B1ConvencionalResidencialResidencial baixa renda – faixa 04Não se aplicaNão se aplicaPonta",Mercado_Receita!$L$2:$L$667)+SUMIF(Mercado_Receita!$S$2:$S$667,"44378B1ConvencionalResidencialResidencial baixa renda – faixa 04Não se aplicaNão se aplicaFora ponta",Mercado_Receita!$L$2:$L$667)+SUMIF(Mercado_Receita!$S$2:$S$667,"44378B1ConvencionalResidencialResidencial baixa renda – faixa 04Não se aplicaNão se aplicaIntermediário",Mercado_Receita!$L$2:$L$667)+SUMIF(Mercado_Receita!$S$2:$S$667,"44378B1ConvencionalResidencialResidencial baixa renda – faixa 04Não se aplicaNão se aplicaNão se aplica",Mercado_Receita!$L$2:$L$667)</f>
        <v>12.267000000000001</v>
      </c>
      <c r="J24" s="13">
        <f>SUMIF(Mercado_Receita!$S$2:$S$667,"44409B1ConvencionalResidencialResidencial baixa renda – faixa 04Não se aplicaNão se aplicaPonta",Mercado_Receita!$L$2:$L$667)+SUMIF(Mercado_Receita!$S$2:$S$667,"44409B1ConvencionalResidencialResidencial baixa renda – faixa 04Não se aplicaNão se aplicaFora ponta",Mercado_Receita!$L$2:$L$667)+SUMIF(Mercado_Receita!$S$2:$S$667,"44409B1ConvencionalResidencialResidencial baixa renda – faixa 04Não se aplicaNão se aplicaIntermediário",Mercado_Receita!$L$2:$L$667)+SUMIF(Mercado_Receita!$S$2:$S$667,"44409B1ConvencionalResidencialResidencial baixa renda – faixa 04Não se aplicaNão se aplicaNão se aplica",Mercado_Receita!$L$2:$L$667)</f>
        <v>16.533000000000001</v>
      </c>
      <c r="K24" s="13">
        <f>SUMIF(Mercado_Receita!$S$2:$S$667,"44440B1ConvencionalResidencialResidencial baixa renda – faixa 04Não se aplicaNão se aplicaPonta",Mercado_Receita!$L$2:$L$667)+SUMIF(Mercado_Receita!$S$2:$S$667,"44440B1ConvencionalResidencialResidencial baixa renda – faixa 04Não se aplicaNão se aplicaFora ponta",Mercado_Receita!$L$2:$L$667)+SUMIF(Mercado_Receita!$S$2:$S$667,"44440B1ConvencionalResidencialResidencial baixa renda – faixa 04Não se aplicaNão se aplicaIntermediário",Mercado_Receita!$L$2:$L$667)+SUMIF(Mercado_Receita!$S$2:$S$667,"44440B1ConvencionalResidencialResidencial baixa renda – faixa 04Não se aplicaNão se aplicaNão se aplica",Mercado_Receita!$L$2:$L$667)</f>
        <v>14.256</v>
      </c>
      <c r="L24" s="13">
        <f>SUMIF(Mercado_Receita!$S$2:$S$667,"44470B1ConvencionalResidencialResidencial baixa renda – faixa 04Não se aplicaNão se aplicaPonta",Mercado_Receita!$L$2:$L$667)+SUMIF(Mercado_Receita!$S$2:$S$667,"44470B1ConvencionalResidencialResidencial baixa renda – faixa 04Não se aplicaNão se aplicaFora ponta",Mercado_Receita!$L$2:$L$667)+SUMIF(Mercado_Receita!$S$2:$S$667,"44470B1ConvencionalResidencialResidencial baixa renda – faixa 04Não se aplicaNão se aplicaIntermediário",Mercado_Receita!$L$2:$L$667)+SUMIF(Mercado_Receita!$S$2:$S$667,"44470B1ConvencionalResidencialResidencial baixa renda – faixa 04Não se aplicaNão se aplicaNão se aplica",Mercado_Receita!$L$2:$L$667)</f>
        <v>15.997999999999999</v>
      </c>
      <c r="M24" s="13">
        <f>SUMIF(Mercado_Receita!$S$2:$S$667,"44501B1ConvencionalResidencialResidencial baixa renda – faixa 04Não se aplicaNão se aplicaPonta",Mercado_Receita!$L$2:$L$667)+SUMIF(Mercado_Receita!$S$2:$S$667,"44501B1ConvencionalResidencialResidencial baixa renda – faixa 04Não se aplicaNão se aplicaFora ponta",Mercado_Receita!$L$2:$L$667)+SUMIF(Mercado_Receita!$S$2:$S$667,"44501B1ConvencionalResidencialResidencial baixa renda – faixa 04Não se aplicaNão se aplicaIntermediário",Mercado_Receita!$L$2:$L$667)+SUMIF(Mercado_Receita!$S$2:$S$667,"44501B1ConvencionalResidencialResidencial baixa renda – faixa 04Não se aplicaNão se aplicaNão se aplica",Mercado_Receita!$L$2:$L$667)</f>
        <v>22.010999999999999</v>
      </c>
      <c r="N24" s="13">
        <f>SUMIF(Mercado_Receita!$S$2:$S$667,"44531B1ConvencionalResidencialResidencial baixa renda – faixa 04Não se aplicaNão se aplicaPonta",Mercado_Receita!$L$2:$L$667)+SUMIF(Mercado_Receita!$S$2:$S$667,"44531B1ConvencionalResidencialResidencial baixa renda – faixa 04Não se aplicaNão se aplicaFora ponta",Mercado_Receita!$L$2:$L$667)+SUMIF(Mercado_Receita!$S$2:$S$667,"44531B1ConvencionalResidencialResidencial baixa renda – faixa 04Não se aplicaNão se aplicaIntermediário",Mercado_Receita!$L$2:$L$667)+SUMIF(Mercado_Receita!$S$2:$S$667,"44531B1ConvencionalResidencialResidencial baixa renda – faixa 04Não se aplicaNão se aplicaNão se aplica",Mercado_Receita!$L$2:$L$667)</f>
        <v>25.661000000000001</v>
      </c>
      <c r="O24" s="13">
        <f>SUMIF(Mercado_Receita!$S$2:$S$667,"44562B1ConvencionalResidencialResidencial baixa renda – faixa 04Não se aplicaNão se aplicaPonta",Mercado_Receita!$L$2:$L$667)+SUMIF(Mercado_Receita!$S$2:$S$667,"44562B1ConvencionalResidencialResidencial baixa renda – faixa 04Não se aplicaNão se aplicaFora ponta",Mercado_Receita!$L$2:$L$667)+SUMIF(Mercado_Receita!$S$2:$S$667,"44562B1ConvencionalResidencialResidencial baixa renda – faixa 04Não se aplicaNão se aplicaIntermediário",Mercado_Receita!$L$2:$L$667)+SUMIF(Mercado_Receita!$S$2:$S$667,"44562B1ConvencionalResidencialResidencial baixa renda – faixa 04Não se aplicaNão se aplicaNão se aplica",Mercado_Receita!$L$2:$L$667)</f>
        <v>47.341999999999999</v>
      </c>
      <c r="P24" s="13">
        <f>SUMIF(Mercado_Receita!$S$2:$S$667,"44593B1ConvencionalResidencialResidencial baixa renda – faixa 04Não se aplicaNão se aplicaPonta",Mercado_Receita!$L$2:$L$667)+SUMIF(Mercado_Receita!$S$2:$S$667,"44593B1ConvencionalResidencialResidencial baixa renda – faixa 04Não se aplicaNão se aplicaFora ponta",Mercado_Receita!$L$2:$L$667)+SUMIF(Mercado_Receita!$S$2:$S$667,"44593B1ConvencionalResidencialResidencial baixa renda – faixa 04Não se aplicaNão se aplicaIntermediário",Mercado_Receita!$L$2:$L$667)+SUMIF(Mercado_Receita!$S$2:$S$667,"44593B1ConvencionalResidencialResidencial baixa renda – faixa 04Não se aplicaNão se aplicaNão se aplica",Mercado_Receita!$L$2:$L$667)</f>
        <v>69.747</v>
      </c>
      <c r="Q24" s="13">
        <f>SUMIF(Mercado_Receita!$S$2:$S$667,"44621B1ConvencionalResidencialResidencial baixa renda – faixa 04Não se aplicaNão se aplicaPonta",Mercado_Receita!$L$2:$L$667)+SUMIF(Mercado_Receita!$S$2:$S$667,"44621B1ConvencionalResidencialResidencial baixa renda – faixa 04Não se aplicaNão se aplicaFora ponta",Mercado_Receita!$L$2:$L$667)+SUMIF(Mercado_Receita!$S$2:$S$667,"44621B1ConvencionalResidencialResidencial baixa renda – faixa 04Não se aplicaNão se aplicaIntermediário",Mercado_Receita!$L$2:$L$667)+SUMIF(Mercado_Receita!$S$2:$S$667,"44621B1ConvencionalResidencialResidencial baixa renda – faixa 04Não se aplicaNão se aplicaNão se aplica",Mercado_Receita!$L$2:$L$667)</f>
        <v>42.991</v>
      </c>
      <c r="R24" s="13">
        <f>SUMIF(Mercado_Receita!$S$2:$S$667,"44652B1ConvencionalResidencialResidencial baixa renda – faixa 04Não se aplicaNão se aplicaPonta",Mercado_Receita!$L$2:$L$667)+SUMIF(Mercado_Receita!$S$2:$S$667,"44652B1ConvencionalResidencialResidencial baixa renda – faixa 04Não se aplicaNão se aplicaFora ponta",Mercado_Receita!$L$2:$L$667)+SUMIF(Mercado_Receita!$S$2:$S$667,"44652B1ConvencionalResidencialResidencial baixa renda – faixa 04Não se aplicaNão se aplicaIntermediário",Mercado_Receita!$L$2:$L$667)+SUMIF(Mercado_Receita!$S$2:$S$667,"44652B1ConvencionalResidencialResidencial baixa renda – faixa 04Não se aplicaNão se aplicaNão se aplica",Mercado_Receita!$L$2:$L$667)</f>
        <v>17.241</v>
      </c>
      <c r="S24" s="13">
        <f>SUMIF(Mercado_Receita!$S$2:$S$667,"44682B1ConvencionalResidencialResidencial baixa renda – faixa 04Não se aplicaNão se aplicaPonta",Mercado_Receita!$L$2:$L$667)+SUMIF(Mercado_Receita!$S$2:$S$667,"44682B1ConvencionalResidencialResidencial baixa renda – faixa 04Não se aplicaNão se aplicaFora ponta",Mercado_Receita!$L$2:$L$667)+SUMIF(Mercado_Receita!$S$2:$S$667,"44682B1ConvencionalResidencialResidencial baixa renda – faixa 04Não se aplicaNão se aplicaIntermediário",Mercado_Receita!$L$2:$L$667)+SUMIF(Mercado_Receita!$S$2:$S$667,"44682B1ConvencionalResidencialResidencial baixa renda – faixa 04Não se aplicaNão se aplicaNão se aplica",Mercado_Receita!$L$2:$L$667)</f>
        <v>22.236000000000001</v>
      </c>
      <c r="T24" s="13">
        <f>SUMIF(Mercado_Receita!$S$2:$S$667,"44713B1ConvencionalResidencialResidencial baixa renda – faixa 04Não se aplicaNão se aplicaPonta",Mercado_Receita!$L$2:$L$667)+SUMIF(Mercado_Receita!$S$2:$S$667,"44713B1ConvencionalResidencialResidencial baixa renda – faixa 04Não se aplicaNão se aplicaFora ponta",Mercado_Receita!$L$2:$L$667)+SUMIF(Mercado_Receita!$S$2:$S$667,"44713B1ConvencionalResidencialResidencial baixa renda – faixa 04Não se aplicaNão se aplicaIntermediário",Mercado_Receita!$L$2:$L$667)+SUMIF(Mercado_Receita!$S$2:$S$667,"44713B1ConvencionalResidencialResidencial baixa renda – faixa 04Não se aplicaNão se aplicaNão se aplica",Mercado_Receita!$L$2:$L$667)</f>
        <v>25.146999999999998</v>
      </c>
      <c r="U24" s="13">
        <f t="shared" si="0"/>
        <v>331.42999999999995</v>
      </c>
      <c r="V24" s="13"/>
      <c r="W24" s="13"/>
    </row>
    <row r="25" spans="1:23" ht="11.25" customHeight="1" x14ac:dyDescent="0.3">
      <c r="A25" s="118"/>
      <c r="B25" s="117" t="s">
        <v>95</v>
      </c>
      <c r="C25" s="117" t="s">
        <v>24</v>
      </c>
      <c r="D25" s="12" t="s">
        <v>24</v>
      </c>
      <c r="E25" s="12" t="s">
        <v>25</v>
      </c>
      <c r="F25" s="12" t="s">
        <v>25</v>
      </c>
      <c r="G25" s="13" t="s">
        <v>81</v>
      </c>
      <c r="H25" s="13" t="s">
        <v>76</v>
      </c>
      <c r="I25" s="13">
        <f>SUMIF(Mercado_Receita!$S$2:$S$667,"44378B1Convencional pré-pagamentoResidencialResidencialNão se aplicaNão se aplicaPonta",Mercado_Receita!$L$2:$L$667)+SUMIF(Mercado_Receita!$S$2:$S$667,"44378B1Convencional pré-pagamentoResidencialResidencialNão se aplicaNão se aplicaFora ponta",Mercado_Receita!$L$2:$L$667)+SUMIF(Mercado_Receita!$S$2:$S$667,"44378B1Convencional pré-pagamentoResidencialResidencialNão se aplicaNão se aplicaIntermediário",Mercado_Receita!$L$2:$L$667)+SUMIF(Mercado_Receita!$S$2:$S$667,"44378B1Convencional pré-pagamentoResidencialResidencialNão se aplicaNão se aplicaNão se aplica",Mercado_Receita!$L$2:$L$667)</f>
        <v>0</v>
      </c>
      <c r="J25" s="13">
        <f>SUMIF(Mercado_Receita!$S$2:$S$667,"44409B1Convencional pré-pagamentoResidencialResidencialNão se aplicaNão se aplicaPonta",Mercado_Receita!$L$2:$L$667)+SUMIF(Mercado_Receita!$S$2:$S$667,"44409B1Convencional pré-pagamentoResidencialResidencialNão se aplicaNão se aplicaFora ponta",Mercado_Receita!$L$2:$L$667)+SUMIF(Mercado_Receita!$S$2:$S$667,"44409B1Convencional pré-pagamentoResidencialResidencialNão se aplicaNão se aplicaIntermediário",Mercado_Receita!$L$2:$L$667)+SUMIF(Mercado_Receita!$S$2:$S$667,"44409B1Convencional pré-pagamentoResidencialResidencialNão se aplicaNão se aplicaNão se aplica",Mercado_Receita!$L$2:$L$667)</f>
        <v>0</v>
      </c>
      <c r="K25" s="13">
        <f>SUMIF(Mercado_Receita!$S$2:$S$667,"44440B1Convencional pré-pagamentoResidencialResidencialNão se aplicaNão se aplicaPonta",Mercado_Receita!$L$2:$L$667)+SUMIF(Mercado_Receita!$S$2:$S$667,"44440B1Convencional pré-pagamentoResidencialResidencialNão se aplicaNão se aplicaFora ponta",Mercado_Receita!$L$2:$L$667)+SUMIF(Mercado_Receita!$S$2:$S$667,"44440B1Convencional pré-pagamentoResidencialResidencialNão se aplicaNão se aplicaIntermediário",Mercado_Receita!$L$2:$L$667)+SUMIF(Mercado_Receita!$S$2:$S$667,"44440B1Convencional pré-pagamentoResidencialResidencialNão se aplicaNão se aplicaNão se aplica",Mercado_Receita!$L$2:$L$667)</f>
        <v>0</v>
      </c>
      <c r="L25" s="13">
        <f>SUMIF(Mercado_Receita!$S$2:$S$667,"44470B1Convencional pré-pagamentoResidencialResidencialNão se aplicaNão se aplicaPonta",Mercado_Receita!$L$2:$L$667)+SUMIF(Mercado_Receita!$S$2:$S$667,"44470B1Convencional pré-pagamentoResidencialResidencialNão se aplicaNão se aplicaFora ponta",Mercado_Receita!$L$2:$L$667)+SUMIF(Mercado_Receita!$S$2:$S$667,"44470B1Convencional pré-pagamentoResidencialResidencialNão se aplicaNão se aplicaIntermediário",Mercado_Receita!$L$2:$L$667)+SUMIF(Mercado_Receita!$S$2:$S$667,"44470B1Convencional pré-pagamentoResidencialResidencialNão se aplicaNão se aplicaNão se aplica",Mercado_Receita!$L$2:$L$667)</f>
        <v>0</v>
      </c>
      <c r="M25" s="13">
        <f>SUMIF(Mercado_Receita!$S$2:$S$667,"44501B1Convencional pré-pagamentoResidencialResidencialNão se aplicaNão se aplicaPonta",Mercado_Receita!$L$2:$L$667)+SUMIF(Mercado_Receita!$S$2:$S$667,"44501B1Convencional pré-pagamentoResidencialResidencialNão se aplicaNão se aplicaFora ponta",Mercado_Receita!$L$2:$L$667)+SUMIF(Mercado_Receita!$S$2:$S$667,"44501B1Convencional pré-pagamentoResidencialResidencialNão se aplicaNão se aplicaIntermediário",Mercado_Receita!$L$2:$L$667)+SUMIF(Mercado_Receita!$S$2:$S$667,"44501B1Convencional pré-pagamentoResidencialResidencialNão se aplicaNão se aplicaNão se aplica",Mercado_Receita!$L$2:$L$667)</f>
        <v>0</v>
      </c>
      <c r="N25" s="13">
        <f>SUMIF(Mercado_Receita!$S$2:$S$667,"44531B1Convencional pré-pagamentoResidencialResidencialNão se aplicaNão se aplicaPonta",Mercado_Receita!$L$2:$L$667)+SUMIF(Mercado_Receita!$S$2:$S$667,"44531B1Convencional pré-pagamentoResidencialResidencialNão se aplicaNão se aplicaFora ponta",Mercado_Receita!$L$2:$L$667)+SUMIF(Mercado_Receita!$S$2:$S$667,"44531B1Convencional pré-pagamentoResidencialResidencialNão se aplicaNão se aplicaIntermediário",Mercado_Receita!$L$2:$L$667)+SUMIF(Mercado_Receita!$S$2:$S$667,"44531B1Convencional pré-pagamentoResidencialResidencialNão se aplicaNão se aplicaNão se aplica",Mercado_Receita!$L$2:$L$667)</f>
        <v>0</v>
      </c>
      <c r="O25" s="13">
        <f>SUMIF(Mercado_Receita!$S$2:$S$667,"44562B1Convencional pré-pagamentoResidencialResidencialNão se aplicaNão se aplicaPonta",Mercado_Receita!$L$2:$L$667)+SUMIF(Mercado_Receita!$S$2:$S$667,"44562B1Convencional pré-pagamentoResidencialResidencialNão se aplicaNão se aplicaFora ponta",Mercado_Receita!$L$2:$L$667)+SUMIF(Mercado_Receita!$S$2:$S$667,"44562B1Convencional pré-pagamentoResidencialResidencialNão se aplicaNão se aplicaIntermediário",Mercado_Receita!$L$2:$L$667)+SUMIF(Mercado_Receita!$S$2:$S$667,"44562B1Convencional pré-pagamentoResidencialResidencialNão se aplicaNão se aplicaNão se aplica",Mercado_Receita!$L$2:$L$667)</f>
        <v>0</v>
      </c>
      <c r="P25" s="13">
        <f>SUMIF(Mercado_Receita!$S$2:$S$667,"44593B1Convencional pré-pagamentoResidencialResidencialNão se aplicaNão se aplicaPonta",Mercado_Receita!$L$2:$L$667)+SUMIF(Mercado_Receita!$S$2:$S$667,"44593B1Convencional pré-pagamentoResidencialResidencialNão se aplicaNão se aplicaFora ponta",Mercado_Receita!$L$2:$L$667)+SUMIF(Mercado_Receita!$S$2:$S$667,"44593B1Convencional pré-pagamentoResidencialResidencialNão se aplicaNão se aplicaIntermediário",Mercado_Receita!$L$2:$L$667)+SUMIF(Mercado_Receita!$S$2:$S$667,"44593B1Convencional pré-pagamentoResidencialResidencialNão se aplicaNão se aplicaNão se aplica",Mercado_Receita!$L$2:$L$667)</f>
        <v>0</v>
      </c>
      <c r="Q25" s="13">
        <f>SUMIF(Mercado_Receita!$S$2:$S$667,"44621B1Convencional pré-pagamentoResidencialResidencialNão se aplicaNão se aplicaPonta",Mercado_Receita!$L$2:$L$667)+SUMIF(Mercado_Receita!$S$2:$S$667,"44621B1Convencional pré-pagamentoResidencialResidencialNão se aplicaNão se aplicaFora ponta",Mercado_Receita!$L$2:$L$667)+SUMIF(Mercado_Receita!$S$2:$S$667,"44621B1Convencional pré-pagamentoResidencialResidencialNão se aplicaNão se aplicaIntermediário",Mercado_Receita!$L$2:$L$667)+SUMIF(Mercado_Receita!$S$2:$S$667,"44621B1Convencional pré-pagamentoResidencialResidencialNão se aplicaNão se aplicaNão se aplica",Mercado_Receita!$L$2:$L$667)</f>
        <v>0</v>
      </c>
      <c r="R25" s="13">
        <f>SUMIF(Mercado_Receita!$S$2:$S$667,"44652B1Convencional pré-pagamentoResidencialResidencialNão se aplicaNão se aplicaPonta",Mercado_Receita!$L$2:$L$667)+SUMIF(Mercado_Receita!$S$2:$S$667,"44652B1Convencional pré-pagamentoResidencialResidencialNão se aplicaNão se aplicaFora ponta",Mercado_Receita!$L$2:$L$667)+SUMIF(Mercado_Receita!$S$2:$S$667,"44652B1Convencional pré-pagamentoResidencialResidencialNão se aplicaNão se aplicaIntermediário",Mercado_Receita!$L$2:$L$667)+SUMIF(Mercado_Receita!$S$2:$S$667,"44652B1Convencional pré-pagamentoResidencialResidencialNão se aplicaNão se aplicaNão se aplica",Mercado_Receita!$L$2:$L$667)</f>
        <v>0</v>
      </c>
      <c r="S25" s="13">
        <f>SUMIF(Mercado_Receita!$S$2:$S$667,"44682B1Convencional pré-pagamentoResidencialResidencialNão se aplicaNão se aplicaPonta",Mercado_Receita!$L$2:$L$667)+SUMIF(Mercado_Receita!$S$2:$S$667,"44682B1Convencional pré-pagamentoResidencialResidencialNão se aplicaNão se aplicaFora ponta",Mercado_Receita!$L$2:$L$667)+SUMIF(Mercado_Receita!$S$2:$S$667,"44682B1Convencional pré-pagamentoResidencialResidencialNão se aplicaNão se aplicaIntermediário",Mercado_Receita!$L$2:$L$667)+SUMIF(Mercado_Receita!$S$2:$S$667,"44682B1Convencional pré-pagamentoResidencialResidencialNão se aplicaNão se aplicaNão se aplica",Mercado_Receita!$L$2:$L$667)</f>
        <v>0</v>
      </c>
      <c r="T25" s="13">
        <f>SUMIF(Mercado_Receita!$S$2:$S$667,"44713B1Convencional pré-pagamentoResidencialResidencialNão se aplicaNão se aplicaPonta",Mercado_Receita!$L$2:$L$667)+SUMIF(Mercado_Receita!$S$2:$S$667,"44713B1Convencional pré-pagamentoResidencialResidencialNão se aplicaNão se aplicaFora ponta",Mercado_Receita!$L$2:$L$667)+SUMIF(Mercado_Receita!$S$2:$S$667,"44713B1Convencional pré-pagamentoResidencialResidencialNão se aplicaNão se aplicaIntermediário",Mercado_Receita!$L$2:$L$667)+SUMIF(Mercado_Receita!$S$2:$S$667,"44713B1Convencional pré-pagamentoResidencialResidencialNão se aplicaNão se aplicaNão se aplica",Mercado_Receita!$L$2:$L$667)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18"/>
      <c r="B26" s="118"/>
      <c r="C26" s="118"/>
      <c r="D26" s="12" t="s">
        <v>29</v>
      </c>
      <c r="E26" s="12" t="s">
        <v>25</v>
      </c>
      <c r="F26" s="12" t="s">
        <v>25</v>
      </c>
      <c r="G26" s="13" t="s">
        <v>81</v>
      </c>
      <c r="H26" s="13" t="s">
        <v>76</v>
      </c>
      <c r="I26" s="13">
        <f>SUMIF(Mercado_Receita!$S$2:$S$667,"44378B1Convencional pré-pagamentoResidencialResidencial baixa renda – faixa 01Não se aplicaNão se aplicaPonta",Mercado_Receita!$L$2:$L$667)+SUMIF(Mercado_Receita!$S$2:$S$667,"44378B1Convencional pré-pagamentoResidencialResidencial baixa renda – faixa 01Não se aplicaNão se aplicaFora ponta",Mercado_Receita!$L$2:$L$667)+SUMIF(Mercado_Receita!$S$2:$S$667,"44378B1Convencional pré-pagamentoResidencialResidencial baixa renda – faixa 01Não se aplicaNão se aplicaIntermediário",Mercado_Receita!$L$2:$L$667)+SUMIF(Mercado_Receita!$S$2:$S$667,"44378B1Convencional pré-pagamentoResidencialResidencial baixa renda – faixa 01Não se aplicaNão se aplicaNão se aplica",Mercado_Receita!$L$2:$L$667)</f>
        <v>0</v>
      </c>
      <c r="J26" s="13">
        <f>SUMIF(Mercado_Receita!$S$2:$S$667,"44409B1Convencional pré-pagamentoResidencialResidencial baixa renda – faixa 01Não se aplicaNão se aplicaPonta",Mercado_Receita!$L$2:$L$667)+SUMIF(Mercado_Receita!$S$2:$S$667,"44409B1Convencional pré-pagamentoResidencialResidencial baixa renda – faixa 01Não se aplicaNão se aplicaFora ponta",Mercado_Receita!$L$2:$L$667)+SUMIF(Mercado_Receita!$S$2:$S$667,"44409B1Convencional pré-pagamentoResidencialResidencial baixa renda – faixa 01Não se aplicaNão se aplicaIntermediário",Mercado_Receita!$L$2:$L$667)+SUMIF(Mercado_Receita!$S$2:$S$667,"44409B1Convencional pré-pagamentoResidencialResidencial baixa renda – faixa 01Não se aplicaNão se aplicaNão se aplica",Mercado_Receita!$L$2:$L$667)</f>
        <v>0</v>
      </c>
      <c r="K26" s="13">
        <f>SUMIF(Mercado_Receita!$S$2:$S$667,"44440B1Convencional pré-pagamentoResidencialResidencial baixa renda – faixa 01Não se aplicaNão se aplicaPonta",Mercado_Receita!$L$2:$L$667)+SUMIF(Mercado_Receita!$S$2:$S$667,"44440B1Convencional pré-pagamentoResidencialResidencial baixa renda – faixa 01Não se aplicaNão se aplicaFora ponta",Mercado_Receita!$L$2:$L$667)+SUMIF(Mercado_Receita!$S$2:$S$667,"44440B1Convencional pré-pagamentoResidencialResidencial baixa renda – faixa 01Não se aplicaNão se aplicaIntermediário",Mercado_Receita!$L$2:$L$667)+SUMIF(Mercado_Receita!$S$2:$S$667,"44440B1Convencional pré-pagamentoResidencialResidencial baixa renda – faixa 01Não se aplicaNão se aplicaNão se aplica",Mercado_Receita!$L$2:$L$667)</f>
        <v>0</v>
      </c>
      <c r="L26" s="13">
        <f>SUMIF(Mercado_Receita!$S$2:$S$667,"44470B1Convencional pré-pagamentoResidencialResidencial baixa renda – faixa 01Não se aplicaNão se aplicaPonta",Mercado_Receita!$L$2:$L$667)+SUMIF(Mercado_Receita!$S$2:$S$667,"44470B1Convencional pré-pagamentoResidencialResidencial baixa renda – faixa 01Não se aplicaNão se aplicaFora ponta",Mercado_Receita!$L$2:$L$667)+SUMIF(Mercado_Receita!$S$2:$S$667,"44470B1Convencional pré-pagamentoResidencialResidencial baixa renda – faixa 01Não se aplicaNão se aplicaIntermediário",Mercado_Receita!$L$2:$L$667)+SUMIF(Mercado_Receita!$S$2:$S$667,"44470B1Convencional pré-pagamentoResidencialResidencial baixa renda – faixa 01Não se aplicaNão se aplicaNão se aplica",Mercado_Receita!$L$2:$L$667)</f>
        <v>0</v>
      </c>
      <c r="M26" s="13">
        <f>SUMIF(Mercado_Receita!$S$2:$S$667,"44501B1Convencional pré-pagamentoResidencialResidencial baixa renda – faixa 01Não se aplicaNão se aplicaPonta",Mercado_Receita!$L$2:$L$667)+SUMIF(Mercado_Receita!$S$2:$S$667,"44501B1Convencional pré-pagamentoResidencialResidencial baixa renda – faixa 01Não se aplicaNão se aplicaFora ponta",Mercado_Receita!$L$2:$L$667)+SUMIF(Mercado_Receita!$S$2:$S$667,"44501B1Convencional pré-pagamentoResidencialResidencial baixa renda – faixa 01Não se aplicaNão se aplicaIntermediário",Mercado_Receita!$L$2:$L$667)+SUMIF(Mercado_Receita!$S$2:$S$667,"44501B1Convencional pré-pagamentoResidencialResidencial baixa renda – faixa 01Não se aplicaNão se aplicaNão se aplica",Mercado_Receita!$L$2:$L$667)</f>
        <v>0</v>
      </c>
      <c r="N26" s="13">
        <f>SUMIF(Mercado_Receita!$S$2:$S$667,"44531B1Convencional pré-pagamentoResidencialResidencial baixa renda – faixa 01Não se aplicaNão se aplicaPonta",Mercado_Receita!$L$2:$L$667)+SUMIF(Mercado_Receita!$S$2:$S$667,"44531B1Convencional pré-pagamentoResidencialResidencial baixa renda – faixa 01Não se aplicaNão se aplicaFora ponta",Mercado_Receita!$L$2:$L$667)+SUMIF(Mercado_Receita!$S$2:$S$667,"44531B1Convencional pré-pagamentoResidencialResidencial baixa renda – faixa 01Não se aplicaNão se aplicaIntermediário",Mercado_Receita!$L$2:$L$667)+SUMIF(Mercado_Receita!$S$2:$S$667,"44531B1Convencional pré-pagamentoResidencialResidencial baixa renda – faixa 01Não se aplicaNão se aplicaNão se aplica",Mercado_Receita!$L$2:$L$667)</f>
        <v>0</v>
      </c>
      <c r="O26" s="13">
        <f>SUMIF(Mercado_Receita!$S$2:$S$667,"44562B1Convencional pré-pagamentoResidencialResidencial baixa renda – faixa 01Não se aplicaNão se aplicaPonta",Mercado_Receita!$L$2:$L$667)+SUMIF(Mercado_Receita!$S$2:$S$667,"44562B1Convencional pré-pagamentoResidencialResidencial baixa renda – faixa 01Não se aplicaNão se aplicaFora ponta",Mercado_Receita!$L$2:$L$667)+SUMIF(Mercado_Receita!$S$2:$S$667,"44562B1Convencional pré-pagamentoResidencialResidencial baixa renda – faixa 01Não se aplicaNão se aplicaIntermediário",Mercado_Receita!$L$2:$L$667)+SUMIF(Mercado_Receita!$S$2:$S$667,"44562B1Convencional pré-pagamentoResidencialResidencial baixa renda – faixa 01Não se aplicaNão se aplicaNão se aplica",Mercado_Receita!$L$2:$L$667)</f>
        <v>0</v>
      </c>
      <c r="P26" s="13">
        <f>SUMIF(Mercado_Receita!$S$2:$S$667,"44593B1Convencional pré-pagamentoResidencialResidencial baixa renda – faixa 01Não se aplicaNão se aplicaPonta",Mercado_Receita!$L$2:$L$667)+SUMIF(Mercado_Receita!$S$2:$S$667,"44593B1Convencional pré-pagamentoResidencialResidencial baixa renda – faixa 01Não se aplicaNão se aplicaFora ponta",Mercado_Receita!$L$2:$L$667)+SUMIF(Mercado_Receita!$S$2:$S$667,"44593B1Convencional pré-pagamentoResidencialResidencial baixa renda – faixa 01Não se aplicaNão se aplicaIntermediário",Mercado_Receita!$L$2:$L$667)+SUMIF(Mercado_Receita!$S$2:$S$667,"44593B1Convencional pré-pagamentoResidencialResidencial baixa renda – faixa 01Não se aplicaNão se aplicaNão se aplica",Mercado_Receita!$L$2:$L$667)</f>
        <v>0</v>
      </c>
      <c r="Q26" s="13">
        <f>SUMIF(Mercado_Receita!$S$2:$S$667,"44621B1Convencional pré-pagamentoResidencialResidencial baixa renda – faixa 01Não se aplicaNão se aplicaPonta",Mercado_Receita!$L$2:$L$667)+SUMIF(Mercado_Receita!$S$2:$S$667,"44621B1Convencional pré-pagamentoResidencialResidencial baixa renda – faixa 01Não se aplicaNão se aplicaFora ponta",Mercado_Receita!$L$2:$L$667)+SUMIF(Mercado_Receita!$S$2:$S$667,"44621B1Convencional pré-pagamentoResidencialResidencial baixa renda – faixa 01Não se aplicaNão se aplicaIntermediário",Mercado_Receita!$L$2:$L$667)+SUMIF(Mercado_Receita!$S$2:$S$667,"44621B1Convencional pré-pagamentoResidencialResidencial baixa renda – faixa 01Não se aplicaNão se aplicaNão se aplica",Mercado_Receita!$L$2:$L$667)</f>
        <v>0</v>
      </c>
      <c r="R26" s="13">
        <f>SUMIF(Mercado_Receita!$S$2:$S$667,"44652B1Convencional pré-pagamentoResidencialResidencial baixa renda – faixa 01Não se aplicaNão se aplicaPonta",Mercado_Receita!$L$2:$L$667)+SUMIF(Mercado_Receita!$S$2:$S$667,"44652B1Convencional pré-pagamentoResidencialResidencial baixa renda – faixa 01Não se aplicaNão se aplicaFora ponta",Mercado_Receita!$L$2:$L$667)+SUMIF(Mercado_Receita!$S$2:$S$667,"44652B1Convencional pré-pagamentoResidencialResidencial baixa renda – faixa 01Não se aplicaNão se aplicaIntermediário",Mercado_Receita!$L$2:$L$667)+SUMIF(Mercado_Receita!$S$2:$S$667,"44652B1Convencional pré-pagamentoResidencialResidencial baixa renda – faixa 01Não se aplicaNão se aplicaNão se aplica",Mercado_Receita!$L$2:$L$667)</f>
        <v>0</v>
      </c>
      <c r="S26" s="13">
        <f>SUMIF(Mercado_Receita!$S$2:$S$667,"44682B1Convencional pré-pagamentoResidencialResidencial baixa renda – faixa 01Não se aplicaNão se aplicaPonta",Mercado_Receita!$L$2:$L$667)+SUMIF(Mercado_Receita!$S$2:$S$667,"44682B1Convencional pré-pagamentoResidencialResidencial baixa renda – faixa 01Não se aplicaNão se aplicaFora ponta",Mercado_Receita!$L$2:$L$667)+SUMIF(Mercado_Receita!$S$2:$S$667,"44682B1Convencional pré-pagamentoResidencialResidencial baixa renda – faixa 01Não se aplicaNão se aplicaIntermediário",Mercado_Receita!$L$2:$L$667)+SUMIF(Mercado_Receita!$S$2:$S$667,"44682B1Convencional pré-pagamentoResidencialResidencial baixa renda – faixa 01Não se aplicaNão se aplicaNão se aplica",Mercado_Receita!$L$2:$L$667)</f>
        <v>0</v>
      </c>
      <c r="T26" s="13">
        <f>SUMIF(Mercado_Receita!$S$2:$S$667,"44713B1Convencional pré-pagamentoResidencialResidencial baixa renda – faixa 01Não se aplicaNão se aplicaPonta",Mercado_Receita!$L$2:$L$667)+SUMIF(Mercado_Receita!$S$2:$S$667,"44713B1Convencional pré-pagamentoResidencialResidencial baixa renda – faixa 01Não se aplicaNão se aplicaFora ponta",Mercado_Receita!$L$2:$L$667)+SUMIF(Mercado_Receita!$S$2:$S$667,"44713B1Convencional pré-pagamentoResidencialResidencial baixa renda – faixa 01Não se aplicaNão se aplicaIntermediário",Mercado_Receita!$L$2:$L$667)+SUMIF(Mercado_Receita!$S$2:$S$667,"44713B1Convencional pré-pagamentoResidencialResidencial baixa renda – faixa 01Não se aplicaNão se aplicaNão se aplica",Mercado_Receita!$L$2:$L$667)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18"/>
      <c r="B27" s="118"/>
      <c r="C27" s="118"/>
      <c r="D27" s="12" t="s">
        <v>30</v>
      </c>
      <c r="E27" s="12" t="s">
        <v>25</v>
      </c>
      <c r="F27" s="12" t="s">
        <v>25</v>
      </c>
      <c r="G27" s="13" t="s">
        <v>81</v>
      </c>
      <c r="H27" s="13" t="s">
        <v>76</v>
      </c>
      <c r="I27" s="13">
        <f>SUMIF(Mercado_Receita!$S$2:$S$667,"44378B1Convencional pré-pagamentoResidencialResidencial baixa renda – faixa 02Não se aplicaNão se aplicaPonta",Mercado_Receita!$L$2:$L$667)+SUMIF(Mercado_Receita!$S$2:$S$667,"44378B1Convencional pré-pagamentoResidencialResidencial baixa renda – faixa 02Não se aplicaNão se aplicaFora ponta",Mercado_Receita!$L$2:$L$667)+SUMIF(Mercado_Receita!$S$2:$S$667,"44378B1Convencional pré-pagamentoResidencialResidencial baixa renda – faixa 02Não se aplicaNão se aplicaIntermediário",Mercado_Receita!$L$2:$L$667)+SUMIF(Mercado_Receita!$S$2:$S$667,"44378B1Convencional pré-pagamentoResidencialResidencial baixa renda – faixa 02Não se aplicaNão se aplicaNão se aplica",Mercado_Receita!$L$2:$L$667)</f>
        <v>0</v>
      </c>
      <c r="J27" s="13">
        <f>SUMIF(Mercado_Receita!$S$2:$S$667,"44409B1Convencional pré-pagamentoResidencialResidencial baixa renda – faixa 02Não se aplicaNão se aplicaPonta",Mercado_Receita!$L$2:$L$667)+SUMIF(Mercado_Receita!$S$2:$S$667,"44409B1Convencional pré-pagamentoResidencialResidencial baixa renda – faixa 02Não se aplicaNão se aplicaFora ponta",Mercado_Receita!$L$2:$L$667)+SUMIF(Mercado_Receita!$S$2:$S$667,"44409B1Convencional pré-pagamentoResidencialResidencial baixa renda – faixa 02Não se aplicaNão se aplicaIntermediário",Mercado_Receita!$L$2:$L$667)+SUMIF(Mercado_Receita!$S$2:$S$667,"44409B1Convencional pré-pagamentoResidencialResidencial baixa renda – faixa 02Não se aplicaNão se aplicaNão se aplica",Mercado_Receita!$L$2:$L$667)</f>
        <v>0</v>
      </c>
      <c r="K27" s="13">
        <f>SUMIF(Mercado_Receita!$S$2:$S$667,"44440B1Convencional pré-pagamentoResidencialResidencial baixa renda – faixa 02Não se aplicaNão se aplicaPonta",Mercado_Receita!$L$2:$L$667)+SUMIF(Mercado_Receita!$S$2:$S$667,"44440B1Convencional pré-pagamentoResidencialResidencial baixa renda – faixa 02Não se aplicaNão se aplicaFora ponta",Mercado_Receita!$L$2:$L$667)+SUMIF(Mercado_Receita!$S$2:$S$667,"44440B1Convencional pré-pagamentoResidencialResidencial baixa renda – faixa 02Não se aplicaNão se aplicaIntermediário",Mercado_Receita!$L$2:$L$667)+SUMIF(Mercado_Receita!$S$2:$S$667,"44440B1Convencional pré-pagamentoResidencialResidencial baixa renda – faixa 02Não se aplicaNão se aplicaNão se aplica",Mercado_Receita!$L$2:$L$667)</f>
        <v>0</v>
      </c>
      <c r="L27" s="13">
        <f>SUMIF(Mercado_Receita!$S$2:$S$667,"44470B1Convencional pré-pagamentoResidencialResidencial baixa renda – faixa 02Não se aplicaNão se aplicaPonta",Mercado_Receita!$L$2:$L$667)+SUMIF(Mercado_Receita!$S$2:$S$667,"44470B1Convencional pré-pagamentoResidencialResidencial baixa renda – faixa 02Não se aplicaNão se aplicaFora ponta",Mercado_Receita!$L$2:$L$667)+SUMIF(Mercado_Receita!$S$2:$S$667,"44470B1Convencional pré-pagamentoResidencialResidencial baixa renda – faixa 02Não se aplicaNão se aplicaIntermediário",Mercado_Receita!$L$2:$L$667)+SUMIF(Mercado_Receita!$S$2:$S$667,"44470B1Convencional pré-pagamentoResidencialResidencial baixa renda – faixa 02Não se aplicaNão se aplicaNão se aplica",Mercado_Receita!$L$2:$L$667)</f>
        <v>0</v>
      </c>
      <c r="M27" s="13">
        <f>SUMIF(Mercado_Receita!$S$2:$S$667,"44501B1Convencional pré-pagamentoResidencialResidencial baixa renda – faixa 02Não se aplicaNão se aplicaPonta",Mercado_Receita!$L$2:$L$667)+SUMIF(Mercado_Receita!$S$2:$S$667,"44501B1Convencional pré-pagamentoResidencialResidencial baixa renda – faixa 02Não se aplicaNão se aplicaFora ponta",Mercado_Receita!$L$2:$L$667)+SUMIF(Mercado_Receita!$S$2:$S$667,"44501B1Convencional pré-pagamentoResidencialResidencial baixa renda – faixa 02Não se aplicaNão se aplicaIntermediário",Mercado_Receita!$L$2:$L$667)+SUMIF(Mercado_Receita!$S$2:$S$667,"44501B1Convencional pré-pagamentoResidencialResidencial baixa renda – faixa 02Não se aplicaNão se aplicaNão se aplica",Mercado_Receita!$L$2:$L$667)</f>
        <v>0</v>
      </c>
      <c r="N27" s="13">
        <f>SUMIF(Mercado_Receita!$S$2:$S$667,"44531B1Convencional pré-pagamentoResidencialResidencial baixa renda – faixa 02Não se aplicaNão se aplicaPonta",Mercado_Receita!$L$2:$L$667)+SUMIF(Mercado_Receita!$S$2:$S$667,"44531B1Convencional pré-pagamentoResidencialResidencial baixa renda – faixa 02Não se aplicaNão se aplicaFora ponta",Mercado_Receita!$L$2:$L$667)+SUMIF(Mercado_Receita!$S$2:$S$667,"44531B1Convencional pré-pagamentoResidencialResidencial baixa renda – faixa 02Não se aplicaNão se aplicaIntermediário",Mercado_Receita!$L$2:$L$667)+SUMIF(Mercado_Receita!$S$2:$S$667,"44531B1Convencional pré-pagamentoResidencialResidencial baixa renda – faixa 02Não se aplicaNão se aplicaNão se aplica",Mercado_Receita!$L$2:$L$667)</f>
        <v>0</v>
      </c>
      <c r="O27" s="13">
        <f>SUMIF(Mercado_Receita!$S$2:$S$667,"44562B1Convencional pré-pagamentoResidencialResidencial baixa renda – faixa 02Não se aplicaNão se aplicaPonta",Mercado_Receita!$L$2:$L$667)+SUMIF(Mercado_Receita!$S$2:$S$667,"44562B1Convencional pré-pagamentoResidencialResidencial baixa renda – faixa 02Não se aplicaNão se aplicaFora ponta",Mercado_Receita!$L$2:$L$667)+SUMIF(Mercado_Receita!$S$2:$S$667,"44562B1Convencional pré-pagamentoResidencialResidencial baixa renda – faixa 02Não se aplicaNão se aplicaIntermediário",Mercado_Receita!$L$2:$L$667)+SUMIF(Mercado_Receita!$S$2:$S$667,"44562B1Convencional pré-pagamentoResidencialResidencial baixa renda – faixa 02Não se aplicaNão se aplicaNão se aplica",Mercado_Receita!$L$2:$L$667)</f>
        <v>0</v>
      </c>
      <c r="P27" s="13">
        <f>SUMIF(Mercado_Receita!$S$2:$S$667,"44593B1Convencional pré-pagamentoResidencialResidencial baixa renda – faixa 02Não se aplicaNão se aplicaPonta",Mercado_Receita!$L$2:$L$667)+SUMIF(Mercado_Receita!$S$2:$S$667,"44593B1Convencional pré-pagamentoResidencialResidencial baixa renda – faixa 02Não se aplicaNão se aplicaFora ponta",Mercado_Receita!$L$2:$L$667)+SUMIF(Mercado_Receita!$S$2:$S$667,"44593B1Convencional pré-pagamentoResidencialResidencial baixa renda – faixa 02Não se aplicaNão se aplicaIntermediário",Mercado_Receita!$L$2:$L$667)+SUMIF(Mercado_Receita!$S$2:$S$667,"44593B1Convencional pré-pagamentoResidencialResidencial baixa renda – faixa 02Não se aplicaNão se aplicaNão se aplica",Mercado_Receita!$L$2:$L$667)</f>
        <v>0</v>
      </c>
      <c r="Q27" s="13">
        <f>SUMIF(Mercado_Receita!$S$2:$S$667,"44621B1Convencional pré-pagamentoResidencialResidencial baixa renda – faixa 02Não se aplicaNão se aplicaPonta",Mercado_Receita!$L$2:$L$667)+SUMIF(Mercado_Receita!$S$2:$S$667,"44621B1Convencional pré-pagamentoResidencialResidencial baixa renda – faixa 02Não se aplicaNão se aplicaFora ponta",Mercado_Receita!$L$2:$L$667)+SUMIF(Mercado_Receita!$S$2:$S$667,"44621B1Convencional pré-pagamentoResidencialResidencial baixa renda – faixa 02Não se aplicaNão se aplicaIntermediário",Mercado_Receita!$L$2:$L$667)+SUMIF(Mercado_Receita!$S$2:$S$667,"44621B1Convencional pré-pagamentoResidencialResidencial baixa renda – faixa 02Não se aplicaNão se aplicaNão se aplica",Mercado_Receita!$L$2:$L$667)</f>
        <v>0</v>
      </c>
      <c r="R27" s="13">
        <f>SUMIF(Mercado_Receita!$S$2:$S$667,"44652B1Convencional pré-pagamentoResidencialResidencial baixa renda – faixa 02Não se aplicaNão se aplicaPonta",Mercado_Receita!$L$2:$L$667)+SUMIF(Mercado_Receita!$S$2:$S$667,"44652B1Convencional pré-pagamentoResidencialResidencial baixa renda – faixa 02Não se aplicaNão se aplicaFora ponta",Mercado_Receita!$L$2:$L$667)+SUMIF(Mercado_Receita!$S$2:$S$667,"44652B1Convencional pré-pagamentoResidencialResidencial baixa renda – faixa 02Não se aplicaNão se aplicaIntermediário",Mercado_Receita!$L$2:$L$667)+SUMIF(Mercado_Receita!$S$2:$S$667,"44652B1Convencional pré-pagamentoResidencialResidencial baixa renda – faixa 02Não se aplicaNão se aplicaNão se aplica",Mercado_Receita!$L$2:$L$667)</f>
        <v>0</v>
      </c>
      <c r="S27" s="13">
        <f>SUMIF(Mercado_Receita!$S$2:$S$667,"44682B1Convencional pré-pagamentoResidencialResidencial baixa renda – faixa 02Não se aplicaNão se aplicaPonta",Mercado_Receita!$L$2:$L$667)+SUMIF(Mercado_Receita!$S$2:$S$667,"44682B1Convencional pré-pagamentoResidencialResidencial baixa renda – faixa 02Não se aplicaNão se aplicaFora ponta",Mercado_Receita!$L$2:$L$667)+SUMIF(Mercado_Receita!$S$2:$S$667,"44682B1Convencional pré-pagamentoResidencialResidencial baixa renda – faixa 02Não se aplicaNão se aplicaIntermediário",Mercado_Receita!$L$2:$L$667)+SUMIF(Mercado_Receita!$S$2:$S$667,"44682B1Convencional pré-pagamentoResidencialResidencial baixa renda – faixa 02Não se aplicaNão se aplicaNão se aplica",Mercado_Receita!$L$2:$L$667)</f>
        <v>0</v>
      </c>
      <c r="T27" s="13">
        <f>SUMIF(Mercado_Receita!$S$2:$S$667,"44713B1Convencional pré-pagamentoResidencialResidencial baixa renda – faixa 02Não se aplicaNão se aplicaPonta",Mercado_Receita!$L$2:$L$667)+SUMIF(Mercado_Receita!$S$2:$S$667,"44713B1Convencional pré-pagamentoResidencialResidencial baixa renda – faixa 02Não se aplicaNão se aplicaFora ponta",Mercado_Receita!$L$2:$L$667)+SUMIF(Mercado_Receita!$S$2:$S$667,"44713B1Convencional pré-pagamentoResidencialResidencial baixa renda – faixa 02Não se aplicaNão se aplicaIntermediário",Mercado_Receita!$L$2:$L$667)+SUMIF(Mercado_Receita!$S$2:$S$667,"44713B1Convencional pré-pagamentoResidencialResidencial baixa renda – faixa 02Não se aplicaNão se aplicaNão se aplica",Mercado_Receita!$L$2:$L$667)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18"/>
      <c r="B28" s="118"/>
      <c r="C28" s="118"/>
      <c r="D28" s="12" t="s">
        <v>31</v>
      </c>
      <c r="E28" s="12" t="s">
        <v>25</v>
      </c>
      <c r="F28" s="12" t="s">
        <v>25</v>
      </c>
      <c r="G28" s="13" t="s">
        <v>81</v>
      </c>
      <c r="H28" s="13" t="s">
        <v>76</v>
      </c>
      <c r="I28" s="13">
        <f>SUMIF(Mercado_Receita!$S$2:$S$667,"44378B1Convencional pré-pagamentoResidencialResidencial baixa renda – faixa 03Não se aplicaNão se aplicaPonta",Mercado_Receita!$L$2:$L$667)+SUMIF(Mercado_Receita!$S$2:$S$667,"44378B1Convencional pré-pagamentoResidencialResidencial baixa renda – faixa 03Não se aplicaNão se aplicaFora ponta",Mercado_Receita!$L$2:$L$667)+SUMIF(Mercado_Receita!$S$2:$S$667,"44378B1Convencional pré-pagamentoResidencialResidencial baixa renda – faixa 03Não se aplicaNão se aplicaIntermediário",Mercado_Receita!$L$2:$L$667)+SUMIF(Mercado_Receita!$S$2:$S$667,"44378B1Convencional pré-pagamentoResidencialResidencial baixa renda – faixa 03Não se aplicaNão se aplicaNão se aplica",Mercado_Receita!$L$2:$L$667)</f>
        <v>0</v>
      </c>
      <c r="J28" s="13">
        <f>SUMIF(Mercado_Receita!$S$2:$S$667,"44409B1Convencional pré-pagamentoResidencialResidencial baixa renda – faixa 03Não se aplicaNão se aplicaPonta",Mercado_Receita!$L$2:$L$667)+SUMIF(Mercado_Receita!$S$2:$S$667,"44409B1Convencional pré-pagamentoResidencialResidencial baixa renda – faixa 03Não se aplicaNão se aplicaFora ponta",Mercado_Receita!$L$2:$L$667)+SUMIF(Mercado_Receita!$S$2:$S$667,"44409B1Convencional pré-pagamentoResidencialResidencial baixa renda – faixa 03Não se aplicaNão se aplicaIntermediário",Mercado_Receita!$L$2:$L$667)+SUMIF(Mercado_Receita!$S$2:$S$667,"44409B1Convencional pré-pagamentoResidencialResidencial baixa renda – faixa 03Não se aplicaNão se aplicaNão se aplica",Mercado_Receita!$L$2:$L$667)</f>
        <v>0</v>
      </c>
      <c r="K28" s="13">
        <f>SUMIF(Mercado_Receita!$S$2:$S$667,"44440B1Convencional pré-pagamentoResidencialResidencial baixa renda – faixa 03Não se aplicaNão se aplicaPonta",Mercado_Receita!$L$2:$L$667)+SUMIF(Mercado_Receita!$S$2:$S$667,"44440B1Convencional pré-pagamentoResidencialResidencial baixa renda – faixa 03Não se aplicaNão se aplicaFora ponta",Mercado_Receita!$L$2:$L$667)+SUMIF(Mercado_Receita!$S$2:$S$667,"44440B1Convencional pré-pagamentoResidencialResidencial baixa renda – faixa 03Não se aplicaNão se aplicaIntermediário",Mercado_Receita!$L$2:$L$667)+SUMIF(Mercado_Receita!$S$2:$S$667,"44440B1Convencional pré-pagamentoResidencialResidencial baixa renda – faixa 03Não se aplicaNão se aplicaNão se aplica",Mercado_Receita!$L$2:$L$667)</f>
        <v>0</v>
      </c>
      <c r="L28" s="13">
        <f>SUMIF(Mercado_Receita!$S$2:$S$667,"44470B1Convencional pré-pagamentoResidencialResidencial baixa renda – faixa 03Não se aplicaNão se aplicaPonta",Mercado_Receita!$L$2:$L$667)+SUMIF(Mercado_Receita!$S$2:$S$667,"44470B1Convencional pré-pagamentoResidencialResidencial baixa renda – faixa 03Não se aplicaNão se aplicaFora ponta",Mercado_Receita!$L$2:$L$667)+SUMIF(Mercado_Receita!$S$2:$S$667,"44470B1Convencional pré-pagamentoResidencialResidencial baixa renda – faixa 03Não se aplicaNão se aplicaIntermediário",Mercado_Receita!$L$2:$L$667)+SUMIF(Mercado_Receita!$S$2:$S$667,"44470B1Convencional pré-pagamentoResidencialResidencial baixa renda – faixa 03Não se aplicaNão se aplicaNão se aplica",Mercado_Receita!$L$2:$L$667)</f>
        <v>0</v>
      </c>
      <c r="M28" s="13">
        <f>SUMIF(Mercado_Receita!$S$2:$S$667,"44501B1Convencional pré-pagamentoResidencialResidencial baixa renda – faixa 03Não se aplicaNão se aplicaPonta",Mercado_Receita!$L$2:$L$667)+SUMIF(Mercado_Receita!$S$2:$S$667,"44501B1Convencional pré-pagamentoResidencialResidencial baixa renda – faixa 03Não se aplicaNão se aplicaFora ponta",Mercado_Receita!$L$2:$L$667)+SUMIF(Mercado_Receita!$S$2:$S$667,"44501B1Convencional pré-pagamentoResidencialResidencial baixa renda – faixa 03Não se aplicaNão se aplicaIntermediário",Mercado_Receita!$L$2:$L$667)+SUMIF(Mercado_Receita!$S$2:$S$667,"44501B1Convencional pré-pagamentoResidencialResidencial baixa renda – faixa 03Não se aplicaNão se aplicaNão se aplica",Mercado_Receita!$L$2:$L$667)</f>
        <v>0</v>
      </c>
      <c r="N28" s="13">
        <f>SUMIF(Mercado_Receita!$S$2:$S$667,"44531B1Convencional pré-pagamentoResidencialResidencial baixa renda – faixa 03Não se aplicaNão se aplicaPonta",Mercado_Receita!$L$2:$L$667)+SUMIF(Mercado_Receita!$S$2:$S$667,"44531B1Convencional pré-pagamentoResidencialResidencial baixa renda – faixa 03Não se aplicaNão se aplicaFora ponta",Mercado_Receita!$L$2:$L$667)+SUMIF(Mercado_Receita!$S$2:$S$667,"44531B1Convencional pré-pagamentoResidencialResidencial baixa renda – faixa 03Não se aplicaNão se aplicaIntermediário",Mercado_Receita!$L$2:$L$667)+SUMIF(Mercado_Receita!$S$2:$S$667,"44531B1Convencional pré-pagamentoResidencialResidencial baixa renda – faixa 03Não se aplicaNão se aplicaNão se aplica",Mercado_Receita!$L$2:$L$667)</f>
        <v>0</v>
      </c>
      <c r="O28" s="13">
        <f>SUMIF(Mercado_Receita!$S$2:$S$667,"44562B1Convencional pré-pagamentoResidencialResidencial baixa renda – faixa 03Não se aplicaNão se aplicaPonta",Mercado_Receita!$L$2:$L$667)+SUMIF(Mercado_Receita!$S$2:$S$667,"44562B1Convencional pré-pagamentoResidencialResidencial baixa renda – faixa 03Não se aplicaNão se aplicaFora ponta",Mercado_Receita!$L$2:$L$667)+SUMIF(Mercado_Receita!$S$2:$S$667,"44562B1Convencional pré-pagamentoResidencialResidencial baixa renda – faixa 03Não se aplicaNão se aplicaIntermediário",Mercado_Receita!$L$2:$L$667)+SUMIF(Mercado_Receita!$S$2:$S$667,"44562B1Convencional pré-pagamentoResidencialResidencial baixa renda – faixa 03Não se aplicaNão se aplicaNão se aplica",Mercado_Receita!$L$2:$L$667)</f>
        <v>0</v>
      </c>
      <c r="P28" s="13">
        <f>SUMIF(Mercado_Receita!$S$2:$S$667,"44593B1Convencional pré-pagamentoResidencialResidencial baixa renda – faixa 03Não se aplicaNão se aplicaPonta",Mercado_Receita!$L$2:$L$667)+SUMIF(Mercado_Receita!$S$2:$S$667,"44593B1Convencional pré-pagamentoResidencialResidencial baixa renda – faixa 03Não se aplicaNão se aplicaFora ponta",Mercado_Receita!$L$2:$L$667)+SUMIF(Mercado_Receita!$S$2:$S$667,"44593B1Convencional pré-pagamentoResidencialResidencial baixa renda – faixa 03Não se aplicaNão se aplicaIntermediário",Mercado_Receita!$L$2:$L$667)+SUMIF(Mercado_Receita!$S$2:$S$667,"44593B1Convencional pré-pagamentoResidencialResidencial baixa renda – faixa 03Não se aplicaNão se aplicaNão se aplica",Mercado_Receita!$L$2:$L$667)</f>
        <v>0</v>
      </c>
      <c r="Q28" s="13">
        <f>SUMIF(Mercado_Receita!$S$2:$S$667,"44621B1Convencional pré-pagamentoResidencialResidencial baixa renda – faixa 03Não se aplicaNão se aplicaPonta",Mercado_Receita!$L$2:$L$667)+SUMIF(Mercado_Receita!$S$2:$S$667,"44621B1Convencional pré-pagamentoResidencialResidencial baixa renda – faixa 03Não se aplicaNão se aplicaFora ponta",Mercado_Receita!$L$2:$L$667)+SUMIF(Mercado_Receita!$S$2:$S$667,"44621B1Convencional pré-pagamentoResidencialResidencial baixa renda – faixa 03Não se aplicaNão se aplicaIntermediário",Mercado_Receita!$L$2:$L$667)+SUMIF(Mercado_Receita!$S$2:$S$667,"44621B1Convencional pré-pagamentoResidencialResidencial baixa renda – faixa 03Não se aplicaNão se aplicaNão se aplica",Mercado_Receita!$L$2:$L$667)</f>
        <v>0</v>
      </c>
      <c r="R28" s="13">
        <f>SUMIF(Mercado_Receita!$S$2:$S$667,"44652B1Convencional pré-pagamentoResidencialResidencial baixa renda – faixa 03Não se aplicaNão se aplicaPonta",Mercado_Receita!$L$2:$L$667)+SUMIF(Mercado_Receita!$S$2:$S$667,"44652B1Convencional pré-pagamentoResidencialResidencial baixa renda – faixa 03Não se aplicaNão se aplicaFora ponta",Mercado_Receita!$L$2:$L$667)+SUMIF(Mercado_Receita!$S$2:$S$667,"44652B1Convencional pré-pagamentoResidencialResidencial baixa renda – faixa 03Não se aplicaNão se aplicaIntermediário",Mercado_Receita!$L$2:$L$667)+SUMIF(Mercado_Receita!$S$2:$S$667,"44652B1Convencional pré-pagamentoResidencialResidencial baixa renda – faixa 03Não se aplicaNão se aplicaNão se aplica",Mercado_Receita!$L$2:$L$667)</f>
        <v>0</v>
      </c>
      <c r="S28" s="13">
        <f>SUMIF(Mercado_Receita!$S$2:$S$667,"44682B1Convencional pré-pagamentoResidencialResidencial baixa renda – faixa 03Não se aplicaNão se aplicaPonta",Mercado_Receita!$L$2:$L$667)+SUMIF(Mercado_Receita!$S$2:$S$667,"44682B1Convencional pré-pagamentoResidencialResidencial baixa renda – faixa 03Não se aplicaNão se aplicaFora ponta",Mercado_Receita!$L$2:$L$667)+SUMIF(Mercado_Receita!$S$2:$S$667,"44682B1Convencional pré-pagamentoResidencialResidencial baixa renda – faixa 03Não se aplicaNão se aplicaIntermediário",Mercado_Receita!$L$2:$L$667)+SUMIF(Mercado_Receita!$S$2:$S$667,"44682B1Convencional pré-pagamentoResidencialResidencial baixa renda – faixa 03Não se aplicaNão se aplicaNão se aplica",Mercado_Receita!$L$2:$L$667)</f>
        <v>0</v>
      </c>
      <c r="T28" s="13">
        <f>SUMIF(Mercado_Receita!$S$2:$S$667,"44713B1Convencional pré-pagamentoResidencialResidencial baixa renda – faixa 03Não se aplicaNão se aplicaPonta",Mercado_Receita!$L$2:$L$667)+SUMIF(Mercado_Receita!$S$2:$S$667,"44713B1Convencional pré-pagamentoResidencialResidencial baixa renda – faixa 03Não se aplicaNão se aplicaFora ponta",Mercado_Receita!$L$2:$L$667)+SUMIF(Mercado_Receita!$S$2:$S$667,"44713B1Convencional pré-pagamentoResidencialResidencial baixa renda – faixa 03Não se aplicaNão se aplicaIntermediário",Mercado_Receita!$L$2:$L$667)+SUMIF(Mercado_Receita!$S$2:$S$667,"44713B1Convencional pré-pagamentoResidencialResidencial baixa renda – faixa 03Não se aplicaNão se aplicaNão se aplica",Mercado_Receita!$L$2:$L$667)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18"/>
      <c r="B29" s="118"/>
      <c r="C29" s="118"/>
      <c r="D29" s="12" t="s">
        <v>32</v>
      </c>
      <c r="E29" s="12" t="s">
        <v>25</v>
      </c>
      <c r="F29" s="12" t="s">
        <v>25</v>
      </c>
      <c r="G29" s="13" t="s">
        <v>81</v>
      </c>
      <c r="H29" s="13" t="s">
        <v>76</v>
      </c>
      <c r="I29" s="13">
        <f>SUMIF(Mercado_Receita!$S$2:$S$667,"44378B1Convencional pré-pagamentoResidencialResidencial baixa renda – faixa 04Não se aplicaNão se aplicaPonta",Mercado_Receita!$L$2:$L$667)+SUMIF(Mercado_Receita!$S$2:$S$667,"44378B1Convencional pré-pagamentoResidencialResidencial baixa renda – faixa 04Não se aplicaNão se aplicaFora ponta",Mercado_Receita!$L$2:$L$667)+SUMIF(Mercado_Receita!$S$2:$S$667,"44378B1Convencional pré-pagamentoResidencialResidencial baixa renda – faixa 04Não se aplicaNão se aplicaIntermediário",Mercado_Receita!$L$2:$L$667)+SUMIF(Mercado_Receita!$S$2:$S$667,"44378B1Convencional pré-pagamentoResidencialResidencial baixa renda – faixa 04Não se aplicaNão se aplicaNão se aplica",Mercado_Receita!$L$2:$L$667)</f>
        <v>0</v>
      </c>
      <c r="J29" s="13">
        <f>SUMIF(Mercado_Receita!$S$2:$S$667,"44409B1Convencional pré-pagamentoResidencialResidencial baixa renda – faixa 04Não se aplicaNão se aplicaPonta",Mercado_Receita!$L$2:$L$667)+SUMIF(Mercado_Receita!$S$2:$S$667,"44409B1Convencional pré-pagamentoResidencialResidencial baixa renda – faixa 04Não se aplicaNão se aplicaFora ponta",Mercado_Receita!$L$2:$L$667)+SUMIF(Mercado_Receita!$S$2:$S$667,"44409B1Convencional pré-pagamentoResidencialResidencial baixa renda – faixa 04Não se aplicaNão se aplicaIntermediário",Mercado_Receita!$L$2:$L$667)+SUMIF(Mercado_Receita!$S$2:$S$667,"44409B1Convencional pré-pagamentoResidencialResidencial baixa renda – faixa 04Não se aplicaNão se aplicaNão se aplica",Mercado_Receita!$L$2:$L$667)</f>
        <v>0</v>
      </c>
      <c r="K29" s="13">
        <f>SUMIF(Mercado_Receita!$S$2:$S$667,"44440B1Convencional pré-pagamentoResidencialResidencial baixa renda – faixa 04Não se aplicaNão se aplicaPonta",Mercado_Receita!$L$2:$L$667)+SUMIF(Mercado_Receita!$S$2:$S$667,"44440B1Convencional pré-pagamentoResidencialResidencial baixa renda – faixa 04Não se aplicaNão se aplicaFora ponta",Mercado_Receita!$L$2:$L$667)+SUMIF(Mercado_Receita!$S$2:$S$667,"44440B1Convencional pré-pagamentoResidencialResidencial baixa renda – faixa 04Não se aplicaNão se aplicaIntermediário",Mercado_Receita!$L$2:$L$667)+SUMIF(Mercado_Receita!$S$2:$S$667,"44440B1Convencional pré-pagamentoResidencialResidencial baixa renda – faixa 04Não se aplicaNão se aplicaNão se aplica",Mercado_Receita!$L$2:$L$667)</f>
        <v>0</v>
      </c>
      <c r="L29" s="13">
        <f>SUMIF(Mercado_Receita!$S$2:$S$667,"44470B1Convencional pré-pagamentoResidencialResidencial baixa renda – faixa 04Não se aplicaNão se aplicaPonta",Mercado_Receita!$L$2:$L$667)+SUMIF(Mercado_Receita!$S$2:$S$667,"44470B1Convencional pré-pagamentoResidencialResidencial baixa renda – faixa 04Não se aplicaNão se aplicaFora ponta",Mercado_Receita!$L$2:$L$667)+SUMIF(Mercado_Receita!$S$2:$S$667,"44470B1Convencional pré-pagamentoResidencialResidencial baixa renda – faixa 04Não se aplicaNão se aplicaIntermediário",Mercado_Receita!$L$2:$L$667)+SUMIF(Mercado_Receita!$S$2:$S$667,"44470B1Convencional pré-pagamentoResidencialResidencial baixa renda – faixa 04Não se aplicaNão se aplicaNão se aplica",Mercado_Receita!$L$2:$L$667)</f>
        <v>0</v>
      </c>
      <c r="M29" s="13">
        <f>SUMIF(Mercado_Receita!$S$2:$S$667,"44501B1Convencional pré-pagamentoResidencialResidencial baixa renda – faixa 04Não se aplicaNão se aplicaPonta",Mercado_Receita!$L$2:$L$667)+SUMIF(Mercado_Receita!$S$2:$S$667,"44501B1Convencional pré-pagamentoResidencialResidencial baixa renda – faixa 04Não se aplicaNão se aplicaFora ponta",Mercado_Receita!$L$2:$L$667)+SUMIF(Mercado_Receita!$S$2:$S$667,"44501B1Convencional pré-pagamentoResidencialResidencial baixa renda – faixa 04Não se aplicaNão se aplicaIntermediário",Mercado_Receita!$L$2:$L$667)+SUMIF(Mercado_Receita!$S$2:$S$667,"44501B1Convencional pré-pagamentoResidencialResidencial baixa renda – faixa 04Não se aplicaNão se aplicaNão se aplica",Mercado_Receita!$L$2:$L$667)</f>
        <v>0</v>
      </c>
      <c r="N29" s="13">
        <f>SUMIF(Mercado_Receita!$S$2:$S$667,"44531B1Convencional pré-pagamentoResidencialResidencial baixa renda – faixa 04Não se aplicaNão se aplicaPonta",Mercado_Receita!$L$2:$L$667)+SUMIF(Mercado_Receita!$S$2:$S$667,"44531B1Convencional pré-pagamentoResidencialResidencial baixa renda – faixa 04Não se aplicaNão se aplicaFora ponta",Mercado_Receita!$L$2:$L$667)+SUMIF(Mercado_Receita!$S$2:$S$667,"44531B1Convencional pré-pagamentoResidencialResidencial baixa renda – faixa 04Não se aplicaNão se aplicaIntermediário",Mercado_Receita!$L$2:$L$667)+SUMIF(Mercado_Receita!$S$2:$S$667,"44531B1Convencional pré-pagamentoResidencialResidencial baixa renda – faixa 04Não se aplicaNão se aplicaNão se aplica",Mercado_Receita!$L$2:$L$667)</f>
        <v>0</v>
      </c>
      <c r="O29" s="13">
        <f>SUMIF(Mercado_Receita!$S$2:$S$667,"44562B1Convencional pré-pagamentoResidencialResidencial baixa renda – faixa 04Não se aplicaNão se aplicaPonta",Mercado_Receita!$L$2:$L$667)+SUMIF(Mercado_Receita!$S$2:$S$667,"44562B1Convencional pré-pagamentoResidencialResidencial baixa renda – faixa 04Não se aplicaNão se aplicaFora ponta",Mercado_Receita!$L$2:$L$667)+SUMIF(Mercado_Receita!$S$2:$S$667,"44562B1Convencional pré-pagamentoResidencialResidencial baixa renda – faixa 04Não se aplicaNão se aplicaIntermediário",Mercado_Receita!$L$2:$L$667)+SUMIF(Mercado_Receita!$S$2:$S$667,"44562B1Convencional pré-pagamentoResidencialResidencial baixa renda – faixa 04Não se aplicaNão se aplicaNão se aplica",Mercado_Receita!$L$2:$L$667)</f>
        <v>0</v>
      </c>
      <c r="P29" s="13">
        <f>SUMIF(Mercado_Receita!$S$2:$S$667,"44593B1Convencional pré-pagamentoResidencialResidencial baixa renda – faixa 04Não se aplicaNão se aplicaPonta",Mercado_Receita!$L$2:$L$667)+SUMIF(Mercado_Receita!$S$2:$S$667,"44593B1Convencional pré-pagamentoResidencialResidencial baixa renda – faixa 04Não se aplicaNão se aplicaFora ponta",Mercado_Receita!$L$2:$L$667)+SUMIF(Mercado_Receita!$S$2:$S$667,"44593B1Convencional pré-pagamentoResidencialResidencial baixa renda – faixa 04Não se aplicaNão se aplicaIntermediário",Mercado_Receita!$L$2:$L$667)+SUMIF(Mercado_Receita!$S$2:$S$667,"44593B1Convencional pré-pagamentoResidencialResidencial baixa renda – faixa 04Não se aplicaNão se aplicaNão se aplica",Mercado_Receita!$L$2:$L$667)</f>
        <v>0</v>
      </c>
      <c r="Q29" s="13">
        <f>SUMIF(Mercado_Receita!$S$2:$S$667,"44621B1Convencional pré-pagamentoResidencialResidencial baixa renda – faixa 04Não se aplicaNão se aplicaPonta",Mercado_Receita!$L$2:$L$667)+SUMIF(Mercado_Receita!$S$2:$S$667,"44621B1Convencional pré-pagamentoResidencialResidencial baixa renda – faixa 04Não se aplicaNão se aplicaFora ponta",Mercado_Receita!$L$2:$L$667)+SUMIF(Mercado_Receita!$S$2:$S$667,"44621B1Convencional pré-pagamentoResidencialResidencial baixa renda – faixa 04Não se aplicaNão se aplicaIntermediário",Mercado_Receita!$L$2:$L$667)+SUMIF(Mercado_Receita!$S$2:$S$667,"44621B1Convencional pré-pagamentoResidencialResidencial baixa renda – faixa 04Não se aplicaNão se aplicaNão se aplica",Mercado_Receita!$L$2:$L$667)</f>
        <v>0</v>
      </c>
      <c r="R29" s="13">
        <f>SUMIF(Mercado_Receita!$S$2:$S$667,"44652B1Convencional pré-pagamentoResidencialResidencial baixa renda – faixa 04Não se aplicaNão se aplicaPonta",Mercado_Receita!$L$2:$L$667)+SUMIF(Mercado_Receita!$S$2:$S$667,"44652B1Convencional pré-pagamentoResidencialResidencial baixa renda – faixa 04Não se aplicaNão se aplicaFora ponta",Mercado_Receita!$L$2:$L$667)+SUMIF(Mercado_Receita!$S$2:$S$667,"44652B1Convencional pré-pagamentoResidencialResidencial baixa renda – faixa 04Não se aplicaNão se aplicaIntermediário",Mercado_Receita!$L$2:$L$667)+SUMIF(Mercado_Receita!$S$2:$S$667,"44652B1Convencional pré-pagamentoResidencialResidencial baixa renda – faixa 04Não se aplicaNão se aplicaNão se aplica",Mercado_Receita!$L$2:$L$667)</f>
        <v>0</v>
      </c>
      <c r="S29" s="13">
        <f>SUMIF(Mercado_Receita!$S$2:$S$667,"44682B1Convencional pré-pagamentoResidencialResidencial baixa renda – faixa 04Não se aplicaNão se aplicaPonta",Mercado_Receita!$L$2:$L$667)+SUMIF(Mercado_Receita!$S$2:$S$667,"44682B1Convencional pré-pagamentoResidencialResidencial baixa renda – faixa 04Não se aplicaNão se aplicaFora ponta",Mercado_Receita!$L$2:$L$667)+SUMIF(Mercado_Receita!$S$2:$S$667,"44682B1Convencional pré-pagamentoResidencialResidencial baixa renda – faixa 04Não se aplicaNão se aplicaIntermediário",Mercado_Receita!$L$2:$L$667)+SUMIF(Mercado_Receita!$S$2:$S$667,"44682B1Convencional pré-pagamentoResidencialResidencial baixa renda – faixa 04Não se aplicaNão se aplicaNão se aplica",Mercado_Receita!$L$2:$L$667)</f>
        <v>0</v>
      </c>
      <c r="T29" s="13">
        <f>SUMIF(Mercado_Receita!$S$2:$S$667,"44713B1Convencional pré-pagamentoResidencialResidencial baixa renda – faixa 04Não se aplicaNão se aplicaPonta",Mercado_Receita!$L$2:$L$667)+SUMIF(Mercado_Receita!$S$2:$S$667,"44713B1Convencional pré-pagamentoResidencialResidencial baixa renda – faixa 04Não se aplicaNão se aplicaFora ponta",Mercado_Receita!$L$2:$L$667)+SUMIF(Mercado_Receita!$S$2:$S$667,"44713B1Convencional pré-pagamentoResidencialResidencial baixa renda – faixa 04Não se aplicaNão se aplicaIntermediário",Mercado_Receita!$L$2:$L$667)+SUMIF(Mercado_Receita!$S$2:$S$667,"44713B1Convencional pré-pagamentoResidencialResidencial baixa renda – faixa 04Não se aplicaNão se aplicaNão se aplica",Mercado_Receita!$L$2:$L$667)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17" t="s">
        <v>42</v>
      </c>
      <c r="B30" s="117" t="s">
        <v>33</v>
      </c>
      <c r="C30" s="117" t="s">
        <v>43</v>
      </c>
      <c r="D30" s="117" t="s">
        <v>25</v>
      </c>
      <c r="E30" s="117" t="s">
        <v>25</v>
      </c>
      <c r="F30" s="117" t="s">
        <v>25</v>
      </c>
      <c r="G30" s="13" t="s">
        <v>77</v>
      </c>
      <c r="H30" s="13" t="s">
        <v>76</v>
      </c>
      <c r="I30" s="13">
        <f>SUMIF(Mercado_Receita!$S$2:$S$667,"44378B2BrancaRuralNão se aplicaNão se aplicaNão se aplicaPonta",Mercado_Receita!$L$2:$L$667)</f>
        <v>0</v>
      </c>
      <c r="J30" s="13">
        <f>SUMIF(Mercado_Receita!$S$2:$S$667,"44409B2BrancaRuralNão se aplicaNão se aplicaNão se aplicaPonta",Mercado_Receita!$L$2:$L$667)</f>
        <v>3.2000000000000001E-2</v>
      </c>
      <c r="K30" s="13">
        <f>SUMIF(Mercado_Receita!$S$2:$S$667,"44440B2BrancaRuralNão se aplicaNão se aplicaNão se aplicaPonta",Mercado_Receita!$L$2:$L$667)</f>
        <v>0</v>
      </c>
      <c r="L30" s="13">
        <f>SUMIF(Mercado_Receita!$S$2:$S$667,"44470B2BrancaRuralNão se aplicaNão se aplicaNão se aplicaPonta",Mercado_Receita!$L$2:$L$667)</f>
        <v>2.9000000000000001E-2</v>
      </c>
      <c r="M30" s="13">
        <f>SUMIF(Mercado_Receita!$S$2:$S$667,"44501B2BrancaRuralNão se aplicaNão se aplicaNão se aplicaPonta",Mercado_Receita!$L$2:$L$667)</f>
        <v>3.4000000000000002E-2</v>
      </c>
      <c r="N30" s="13">
        <f>SUMIF(Mercado_Receita!$S$2:$S$667,"44531B2BrancaRuralNão se aplicaNão se aplicaNão se aplicaPonta",Mercado_Receita!$L$2:$L$667)</f>
        <v>0.05</v>
      </c>
      <c r="O30" s="13">
        <f>SUMIF(Mercado_Receita!$S$2:$S$667,"44562B2BrancaRuralNão se aplicaNão se aplicaNão se aplicaPonta",Mercado_Receita!$L$2:$L$667)</f>
        <v>3.5000000000000003E-2</v>
      </c>
      <c r="P30" s="13">
        <f>SUMIF(Mercado_Receita!$S$2:$S$667,"44593B2BrancaRuralNão se aplicaNão se aplicaNão se aplicaPonta",Mercado_Receita!$L$2:$L$667)</f>
        <v>3.5999999999999997E-2</v>
      </c>
      <c r="Q30" s="13">
        <f>SUMIF(Mercado_Receita!$S$2:$S$667,"44621B2BrancaRuralNão se aplicaNão se aplicaNão se aplicaPonta",Mercado_Receita!$L$2:$L$667)</f>
        <v>0.03</v>
      </c>
      <c r="R30" s="13">
        <f>SUMIF(Mercado_Receita!$S$2:$S$667,"44652B2BrancaRuralNão se aplicaNão se aplicaNão se aplicaPonta",Mercado_Receita!$L$2:$L$667)</f>
        <v>3.1E-2</v>
      </c>
      <c r="S30" s="13">
        <f>SUMIF(Mercado_Receita!$S$2:$S$667,"44682B2BrancaRuralNão se aplicaNão se aplicaNão se aplicaPonta",Mercado_Receita!$L$2:$L$667)</f>
        <v>4.2000000000000003E-2</v>
      </c>
      <c r="T30" s="13">
        <f>SUMIF(Mercado_Receita!$S$2:$S$667,"44713B2BrancaRuralNão se aplicaNão se aplicaNão se aplicaPonta",Mercado_Receita!$L$2:$L$667)</f>
        <v>4.2000000000000003E-2</v>
      </c>
      <c r="U30" s="13">
        <f t="shared" si="0"/>
        <v>0.36099999999999999</v>
      </c>
      <c r="V30" s="13"/>
      <c r="W30" s="13"/>
    </row>
    <row r="31" spans="1:23" ht="11.25" customHeight="1" x14ac:dyDescent="0.3">
      <c r="A31" s="118"/>
      <c r="B31" s="118"/>
      <c r="C31" s="118"/>
      <c r="D31" s="118"/>
      <c r="E31" s="118"/>
      <c r="F31" s="118"/>
      <c r="G31" s="13" t="s">
        <v>93</v>
      </c>
      <c r="H31" s="13" t="s">
        <v>76</v>
      </c>
      <c r="I31" s="13">
        <f>SUMIF(Mercado_Receita!$S$2:$S$667,"44378B2BrancaRuralNão se aplicaNão se aplicaNão se aplicaIntermediário",Mercado_Receita!$L$2:$L$667)</f>
        <v>0</v>
      </c>
      <c r="J31" s="13">
        <f>SUMIF(Mercado_Receita!$S$2:$S$667,"44409B2BrancaRuralNão se aplicaNão se aplicaNão se aplicaIntermediário",Mercado_Receita!$L$2:$L$667)</f>
        <v>1.7000000000000001E-2</v>
      </c>
      <c r="K31" s="13">
        <f>SUMIF(Mercado_Receita!$S$2:$S$667,"44440B2BrancaRuralNão se aplicaNão se aplicaNão se aplicaIntermediário",Mercado_Receita!$L$2:$L$667)</f>
        <v>0</v>
      </c>
      <c r="L31" s="13">
        <f>SUMIF(Mercado_Receita!$S$2:$S$667,"44470B2BrancaRuralNão se aplicaNão se aplicaNão se aplicaIntermediário",Mercado_Receita!$L$2:$L$667)</f>
        <v>1.4999999999999999E-2</v>
      </c>
      <c r="M31" s="13">
        <f>SUMIF(Mercado_Receita!$S$2:$S$667,"44501B2BrancaRuralNão se aplicaNão se aplicaNão se aplicaIntermediário",Mercado_Receita!$L$2:$L$667)</f>
        <v>2.5999999999999999E-2</v>
      </c>
      <c r="N31" s="13">
        <f>SUMIF(Mercado_Receita!$S$2:$S$667,"44531B2BrancaRuralNão se aplicaNão se aplicaNão se aplicaIntermediário",Mercado_Receita!$L$2:$L$667)</f>
        <v>3.3000000000000002E-2</v>
      </c>
      <c r="O31" s="13">
        <f>SUMIF(Mercado_Receita!$S$2:$S$667,"44562B2BrancaRuralNão se aplicaNão se aplicaNão se aplicaIntermediário",Mercado_Receita!$L$2:$L$667)</f>
        <v>2.4E-2</v>
      </c>
      <c r="P31" s="13">
        <f>SUMIF(Mercado_Receita!$S$2:$S$667,"44593B2BrancaRuralNão se aplicaNão se aplicaNão se aplicaIntermediário",Mercado_Receita!$L$2:$L$667)</f>
        <v>2.1000000000000001E-2</v>
      </c>
      <c r="Q31" s="13">
        <f>SUMIF(Mercado_Receita!$S$2:$S$667,"44621B2BrancaRuralNão se aplicaNão se aplicaNão se aplicaIntermediário",Mercado_Receita!$L$2:$L$667)</f>
        <v>1.6E-2</v>
      </c>
      <c r="R31" s="13">
        <f>SUMIF(Mercado_Receita!$S$2:$S$667,"44652B2BrancaRuralNão se aplicaNão se aplicaNão se aplicaIntermediário",Mercado_Receita!$L$2:$L$667)</f>
        <v>1.7999999999999999E-2</v>
      </c>
      <c r="S31" s="13">
        <f>SUMIF(Mercado_Receita!$S$2:$S$667,"44682B2BrancaRuralNão se aplicaNão se aplicaNão se aplicaIntermediário",Mercado_Receita!$L$2:$L$667)</f>
        <v>2.1999999999999999E-2</v>
      </c>
      <c r="T31" s="13">
        <f>SUMIF(Mercado_Receita!$S$2:$S$667,"44713B2BrancaRuralNão se aplicaNão se aplicaNão se aplicaIntermediário",Mercado_Receita!$L$2:$L$667)</f>
        <v>2.1999999999999999E-2</v>
      </c>
      <c r="U31" s="13">
        <f t="shared" si="0"/>
        <v>0.21399999999999994</v>
      </c>
      <c r="V31" s="13"/>
      <c r="W31" s="13"/>
    </row>
    <row r="32" spans="1:23" ht="11.25" customHeight="1" x14ac:dyDescent="0.3">
      <c r="A32" s="118"/>
      <c r="B32" s="118"/>
      <c r="C32" s="118"/>
      <c r="D32" s="118"/>
      <c r="E32" s="118"/>
      <c r="F32" s="118"/>
      <c r="G32" s="13" t="s">
        <v>78</v>
      </c>
      <c r="H32" s="13" t="s">
        <v>76</v>
      </c>
      <c r="I32" s="13">
        <f>SUMIF(Mercado_Receita!$S$2:$S$667,"44378B2BrancaRuralNão se aplicaNão se aplicaNão se aplicaFora ponta",Mercado_Receita!$L$2:$L$667)</f>
        <v>0</v>
      </c>
      <c r="J32" s="13">
        <f>SUMIF(Mercado_Receita!$S$2:$S$667,"44409B2BrancaRuralNão se aplicaNão se aplicaNão se aplicaFora ponta",Mercado_Receita!$L$2:$L$667)</f>
        <v>0.13700000000000001</v>
      </c>
      <c r="K32" s="13">
        <f>SUMIF(Mercado_Receita!$S$2:$S$667,"44440B2BrancaRuralNão se aplicaNão se aplicaNão se aplicaFora ponta",Mercado_Receita!$L$2:$L$667)</f>
        <v>0</v>
      </c>
      <c r="L32" s="13">
        <f>SUMIF(Mercado_Receita!$S$2:$S$667,"44470B2BrancaRuralNão se aplicaNão se aplicaNão se aplicaFora ponta",Mercado_Receita!$L$2:$L$667)</f>
        <v>0.44500000000000001</v>
      </c>
      <c r="M32" s="13">
        <f>SUMIF(Mercado_Receita!$S$2:$S$667,"44501B2BrancaRuralNão se aplicaNão se aplicaNão se aplicaFora ponta",Mercado_Receita!$L$2:$L$667)</f>
        <v>0.26400000000000001</v>
      </c>
      <c r="N32" s="13">
        <f>SUMIF(Mercado_Receita!$S$2:$S$667,"44531B2BrancaRuralNão se aplicaNão se aplicaNão se aplicaFora ponta",Mercado_Receita!$L$2:$L$667)</f>
        <v>0.33200000000000002</v>
      </c>
      <c r="O32" s="13">
        <f>SUMIF(Mercado_Receita!$S$2:$S$667,"44562B2BrancaRuralNão se aplicaNão se aplicaNão se aplicaFora ponta",Mercado_Receita!$L$2:$L$667)</f>
        <v>0.27600000000000002</v>
      </c>
      <c r="P32" s="13">
        <f>SUMIF(Mercado_Receita!$S$2:$S$667,"44593B2BrancaRuralNão se aplicaNão se aplicaNão se aplicaFora ponta",Mercado_Receita!$L$2:$L$667)</f>
        <v>0.28100000000000003</v>
      </c>
      <c r="Q32" s="13">
        <f>SUMIF(Mercado_Receita!$S$2:$S$667,"44621B2BrancaRuralNão se aplicaNão se aplicaNão se aplicaFora ponta",Mercado_Receita!$L$2:$L$667)</f>
        <v>0.24199999999999999</v>
      </c>
      <c r="R32" s="13">
        <f>SUMIF(Mercado_Receita!$S$2:$S$667,"44652B2BrancaRuralNão se aplicaNão se aplicaNão se aplicaFora ponta",Mercado_Receita!$L$2:$L$667)</f>
        <v>0.2</v>
      </c>
      <c r="S32" s="13">
        <f>SUMIF(Mercado_Receita!$S$2:$S$667,"44682B2BrancaRuralNão se aplicaNão se aplicaNão se aplicaFora ponta",Mercado_Receita!$L$2:$L$667)</f>
        <v>0.16</v>
      </c>
      <c r="T32" s="13">
        <f>SUMIF(Mercado_Receita!$S$2:$S$667,"44713B2BrancaRuralNão se aplicaNão se aplicaNão se aplicaFora ponta",Mercado_Receita!$L$2:$L$667)</f>
        <v>0.16</v>
      </c>
      <c r="U32" s="13">
        <f t="shared" si="0"/>
        <v>2.4970000000000008</v>
      </c>
      <c r="V32" s="13"/>
      <c r="W32" s="13"/>
    </row>
    <row r="33" spans="1:23" ht="11.25" customHeight="1" x14ac:dyDescent="0.3">
      <c r="A33" s="118"/>
      <c r="B33" s="12" t="s">
        <v>23</v>
      </c>
      <c r="C33" s="12" t="s">
        <v>43</v>
      </c>
      <c r="D33" s="12" t="s">
        <v>25</v>
      </c>
      <c r="E33" s="12" t="s">
        <v>25</v>
      </c>
      <c r="F33" s="12" t="s">
        <v>25</v>
      </c>
      <c r="G33" s="13" t="s">
        <v>81</v>
      </c>
      <c r="H33" s="13" t="s">
        <v>76</v>
      </c>
      <c r="I33" s="13">
        <f>SUMIF(Mercado_Receita!$S$2:$S$667,"44378B2ConvencionalRuralNão se aplicaNão se aplicaNão se aplicaPonta",Mercado_Receita!$L$2:$L$667)+SUMIF(Mercado_Receita!$S$2:$S$667,"44378B2ConvencionalRuralNão se aplicaNão se aplicaNão se aplicaFora ponta",Mercado_Receita!$L$2:$L$667)+SUMIF(Mercado_Receita!$S$2:$S$667,"44378B2ConvencionalRuralNão se aplicaNão se aplicaNão se aplicaIntermediário",Mercado_Receita!$L$2:$L$667)+SUMIF(Mercado_Receita!$S$2:$S$667,"44378B2ConvencionalRuralNão se aplicaNão se aplicaNão se aplicaNão se aplica",Mercado_Receita!$L$2:$L$667)</f>
        <v>1142.962</v>
      </c>
      <c r="J33" s="13">
        <f>SUMIF(Mercado_Receita!$S$2:$S$667,"44409B2ConvencionalRuralNão se aplicaNão se aplicaNão se aplicaPonta",Mercado_Receita!$L$2:$L$667)+SUMIF(Mercado_Receita!$S$2:$S$667,"44409B2ConvencionalRuralNão se aplicaNão se aplicaNão se aplicaFora ponta",Mercado_Receita!$L$2:$L$667)+SUMIF(Mercado_Receita!$S$2:$S$667,"44409B2ConvencionalRuralNão se aplicaNão se aplicaNão se aplicaIntermediário",Mercado_Receita!$L$2:$L$667)+SUMIF(Mercado_Receita!$S$2:$S$667,"44409B2ConvencionalRuralNão se aplicaNão se aplicaNão se aplicaNão se aplica",Mercado_Receita!$L$2:$L$667)</f>
        <v>1142.9090000000001</v>
      </c>
      <c r="K33" s="13">
        <f>SUMIF(Mercado_Receita!$S$2:$S$667,"44440B2ConvencionalRuralNão se aplicaNão se aplicaNão se aplicaPonta",Mercado_Receita!$L$2:$L$667)+SUMIF(Mercado_Receita!$S$2:$S$667,"44440B2ConvencionalRuralNão se aplicaNão se aplicaNão se aplicaFora ponta",Mercado_Receita!$L$2:$L$667)+SUMIF(Mercado_Receita!$S$2:$S$667,"44440B2ConvencionalRuralNão se aplicaNão se aplicaNão se aplicaIntermediário",Mercado_Receita!$L$2:$L$667)+SUMIF(Mercado_Receita!$S$2:$S$667,"44440B2ConvencionalRuralNão se aplicaNão se aplicaNão se aplicaNão se aplica",Mercado_Receita!$L$2:$L$667)</f>
        <v>1107.9079999999999</v>
      </c>
      <c r="L33" s="13">
        <f>SUMIF(Mercado_Receita!$S$2:$S$667,"44470B2ConvencionalRuralNão se aplicaNão se aplicaNão se aplicaPonta",Mercado_Receita!$L$2:$L$667)+SUMIF(Mercado_Receita!$S$2:$S$667,"44470B2ConvencionalRuralNão se aplicaNão se aplicaNão se aplicaFora ponta",Mercado_Receita!$L$2:$L$667)+SUMIF(Mercado_Receita!$S$2:$S$667,"44470B2ConvencionalRuralNão se aplicaNão se aplicaNão se aplicaIntermediário",Mercado_Receita!$L$2:$L$667)+SUMIF(Mercado_Receita!$S$2:$S$667,"44470B2ConvencionalRuralNão se aplicaNão se aplicaNão se aplicaNão se aplica",Mercado_Receita!$L$2:$L$667)</f>
        <v>1176.6650000000002</v>
      </c>
      <c r="M33" s="13">
        <f>SUMIF(Mercado_Receita!$S$2:$S$667,"44501B2ConvencionalRuralNão se aplicaNão se aplicaNão se aplicaPonta",Mercado_Receita!$L$2:$L$667)+SUMIF(Mercado_Receita!$S$2:$S$667,"44501B2ConvencionalRuralNão se aplicaNão se aplicaNão se aplicaFora ponta",Mercado_Receita!$L$2:$L$667)+SUMIF(Mercado_Receita!$S$2:$S$667,"44501B2ConvencionalRuralNão se aplicaNão se aplicaNão se aplicaIntermediário",Mercado_Receita!$L$2:$L$667)+SUMIF(Mercado_Receita!$S$2:$S$667,"44501B2ConvencionalRuralNão se aplicaNão se aplicaNão se aplicaNão se aplica",Mercado_Receita!$L$2:$L$667)</f>
        <v>1432.404</v>
      </c>
      <c r="N33" s="13">
        <f>SUMIF(Mercado_Receita!$S$2:$S$667,"44531B2ConvencionalRuralNão se aplicaNão se aplicaNão se aplicaPonta",Mercado_Receita!$L$2:$L$667)+SUMIF(Mercado_Receita!$S$2:$S$667,"44531B2ConvencionalRuralNão se aplicaNão se aplicaNão se aplicaFora ponta",Mercado_Receita!$L$2:$L$667)+SUMIF(Mercado_Receita!$S$2:$S$667,"44531B2ConvencionalRuralNão se aplicaNão se aplicaNão se aplicaIntermediário",Mercado_Receita!$L$2:$L$667)+SUMIF(Mercado_Receita!$S$2:$S$667,"44531B2ConvencionalRuralNão se aplicaNão se aplicaNão se aplicaNão se aplica",Mercado_Receita!$L$2:$L$667)</f>
        <v>1837.1379999999999</v>
      </c>
      <c r="O33" s="13">
        <f>SUMIF(Mercado_Receita!$S$2:$S$667,"44562B2ConvencionalRuralNão se aplicaNão se aplicaNão se aplicaPonta",Mercado_Receita!$L$2:$L$667)+SUMIF(Mercado_Receita!$S$2:$S$667,"44562B2ConvencionalRuralNão se aplicaNão se aplicaNão se aplicaFora ponta",Mercado_Receita!$L$2:$L$667)+SUMIF(Mercado_Receita!$S$2:$S$667,"44562B2ConvencionalRuralNão se aplicaNão se aplicaNão se aplicaIntermediário",Mercado_Receita!$L$2:$L$667)+SUMIF(Mercado_Receita!$S$2:$S$667,"44562B2ConvencionalRuralNão se aplicaNão se aplicaNão se aplicaNão se aplica",Mercado_Receita!$L$2:$L$667)</f>
        <v>2193.1410000000001</v>
      </c>
      <c r="P33" s="13">
        <f>SUMIF(Mercado_Receita!$S$2:$S$667,"44593B2ConvencionalRuralNão se aplicaNão se aplicaNão se aplicaPonta",Mercado_Receita!$L$2:$L$667)+SUMIF(Mercado_Receita!$S$2:$S$667,"44593B2ConvencionalRuralNão se aplicaNão se aplicaNão se aplicaFora ponta",Mercado_Receita!$L$2:$L$667)+SUMIF(Mercado_Receita!$S$2:$S$667,"44593B2ConvencionalRuralNão se aplicaNão se aplicaNão se aplicaIntermediário",Mercado_Receita!$L$2:$L$667)+SUMIF(Mercado_Receita!$S$2:$S$667,"44593B2ConvencionalRuralNão se aplicaNão se aplicaNão se aplicaNão se aplica",Mercado_Receita!$L$2:$L$667)</f>
        <v>2177.6829999999995</v>
      </c>
      <c r="Q33" s="13">
        <f>SUMIF(Mercado_Receita!$S$2:$S$667,"44621B2ConvencionalRuralNão se aplicaNão se aplicaNão se aplicaPonta",Mercado_Receita!$L$2:$L$667)+SUMIF(Mercado_Receita!$S$2:$S$667,"44621B2ConvencionalRuralNão se aplicaNão se aplicaNão se aplicaFora ponta",Mercado_Receita!$L$2:$L$667)+SUMIF(Mercado_Receita!$S$2:$S$667,"44621B2ConvencionalRuralNão se aplicaNão se aplicaNão se aplicaIntermediário",Mercado_Receita!$L$2:$L$667)+SUMIF(Mercado_Receita!$S$2:$S$667,"44621B2ConvencionalRuralNão se aplicaNão se aplicaNão se aplicaNão se aplica",Mercado_Receita!$L$2:$L$667)</f>
        <v>1854.212</v>
      </c>
      <c r="R33" s="13">
        <f>SUMIF(Mercado_Receita!$S$2:$S$667,"44652B2ConvencionalRuralNão se aplicaNão se aplicaNão se aplicaPonta",Mercado_Receita!$L$2:$L$667)+SUMIF(Mercado_Receita!$S$2:$S$667,"44652B2ConvencionalRuralNão se aplicaNão se aplicaNão se aplicaFora ponta",Mercado_Receita!$L$2:$L$667)+SUMIF(Mercado_Receita!$S$2:$S$667,"44652B2ConvencionalRuralNão se aplicaNão se aplicaNão se aplicaIntermediário",Mercado_Receita!$L$2:$L$667)+SUMIF(Mercado_Receita!$S$2:$S$667,"44652B2ConvencionalRuralNão se aplicaNão se aplicaNão se aplicaNão se aplica",Mercado_Receita!$L$2:$L$667)</f>
        <v>1788.415</v>
      </c>
      <c r="S33" s="13">
        <f>SUMIF(Mercado_Receita!$S$2:$S$667,"44682B2ConvencionalRuralNão se aplicaNão se aplicaNão se aplicaPonta",Mercado_Receita!$L$2:$L$667)+SUMIF(Mercado_Receita!$S$2:$S$667,"44682B2ConvencionalRuralNão se aplicaNão se aplicaNão se aplicaFora ponta",Mercado_Receita!$L$2:$L$667)+SUMIF(Mercado_Receita!$S$2:$S$667,"44682B2ConvencionalRuralNão se aplicaNão se aplicaNão se aplicaIntermediário",Mercado_Receita!$L$2:$L$667)+SUMIF(Mercado_Receita!$S$2:$S$667,"44682B2ConvencionalRuralNão se aplicaNão se aplicaNão se aplicaNão se aplica",Mercado_Receita!$L$2:$L$667)</f>
        <v>1482.1590000000001</v>
      </c>
      <c r="T33" s="13">
        <f>SUMIF(Mercado_Receita!$S$2:$S$667,"44713B2ConvencionalRuralNão se aplicaNão se aplicaNão se aplicaPonta",Mercado_Receita!$L$2:$L$667)+SUMIF(Mercado_Receita!$S$2:$S$667,"44713B2ConvencionalRuralNão se aplicaNão se aplicaNão se aplicaFora ponta",Mercado_Receita!$L$2:$L$667)+SUMIF(Mercado_Receita!$S$2:$S$667,"44713B2ConvencionalRuralNão se aplicaNão se aplicaNão se aplicaIntermediário",Mercado_Receita!$L$2:$L$667)+SUMIF(Mercado_Receita!$S$2:$S$667,"44713B2ConvencionalRuralNão se aplicaNão se aplicaNão se aplicaNão se aplica",Mercado_Receita!$L$2:$L$667)</f>
        <v>1356.123</v>
      </c>
      <c r="U33" s="13">
        <f t="shared" si="0"/>
        <v>18691.718999999997</v>
      </c>
      <c r="V33" s="13"/>
      <c r="W33" s="13"/>
    </row>
    <row r="34" spans="1:23" ht="11.25" customHeight="1" x14ac:dyDescent="0.3">
      <c r="A34" s="118"/>
      <c r="B34" s="117" t="s">
        <v>33</v>
      </c>
      <c r="C34" s="117" t="s">
        <v>43</v>
      </c>
      <c r="D34" s="117" t="s">
        <v>96</v>
      </c>
      <c r="E34" s="117" t="s">
        <v>25</v>
      </c>
      <c r="F34" s="117" t="s">
        <v>25</v>
      </c>
      <c r="G34" s="13" t="s">
        <v>77</v>
      </c>
      <c r="H34" s="13" t="s">
        <v>76</v>
      </c>
      <c r="I34" s="13">
        <f>SUMIF(Mercado_Receita!$S$2:$S$667,"44378B2BrancaRuralCooperativa de eletrificação ruralNão se aplicaNão se aplicaPonta",Mercado_Receita!$L$2:$L$667)</f>
        <v>0</v>
      </c>
      <c r="J34" s="13">
        <f>SUMIF(Mercado_Receita!$S$2:$S$667,"44409B2BrancaRuralCooperativa de eletrificação ruralNão se aplicaNão se aplicaPonta",Mercado_Receita!$L$2:$L$667)</f>
        <v>0</v>
      </c>
      <c r="K34" s="13">
        <f>SUMIF(Mercado_Receita!$S$2:$S$667,"44440B2BrancaRuralCooperativa de eletrificação ruralNão se aplicaNão se aplicaPonta",Mercado_Receita!$L$2:$L$667)</f>
        <v>0</v>
      </c>
      <c r="L34" s="13">
        <f>SUMIF(Mercado_Receita!$S$2:$S$667,"44470B2BrancaRuralCooperativa de eletrificação ruralNão se aplicaNão se aplicaPonta",Mercado_Receita!$L$2:$L$667)</f>
        <v>0</v>
      </c>
      <c r="M34" s="13">
        <f>SUMIF(Mercado_Receita!$S$2:$S$667,"44501B2BrancaRuralCooperativa de eletrificação ruralNão se aplicaNão se aplicaPonta",Mercado_Receita!$L$2:$L$667)</f>
        <v>0</v>
      </c>
      <c r="N34" s="13">
        <f>SUMIF(Mercado_Receita!$S$2:$S$667,"44531B2BrancaRuralCooperativa de eletrificação ruralNão se aplicaNão se aplicaPonta",Mercado_Receita!$L$2:$L$667)</f>
        <v>0</v>
      </c>
      <c r="O34" s="13">
        <f>SUMIF(Mercado_Receita!$S$2:$S$667,"44562B2BrancaRuralCooperativa de eletrificação ruralNão se aplicaNão se aplicaPonta",Mercado_Receita!$L$2:$L$667)</f>
        <v>0</v>
      </c>
      <c r="P34" s="13">
        <f>SUMIF(Mercado_Receita!$S$2:$S$667,"44593B2BrancaRuralCooperativa de eletrificação ruralNão se aplicaNão se aplicaPonta",Mercado_Receita!$L$2:$L$667)</f>
        <v>0</v>
      </c>
      <c r="Q34" s="13">
        <f>SUMIF(Mercado_Receita!$S$2:$S$667,"44621B2BrancaRuralCooperativa de eletrificação ruralNão se aplicaNão se aplicaPonta",Mercado_Receita!$L$2:$L$667)</f>
        <v>0</v>
      </c>
      <c r="R34" s="13">
        <f>SUMIF(Mercado_Receita!$S$2:$S$667,"44652B2BrancaRuralCooperativa de eletrificação ruralNão se aplicaNão se aplicaPonta",Mercado_Receita!$L$2:$L$667)</f>
        <v>0</v>
      </c>
      <c r="S34" s="13">
        <f>SUMIF(Mercado_Receita!$S$2:$S$667,"44682B2BrancaRuralCooperativa de eletrificação ruralNão se aplicaNão se aplicaPonta",Mercado_Receita!$L$2:$L$667)</f>
        <v>0</v>
      </c>
      <c r="T34" s="13">
        <f>SUMIF(Mercado_Receita!$S$2:$S$667,"44713B2BrancaRuralCooperativa de eletrificação ruralNão se aplicaNão se aplicaPonta",Mercado_Receita!$L$2:$L$667)</f>
        <v>0</v>
      </c>
      <c r="U34" s="13">
        <f t="shared" ref="U34:U51" si="1">SUM(I34:T34)</f>
        <v>0</v>
      </c>
      <c r="V34" s="13"/>
      <c r="W34" s="13"/>
    </row>
    <row r="35" spans="1:23" ht="11.25" customHeight="1" x14ac:dyDescent="0.3">
      <c r="A35" s="118"/>
      <c r="B35" s="118"/>
      <c r="C35" s="118"/>
      <c r="D35" s="118"/>
      <c r="E35" s="118"/>
      <c r="F35" s="118"/>
      <c r="G35" s="13" t="s">
        <v>93</v>
      </c>
      <c r="H35" s="13" t="s">
        <v>76</v>
      </c>
      <c r="I35" s="13">
        <f>SUMIF(Mercado_Receita!$S$2:$S$667,"44378B2BrancaRuralCooperativa de eletrificação ruralNão se aplicaNão se aplicaIntermediário",Mercado_Receita!$L$2:$L$667)</f>
        <v>0</v>
      </c>
      <c r="J35" s="13">
        <f>SUMIF(Mercado_Receita!$S$2:$S$667,"44409B2BrancaRuralCooperativa de eletrificação ruralNão se aplicaNão se aplicaIntermediário",Mercado_Receita!$L$2:$L$667)</f>
        <v>0</v>
      </c>
      <c r="K35" s="13">
        <f>SUMIF(Mercado_Receita!$S$2:$S$667,"44440B2BrancaRuralCooperativa de eletrificação ruralNão se aplicaNão se aplicaIntermediário",Mercado_Receita!$L$2:$L$667)</f>
        <v>0</v>
      </c>
      <c r="L35" s="13">
        <f>SUMIF(Mercado_Receita!$S$2:$S$667,"44470B2BrancaRuralCooperativa de eletrificação ruralNão se aplicaNão se aplicaIntermediário",Mercado_Receita!$L$2:$L$667)</f>
        <v>0</v>
      </c>
      <c r="M35" s="13">
        <f>SUMIF(Mercado_Receita!$S$2:$S$667,"44501B2BrancaRuralCooperativa de eletrificação ruralNão se aplicaNão se aplicaIntermediário",Mercado_Receita!$L$2:$L$667)</f>
        <v>0</v>
      </c>
      <c r="N35" s="13">
        <f>SUMIF(Mercado_Receita!$S$2:$S$667,"44531B2BrancaRuralCooperativa de eletrificação ruralNão se aplicaNão se aplicaIntermediário",Mercado_Receita!$L$2:$L$667)</f>
        <v>0</v>
      </c>
      <c r="O35" s="13">
        <f>SUMIF(Mercado_Receita!$S$2:$S$667,"44562B2BrancaRuralCooperativa de eletrificação ruralNão se aplicaNão se aplicaIntermediário",Mercado_Receita!$L$2:$L$667)</f>
        <v>0</v>
      </c>
      <c r="P35" s="13">
        <f>SUMIF(Mercado_Receita!$S$2:$S$667,"44593B2BrancaRuralCooperativa de eletrificação ruralNão se aplicaNão se aplicaIntermediário",Mercado_Receita!$L$2:$L$667)</f>
        <v>0</v>
      </c>
      <c r="Q35" s="13">
        <f>SUMIF(Mercado_Receita!$S$2:$S$667,"44621B2BrancaRuralCooperativa de eletrificação ruralNão se aplicaNão se aplicaIntermediário",Mercado_Receita!$L$2:$L$667)</f>
        <v>0</v>
      </c>
      <c r="R35" s="13">
        <f>SUMIF(Mercado_Receita!$S$2:$S$667,"44652B2BrancaRuralCooperativa de eletrificação ruralNão se aplicaNão se aplicaIntermediário",Mercado_Receita!$L$2:$L$667)</f>
        <v>0</v>
      </c>
      <c r="S35" s="13">
        <f>SUMIF(Mercado_Receita!$S$2:$S$667,"44682B2BrancaRuralCooperativa de eletrificação ruralNão se aplicaNão se aplicaIntermediário",Mercado_Receita!$L$2:$L$667)</f>
        <v>0</v>
      </c>
      <c r="T35" s="13">
        <f>SUMIF(Mercado_Receita!$S$2:$S$667,"44713B2BrancaRuralCooperativa de eletrificação ruralNão se aplicaNão se aplicaIntermediário",Mercado_Receita!$L$2:$L$667)</f>
        <v>0</v>
      </c>
      <c r="U35" s="13">
        <f t="shared" si="1"/>
        <v>0</v>
      </c>
      <c r="V35" s="13"/>
      <c r="W35" s="13"/>
    </row>
    <row r="36" spans="1:23" ht="11.25" customHeight="1" x14ac:dyDescent="0.3">
      <c r="A36" s="118"/>
      <c r="B36" s="118"/>
      <c r="C36" s="118"/>
      <c r="D36" s="118"/>
      <c r="E36" s="118"/>
      <c r="F36" s="118"/>
      <c r="G36" s="13" t="s">
        <v>78</v>
      </c>
      <c r="H36" s="13" t="s">
        <v>76</v>
      </c>
      <c r="I36" s="13">
        <f>SUMIF(Mercado_Receita!$S$2:$S$667,"44378B2BrancaRuralCooperativa de eletrificação ruralNão se aplicaNão se aplicaFora ponta",Mercado_Receita!$L$2:$L$667)</f>
        <v>0</v>
      </c>
      <c r="J36" s="13">
        <f>SUMIF(Mercado_Receita!$S$2:$S$667,"44409B2BrancaRuralCooperativa de eletrificação ruralNão se aplicaNão se aplicaFora ponta",Mercado_Receita!$L$2:$L$667)</f>
        <v>0</v>
      </c>
      <c r="K36" s="13">
        <f>SUMIF(Mercado_Receita!$S$2:$S$667,"44440B2BrancaRuralCooperativa de eletrificação ruralNão se aplicaNão se aplicaFora ponta",Mercado_Receita!$L$2:$L$667)</f>
        <v>0</v>
      </c>
      <c r="L36" s="13">
        <f>SUMIF(Mercado_Receita!$S$2:$S$667,"44470B2BrancaRuralCooperativa de eletrificação ruralNão se aplicaNão se aplicaFora ponta",Mercado_Receita!$L$2:$L$667)</f>
        <v>0</v>
      </c>
      <c r="M36" s="13">
        <f>SUMIF(Mercado_Receita!$S$2:$S$667,"44501B2BrancaRuralCooperativa de eletrificação ruralNão se aplicaNão se aplicaFora ponta",Mercado_Receita!$L$2:$L$667)</f>
        <v>0</v>
      </c>
      <c r="N36" s="13">
        <f>SUMIF(Mercado_Receita!$S$2:$S$667,"44531B2BrancaRuralCooperativa de eletrificação ruralNão se aplicaNão se aplicaFora ponta",Mercado_Receita!$L$2:$L$667)</f>
        <v>0</v>
      </c>
      <c r="O36" s="13">
        <f>SUMIF(Mercado_Receita!$S$2:$S$667,"44562B2BrancaRuralCooperativa de eletrificação ruralNão se aplicaNão se aplicaFora ponta",Mercado_Receita!$L$2:$L$667)</f>
        <v>0</v>
      </c>
      <c r="P36" s="13">
        <f>SUMIF(Mercado_Receita!$S$2:$S$667,"44593B2BrancaRuralCooperativa de eletrificação ruralNão se aplicaNão se aplicaFora ponta",Mercado_Receita!$L$2:$L$667)</f>
        <v>0</v>
      </c>
      <c r="Q36" s="13">
        <f>SUMIF(Mercado_Receita!$S$2:$S$667,"44621B2BrancaRuralCooperativa de eletrificação ruralNão se aplicaNão se aplicaFora ponta",Mercado_Receita!$L$2:$L$667)</f>
        <v>0</v>
      </c>
      <c r="R36" s="13">
        <f>SUMIF(Mercado_Receita!$S$2:$S$667,"44652B2BrancaRuralCooperativa de eletrificação ruralNão se aplicaNão se aplicaFora ponta",Mercado_Receita!$L$2:$L$667)</f>
        <v>0</v>
      </c>
      <c r="S36" s="13">
        <f>SUMIF(Mercado_Receita!$S$2:$S$667,"44682B2BrancaRuralCooperativa de eletrificação ruralNão se aplicaNão se aplicaFora ponta",Mercado_Receita!$L$2:$L$667)</f>
        <v>0</v>
      </c>
      <c r="T36" s="13">
        <f>SUMIF(Mercado_Receita!$S$2:$S$667,"44713B2BrancaRuralCooperativa de eletrificação ruralNão se aplicaNão se aplicaFora ponta",Mercado_Receita!$L$2:$L$667)</f>
        <v>0</v>
      </c>
      <c r="U36" s="13">
        <f t="shared" si="1"/>
        <v>0</v>
      </c>
      <c r="V36" s="13"/>
      <c r="W36" s="13"/>
    </row>
    <row r="37" spans="1:23" ht="11.25" customHeight="1" x14ac:dyDescent="0.3">
      <c r="A37" s="118"/>
      <c r="B37" s="12" t="s">
        <v>23</v>
      </c>
      <c r="C37" s="12" t="s">
        <v>43</v>
      </c>
      <c r="D37" s="12" t="s">
        <v>96</v>
      </c>
      <c r="E37" s="12" t="s">
        <v>25</v>
      </c>
      <c r="F37" s="12" t="s">
        <v>25</v>
      </c>
      <c r="G37" s="13" t="s">
        <v>81</v>
      </c>
      <c r="H37" s="13" t="s">
        <v>76</v>
      </c>
      <c r="I37" s="13">
        <f>SUMIF(Mercado_Receita!$S$2:$S$667,"44378B2ConvencionalRuralCooperativa de eletrificação ruralNão se aplicaNão se aplicaPonta",Mercado_Receita!$L$2:$L$667)+SUMIF(Mercado_Receita!$S$2:$S$667,"44378B2ConvencionalRuralCooperativa de eletrificação ruralNão se aplicaNão se aplicaFora ponta",Mercado_Receita!$L$2:$L$667)+SUMIF(Mercado_Receita!$S$2:$S$667,"44378B2ConvencionalRuralCooperativa de eletrificação ruralNão se aplicaNão se aplicaIntermediário",Mercado_Receita!$L$2:$L$667)+SUMIF(Mercado_Receita!$S$2:$S$667,"44378B2ConvencionalRuralCooperativa de eletrificação ruralNão se aplicaNão se aplicaNão se aplica",Mercado_Receita!$L$2:$L$667)</f>
        <v>0</v>
      </c>
      <c r="J37" s="13">
        <f>SUMIF(Mercado_Receita!$S$2:$S$667,"44409B2ConvencionalRuralCooperativa de eletrificação ruralNão se aplicaNão se aplicaPonta",Mercado_Receita!$L$2:$L$667)+SUMIF(Mercado_Receita!$S$2:$S$667,"44409B2ConvencionalRuralCooperativa de eletrificação ruralNão se aplicaNão se aplicaFora ponta",Mercado_Receita!$L$2:$L$667)+SUMIF(Mercado_Receita!$S$2:$S$667,"44409B2ConvencionalRuralCooperativa de eletrificação ruralNão se aplicaNão se aplicaIntermediário",Mercado_Receita!$L$2:$L$667)+SUMIF(Mercado_Receita!$S$2:$S$667,"44409B2ConvencionalRuralCooperativa de eletrificação ruralNão se aplicaNão se aplicaNão se aplica",Mercado_Receita!$L$2:$L$667)</f>
        <v>0</v>
      </c>
      <c r="K37" s="13">
        <f>SUMIF(Mercado_Receita!$S$2:$S$667,"44440B2ConvencionalRuralCooperativa de eletrificação ruralNão se aplicaNão se aplicaPonta",Mercado_Receita!$L$2:$L$667)+SUMIF(Mercado_Receita!$S$2:$S$667,"44440B2ConvencionalRuralCooperativa de eletrificação ruralNão se aplicaNão se aplicaFora ponta",Mercado_Receita!$L$2:$L$667)+SUMIF(Mercado_Receita!$S$2:$S$667,"44440B2ConvencionalRuralCooperativa de eletrificação ruralNão se aplicaNão se aplicaIntermediário",Mercado_Receita!$L$2:$L$667)+SUMIF(Mercado_Receita!$S$2:$S$667,"44440B2ConvencionalRuralCooperativa de eletrificação ruralNão se aplicaNão se aplicaNão se aplica",Mercado_Receita!$L$2:$L$667)</f>
        <v>0</v>
      </c>
      <c r="L37" s="13">
        <f>SUMIF(Mercado_Receita!$S$2:$S$667,"44470B2ConvencionalRuralCooperativa de eletrificação ruralNão se aplicaNão se aplicaPonta",Mercado_Receita!$L$2:$L$667)+SUMIF(Mercado_Receita!$S$2:$S$667,"44470B2ConvencionalRuralCooperativa de eletrificação ruralNão se aplicaNão se aplicaFora ponta",Mercado_Receita!$L$2:$L$667)+SUMIF(Mercado_Receita!$S$2:$S$667,"44470B2ConvencionalRuralCooperativa de eletrificação ruralNão se aplicaNão se aplicaIntermediário",Mercado_Receita!$L$2:$L$667)+SUMIF(Mercado_Receita!$S$2:$S$667,"44470B2ConvencionalRuralCooperativa de eletrificação ruralNão se aplicaNão se aplicaNão se aplica",Mercado_Receita!$L$2:$L$667)</f>
        <v>0</v>
      </c>
      <c r="M37" s="13">
        <f>SUMIF(Mercado_Receita!$S$2:$S$667,"44501B2ConvencionalRuralCooperativa de eletrificação ruralNão se aplicaNão se aplicaPonta",Mercado_Receita!$L$2:$L$667)+SUMIF(Mercado_Receita!$S$2:$S$667,"44501B2ConvencionalRuralCooperativa de eletrificação ruralNão se aplicaNão se aplicaFora ponta",Mercado_Receita!$L$2:$L$667)+SUMIF(Mercado_Receita!$S$2:$S$667,"44501B2ConvencionalRuralCooperativa de eletrificação ruralNão se aplicaNão se aplicaIntermediário",Mercado_Receita!$L$2:$L$667)+SUMIF(Mercado_Receita!$S$2:$S$667,"44501B2ConvencionalRuralCooperativa de eletrificação ruralNão se aplicaNão se aplicaNão se aplica",Mercado_Receita!$L$2:$L$667)</f>
        <v>0</v>
      </c>
      <c r="N37" s="13">
        <f>SUMIF(Mercado_Receita!$S$2:$S$667,"44531B2ConvencionalRuralCooperativa de eletrificação ruralNão se aplicaNão se aplicaPonta",Mercado_Receita!$L$2:$L$667)+SUMIF(Mercado_Receita!$S$2:$S$667,"44531B2ConvencionalRuralCooperativa de eletrificação ruralNão se aplicaNão se aplicaFora ponta",Mercado_Receita!$L$2:$L$667)+SUMIF(Mercado_Receita!$S$2:$S$667,"44531B2ConvencionalRuralCooperativa de eletrificação ruralNão se aplicaNão se aplicaIntermediário",Mercado_Receita!$L$2:$L$667)+SUMIF(Mercado_Receita!$S$2:$S$667,"44531B2ConvencionalRuralCooperativa de eletrificação ruralNão se aplicaNão se aplicaNão se aplica",Mercado_Receita!$L$2:$L$667)</f>
        <v>0</v>
      </c>
      <c r="O37" s="13">
        <f>SUMIF(Mercado_Receita!$S$2:$S$667,"44562B2ConvencionalRuralCooperativa de eletrificação ruralNão se aplicaNão se aplicaPonta",Mercado_Receita!$L$2:$L$667)+SUMIF(Mercado_Receita!$S$2:$S$667,"44562B2ConvencionalRuralCooperativa de eletrificação ruralNão se aplicaNão se aplicaFora ponta",Mercado_Receita!$L$2:$L$667)+SUMIF(Mercado_Receita!$S$2:$S$667,"44562B2ConvencionalRuralCooperativa de eletrificação ruralNão se aplicaNão se aplicaIntermediário",Mercado_Receita!$L$2:$L$667)+SUMIF(Mercado_Receita!$S$2:$S$667,"44562B2ConvencionalRuralCooperativa de eletrificação ruralNão se aplicaNão se aplicaNão se aplica",Mercado_Receita!$L$2:$L$667)</f>
        <v>0</v>
      </c>
      <c r="P37" s="13">
        <f>SUMIF(Mercado_Receita!$S$2:$S$667,"44593B2ConvencionalRuralCooperativa de eletrificação ruralNão se aplicaNão se aplicaPonta",Mercado_Receita!$L$2:$L$667)+SUMIF(Mercado_Receita!$S$2:$S$667,"44593B2ConvencionalRuralCooperativa de eletrificação ruralNão se aplicaNão se aplicaFora ponta",Mercado_Receita!$L$2:$L$667)+SUMIF(Mercado_Receita!$S$2:$S$667,"44593B2ConvencionalRuralCooperativa de eletrificação ruralNão se aplicaNão se aplicaIntermediário",Mercado_Receita!$L$2:$L$667)+SUMIF(Mercado_Receita!$S$2:$S$667,"44593B2ConvencionalRuralCooperativa de eletrificação ruralNão se aplicaNão se aplicaNão se aplica",Mercado_Receita!$L$2:$L$667)</f>
        <v>0</v>
      </c>
      <c r="Q37" s="13">
        <f>SUMIF(Mercado_Receita!$S$2:$S$667,"44621B2ConvencionalRuralCooperativa de eletrificação ruralNão se aplicaNão se aplicaPonta",Mercado_Receita!$L$2:$L$667)+SUMIF(Mercado_Receita!$S$2:$S$667,"44621B2ConvencionalRuralCooperativa de eletrificação ruralNão se aplicaNão se aplicaFora ponta",Mercado_Receita!$L$2:$L$667)+SUMIF(Mercado_Receita!$S$2:$S$667,"44621B2ConvencionalRuralCooperativa de eletrificação ruralNão se aplicaNão se aplicaIntermediário",Mercado_Receita!$L$2:$L$667)+SUMIF(Mercado_Receita!$S$2:$S$667,"44621B2ConvencionalRuralCooperativa de eletrificação ruralNão se aplicaNão se aplicaNão se aplica",Mercado_Receita!$L$2:$L$667)</f>
        <v>0</v>
      </c>
      <c r="R37" s="13">
        <f>SUMIF(Mercado_Receita!$S$2:$S$667,"44652B2ConvencionalRuralCooperativa de eletrificação ruralNão se aplicaNão se aplicaPonta",Mercado_Receita!$L$2:$L$667)+SUMIF(Mercado_Receita!$S$2:$S$667,"44652B2ConvencionalRuralCooperativa de eletrificação ruralNão se aplicaNão se aplicaFora ponta",Mercado_Receita!$L$2:$L$667)+SUMIF(Mercado_Receita!$S$2:$S$667,"44652B2ConvencionalRuralCooperativa de eletrificação ruralNão se aplicaNão se aplicaIntermediário",Mercado_Receita!$L$2:$L$667)+SUMIF(Mercado_Receita!$S$2:$S$667,"44652B2ConvencionalRuralCooperativa de eletrificação ruralNão se aplicaNão se aplicaNão se aplica",Mercado_Receita!$L$2:$L$667)</f>
        <v>0</v>
      </c>
      <c r="S37" s="13">
        <f>SUMIF(Mercado_Receita!$S$2:$S$667,"44682B2ConvencionalRuralCooperativa de eletrificação ruralNão se aplicaNão se aplicaPonta",Mercado_Receita!$L$2:$L$667)+SUMIF(Mercado_Receita!$S$2:$S$667,"44682B2ConvencionalRuralCooperativa de eletrificação ruralNão se aplicaNão se aplicaFora ponta",Mercado_Receita!$L$2:$L$667)+SUMIF(Mercado_Receita!$S$2:$S$667,"44682B2ConvencionalRuralCooperativa de eletrificação ruralNão se aplicaNão se aplicaIntermediário",Mercado_Receita!$L$2:$L$667)+SUMIF(Mercado_Receita!$S$2:$S$667,"44682B2ConvencionalRuralCooperativa de eletrificação ruralNão se aplicaNão se aplicaNão se aplica",Mercado_Receita!$L$2:$L$667)</f>
        <v>0</v>
      </c>
      <c r="T37" s="13">
        <f>SUMIF(Mercado_Receita!$S$2:$S$667,"44713B2ConvencionalRuralCooperativa de eletrificação ruralNão se aplicaNão se aplicaPonta",Mercado_Receita!$L$2:$L$667)+SUMIF(Mercado_Receita!$S$2:$S$667,"44713B2ConvencionalRuralCooperativa de eletrificação ruralNão se aplicaNão se aplicaFora ponta",Mercado_Receita!$L$2:$L$667)+SUMIF(Mercado_Receita!$S$2:$S$667,"44713B2ConvencionalRuralCooperativa de eletrificação ruralNão se aplicaNão se aplicaIntermediário",Mercado_Receita!$L$2:$L$667)+SUMIF(Mercado_Receita!$S$2:$S$667,"44713B2ConvencionalRuralCooperativa de eletrificação ruralNão se aplicaNão se aplicaNão se aplica",Mercado_Receita!$L$2:$L$667)</f>
        <v>0</v>
      </c>
      <c r="U37" s="13">
        <f t="shared" si="1"/>
        <v>0</v>
      </c>
      <c r="V37" s="13"/>
      <c r="W37" s="13"/>
    </row>
    <row r="38" spans="1:23" ht="11.25" customHeight="1" x14ac:dyDescent="0.3">
      <c r="A38" s="118"/>
      <c r="B38" s="117" t="s">
        <v>33</v>
      </c>
      <c r="C38" s="117" t="s">
        <v>43</v>
      </c>
      <c r="D38" s="117" t="s">
        <v>97</v>
      </c>
      <c r="E38" s="117" t="s">
        <v>25</v>
      </c>
      <c r="F38" s="117" t="s">
        <v>25</v>
      </c>
      <c r="G38" s="13" t="s">
        <v>77</v>
      </c>
      <c r="H38" s="13" t="s">
        <v>76</v>
      </c>
      <c r="I38" s="13">
        <f>SUMIF(Mercado_Receita!$S$2:$S$667,"44378B2BrancaRuralServiço público de irrigação ruralNão se aplicaNão se aplicaPonta",Mercado_Receita!$L$2:$L$667)</f>
        <v>0</v>
      </c>
      <c r="J38" s="13">
        <f>SUMIF(Mercado_Receita!$S$2:$S$667,"44409B2BrancaRuralServiço público de irrigação ruralNão se aplicaNão se aplicaPonta",Mercado_Receita!$L$2:$L$667)</f>
        <v>0</v>
      </c>
      <c r="K38" s="13">
        <f>SUMIF(Mercado_Receita!$S$2:$S$667,"44440B2BrancaRuralServiço público de irrigação ruralNão se aplicaNão se aplicaPonta",Mercado_Receita!$L$2:$L$667)</f>
        <v>0</v>
      </c>
      <c r="L38" s="13">
        <f>SUMIF(Mercado_Receita!$S$2:$S$667,"44470B2BrancaRuralServiço público de irrigação ruralNão se aplicaNão se aplicaPonta",Mercado_Receita!$L$2:$L$667)</f>
        <v>0</v>
      </c>
      <c r="M38" s="13">
        <f>SUMIF(Mercado_Receita!$S$2:$S$667,"44501B2BrancaRuralServiço público de irrigação ruralNão se aplicaNão se aplicaPonta",Mercado_Receita!$L$2:$L$667)</f>
        <v>0</v>
      </c>
      <c r="N38" s="13">
        <f>SUMIF(Mercado_Receita!$S$2:$S$667,"44531B2BrancaRuralServiço público de irrigação ruralNão se aplicaNão se aplicaPonta",Mercado_Receita!$L$2:$L$667)</f>
        <v>0</v>
      </c>
      <c r="O38" s="13">
        <f>SUMIF(Mercado_Receita!$S$2:$S$667,"44562B2BrancaRuralServiço público de irrigação ruralNão se aplicaNão se aplicaPonta",Mercado_Receita!$L$2:$L$667)</f>
        <v>0</v>
      </c>
      <c r="P38" s="13">
        <f>SUMIF(Mercado_Receita!$S$2:$S$667,"44593B2BrancaRuralServiço público de irrigação ruralNão se aplicaNão se aplicaPonta",Mercado_Receita!$L$2:$L$667)</f>
        <v>0</v>
      </c>
      <c r="Q38" s="13">
        <f>SUMIF(Mercado_Receita!$S$2:$S$667,"44621B2BrancaRuralServiço público de irrigação ruralNão se aplicaNão se aplicaPonta",Mercado_Receita!$L$2:$L$667)</f>
        <v>0</v>
      </c>
      <c r="R38" s="13">
        <f>SUMIF(Mercado_Receita!$S$2:$S$667,"44652B2BrancaRuralServiço público de irrigação ruralNão se aplicaNão se aplicaPonta",Mercado_Receita!$L$2:$L$667)</f>
        <v>0</v>
      </c>
      <c r="S38" s="13">
        <f>SUMIF(Mercado_Receita!$S$2:$S$667,"44682B2BrancaRuralServiço público de irrigação ruralNão se aplicaNão se aplicaPonta",Mercado_Receita!$L$2:$L$667)</f>
        <v>0</v>
      </c>
      <c r="T38" s="13">
        <f>SUMIF(Mercado_Receita!$S$2:$S$667,"44713B2BrancaRuralServiço público de irrigação ruralNão se aplicaNão se aplicaPonta",Mercado_Receita!$L$2:$L$667)</f>
        <v>0</v>
      </c>
      <c r="U38" s="13">
        <f t="shared" si="1"/>
        <v>0</v>
      </c>
      <c r="V38" s="13"/>
      <c r="W38" s="13"/>
    </row>
    <row r="39" spans="1:23" ht="11.25" customHeight="1" x14ac:dyDescent="0.3">
      <c r="A39" s="118"/>
      <c r="B39" s="118"/>
      <c r="C39" s="118"/>
      <c r="D39" s="118"/>
      <c r="E39" s="118"/>
      <c r="F39" s="118"/>
      <c r="G39" s="13" t="s">
        <v>93</v>
      </c>
      <c r="H39" s="13" t="s">
        <v>76</v>
      </c>
      <c r="I39" s="13">
        <f>SUMIF(Mercado_Receita!$S$2:$S$667,"44378B2BrancaRuralServiço público de irrigação ruralNão se aplicaNão se aplicaIntermediário",Mercado_Receita!$L$2:$L$667)</f>
        <v>0</v>
      </c>
      <c r="J39" s="13">
        <f>SUMIF(Mercado_Receita!$S$2:$S$667,"44409B2BrancaRuralServiço público de irrigação ruralNão se aplicaNão se aplicaIntermediário",Mercado_Receita!$L$2:$L$667)</f>
        <v>0</v>
      </c>
      <c r="K39" s="13">
        <f>SUMIF(Mercado_Receita!$S$2:$S$667,"44440B2BrancaRuralServiço público de irrigação ruralNão se aplicaNão se aplicaIntermediário",Mercado_Receita!$L$2:$L$667)</f>
        <v>0</v>
      </c>
      <c r="L39" s="13">
        <f>SUMIF(Mercado_Receita!$S$2:$S$667,"44470B2BrancaRuralServiço público de irrigação ruralNão se aplicaNão se aplicaIntermediário",Mercado_Receita!$L$2:$L$667)</f>
        <v>0</v>
      </c>
      <c r="M39" s="13">
        <f>SUMIF(Mercado_Receita!$S$2:$S$667,"44501B2BrancaRuralServiço público de irrigação ruralNão se aplicaNão se aplicaIntermediário",Mercado_Receita!$L$2:$L$667)</f>
        <v>0</v>
      </c>
      <c r="N39" s="13">
        <f>SUMIF(Mercado_Receita!$S$2:$S$667,"44531B2BrancaRuralServiço público de irrigação ruralNão se aplicaNão se aplicaIntermediário",Mercado_Receita!$L$2:$L$667)</f>
        <v>0</v>
      </c>
      <c r="O39" s="13">
        <f>SUMIF(Mercado_Receita!$S$2:$S$667,"44562B2BrancaRuralServiço público de irrigação ruralNão se aplicaNão se aplicaIntermediário",Mercado_Receita!$L$2:$L$667)</f>
        <v>0</v>
      </c>
      <c r="P39" s="13">
        <f>SUMIF(Mercado_Receita!$S$2:$S$667,"44593B2BrancaRuralServiço público de irrigação ruralNão se aplicaNão se aplicaIntermediário",Mercado_Receita!$L$2:$L$667)</f>
        <v>0</v>
      </c>
      <c r="Q39" s="13">
        <f>SUMIF(Mercado_Receita!$S$2:$S$667,"44621B2BrancaRuralServiço público de irrigação ruralNão se aplicaNão se aplicaIntermediário",Mercado_Receita!$L$2:$L$667)</f>
        <v>0</v>
      </c>
      <c r="R39" s="13">
        <f>SUMIF(Mercado_Receita!$S$2:$S$667,"44652B2BrancaRuralServiço público de irrigação ruralNão se aplicaNão se aplicaIntermediário",Mercado_Receita!$L$2:$L$667)</f>
        <v>0</v>
      </c>
      <c r="S39" s="13">
        <f>SUMIF(Mercado_Receita!$S$2:$S$667,"44682B2BrancaRuralServiço público de irrigação ruralNão se aplicaNão se aplicaIntermediário",Mercado_Receita!$L$2:$L$667)</f>
        <v>0</v>
      </c>
      <c r="T39" s="13">
        <f>SUMIF(Mercado_Receita!$S$2:$S$667,"44713B2BrancaRuralServiço público de irrigação ruralNão se aplicaNão se aplicaIntermediário",Mercado_Receita!$L$2:$L$667)</f>
        <v>0</v>
      </c>
      <c r="U39" s="13">
        <f t="shared" si="1"/>
        <v>0</v>
      </c>
      <c r="V39" s="13"/>
      <c r="W39" s="13"/>
    </row>
    <row r="40" spans="1:23" ht="11.25" customHeight="1" x14ac:dyDescent="0.3">
      <c r="A40" s="118"/>
      <c r="B40" s="118"/>
      <c r="C40" s="118"/>
      <c r="D40" s="118"/>
      <c r="E40" s="118"/>
      <c r="F40" s="118"/>
      <c r="G40" s="13" t="s">
        <v>78</v>
      </c>
      <c r="H40" s="13" t="s">
        <v>76</v>
      </c>
      <c r="I40" s="13">
        <f>SUMIF(Mercado_Receita!$S$2:$S$667,"44378B2BrancaRuralServiço público de irrigação ruralNão se aplicaNão se aplicaFora ponta",Mercado_Receita!$L$2:$L$667)</f>
        <v>0</v>
      </c>
      <c r="J40" s="13">
        <f>SUMIF(Mercado_Receita!$S$2:$S$667,"44409B2BrancaRuralServiço público de irrigação ruralNão se aplicaNão se aplicaFora ponta",Mercado_Receita!$L$2:$L$667)</f>
        <v>0</v>
      </c>
      <c r="K40" s="13">
        <f>SUMIF(Mercado_Receita!$S$2:$S$667,"44440B2BrancaRuralServiço público de irrigação ruralNão se aplicaNão se aplicaFora ponta",Mercado_Receita!$L$2:$L$667)</f>
        <v>0</v>
      </c>
      <c r="L40" s="13">
        <f>SUMIF(Mercado_Receita!$S$2:$S$667,"44470B2BrancaRuralServiço público de irrigação ruralNão se aplicaNão se aplicaFora ponta",Mercado_Receita!$L$2:$L$667)</f>
        <v>0</v>
      </c>
      <c r="M40" s="13">
        <f>SUMIF(Mercado_Receita!$S$2:$S$667,"44501B2BrancaRuralServiço público de irrigação ruralNão se aplicaNão se aplicaFora ponta",Mercado_Receita!$L$2:$L$667)</f>
        <v>0</v>
      </c>
      <c r="N40" s="13">
        <f>SUMIF(Mercado_Receita!$S$2:$S$667,"44531B2BrancaRuralServiço público de irrigação ruralNão se aplicaNão se aplicaFora ponta",Mercado_Receita!$L$2:$L$667)</f>
        <v>0</v>
      </c>
      <c r="O40" s="13">
        <f>SUMIF(Mercado_Receita!$S$2:$S$667,"44562B2BrancaRuralServiço público de irrigação ruralNão se aplicaNão se aplicaFora ponta",Mercado_Receita!$L$2:$L$667)</f>
        <v>0</v>
      </c>
      <c r="P40" s="13">
        <f>SUMIF(Mercado_Receita!$S$2:$S$667,"44593B2BrancaRuralServiço público de irrigação ruralNão se aplicaNão se aplicaFora ponta",Mercado_Receita!$L$2:$L$667)</f>
        <v>0</v>
      </c>
      <c r="Q40" s="13">
        <f>SUMIF(Mercado_Receita!$S$2:$S$667,"44621B2BrancaRuralServiço público de irrigação ruralNão se aplicaNão se aplicaFora ponta",Mercado_Receita!$L$2:$L$667)</f>
        <v>0</v>
      </c>
      <c r="R40" s="13">
        <f>SUMIF(Mercado_Receita!$S$2:$S$667,"44652B2BrancaRuralServiço público de irrigação ruralNão se aplicaNão se aplicaFora ponta",Mercado_Receita!$L$2:$L$667)</f>
        <v>0</v>
      </c>
      <c r="S40" s="13">
        <f>SUMIF(Mercado_Receita!$S$2:$S$667,"44682B2BrancaRuralServiço público de irrigação ruralNão se aplicaNão se aplicaFora ponta",Mercado_Receita!$L$2:$L$667)</f>
        <v>0</v>
      </c>
      <c r="T40" s="13">
        <f>SUMIF(Mercado_Receita!$S$2:$S$667,"44713B2BrancaRuralServiço público de irrigação ruralNão se aplicaNão se aplicaFora ponta",Mercado_Receita!$L$2:$L$667)</f>
        <v>0</v>
      </c>
      <c r="U40" s="13">
        <f t="shared" si="1"/>
        <v>0</v>
      </c>
      <c r="V40" s="13"/>
      <c r="W40" s="13"/>
    </row>
    <row r="41" spans="1:23" ht="11.25" customHeight="1" x14ac:dyDescent="0.3">
      <c r="A41" s="118"/>
      <c r="B41" s="12" t="s">
        <v>23</v>
      </c>
      <c r="C41" s="12" t="s">
        <v>43</v>
      </c>
      <c r="D41" s="12" t="s">
        <v>97</v>
      </c>
      <c r="E41" s="12" t="s">
        <v>25</v>
      </c>
      <c r="F41" s="12" t="s">
        <v>25</v>
      </c>
      <c r="G41" s="13" t="s">
        <v>81</v>
      </c>
      <c r="H41" s="13" t="s">
        <v>76</v>
      </c>
      <c r="I41" s="13">
        <f>SUMIF(Mercado_Receita!$S$2:$S$667,"44378B2ConvencionalRuralServiço público de irrigação ruralNão se aplicaNão se aplicaPonta",Mercado_Receita!$L$2:$L$667)+SUMIF(Mercado_Receita!$S$2:$S$667,"44378B2ConvencionalRuralServiço público de irrigação ruralNão se aplicaNão se aplicaFora ponta",Mercado_Receita!$L$2:$L$667)+SUMIF(Mercado_Receita!$S$2:$S$667,"44378B2ConvencionalRuralServiço público de irrigação ruralNão se aplicaNão se aplicaIntermediário",Mercado_Receita!$L$2:$L$667)+SUMIF(Mercado_Receita!$S$2:$S$667,"44378B2ConvencionalRuralServiço público de irrigação ruralNão se aplicaNão se aplicaNão se aplica",Mercado_Receita!$L$2:$L$667)</f>
        <v>0</v>
      </c>
      <c r="J41" s="13">
        <f>SUMIF(Mercado_Receita!$S$2:$S$667,"44409B2ConvencionalRuralServiço público de irrigação ruralNão se aplicaNão se aplicaPonta",Mercado_Receita!$L$2:$L$667)+SUMIF(Mercado_Receita!$S$2:$S$667,"44409B2ConvencionalRuralServiço público de irrigação ruralNão se aplicaNão se aplicaFora ponta",Mercado_Receita!$L$2:$L$667)+SUMIF(Mercado_Receita!$S$2:$S$667,"44409B2ConvencionalRuralServiço público de irrigação ruralNão se aplicaNão se aplicaIntermediário",Mercado_Receita!$L$2:$L$667)+SUMIF(Mercado_Receita!$S$2:$S$667,"44409B2ConvencionalRuralServiço público de irrigação ruralNão se aplicaNão se aplicaNão se aplica",Mercado_Receita!$L$2:$L$667)</f>
        <v>0</v>
      </c>
      <c r="K41" s="13">
        <f>SUMIF(Mercado_Receita!$S$2:$S$667,"44440B2ConvencionalRuralServiço público de irrigação ruralNão se aplicaNão se aplicaPonta",Mercado_Receita!$L$2:$L$667)+SUMIF(Mercado_Receita!$S$2:$S$667,"44440B2ConvencionalRuralServiço público de irrigação ruralNão se aplicaNão se aplicaFora ponta",Mercado_Receita!$L$2:$L$667)+SUMIF(Mercado_Receita!$S$2:$S$667,"44440B2ConvencionalRuralServiço público de irrigação ruralNão se aplicaNão se aplicaIntermediário",Mercado_Receita!$L$2:$L$667)+SUMIF(Mercado_Receita!$S$2:$S$667,"44440B2ConvencionalRuralServiço público de irrigação ruralNão se aplicaNão se aplicaNão se aplica",Mercado_Receita!$L$2:$L$667)</f>
        <v>0</v>
      </c>
      <c r="L41" s="13">
        <f>SUMIF(Mercado_Receita!$S$2:$S$667,"44470B2ConvencionalRuralServiço público de irrigação ruralNão se aplicaNão se aplicaPonta",Mercado_Receita!$L$2:$L$667)+SUMIF(Mercado_Receita!$S$2:$S$667,"44470B2ConvencionalRuralServiço público de irrigação ruralNão se aplicaNão se aplicaFora ponta",Mercado_Receita!$L$2:$L$667)+SUMIF(Mercado_Receita!$S$2:$S$667,"44470B2ConvencionalRuralServiço público de irrigação ruralNão se aplicaNão se aplicaIntermediário",Mercado_Receita!$L$2:$L$667)+SUMIF(Mercado_Receita!$S$2:$S$667,"44470B2ConvencionalRuralServiço público de irrigação ruralNão se aplicaNão se aplicaNão se aplica",Mercado_Receita!$L$2:$L$667)</f>
        <v>0</v>
      </c>
      <c r="M41" s="13">
        <f>SUMIF(Mercado_Receita!$S$2:$S$667,"44501B2ConvencionalRuralServiço público de irrigação ruralNão se aplicaNão se aplicaPonta",Mercado_Receita!$L$2:$L$667)+SUMIF(Mercado_Receita!$S$2:$S$667,"44501B2ConvencionalRuralServiço público de irrigação ruralNão se aplicaNão se aplicaFora ponta",Mercado_Receita!$L$2:$L$667)+SUMIF(Mercado_Receita!$S$2:$S$667,"44501B2ConvencionalRuralServiço público de irrigação ruralNão se aplicaNão se aplicaIntermediário",Mercado_Receita!$L$2:$L$667)+SUMIF(Mercado_Receita!$S$2:$S$667,"44501B2ConvencionalRuralServiço público de irrigação ruralNão se aplicaNão se aplicaNão se aplica",Mercado_Receita!$L$2:$L$667)</f>
        <v>0</v>
      </c>
      <c r="N41" s="13">
        <f>SUMIF(Mercado_Receita!$S$2:$S$667,"44531B2ConvencionalRuralServiço público de irrigação ruralNão se aplicaNão se aplicaPonta",Mercado_Receita!$L$2:$L$667)+SUMIF(Mercado_Receita!$S$2:$S$667,"44531B2ConvencionalRuralServiço público de irrigação ruralNão se aplicaNão se aplicaFora ponta",Mercado_Receita!$L$2:$L$667)+SUMIF(Mercado_Receita!$S$2:$S$667,"44531B2ConvencionalRuralServiço público de irrigação ruralNão se aplicaNão se aplicaIntermediário",Mercado_Receita!$L$2:$L$667)+SUMIF(Mercado_Receita!$S$2:$S$667,"44531B2ConvencionalRuralServiço público de irrigação ruralNão se aplicaNão se aplicaNão se aplica",Mercado_Receita!$L$2:$L$667)</f>
        <v>0</v>
      </c>
      <c r="O41" s="13">
        <f>SUMIF(Mercado_Receita!$S$2:$S$667,"44562B2ConvencionalRuralServiço público de irrigação ruralNão se aplicaNão se aplicaPonta",Mercado_Receita!$L$2:$L$667)+SUMIF(Mercado_Receita!$S$2:$S$667,"44562B2ConvencionalRuralServiço público de irrigação ruralNão se aplicaNão se aplicaFora ponta",Mercado_Receita!$L$2:$L$667)+SUMIF(Mercado_Receita!$S$2:$S$667,"44562B2ConvencionalRuralServiço público de irrigação ruralNão se aplicaNão se aplicaIntermediário",Mercado_Receita!$L$2:$L$667)+SUMIF(Mercado_Receita!$S$2:$S$667,"44562B2ConvencionalRuralServiço público de irrigação ruralNão se aplicaNão se aplicaNão se aplica",Mercado_Receita!$L$2:$L$667)</f>
        <v>0</v>
      </c>
      <c r="P41" s="13">
        <f>SUMIF(Mercado_Receita!$S$2:$S$667,"44593B2ConvencionalRuralServiço público de irrigação ruralNão se aplicaNão se aplicaPonta",Mercado_Receita!$L$2:$L$667)+SUMIF(Mercado_Receita!$S$2:$S$667,"44593B2ConvencionalRuralServiço público de irrigação ruralNão se aplicaNão se aplicaFora ponta",Mercado_Receita!$L$2:$L$667)+SUMIF(Mercado_Receita!$S$2:$S$667,"44593B2ConvencionalRuralServiço público de irrigação ruralNão se aplicaNão se aplicaIntermediário",Mercado_Receita!$L$2:$L$667)+SUMIF(Mercado_Receita!$S$2:$S$667,"44593B2ConvencionalRuralServiço público de irrigação ruralNão se aplicaNão se aplicaNão se aplica",Mercado_Receita!$L$2:$L$667)</f>
        <v>0</v>
      </c>
      <c r="Q41" s="13">
        <f>SUMIF(Mercado_Receita!$S$2:$S$667,"44621B2ConvencionalRuralServiço público de irrigação ruralNão se aplicaNão se aplicaPonta",Mercado_Receita!$L$2:$L$667)+SUMIF(Mercado_Receita!$S$2:$S$667,"44621B2ConvencionalRuralServiço público de irrigação ruralNão se aplicaNão se aplicaFora ponta",Mercado_Receita!$L$2:$L$667)+SUMIF(Mercado_Receita!$S$2:$S$667,"44621B2ConvencionalRuralServiço público de irrigação ruralNão se aplicaNão se aplicaIntermediário",Mercado_Receita!$L$2:$L$667)+SUMIF(Mercado_Receita!$S$2:$S$667,"44621B2ConvencionalRuralServiço público de irrigação ruralNão se aplicaNão se aplicaNão se aplica",Mercado_Receita!$L$2:$L$667)</f>
        <v>0</v>
      </c>
      <c r="R41" s="13">
        <f>SUMIF(Mercado_Receita!$S$2:$S$667,"44652B2ConvencionalRuralServiço público de irrigação ruralNão se aplicaNão se aplicaPonta",Mercado_Receita!$L$2:$L$667)+SUMIF(Mercado_Receita!$S$2:$S$667,"44652B2ConvencionalRuralServiço público de irrigação ruralNão se aplicaNão se aplicaFora ponta",Mercado_Receita!$L$2:$L$667)+SUMIF(Mercado_Receita!$S$2:$S$667,"44652B2ConvencionalRuralServiço público de irrigação ruralNão se aplicaNão se aplicaIntermediário",Mercado_Receita!$L$2:$L$667)+SUMIF(Mercado_Receita!$S$2:$S$667,"44652B2ConvencionalRuralServiço público de irrigação ruralNão se aplicaNão se aplicaNão se aplica",Mercado_Receita!$L$2:$L$667)</f>
        <v>0</v>
      </c>
      <c r="S41" s="13">
        <f>SUMIF(Mercado_Receita!$S$2:$S$667,"44682B2ConvencionalRuralServiço público de irrigação ruralNão se aplicaNão se aplicaPonta",Mercado_Receita!$L$2:$L$667)+SUMIF(Mercado_Receita!$S$2:$S$667,"44682B2ConvencionalRuralServiço público de irrigação ruralNão se aplicaNão se aplicaFora ponta",Mercado_Receita!$L$2:$L$667)+SUMIF(Mercado_Receita!$S$2:$S$667,"44682B2ConvencionalRuralServiço público de irrigação ruralNão se aplicaNão se aplicaIntermediário",Mercado_Receita!$L$2:$L$667)+SUMIF(Mercado_Receita!$S$2:$S$667,"44682B2ConvencionalRuralServiço público de irrigação ruralNão se aplicaNão se aplicaNão se aplica",Mercado_Receita!$L$2:$L$667)</f>
        <v>0</v>
      </c>
      <c r="T41" s="13">
        <f>SUMIF(Mercado_Receita!$S$2:$S$667,"44713B2ConvencionalRuralServiço público de irrigação ruralNão se aplicaNão se aplicaPonta",Mercado_Receita!$L$2:$L$667)+SUMIF(Mercado_Receita!$S$2:$S$667,"44713B2ConvencionalRuralServiço público de irrigação ruralNão se aplicaNão se aplicaFora ponta",Mercado_Receita!$L$2:$L$667)+SUMIF(Mercado_Receita!$S$2:$S$667,"44713B2ConvencionalRuralServiço público de irrigação ruralNão se aplicaNão se aplicaIntermediário",Mercado_Receita!$L$2:$L$667)+SUMIF(Mercado_Receita!$S$2:$S$667,"44713B2ConvencionalRuralServiço público de irrigação ruralNão se aplicaNão se aplicaNão se aplica",Mercado_Receita!$L$2:$L$667)</f>
        <v>0</v>
      </c>
      <c r="U41" s="13">
        <f t="shared" si="1"/>
        <v>0</v>
      </c>
      <c r="V41" s="13"/>
      <c r="W41" s="13"/>
    </row>
    <row r="42" spans="1:23" ht="11.25" customHeight="1" x14ac:dyDescent="0.3">
      <c r="A42" s="118"/>
      <c r="B42" s="117" t="s">
        <v>95</v>
      </c>
      <c r="C42" s="117" t="s">
        <v>43</v>
      </c>
      <c r="D42" s="12" t="s">
        <v>25</v>
      </c>
      <c r="E42" s="12" t="s">
        <v>25</v>
      </c>
      <c r="F42" s="12" t="s">
        <v>25</v>
      </c>
      <c r="G42" s="13" t="s">
        <v>81</v>
      </c>
      <c r="H42" s="13" t="s">
        <v>76</v>
      </c>
      <c r="I42" s="13">
        <f>SUMIF(Mercado_Receita!$S$2:$S$667,"44378B2Convencional pré-pagamentoRuralNão se aplicaNão se aplicaNão se aplicaPonta",Mercado_Receita!$L$2:$L$667)+SUMIF(Mercado_Receita!$S$2:$S$667,"44378B2Convencional pré-pagamentoRuralNão se aplicaNão se aplicaNão se aplicaFora ponta",Mercado_Receita!$L$2:$L$667)+SUMIF(Mercado_Receita!$S$2:$S$667,"44378B2Convencional pré-pagamentoRuralNão se aplicaNão se aplicaNão se aplicaIntermediário",Mercado_Receita!$L$2:$L$667)+SUMIF(Mercado_Receita!$S$2:$S$667,"44378B2Convencional pré-pagamentoRuralNão se aplicaNão se aplicaNão se aplicaNão se aplica",Mercado_Receita!$L$2:$L$667)</f>
        <v>0</v>
      </c>
      <c r="J42" s="13">
        <f>SUMIF(Mercado_Receita!$S$2:$S$667,"44409B2Convencional pré-pagamentoRuralNão se aplicaNão se aplicaNão se aplicaPonta",Mercado_Receita!$L$2:$L$667)+SUMIF(Mercado_Receita!$S$2:$S$667,"44409B2Convencional pré-pagamentoRuralNão se aplicaNão se aplicaNão se aplicaFora ponta",Mercado_Receita!$L$2:$L$667)+SUMIF(Mercado_Receita!$S$2:$S$667,"44409B2Convencional pré-pagamentoRuralNão se aplicaNão se aplicaNão se aplicaIntermediário",Mercado_Receita!$L$2:$L$667)+SUMIF(Mercado_Receita!$S$2:$S$667,"44409B2Convencional pré-pagamentoRuralNão se aplicaNão se aplicaNão se aplicaNão se aplica",Mercado_Receita!$L$2:$L$667)</f>
        <v>0</v>
      </c>
      <c r="K42" s="13">
        <f>SUMIF(Mercado_Receita!$S$2:$S$667,"44440B2Convencional pré-pagamentoRuralNão se aplicaNão se aplicaNão se aplicaPonta",Mercado_Receita!$L$2:$L$667)+SUMIF(Mercado_Receita!$S$2:$S$667,"44440B2Convencional pré-pagamentoRuralNão se aplicaNão se aplicaNão se aplicaFora ponta",Mercado_Receita!$L$2:$L$667)+SUMIF(Mercado_Receita!$S$2:$S$667,"44440B2Convencional pré-pagamentoRuralNão se aplicaNão se aplicaNão se aplicaIntermediário",Mercado_Receita!$L$2:$L$667)+SUMIF(Mercado_Receita!$S$2:$S$667,"44440B2Convencional pré-pagamentoRuralNão se aplicaNão se aplicaNão se aplicaNão se aplica",Mercado_Receita!$L$2:$L$667)</f>
        <v>0</v>
      </c>
      <c r="L42" s="13">
        <f>SUMIF(Mercado_Receita!$S$2:$S$667,"44470B2Convencional pré-pagamentoRuralNão se aplicaNão se aplicaNão se aplicaPonta",Mercado_Receita!$L$2:$L$667)+SUMIF(Mercado_Receita!$S$2:$S$667,"44470B2Convencional pré-pagamentoRuralNão se aplicaNão se aplicaNão se aplicaFora ponta",Mercado_Receita!$L$2:$L$667)+SUMIF(Mercado_Receita!$S$2:$S$667,"44470B2Convencional pré-pagamentoRuralNão se aplicaNão se aplicaNão se aplicaIntermediário",Mercado_Receita!$L$2:$L$667)+SUMIF(Mercado_Receita!$S$2:$S$667,"44470B2Convencional pré-pagamentoRuralNão se aplicaNão se aplicaNão se aplicaNão se aplica",Mercado_Receita!$L$2:$L$667)</f>
        <v>0</v>
      </c>
      <c r="M42" s="13">
        <f>SUMIF(Mercado_Receita!$S$2:$S$667,"44501B2Convencional pré-pagamentoRuralNão se aplicaNão se aplicaNão se aplicaPonta",Mercado_Receita!$L$2:$L$667)+SUMIF(Mercado_Receita!$S$2:$S$667,"44501B2Convencional pré-pagamentoRuralNão se aplicaNão se aplicaNão se aplicaFora ponta",Mercado_Receita!$L$2:$L$667)+SUMIF(Mercado_Receita!$S$2:$S$667,"44501B2Convencional pré-pagamentoRuralNão se aplicaNão se aplicaNão se aplicaIntermediário",Mercado_Receita!$L$2:$L$667)+SUMIF(Mercado_Receita!$S$2:$S$667,"44501B2Convencional pré-pagamentoRuralNão se aplicaNão se aplicaNão se aplicaNão se aplica",Mercado_Receita!$L$2:$L$667)</f>
        <v>0</v>
      </c>
      <c r="N42" s="13">
        <f>SUMIF(Mercado_Receita!$S$2:$S$667,"44531B2Convencional pré-pagamentoRuralNão se aplicaNão se aplicaNão se aplicaPonta",Mercado_Receita!$L$2:$L$667)+SUMIF(Mercado_Receita!$S$2:$S$667,"44531B2Convencional pré-pagamentoRuralNão se aplicaNão se aplicaNão se aplicaFora ponta",Mercado_Receita!$L$2:$L$667)+SUMIF(Mercado_Receita!$S$2:$S$667,"44531B2Convencional pré-pagamentoRuralNão se aplicaNão se aplicaNão se aplicaIntermediário",Mercado_Receita!$L$2:$L$667)+SUMIF(Mercado_Receita!$S$2:$S$667,"44531B2Convencional pré-pagamentoRuralNão se aplicaNão se aplicaNão se aplicaNão se aplica",Mercado_Receita!$L$2:$L$667)</f>
        <v>0</v>
      </c>
      <c r="O42" s="13">
        <f>SUMIF(Mercado_Receita!$S$2:$S$667,"44562B2Convencional pré-pagamentoRuralNão se aplicaNão se aplicaNão se aplicaPonta",Mercado_Receita!$L$2:$L$667)+SUMIF(Mercado_Receita!$S$2:$S$667,"44562B2Convencional pré-pagamentoRuralNão se aplicaNão se aplicaNão se aplicaFora ponta",Mercado_Receita!$L$2:$L$667)+SUMIF(Mercado_Receita!$S$2:$S$667,"44562B2Convencional pré-pagamentoRuralNão se aplicaNão se aplicaNão se aplicaIntermediário",Mercado_Receita!$L$2:$L$667)+SUMIF(Mercado_Receita!$S$2:$S$667,"44562B2Convencional pré-pagamentoRuralNão se aplicaNão se aplicaNão se aplicaNão se aplica",Mercado_Receita!$L$2:$L$667)</f>
        <v>0</v>
      </c>
      <c r="P42" s="13">
        <f>SUMIF(Mercado_Receita!$S$2:$S$667,"44593B2Convencional pré-pagamentoRuralNão se aplicaNão se aplicaNão se aplicaPonta",Mercado_Receita!$L$2:$L$667)+SUMIF(Mercado_Receita!$S$2:$S$667,"44593B2Convencional pré-pagamentoRuralNão se aplicaNão se aplicaNão se aplicaFora ponta",Mercado_Receita!$L$2:$L$667)+SUMIF(Mercado_Receita!$S$2:$S$667,"44593B2Convencional pré-pagamentoRuralNão se aplicaNão se aplicaNão se aplicaIntermediário",Mercado_Receita!$L$2:$L$667)+SUMIF(Mercado_Receita!$S$2:$S$667,"44593B2Convencional pré-pagamentoRuralNão se aplicaNão se aplicaNão se aplicaNão se aplica",Mercado_Receita!$L$2:$L$667)</f>
        <v>0</v>
      </c>
      <c r="Q42" s="13">
        <f>SUMIF(Mercado_Receita!$S$2:$S$667,"44621B2Convencional pré-pagamentoRuralNão se aplicaNão se aplicaNão se aplicaPonta",Mercado_Receita!$L$2:$L$667)+SUMIF(Mercado_Receita!$S$2:$S$667,"44621B2Convencional pré-pagamentoRuralNão se aplicaNão se aplicaNão se aplicaFora ponta",Mercado_Receita!$L$2:$L$667)+SUMIF(Mercado_Receita!$S$2:$S$667,"44621B2Convencional pré-pagamentoRuralNão se aplicaNão se aplicaNão se aplicaIntermediário",Mercado_Receita!$L$2:$L$667)+SUMIF(Mercado_Receita!$S$2:$S$667,"44621B2Convencional pré-pagamentoRuralNão se aplicaNão se aplicaNão se aplicaNão se aplica",Mercado_Receita!$L$2:$L$667)</f>
        <v>0</v>
      </c>
      <c r="R42" s="13">
        <f>SUMIF(Mercado_Receita!$S$2:$S$667,"44652B2Convencional pré-pagamentoRuralNão se aplicaNão se aplicaNão se aplicaPonta",Mercado_Receita!$L$2:$L$667)+SUMIF(Mercado_Receita!$S$2:$S$667,"44652B2Convencional pré-pagamentoRuralNão se aplicaNão se aplicaNão se aplicaFora ponta",Mercado_Receita!$L$2:$L$667)+SUMIF(Mercado_Receita!$S$2:$S$667,"44652B2Convencional pré-pagamentoRuralNão se aplicaNão se aplicaNão se aplicaIntermediário",Mercado_Receita!$L$2:$L$667)+SUMIF(Mercado_Receita!$S$2:$S$667,"44652B2Convencional pré-pagamentoRuralNão se aplicaNão se aplicaNão se aplicaNão se aplica",Mercado_Receita!$L$2:$L$667)</f>
        <v>0</v>
      </c>
      <c r="S42" s="13">
        <f>SUMIF(Mercado_Receita!$S$2:$S$667,"44682B2Convencional pré-pagamentoRuralNão se aplicaNão se aplicaNão se aplicaPonta",Mercado_Receita!$L$2:$L$667)+SUMIF(Mercado_Receita!$S$2:$S$667,"44682B2Convencional pré-pagamentoRuralNão se aplicaNão se aplicaNão se aplicaFora ponta",Mercado_Receita!$L$2:$L$667)+SUMIF(Mercado_Receita!$S$2:$S$667,"44682B2Convencional pré-pagamentoRuralNão se aplicaNão se aplicaNão se aplicaIntermediário",Mercado_Receita!$L$2:$L$667)+SUMIF(Mercado_Receita!$S$2:$S$667,"44682B2Convencional pré-pagamentoRuralNão se aplicaNão se aplicaNão se aplicaNão se aplica",Mercado_Receita!$L$2:$L$667)</f>
        <v>0</v>
      </c>
      <c r="T42" s="13">
        <f>SUMIF(Mercado_Receita!$S$2:$S$667,"44713B2Convencional pré-pagamentoRuralNão se aplicaNão se aplicaNão se aplicaPonta",Mercado_Receita!$L$2:$L$667)+SUMIF(Mercado_Receita!$S$2:$S$667,"44713B2Convencional pré-pagamentoRuralNão se aplicaNão se aplicaNão se aplicaFora ponta",Mercado_Receita!$L$2:$L$667)+SUMIF(Mercado_Receita!$S$2:$S$667,"44713B2Convencional pré-pagamentoRuralNão se aplicaNão se aplicaNão se aplicaIntermediário",Mercado_Receita!$L$2:$L$667)+SUMIF(Mercado_Receita!$S$2:$S$667,"44713B2Convencional pré-pagamentoRuralNão se aplicaNão se aplicaNão se aplicaNão se aplica",Mercado_Receita!$L$2:$L$667)</f>
        <v>0</v>
      </c>
      <c r="U42" s="13">
        <f t="shared" si="1"/>
        <v>0</v>
      </c>
      <c r="V42" s="13"/>
      <c r="W42" s="13"/>
    </row>
    <row r="43" spans="1:23" ht="11.25" customHeight="1" x14ac:dyDescent="0.3">
      <c r="A43" s="118"/>
      <c r="B43" s="118"/>
      <c r="C43" s="118"/>
      <c r="D43" s="12" t="s">
        <v>96</v>
      </c>
      <c r="E43" s="12" t="s">
        <v>25</v>
      </c>
      <c r="F43" s="12" t="s">
        <v>25</v>
      </c>
      <c r="G43" s="13" t="s">
        <v>81</v>
      </c>
      <c r="H43" s="13" t="s">
        <v>76</v>
      </c>
      <c r="I43" s="13">
        <f>SUMIF(Mercado_Receita!$S$2:$S$667,"44378B2Convencional pré-pagamentoRuralCooperativa de eletrificação ruralNão se aplicaNão se aplicaPonta",Mercado_Receita!$L$2:$L$667)+SUMIF(Mercado_Receita!$S$2:$S$667,"44378B2Convencional pré-pagamentoRuralCooperativa de eletrificação ruralNão se aplicaNão se aplicaFora ponta",Mercado_Receita!$L$2:$L$667)+SUMIF(Mercado_Receita!$S$2:$S$667,"44378B2Convencional pré-pagamentoRuralCooperativa de eletrificação ruralNão se aplicaNão se aplicaIntermediário",Mercado_Receita!$L$2:$L$667)+SUMIF(Mercado_Receita!$S$2:$S$667,"44378B2Convencional pré-pagamentoRuralCooperativa de eletrificação ruralNão se aplicaNão se aplicaNão se aplica",Mercado_Receita!$L$2:$L$667)</f>
        <v>0</v>
      </c>
      <c r="J43" s="13">
        <f>SUMIF(Mercado_Receita!$S$2:$S$667,"44409B2Convencional pré-pagamentoRuralCooperativa de eletrificação ruralNão se aplicaNão se aplicaPonta",Mercado_Receita!$L$2:$L$667)+SUMIF(Mercado_Receita!$S$2:$S$667,"44409B2Convencional pré-pagamentoRuralCooperativa de eletrificação ruralNão se aplicaNão se aplicaFora ponta",Mercado_Receita!$L$2:$L$667)+SUMIF(Mercado_Receita!$S$2:$S$667,"44409B2Convencional pré-pagamentoRuralCooperativa de eletrificação ruralNão se aplicaNão se aplicaIntermediário",Mercado_Receita!$L$2:$L$667)+SUMIF(Mercado_Receita!$S$2:$S$667,"44409B2Convencional pré-pagamentoRuralCooperativa de eletrificação ruralNão se aplicaNão se aplicaNão se aplica",Mercado_Receita!$L$2:$L$667)</f>
        <v>0</v>
      </c>
      <c r="K43" s="13">
        <f>SUMIF(Mercado_Receita!$S$2:$S$667,"44440B2Convencional pré-pagamentoRuralCooperativa de eletrificação ruralNão se aplicaNão se aplicaPonta",Mercado_Receita!$L$2:$L$667)+SUMIF(Mercado_Receita!$S$2:$S$667,"44440B2Convencional pré-pagamentoRuralCooperativa de eletrificação ruralNão se aplicaNão se aplicaFora ponta",Mercado_Receita!$L$2:$L$667)+SUMIF(Mercado_Receita!$S$2:$S$667,"44440B2Convencional pré-pagamentoRuralCooperativa de eletrificação ruralNão se aplicaNão se aplicaIntermediário",Mercado_Receita!$L$2:$L$667)+SUMIF(Mercado_Receita!$S$2:$S$667,"44440B2Convencional pré-pagamentoRuralCooperativa de eletrificação ruralNão se aplicaNão se aplicaNão se aplica",Mercado_Receita!$L$2:$L$667)</f>
        <v>0</v>
      </c>
      <c r="L43" s="13">
        <f>SUMIF(Mercado_Receita!$S$2:$S$667,"44470B2Convencional pré-pagamentoRuralCooperativa de eletrificação ruralNão se aplicaNão se aplicaPonta",Mercado_Receita!$L$2:$L$667)+SUMIF(Mercado_Receita!$S$2:$S$667,"44470B2Convencional pré-pagamentoRuralCooperativa de eletrificação ruralNão se aplicaNão se aplicaFora ponta",Mercado_Receita!$L$2:$L$667)+SUMIF(Mercado_Receita!$S$2:$S$667,"44470B2Convencional pré-pagamentoRuralCooperativa de eletrificação ruralNão se aplicaNão se aplicaIntermediário",Mercado_Receita!$L$2:$L$667)+SUMIF(Mercado_Receita!$S$2:$S$667,"44470B2Convencional pré-pagamentoRuralCooperativa de eletrificação ruralNão se aplicaNão se aplicaNão se aplica",Mercado_Receita!$L$2:$L$667)</f>
        <v>0</v>
      </c>
      <c r="M43" s="13">
        <f>SUMIF(Mercado_Receita!$S$2:$S$667,"44501B2Convencional pré-pagamentoRuralCooperativa de eletrificação ruralNão se aplicaNão se aplicaPonta",Mercado_Receita!$L$2:$L$667)+SUMIF(Mercado_Receita!$S$2:$S$667,"44501B2Convencional pré-pagamentoRuralCooperativa de eletrificação ruralNão se aplicaNão se aplicaFora ponta",Mercado_Receita!$L$2:$L$667)+SUMIF(Mercado_Receita!$S$2:$S$667,"44501B2Convencional pré-pagamentoRuralCooperativa de eletrificação ruralNão se aplicaNão se aplicaIntermediário",Mercado_Receita!$L$2:$L$667)+SUMIF(Mercado_Receita!$S$2:$S$667,"44501B2Convencional pré-pagamentoRuralCooperativa de eletrificação ruralNão se aplicaNão se aplicaNão se aplica",Mercado_Receita!$L$2:$L$667)</f>
        <v>0</v>
      </c>
      <c r="N43" s="13">
        <f>SUMIF(Mercado_Receita!$S$2:$S$667,"44531B2Convencional pré-pagamentoRuralCooperativa de eletrificação ruralNão se aplicaNão se aplicaPonta",Mercado_Receita!$L$2:$L$667)+SUMIF(Mercado_Receita!$S$2:$S$667,"44531B2Convencional pré-pagamentoRuralCooperativa de eletrificação ruralNão se aplicaNão se aplicaFora ponta",Mercado_Receita!$L$2:$L$667)+SUMIF(Mercado_Receita!$S$2:$S$667,"44531B2Convencional pré-pagamentoRuralCooperativa de eletrificação ruralNão se aplicaNão se aplicaIntermediário",Mercado_Receita!$L$2:$L$667)+SUMIF(Mercado_Receita!$S$2:$S$667,"44531B2Convencional pré-pagamentoRuralCooperativa de eletrificação ruralNão se aplicaNão se aplicaNão se aplica",Mercado_Receita!$L$2:$L$667)</f>
        <v>0</v>
      </c>
      <c r="O43" s="13">
        <f>SUMIF(Mercado_Receita!$S$2:$S$667,"44562B2Convencional pré-pagamentoRuralCooperativa de eletrificação ruralNão se aplicaNão se aplicaPonta",Mercado_Receita!$L$2:$L$667)+SUMIF(Mercado_Receita!$S$2:$S$667,"44562B2Convencional pré-pagamentoRuralCooperativa de eletrificação ruralNão se aplicaNão se aplicaFora ponta",Mercado_Receita!$L$2:$L$667)+SUMIF(Mercado_Receita!$S$2:$S$667,"44562B2Convencional pré-pagamentoRuralCooperativa de eletrificação ruralNão se aplicaNão se aplicaIntermediário",Mercado_Receita!$L$2:$L$667)+SUMIF(Mercado_Receita!$S$2:$S$667,"44562B2Convencional pré-pagamentoRuralCooperativa de eletrificação ruralNão se aplicaNão se aplicaNão se aplica",Mercado_Receita!$L$2:$L$667)</f>
        <v>0</v>
      </c>
      <c r="P43" s="13">
        <f>SUMIF(Mercado_Receita!$S$2:$S$667,"44593B2Convencional pré-pagamentoRuralCooperativa de eletrificação ruralNão se aplicaNão se aplicaPonta",Mercado_Receita!$L$2:$L$667)+SUMIF(Mercado_Receita!$S$2:$S$667,"44593B2Convencional pré-pagamentoRuralCooperativa de eletrificação ruralNão se aplicaNão se aplicaFora ponta",Mercado_Receita!$L$2:$L$667)+SUMIF(Mercado_Receita!$S$2:$S$667,"44593B2Convencional pré-pagamentoRuralCooperativa de eletrificação ruralNão se aplicaNão se aplicaIntermediário",Mercado_Receita!$L$2:$L$667)+SUMIF(Mercado_Receita!$S$2:$S$667,"44593B2Convencional pré-pagamentoRuralCooperativa de eletrificação ruralNão se aplicaNão se aplicaNão se aplica",Mercado_Receita!$L$2:$L$667)</f>
        <v>0</v>
      </c>
      <c r="Q43" s="13">
        <f>SUMIF(Mercado_Receita!$S$2:$S$667,"44621B2Convencional pré-pagamentoRuralCooperativa de eletrificação ruralNão se aplicaNão se aplicaPonta",Mercado_Receita!$L$2:$L$667)+SUMIF(Mercado_Receita!$S$2:$S$667,"44621B2Convencional pré-pagamentoRuralCooperativa de eletrificação ruralNão se aplicaNão se aplicaFora ponta",Mercado_Receita!$L$2:$L$667)+SUMIF(Mercado_Receita!$S$2:$S$667,"44621B2Convencional pré-pagamentoRuralCooperativa de eletrificação ruralNão se aplicaNão se aplicaIntermediário",Mercado_Receita!$L$2:$L$667)+SUMIF(Mercado_Receita!$S$2:$S$667,"44621B2Convencional pré-pagamentoRuralCooperativa de eletrificação ruralNão se aplicaNão se aplicaNão se aplica",Mercado_Receita!$L$2:$L$667)</f>
        <v>0</v>
      </c>
      <c r="R43" s="13">
        <f>SUMIF(Mercado_Receita!$S$2:$S$667,"44652B2Convencional pré-pagamentoRuralCooperativa de eletrificação ruralNão se aplicaNão se aplicaPonta",Mercado_Receita!$L$2:$L$667)+SUMIF(Mercado_Receita!$S$2:$S$667,"44652B2Convencional pré-pagamentoRuralCooperativa de eletrificação ruralNão se aplicaNão se aplicaFora ponta",Mercado_Receita!$L$2:$L$667)+SUMIF(Mercado_Receita!$S$2:$S$667,"44652B2Convencional pré-pagamentoRuralCooperativa de eletrificação ruralNão se aplicaNão se aplicaIntermediário",Mercado_Receita!$L$2:$L$667)+SUMIF(Mercado_Receita!$S$2:$S$667,"44652B2Convencional pré-pagamentoRuralCooperativa de eletrificação ruralNão se aplicaNão se aplicaNão se aplica",Mercado_Receita!$L$2:$L$667)</f>
        <v>0</v>
      </c>
      <c r="S43" s="13">
        <f>SUMIF(Mercado_Receita!$S$2:$S$667,"44682B2Convencional pré-pagamentoRuralCooperativa de eletrificação ruralNão se aplicaNão se aplicaPonta",Mercado_Receita!$L$2:$L$667)+SUMIF(Mercado_Receita!$S$2:$S$667,"44682B2Convencional pré-pagamentoRuralCooperativa de eletrificação ruralNão se aplicaNão se aplicaFora ponta",Mercado_Receita!$L$2:$L$667)+SUMIF(Mercado_Receita!$S$2:$S$667,"44682B2Convencional pré-pagamentoRuralCooperativa de eletrificação ruralNão se aplicaNão se aplicaIntermediário",Mercado_Receita!$L$2:$L$667)+SUMIF(Mercado_Receita!$S$2:$S$667,"44682B2Convencional pré-pagamentoRuralCooperativa de eletrificação ruralNão se aplicaNão se aplicaNão se aplica",Mercado_Receita!$L$2:$L$667)</f>
        <v>0</v>
      </c>
      <c r="T43" s="13">
        <f>SUMIF(Mercado_Receita!$S$2:$S$667,"44713B2Convencional pré-pagamentoRuralCooperativa de eletrificação ruralNão se aplicaNão se aplicaPonta",Mercado_Receita!$L$2:$L$667)+SUMIF(Mercado_Receita!$S$2:$S$667,"44713B2Convencional pré-pagamentoRuralCooperativa de eletrificação ruralNão se aplicaNão se aplicaFora ponta",Mercado_Receita!$L$2:$L$667)+SUMIF(Mercado_Receita!$S$2:$S$667,"44713B2Convencional pré-pagamentoRuralCooperativa de eletrificação ruralNão se aplicaNão se aplicaIntermediário",Mercado_Receita!$L$2:$L$667)+SUMIF(Mercado_Receita!$S$2:$S$667,"44713B2Convencional pré-pagamentoRuralCooperativa de eletrificação ruralNão se aplicaNão se aplicaNão se aplica",Mercado_Receita!$L$2:$L$667)</f>
        <v>0</v>
      </c>
      <c r="U43" s="13">
        <f t="shared" si="1"/>
        <v>0</v>
      </c>
      <c r="V43" s="13"/>
      <c r="W43" s="13"/>
    </row>
    <row r="44" spans="1:23" ht="11.25" customHeight="1" x14ac:dyDescent="0.3">
      <c r="A44" s="118"/>
      <c r="B44" s="118"/>
      <c r="C44" s="118"/>
      <c r="D44" s="12" t="s">
        <v>97</v>
      </c>
      <c r="E44" s="12" t="s">
        <v>25</v>
      </c>
      <c r="F44" s="12" t="s">
        <v>25</v>
      </c>
      <c r="G44" s="13" t="s">
        <v>81</v>
      </c>
      <c r="H44" s="13" t="s">
        <v>76</v>
      </c>
      <c r="I44" s="13">
        <f>SUMIF(Mercado_Receita!$S$2:$S$667,"44378B2Convencional pré-pagamentoRuralServiço público de irrigação ruralNão se aplicaNão se aplicaPonta",Mercado_Receita!$L$2:$L$667)+SUMIF(Mercado_Receita!$S$2:$S$667,"44378B2Convencional pré-pagamentoRuralServiço público de irrigação ruralNão se aplicaNão se aplicaFora ponta",Mercado_Receita!$L$2:$L$667)+SUMIF(Mercado_Receita!$S$2:$S$667,"44378B2Convencional pré-pagamentoRuralServiço público de irrigação ruralNão se aplicaNão se aplicaIntermediário",Mercado_Receita!$L$2:$L$667)+SUMIF(Mercado_Receita!$S$2:$S$667,"44378B2Convencional pré-pagamentoRuralServiço público de irrigação ruralNão se aplicaNão se aplicaNão se aplica",Mercado_Receita!$L$2:$L$667)</f>
        <v>0</v>
      </c>
      <c r="J44" s="13">
        <f>SUMIF(Mercado_Receita!$S$2:$S$667,"44409B2Convencional pré-pagamentoRuralServiço público de irrigação ruralNão se aplicaNão se aplicaPonta",Mercado_Receita!$L$2:$L$667)+SUMIF(Mercado_Receita!$S$2:$S$667,"44409B2Convencional pré-pagamentoRuralServiço público de irrigação ruralNão se aplicaNão se aplicaFora ponta",Mercado_Receita!$L$2:$L$667)+SUMIF(Mercado_Receita!$S$2:$S$667,"44409B2Convencional pré-pagamentoRuralServiço público de irrigação ruralNão se aplicaNão se aplicaIntermediário",Mercado_Receita!$L$2:$L$667)+SUMIF(Mercado_Receita!$S$2:$S$667,"44409B2Convencional pré-pagamentoRuralServiço público de irrigação ruralNão se aplicaNão se aplicaNão se aplica",Mercado_Receita!$L$2:$L$667)</f>
        <v>0</v>
      </c>
      <c r="K44" s="13">
        <f>SUMIF(Mercado_Receita!$S$2:$S$667,"44440B2Convencional pré-pagamentoRuralServiço público de irrigação ruralNão se aplicaNão se aplicaPonta",Mercado_Receita!$L$2:$L$667)+SUMIF(Mercado_Receita!$S$2:$S$667,"44440B2Convencional pré-pagamentoRuralServiço público de irrigação ruralNão se aplicaNão se aplicaFora ponta",Mercado_Receita!$L$2:$L$667)+SUMIF(Mercado_Receita!$S$2:$S$667,"44440B2Convencional pré-pagamentoRuralServiço público de irrigação ruralNão se aplicaNão se aplicaIntermediário",Mercado_Receita!$L$2:$L$667)+SUMIF(Mercado_Receita!$S$2:$S$667,"44440B2Convencional pré-pagamentoRuralServiço público de irrigação ruralNão se aplicaNão se aplicaNão se aplica",Mercado_Receita!$L$2:$L$667)</f>
        <v>0</v>
      </c>
      <c r="L44" s="13">
        <f>SUMIF(Mercado_Receita!$S$2:$S$667,"44470B2Convencional pré-pagamentoRuralServiço público de irrigação ruralNão se aplicaNão se aplicaPonta",Mercado_Receita!$L$2:$L$667)+SUMIF(Mercado_Receita!$S$2:$S$667,"44470B2Convencional pré-pagamentoRuralServiço público de irrigação ruralNão se aplicaNão se aplicaFora ponta",Mercado_Receita!$L$2:$L$667)+SUMIF(Mercado_Receita!$S$2:$S$667,"44470B2Convencional pré-pagamentoRuralServiço público de irrigação ruralNão se aplicaNão se aplicaIntermediário",Mercado_Receita!$L$2:$L$667)+SUMIF(Mercado_Receita!$S$2:$S$667,"44470B2Convencional pré-pagamentoRuralServiço público de irrigação ruralNão se aplicaNão se aplicaNão se aplica",Mercado_Receita!$L$2:$L$667)</f>
        <v>0</v>
      </c>
      <c r="M44" s="13">
        <f>SUMIF(Mercado_Receita!$S$2:$S$667,"44501B2Convencional pré-pagamentoRuralServiço público de irrigação ruralNão se aplicaNão se aplicaPonta",Mercado_Receita!$L$2:$L$667)+SUMIF(Mercado_Receita!$S$2:$S$667,"44501B2Convencional pré-pagamentoRuralServiço público de irrigação ruralNão se aplicaNão se aplicaFora ponta",Mercado_Receita!$L$2:$L$667)+SUMIF(Mercado_Receita!$S$2:$S$667,"44501B2Convencional pré-pagamentoRuralServiço público de irrigação ruralNão se aplicaNão se aplicaIntermediário",Mercado_Receita!$L$2:$L$667)+SUMIF(Mercado_Receita!$S$2:$S$667,"44501B2Convencional pré-pagamentoRuralServiço público de irrigação ruralNão se aplicaNão se aplicaNão se aplica",Mercado_Receita!$L$2:$L$667)</f>
        <v>0</v>
      </c>
      <c r="N44" s="13">
        <f>SUMIF(Mercado_Receita!$S$2:$S$667,"44531B2Convencional pré-pagamentoRuralServiço público de irrigação ruralNão se aplicaNão se aplicaPonta",Mercado_Receita!$L$2:$L$667)+SUMIF(Mercado_Receita!$S$2:$S$667,"44531B2Convencional pré-pagamentoRuralServiço público de irrigação ruralNão se aplicaNão se aplicaFora ponta",Mercado_Receita!$L$2:$L$667)+SUMIF(Mercado_Receita!$S$2:$S$667,"44531B2Convencional pré-pagamentoRuralServiço público de irrigação ruralNão se aplicaNão se aplicaIntermediário",Mercado_Receita!$L$2:$L$667)+SUMIF(Mercado_Receita!$S$2:$S$667,"44531B2Convencional pré-pagamentoRuralServiço público de irrigação ruralNão se aplicaNão se aplicaNão se aplica",Mercado_Receita!$L$2:$L$667)</f>
        <v>0</v>
      </c>
      <c r="O44" s="13">
        <f>SUMIF(Mercado_Receita!$S$2:$S$667,"44562B2Convencional pré-pagamentoRuralServiço público de irrigação ruralNão se aplicaNão se aplicaPonta",Mercado_Receita!$L$2:$L$667)+SUMIF(Mercado_Receita!$S$2:$S$667,"44562B2Convencional pré-pagamentoRuralServiço público de irrigação ruralNão se aplicaNão se aplicaFora ponta",Mercado_Receita!$L$2:$L$667)+SUMIF(Mercado_Receita!$S$2:$S$667,"44562B2Convencional pré-pagamentoRuralServiço público de irrigação ruralNão se aplicaNão se aplicaIntermediário",Mercado_Receita!$L$2:$L$667)+SUMIF(Mercado_Receita!$S$2:$S$667,"44562B2Convencional pré-pagamentoRuralServiço público de irrigação ruralNão se aplicaNão se aplicaNão se aplica",Mercado_Receita!$L$2:$L$667)</f>
        <v>0</v>
      </c>
      <c r="P44" s="13">
        <f>SUMIF(Mercado_Receita!$S$2:$S$667,"44593B2Convencional pré-pagamentoRuralServiço público de irrigação ruralNão se aplicaNão se aplicaPonta",Mercado_Receita!$L$2:$L$667)+SUMIF(Mercado_Receita!$S$2:$S$667,"44593B2Convencional pré-pagamentoRuralServiço público de irrigação ruralNão se aplicaNão se aplicaFora ponta",Mercado_Receita!$L$2:$L$667)+SUMIF(Mercado_Receita!$S$2:$S$667,"44593B2Convencional pré-pagamentoRuralServiço público de irrigação ruralNão se aplicaNão se aplicaIntermediário",Mercado_Receita!$L$2:$L$667)+SUMIF(Mercado_Receita!$S$2:$S$667,"44593B2Convencional pré-pagamentoRuralServiço público de irrigação ruralNão se aplicaNão se aplicaNão se aplica",Mercado_Receita!$L$2:$L$667)</f>
        <v>0</v>
      </c>
      <c r="Q44" s="13">
        <f>SUMIF(Mercado_Receita!$S$2:$S$667,"44621B2Convencional pré-pagamentoRuralServiço público de irrigação ruralNão se aplicaNão se aplicaPonta",Mercado_Receita!$L$2:$L$667)+SUMIF(Mercado_Receita!$S$2:$S$667,"44621B2Convencional pré-pagamentoRuralServiço público de irrigação ruralNão se aplicaNão se aplicaFora ponta",Mercado_Receita!$L$2:$L$667)+SUMIF(Mercado_Receita!$S$2:$S$667,"44621B2Convencional pré-pagamentoRuralServiço público de irrigação ruralNão se aplicaNão se aplicaIntermediário",Mercado_Receita!$L$2:$L$667)+SUMIF(Mercado_Receita!$S$2:$S$667,"44621B2Convencional pré-pagamentoRuralServiço público de irrigação ruralNão se aplicaNão se aplicaNão se aplica",Mercado_Receita!$L$2:$L$667)</f>
        <v>0</v>
      </c>
      <c r="R44" s="13">
        <f>SUMIF(Mercado_Receita!$S$2:$S$667,"44652B2Convencional pré-pagamentoRuralServiço público de irrigação ruralNão se aplicaNão se aplicaPonta",Mercado_Receita!$L$2:$L$667)+SUMIF(Mercado_Receita!$S$2:$S$667,"44652B2Convencional pré-pagamentoRuralServiço público de irrigação ruralNão se aplicaNão se aplicaFora ponta",Mercado_Receita!$L$2:$L$667)+SUMIF(Mercado_Receita!$S$2:$S$667,"44652B2Convencional pré-pagamentoRuralServiço público de irrigação ruralNão se aplicaNão se aplicaIntermediário",Mercado_Receita!$L$2:$L$667)+SUMIF(Mercado_Receita!$S$2:$S$667,"44652B2Convencional pré-pagamentoRuralServiço público de irrigação ruralNão se aplicaNão se aplicaNão se aplica",Mercado_Receita!$L$2:$L$667)</f>
        <v>0</v>
      </c>
      <c r="S44" s="13">
        <f>SUMIF(Mercado_Receita!$S$2:$S$667,"44682B2Convencional pré-pagamentoRuralServiço público de irrigação ruralNão se aplicaNão se aplicaPonta",Mercado_Receita!$L$2:$L$667)+SUMIF(Mercado_Receita!$S$2:$S$667,"44682B2Convencional pré-pagamentoRuralServiço público de irrigação ruralNão se aplicaNão se aplicaFora ponta",Mercado_Receita!$L$2:$L$667)+SUMIF(Mercado_Receita!$S$2:$S$667,"44682B2Convencional pré-pagamentoRuralServiço público de irrigação ruralNão se aplicaNão se aplicaIntermediário",Mercado_Receita!$L$2:$L$667)+SUMIF(Mercado_Receita!$S$2:$S$667,"44682B2Convencional pré-pagamentoRuralServiço público de irrigação ruralNão se aplicaNão se aplicaNão se aplica",Mercado_Receita!$L$2:$L$667)</f>
        <v>0</v>
      </c>
      <c r="T44" s="13">
        <f>SUMIF(Mercado_Receita!$S$2:$S$667,"44713B2Convencional pré-pagamentoRuralServiço público de irrigação ruralNão se aplicaNão se aplicaPonta",Mercado_Receita!$L$2:$L$667)+SUMIF(Mercado_Receita!$S$2:$S$667,"44713B2Convencional pré-pagamentoRuralServiço público de irrigação ruralNão se aplicaNão se aplicaFora ponta",Mercado_Receita!$L$2:$L$667)+SUMIF(Mercado_Receita!$S$2:$S$667,"44713B2Convencional pré-pagamentoRuralServiço público de irrigação ruralNão se aplicaNão se aplicaIntermediário",Mercado_Receita!$L$2:$L$667)+SUMIF(Mercado_Receita!$S$2:$S$667,"44713B2Convencional pré-pagamentoRuralServiço público de irrigação ruralNão se aplicaNão se aplicaNão se aplica",Mercado_Receita!$L$2:$L$667)</f>
        <v>0</v>
      </c>
      <c r="U44" s="13">
        <f t="shared" si="1"/>
        <v>0</v>
      </c>
      <c r="V44" s="13"/>
      <c r="W44" s="13"/>
    </row>
    <row r="45" spans="1:23" ht="11.25" customHeight="1" x14ac:dyDescent="0.3">
      <c r="A45" s="117" t="s">
        <v>37</v>
      </c>
      <c r="B45" s="117" t="s">
        <v>33</v>
      </c>
      <c r="C45" s="117" t="s">
        <v>25</v>
      </c>
      <c r="D45" s="117" t="s">
        <v>25</v>
      </c>
      <c r="E45" s="117" t="s">
        <v>25</v>
      </c>
      <c r="F45" s="117" t="s">
        <v>25</v>
      </c>
      <c r="G45" s="13" t="s">
        <v>77</v>
      </c>
      <c r="H45" s="13" t="s">
        <v>76</v>
      </c>
      <c r="I45" s="13">
        <f>SUMIF(Mercado_Receita!$S$2:$S$667,"44378B3BrancaNão se aplicaNão se aplicaNão se aplicaNão se aplicaPonta",Mercado_Receita!$L$2:$L$667)</f>
        <v>1.9E-2</v>
      </c>
      <c r="J45" s="13">
        <f>SUMIF(Mercado_Receita!$S$2:$S$667,"44409B3BrancaNão se aplicaNão se aplicaNão se aplicaNão se aplicaPonta",Mercado_Receita!$L$2:$L$667)</f>
        <v>0.02</v>
      </c>
      <c r="K45" s="13">
        <f>SUMIF(Mercado_Receita!$S$2:$S$667,"44440B3BrancaNão se aplicaNão se aplicaNão se aplicaNão se aplicaPonta",Mercado_Receita!$L$2:$L$667)</f>
        <v>1.4E-2</v>
      </c>
      <c r="L45" s="13">
        <f>SUMIF(Mercado_Receita!$S$2:$S$667,"44470B3BrancaNão se aplicaNão se aplicaNão se aplicaNão se aplicaPonta",Mercado_Receita!$L$2:$L$667)</f>
        <v>1.4999999999999999E-2</v>
      </c>
      <c r="M45" s="13">
        <f>SUMIF(Mercado_Receita!$S$2:$S$667,"44501B3BrancaNão se aplicaNão se aplicaNão se aplicaNão se aplicaPonta",Mercado_Receita!$L$2:$L$667)</f>
        <v>1.4E-2</v>
      </c>
      <c r="N45" s="13">
        <f>SUMIF(Mercado_Receita!$S$2:$S$667,"44531B3BrancaNão se aplicaNão se aplicaNão se aplicaNão se aplicaPonta",Mercado_Receita!$L$2:$L$667)</f>
        <v>0.02</v>
      </c>
      <c r="O45" s="13">
        <f>SUMIF(Mercado_Receita!$S$2:$S$667,"44562B3BrancaNão se aplicaNão se aplicaNão se aplicaNão se aplicaPonta",Mercado_Receita!$L$2:$L$667)</f>
        <v>8.7240000000000002</v>
      </c>
      <c r="P45" s="13">
        <f>SUMIF(Mercado_Receita!$S$2:$S$667,"44593B3BrancaNão se aplicaNão se aplicaNão se aplicaNão se aplicaPonta",Mercado_Receita!$L$2:$L$667)</f>
        <v>2.7E-2</v>
      </c>
      <c r="Q45" s="13">
        <f>SUMIF(Mercado_Receita!$S$2:$S$667,"44621B3BrancaNão se aplicaNão se aplicaNão se aplicaNão se aplicaPonta",Mercado_Receita!$L$2:$L$667)</f>
        <v>0.03</v>
      </c>
      <c r="R45" s="13">
        <f>SUMIF(Mercado_Receita!$S$2:$S$667,"44652B3BrancaNão se aplicaNão se aplicaNão se aplicaNão se aplicaPonta",Mercado_Receita!$L$2:$L$667)</f>
        <v>3.6999999999999998E-2</v>
      </c>
      <c r="S45" s="13">
        <f>SUMIF(Mercado_Receita!$S$2:$S$667,"44682B3BrancaNão se aplicaNão se aplicaNão se aplicaNão se aplicaPonta",Mercado_Receita!$L$2:$L$667)</f>
        <v>0.08</v>
      </c>
      <c r="T45" s="13">
        <f>SUMIF(Mercado_Receita!$S$2:$S$667,"44713B3BrancaNão se aplicaNão se aplicaNão se aplicaNão se aplicaPonta",Mercado_Receita!$L$2:$L$667)</f>
        <v>0.108</v>
      </c>
      <c r="U45" s="13">
        <f t="shared" si="1"/>
        <v>9.1080000000000005</v>
      </c>
      <c r="V45" s="13"/>
      <c r="W45" s="13"/>
    </row>
    <row r="46" spans="1:23" ht="11.25" customHeight="1" x14ac:dyDescent="0.3">
      <c r="A46" s="118"/>
      <c r="B46" s="118"/>
      <c r="C46" s="118"/>
      <c r="D46" s="118"/>
      <c r="E46" s="118"/>
      <c r="F46" s="118"/>
      <c r="G46" s="13" t="s">
        <v>93</v>
      </c>
      <c r="H46" s="13" t="s">
        <v>76</v>
      </c>
      <c r="I46" s="13">
        <f>SUMIF(Mercado_Receita!$S$2:$S$667,"44378B3BrancaNão se aplicaNão se aplicaNão se aplicaNão se aplicaIntermediário",Mercado_Receita!$L$2:$L$667)</f>
        <v>3.2000000000000001E-2</v>
      </c>
      <c r="J46" s="13">
        <f>SUMIF(Mercado_Receita!$S$2:$S$667,"44409B3BrancaNão se aplicaNão se aplicaNão se aplicaNão se aplicaIntermediário",Mercado_Receita!$L$2:$L$667)</f>
        <v>2.4E-2</v>
      </c>
      <c r="K46" s="13">
        <f>SUMIF(Mercado_Receita!$S$2:$S$667,"44440B3BrancaNão se aplicaNão se aplicaNão se aplicaNão se aplicaIntermediário",Mercado_Receita!$L$2:$L$667)</f>
        <v>1.2999999999999999E-2</v>
      </c>
      <c r="L46" s="13">
        <f>SUMIF(Mercado_Receita!$S$2:$S$667,"44470B3BrancaNão se aplicaNão se aplicaNão se aplicaNão se aplicaIntermediário",Mercado_Receita!$L$2:$L$667)</f>
        <v>1.7000000000000001E-2</v>
      </c>
      <c r="M46" s="13">
        <f>SUMIF(Mercado_Receita!$S$2:$S$667,"44501B3BrancaNão se aplicaNão se aplicaNão se aplicaNão se aplicaIntermediário",Mercado_Receita!$L$2:$L$667)</f>
        <v>0.04</v>
      </c>
      <c r="N46" s="13">
        <f>SUMIF(Mercado_Receita!$S$2:$S$667,"44531B3BrancaNão se aplicaNão se aplicaNão se aplicaNão se aplicaIntermediário",Mercado_Receita!$L$2:$L$667)</f>
        <v>5.1999999999999998E-2</v>
      </c>
      <c r="O46" s="13">
        <f>SUMIF(Mercado_Receita!$S$2:$S$667,"44562B3BrancaNão se aplicaNão se aplicaNão se aplicaNão se aplicaIntermediário",Mercado_Receita!$L$2:$L$667)</f>
        <v>6.0999999999999999E-2</v>
      </c>
      <c r="P46" s="13">
        <f>SUMIF(Mercado_Receita!$S$2:$S$667,"44593B3BrancaNão se aplicaNão se aplicaNão se aplicaNão se aplicaIntermediário",Mercado_Receita!$L$2:$L$667)</f>
        <v>6.9000000000000006E-2</v>
      </c>
      <c r="Q46" s="13">
        <f>SUMIF(Mercado_Receita!$S$2:$S$667,"44621B3BrancaNão se aplicaNão se aplicaNão se aplicaNão se aplicaIntermediário",Mercado_Receita!$L$2:$L$667)</f>
        <v>5.2999999999999999E-2</v>
      </c>
      <c r="R46" s="13">
        <f>SUMIF(Mercado_Receita!$S$2:$S$667,"44652B3BrancaNão se aplicaNão se aplicaNão se aplicaNão se aplicaIntermediário",Mercado_Receita!$L$2:$L$667)</f>
        <v>3.5000000000000003E-2</v>
      </c>
      <c r="S46" s="13">
        <f>SUMIF(Mercado_Receita!$S$2:$S$667,"44682B3BrancaNão se aplicaNão se aplicaNão se aplicaNão se aplicaIntermediário",Mercado_Receita!$L$2:$L$667)</f>
        <v>8.8999999999999996E-2</v>
      </c>
      <c r="T46" s="13">
        <f>SUMIF(Mercado_Receita!$S$2:$S$667,"44713B3BrancaNão se aplicaNão se aplicaNão se aplicaNão se aplicaIntermediário",Mercado_Receita!$L$2:$L$667)</f>
        <v>0.14200000000000002</v>
      </c>
      <c r="U46" s="13">
        <f t="shared" si="1"/>
        <v>0.627</v>
      </c>
      <c r="V46" s="13"/>
      <c r="W46" s="13"/>
    </row>
    <row r="47" spans="1:23" ht="11.25" customHeight="1" x14ac:dyDescent="0.3">
      <c r="A47" s="118"/>
      <c r="B47" s="118"/>
      <c r="C47" s="118"/>
      <c r="D47" s="118"/>
      <c r="E47" s="118"/>
      <c r="F47" s="118"/>
      <c r="G47" s="13" t="s">
        <v>78</v>
      </c>
      <c r="H47" s="13" t="s">
        <v>76</v>
      </c>
      <c r="I47" s="13">
        <f>SUMIF(Mercado_Receita!$S$2:$S$667,"44378B3BrancaNão se aplicaNão se aplicaNão se aplicaNão se aplicaFora ponta",Mercado_Receita!$L$2:$L$667)</f>
        <v>0.42899999999999999</v>
      </c>
      <c r="J47" s="13">
        <f>SUMIF(Mercado_Receita!$S$2:$S$667,"44409B3BrancaNão se aplicaNão se aplicaNão se aplicaNão se aplicaFora ponta",Mercado_Receita!$L$2:$L$667)</f>
        <v>0.34499999999999997</v>
      </c>
      <c r="K47" s="13">
        <f>SUMIF(Mercado_Receita!$S$2:$S$667,"44440B3BrancaNão se aplicaNão se aplicaNão se aplicaNão se aplicaFora ponta",Mercado_Receita!$L$2:$L$667)</f>
        <v>0.19600000000000001</v>
      </c>
      <c r="L47" s="13">
        <f>SUMIF(Mercado_Receita!$S$2:$S$667,"44470B3BrancaNão se aplicaNão se aplicaNão se aplicaNão se aplicaFora ponta",Mercado_Receita!$L$2:$L$667)</f>
        <v>0.192</v>
      </c>
      <c r="M47" s="13">
        <f>SUMIF(Mercado_Receita!$S$2:$S$667,"44501B3BrancaNão se aplicaNão se aplicaNão se aplicaNão se aplicaFora ponta",Mercado_Receita!$L$2:$L$667)</f>
        <v>0.28599999999999998</v>
      </c>
      <c r="N47" s="13">
        <f>SUMIF(Mercado_Receita!$S$2:$S$667,"44531B3BrancaNão se aplicaNão se aplicaNão se aplicaNão se aplicaFora ponta",Mercado_Receita!$L$2:$L$667)</f>
        <v>0.39400000000000002</v>
      </c>
      <c r="O47" s="13">
        <f>SUMIF(Mercado_Receita!$S$2:$S$667,"44562B3BrancaNão se aplicaNão se aplicaNão se aplicaNão se aplicaFora ponta",Mercado_Receita!$L$2:$L$667)</f>
        <v>0.47399999999999998</v>
      </c>
      <c r="P47" s="13">
        <f>SUMIF(Mercado_Receita!$S$2:$S$667,"44593B3BrancaNão se aplicaNão se aplicaNão se aplicaNão se aplicaFora ponta",Mercado_Receita!$L$2:$L$667)</f>
        <v>0.59299999999999997</v>
      </c>
      <c r="Q47" s="13">
        <f>SUMIF(Mercado_Receita!$S$2:$S$667,"44621B3BrancaNão se aplicaNão se aplicaNão se aplicaNão se aplicaFora ponta",Mercado_Receita!$L$2:$L$667)</f>
        <v>0.46</v>
      </c>
      <c r="R47" s="13">
        <f>SUMIF(Mercado_Receita!$S$2:$S$667,"44652B3BrancaNão se aplicaNão se aplicaNão se aplicaNão se aplicaFora ponta",Mercado_Receita!$L$2:$L$667)</f>
        <v>0.61399999999999999</v>
      </c>
      <c r="S47" s="13">
        <f>SUMIF(Mercado_Receita!$S$2:$S$667,"44682B3BrancaNão se aplicaNão se aplicaNão se aplicaNão se aplicaFora ponta",Mercado_Receita!$L$2:$L$667)</f>
        <v>1.4119999999999999</v>
      </c>
      <c r="T47" s="13">
        <f>SUMIF(Mercado_Receita!$S$2:$S$667,"44713B3BrancaNão se aplicaNão se aplicaNão se aplicaNão se aplicaFora ponta",Mercado_Receita!$L$2:$L$667)</f>
        <v>2.089</v>
      </c>
      <c r="U47" s="13">
        <f t="shared" si="1"/>
        <v>7.484</v>
      </c>
      <c r="V47" s="13"/>
      <c r="W47" s="13"/>
    </row>
    <row r="48" spans="1:23" ht="11.25" customHeight="1" x14ac:dyDescent="0.3">
      <c r="A48" s="118"/>
      <c r="B48" s="12" t="s">
        <v>23</v>
      </c>
      <c r="C48" s="12" t="s">
        <v>25</v>
      </c>
      <c r="D48" s="12" t="s">
        <v>25</v>
      </c>
      <c r="E48" s="12" t="s">
        <v>25</v>
      </c>
      <c r="F48" s="12" t="s">
        <v>25</v>
      </c>
      <c r="G48" s="13" t="s">
        <v>81</v>
      </c>
      <c r="H48" s="13" t="s">
        <v>76</v>
      </c>
      <c r="I48" s="13">
        <f>SUMIF(Mercado_Receita!$S$2:$S$667,"44378B3ConvencionalNão se aplicaNão se aplicaNão se aplicaNão se aplicaPonta",Mercado_Receita!$L$2:$L$667)+SUMIF(Mercado_Receita!$S$2:$S$667,"44378B3ConvencionalNão se aplicaNão se aplicaNão se aplicaNão se aplicaFora ponta",Mercado_Receita!$L$2:$L$667)+SUMIF(Mercado_Receita!$S$2:$S$667,"44378B3ConvencionalNão se aplicaNão se aplicaNão se aplicaNão se aplicaIntermediário",Mercado_Receita!$L$2:$L$667)+SUMIF(Mercado_Receita!$S$2:$S$667,"44378B3ConvencionalNão se aplicaNão se aplicaNão se aplicaNão se aplicaNão se aplica",Mercado_Receita!$L$2:$L$667)</f>
        <v>842.43200000000013</v>
      </c>
      <c r="J48" s="13">
        <f>SUMIF(Mercado_Receita!$S$2:$S$667,"44409B3ConvencionalNão se aplicaNão se aplicaNão se aplicaNão se aplicaPonta",Mercado_Receita!$L$2:$L$667)+SUMIF(Mercado_Receita!$S$2:$S$667,"44409B3ConvencionalNão se aplicaNão se aplicaNão se aplicaNão se aplicaFora ponta",Mercado_Receita!$L$2:$L$667)+SUMIF(Mercado_Receita!$S$2:$S$667,"44409B3ConvencionalNão se aplicaNão se aplicaNão se aplicaNão se aplicaIntermediário",Mercado_Receita!$L$2:$L$667)+SUMIF(Mercado_Receita!$S$2:$S$667,"44409B3ConvencionalNão se aplicaNão se aplicaNão se aplicaNão se aplicaNão se aplica",Mercado_Receita!$L$2:$L$667)</f>
        <v>898.82899999999995</v>
      </c>
      <c r="K48" s="13">
        <f>SUMIF(Mercado_Receita!$S$2:$S$667,"44440B3ConvencionalNão se aplicaNão se aplicaNão se aplicaNão se aplicaPonta",Mercado_Receita!$L$2:$L$667)+SUMIF(Mercado_Receita!$S$2:$S$667,"44440B3ConvencionalNão se aplicaNão se aplicaNão se aplicaNão se aplicaFora ponta",Mercado_Receita!$L$2:$L$667)+SUMIF(Mercado_Receita!$S$2:$S$667,"44440B3ConvencionalNão se aplicaNão se aplicaNão se aplicaNão se aplicaIntermediário",Mercado_Receita!$L$2:$L$667)+SUMIF(Mercado_Receita!$S$2:$S$667,"44440B3ConvencionalNão se aplicaNão se aplicaNão se aplicaNão se aplicaNão se aplica",Mercado_Receita!$L$2:$L$667)</f>
        <v>838.02299999999991</v>
      </c>
      <c r="L48" s="13">
        <f>SUMIF(Mercado_Receita!$S$2:$S$667,"44470B3ConvencionalNão se aplicaNão se aplicaNão se aplicaNão se aplicaPonta",Mercado_Receita!$L$2:$L$667)+SUMIF(Mercado_Receita!$S$2:$S$667,"44470B3ConvencionalNão se aplicaNão se aplicaNão se aplicaNão se aplicaFora ponta",Mercado_Receita!$L$2:$L$667)+SUMIF(Mercado_Receita!$S$2:$S$667,"44470B3ConvencionalNão se aplicaNão se aplicaNão se aplicaNão se aplicaIntermediário",Mercado_Receita!$L$2:$L$667)+SUMIF(Mercado_Receita!$S$2:$S$667,"44470B3ConvencionalNão se aplicaNão se aplicaNão se aplicaNão se aplicaNão se aplica",Mercado_Receita!$L$2:$L$667)</f>
        <v>865.34500000000003</v>
      </c>
      <c r="M48" s="13">
        <f>SUMIF(Mercado_Receita!$S$2:$S$667,"44501B3ConvencionalNão se aplicaNão se aplicaNão se aplicaNão se aplicaPonta",Mercado_Receita!$L$2:$L$667)+SUMIF(Mercado_Receita!$S$2:$S$667,"44501B3ConvencionalNão se aplicaNão se aplicaNão se aplicaNão se aplicaFora ponta",Mercado_Receita!$L$2:$L$667)+SUMIF(Mercado_Receita!$S$2:$S$667,"44501B3ConvencionalNão se aplicaNão se aplicaNão se aplicaNão se aplicaIntermediário",Mercado_Receita!$L$2:$L$667)+SUMIF(Mercado_Receita!$S$2:$S$667,"44501B3ConvencionalNão se aplicaNão se aplicaNão se aplicaNão se aplicaNão se aplica",Mercado_Receita!$L$2:$L$667)</f>
        <v>934.52499999999986</v>
      </c>
      <c r="N48" s="13">
        <f>SUMIF(Mercado_Receita!$S$2:$S$667,"44531B3ConvencionalNão se aplicaNão se aplicaNão se aplicaNão se aplicaPonta",Mercado_Receita!$L$2:$L$667)+SUMIF(Mercado_Receita!$S$2:$S$667,"44531B3ConvencionalNão se aplicaNão se aplicaNão se aplicaNão se aplicaFora ponta",Mercado_Receita!$L$2:$L$667)+SUMIF(Mercado_Receita!$S$2:$S$667,"44531B3ConvencionalNão se aplicaNão se aplicaNão se aplicaNão se aplicaIntermediário",Mercado_Receita!$L$2:$L$667)+SUMIF(Mercado_Receita!$S$2:$S$667,"44531B3ConvencionalNão se aplicaNão se aplicaNão se aplicaNão se aplicaNão se aplica",Mercado_Receita!$L$2:$L$667)</f>
        <v>1021.7910000000001</v>
      </c>
      <c r="O48" s="13">
        <f>SUMIF(Mercado_Receita!$S$2:$S$667,"44562B3ConvencionalNão se aplicaNão se aplicaNão se aplicaNão se aplicaPonta",Mercado_Receita!$L$2:$L$667)+SUMIF(Mercado_Receita!$S$2:$S$667,"44562B3ConvencionalNão se aplicaNão se aplicaNão se aplicaNão se aplicaFora ponta",Mercado_Receita!$L$2:$L$667)+SUMIF(Mercado_Receita!$S$2:$S$667,"44562B3ConvencionalNão se aplicaNão se aplicaNão se aplicaNão se aplicaIntermediário",Mercado_Receita!$L$2:$L$667)+SUMIF(Mercado_Receita!$S$2:$S$667,"44562B3ConvencionalNão se aplicaNão se aplicaNão se aplicaNão se aplicaNão se aplica",Mercado_Receita!$L$2:$L$667)</f>
        <v>1108.04</v>
      </c>
      <c r="P48" s="13">
        <f>SUMIF(Mercado_Receita!$S$2:$S$667,"44593B3ConvencionalNão se aplicaNão se aplicaNão se aplicaNão se aplicaPonta",Mercado_Receita!$L$2:$L$667)+SUMIF(Mercado_Receita!$S$2:$S$667,"44593B3ConvencionalNão se aplicaNão se aplicaNão se aplicaNão se aplicaFora ponta",Mercado_Receita!$L$2:$L$667)+SUMIF(Mercado_Receita!$S$2:$S$667,"44593B3ConvencionalNão se aplicaNão se aplicaNão se aplicaNão se aplicaIntermediário",Mercado_Receita!$L$2:$L$667)+SUMIF(Mercado_Receita!$S$2:$S$667,"44593B3ConvencionalNão se aplicaNão se aplicaNão se aplicaNão se aplicaNão se aplica",Mercado_Receita!$L$2:$L$667)</f>
        <v>1383.2769999999998</v>
      </c>
      <c r="Q48" s="13">
        <f>SUMIF(Mercado_Receita!$S$2:$S$667,"44621B3ConvencionalNão se aplicaNão se aplicaNão se aplicaNão se aplicaPonta",Mercado_Receita!$L$2:$L$667)+SUMIF(Mercado_Receita!$S$2:$S$667,"44621B3ConvencionalNão se aplicaNão se aplicaNão se aplicaNão se aplicaFora ponta",Mercado_Receita!$L$2:$L$667)+SUMIF(Mercado_Receita!$S$2:$S$667,"44621B3ConvencionalNão se aplicaNão se aplicaNão se aplicaNão se aplicaIntermediário",Mercado_Receita!$L$2:$L$667)+SUMIF(Mercado_Receita!$S$2:$S$667,"44621B3ConvencionalNão se aplicaNão se aplicaNão se aplicaNão se aplicaNão se aplica",Mercado_Receita!$L$2:$L$667)</f>
        <v>1177.3630000000001</v>
      </c>
      <c r="R48" s="13">
        <f>SUMIF(Mercado_Receita!$S$2:$S$667,"44652B3ConvencionalNão se aplicaNão se aplicaNão se aplicaNão se aplicaPonta",Mercado_Receita!$L$2:$L$667)+SUMIF(Mercado_Receita!$S$2:$S$667,"44652B3ConvencionalNão se aplicaNão se aplicaNão se aplicaNão se aplicaFora ponta",Mercado_Receita!$L$2:$L$667)+SUMIF(Mercado_Receita!$S$2:$S$667,"44652B3ConvencionalNão se aplicaNão se aplicaNão se aplicaNão se aplicaIntermediário",Mercado_Receita!$L$2:$L$667)+SUMIF(Mercado_Receita!$S$2:$S$667,"44652B3ConvencionalNão se aplicaNão se aplicaNão se aplicaNão se aplicaNão se aplica",Mercado_Receita!$L$2:$L$667)</f>
        <v>892.5619999999999</v>
      </c>
      <c r="S48" s="13">
        <f>SUMIF(Mercado_Receita!$S$2:$S$667,"44682B3ConvencionalNão se aplicaNão se aplicaNão se aplicaNão se aplicaPonta",Mercado_Receita!$L$2:$L$667)+SUMIF(Mercado_Receita!$S$2:$S$667,"44682B3ConvencionalNão se aplicaNão se aplicaNão se aplicaNão se aplicaFora ponta",Mercado_Receita!$L$2:$L$667)+SUMIF(Mercado_Receita!$S$2:$S$667,"44682B3ConvencionalNão se aplicaNão se aplicaNão se aplicaNão se aplicaIntermediário",Mercado_Receita!$L$2:$L$667)+SUMIF(Mercado_Receita!$S$2:$S$667,"44682B3ConvencionalNão se aplicaNão se aplicaNão se aplicaNão se aplicaNão se aplica",Mercado_Receita!$L$2:$L$667)</f>
        <v>890.79499999999996</v>
      </c>
      <c r="T48" s="13">
        <f>SUMIF(Mercado_Receita!$S$2:$S$667,"44713B3ConvencionalNão se aplicaNão se aplicaNão se aplicaNão se aplicaPonta",Mercado_Receita!$L$2:$L$667)+SUMIF(Mercado_Receita!$S$2:$S$667,"44713B3ConvencionalNão se aplicaNão se aplicaNão se aplicaNão se aplicaFora ponta",Mercado_Receita!$L$2:$L$667)+SUMIF(Mercado_Receita!$S$2:$S$667,"44713B3ConvencionalNão se aplicaNão se aplicaNão se aplicaNão se aplicaIntermediário",Mercado_Receita!$L$2:$L$667)+SUMIF(Mercado_Receita!$S$2:$S$667,"44713B3ConvencionalNão se aplicaNão se aplicaNão se aplicaNão se aplicaNão se aplica",Mercado_Receita!$L$2:$L$667)</f>
        <v>959.05799999999988</v>
      </c>
      <c r="U48" s="13">
        <f t="shared" si="1"/>
        <v>11812.039999999999</v>
      </c>
      <c r="V48" s="13"/>
      <c r="W48" s="13"/>
    </row>
    <row r="49" spans="1:23" ht="11.25" customHeight="1" x14ac:dyDescent="0.3">
      <c r="A49" s="118"/>
      <c r="B49" s="12" t="s">
        <v>95</v>
      </c>
      <c r="C49" s="12" t="s">
        <v>25</v>
      </c>
      <c r="D49" s="12" t="s">
        <v>25</v>
      </c>
      <c r="E49" s="12" t="s">
        <v>25</v>
      </c>
      <c r="F49" s="12" t="s">
        <v>25</v>
      </c>
      <c r="G49" s="13" t="s">
        <v>81</v>
      </c>
      <c r="H49" s="13" t="s">
        <v>76</v>
      </c>
      <c r="I49" s="13">
        <f>SUMIF(Mercado_Receita!$S$2:$S$667,"44378B3Convencional pré-pagamentoNão se aplicaNão se aplicaNão se aplicaNão se aplicaPonta",Mercado_Receita!$L$2:$L$667)+SUMIF(Mercado_Receita!$S$2:$S$667,"44378B3Convencional pré-pagamentoNão se aplicaNão se aplicaNão se aplicaNão se aplicaFora ponta",Mercado_Receita!$L$2:$L$667)+SUMIF(Mercado_Receita!$S$2:$S$667,"44378B3Convencional pré-pagamentoNão se aplicaNão se aplicaNão se aplicaNão se aplicaIntermediário",Mercado_Receita!$L$2:$L$667)+SUMIF(Mercado_Receita!$S$2:$S$667,"44378B3Convencional pré-pagamentoNão se aplicaNão se aplicaNão se aplicaNão se aplicaNão se aplica",Mercado_Receita!$L$2:$L$667)</f>
        <v>0</v>
      </c>
      <c r="J49" s="13">
        <f>SUMIF(Mercado_Receita!$S$2:$S$667,"44409B3Convencional pré-pagamentoNão se aplicaNão se aplicaNão se aplicaNão se aplicaPonta",Mercado_Receita!$L$2:$L$667)+SUMIF(Mercado_Receita!$S$2:$S$667,"44409B3Convencional pré-pagamentoNão se aplicaNão se aplicaNão se aplicaNão se aplicaFora ponta",Mercado_Receita!$L$2:$L$667)+SUMIF(Mercado_Receita!$S$2:$S$667,"44409B3Convencional pré-pagamentoNão se aplicaNão se aplicaNão se aplicaNão se aplicaIntermediário",Mercado_Receita!$L$2:$L$667)+SUMIF(Mercado_Receita!$S$2:$S$667,"44409B3Convencional pré-pagamentoNão se aplicaNão se aplicaNão se aplicaNão se aplicaNão se aplica",Mercado_Receita!$L$2:$L$667)</f>
        <v>0</v>
      </c>
      <c r="K49" s="13">
        <f>SUMIF(Mercado_Receita!$S$2:$S$667,"44440B3Convencional pré-pagamentoNão se aplicaNão se aplicaNão se aplicaNão se aplicaPonta",Mercado_Receita!$L$2:$L$667)+SUMIF(Mercado_Receita!$S$2:$S$667,"44440B3Convencional pré-pagamentoNão se aplicaNão se aplicaNão se aplicaNão se aplicaFora ponta",Mercado_Receita!$L$2:$L$667)+SUMIF(Mercado_Receita!$S$2:$S$667,"44440B3Convencional pré-pagamentoNão se aplicaNão se aplicaNão se aplicaNão se aplicaIntermediário",Mercado_Receita!$L$2:$L$667)+SUMIF(Mercado_Receita!$S$2:$S$667,"44440B3Convencional pré-pagamentoNão se aplicaNão se aplicaNão se aplicaNão se aplicaNão se aplica",Mercado_Receita!$L$2:$L$667)</f>
        <v>0</v>
      </c>
      <c r="L49" s="13">
        <f>SUMIF(Mercado_Receita!$S$2:$S$667,"44470B3Convencional pré-pagamentoNão se aplicaNão se aplicaNão se aplicaNão se aplicaPonta",Mercado_Receita!$L$2:$L$667)+SUMIF(Mercado_Receita!$S$2:$S$667,"44470B3Convencional pré-pagamentoNão se aplicaNão se aplicaNão se aplicaNão se aplicaFora ponta",Mercado_Receita!$L$2:$L$667)+SUMIF(Mercado_Receita!$S$2:$S$667,"44470B3Convencional pré-pagamentoNão se aplicaNão se aplicaNão se aplicaNão se aplicaIntermediário",Mercado_Receita!$L$2:$L$667)+SUMIF(Mercado_Receita!$S$2:$S$667,"44470B3Convencional pré-pagamentoNão se aplicaNão se aplicaNão se aplicaNão se aplicaNão se aplica",Mercado_Receita!$L$2:$L$667)</f>
        <v>0</v>
      </c>
      <c r="M49" s="13">
        <f>SUMIF(Mercado_Receita!$S$2:$S$667,"44501B3Convencional pré-pagamentoNão se aplicaNão se aplicaNão se aplicaNão se aplicaPonta",Mercado_Receita!$L$2:$L$667)+SUMIF(Mercado_Receita!$S$2:$S$667,"44501B3Convencional pré-pagamentoNão se aplicaNão se aplicaNão se aplicaNão se aplicaFora ponta",Mercado_Receita!$L$2:$L$667)+SUMIF(Mercado_Receita!$S$2:$S$667,"44501B3Convencional pré-pagamentoNão se aplicaNão se aplicaNão se aplicaNão se aplicaIntermediário",Mercado_Receita!$L$2:$L$667)+SUMIF(Mercado_Receita!$S$2:$S$667,"44501B3Convencional pré-pagamentoNão se aplicaNão se aplicaNão se aplicaNão se aplicaNão se aplica",Mercado_Receita!$L$2:$L$667)</f>
        <v>0</v>
      </c>
      <c r="N49" s="13">
        <f>SUMIF(Mercado_Receita!$S$2:$S$667,"44531B3Convencional pré-pagamentoNão se aplicaNão se aplicaNão se aplicaNão se aplicaPonta",Mercado_Receita!$L$2:$L$667)+SUMIF(Mercado_Receita!$S$2:$S$667,"44531B3Convencional pré-pagamentoNão se aplicaNão se aplicaNão se aplicaNão se aplicaFora ponta",Mercado_Receita!$L$2:$L$667)+SUMIF(Mercado_Receita!$S$2:$S$667,"44531B3Convencional pré-pagamentoNão se aplicaNão se aplicaNão se aplicaNão se aplicaIntermediário",Mercado_Receita!$L$2:$L$667)+SUMIF(Mercado_Receita!$S$2:$S$667,"44531B3Convencional pré-pagamentoNão se aplicaNão se aplicaNão se aplicaNão se aplicaNão se aplica",Mercado_Receita!$L$2:$L$667)</f>
        <v>0</v>
      </c>
      <c r="O49" s="13">
        <f>SUMIF(Mercado_Receita!$S$2:$S$667,"44562B3Convencional pré-pagamentoNão se aplicaNão se aplicaNão se aplicaNão se aplicaPonta",Mercado_Receita!$L$2:$L$667)+SUMIF(Mercado_Receita!$S$2:$S$667,"44562B3Convencional pré-pagamentoNão se aplicaNão se aplicaNão se aplicaNão se aplicaFora ponta",Mercado_Receita!$L$2:$L$667)+SUMIF(Mercado_Receita!$S$2:$S$667,"44562B3Convencional pré-pagamentoNão se aplicaNão se aplicaNão se aplicaNão se aplicaIntermediário",Mercado_Receita!$L$2:$L$667)+SUMIF(Mercado_Receita!$S$2:$S$667,"44562B3Convencional pré-pagamentoNão se aplicaNão se aplicaNão se aplicaNão se aplicaNão se aplica",Mercado_Receita!$L$2:$L$667)</f>
        <v>0</v>
      </c>
      <c r="P49" s="13">
        <f>SUMIF(Mercado_Receita!$S$2:$S$667,"44593B3Convencional pré-pagamentoNão se aplicaNão se aplicaNão se aplicaNão se aplicaPonta",Mercado_Receita!$L$2:$L$667)+SUMIF(Mercado_Receita!$S$2:$S$667,"44593B3Convencional pré-pagamentoNão se aplicaNão se aplicaNão se aplicaNão se aplicaFora ponta",Mercado_Receita!$L$2:$L$667)+SUMIF(Mercado_Receita!$S$2:$S$667,"44593B3Convencional pré-pagamentoNão se aplicaNão se aplicaNão se aplicaNão se aplicaIntermediário",Mercado_Receita!$L$2:$L$667)+SUMIF(Mercado_Receita!$S$2:$S$667,"44593B3Convencional pré-pagamentoNão se aplicaNão se aplicaNão se aplicaNão se aplicaNão se aplica",Mercado_Receita!$L$2:$L$667)</f>
        <v>0</v>
      </c>
      <c r="Q49" s="13">
        <f>SUMIF(Mercado_Receita!$S$2:$S$667,"44621B3Convencional pré-pagamentoNão se aplicaNão se aplicaNão se aplicaNão se aplicaPonta",Mercado_Receita!$L$2:$L$667)+SUMIF(Mercado_Receita!$S$2:$S$667,"44621B3Convencional pré-pagamentoNão se aplicaNão se aplicaNão se aplicaNão se aplicaFora ponta",Mercado_Receita!$L$2:$L$667)+SUMIF(Mercado_Receita!$S$2:$S$667,"44621B3Convencional pré-pagamentoNão se aplicaNão se aplicaNão se aplicaNão se aplicaIntermediário",Mercado_Receita!$L$2:$L$667)+SUMIF(Mercado_Receita!$S$2:$S$667,"44621B3Convencional pré-pagamentoNão se aplicaNão se aplicaNão se aplicaNão se aplicaNão se aplica",Mercado_Receita!$L$2:$L$667)</f>
        <v>0</v>
      </c>
      <c r="R49" s="13">
        <f>SUMIF(Mercado_Receita!$S$2:$S$667,"44652B3Convencional pré-pagamentoNão se aplicaNão se aplicaNão se aplicaNão se aplicaPonta",Mercado_Receita!$L$2:$L$667)+SUMIF(Mercado_Receita!$S$2:$S$667,"44652B3Convencional pré-pagamentoNão se aplicaNão se aplicaNão se aplicaNão se aplicaFora ponta",Mercado_Receita!$L$2:$L$667)+SUMIF(Mercado_Receita!$S$2:$S$667,"44652B3Convencional pré-pagamentoNão se aplicaNão se aplicaNão se aplicaNão se aplicaIntermediário",Mercado_Receita!$L$2:$L$667)+SUMIF(Mercado_Receita!$S$2:$S$667,"44652B3Convencional pré-pagamentoNão se aplicaNão se aplicaNão se aplicaNão se aplicaNão se aplica",Mercado_Receita!$L$2:$L$667)</f>
        <v>0</v>
      </c>
      <c r="S49" s="13">
        <f>SUMIF(Mercado_Receita!$S$2:$S$667,"44682B3Convencional pré-pagamentoNão se aplicaNão se aplicaNão se aplicaNão se aplicaPonta",Mercado_Receita!$L$2:$L$667)+SUMIF(Mercado_Receita!$S$2:$S$667,"44682B3Convencional pré-pagamentoNão se aplicaNão se aplicaNão se aplicaNão se aplicaFora ponta",Mercado_Receita!$L$2:$L$667)+SUMIF(Mercado_Receita!$S$2:$S$667,"44682B3Convencional pré-pagamentoNão se aplicaNão se aplicaNão se aplicaNão se aplicaIntermediário",Mercado_Receita!$L$2:$L$667)+SUMIF(Mercado_Receita!$S$2:$S$667,"44682B3Convencional pré-pagamentoNão se aplicaNão se aplicaNão se aplicaNão se aplicaNão se aplica",Mercado_Receita!$L$2:$L$667)</f>
        <v>0</v>
      </c>
      <c r="T49" s="13">
        <f>SUMIF(Mercado_Receita!$S$2:$S$667,"44713B3Convencional pré-pagamentoNão se aplicaNão se aplicaNão se aplicaNão se aplicaPonta",Mercado_Receita!$L$2:$L$667)+SUMIF(Mercado_Receita!$S$2:$S$667,"44713B3Convencional pré-pagamentoNão se aplicaNão se aplicaNão se aplicaNão se aplicaFora ponta",Mercado_Receita!$L$2:$L$667)+SUMIF(Mercado_Receita!$S$2:$S$667,"44713B3Convencional pré-pagamentoNão se aplicaNão se aplicaNão se aplicaNão se aplicaIntermediário",Mercado_Receita!$L$2:$L$667)+SUMIF(Mercado_Receita!$S$2:$S$667,"44713B3Convencional pré-pagamentoNão se aplicaNão se aplicaNão se aplicaNão se aplicaNão se aplica",Mercado_Receita!$L$2:$L$667)</f>
        <v>0</v>
      </c>
      <c r="U49" s="13">
        <f t="shared" si="1"/>
        <v>0</v>
      </c>
      <c r="V49" s="13"/>
      <c r="W49" s="13"/>
    </row>
    <row r="50" spans="1:23" ht="11.25" customHeight="1" x14ac:dyDescent="0.3">
      <c r="A50" s="117" t="s">
        <v>45</v>
      </c>
      <c r="B50" s="117" t="s">
        <v>23</v>
      </c>
      <c r="C50" s="117" t="s">
        <v>46</v>
      </c>
      <c r="D50" s="12" t="s">
        <v>47</v>
      </c>
      <c r="E50" s="12" t="s">
        <v>25</v>
      </c>
      <c r="F50" s="12" t="s">
        <v>25</v>
      </c>
      <c r="G50" s="13" t="s">
        <v>81</v>
      </c>
      <c r="H50" s="13" t="s">
        <v>76</v>
      </c>
      <c r="I50" s="13">
        <f>SUMIF(Mercado_Receita!$S$2:$S$667,"44378B4ConvencionalIluminação públicaIluminação pública – B4aNão se aplicaNão se aplicaPonta",Mercado_Receita!$L$2:$L$667)+SUMIF(Mercado_Receita!$S$2:$S$667,"44378B4ConvencionalIluminação públicaIluminação pública – B4aNão se aplicaNão se aplicaFora ponta",Mercado_Receita!$L$2:$L$667)+SUMIF(Mercado_Receita!$S$2:$S$667,"44378B4ConvencionalIluminação públicaIluminação pública – B4aNão se aplicaNão se aplicaIntermediário",Mercado_Receita!$L$2:$L$667)+SUMIF(Mercado_Receita!$S$2:$S$667,"44378B4ConvencionalIluminação públicaIluminação pública – B4aNão se aplicaNão se aplicaNão se aplica",Mercado_Receita!$L$2:$L$667)</f>
        <v>364.88</v>
      </c>
      <c r="J50" s="13">
        <f>SUMIF(Mercado_Receita!$S$2:$S$667,"44409B4ConvencionalIluminação públicaIluminação pública – B4aNão se aplicaNão se aplicaPonta",Mercado_Receita!$L$2:$L$667)+SUMIF(Mercado_Receita!$S$2:$S$667,"44409B4ConvencionalIluminação públicaIluminação pública – B4aNão se aplicaNão se aplicaFora ponta",Mercado_Receita!$L$2:$L$667)+SUMIF(Mercado_Receita!$S$2:$S$667,"44409B4ConvencionalIluminação públicaIluminação pública – B4aNão se aplicaNão se aplicaIntermediário",Mercado_Receita!$L$2:$L$667)+SUMIF(Mercado_Receita!$S$2:$S$667,"44409B4ConvencionalIluminação públicaIluminação pública – B4aNão se aplicaNão se aplicaNão se aplica",Mercado_Receita!$L$2:$L$667)</f>
        <v>368.59399999999999</v>
      </c>
      <c r="K50" s="13">
        <f>SUMIF(Mercado_Receita!$S$2:$S$667,"44440B4ConvencionalIluminação públicaIluminação pública – B4aNão se aplicaNão se aplicaPonta",Mercado_Receita!$L$2:$L$667)+SUMIF(Mercado_Receita!$S$2:$S$667,"44440B4ConvencionalIluminação públicaIluminação pública – B4aNão se aplicaNão se aplicaFora ponta",Mercado_Receita!$L$2:$L$667)+SUMIF(Mercado_Receita!$S$2:$S$667,"44440B4ConvencionalIluminação públicaIluminação pública – B4aNão se aplicaNão se aplicaIntermediário",Mercado_Receita!$L$2:$L$667)+SUMIF(Mercado_Receita!$S$2:$S$667,"44440B4ConvencionalIluminação públicaIluminação pública – B4aNão se aplicaNão se aplicaNão se aplica",Mercado_Receita!$L$2:$L$667)</f>
        <v>356.62299999999999</v>
      </c>
      <c r="L50" s="13">
        <f>SUMIF(Mercado_Receita!$S$2:$S$667,"44470B4ConvencionalIluminação públicaIluminação pública – B4aNão se aplicaNão se aplicaPonta",Mercado_Receita!$L$2:$L$667)+SUMIF(Mercado_Receita!$S$2:$S$667,"44470B4ConvencionalIluminação públicaIluminação pública – B4aNão se aplicaNão se aplicaFora ponta",Mercado_Receita!$L$2:$L$667)+SUMIF(Mercado_Receita!$S$2:$S$667,"44470B4ConvencionalIluminação públicaIluminação pública – B4aNão se aplicaNão se aplicaIntermediário",Mercado_Receita!$L$2:$L$667)+SUMIF(Mercado_Receita!$S$2:$S$667,"44470B4ConvencionalIluminação públicaIluminação pública – B4aNão se aplicaNão se aplicaNão se aplica",Mercado_Receita!$L$2:$L$667)</f>
        <v>364.07400000000001</v>
      </c>
      <c r="M50" s="13">
        <f>SUMIF(Mercado_Receita!$S$2:$S$667,"44501B4ConvencionalIluminação públicaIluminação pública – B4aNão se aplicaNão se aplicaPonta",Mercado_Receita!$L$2:$L$667)+SUMIF(Mercado_Receita!$S$2:$S$667,"44501B4ConvencionalIluminação públicaIluminação pública – B4aNão se aplicaNão se aplicaFora ponta",Mercado_Receita!$L$2:$L$667)+SUMIF(Mercado_Receita!$S$2:$S$667,"44501B4ConvencionalIluminação públicaIluminação pública – B4aNão se aplicaNão se aplicaIntermediário",Mercado_Receita!$L$2:$L$667)+SUMIF(Mercado_Receita!$S$2:$S$667,"44501B4ConvencionalIluminação públicaIluminação pública – B4aNão se aplicaNão se aplicaNão se aplica",Mercado_Receita!$L$2:$L$667)</f>
        <v>351.61599999999999</v>
      </c>
      <c r="N50" s="13">
        <f>SUMIF(Mercado_Receita!$S$2:$S$667,"44531B4ConvencionalIluminação públicaIluminação pública – B4aNão se aplicaNão se aplicaPonta",Mercado_Receita!$L$2:$L$667)+SUMIF(Mercado_Receita!$S$2:$S$667,"44531B4ConvencionalIluminação públicaIluminação pública – B4aNão se aplicaNão se aplicaFora ponta",Mercado_Receita!$L$2:$L$667)+SUMIF(Mercado_Receita!$S$2:$S$667,"44531B4ConvencionalIluminação públicaIluminação pública – B4aNão se aplicaNão se aplicaIntermediário",Mercado_Receita!$L$2:$L$667)+SUMIF(Mercado_Receita!$S$2:$S$667,"44531B4ConvencionalIluminação públicaIluminação pública – B4aNão se aplicaNão se aplicaNão se aplica",Mercado_Receita!$L$2:$L$667)</f>
        <v>362.399</v>
      </c>
      <c r="O50" s="13">
        <f>SUMIF(Mercado_Receita!$S$2:$S$667,"44562B4ConvencionalIluminação públicaIluminação pública – B4aNão se aplicaNão se aplicaPonta",Mercado_Receita!$L$2:$L$667)+SUMIF(Mercado_Receita!$S$2:$S$667,"44562B4ConvencionalIluminação públicaIluminação pública – B4aNão se aplicaNão se aplicaFora ponta",Mercado_Receita!$L$2:$L$667)+SUMIF(Mercado_Receita!$S$2:$S$667,"44562B4ConvencionalIluminação públicaIluminação pública – B4aNão se aplicaNão se aplicaIntermediário",Mercado_Receita!$L$2:$L$667)+SUMIF(Mercado_Receita!$S$2:$S$667,"44562B4ConvencionalIluminação públicaIluminação pública – B4aNão se aplicaNão se aplicaNão se aplica",Mercado_Receita!$L$2:$L$667)</f>
        <v>362.43400000000003</v>
      </c>
      <c r="P50" s="13">
        <f>SUMIF(Mercado_Receita!$S$2:$S$667,"44593B4ConvencionalIluminação públicaIluminação pública – B4aNão se aplicaNão se aplicaPonta",Mercado_Receita!$L$2:$L$667)+SUMIF(Mercado_Receita!$S$2:$S$667,"44593B4ConvencionalIluminação públicaIluminação pública – B4aNão se aplicaNão se aplicaFora ponta",Mercado_Receita!$L$2:$L$667)+SUMIF(Mercado_Receita!$S$2:$S$667,"44593B4ConvencionalIluminação públicaIluminação pública – B4aNão se aplicaNão se aplicaIntermediário",Mercado_Receita!$L$2:$L$667)+SUMIF(Mercado_Receita!$S$2:$S$667,"44593B4ConvencionalIluminação públicaIluminação pública – B4aNão se aplicaNão se aplicaNão se aplica",Mercado_Receita!$L$2:$L$667)</f>
        <v>329.58800000000002</v>
      </c>
      <c r="Q50" s="13">
        <f>SUMIF(Mercado_Receita!$S$2:$S$667,"44621B4ConvencionalIluminação públicaIluminação pública – B4aNão se aplicaNão se aplicaPonta",Mercado_Receita!$L$2:$L$667)+SUMIF(Mercado_Receita!$S$2:$S$667,"44621B4ConvencionalIluminação públicaIluminação pública – B4aNão se aplicaNão se aplicaFora ponta",Mercado_Receita!$L$2:$L$667)+SUMIF(Mercado_Receita!$S$2:$S$667,"44621B4ConvencionalIluminação públicaIluminação pública – B4aNão se aplicaNão se aplicaIntermediário",Mercado_Receita!$L$2:$L$667)+SUMIF(Mercado_Receita!$S$2:$S$667,"44621B4ConvencionalIluminação públicaIluminação pública – B4aNão se aplicaNão se aplicaNão se aplica",Mercado_Receita!$L$2:$L$667)</f>
        <v>383.39299999999997</v>
      </c>
      <c r="R50" s="13">
        <f>SUMIF(Mercado_Receita!$S$2:$S$667,"44652B4ConvencionalIluminação públicaIluminação pública – B4aNão se aplicaNão se aplicaPonta",Mercado_Receita!$L$2:$L$667)+SUMIF(Mercado_Receita!$S$2:$S$667,"44652B4ConvencionalIluminação públicaIluminação pública – B4aNão se aplicaNão se aplicaFora ponta",Mercado_Receita!$L$2:$L$667)+SUMIF(Mercado_Receita!$S$2:$S$667,"44652B4ConvencionalIluminação públicaIluminação pública – B4aNão se aplicaNão se aplicaIntermediário",Mercado_Receita!$L$2:$L$667)+SUMIF(Mercado_Receita!$S$2:$S$667,"44652B4ConvencionalIluminação públicaIluminação pública – B4aNão se aplicaNão se aplicaNão se aplica",Mercado_Receita!$L$2:$L$667)</f>
        <v>368.34699999999998</v>
      </c>
      <c r="S50" s="13">
        <f>SUMIF(Mercado_Receita!$S$2:$S$667,"44682B4ConvencionalIluminação públicaIluminação pública – B4aNão se aplicaNão se aplicaPonta",Mercado_Receita!$L$2:$L$667)+SUMIF(Mercado_Receita!$S$2:$S$667,"44682B4ConvencionalIluminação públicaIluminação pública – B4aNão se aplicaNão se aplicaFora ponta",Mercado_Receita!$L$2:$L$667)+SUMIF(Mercado_Receita!$S$2:$S$667,"44682B4ConvencionalIluminação públicaIluminação pública – B4aNão se aplicaNão se aplicaIntermediário",Mercado_Receita!$L$2:$L$667)+SUMIF(Mercado_Receita!$S$2:$S$667,"44682B4ConvencionalIluminação públicaIluminação pública – B4aNão se aplicaNão se aplicaNão se aplica",Mercado_Receita!$L$2:$L$667)</f>
        <v>382.18</v>
      </c>
      <c r="T50" s="13">
        <f>SUMIF(Mercado_Receita!$S$2:$S$667,"44713B4ConvencionalIluminação públicaIluminação pública – B4aNão se aplicaNão se aplicaPonta",Mercado_Receita!$L$2:$L$667)+SUMIF(Mercado_Receita!$S$2:$S$667,"44713B4ConvencionalIluminação públicaIluminação pública – B4aNão se aplicaNão se aplicaFora ponta",Mercado_Receita!$L$2:$L$667)+SUMIF(Mercado_Receita!$S$2:$S$667,"44713B4ConvencionalIluminação públicaIluminação pública – B4aNão se aplicaNão se aplicaIntermediário",Mercado_Receita!$L$2:$L$667)+SUMIF(Mercado_Receita!$S$2:$S$667,"44713B4ConvencionalIluminação públicaIluminação pública – B4aNão se aplicaNão se aplicaNão se aplica",Mercado_Receita!$L$2:$L$667)</f>
        <v>371.30099999999999</v>
      </c>
      <c r="U50" s="13">
        <f t="shared" si="1"/>
        <v>4365.4290000000001</v>
      </c>
      <c r="V50" s="13"/>
      <c r="W50" s="13"/>
    </row>
    <row r="51" spans="1:23" ht="11.25" customHeight="1" x14ac:dyDescent="0.3">
      <c r="A51" s="118"/>
      <c r="B51" s="118"/>
      <c r="C51" s="118"/>
      <c r="D51" s="13" t="s">
        <v>98</v>
      </c>
      <c r="E51" s="13" t="s">
        <v>25</v>
      </c>
      <c r="F51" s="13" t="s">
        <v>25</v>
      </c>
      <c r="G51" s="13" t="s">
        <v>81</v>
      </c>
      <c r="H51" s="13" t="s">
        <v>76</v>
      </c>
      <c r="I51" s="13">
        <f>SUMIF(Mercado_Receita!$S$2:$S$667,"44378B4ConvencionalIluminação públicaIluminação pública – B4bNão se aplicaNão se aplicaPonta",Mercado_Receita!$L$2:$L$667)+SUMIF(Mercado_Receita!$S$2:$S$667,"44378B4ConvencionalIluminação públicaIluminação pública – B4bNão se aplicaNão se aplicaFora ponta",Mercado_Receita!$L$2:$L$667)+SUMIF(Mercado_Receita!$S$2:$S$667,"44378B4ConvencionalIluminação públicaIluminação pública – B4bNão se aplicaNão se aplicaIntermediário",Mercado_Receita!$L$2:$L$667)+SUMIF(Mercado_Receita!$S$2:$S$667,"44378B4ConvencionalIluminação públicaIluminação pública – B4bNão se aplicaNão se aplicaNão se aplica",Mercado_Receita!$L$2:$L$667)</f>
        <v>0</v>
      </c>
      <c r="J51" s="13">
        <f>SUMIF(Mercado_Receita!$S$2:$S$667,"44409B4ConvencionalIluminação públicaIluminação pública – B4bNão se aplicaNão se aplicaPonta",Mercado_Receita!$L$2:$L$667)+SUMIF(Mercado_Receita!$S$2:$S$667,"44409B4ConvencionalIluminação públicaIluminação pública – B4bNão se aplicaNão se aplicaFora ponta",Mercado_Receita!$L$2:$L$667)+SUMIF(Mercado_Receita!$S$2:$S$667,"44409B4ConvencionalIluminação públicaIluminação pública – B4bNão se aplicaNão se aplicaIntermediário",Mercado_Receita!$L$2:$L$667)+SUMIF(Mercado_Receita!$S$2:$S$667,"44409B4ConvencionalIluminação públicaIluminação pública – B4bNão se aplicaNão se aplicaNão se aplica",Mercado_Receita!$L$2:$L$667)</f>
        <v>0</v>
      </c>
      <c r="K51" s="13">
        <f>SUMIF(Mercado_Receita!$S$2:$S$667,"44440B4ConvencionalIluminação públicaIluminação pública – B4bNão se aplicaNão se aplicaPonta",Mercado_Receita!$L$2:$L$667)+SUMIF(Mercado_Receita!$S$2:$S$667,"44440B4ConvencionalIluminação públicaIluminação pública – B4bNão se aplicaNão se aplicaFora ponta",Mercado_Receita!$L$2:$L$667)+SUMIF(Mercado_Receita!$S$2:$S$667,"44440B4ConvencionalIluminação públicaIluminação pública – B4bNão se aplicaNão se aplicaIntermediário",Mercado_Receita!$L$2:$L$667)+SUMIF(Mercado_Receita!$S$2:$S$667,"44440B4ConvencionalIluminação públicaIluminação pública – B4bNão se aplicaNão se aplicaNão se aplica",Mercado_Receita!$L$2:$L$667)</f>
        <v>0</v>
      </c>
      <c r="L51" s="13">
        <f>SUMIF(Mercado_Receita!$S$2:$S$667,"44470B4ConvencionalIluminação públicaIluminação pública – B4bNão se aplicaNão se aplicaPonta",Mercado_Receita!$L$2:$L$667)+SUMIF(Mercado_Receita!$S$2:$S$667,"44470B4ConvencionalIluminação públicaIluminação pública – B4bNão se aplicaNão se aplicaFora ponta",Mercado_Receita!$L$2:$L$667)+SUMIF(Mercado_Receita!$S$2:$S$667,"44470B4ConvencionalIluminação públicaIluminação pública – B4bNão se aplicaNão se aplicaIntermediário",Mercado_Receita!$L$2:$L$667)+SUMIF(Mercado_Receita!$S$2:$S$667,"44470B4ConvencionalIluminação públicaIluminação pública – B4bNão se aplicaNão se aplicaNão se aplica",Mercado_Receita!$L$2:$L$667)</f>
        <v>0</v>
      </c>
      <c r="M51" s="13">
        <f>SUMIF(Mercado_Receita!$S$2:$S$667,"44501B4ConvencionalIluminação públicaIluminação pública – B4bNão se aplicaNão se aplicaPonta",Mercado_Receita!$L$2:$L$667)+SUMIF(Mercado_Receita!$S$2:$S$667,"44501B4ConvencionalIluminação públicaIluminação pública – B4bNão se aplicaNão se aplicaFora ponta",Mercado_Receita!$L$2:$L$667)+SUMIF(Mercado_Receita!$S$2:$S$667,"44501B4ConvencionalIluminação públicaIluminação pública – B4bNão se aplicaNão se aplicaIntermediário",Mercado_Receita!$L$2:$L$667)+SUMIF(Mercado_Receita!$S$2:$S$667,"44501B4ConvencionalIluminação públicaIluminação pública – B4bNão se aplicaNão se aplicaNão se aplica",Mercado_Receita!$L$2:$L$667)</f>
        <v>0</v>
      </c>
      <c r="N51" s="13">
        <f>SUMIF(Mercado_Receita!$S$2:$S$667,"44531B4ConvencionalIluminação públicaIluminação pública – B4bNão se aplicaNão se aplicaPonta",Mercado_Receita!$L$2:$L$667)+SUMIF(Mercado_Receita!$S$2:$S$667,"44531B4ConvencionalIluminação públicaIluminação pública – B4bNão se aplicaNão se aplicaFora ponta",Mercado_Receita!$L$2:$L$667)+SUMIF(Mercado_Receita!$S$2:$S$667,"44531B4ConvencionalIluminação públicaIluminação pública – B4bNão se aplicaNão se aplicaIntermediário",Mercado_Receita!$L$2:$L$667)+SUMIF(Mercado_Receita!$S$2:$S$667,"44531B4ConvencionalIluminação públicaIluminação pública – B4bNão se aplicaNão se aplicaNão se aplica",Mercado_Receita!$L$2:$L$667)</f>
        <v>0</v>
      </c>
      <c r="O51" s="13">
        <f>SUMIF(Mercado_Receita!$S$2:$S$667,"44562B4ConvencionalIluminação públicaIluminação pública – B4bNão se aplicaNão se aplicaPonta",Mercado_Receita!$L$2:$L$667)+SUMIF(Mercado_Receita!$S$2:$S$667,"44562B4ConvencionalIluminação públicaIluminação pública – B4bNão se aplicaNão se aplicaFora ponta",Mercado_Receita!$L$2:$L$667)+SUMIF(Mercado_Receita!$S$2:$S$667,"44562B4ConvencionalIluminação públicaIluminação pública – B4bNão se aplicaNão se aplicaIntermediário",Mercado_Receita!$L$2:$L$667)+SUMIF(Mercado_Receita!$S$2:$S$667,"44562B4ConvencionalIluminação públicaIluminação pública – B4bNão se aplicaNão se aplicaNão se aplica",Mercado_Receita!$L$2:$L$667)</f>
        <v>0</v>
      </c>
      <c r="P51" s="13">
        <f>SUMIF(Mercado_Receita!$S$2:$S$667,"44593B4ConvencionalIluminação públicaIluminação pública – B4bNão se aplicaNão se aplicaPonta",Mercado_Receita!$L$2:$L$667)+SUMIF(Mercado_Receita!$S$2:$S$667,"44593B4ConvencionalIluminação públicaIluminação pública – B4bNão se aplicaNão se aplicaFora ponta",Mercado_Receita!$L$2:$L$667)+SUMIF(Mercado_Receita!$S$2:$S$667,"44593B4ConvencionalIluminação públicaIluminação pública – B4bNão se aplicaNão se aplicaIntermediário",Mercado_Receita!$L$2:$L$667)+SUMIF(Mercado_Receita!$S$2:$S$667,"44593B4ConvencionalIluminação públicaIluminação pública – B4bNão se aplicaNão se aplicaNão se aplica",Mercado_Receita!$L$2:$L$667)</f>
        <v>0</v>
      </c>
      <c r="Q51" s="13">
        <f>SUMIF(Mercado_Receita!$S$2:$S$667,"44621B4ConvencionalIluminação públicaIluminação pública – B4bNão se aplicaNão se aplicaPonta",Mercado_Receita!$L$2:$L$667)+SUMIF(Mercado_Receita!$S$2:$S$667,"44621B4ConvencionalIluminação públicaIluminação pública – B4bNão se aplicaNão se aplicaFora ponta",Mercado_Receita!$L$2:$L$667)+SUMIF(Mercado_Receita!$S$2:$S$667,"44621B4ConvencionalIluminação públicaIluminação pública – B4bNão se aplicaNão se aplicaIntermediário",Mercado_Receita!$L$2:$L$667)+SUMIF(Mercado_Receita!$S$2:$S$667,"44621B4ConvencionalIluminação públicaIluminação pública – B4bNão se aplicaNão se aplicaNão se aplica",Mercado_Receita!$L$2:$L$667)</f>
        <v>0</v>
      </c>
      <c r="R51" s="13">
        <f>SUMIF(Mercado_Receita!$S$2:$S$667,"44652B4ConvencionalIluminação públicaIluminação pública – B4bNão se aplicaNão se aplicaPonta",Mercado_Receita!$L$2:$L$667)+SUMIF(Mercado_Receita!$S$2:$S$667,"44652B4ConvencionalIluminação públicaIluminação pública – B4bNão se aplicaNão se aplicaFora ponta",Mercado_Receita!$L$2:$L$667)+SUMIF(Mercado_Receita!$S$2:$S$667,"44652B4ConvencionalIluminação públicaIluminação pública – B4bNão se aplicaNão se aplicaIntermediário",Mercado_Receita!$L$2:$L$667)+SUMIF(Mercado_Receita!$S$2:$S$667,"44652B4ConvencionalIluminação públicaIluminação pública – B4bNão se aplicaNão se aplicaNão se aplica",Mercado_Receita!$L$2:$L$667)</f>
        <v>0</v>
      </c>
      <c r="S51" s="13">
        <f>SUMIF(Mercado_Receita!$S$2:$S$667,"44682B4ConvencionalIluminação públicaIluminação pública – B4bNão se aplicaNão se aplicaPonta",Mercado_Receita!$L$2:$L$667)+SUMIF(Mercado_Receita!$S$2:$S$667,"44682B4ConvencionalIluminação públicaIluminação pública – B4bNão se aplicaNão se aplicaFora ponta",Mercado_Receita!$L$2:$L$667)+SUMIF(Mercado_Receita!$S$2:$S$667,"44682B4ConvencionalIluminação públicaIluminação pública – B4bNão se aplicaNão se aplicaIntermediário",Mercado_Receita!$L$2:$L$667)+SUMIF(Mercado_Receita!$S$2:$S$667,"44682B4ConvencionalIluminação públicaIluminação pública – B4bNão se aplicaNão se aplicaNão se aplica",Mercado_Receita!$L$2:$L$667)</f>
        <v>0</v>
      </c>
      <c r="T51" s="13">
        <f>SUMIF(Mercado_Receita!$S$2:$S$667,"44713B4ConvencionalIluminação públicaIluminação pública – B4bNão se aplicaNão se aplicaPonta",Mercado_Receita!$L$2:$L$667)+SUMIF(Mercado_Receita!$S$2:$S$667,"44713B4ConvencionalIluminação públicaIluminação pública – B4bNão se aplicaNão se aplicaFora ponta",Mercado_Receita!$L$2:$L$667)+SUMIF(Mercado_Receita!$S$2:$S$667,"44713B4ConvencionalIluminação públicaIluminação pública – B4bNão se aplicaNão se aplicaIntermediário",Mercado_Receita!$L$2:$L$667)+SUMIF(Mercado_Receita!$S$2:$S$667,"44713B4ConvencionalIluminação públicaIluminação pública – B4bNão se aplicaNão se aplicaNão se aplica",Mercado_Receita!$L$2:$L$667)</f>
        <v>0</v>
      </c>
      <c r="U51" s="13">
        <f t="shared" si="1"/>
        <v>0</v>
      </c>
      <c r="V51" s="13"/>
      <c r="W51" s="13"/>
    </row>
    <row r="52" spans="1:23" ht="11.25" customHeight="1" x14ac:dyDescent="0.3">
      <c r="A52" s="119" t="s">
        <v>609</v>
      </c>
      <c r="B52" s="120"/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3"/>
      <c r="W52" s="13"/>
    </row>
  </sheetData>
  <mergeCells count="60">
    <mergeCell ref="F6:F8"/>
    <mergeCell ref="E6:E8"/>
    <mergeCell ref="D6:D8"/>
    <mergeCell ref="C6:C8"/>
    <mergeCell ref="B6:B8"/>
    <mergeCell ref="F2:F4"/>
    <mergeCell ref="E2:E4"/>
    <mergeCell ref="D2:D5"/>
    <mergeCell ref="C2:C5"/>
    <mergeCell ref="B2:B5"/>
    <mergeCell ref="F10:F12"/>
    <mergeCell ref="E10:E12"/>
    <mergeCell ref="F13:F14"/>
    <mergeCell ref="E13:E14"/>
    <mergeCell ref="D10:D14"/>
    <mergeCell ref="B10:B14"/>
    <mergeCell ref="A2:A14"/>
    <mergeCell ref="D15:D16"/>
    <mergeCell ref="C15:C16"/>
    <mergeCell ref="B15:B16"/>
    <mergeCell ref="A15:A16"/>
    <mergeCell ref="C10:C14"/>
    <mergeCell ref="C25:C29"/>
    <mergeCell ref="B25:B29"/>
    <mergeCell ref="A17:A29"/>
    <mergeCell ref="F30:F32"/>
    <mergeCell ref="E30:E32"/>
    <mergeCell ref="D30:D32"/>
    <mergeCell ref="C30:C32"/>
    <mergeCell ref="B30:B32"/>
    <mergeCell ref="F17:F19"/>
    <mergeCell ref="E17:E19"/>
    <mergeCell ref="D17:D19"/>
    <mergeCell ref="C17:C19"/>
    <mergeCell ref="B17:B19"/>
    <mergeCell ref="C20:C24"/>
    <mergeCell ref="B20:B24"/>
    <mergeCell ref="C34:C36"/>
    <mergeCell ref="B34:B36"/>
    <mergeCell ref="F38:F40"/>
    <mergeCell ref="E38:E40"/>
    <mergeCell ref="D38:D40"/>
    <mergeCell ref="C38:C40"/>
    <mergeCell ref="B38:B40"/>
    <mergeCell ref="A50:A51"/>
    <mergeCell ref="B50:B51"/>
    <mergeCell ref="C50:C51"/>
    <mergeCell ref="A52:U52"/>
    <mergeCell ref="C42:C44"/>
    <mergeCell ref="B42:B44"/>
    <mergeCell ref="A30:A44"/>
    <mergeCell ref="F45:F47"/>
    <mergeCell ref="E45:E47"/>
    <mergeCell ref="D45:D47"/>
    <mergeCell ref="C45:C47"/>
    <mergeCell ref="B45:B47"/>
    <mergeCell ref="A45:A49"/>
    <mergeCell ref="F34:F36"/>
    <mergeCell ref="E34:E36"/>
    <mergeCell ref="D34:D3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BDA7-AE94-4ED1-9D7A-18F2BA2D8570}">
  <sheetPr codeName="Planilha5"/>
  <dimension ref="A1:AD43"/>
  <sheetViews>
    <sheetView showGridLines="0" workbookViewId="0">
      <selection sqref="A1:W43"/>
    </sheetView>
  </sheetViews>
  <sheetFormatPr defaultColWidth="9.1093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20" width="7" style="9" bestFit="1" customWidth="1"/>
    <col min="21" max="21" width="14.109375" style="9" bestFit="1" customWidth="1"/>
    <col min="22" max="16384" width="9.109375" style="9"/>
  </cols>
  <sheetData>
    <row r="1" spans="1:30" ht="11.25" customHeight="1" x14ac:dyDescent="0.3">
      <c r="A1" s="10" t="s">
        <v>66</v>
      </c>
      <c r="B1" s="10" t="s">
        <v>67</v>
      </c>
      <c r="C1" s="10" t="s">
        <v>68</v>
      </c>
      <c r="D1" s="10" t="s">
        <v>69</v>
      </c>
      <c r="E1" s="10" t="s">
        <v>70</v>
      </c>
      <c r="F1" s="10" t="s">
        <v>71</v>
      </c>
      <c r="G1" s="10" t="s">
        <v>72</v>
      </c>
      <c r="H1" s="10" t="s">
        <v>73</v>
      </c>
      <c r="I1" s="11">
        <v>44378</v>
      </c>
      <c r="J1" s="11">
        <v>44409</v>
      </c>
      <c r="K1" s="11">
        <v>44440</v>
      </c>
      <c r="L1" s="11">
        <v>44470</v>
      </c>
      <c r="M1" s="11">
        <v>44501</v>
      </c>
      <c r="N1" s="11">
        <v>44531</v>
      </c>
      <c r="O1" s="11">
        <v>44562</v>
      </c>
      <c r="P1" s="11">
        <v>44593</v>
      </c>
      <c r="Q1" s="11">
        <v>44621</v>
      </c>
      <c r="R1" s="11">
        <v>44652</v>
      </c>
      <c r="S1" s="11">
        <v>44682</v>
      </c>
      <c r="T1" s="11">
        <v>44713</v>
      </c>
      <c r="U1" s="10" t="s">
        <v>74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3">
      <c r="A2" s="117" t="s">
        <v>39</v>
      </c>
      <c r="B2" s="117" t="s">
        <v>75</v>
      </c>
      <c r="C2" s="117" t="s">
        <v>25</v>
      </c>
      <c r="D2" s="117" t="s">
        <v>25</v>
      </c>
      <c r="E2" s="117" t="s">
        <v>25</v>
      </c>
      <c r="F2" s="117" t="s">
        <v>25</v>
      </c>
      <c r="G2" s="13" t="s">
        <v>77</v>
      </c>
      <c r="H2" s="13" t="s">
        <v>76</v>
      </c>
      <c r="I2" s="13">
        <f>SUMIF(Mercado_Receita!$T$2:$T$667,"44378A4Energia horáriaNão se aplicaNão se aplicaNão se aplicaNão se aplicaPonta",Mercado_Receita!$N$2:$N$667)</f>
        <v>39.158000000000001</v>
      </c>
      <c r="J2" s="13">
        <f>SUMIF(Mercado_Receita!$T$2:$T$667,"44409A4Energia horáriaNão se aplicaNão se aplicaNão se aplicaNão se aplicaPonta",Mercado_Receita!$N$2:$N$667)</f>
        <v>31.836999999999996</v>
      </c>
      <c r="K2" s="13">
        <f>SUMIF(Mercado_Receita!$T$2:$T$667,"44440A4Energia horáriaNão se aplicaNão se aplicaNão se aplicaNão se aplicaPonta",Mercado_Receita!$N$2:$N$667)</f>
        <v>32.669999999999995</v>
      </c>
      <c r="L2" s="13">
        <f>SUMIF(Mercado_Receita!$T$2:$T$667,"44470A4Energia horáriaNão se aplicaNão se aplicaNão se aplicaNão se aplicaPonta",Mercado_Receita!$N$2:$N$667)</f>
        <v>33.997999999999998</v>
      </c>
      <c r="M2" s="13">
        <f>SUMIF(Mercado_Receita!$T$2:$T$667,"44501A4Energia horáriaNão se aplicaNão se aplicaNão se aplicaNão se aplicaPonta",Mercado_Receita!$N$2:$N$667)</f>
        <v>39.697000000000003</v>
      </c>
      <c r="N2" s="13">
        <f>SUMIF(Mercado_Receita!$T$2:$T$667,"44531A4Energia horáriaNão se aplicaNão se aplicaNão se aplicaNão se aplicaPonta",Mercado_Receita!$N$2:$N$667)</f>
        <v>47.929000000000002</v>
      </c>
      <c r="O2" s="13">
        <f>SUMIF(Mercado_Receita!$T$2:$T$667,"44562A4Energia horáriaNão se aplicaNão se aplicaNão se aplicaNão se aplicaPonta",Mercado_Receita!$N$2:$N$667)</f>
        <v>41.957000000000001</v>
      </c>
      <c r="P2" s="13">
        <f>SUMIF(Mercado_Receita!$T$2:$T$667,"44593A4Energia horáriaNão se aplicaNão se aplicaNão se aplicaNão se aplicaPonta",Mercado_Receita!$N$2:$N$667)</f>
        <v>42.228999999999999</v>
      </c>
      <c r="Q2" s="13">
        <f>SUMIF(Mercado_Receita!$T$2:$T$667,"44621A4Energia horáriaNão se aplicaNão se aplicaNão se aplicaNão se aplicaPonta",Mercado_Receita!$N$2:$N$667)</f>
        <v>60.471000000000004</v>
      </c>
      <c r="R2" s="13">
        <f>SUMIF(Mercado_Receita!$T$2:$T$667,"44652A4Energia horáriaNão se aplicaNão se aplicaNão se aplicaNão se aplicaPonta",Mercado_Receita!$N$2:$N$667)</f>
        <v>54.104999999999997</v>
      </c>
      <c r="S2" s="13">
        <f>SUMIF(Mercado_Receita!$T$2:$T$667,"44682A4Energia horáriaNão se aplicaNão se aplicaNão se aplicaNão se aplicaPonta",Mercado_Receita!$N$2:$N$667)</f>
        <v>57.066999999999993</v>
      </c>
      <c r="T2" s="13">
        <f>SUMIF(Mercado_Receita!$T$2:$T$667,"44713A4Energia horáriaNão se aplicaNão se aplicaNão se aplicaNão se aplicaPonta",Mercado_Receita!$N$2:$N$667)</f>
        <v>48.873000000000005</v>
      </c>
      <c r="U2" s="13">
        <f t="shared" ref="U2:U42" si="0">SUM(I2:T2)</f>
        <v>529.99099999999999</v>
      </c>
      <c r="V2" s="13"/>
      <c r="W2" s="13"/>
    </row>
    <row r="3" spans="1:30" ht="11.25" customHeight="1" x14ac:dyDescent="0.3">
      <c r="A3" s="118"/>
      <c r="B3" s="118"/>
      <c r="C3" s="118"/>
      <c r="D3" s="118"/>
      <c r="E3" s="118"/>
      <c r="F3" s="118"/>
      <c r="G3" s="13" t="s">
        <v>78</v>
      </c>
      <c r="H3" s="13" t="s">
        <v>76</v>
      </c>
      <c r="I3" s="13">
        <f>SUMIF(Mercado_Receita!$T$2:$T$667,"44378A4Energia horáriaNão se aplicaNão se aplicaNão se aplicaNão se aplicaFora ponta",Mercado_Receita!$N$2:$N$667)</f>
        <v>961.28099999999995</v>
      </c>
      <c r="J3" s="13">
        <f>SUMIF(Mercado_Receita!$T$2:$T$667,"44409A4Energia horáriaNão se aplicaNão se aplicaNão se aplicaNão se aplicaFora ponta",Mercado_Receita!$N$2:$N$667)</f>
        <v>716.98399999999992</v>
      </c>
      <c r="K3" s="13">
        <f>SUMIF(Mercado_Receita!$T$2:$T$667,"44440A4Energia horáriaNão se aplicaNão se aplicaNão se aplicaNão se aplicaFora ponta",Mercado_Receita!$N$2:$N$667)</f>
        <v>823.62800000000004</v>
      </c>
      <c r="L3" s="13">
        <f>SUMIF(Mercado_Receita!$T$2:$T$667,"44470A4Energia horáriaNão se aplicaNão se aplicaNão se aplicaNão se aplicaFora ponta",Mercado_Receita!$N$2:$N$667)</f>
        <v>839.16799999999989</v>
      </c>
      <c r="M3" s="13">
        <f>SUMIF(Mercado_Receita!$T$2:$T$667,"44501A4Energia horáriaNão se aplicaNão se aplicaNão se aplicaNão se aplicaFora ponta",Mercado_Receita!$N$2:$N$667)</f>
        <v>883.26299999999992</v>
      </c>
      <c r="N3" s="13">
        <f>SUMIF(Mercado_Receita!$T$2:$T$667,"44531A4Energia horáriaNão se aplicaNão se aplicaNão se aplicaNão se aplicaFora ponta",Mercado_Receita!$N$2:$N$667)</f>
        <v>910.69600000000003</v>
      </c>
      <c r="O3" s="13">
        <f>SUMIF(Mercado_Receita!$T$2:$T$667,"44562A4Energia horáriaNão se aplicaNão se aplicaNão se aplicaNão se aplicaFora ponta",Mercado_Receita!$N$2:$N$667)</f>
        <v>903.81899999999996</v>
      </c>
      <c r="P3" s="13">
        <f>SUMIF(Mercado_Receita!$T$2:$T$667,"44593A4Energia horáriaNão se aplicaNão se aplicaNão se aplicaNão se aplicaFora ponta",Mercado_Receita!$N$2:$N$667)</f>
        <v>869.35599999999999</v>
      </c>
      <c r="Q3" s="13">
        <f>SUMIF(Mercado_Receita!$T$2:$T$667,"44621A4Energia horáriaNão se aplicaNão se aplicaNão se aplicaNão se aplicaFora ponta",Mercado_Receita!$N$2:$N$667)</f>
        <v>1042.1109999999999</v>
      </c>
      <c r="R3" s="13">
        <f>SUMIF(Mercado_Receita!$T$2:$T$667,"44652A4Energia horáriaNão se aplicaNão se aplicaNão se aplicaNão se aplicaFora ponta",Mercado_Receita!$N$2:$N$667)</f>
        <v>1061.7560000000001</v>
      </c>
      <c r="S3" s="13">
        <f>SUMIF(Mercado_Receita!$T$2:$T$667,"44682A4Energia horáriaNão se aplicaNão se aplicaNão se aplicaNão se aplicaFora ponta",Mercado_Receita!$N$2:$N$667)</f>
        <v>1073.9079999999999</v>
      </c>
      <c r="T3" s="13">
        <f>SUMIF(Mercado_Receita!$T$2:$T$667,"44713A4Energia horáriaNão se aplicaNão se aplicaNão se aplicaNão se aplicaFora ponta",Mercado_Receita!$N$2:$N$667)</f>
        <v>853.81</v>
      </c>
      <c r="U3" s="13">
        <f t="shared" si="0"/>
        <v>10939.779999999999</v>
      </c>
      <c r="V3" s="13"/>
      <c r="W3" s="13"/>
    </row>
    <row r="4" spans="1:30" ht="11.25" customHeight="1" x14ac:dyDescent="0.3">
      <c r="A4" s="118"/>
      <c r="B4" s="12" t="s">
        <v>79</v>
      </c>
      <c r="C4" s="12" t="s">
        <v>25</v>
      </c>
      <c r="D4" s="12" t="s">
        <v>25</v>
      </c>
      <c r="E4" s="12" t="s">
        <v>80</v>
      </c>
      <c r="F4" s="12" t="s">
        <v>25</v>
      </c>
      <c r="G4" s="13" t="s">
        <v>81</v>
      </c>
      <c r="H4" s="13" t="s">
        <v>76</v>
      </c>
      <c r="I4" s="13">
        <f>SUMIF(Mercado_Receita!$T$2:$T$667,"44378A4Energia suprimento concessionáriaNão se aplicaNão se aplica&lt;500GWhNão se aplicaNão se aplica",Mercado_Receita!$N$2:$N$667)</f>
        <v>0</v>
      </c>
      <c r="J4" s="13">
        <f>SUMIF(Mercado_Receita!$T$2:$T$667,"44409A4Energia suprimento concessionáriaNão se aplicaNão se aplica&lt;500GWhNão se aplicaNão se aplica",Mercado_Receita!$N$2:$N$667)</f>
        <v>0</v>
      </c>
      <c r="K4" s="13">
        <f>SUMIF(Mercado_Receita!$T$2:$T$667,"44440A4Energia suprimento concessionáriaNão se aplicaNão se aplica&lt;500GWhNão se aplicaNão se aplica",Mercado_Receita!$N$2:$N$667)</f>
        <v>0</v>
      </c>
      <c r="L4" s="13">
        <f>SUMIF(Mercado_Receita!$T$2:$T$667,"44470A4Energia suprimento concessionáriaNão se aplicaNão se aplica&lt;500GWhNão se aplicaNão se aplica",Mercado_Receita!$N$2:$N$667)</f>
        <v>0</v>
      </c>
      <c r="M4" s="13">
        <f>SUMIF(Mercado_Receita!$T$2:$T$667,"44501A4Energia suprimento concessionáriaNão se aplicaNão se aplica&lt;500GWhNão se aplicaNão se aplica",Mercado_Receita!$N$2:$N$667)</f>
        <v>0</v>
      </c>
      <c r="N4" s="13">
        <f>SUMIF(Mercado_Receita!$T$2:$T$667,"44531A4Energia suprimento concessionáriaNão se aplicaNão se aplica&lt;500GWhNão se aplicaNão se aplica",Mercado_Receita!$N$2:$N$667)</f>
        <v>0</v>
      </c>
      <c r="O4" s="13">
        <f>SUMIF(Mercado_Receita!$T$2:$T$667,"44562A4Energia suprimento concessionáriaNão se aplicaNão se aplica&lt;500GWhNão se aplicaNão se aplica",Mercado_Receita!$N$2:$N$667)</f>
        <v>0</v>
      </c>
      <c r="P4" s="13">
        <f>SUMIF(Mercado_Receita!$T$2:$T$667,"44593A4Energia suprimento concessionáriaNão se aplicaNão se aplica&lt;500GWhNão se aplicaNão se aplica",Mercado_Receita!$N$2:$N$667)</f>
        <v>0</v>
      </c>
      <c r="Q4" s="13">
        <f>SUMIF(Mercado_Receita!$T$2:$T$667,"44621A4Energia suprimento concessionáriaNão se aplicaNão se aplica&lt;500GWhNão se aplicaNão se aplica",Mercado_Receita!$N$2:$N$667)</f>
        <v>0</v>
      </c>
      <c r="R4" s="13">
        <f>SUMIF(Mercado_Receita!$T$2:$T$667,"44652A4Energia suprimento concessionáriaNão se aplicaNão se aplica&lt;500GWhNão se aplicaNão se aplica",Mercado_Receita!$N$2:$N$667)</f>
        <v>0</v>
      </c>
      <c r="S4" s="13">
        <f>SUMIF(Mercado_Receita!$T$2:$T$667,"44682A4Energia suprimento concessionáriaNão se aplicaNão se aplica&lt;500GWhNão se aplicaNão se aplica",Mercado_Receita!$N$2:$N$667)</f>
        <v>0</v>
      </c>
      <c r="T4" s="13">
        <f>SUMIF(Mercado_Receita!$T$2:$T$667,"44713A4Energia suprimento concessionáriaNão se aplicaNão se aplica&lt;500GWhNão se aplicaNão se aplica",Mercado_Receita!$N$2:$N$667)</f>
        <v>0</v>
      </c>
      <c r="U4" s="13">
        <f t="shared" si="0"/>
        <v>0</v>
      </c>
      <c r="V4" s="13"/>
      <c r="W4" s="13"/>
    </row>
    <row r="5" spans="1:30" ht="11.25" customHeight="1" x14ac:dyDescent="0.3">
      <c r="A5" s="118"/>
      <c r="B5" s="12" t="s">
        <v>82</v>
      </c>
      <c r="C5" s="12" t="s">
        <v>25</v>
      </c>
      <c r="D5" s="12" t="s">
        <v>25</v>
      </c>
      <c r="E5" s="12" t="s">
        <v>25</v>
      </c>
      <c r="F5" s="12" t="s">
        <v>25</v>
      </c>
      <c r="G5" s="13" t="s">
        <v>81</v>
      </c>
      <c r="H5" s="13" t="s">
        <v>76</v>
      </c>
      <c r="I5" s="13">
        <f>SUMIF(Mercado_Receita!$T$2:$T$667,"44378A4Energia convencionalNão se aplicaNão se aplicaNão se aplicaNão se aplicaNão se aplica",Mercado_Receita!$N$2:$N$667)</f>
        <v>0</v>
      </c>
      <c r="J5" s="13">
        <f>SUMIF(Mercado_Receita!$T$2:$T$667,"44409A4Energia convencionalNão se aplicaNão se aplicaNão se aplicaNão se aplicaNão se aplica",Mercado_Receita!$N$2:$N$667)</f>
        <v>0</v>
      </c>
      <c r="K5" s="13">
        <f>SUMIF(Mercado_Receita!$T$2:$T$667,"44440A4Energia convencionalNão se aplicaNão se aplicaNão se aplicaNão se aplicaNão se aplica",Mercado_Receita!$N$2:$N$667)</f>
        <v>0</v>
      </c>
      <c r="L5" s="13">
        <f>SUMIF(Mercado_Receita!$T$2:$T$667,"44470A4Energia convencionalNão se aplicaNão se aplicaNão se aplicaNão se aplicaNão se aplica",Mercado_Receita!$N$2:$N$667)</f>
        <v>0</v>
      </c>
      <c r="M5" s="13">
        <f>SUMIF(Mercado_Receita!$T$2:$T$667,"44501A4Energia convencionalNão se aplicaNão se aplicaNão se aplicaNão se aplicaNão se aplica",Mercado_Receita!$N$2:$N$667)</f>
        <v>0</v>
      </c>
      <c r="N5" s="13">
        <f>SUMIF(Mercado_Receita!$T$2:$T$667,"44531A4Energia convencionalNão se aplicaNão se aplicaNão se aplicaNão se aplicaNão se aplica",Mercado_Receita!$N$2:$N$667)</f>
        <v>0</v>
      </c>
      <c r="O5" s="13">
        <f>SUMIF(Mercado_Receita!$T$2:$T$667,"44562A4Energia convencionalNão se aplicaNão se aplicaNão se aplicaNão se aplicaNão se aplica",Mercado_Receita!$N$2:$N$667)</f>
        <v>0</v>
      </c>
      <c r="P5" s="13">
        <f>SUMIF(Mercado_Receita!$T$2:$T$667,"44593A4Energia convencionalNão se aplicaNão se aplicaNão se aplicaNão se aplicaNão se aplica",Mercado_Receita!$N$2:$N$667)</f>
        <v>0</v>
      </c>
      <c r="Q5" s="13">
        <f>SUMIF(Mercado_Receita!$T$2:$T$667,"44621A4Energia convencionalNão se aplicaNão se aplicaNão se aplicaNão se aplicaNão se aplica",Mercado_Receita!$N$2:$N$667)</f>
        <v>0</v>
      </c>
      <c r="R5" s="13">
        <f>SUMIF(Mercado_Receita!$T$2:$T$667,"44652A4Energia convencionalNão se aplicaNão se aplicaNão se aplicaNão se aplicaNão se aplica",Mercado_Receita!$N$2:$N$667)</f>
        <v>0</v>
      </c>
      <c r="S5" s="13">
        <f>SUMIF(Mercado_Receita!$T$2:$T$667,"44682A4Energia convencionalNão se aplicaNão se aplicaNão se aplicaNão se aplicaNão se aplica",Mercado_Receita!$N$2:$N$667)</f>
        <v>0</v>
      </c>
      <c r="T5" s="13">
        <f>SUMIF(Mercado_Receita!$T$2:$T$667,"44713A4Energia convencionalNão se aplicaNão se aplicaNão se aplicaNão se aplicaNão se aplica",Mercado_Receita!$N$2:$N$667)</f>
        <v>0</v>
      </c>
      <c r="U5" s="13">
        <f t="shared" si="0"/>
        <v>0</v>
      </c>
      <c r="V5" s="13"/>
      <c r="W5" s="13"/>
    </row>
    <row r="6" spans="1:30" ht="11.25" customHeight="1" x14ac:dyDescent="0.3">
      <c r="A6" s="118"/>
      <c r="B6" s="12" t="s">
        <v>89</v>
      </c>
      <c r="C6" s="12" t="s">
        <v>25</v>
      </c>
      <c r="D6" s="12" t="s">
        <v>25</v>
      </c>
      <c r="E6" s="12" t="s">
        <v>80</v>
      </c>
      <c r="F6" s="12" t="s">
        <v>25</v>
      </c>
      <c r="G6" s="13" t="s">
        <v>81</v>
      </c>
      <c r="H6" s="13" t="s">
        <v>76</v>
      </c>
      <c r="I6" s="13">
        <f>SUMIF(Mercado_Receita!$T$2:$T$667,"44378A4Energia suprimento permissionáriaNão se aplicaNão se aplica&lt;500GWhNão se aplicaNão se aplica",Mercado_Receita!$N$2:$N$667)</f>
        <v>342.21800000000002</v>
      </c>
      <c r="J6" s="13">
        <f>SUMIF(Mercado_Receita!$T$2:$T$667,"44409A4Energia suprimento permissionáriaNão se aplicaNão se aplica&lt;500GWhNão se aplicaNão se aplica",Mercado_Receita!$N$2:$N$667)</f>
        <v>369.23899999999998</v>
      </c>
      <c r="K6" s="13">
        <f>SUMIF(Mercado_Receita!$T$2:$T$667,"44440A4Energia suprimento permissionáriaNão se aplicaNão se aplica&lt;500GWhNão se aplicaNão se aplica",Mercado_Receita!$N$2:$N$667)</f>
        <v>336.33800000000002</v>
      </c>
      <c r="L6" s="13">
        <f>SUMIF(Mercado_Receita!$T$2:$T$667,"44470A4Energia suprimento permissionáriaNão se aplicaNão se aplica&lt;500GWhNão se aplicaNão se aplica",Mercado_Receita!$N$2:$N$667)</f>
        <v>343.803</v>
      </c>
      <c r="M6" s="13">
        <f>SUMIF(Mercado_Receita!$T$2:$T$667,"44501A4Energia suprimento permissionáriaNão se aplicaNão se aplica&lt;500GWhNão se aplicaNão se aplica",Mercado_Receita!$N$2:$N$667)</f>
        <v>490.92599999999999</v>
      </c>
      <c r="N6" s="13">
        <f>SUMIF(Mercado_Receita!$T$2:$T$667,"44531A4Energia suprimento permissionáriaNão se aplicaNão se aplica&lt;500GWhNão se aplicaNão se aplica",Mercado_Receita!$N$2:$N$667)</f>
        <v>681.79300000000001</v>
      </c>
      <c r="O6" s="13">
        <f>SUMIF(Mercado_Receita!$T$2:$T$667,"44562A4Energia suprimento permissionáriaNão se aplicaNão se aplica&lt;500GWhNão se aplicaNão se aplica",Mercado_Receita!$N$2:$N$667)</f>
        <v>709.2</v>
      </c>
      <c r="P6" s="13">
        <f>SUMIF(Mercado_Receita!$T$2:$T$667,"44593A4Energia suprimento permissionáriaNão se aplicaNão se aplica&lt;500GWhNão se aplicaNão se aplica",Mercado_Receita!$N$2:$N$667)</f>
        <v>498.80799999999999</v>
      </c>
      <c r="Q6" s="13">
        <f>SUMIF(Mercado_Receita!$T$2:$T$667,"44621A4Energia suprimento permissionáriaNão se aplicaNão se aplica&lt;500GWhNão se aplicaNão se aplica",Mercado_Receita!$N$2:$N$667)</f>
        <v>469.10599999999999</v>
      </c>
      <c r="R6" s="13">
        <f>SUMIF(Mercado_Receita!$T$2:$T$667,"44652A4Energia suprimento permissionáriaNão se aplicaNão se aplica&lt;500GWhNão se aplicaNão se aplica",Mercado_Receita!$N$2:$N$667)</f>
        <v>444.86500000000001</v>
      </c>
      <c r="S6" s="13">
        <f>SUMIF(Mercado_Receita!$T$2:$T$667,"44682A4Energia suprimento permissionáriaNão se aplicaNão se aplica&lt;500GWhNão se aplicaNão se aplica",Mercado_Receita!$N$2:$N$667)</f>
        <v>398.43</v>
      </c>
      <c r="T6" s="13">
        <f>SUMIF(Mercado_Receita!$T$2:$T$667,"44713A4Energia suprimento permissionáriaNão se aplicaNão se aplica&lt;500GWhNão se aplicaNão se aplica",Mercado_Receita!$N$2:$N$667)</f>
        <v>404.363</v>
      </c>
      <c r="U6" s="13">
        <f t="shared" si="0"/>
        <v>5489.0889999999999</v>
      </c>
      <c r="V6" s="13"/>
      <c r="W6" s="13"/>
    </row>
    <row r="7" spans="1:30" ht="11.25" customHeight="1" x14ac:dyDescent="0.3">
      <c r="A7" s="118"/>
      <c r="B7" s="12" t="s">
        <v>79</v>
      </c>
      <c r="C7" s="12" t="s">
        <v>25</v>
      </c>
      <c r="D7" s="12" t="s">
        <v>25</v>
      </c>
      <c r="E7" s="12" t="s">
        <v>25</v>
      </c>
      <c r="F7" s="12" t="s">
        <v>25</v>
      </c>
      <c r="G7" s="13" t="s">
        <v>81</v>
      </c>
      <c r="H7" s="13" t="s">
        <v>76</v>
      </c>
      <c r="I7" s="13">
        <f>SUMIF(Mercado_Receita!$T$2:$T$667,"44378A4Energia suprimento concessionáriaNão se aplicaNão se aplicaNão se aplicaNão se aplicaNão se aplica",Mercado_Receita!$N$2:$N$667)</f>
        <v>0</v>
      </c>
      <c r="J7" s="13">
        <f>SUMIF(Mercado_Receita!$T$2:$T$667,"44409A4Energia suprimento concessionáriaNão se aplicaNão se aplicaNão se aplicaNão se aplicaNão se aplica",Mercado_Receita!$N$2:$N$667)</f>
        <v>0</v>
      </c>
      <c r="K7" s="13">
        <f>SUMIF(Mercado_Receita!$T$2:$T$667,"44440A4Energia suprimento concessionáriaNão se aplicaNão se aplicaNão se aplicaNão se aplicaNão se aplica",Mercado_Receita!$N$2:$N$667)</f>
        <v>0</v>
      </c>
      <c r="L7" s="13">
        <f>SUMIF(Mercado_Receita!$T$2:$T$667,"44470A4Energia suprimento concessionáriaNão se aplicaNão se aplicaNão se aplicaNão se aplicaNão se aplica",Mercado_Receita!$N$2:$N$667)</f>
        <v>0</v>
      </c>
      <c r="M7" s="13">
        <f>SUMIF(Mercado_Receita!$T$2:$T$667,"44501A4Energia suprimento concessionáriaNão se aplicaNão se aplicaNão se aplicaNão se aplicaNão se aplica",Mercado_Receita!$N$2:$N$667)</f>
        <v>0</v>
      </c>
      <c r="N7" s="13">
        <f>SUMIF(Mercado_Receita!$T$2:$T$667,"44531A4Energia suprimento concessionáriaNão se aplicaNão se aplicaNão se aplicaNão se aplicaNão se aplica",Mercado_Receita!$N$2:$N$667)</f>
        <v>0</v>
      </c>
      <c r="O7" s="13">
        <f>SUMIF(Mercado_Receita!$T$2:$T$667,"44562A4Energia suprimento concessionáriaNão se aplicaNão se aplicaNão se aplicaNão se aplicaNão se aplica",Mercado_Receita!$N$2:$N$667)</f>
        <v>0</v>
      </c>
      <c r="P7" s="13">
        <f>SUMIF(Mercado_Receita!$T$2:$T$667,"44593A4Energia suprimento concessionáriaNão se aplicaNão se aplicaNão se aplicaNão se aplicaNão se aplica",Mercado_Receita!$N$2:$N$667)</f>
        <v>0</v>
      </c>
      <c r="Q7" s="13">
        <f>SUMIF(Mercado_Receita!$T$2:$T$667,"44621A4Energia suprimento concessionáriaNão se aplicaNão se aplicaNão se aplicaNão se aplicaNão se aplica",Mercado_Receita!$N$2:$N$667)</f>
        <v>0</v>
      </c>
      <c r="R7" s="13">
        <f>SUMIF(Mercado_Receita!$T$2:$T$667,"44652A4Energia suprimento concessionáriaNão se aplicaNão se aplicaNão se aplicaNão se aplicaNão se aplica",Mercado_Receita!$N$2:$N$667)</f>
        <v>0</v>
      </c>
      <c r="S7" s="13">
        <f>SUMIF(Mercado_Receita!$T$2:$T$667,"44682A4Energia suprimento concessionáriaNão se aplicaNão se aplicaNão se aplicaNão se aplicaNão se aplica",Mercado_Receita!$N$2:$N$667)</f>
        <v>0</v>
      </c>
      <c r="T7" s="13">
        <f>SUMIF(Mercado_Receita!$T$2:$T$667,"44713A4Energia suprimento concessionáriaNão se aplicaNão se aplicaNão se aplicaNão se aplicaNão se aplica",Mercado_Receita!$N$2:$N$667)</f>
        <v>0</v>
      </c>
      <c r="U7" s="13">
        <f t="shared" si="0"/>
        <v>0</v>
      </c>
      <c r="V7" s="13"/>
      <c r="W7" s="13"/>
    </row>
    <row r="8" spans="1:30" ht="11.25" customHeight="1" x14ac:dyDescent="0.3">
      <c r="A8" s="117" t="s">
        <v>22</v>
      </c>
      <c r="B8" s="117" t="s">
        <v>75</v>
      </c>
      <c r="C8" s="117" t="s">
        <v>24</v>
      </c>
      <c r="D8" s="117" t="s">
        <v>24</v>
      </c>
      <c r="E8" s="117" t="s">
        <v>25</v>
      </c>
      <c r="F8" s="117" t="s">
        <v>25</v>
      </c>
      <c r="G8" s="13" t="s">
        <v>77</v>
      </c>
      <c r="H8" s="13" t="s">
        <v>76</v>
      </c>
      <c r="I8" s="13">
        <f>SUMIF(Mercado_Receita!$T$2:$T$667,"44378B1Energia horáriaResidencialResidencialNão se aplicaNão se aplicaPonta",Mercado_Receita!$N$2:$N$667)</f>
        <v>4.9000000000000002E-2</v>
      </c>
      <c r="J8" s="13">
        <f>SUMIF(Mercado_Receita!$T$2:$T$667,"44409B1Energia horáriaResidencialResidencialNão se aplicaNão se aplicaPonta",Mercado_Receita!$N$2:$N$667)</f>
        <v>0.06</v>
      </c>
      <c r="K8" s="13">
        <f>SUMIF(Mercado_Receita!$T$2:$T$667,"44440B1Energia horáriaResidencialResidencialNão se aplicaNão se aplicaPonta",Mercado_Receita!$N$2:$N$667)</f>
        <v>5.3999999999999999E-2</v>
      </c>
      <c r="L8" s="13">
        <f>SUMIF(Mercado_Receita!$T$2:$T$667,"44470B1Energia horáriaResidencialResidencialNão se aplicaNão se aplicaPonta",Mercado_Receita!$N$2:$N$667)</f>
        <v>5.2999999999999999E-2</v>
      </c>
      <c r="M8" s="13">
        <f>SUMIF(Mercado_Receita!$T$2:$T$667,"44501B1Energia horáriaResidencialResidencialNão se aplicaNão se aplicaPonta",Mercado_Receita!$N$2:$N$667)</f>
        <v>5.0999999999999997E-2</v>
      </c>
      <c r="N8" s="13">
        <f>SUMIF(Mercado_Receita!$T$2:$T$667,"44531B1Energia horáriaResidencialResidencialNão se aplicaNão se aplicaPonta",Mercado_Receita!$N$2:$N$667)</f>
        <v>5.5E-2</v>
      </c>
      <c r="O8" s="13">
        <f>SUMIF(Mercado_Receita!$T$2:$T$667,"44562B1Energia horáriaResidencialResidencialNão se aplicaNão se aplicaPonta",Mercado_Receita!$N$2:$N$667)</f>
        <v>6.3E-2</v>
      </c>
      <c r="P8" s="13">
        <f>SUMIF(Mercado_Receita!$T$2:$T$667,"44593B1Energia horáriaResidencialResidencialNão se aplicaNão se aplicaPonta",Mercado_Receita!$N$2:$N$667)</f>
        <v>7.8E-2</v>
      </c>
      <c r="Q8" s="13">
        <f>SUMIF(Mercado_Receita!$T$2:$T$667,"44621B1Energia horáriaResidencialResidencialNão se aplicaNão se aplicaPonta",Mercado_Receita!$N$2:$N$667)</f>
        <v>6.9000000000000006E-2</v>
      </c>
      <c r="R8" s="13">
        <f>SUMIF(Mercado_Receita!$T$2:$T$667,"44652B1Energia horáriaResidencialResidencialNão se aplicaNão se aplicaPonta",Mercado_Receita!$N$2:$N$667)</f>
        <v>4.2000000000000003E-2</v>
      </c>
      <c r="S8" s="13">
        <f>SUMIF(Mercado_Receita!$T$2:$T$667,"44682B1Energia horáriaResidencialResidencialNão se aplicaNão se aplicaPonta",Mercado_Receita!$N$2:$N$667)</f>
        <v>4.3999999999999997E-2</v>
      </c>
      <c r="T8" s="13">
        <f>SUMIF(Mercado_Receita!$T$2:$T$667,"44713B1Energia horáriaResidencialResidencialNão se aplicaNão se aplicaPonta",Mercado_Receita!$N$2:$N$667)</f>
        <v>7.0000000000000007E-2</v>
      </c>
      <c r="U8" s="13">
        <f t="shared" si="0"/>
        <v>0.68800000000000017</v>
      </c>
      <c r="V8" s="13"/>
      <c r="W8" s="13"/>
    </row>
    <row r="9" spans="1:30" ht="11.25" customHeight="1" x14ac:dyDescent="0.3">
      <c r="A9" s="118"/>
      <c r="B9" s="118"/>
      <c r="C9" s="118"/>
      <c r="D9" s="118"/>
      <c r="E9" s="118"/>
      <c r="F9" s="118"/>
      <c r="G9" s="13" t="s">
        <v>93</v>
      </c>
      <c r="H9" s="13" t="s">
        <v>76</v>
      </c>
      <c r="I9" s="13">
        <f>SUMIF(Mercado_Receita!$T$2:$T$667,"44378B1Energia horáriaResidencialResidencialNão se aplicaNão se aplicaIntermediário",Mercado_Receita!$N$2:$N$667)</f>
        <v>2.3E-2</v>
      </c>
      <c r="J9" s="13">
        <f>SUMIF(Mercado_Receita!$T$2:$T$667,"44409B1Energia horáriaResidencialResidencialNão se aplicaNão se aplicaIntermediário",Mercado_Receita!$N$2:$N$667)</f>
        <v>2.7E-2</v>
      </c>
      <c r="K9" s="13">
        <f>SUMIF(Mercado_Receita!$T$2:$T$667,"44440B1Energia horáriaResidencialResidencialNão se aplicaNão se aplicaIntermediário",Mercado_Receita!$N$2:$N$667)</f>
        <v>2.7E-2</v>
      </c>
      <c r="L9" s="13">
        <f>SUMIF(Mercado_Receita!$T$2:$T$667,"44470B1Energia horáriaResidencialResidencialNão se aplicaNão se aplicaIntermediário",Mercado_Receita!$N$2:$N$667)</f>
        <v>2.5999999999999999E-2</v>
      </c>
      <c r="M9" s="13">
        <f>SUMIF(Mercado_Receita!$T$2:$T$667,"44501B1Energia horáriaResidencialResidencialNão se aplicaNão se aplicaIntermediário",Mercado_Receita!$N$2:$N$667)</f>
        <v>4.1000000000000002E-2</v>
      </c>
      <c r="N9" s="13">
        <f>SUMIF(Mercado_Receita!$T$2:$T$667,"44531B1Energia horáriaResidencialResidencialNão se aplicaNão se aplicaIntermediário",Mercado_Receita!$N$2:$N$667)</f>
        <v>4.3999999999999997E-2</v>
      </c>
      <c r="O9" s="13">
        <f>SUMIF(Mercado_Receita!$T$2:$T$667,"44562B1Energia horáriaResidencialResidencialNão se aplicaNão se aplicaIntermediário",Mercado_Receita!$N$2:$N$667)</f>
        <v>5.8999999999999997E-2</v>
      </c>
      <c r="P9" s="13">
        <f>SUMIF(Mercado_Receita!$T$2:$T$667,"44593B1Energia horáriaResidencialResidencialNão se aplicaNão se aplicaIntermediário",Mercado_Receita!$N$2:$N$667)</f>
        <v>7.0999999999999994E-2</v>
      </c>
      <c r="Q9" s="13">
        <f>SUMIF(Mercado_Receita!$T$2:$T$667,"44621B1Energia horáriaResidencialResidencialNão se aplicaNão se aplicaIntermediário",Mercado_Receita!$N$2:$N$667)</f>
        <v>5.5E-2</v>
      </c>
      <c r="R9" s="13">
        <f>SUMIF(Mercado_Receita!$T$2:$T$667,"44652B1Energia horáriaResidencialResidencialNão se aplicaNão se aplicaIntermediário",Mercado_Receita!$N$2:$N$667)</f>
        <v>2.7E-2</v>
      </c>
      <c r="S9" s="13">
        <f>SUMIF(Mercado_Receita!$T$2:$T$667,"44682B1Energia horáriaResidencialResidencialNão se aplicaNão se aplicaIntermediário",Mercado_Receita!$N$2:$N$667)</f>
        <v>2.1999999999999999E-2</v>
      </c>
      <c r="T9" s="13">
        <f>SUMIF(Mercado_Receita!$T$2:$T$667,"44713B1Energia horáriaResidencialResidencialNão se aplicaNão se aplicaIntermediário",Mercado_Receita!$N$2:$N$667)</f>
        <v>3.7999999999999999E-2</v>
      </c>
      <c r="U9" s="13">
        <f t="shared" si="0"/>
        <v>0.46</v>
      </c>
      <c r="V9" s="13"/>
      <c r="W9" s="13"/>
    </row>
    <row r="10" spans="1:30" ht="11.25" customHeight="1" x14ac:dyDescent="0.3">
      <c r="A10" s="118"/>
      <c r="B10" s="118"/>
      <c r="C10" s="118"/>
      <c r="D10" s="118"/>
      <c r="E10" s="118"/>
      <c r="F10" s="118"/>
      <c r="G10" s="13" t="s">
        <v>78</v>
      </c>
      <c r="H10" s="13" t="s">
        <v>76</v>
      </c>
      <c r="I10" s="13">
        <f>SUMIF(Mercado_Receita!$T$2:$T$667,"44378B1Energia horáriaResidencialResidencialNão se aplicaNão se aplicaFora ponta",Mercado_Receita!$N$2:$N$667)</f>
        <v>0.318</v>
      </c>
      <c r="J10" s="13">
        <f>SUMIF(Mercado_Receita!$T$2:$T$667,"44409B1Energia horáriaResidencialResidencialNão se aplicaNão se aplicaFora ponta",Mercado_Receita!$N$2:$N$667)</f>
        <v>0.35799999999999998</v>
      </c>
      <c r="K10" s="13">
        <f>SUMIF(Mercado_Receita!$T$2:$T$667,"44440B1Energia horáriaResidencialResidencialNão se aplicaNão se aplicaFora ponta",Mercado_Receita!$N$2:$N$667)</f>
        <v>0.37</v>
      </c>
      <c r="L10" s="13">
        <f>SUMIF(Mercado_Receita!$T$2:$T$667,"44470B1Energia horáriaResidencialResidencialNão se aplicaNão se aplicaFora ponta",Mercado_Receita!$N$2:$N$667)</f>
        <v>0.378</v>
      </c>
      <c r="M10" s="13">
        <f>SUMIF(Mercado_Receita!$T$2:$T$667,"44501B1Energia horáriaResidencialResidencialNão se aplicaNão se aplicaFora ponta",Mercado_Receita!$N$2:$N$667)</f>
        <v>0.49199999999999999</v>
      </c>
      <c r="N10" s="13">
        <f>SUMIF(Mercado_Receita!$T$2:$T$667,"44531B1Energia horáriaResidencialResidencialNão se aplicaNão se aplicaFora ponta",Mercado_Receita!$N$2:$N$667)</f>
        <v>0.54100000000000004</v>
      </c>
      <c r="O10" s="13">
        <f>SUMIF(Mercado_Receita!$T$2:$T$667,"44562B1Energia horáriaResidencialResidencialNão se aplicaNão se aplicaFora ponta",Mercado_Receita!$N$2:$N$667)</f>
        <v>0.66900000000000004</v>
      </c>
      <c r="P10" s="13">
        <f>SUMIF(Mercado_Receita!$T$2:$T$667,"44593B1Energia horáriaResidencialResidencialNão se aplicaNão se aplicaFora ponta",Mercado_Receita!$N$2:$N$667)</f>
        <v>0.77100000000000002</v>
      </c>
      <c r="Q10" s="13">
        <f>SUMIF(Mercado_Receita!$T$2:$T$667,"44621B1Energia horáriaResidencialResidencialNão se aplicaNão se aplicaFora ponta",Mercado_Receita!$N$2:$N$667)</f>
        <v>0.61899999999999999</v>
      </c>
      <c r="R10" s="13">
        <f>SUMIF(Mercado_Receita!$T$2:$T$667,"44652B1Energia horáriaResidencialResidencialNão se aplicaNão se aplicaFora ponta",Mercado_Receita!$N$2:$N$667)</f>
        <v>0.376</v>
      </c>
      <c r="S10" s="13">
        <f>SUMIF(Mercado_Receita!$T$2:$T$667,"44682B1Energia horáriaResidencialResidencialNão se aplicaNão se aplicaFora ponta",Mercado_Receita!$N$2:$N$667)</f>
        <v>0.33100000000000002</v>
      </c>
      <c r="T10" s="13">
        <f>SUMIF(Mercado_Receita!$T$2:$T$667,"44713B1Energia horáriaResidencialResidencialNão se aplicaNão se aplicaFora ponta",Mercado_Receita!$N$2:$N$667)</f>
        <v>0.46200000000000002</v>
      </c>
      <c r="U10" s="13">
        <f t="shared" si="0"/>
        <v>5.6850000000000005</v>
      </c>
      <c r="V10" s="13"/>
      <c r="W10" s="13"/>
    </row>
    <row r="11" spans="1:30" ht="11.25" customHeight="1" x14ac:dyDescent="0.3">
      <c r="A11" s="118"/>
      <c r="B11" s="117" t="s">
        <v>82</v>
      </c>
      <c r="C11" s="117" t="s">
        <v>24</v>
      </c>
      <c r="D11" s="12" t="s">
        <v>24</v>
      </c>
      <c r="E11" s="12" t="s">
        <v>25</v>
      </c>
      <c r="F11" s="12" t="s">
        <v>25</v>
      </c>
      <c r="G11" s="13" t="s">
        <v>81</v>
      </c>
      <c r="H11" s="13" t="s">
        <v>76</v>
      </c>
      <c r="I11" s="13">
        <f>SUMIF(Mercado_Receita!$T$2:$T$667,"44378B1Energia convencionalResidencialResidencialNão se aplicaNão se aplicaNão se aplica",Mercado_Receita!$N$2:$N$667)</f>
        <v>1539.1669999999999</v>
      </c>
      <c r="J11" s="13">
        <f>SUMIF(Mercado_Receita!$T$2:$T$667,"44409B1Energia convencionalResidencialResidencialNão se aplicaNão se aplicaNão se aplica",Mercado_Receita!$N$2:$N$667)</f>
        <v>1626.2089999999998</v>
      </c>
      <c r="K11" s="13">
        <f>SUMIF(Mercado_Receita!$T$2:$T$667,"44440B1Energia convencionalResidencialResidencialNão se aplicaNão se aplicaNão se aplica",Mercado_Receita!$N$2:$N$667)</f>
        <v>1456.3320000000001</v>
      </c>
      <c r="L11" s="13">
        <f>SUMIF(Mercado_Receita!$T$2:$T$667,"44470B1Energia convencionalResidencialResidencialNão se aplicaNão se aplicaNão se aplica",Mercado_Receita!$N$2:$N$667)</f>
        <v>1510.692</v>
      </c>
      <c r="M11" s="13">
        <f>SUMIF(Mercado_Receita!$T$2:$T$667,"44501B1Energia convencionalResidencialResidencialNão se aplicaNão se aplicaNão se aplica",Mercado_Receita!$N$2:$N$667)</f>
        <v>1626.702</v>
      </c>
      <c r="N11" s="13">
        <f>SUMIF(Mercado_Receita!$T$2:$T$667,"44531B1Energia convencionalResidencialResidencialNão se aplicaNão se aplicaNão se aplica",Mercado_Receita!$N$2:$N$667)</f>
        <v>1711.1389999999999</v>
      </c>
      <c r="O11" s="13">
        <f>SUMIF(Mercado_Receita!$T$2:$T$667,"44562B1Energia convencionalResidencialResidencialNão se aplicaNão se aplicaNão se aplica",Mercado_Receita!$N$2:$N$667)</f>
        <v>2138.5360000000005</v>
      </c>
      <c r="P11" s="13">
        <f>SUMIF(Mercado_Receita!$T$2:$T$667,"44593B1Energia convencionalResidencialResidencialNão se aplicaNão se aplicaNão se aplica",Mercado_Receita!$N$2:$N$667)</f>
        <v>2580.5899999999997</v>
      </c>
      <c r="Q11" s="13">
        <f>SUMIF(Mercado_Receita!$T$2:$T$667,"44621B1Energia convencionalResidencialResidencialNão se aplicaNão se aplicaNão se aplica",Mercado_Receita!$N$2:$N$667)</f>
        <v>2003.953</v>
      </c>
      <c r="R11" s="13">
        <f>SUMIF(Mercado_Receita!$T$2:$T$667,"44652B1Energia convencionalResidencialResidencialNão se aplicaNão se aplicaNão se aplica",Mercado_Receita!$N$2:$N$667)</f>
        <v>1383.595</v>
      </c>
      <c r="S11" s="13">
        <f>SUMIF(Mercado_Receita!$T$2:$T$667,"44682B1Energia convencionalResidencialResidencialNão se aplicaNão se aplicaNão se aplica",Mercado_Receita!$N$2:$N$667)</f>
        <v>1375.8239999999998</v>
      </c>
      <c r="T11" s="13">
        <f>SUMIF(Mercado_Receita!$T$2:$T$667,"44713B1Energia convencionalResidencialResidencialNão se aplicaNão se aplicaNão se aplica",Mercado_Receita!$N$2:$N$667)</f>
        <v>1517.932</v>
      </c>
      <c r="U11" s="13">
        <f t="shared" si="0"/>
        <v>20470.671000000002</v>
      </c>
      <c r="V11" s="13"/>
      <c r="W11" s="13"/>
    </row>
    <row r="12" spans="1:30" ht="11.25" customHeight="1" x14ac:dyDescent="0.3">
      <c r="A12" s="118"/>
      <c r="B12" s="118"/>
      <c r="C12" s="118"/>
      <c r="D12" s="12" t="s">
        <v>29</v>
      </c>
      <c r="E12" s="12" t="s">
        <v>25</v>
      </c>
      <c r="F12" s="12" t="s">
        <v>25</v>
      </c>
      <c r="G12" s="13" t="s">
        <v>81</v>
      </c>
      <c r="H12" s="13" t="s">
        <v>76</v>
      </c>
      <c r="I12" s="13">
        <f>SUMIF(Mercado_Receita!$T$2:$T$667,"44378B1Energia convencionalResidencialResidencial baixa renda – faixa 01Não se aplicaNão se aplicaNão se aplica",Mercado_Receita!$N$2:$N$667)</f>
        <v>32.25</v>
      </c>
      <c r="J12" s="13">
        <f>SUMIF(Mercado_Receita!$T$2:$T$667,"44409B1Energia convencionalResidencialResidencial baixa renda – faixa 01Não se aplicaNão se aplicaNão se aplica",Mercado_Receita!$N$2:$N$667)</f>
        <v>32.340000000000003</v>
      </c>
      <c r="K12" s="13">
        <f>SUMIF(Mercado_Receita!$T$2:$T$667,"44440B1Energia convencionalResidencialResidencial baixa renda – faixa 01Não se aplicaNão se aplicaNão se aplica",Mercado_Receita!$N$2:$N$667)</f>
        <v>32.61</v>
      </c>
      <c r="L12" s="13">
        <f>SUMIF(Mercado_Receita!$T$2:$T$667,"44470B1Energia convencionalResidencialResidencial baixa renda – faixa 01Não se aplicaNão se aplicaNão se aplica",Mercado_Receita!$N$2:$N$667)</f>
        <v>32.730000000000004</v>
      </c>
      <c r="M12" s="13">
        <f>SUMIF(Mercado_Receita!$T$2:$T$667,"44501B1Energia convencionalResidencialResidencial baixa renda – faixa 01Não se aplicaNão se aplicaNão se aplica",Mercado_Receita!$N$2:$N$667)</f>
        <v>32.910000000000004</v>
      </c>
      <c r="N12" s="13">
        <f>SUMIF(Mercado_Receita!$T$2:$T$667,"44531B1Energia convencionalResidencialResidencial baixa renda – faixa 01Não se aplicaNão se aplicaNão se aplica",Mercado_Receita!$N$2:$N$667)</f>
        <v>33.556000000000004</v>
      </c>
      <c r="O12" s="13">
        <f>SUMIF(Mercado_Receita!$T$2:$T$667,"44562B1Energia convencionalResidencialResidencial baixa renda – faixa 01Não se aplicaNão se aplicaNão se aplica",Mercado_Receita!$N$2:$N$667)</f>
        <v>34.020000000000003</v>
      </c>
      <c r="P12" s="13">
        <f>SUMIF(Mercado_Receita!$T$2:$T$667,"44593B1Energia convencionalResidencialResidencial baixa renda – faixa 01Não se aplicaNão se aplicaNão se aplica",Mercado_Receita!$N$2:$N$667)</f>
        <v>34.200000000000003</v>
      </c>
      <c r="Q12" s="13">
        <f>SUMIF(Mercado_Receita!$T$2:$T$667,"44621B1Energia convencionalResidencialResidencial baixa renda – faixa 01Não se aplicaNão se aplicaNão se aplica",Mercado_Receita!$N$2:$N$667)</f>
        <v>34.950000000000003</v>
      </c>
      <c r="R12" s="13">
        <f>SUMIF(Mercado_Receita!$T$2:$T$667,"44652B1Energia convencionalResidencialResidencial baixa renda – faixa 01Não se aplicaNão se aplicaNão se aplica",Mercado_Receita!$N$2:$N$667)</f>
        <v>35.61</v>
      </c>
      <c r="S12" s="13">
        <f>SUMIF(Mercado_Receita!$T$2:$T$667,"44682B1Energia convencionalResidencialResidencial baixa renda – faixa 01Não se aplicaNão se aplicaNão se aplica",Mercado_Receita!$N$2:$N$667)</f>
        <v>45.741</v>
      </c>
      <c r="T12" s="13">
        <f>SUMIF(Mercado_Receita!$T$2:$T$667,"44713B1Energia convencionalResidencialResidencial baixa renda – faixa 01Não se aplicaNão se aplicaNão se aplica",Mercado_Receita!$N$2:$N$667)</f>
        <v>44.204999999999998</v>
      </c>
      <c r="U12" s="13">
        <f t="shared" si="0"/>
        <v>425.12200000000001</v>
      </c>
      <c r="V12" s="13"/>
      <c r="W12" s="13"/>
    </row>
    <row r="13" spans="1:30" ht="11.25" customHeight="1" x14ac:dyDescent="0.3">
      <c r="A13" s="118"/>
      <c r="B13" s="118"/>
      <c r="C13" s="118"/>
      <c r="D13" s="12" t="s">
        <v>30</v>
      </c>
      <c r="E13" s="12" t="s">
        <v>25</v>
      </c>
      <c r="F13" s="12" t="s">
        <v>25</v>
      </c>
      <c r="G13" s="13" t="s">
        <v>81</v>
      </c>
      <c r="H13" s="13" t="s">
        <v>76</v>
      </c>
      <c r="I13" s="13">
        <f>SUMIF(Mercado_Receita!$T$2:$T$667,"44378B1Energia convencionalResidencialResidencial baixa renda – faixa 02Não se aplicaNão se aplicaNão se aplica",Mercado_Receita!$N$2:$N$667)</f>
        <v>63.064999999999998</v>
      </c>
      <c r="J13" s="13">
        <f>SUMIF(Mercado_Receita!$T$2:$T$667,"44409B1Energia convencionalResidencialResidencial baixa renda – faixa 02Não se aplicaNão se aplicaNão se aplica",Mercado_Receita!$N$2:$N$667)</f>
        <v>64.738</v>
      </c>
      <c r="K13" s="13">
        <f>SUMIF(Mercado_Receita!$T$2:$T$667,"44440B1Energia convencionalResidencialResidencial baixa renda – faixa 02Não se aplicaNão se aplicaNão se aplica",Mercado_Receita!$N$2:$N$667)</f>
        <v>66.038999999999987</v>
      </c>
      <c r="L13" s="13">
        <f>SUMIF(Mercado_Receita!$T$2:$T$667,"44470B1Energia convencionalResidencialResidencial baixa renda – faixa 02Não se aplicaNão se aplicaNão se aplica",Mercado_Receita!$N$2:$N$667)</f>
        <v>67.553999999999988</v>
      </c>
      <c r="M13" s="13">
        <f>SUMIF(Mercado_Receita!$T$2:$T$667,"44501B1Energia convencionalResidencialResidencial baixa renda – faixa 02Não se aplicaNão se aplicaNão se aplica",Mercado_Receita!$N$2:$N$667)</f>
        <v>68.905000000000001</v>
      </c>
      <c r="N13" s="13">
        <f>SUMIF(Mercado_Receita!$T$2:$T$667,"44531B1Energia convencionalResidencialResidencial baixa renda – faixa 02Não se aplicaNão se aplicaNão se aplica",Mercado_Receita!$N$2:$N$667)</f>
        <v>70.64500000000001</v>
      </c>
      <c r="O13" s="13">
        <f>SUMIF(Mercado_Receita!$T$2:$T$667,"44562B1Energia convencionalResidencialResidencial baixa renda – faixa 02Não se aplicaNão se aplicaNão se aplica",Mercado_Receita!$N$2:$N$667)</f>
        <v>73.310999999999993</v>
      </c>
      <c r="P13" s="13">
        <f>SUMIF(Mercado_Receita!$T$2:$T$667,"44593B1Energia convencionalResidencialResidencial baixa renda – faixa 02Não se aplicaNão se aplicaNão se aplica",Mercado_Receita!$N$2:$N$667)</f>
        <v>75.003</v>
      </c>
      <c r="Q13" s="13">
        <f>SUMIF(Mercado_Receita!$T$2:$T$667,"44621B1Energia convencionalResidencialResidencial baixa renda – faixa 02Não se aplicaNão se aplicaNão se aplica",Mercado_Receita!$N$2:$N$667)</f>
        <v>75.08</v>
      </c>
      <c r="R13" s="13">
        <f>SUMIF(Mercado_Receita!$T$2:$T$667,"44652B1Energia convencionalResidencialResidencial baixa renda – faixa 02Não se aplicaNão se aplicaNão se aplica",Mercado_Receita!$N$2:$N$667)</f>
        <v>73.102000000000004</v>
      </c>
      <c r="S13" s="13">
        <f>SUMIF(Mercado_Receita!$T$2:$T$667,"44682B1Energia convencionalResidencialResidencial baixa renda – faixa 02Não se aplicaNão se aplicaNão se aplica",Mercado_Receita!$N$2:$N$667)</f>
        <v>90.913999999999987</v>
      </c>
      <c r="T13" s="13">
        <f>SUMIF(Mercado_Receita!$T$2:$T$667,"44713B1Energia convencionalResidencialResidencial baixa renda – faixa 02Não se aplicaNão se aplicaNão se aplica",Mercado_Receita!$N$2:$N$667)</f>
        <v>88.495999999999995</v>
      </c>
      <c r="U13" s="13">
        <f t="shared" si="0"/>
        <v>876.85199999999986</v>
      </c>
      <c r="V13" s="13"/>
      <c r="W13" s="13"/>
    </row>
    <row r="14" spans="1:30" ht="11.25" customHeight="1" x14ac:dyDescent="0.3">
      <c r="A14" s="118"/>
      <c r="B14" s="118"/>
      <c r="C14" s="118"/>
      <c r="D14" s="12" t="s">
        <v>31</v>
      </c>
      <c r="E14" s="12" t="s">
        <v>25</v>
      </c>
      <c r="F14" s="12" t="s">
        <v>25</v>
      </c>
      <c r="G14" s="13" t="s">
        <v>81</v>
      </c>
      <c r="H14" s="13" t="s">
        <v>76</v>
      </c>
      <c r="I14" s="13">
        <f>SUMIF(Mercado_Receita!$T$2:$T$667,"44378B1Energia convencionalResidencialResidencial baixa renda – faixa 03Não se aplicaNão se aplicaNão se aplica",Mercado_Receita!$N$2:$N$667)</f>
        <v>52.884999999999998</v>
      </c>
      <c r="J14" s="13">
        <f>SUMIF(Mercado_Receita!$T$2:$T$667,"44409B1Energia convencionalResidencialResidencial baixa renda – faixa 03Não se aplicaNão se aplicaNão se aplica",Mercado_Receita!$N$2:$N$667)</f>
        <v>61.555999999999997</v>
      </c>
      <c r="K14" s="13">
        <f>SUMIF(Mercado_Receita!$T$2:$T$667,"44440B1Energia convencionalResidencialResidencial baixa renda – faixa 03Não se aplicaNão se aplicaNão se aplica",Mercado_Receita!$N$2:$N$667)</f>
        <v>58.668999999999997</v>
      </c>
      <c r="L14" s="13">
        <f>SUMIF(Mercado_Receita!$T$2:$T$667,"44470B1Energia convencionalResidencialResidencial baixa renda – faixa 03Não se aplicaNão se aplicaNão se aplica",Mercado_Receita!$N$2:$N$667)</f>
        <v>62.91</v>
      </c>
      <c r="M14" s="13">
        <f>SUMIF(Mercado_Receita!$T$2:$T$667,"44501B1Energia convencionalResidencialResidencial baixa renda – faixa 03Não se aplicaNão se aplicaNão se aplica",Mercado_Receita!$N$2:$N$667)</f>
        <v>70.632000000000005</v>
      </c>
      <c r="N14" s="13">
        <f>SUMIF(Mercado_Receita!$T$2:$T$667,"44531B1Energia convencionalResidencialResidencial baixa renda – faixa 03Não se aplicaNão se aplicaNão se aplica",Mercado_Receita!$N$2:$N$667)</f>
        <v>75.957999999999998</v>
      </c>
      <c r="O14" s="13">
        <f>SUMIF(Mercado_Receita!$T$2:$T$667,"44562B1Energia convencionalResidencialResidencial baixa renda – faixa 03Não se aplicaNão se aplicaNão se aplica",Mercado_Receita!$N$2:$N$667)</f>
        <v>86.544000000000011</v>
      </c>
      <c r="P14" s="13">
        <f>SUMIF(Mercado_Receita!$T$2:$T$667,"44593B1Energia convencionalResidencialResidencial baixa renda – faixa 03Não se aplicaNão se aplicaNão se aplica",Mercado_Receita!$N$2:$N$667)</f>
        <v>96.476000000000013</v>
      </c>
      <c r="Q14" s="13">
        <f>SUMIF(Mercado_Receita!$T$2:$T$667,"44621B1Energia convencionalResidencialResidencial baixa renda – faixa 03Não se aplicaNão se aplicaNão se aplica",Mercado_Receita!$N$2:$N$667)</f>
        <v>87.628</v>
      </c>
      <c r="R14" s="13">
        <f>SUMIF(Mercado_Receita!$T$2:$T$667,"44652B1Energia convencionalResidencialResidencial baixa renda – faixa 03Não se aplicaNão se aplicaNão se aplica",Mercado_Receita!$N$2:$N$667)</f>
        <v>65.495000000000005</v>
      </c>
      <c r="S14" s="13">
        <f>SUMIF(Mercado_Receita!$T$2:$T$667,"44682B1Energia convencionalResidencialResidencial baixa renda – faixa 03Não se aplicaNão se aplicaNão se aplica",Mercado_Receita!$N$2:$N$667)</f>
        <v>77.724999999999994</v>
      </c>
      <c r="T14" s="13">
        <f>SUMIF(Mercado_Receita!$T$2:$T$667,"44713B1Energia convencionalResidencialResidencial baixa renda – faixa 03Não se aplicaNão se aplicaNão se aplica",Mercado_Receita!$N$2:$N$667)</f>
        <v>79.522999999999996</v>
      </c>
      <c r="U14" s="13">
        <f t="shared" si="0"/>
        <v>876.00100000000009</v>
      </c>
      <c r="V14" s="13"/>
      <c r="W14" s="13"/>
    </row>
    <row r="15" spans="1:30" ht="11.25" customHeight="1" x14ac:dyDescent="0.3">
      <c r="A15" s="118"/>
      <c r="B15" s="118"/>
      <c r="C15" s="118"/>
      <c r="D15" s="12" t="s">
        <v>32</v>
      </c>
      <c r="E15" s="12" t="s">
        <v>25</v>
      </c>
      <c r="F15" s="12" t="s">
        <v>25</v>
      </c>
      <c r="G15" s="13" t="s">
        <v>81</v>
      </c>
      <c r="H15" s="13" t="s">
        <v>76</v>
      </c>
      <c r="I15" s="13">
        <f>SUMIF(Mercado_Receita!$T$2:$T$667,"44378B1Energia convencionalResidencialResidencial baixa renda – faixa 04Não se aplicaNão se aplicaNão se aplica",Mercado_Receita!$N$2:$N$667)</f>
        <v>12.267000000000001</v>
      </c>
      <c r="J15" s="13">
        <f>SUMIF(Mercado_Receita!$T$2:$T$667,"44409B1Energia convencionalResidencialResidencial baixa renda – faixa 04Não se aplicaNão se aplicaNão se aplica",Mercado_Receita!$N$2:$N$667)</f>
        <v>16.533000000000001</v>
      </c>
      <c r="K15" s="13">
        <f>SUMIF(Mercado_Receita!$T$2:$T$667,"44440B1Energia convencionalResidencialResidencial baixa renda – faixa 04Não se aplicaNão se aplicaNão se aplica",Mercado_Receita!$N$2:$N$667)</f>
        <v>14.256</v>
      </c>
      <c r="L15" s="13">
        <f>SUMIF(Mercado_Receita!$T$2:$T$667,"44470B1Energia convencionalResidencialResidencial baixa renda – faixa 04Não se aplicaNão se aplicaNão se aplica",Mercado_Receita!$N$2:$N$667)</f>
        <v>15.997999999999999</v>
      </c>
      <c r="M15" s="13">
        <f>SUMIF(Mercado_Receita!$T$2:$T$667,"44501B1Energia convencionalResidencialResidencial baixa renda – faixa 04Não se aplicaNão se aplicaNão se aplica",Mercado_Receita!$N$2:$N$667)</f>
        <v>22.010999999999999</v>
      </c>
      <c r="N15" s="13">
        <f>SUMIF(Mercado_Receita!$T$2:$T$667,"44531B1Energia convencionalResidencialResidencial baixa renda – faixa 04Não se aplicaNão se aplicaNão se aplica",Mercado_Receita!$N$2:$N$667)</f>
        <v>25.661000000000001</v>
      </c>
      <c r="O15" s="13">
        <f>SUMIF(Mercado_Receita!$T$2:$T$667,"44562B1Energia convencionalResidencialResidencial baixa renda – faixa 04Não se aplicaNão se aplicaNão se aplica",Mercado_Receita!$N$2:$N$667)</f>
        <v>47.341999999999999</v>
      </c>
      <c r="P15" s="13">
        <f>SUMIF(Mercado_Receita!$T$2:$T$667,"44593B1Energia convencionalResidencialResidencial baixa renda – faixa 04Não se aplicaNão se aplicaNão se aplica",Mercado_Receita!$N$2:$N$667)</f>
        <v>69.747</v>
      </c>
      <c r="Q15" s="13">
        <f>SUMIF(Mercado_Receita!$T$2:$T$667,"44621B1Energia convencionalResidencialResidencial baixa renda – faixa 04Não se aplicaNão se aplicaNão se aplica",Mercado_Receita!$N$2:$N$667)</f>
        <v>42.991</v>
      </c>
      <c r="R15" s="13">
        <f>SUMIF(Mercado_Receita!$T$2:$T$667,"44652B1Energia convencionalResidencialResidencial baixa renda – faixa 04Não se aplicaNão se aplicaNão se aplica",Mercado_Receita!$N$2:$N$667)</f>
        <v>17.241</v>
      </c>
      <c r="S15" s="13">
        <f>SUMIF(Mercado_Receita!$T$2:$T$667,"44682B1Energia convencionalResidencialResidencial baixa renda – faixa 04Não se aplicaNão se aplicaNão se aplica",Mercado_Receita!$N$2:$N$667)</f>
        <v>22.236000000000001</v>
      </c>
      <c r="T15" s="13">
        <f>SUMIF(Mercado_Receita!$T$2:$T$667,"44713B1Energia convencionalResidencialResidencial baixa renda – faixa 04Não se aplicaNão se aplicaNão se aplica",Mercado_Receita!$N$2:$N$667)</f>
        <v>25.146999999999998</v>
      </c>
      <c r="U15" s="13">
        <f t="shared" si="0"/>
        <v>331.42999999999995</v>
      </c>
      <c r="V15" s="13"/>
      <c r="W15" s="13"/>
    </row>
    <row r="16" spans="1:30" ht="11.25" customHeight="1" x14ac:dyDescent="0.3">
      <c r="A16" s="118"/>
      <c r="B16" s="117" t="s">
        <v>94</v>
      </c>
      <c r="C16" s="117" t="s">
        <v>24</v>
      </c>
      <c r="D16" s="12" t="s">
        <v>24</v>
      </c>
      <c r="E16" s="12" t="s">
        <v>25</v>
      </c>
      <c r="F16" s="12" t="s">
        <v>25</v>
      </c>
      <c r="G16" s="13" t="s">
        <v>81</v>
      </c>
      <c r="H16" s="13" t="s">
        <v>76</v>
      </c>
      <c r="I16" s="13">
        <f>SUMIF(Mercado_Receita!$T$2:$T$667,"44378B1Energia convencional pré-pagamentoResidencialResidencialNão se aplicaNão se aplicaNão se aplica",Mercado_Receita!$N$2:$N$667)</f>
        <v>0</v>
      </c>
      <c r="J16" s="13">
        <f>SUMIF(Mercado_Receita!$T$2:$T$667,"44409B1Energia convencional pré-pagamentoResidencialResidencialNão se aplicaNão se aplicaNão se aplica",Mercado_Receita!$N$2:$N$667)</f>
        <v>0</v>
      </c>
      <c r="K16" s="13">
        <f>SUMIF(Mercado_Receita!$T$2:$T$667,"44440B1Energia convencional pré-pagamentoResidencialResidencialNão se aplicaNão se aplicaNão se aplica",Mercado_Receita!$N$2:$N$667)</f>
        <v>0</v>
      </c>
      <c r="L16" s="13">
        <f>SUMIF(Mercado_Receita!$T$2:$T$667,"44470B1Energia convencional pré-pagamentoResidencialResidencialNão se aplicaNão se aplicaNão se aplica",Mercado_Receita!$N$2:$N$667)</f>
        <v>0</v>
      </c>
      <c r="M16" s="13">
        <f>SUMIF(Mercado_Receita!$T$2:$T$667,"44501B1Energia convencional pré-pagamentoResidencialResidencialNão se aplicaNão se aplicaNão se aplica",Mercado_Receita!$N$2:$N$667)</f>
        <v>0</v>
      </c>
      <c r="N16" s="13">
        <f>SUMIF(Mercado_Receita!$T$2:$T$667,"44531B1Energia convencional pré-pagamentoResidencialResidencialNão se aplicaNão se aplicaNão se aplica",Mercado_Receita!$N$2:$N$667)</f>
        <v>0</v>
      </c>
      <c r="O16" s="13">
        <f>SUMIF(Mercado_Receita!$T$2:$T$667,"44562B1Energia convencional pré-pagamentoResidencialResidencialNão se aplicaNão se aplicaNão se aplica",Mercado_Receita!$N$2:$N$667)</f>
        <v>0</v>
      </c>
      <c r="P16" s="13">
        <f>SUMIF(Mercado_Receita!$T$2:$T$667,"44593B1Energia convencional pré-pagamentoResidencialResidencialNão se aplicaNão se aplicaNão se aplica",Mercado_Receita!$N$2:$N$667)</f>
        <v>0</v>
      </c>
      <c r="Q16" s="13">
        <f>SUMIF(Mercado_Receita!$T$2:$T$667,"44621B1Energia convencional pré-pagamentoResidencialResidencialNão se aplicaNão se aplicaNão se aplica",Mercado_Receita!$N$2:$N$667)</f>
        <v>0</v>
      </c>
      <c r="R16" s="13">
        <f>SUMIF(Mercado_Receita!$T$2:$T$667,"44652B1Energia convencional pré-pagamentoResidencialResidencialNão se aplicaNão se aplicaNão se aplica",Mercado_Receita!$N$2:$N$667)</f>
        <v>0</v>
      </c>
      <c r="S16" s="13">
        <f>SUMIF(Mercado_Receita!$T$2:$T$667,"44682B1Energia convencional pré-pagamentoResidencialResidencialNão se aplicaNão se aplicaNão se aplica",Mercado_Receita!$N$2:$N$667)</f>
        <v>0</v>
      </c>
      <c r="T16" s="13">
        <f>SUMIF(Mercado_Receita!$T$2:$T$667,"44713B1Energia convencional pré-pagamentoResidencialResidencialNão se aplicaNão se aplicaNão se aplica",Mercado_Receita!$N$2:$N$667)</f>
        <v>0</v>
      </c>
      <c r="U16" s="13">
        <f t="shared" si="0"/>
        <v>0</v>
      </c>
      <c r="V16" s="13"/>
      <c r="W16" s="13"/>
    </row>
    <row r="17" spans="1:23" ht="11.25" customHeight="1" x14ac:dyDescent="0.3">
      <c r="A17" s="118"/>
      <c r="B17" s="118"/>
      <c r="C17" s="118"/>
      <c r="D17" s="12" t="s">
        <v>29</v>
      </c>
      <c r="E17" s="12" t="s">
        <v>25</v>
      </c>
      <c r="F17" s="12" t="s">
        <v>25</v>
      </c>
      <c r="G17" s="13" t="s">
        <v>81</v>
      </c>
      <c r="H17" s="13" t="s">
        <v>76</v>
      </c>
      <c r="I17" s="13">
        <f>SUMIF(Mercado_Receita!$T$2:$T$667,"44378B1Energia convencional pré-pagamentoResidencialResidencial baixa renda – faixa 01Não se aplicaNão se aplicaNão se aplica",Mercado_Receita!$N$2:$N$667)</f>
        <v>0</v>
      </c>
      <c r="J17" s="13">
        <f>SUMIF(Mercado_Receita!$T$2:$T$667,"44409B1Energia convencional pré-pagamentoResidencialResidencial baixa renda – faixa 01Não se aplicaNão se aplicaNão se aplica",Mercado_Receita!$N$2:$N$667)</f>
        <v>0</v>
      </c>
      <c r="K17" s="13">
        <f>SUMIF(Mercado_Receita!$T$2:$T$667,"44440B1Energia convencional pré-pagamentoResidencialResidencial baixa renda – faixa 01Não se aplicaNão se aplicaNão se aplica",Mercado_Receita!$N$2:$N$667)</f>
        <v>0</v>
      </c>
      <c r="L17" s="13">
        <f>SUMIF(Mercado_Receita!$T$2:$T$667,"44470B1Energia convencional pré-pagamentoResidencialResidencial baixa renda – faixa 01Não se aplicaNão se aplicaNão se aplica",Mercado_Receita!$N$2:$N$667)</f>
        <v>0</v>
      </c>
      <c r="M17" s="13">
        <f>SUMIF(Mercado_Receita!$T$2:$T$667,"44501B1Energia convencional pré-pagamentoResidencialResidencial baixa renda – faixa 01Não se aplicaNão se aplicaNão se aplica",Mercado_Receita!$N$2:$N$667)</f>
        <v>0</v>
      </c>
      <c r="N17" s="13">
        <f>SUMIF(Mercado_Receita!$T$2:$T$667,"44531B1Energia convencional pré-pagamentoResidencialResidencial baixa renda – faixa 01Não se aplicaNão se aplicaNão se aplica",Mercado_Receita!$N$2:$N$667)</f>
        <v>0</v>
      </c>
      <c r="O17" s="13">
        <f>SUMIF(Mercado_Receita!$T$2:$T$667,"44562B1Energia convencional pré-pagamentoResidencialResidencial baixa renda – faixa 01Não se aplicaNão se aplicaNão se aplica",Mercado_Receita!$N$2:$N$667)</f>
        <v>0</v>
      </c>
      <c r="P17" s="13">
        <f>SUMIF(Mercado_Receita!$T$2:$T$667,"44593B1Energia convencional pré-pagamentoResidencialResidencial baixa renda – faixa 01Não se aplicaNão se aplicaNão se aplica",Mercado_Receita!$N$2:$N$667)</f>
        <v>0</v>
      </c>
      <c r="Q17" s="13">
        <f>SUMIF(Mercado_Receita!$T$2:$T$667,"44621B1Energia convencional pré-pagamentoResidencialResidencial baixa renda – faixa 01Não se aplicaNão se aplicaNão se aplica",Mercado_Receita!$N$2:$N$667)</f>
        <v>0</v>
      </c>
      <c r="R17" s="13">
        <f>SUMIF(Mercado_Receita!$T$2:$T$667,"44652B1Energia convencional pré-pagamentoResidencialResidencial baixa renda – faixa 01Não se aplicaNão se aplicaNão se aplica",Mercado_Receita!$N$2:$N$667)</f>
        <v>0</v>
      </c>
      <c r="S17" s="13">
        <f>SUMIF(Mercado_Receita!$T$2:$T$667,"44682B1Energia convencional pré-pagamentoResidencialResidencial baixa renda – faixa 01Não se aplicaNão se aplicaNão se aplica",Mercado_Receita!$N$2:$N$667)</f>
        <v>0</v>
      </c>
      <c r="T17" s="13">
        <f>SUMIF(Mercado_Receita!$T$2:$T$667,"44713B1Energia convencional pré-pagamentoResidencialResidencial baixa renda – faixa 01Não se aplicaNão se aplicaNão se aplica",Mercado_Receita!$N$2:$N$667)</f>
        <v>0</v>
      </c>
      <c r="U17" s="13">
        <f t="shared" si="0"/>
        <v>0</v>
      </c>
      <c r="V17" s="13"/>
      <c r="W17" s="13"/>
    </row>
    <row r="18" spans="1:23" ht="11.25" customHeight="1" x14ac:dyDescent="0.3">
      <c r="A18" s="118"/>
      <c r="B18" s="118"/>
      <c r="C18" s="118"/>
      <c r="D18" s="12" t="s">
        <v>30</v>
      </c>
      <c r="E18" s="12" t="s">
        <v>25</v>
      </c>
      <c r="F18" s="12" t="s">
        <v>25</v>
      </c>
      <c r="G18" s="13" t="s">
        <v>81</v>
      </c>
      <c r="H18" s="13" t="s">
        <v>76</v>
      </c>
      <c r="I18" s="13">
        <f>SUMIF(Mercado_Receita!$T$2:$T$667,"44378B1Energia convencional pré-pagamentoResidencialResidencial baixa renda – faixa 02Não se aplicaNão se aplicaNão se aplica",Mercado_Receita!$N$2:$N$667)</f>
        <v>0</v>
      </c>
      <c r="J18" s="13">
        <f>SUMIF(Mercado_Receita!$T$2:$T$667,"44409B1Energia convencional pré-pagamentoResidencialResidencial baixa renda – faixa 02Não se aplicaNão se aplicaNão se aplica",Mercado_Receita!$N$2:$N$667)</f>
        <v>0</v>
      </c>
      <c r="K18" s="13">
        <f>SUMIF(Mercado_Receita!$T$2:$T$667,"44440B1Energia convencional pré-pagamentoResidencialResidencial baixa renda – faixa 02Não se aplicaNão se aplicaNão se aplica",Mercado_Receita!$N$2:$N$667)</f>
        <v>0</v>
      </c>
      <c r="L18" s="13">
        <f>SUMIF(Mercado_Receita!$T$2:$T$667,"44470B1Energia convencional pré-pagamentoResidencialResidencial baixa renda – faixa 02Não se aplicaNão se aplicaNão se aplica",Mercado_Receita!$N$2:$N$667)</f>
        <v>0</v>
      </c>
      <c r="M18" s="13">
        <f>SUMIF(Mercado_Receita!$T$2:$T$667,"44501B1Energia convencional pré-pagamentoResidencialResidencial baixa renda – faixa 02Não se aplicaNão se aplicaNão se aplica",Mercado_Receita!$N$2:$N$667)</f>
        <v>0</v>
      </c>
      <c r="N18" s="13">
        <f>SUMIF(Mercado_Receita!$T$2:$T$667,"44531B1Energia convencional pré-pagamentoResidencialResidencial baixa renda – faixa 02Não se aplicaNão se aplicaNão se aplica",Mercado_Receita!$N$2:$N$667)</f>
        <v>0</v>
      </c>
      <c r="O18" s="13">
        <f>SUMIF(Mercado_Receita!$T$2:$T$667,"44562B1Energia convencional pré-pagamentoResidencialResidencial baixa renda – faixa 02Não se aplicaNão se aplicaNão se aplica",Mercado_Receita!$N$2:$N$667)</f>
        <v>0</v>
      </c>
      <c r="P18" s="13">
        <f>SUMIF(Mercado_Receita!$T$2:$T$667,"44593B1Energia convencional pré-pagamentoResidencialResidencial baixa renda – faixa 02Não se aplicaNão se aplicaNão se aplica",Mercado_Receita!$N$2:$N$667)</f>
        <v>0</v>
      </c>
      <c r="Q18" s="13">
        <f>SUMIF(Mercado_Receita!$T$2:$T$667,"44621B1Energia convencional pré-pagamentoResidencialResidencial baixa renda – faixa 02Não se aplicaNão se aplicaNão se aplica",Mercado_Receita!$N$2:$N$667)</f>
        <v>0</v>
      </c>
      <c r="R18" s="13">
        <f>SUMIF(Mercado_Receita!$T$2:$T$667,"44652B1Energia convencional pré-pagamentoResidencialResidencial baixa renda – faixa 02Não se aplicaNão se aplicaNão se aplica",Mercado_Receita!$N$2:$N$667)</f>
        <v>0</v>
      </c>
      <c r="S18" s="13">
        <f>SUMIF(Mercado_Receita!$T$2:$T$667,"44682B1Energia convencional pré-pagamentoResidencialResidencial baixa renda – faixa 02Não se aplicaNão se aplicaNão se aplica",Mercado_Receita!$N$2:$N$667)</f>
        <v>0</v>
      </c>
      <c r="T18" s="13">
        <f>SUMIF(Mercado_Receita!$T$2:$T$667,"44713B1Energia convencional pré-pagamentoResidencialResidencial baixa renda – faixa 02Não se aplicaNão se aplicaNão se aplica",Mercado_Receita!$N$2:$N$667)</f>
        <v>0</v>
      </c>
      <c r="U18" s="13">
        <f t="shared" si="0"/>
        <v>0</v>
      </c>
      <c r="V18" s="13"/>
      <c r="W18" s="13"/>
    </row>
    <row r="19" spans="1:23" ht="11.25" customHeight="1" x14ac:dyDescent="0.3">
      <c r="A19" s="118"/>
      <c r="B19" s="118"/>
      <c r="C19" s="118"/>
      <c r="D19" s="12" t="s">
        <v>31</v>
      </c>
      <c r="E19" s="12" t="s">
        <v>25</v>
      </c>
      <c r="F19" s="12" t="s">
        <v>25</v>
      </c>
      <c r="G19" s="13" t="s">
        <v>81</v>
      </c>
      <c r="H19" s="13" t="s">
        <v>76</v>
      </c>
      <c r="I19" s="13">
        <f>SUMIF(Mercado_Receita!$T$2:$T$667,"44378B1Energia convencional pré-pagamentoResidencialResidencial baixa renda – faixa 03Não se aplicaNão se aplicaNão se aplica",Mercado_Receita!$N$2:$N$667)</f>
        <v>0</v>
      </c>
      <c r="J19" s="13">
        <f>SUMIF(Mercado_Receita!$T$2:$T$667,"44409B1Energia convencional pré-pagamentoResidencialResidencial baixa renda – faixa 03Não se aplicaNão se aplicaNão se aplica",Mercado_Receita!$N$2:$N$667)</f>
        <v>0</v>
      </c>
      <c r="K19" s="13">
        <f>SUMIF(Mercado_Receita!$T$2:$T$667,"44440B1Energia convencional pré-pagamentoResidencialResidencial baixa renda – faixa 03Não se aplicaNão se aplicaNão se aplica",Mercado_Receita!$N$2:$N$667)</f>
        <v>0</v>
      </c>
      <c r="L19" s="13">
        <f>SUMIF(Mercado_Receita!$T$2:$T$667,"44470B1Energia convencional pré-pagamentoResidencialResidencial baixa renda – faixa 03Não se aplicaNão se aplicaNão se aplica",Mercado_Receita!$N$2:$N$667)</f>
        <v>0</v>
      </c>
      <c r="M19" s="13">
        <f>SUMIF(Mercado_Receita!$T$2:$T$667,"44501B1Energia convencional pré-pagamentoResidencialResidencial baixa renda – faixa 03Não se aplicaNão se aplicaNão se aplica",Mercado_Receita!$N$2:$N$667)</f>
        <v>0</v>
      </c>
      <c r="N19" s="13">
        <f>SUMIF(Mercado_Receita!$T$2:$T$667,"44531B1Energia convencional pré-pagamentoResidencialResidencial baixa renda – faixa 03Não se aplicaNão se aplicaNão se aplica",Mercado_Receita!$N$2:$N$667)</f>
        <v>0</v>
      </c>
      <c r="O19" s="13">
        <f>SUMIF(Mercado_Receita!$T$2:$T$667,"44562B1Energia convencional pré-pagamentoResidencialResidencial baixa renda – faixa 03Não se aplicaNão se aplicaNão se aplica",Mercado_Receita!$N$2:$N$667)</f>
        <v>0</v>
      </c>
      <c r="P19" s="13">
        <f>SUMIF(Mercado_Receita!$T$2:$T$667,"44593B1Energia convencional pré-pagamentoResidencialResidencial baixa renda – faixa 03Não se aplicaNão se aplicaNão se aplica",Mercado_Receita!$N$2:$N$667)</f>
        <v>0</v>
      </c>
      <c r="Q19" s="13">
        <f>SUMIF(Mercado_Receita!$T$2:$T$667,"44621B1Energia convencional pré-pagamentoResidencialResidencial baixa renda – faixa 03Não se aplicaNão se aplicaNão se aplica",Mercado_Receita!$N$2:$N$667)</f>
        <v>0</v>
      </c>
      <c r="R19" s="13">
        <f>SUMIF(Mercado_Receita!$T$2:$T$667,"44652B1Energia convencional pré-pagamentoResidencialResidencial baixa renda – faixa 03Não se aplicaNão se aplicaNão se aplica",Mercado_Receita!$N$2:$N$667)</f>
        <v>0</v>
      </c>
      <c r="S19" s="13">
        <f>SUMIF(Mercado_Receita!$T$2:$T$667,"44682B1Energia convencional pré-pagamentoResidencialResidencial baixa renda – faixa 03Não se aplicaNão se aplicaNão se aplica",Mercado_Receita!$N$2:$N$667)</f>
        <v>0</v>
      </c>
      <c r="T19" s="13">
        <f>SUMIF(Mercado_Receita!$T$2:$T$667,"44713B1Energia convencional pré-pagamentoResidencialResidencial baixa renda – faixa 03Não se aplicaNão se aplicaNão se aplica",Mercado_Receita!$N$2:$N$667)</f>
        <v>0</v>
      </c>
      <c r="U19" s="13">
        <f t="shared" si="0"/>
        <v>0</v>
      </c>
      <c r="V19" s="13"/>
      <c r="W19" s="13"/>
    </row>
    <row r="20" spans="1:23" ht="11.25" customHeight="1" x14ac:dyDescent="0.3">
      <c r="A20" s="118"/>
      <c r="B20" s="118"/>
      <c r="C20" s="118"/>
      <c r="D20" s="12" t="s">
        <v>32</v>
      </c>
      <c r="E20" s="12" t="s">
        <v>25</v>
      </c>
      <c r="F20" s="12" t="s">
        <v>25</v>
      </c>
      <c r="G20" s="13" t="s">
        <v>81</v>
      </c>
      <c r="H20" s="13" t="s">
        <v>76</v>
      </c>
      <c r="I20" s="13">
        <f>SUMIF(Mercado_Receita!$T$2:$T$667,"44378B1Energia convencional pré-pagamentoResidencialResidencial baixa renda – faixa 04Não se aplicaNão se aplicaNão se aplica",Mercado_Receita!$N$2:$N$667)</f>
        <v>0</v>
      </c>
      <c r="J20" s="13">
        <f>SUMIF(Mercado_Receita!$T$2:$T$667,"44409B1Energia convencional pré-pagamentoResidencialResidencial baixa renda – faixa 04Não se aplicaNão se aplicaNão se aplica",Mercado_Receita!$N$2:$N$667)</f>
        <v>0</v>
      </c>
      <c r="K20" s="13">
        <f>SUMIF(Mercado_Receita!$T$2:$T$667,"44440B1Energia convencional pré-pagamentoResidencialResidencial baixa renda – faixa 04Não se aplicaNão se aplicaNão se aplica",Mercado_Receita!$N$2:$N$667)</f>
        <v>0</v>
      </c>
      <c r="L20" s="13">
        <f>SUMIF(Mercado_Receita!$T$2:$T$667,"44470B1Energia convencional pré-pagamentoResidencialResidencial baixa renda – faixa 04Não se aplicaNão se aplicaNão se aplica",Mercado_Receita!$N$2:$N$667)</f>
        <v>0</v>
      </c>
      <c r="M20" s="13">
        <f>SUMIF(Mercado_Receita!$T$2:$T$667,"44501B1Energia convencional pré-pagamentoResidencialResidencial baixa renda – faixa 04Não se aplicaNão se aplicaNão se aplica",Mercado_Receita!$N$2:$N$667)</f>
        <v>0</v>
      </c>
      <c r="N20" s="13">
        <f>SUMIF(Mercado_Receita!$T$2:$T$667,"44531B1Energia convencional pré-pagamentoResidencialResidencial baixa renda – faixa 04Não se aplicaNão se aplicaNão se aplica",Mercado_Receita!$N$2:$N$667)</f>
        <v>0</v>
      </c>
      <c r="O20" s="13">
        <f>SUMIF(Mercado_Receita!$T$2:$T$667,"44562B1Energia convencional pré-pagamentoResidencialResidencial baixa renda – faixa 04Não se aplicaNão se aplicaNão se aplica",Mercado_Receita!$N$2:$N$667)</f>
        <v>0</v>
      </c>
      <c r="P20" s="13">
        <f>SUMIF(Mercado_Receita!$T$2:$T$667,"44593B1Energia convencional pré-pagamentoResidencialResidencial baixa renda – faixa 04Não se aplicaNão se aplicaNão se aplica",Mercado_Receita!$N$2:$N$667)</f>
        <v>0</v>
      </c>
      <c r="Q20" s="13">
        <f>SUMIF(Mercado_Receita!$T$2:$T$667,"44621B1Energia convencional pré-pagamentoResidencialResidencial baixa renda – faixa 04Não se aplicaNão se aplicaNão se aplica",Mercado_Receita!$N$2:$N$667)</f>
        <v>0</v>
      </c>
      <c r="R20" s="13">
        <f>SUMIF(Mercado_Receita!$T$2:$T$667,"44652B1Energia convencional pré-pagamentoResidencialResidencial baixa renda – faixa 04Não se aplicaNão se aplicaNão se aplica",Mercado_Receita!$N$2:$N$667)</f>
        <v>0</v>
      </c>
      <c r="S20" s="13">
        <f>SUMIF(Mercado_Receita!$T$2:$T$667,"44682B1Energia convencional pré-pagamentoResidencialResidencial baixa renda – faixa 04Não se aplicaNão se aplicaNão se aplica",Mercado_Receita!$N$2:$N$667)</f>
        <v>0</v>
      </c>
      <c r="T20" s="13">
        <f>SUMIF(Mercado_Receita!$T$2:$T$667,"44713B1Energia convencional pré-pagamentoResidencialResidencial baixa renda – faixa 04Não se aplicaNão se aplicaNão se aplica",Mercado_Receita!$N$2:$N$667)</f>
        <v>0</v>
      </c>
      <c r="U20" s="13">
        <f t="shared" si="0"/>
        <v>0</v>
      </c>
      <c r="V20" s="13"/>
      <c r="W20" s="13"/>
    </row>
    <row r="21" spans="1:23" ht="11.25" customHeight="1" x14ac:dyDescent="0.3">
      <c r="A21" s="117" t="s">
        <v>42</v>
      </c>
      <c r="B21" s="117" t="s">
        <v>75</v>
      </c>
      <c r="C21" s="117" t="s">
        <v>43</v>
      </c>
      <c r="D21" s="117" t="s">
        <v>25</v>
      </c>
      <c r="E21" s="117" t="s">
        <v>25</v>
      </c>
      <c r="F21" s="117" t="s">
        <v>25</v>
      </c>
      <c r="G21" s="13" t="s">
        <v>77</v>
      </c>
      <c r="H21" s="13" t="s">
        <v>76</v>
      </c>
      <c r="I21" s="13">
        <f>SUMIF(Mercado_Receita!$T$2:$T$667,"44378B2Energia horáriaRuralNão se aplicaNão se aplicaNão se aplicaPonta",Mercado_Receita!$N$2:$N$667)</f>
        <v>0</v>
      </c>
      <c r="J21" s="13">
        <f>SUMIF(Mercado_Receita!$T$2:$T$667,"44409B2Energia horáriaRuralNão se aplicaNão se aplicaNão se aplicaPonta",Mercado_Receita!$N$2:$N$667)</f>
        <v>3.2000000000000001E-2</v>
      </c>
      <c r="K21" s="13">
        <f>SUMIF(Mercado_Receita!$T$2:$T$667,"44440B2Energia horáriaRuralNão se aplicaNão se aplicaNão se aplicaPonta",Mercado_Receita!$N$2:$N$667)</f>
        <v>0</v>
      </c>
      <c r="L21" s="13">
        <f>SUMIF(Mercado_Receita!$T$2:$T$667,"44470B2Energia horáriaRuralNão se aplicaNão se aplicaNão se aplicaPonta",Mercado_Receita!$N$2:$N$667)</f>
        <v>2.9000000000000001E-2</v>
      </c>
      <c r="M21" s="13">
        <f>SUMIF(Mercado_Receita!$T$2:$T$667,"44501B2Energia horáriaRuralNão se aplicaNão se aplicaNão se aplicaPonta",Mercado_Receita!$N$2:$N$667)</f>
        <v>3.4000000000000002E-2</v>
      </c>
      <c r="N21" s="13">
        <f>SUMIF(Mercado_Receita!$T$2:$T$667,"44531B2Energia horáriaRuralNão se aplicaNão se aplicaNão se aplicaPonta",Mercado_Receita!$N$2:$N$667)</f>
        <v>0.05</v>
      </c>
      <c r="O21" s="13">
        <f>SUMIF(Mercado_Receita!$T$2:$T$667,"44562B2Energia horáriaRuralNão se aplicaNão se aplicaNão se aplicaPonta",Mercado_Receita!$N$2:$N$667)</f>
        <v>3.5000000000000003E-2</v>
      </c>
      <c r="P21" s="13">
        <f>SUMIF(Mercado_Receita!$T$2:$T$667,"44593B2Energia horáriaRuralNão se aplicaNão se aplicaNão se aplicaPonta",Mercado_Receita!$N$2:$N$667)</f>
        <v>3.5999999999999997E-2</v>
      </c>
      <c r="Q21" s="13">
        <f>SUMIF(Mercado_Receita!$T$2:$T$667,"44621B2Energia horáriaRuralNão se aplicaNão se aplicaNão se aplicaPonta",Mercado_Receita!$N$2:$N$667)</f>
        <v>0.03</v>
      </c>
      <c r="R21" s="13">
        <f>SUMIF(Mercado_Receita!$T$2:$T$667,"44652B2Energia horáriaRuralNão se aplicaNão se aplicaNão se aplicaPonta",Mercado_Receita!$N$2:$N$667)</f>
        <v>3.1E-2</v>
      </c>
      <c r="S21" s="13">
        <f>SUMIF(Mercado_Receita!$T$2:$T$667,"44682B2Energia horáriaRuralNão se aplicaNão se aplicaNão se aplicaPonta",Mercado_Receita!$N$2:$N$667)</f>
        <v>4.2000000000000003E-2</v>
      </c>
      <c r="T21" s="13">
        <f>SUMIF(Mercado_Receita!$T$2:$T$667,"44713B2Energia horáriaRuralNão se aplicaNão se aplicaNão se aplicaPonta",Mercado_Receita!$N$2:$N$667)</f>
        <v>4.2000000000000003E-2</v>
      </c>
      <c r="U21" s="13">
        <f t="shared" si="0"/>
        <v>0.36099999999999999</v>
      </c>
      <c r="V21" s="13"/>
      <c r="W21" s="13"/>
    </row>
    <row r="22" spans="1:23" ht="11.25" customHeight="1" x14ac:dyDescent="0.3">
      <c r="A22" s="118"/>
      <c r="B22" s="118"/>
      <c r="C22" s="118"/>
      <c r="D22" s="118"/>
      <c r="E22" s="118"/>
      <c r="F22" s="118"/>
      <c r="G22" s="13" t="s">
        <v>93</v>
      </c>
      <c r="H22" s="13" t="s">
        <v>76</v>
      </c>
      <c r="I22" s="13">
        <f>SUMIF(Mercado_Receita!$T$2:$T$667,"44378B2Energia horáriaRuralNão se aplicaNão se aplicaNão se aplicaIntermediário",Mercado_Receita!$N$2:$N$667)</f>
        <v>0</v>
      </c>
      <c r="J22" s="13">
        <f>SUMIF(Mercado_Receita!$T$2:$T$667,"44409B2Energia horáriaRuralNão se aplicaNão se aplicaNão se aplicaIntermediário",Mercado_Receita!$N$2:$N$667)</f>
        <v>1.7000000000000001E-2</v>
      </c>
      <c r="K22" s="13">
        <f>SUMIF(Mercado_Receita!$T$2:$T$667,"44440B2Energia horáriaRuralNão se aplicaNão se aplicaNão se aplicaIntermediário",Mercado_Receita!$N$2:$N$667)</f>
        <v>0</v>
      </c>
      <c r="L22" s="13">
        <f>SUMIF(Mercado_Receita!$T$2:$T$667,"44470B2Energia horáriaRuralNão se aplicaNão se aplicaNão se aplicaIntermediário",Mercado_Receita!$N$2:$N$667)</f>
        <v>1.4999999999999999E-2</v>
      </c>
      <c r="M22" s="13">
        <f>SUMIF(Mercado_Receita!$T$2:$T$667,"44501B2Energia horáriaRuralNão se aplicaNão se aplicaNão se aplicaIntermediário",Mercado_Receita!$N$2:$N$667)</f>
        <v>2.5999999999999999E-2</v>
      </c>
      <c r="N22" s="13">
        <f>SUMIF(Mercado_Receita!$T$2:$T$667,"44531B2Energia horáriaRuralNão se aplicaNão se aplicaNão se aplicaIntermediário",Mercado_Receita!$N$2:$N$667)</f>
        <v>3.3000000000000002E-2</v>
      </c>
      <c r="O22" s="13">
        <f>SUMIF(Mercado_Receita!$T$2:$T$667,"44562B2Energia horáriaRuralNão se aplicaNão se aplicaNão se aplicaIntermediário",Mercado_Receita!$N$2:$N$667)</f>
        <v>2.4E-2</v>
      </c>
      <c r="P22" s="13">
        <f>SUMIF(Mercado_Receita!$T$2:$T$667,"44593B2Energia horáriaRuralNão se aplicaNão se aplicaNão se aplicaIntermediário",Mercado_Receita!$N$2:$N$667)</f>
        <v>2.1000000000000001E-2</v>
      </c>
      <c r="Q22" s="13">
        <f>SUMIF(Mercado_Receita!$T$2:$T$667,"44621B2Energia horáriaRuralNão se aplicaNão se aplicaNão se aplicaIntermediário",Mercado_Receita!$N$2:$N$667)</f>
        <v>1.6E-2</v>
      </c>
      <c r="R22" s="13">
        <f>SUMIF(Mercado_Receita!$T$2:$T$667,"44652B2Energia horáriaRuralNão se aplicaNão se aplicaNão se aplicaIntermediário",Mercado_Receita!$N$2:$N$667)</f>
        <v>1.7999999999999999E-2</v>
      </c>
      <c r="S22" s="13">
        <f>SUMIF(Mercado_Receita!$T$2:$T$667,"44682B2Energia horáriaRuralNão se aplicaNão se aplicaNão se aplicaIntermediário",Mercado_Receita!$N$2:$N$667)</f>
        <v>2.1999999999999999E-2</v>
      </c>
      <c r="T22" s="13">
        <f>SUMIF(Mercado_Receita!$T$2:$T$667,"44713B2Energia horáriaRuralNão se aplicaNão se aplicaNão se aplicaIntermediário",Mercado_Receita!$N$2:$N$667)</f>
        <v>2.1999999999999999E-2</v>
      </c>
      <c r="U22" s="13">
        <f t="shared" si="0"/>
        <v>0.21399999999999994</v>
      </c>
      <c r="V22" s="13"/>
      <c r="W22" s="13"/>
    </row>
    <row r="23" spans="1:23" ht="11.25" customHeight="1" x14ac:dyDescent="0.3">
      <c r="A23" s="118"/>
      <c r="B23" s="118"/>
      <c r="C23" s="118"/>
      <c r="D23" s="118"/>
      <c r="E23" s="118"/>
      <c r="F23" s="118"/>
      <c r="G23" s="13" t="s">
        <v>78</v>
      </c>
      <c r="H23" s="13" t="s">
        <v>76</v>
      </c>
      <c r="I23" s="13">
        <f>SUMIF(Mercado_Receita!$T$2:$T$667,"44378B2Energia horáriaRuralNão se aplicaNão se aplicaNão se aplicaFora ponta",Mercado_Receita!$N$2:$N$667)</f>
        <v>0</v>
      </c>
      <c r="J23" s="13">
        <f>SUMIF(Mercado_Receita!$T$2:$T$667,"44409B2Energia horáriaRuralNão se aplicaNão se aplicaNão se aplicaFora ponta",Mercado_Receita!$N$2:$N$667)</f>
        <v>0.13700000000000001</v>
      </c>
      <c r="K23" s="13">
        <f>SUMIF(Mercado_Receita!$T$2:$T$667,"44440B2Energia horáriaRuralNão se aplicaNão se aplicaNão se aplicaFora ponta",Mercado_Receita!$N$2:$N$667)</f>
        <v>0</v>
      </c>
      <c r="L23" s="13">
        <f>SUMIF(Mercado_Receita!$T$2:$T$667,"44470B2Energia horáriaRuralNão se aplicaNão se aplicaNão se aplicaFora ponta",Mercado_Receita!$N$2:$N$667)</f>
        <v>0.44500000000000001</v>
      </c>
      <c r="M23" s="13">
        <f>SUMIF(Mercado_Receita!$T$2:$T$667,"44501B2Energia horáriaRuralNão se aplicaNão se aplicaNão se aplicaFora ponta",Mercado_Receita!$N$2:$N$667)</f>
        <v>0.26400000000000001</v>
      </c>
      <c r="N23" s="13">
        <f>SUMIF(Mercado_Receita!$T$2:$T$667,"44531B2Energia horáriaRuralNão se aplicaNão se aplicaNão se aplicaFora ponta",Mercado_Receita!$N$2:$N$667)</f>
        <v>0.33200000000000002</v>
      </c>
      <c r="O23" s="13">
        <f>SUMIF(Mercado_Receita!$T$2:$T$667,"44562B2Energia horáriaRuralNão se aplicaNão se aplicaNão se aplicaFora ponta",Mercado_Receita!$N$2:$N$667)</f>
        <v>0.27600000000000002</v>
      </c>
      <c r="P23" s="13">
        <f>SUMIF(Mercado_Receita!$T$2:$T$667,"44593B2Energia horáriaRuralNão se aplicaNão se aplicaNão se aplicaFora ponta",Mercado_Receita!$N$2:$N$667)</f>
        <v>0.28100000000000003</v>
      </c>
      <c r="Q23" s="13">
        <f>SUMIF(Mercado_Receita!$T$2:$T$667,"44621B2Energia horáriaRuralNão se aplicaNão se aplicaNão se aplicaFora ponta",Mercado_Receita!$N$2:$N$667)</f>
        <v>0.24199999999999999</v>
      </c>
      <c r="R23" s="13">
        <f>SUMIF(Mercado_Receita!$T$2:$T$667,"44652B2Energia horáriaRuralNão se aplicaNão se aplicaNão se aplicaFora ponta",Mercado_Receita!$N$2:$N$667)</f>
        <v>0.2</v>
      </c>
      <c r="S23" s="13">
        <f>SUMIF(Mercado_Receita!$T$2:$T$667,"44682B2Energia horáriaRuralNão se aplicaNão se aplicaNão se aplicaFora ponta",Mercado_Receita!$N$2:$N$667)</f>
        <v>0.16</v>
      </c>
      <c r="T23" s="13">
        <f>SUMIF(Mercado_Receita!$T$2:$T$667,"44713B2Energia horáriaRuralNão se aplicaNão se aplicaNão se aplicaFora ponta",Mercado_Receita!$N$2:$N$667)</f>
        <v>0.16</v>
      </c>
      <c r="U23" s="13">
        <f t="shared" si="0"/>
        <v>2.4970000000000008</v>
      </c>
      <c r="V23" s="13"/>
      <c r="W23" s="13"/>
    </row>
    <row r="24" spans="1:23" ht="11.25" customHeight="1" x14ac:dyDescent="0.3">
      <c r="A24" s="118"/>
      <c r="B24" s="12" t="s">
        <v>82</v>
      </c>
      <c r="C24" s="12" t="s">
        <v>43</v>
      </c>
      <c r="D24" s="12" t="s">
        <v>25</v>
      </c>
      <c r="E24" s="12" t="s">
        <v>25</v>
      </c>
      <c r="F24" s="12" t="s">
        <v>25</v>
      </c>
      <c r="G24" s="13" t="s">
        <v>81</v>
      </c>
      <c r="H24" s="13" t="s">
        <v>76</v>
      </c>
      <c r="I24" s="13">
        <f>SUMIF(Mercado_Receita!$T$2:$T$667,"44378B2Energia convencionalRuralNão se aplicaNão se aplicaNão se aplicaNão se aplica",Mercado_Receita!$N$2:$N$667)</f>
        <v>1142.962</v>
      </c>
      <c r="J24" s="13">
        <f>SUMIF(Mercado_Receita!$T$2:$T$667,"44409B2Energia convencionalRuralNão se aplicaNão se aplicaNão se aplicaNão se aplica",Mercado_Receita!$N$2:$N$667)</f>
        <v>1142.9090000000001</v>
      </c>
      <c r="K24" s="13">
        <f>SUMIF(Mercado_Receita!$T$2:$T$667,"44440B2Energia convencionalRuralNão se aplicaNão se aplicaNão se aplicaNão se aplica",Mercado_Receita!$N$2:$N$667)</f>
        <v>1107.9079999999999</v>
      </c>
      <c r="L24" s="13">
        <f>SUMIF(Mercado_Receita!$T$2:$T$667,"44470B2Energia convencionalRuralNão se aplicaNão se aplicaNão se aplicaNão se aplica",Mercado_Receita!$N$2:$N$667)</f>
        <v>1176.6650000000002</v>
      </c>
      <c r="M24" s="13">
        <f>SUMIF(Mercado_Receita!$T$2:$T$667,"44501B2Energia convencionalRuralNão se aplicaNão se aplicaNão se aplicaNão se aplica",Mercado_Receita!$N$2:$N$667)</f>
        <v>1432.404</v>
      </c>
      <c r="N24" s="13">
        <f>SUMIF(Mercado_Receita!$T$2:$T$667,"44531B2Energia convencionalRuralNão se aplicaNão se aplicaNão se aplicaNão se aplica",Mercado_Receita!$N$2:$N$667)</f>
        <v>1837.1379999999999</v>
      </c>
      <c r="O24" s="13">
        <f>SUMIF(Mercado_Receita!$T$2:$T$667,"44562B2Energia convencionalRuralNão se aplicaNão se aplicaNão se aplicaNão se aplica",Mercado_Receita!$N$2:$N$667)</f>
        <v>2193.1410000000001</v>
      </c>
      <c r="P24" s="13">
        <f>SUMIF(Mercado_Receita!$T$2:$T$667,"44593B2Energia convencionalRuralNão se aplicaNão se aplicaNão se aplicaNão se aplica",Mercado_Receita!$N$2:$N$667)</f>
        <v>2177.6829999999995</v>
      </c>
      <c r="Q24" s="13">
        <f>SUMIF(Mercado_Receita!$T$2:$T$667,"44621B2Energia convencionalRuralNão se aplicaNão se aplicaNão se aplicaNão se aplica",Mercado_Receita!$N$2:$N$667)</f>
        <v>1854.212</v>
      </c>
      <c r="R24" s="13">
        <f>SUMIF(Mercado_Receita!$T$2:$T$667,"44652B2Energia convencionalRuralNão se aplicaNão se aplicaNão se aplicaNão se aplica",Mercado_Receita!$N$2:$N$667)</f>
        <v>1788.415</v>
      </c>
      <c r="S24" s="13">
        <f>SUMIF(Mercado_Receita!$T$2:$T$667,"44682B2Energia convencionalRuralNão se aplicaNão se aplicaNão se aplicaNão se aplica",Mercado_Receita!$N$2:$N$667)</f>
        <v>1482.1590000000001</v>
      </c>
      <c r="T24" s="13">
        <f>SUMIF(Mercado_Receita!$T$2:$T$667,"44713B2Energia convencionalRuralNão se aplicaNão se aplicaNão se aplicaNão se aplica",Mercado_Receita!$N$2:$N$667)</f>
        <v>1356.123</v>
      </c>
      <c r="U24" s="13">
        <f t="shared" si="0"/>
        <v>18691.718999999997</v>
      </c>
      <c r="V24" s="13"/>
      <c r="W24" s="13"/>
    </row>
    <row r="25" spans="1:23" ht="11.25" customHeight="1" x14ac:dyDescent="0.3">
      <c r="A25" s="118"/>
      <c r="B25" s="117" t="s">
        <v>75</v>
      </c>
      <c r="C25" s="117" t="s">
        <v>43</v>
      </c>
      <c r="D25" s="117" t="s">
        <v>96</v>
      </c>
      <c r="E25" s="117" t="s">
        <v>25</v>
      </c>
      <c r="F25" s="117" t="s">
        <v>25</v>
      </c>
      <c r="G25" s="13" t="s">
        <v>77</v>
      </c>
      <c r="H25" s="13" t="s">
        <v>76</v>
      </c>
      <c r="I25" s="13">
        <f>SUMIF(Mercado_Receita!$T$2:$T$667,"44378B2Energia horáriaRuralCooperativa de eletrificação ruralNão se aplicaNão se aplicaPonta",Mercado_Receita!$N$2:$N$667)</f>
        <v>0</v>
      </c>
      <c r="J25" s="13">
        <f>SUMIF(Mercado_Receita!$T$2:$T$667,"44409B2Energia horáriaRuralCooperativa de eletrificação ruralNão se aplicaNão se aplicaPonta",Mercado_Receita!$N$2:$N$667)</f>
        <v>0</v>
      </c>
      <c r="K25" s="13">
        <f>SUMIF(Mercado_Receita!$T$2:$T$667,"44440B2Energia horáriaRuralCooperativa de eletrificação ruralNão se aplicaNão se aplicaPonta",Mercado_Receita!$N$2:$N$667)</f>
        <v>0</v>
      </c>
      <c r="L25" s="13">
        <f>SUMIF(Mercado_Receita!$T$2:$T$667,"44470B2Energia horáriaRuralCooperativa de eletrificação ruralNão se aplicaNão se aplicaPonta",Mercado_Receita!$N$2:$N$667)</f>
        <v>0</v>
      </c>
      <c r="M25" s="13">
        <f>SUMIF(Mercado_Receita!$T$2:$T$667,"44501B2Energia horáriaRuralCooperativa de eletrificação ruralNão se aplicaNão se aplicaPonta",Mercado_Receita!$N$2:$N$667)</f>
        <v>0</v>
      </c>
      <c r="N25" s="13">
        <f>SUMIF(Mercado_Receita!$T$2:$T$667,"44531B2Energia horáriaRuralCooperativa de eletrificação ruralNão se aplicaNão se aplicaPonta",Mercado_Receita!$N$2:$N$667)</f>
        <v>0</v>
      </c>
      <c r="O25" s="13">
        <f>SUMIF(Mercado_Receita!$T$2:$T$667,"44562B2Energia horáriaRuralCooperativa de eletrificação ruralNão se aplicaNão se aplicaPonta",Mercado_Receita!$N$2:$N$667)</f>
        <v>0</v>
      </c>
      <c r="P25" s="13">
        <f>SUMIF(Mercado_Receita!$T$2:$T$667,"44593B2Energia horáriaRuralCooperativa de eletrificação ruralNão se aplicaNão se aplicaPonta",Mercado_Receita!$N$2:$N$667)</f>
        <v>0</v>
      </c>
      <c r="Q25" s="13">
        <f>SUMIF(Mercado_Receita!$T$2:$T$667,"44621B2Energia horáriaRuralCooperativa de eletrificação ruralNão se aplicaNão se aplicaPonta",Mercado_Receita!$N$2:$N$667)</f>
        <v>0</v>
      </c>
      <c r="R25" s="13">
        <f>SUMIF(Mercado_Receita!$T$2:$T$667,"44652B2Energia horáriaRuralCooperativa de eletrificação ruralNão se aplicaNão se aplicaPonta",Mercado_Receita!$N$2:$N$667)</f>
        <v>0</v>
      </c>
      <c r="S25" s="13">
        <f>SUMIF(Mercado_Receita!$T$2:$T$667,"44682B2Energia horáriaRuralCooperativa de eletrificação ruralNão se aplicaNão se aplicaPonta",Mercado_Receita!$N$2:$N$667)</f>
        <v>0</v>
      </c>
      <c r="T25" s="13">
        <f>SUMIF(Mercado_Receita!$T$2:$T$667,"44713B2Energia horáriaRuralCooperativa de eletrificação ruralNão se aplicaNão se aplicaPonta",Mercado_Receita!$N$2:$N$667)</f>
        <v>0</v>
      </c>
      <c r="U25" s="13">
        <f t="shared" si="0"/>
        <v>0</v>
      </c>
      <c r="V25" s="13"/>
      <c r="W25" s="13"/>
    </row>
    <row r="26" spans="1:23" ht="11.25" customHeight="1" x14ac:dyDescent="0.3">
      <c r="A26" s="118"/>
      <c r="B26" s="118"/>
      <c r="C26" s="118"/>
      <c r="D26" s="118"/>
      <c r="E26" s="118"/>
      <c r="F26" s="118"/>
      <c r="G26" s="13" t="s">
        <v>93</v>
      </c>
      <c r="H26" s="13" t="s">
        <v>76</v>
      </c>
      <c r="I26" s="13">
        <f>SUMIF(Mercado_Receita!$T$2:$T$667,"44378B2Energia horáriaRuralCooperativa de eletrificação ruralNão se aplicaNão se aplicaIntermediário",Mercado_Receita!$N$2:$N$667)</f>
        <v>0</v>
      </c>
      <c r="J26" s="13">
        <f>SUMIF(Mercado_Receita!$T$2:$T$667,"44409B2Energia horáriaRuralCooperativa de eletrificação ruralNão se aplicaNão se aplicaIntermediário",Mercado_Receita!$N$2:$N$667)</f>
        <v>0</v>
      </c>
      <c r="K26" s="13">
        <f>SUMIF(Mercado_Receita!$T$2:$T$667,"44440B2Energia horáriaRuralCooperativa de eletrificação ruralNão se aplicaNão se aplicaIntermediário",Mercado_Receita!$N$2:$N$667)</f>
        <v>0</v>
      </c>
      <c r="L26" s="13">
        <f>SUMIF(Mercado_Receita!$T$2:$T$667,"44470B2Energia horáriaRuralCooperativa de eletrificação ruralNão se aplicaNão se aplicaIntermediário",Mercado_Receita!$N$2:$N$667)</f>
        <v>0</v>
      </c>
      <c r="M26" s="13">
        <f>SUMIF(Mercado_Receita!$T$2:$T$667,"44501B2Energia horáriaRuralCooperativa de eletrificação ruralNão se aplicaNão se aplicaIntermediário",Mercado_Receita!$N$2:$N$667)</f>
        <v>0</v>
      </c>
      <c r="N26" s="13">
        <f>SUMIF(Mercado_Receita!$T$2:$T$667,"44531B2Energia horáriaRuralCooperativa de eletrificação ruralNão se aplicaNão se aplicaIntermediário",Mercado_Receita!$N$2:$N$667)</f>
        <v>0</v>
      </c>
      <c r="O26" s="13">
        <f>SUMIF(Mercado_Receita!$T$2:$T$667,"44562B2Energia horáriaRuralCooperativa de eletrificação ruralNão se aplicaNão se aplicaIntermediário",Mercado_Receita!$N$2:$N$667)</f>
        <v>0</v>
      </c>
      <c r="P26" s="13">
        <f>SUMIF(Mercado_Receita!$T$2:$T$667,"44593B2Energia horáriaRuralCooperativa de eletrificação ruralNão se aplicaNão se aplicaIntermediário",Mercado_Receita!$N$2:$N$667)</f>
        <v>0</v>
      </c>
      <c r="Q26" s="13">
        <f>SUMIF(Mercado_Receita!$T$2:$T$667,"44621B2Energia horáriaRuralCooperativa de eletrificação ruralNão se aplicaNão se aplicaIntermediário",Mercado_Receita!$N$2:$N$667)</f>
        <v>0</v>
      </c>
      <c r="R26" s="13">
        <f>SUMIF(Mercado_Receita!$T$2:$T$667,"44652B2Energia horáriaRuralCooperativa de eletrificação ruralNão se aplicaNão se aplicaIntermediário",Mercado_Receita!$N$2:$N$667)</f>
        <v>0</v>
      </c>
      <c r="S26" s="13">
        <f>SUMIF(Mercado_Receita!$T$2:$T$667,"44682B2Energia horáriaRuralCooperativa de eletrificação ruralNão se aplicaNão se aplicaIntermediário",Mercado_Receita!$N$2:$N$667)</f>
        <v>0</v>
      </c>
      <c r="T26" s="13">
        <f>SUMIF(Mercado_Receita!$T$2:$T$667,"44713B2Energia horáriaRuralCooperativa de eletrificação ruralNão se aplicaNão se aplicaIntermediário",Mercado_Receita!$N$2:$N$667)</f>
        <v>0</v>
      </c>
      <c r="U26" s="13">
        <f t="shared" si="0"/>
        <v>0</v>
      </c>
      <c r="V26" s="13"/>
      <c r="W26" s="13"/>
    </row>
    <row r="27" spans="1:23" ht="11.25" customHeight="1" x14ac:dyDescent="0.3">
      <c r="A27" s="118"/>
      <c r="B27" s="118"/>
      <c r="C27" s="118"/>
      <c r="D27" s="118"/>
      <c r="E27" s="118"/>
      <c r="F27" s="118"/>
      <c r="G27" s="13" t="s">
        <v>78</v>
      </c>
      <c r="H27" s="13" t="s">
        <v>76</v>
      </c>
      <c r="I27" s="13">
        <f>SUMIF(Mercado_Receita!$T$2:$T$667,"44378B2Energia horáriaRuralCooperativa de eletrificação ruralNão se aplicaNão se aplicaFora ponta",Mercado_Receita!$N$2:$N$667)</f>
        <v>0</v>
      </c>
      <c r="J27" s="13">
        <f>SUMIF(Mercado_Receita!$T$2:$T$667,"44409B2Energia horáriaRuralCooperativa de eletrificação ruralNão se aplicaNão se aplicaFora ponta",Mercado_Receita!$N$2:$N$667)</f>
        <v>0</v>
      </c>
      <c r="K27" s="13">
        <f>SUMIF(Mercado_Receita!$T$2:$T$667,"44440B2Energia horáriaRuralCooperativa de eletrificação ruralNão se aplicaNão se aplicaFora ponta",Mercado_Receita!$N$2:$N$667)</f>
        <v>0</v>
      </c>
      <c r="L27" s="13">
        <f>SUMIF(Mercado_Receita!$T$2:$T$667,"44470B2Energia horáriaRuralCooperativa de eletrificação ruralNão se aplicaNão se aplicaFora ponta",Mercado_Receita!$N$2:$N$667)</f>
        <v>0</v>
      </c>
      <c r="M27" s="13">
        <f>SUMIF(Mercado_Receita!$T$2:$T$667,"44501B2Energia horáriaRuralCooperativa de eletrificação ruralNão se aplicaNão se aplicaFora ponta",Mercado_Receita!$N$2:$N$667)</f>
        <v>0</v>
      </c>
      <c r="N27" s="13">
        <f>SUMIF(Mercado_Receita!$T$2:$T$667,"44531B2Energia horáriaRuralCooperativa de eletrificação ruralNão se aplicaNão se aplicaFora ponta",Mercado_Receita!$N$2:$N$667)</f>
        <v>0</v>
      </c>
      <c r="O27" s="13">
        <f>SUMIF(Mercado_Receita!$T$2:$T$667,"44562B2Energia horáriaRuralCooperativa de eletrificação ruralNão se aplicaNão se aplicaFora ponta",Mercado_Receita!$N$2:$N$667)</f>
        <v>0</v>
      </c>
      <c r="P27" s="13">
        <f>SUMIF(Mercado_Receita!$T$2:$T$667,"44593B2Energia horáriaRuralCooperativa de eletrificação ruralNão se aplicaNão se aplicaFora ponta",Mercado_Receita!$N$2:$N$667)</f>
        <v>0</v>
      </c>
      <c r="Q27" s="13">
        <f>SUMIF(Mercado_Receita!$T$2:$T$667,"44621B2Energia horáriaRuralCooperativa de eletrificação ruralNão se aplicaNão se aplicaFora ponta",Mercado_Receita!$N$2:$N$667)</f>
        <v>0</v>
      </c>
      <c r="R27" s="13">
        <f>SUMIF(Mercado_Receita!$T$2:$T$667,"44652B2Energia horáriaRuralCooperativa de eletrificação ruralNão se aplicaNão se aplicaFora ponta",Mercado_Receita!$N$2:$N$667)</f>
        <v>0</v>
      </c>
      <c r="S27" s="13">
        <f>SUMIF(Mercado_Receita!$T$2:$T$667,"44682B2Energia horáriaRuralCooperativa de eletrificação ruralNão se aplicaNão se aplicaFora ponta",Mercado_Receita!$N$2:$N$667)</f>
        <v>0</v>
      </c>
      <c r="T27" s="13">
        <f>SUMIF(Mercado_Receita!$T$2:$T$667,"44713B2Energia horáriaRuralCooperativa de eletrificação ruralNão se aplicaNão se aplicaFora ponta",Mercado_Receita!$N$2:$N$667)</f>
        <v>0</v>
      </c>
      <c r="U27" s="13">
        <f t="shared" si="0"/>
        <v>0</v>
      </c>
      <c r="V27" s="13"/>
      <c r="W27" s="13"/>
    </row>
    <row r="28" spans="1:23" ht="11.25" customHeight="1" x14ac:dyDescent="0.3">
      <c r="A28" s="118"/>
      <c r="B28" s="12" t="s">
        <v>82</v>
      </c>
      <c r="C28" s="12" t="s">
        <v>43</v>
      </c>
      <c r="D28" s="12" t="s">
        <v>96</v>
      </c>
      <c r="E28" s="12" t="s">
        <v>25</v>
      </c>
      <c r="F28" s="12" t="s">
        <v>25</v>
      </c>
      <c r="G28" s="13" t="s">
        <v>81</v>
      </c>
      <c r="H28" s="13" t="s">
        <v>76</v>
      </c>
      <c r="I28" s="13">
        <f>SUMIF(Mercado_Receita!$T$2:$T$667,"44378B2Energia convencionalRuralCooperativa de eletrificação ruralNão se aplicaNão se aplicaNão se aplica",Mercado_Receita!$N$2:$N$667)</f>
        <v>0</v>
      </c>
      <c r="J28" s="13">
        <f>SUMIF(Mercado_Receita!$T$2:$T$667,"44409B2Energia convencionalRuralCooperativa de eletrificação ruralNão se aplicaNão se aplicaNão se aplica",Mercado_Receita!$N$2:$N$667)</f>
        <v>0</v>
      </c>
      <c r="K28" s="13">
        <f>SUMIF(Mercado_Receita!$T$2:$T$667,"44440B2Energia convencionalRuralCooperativa de eletrificação ruralNão se aplicaNão se aplicaNão se aplica",Mercado_Receita!$N$2:$N$667)</f>
        <v>0</v>
      </c>
      <c r="L28" s="13">
        <f>SUMIF(Mercado_Receita!$T$2:$T$667,"44470B2Energia convencionalRuralCooperativa de eletrificação ruralNão se aplicaNão se aplicaNão se aplica",Mercado_Receita!$N$2:$N$667)</f>
        <v>0</v>
      </c>
      <c r="M28" s="13">
        <f>SUMIF(Mercado_Receita!$T$2:$T$667,"44501B2Energia convencionalRuralCooperativa de eletrificação ruralNão se aplicaNão se aplicaNão se aplica",Mercado_Receita!$N$2:$N$667)</f>
        <v>0</v>
      </c>
      <c r="N28" s="13">
        <f>SUMIF(Mercado_Receita!$T$2:$T$667,"44531B2Energia convencionalRuralCooperativa de eletrificação ruralNão se aplicaNão se aplicaNão se aplica",Mercado_Receita!$N$2:$N$667)</f>
        <v>0</v>
      </c>
      <c r="O28" s="13">
        <f>SUMIF(Mercado_Receita!$T$2:$T$667,"44562B2Energia convencionalRuralCooperativa de eletrificação ruralNão se aplicaNão se aplicaNão se aplica",Mercado_Receita!$N$2:$N$667)</f>
        <v>0</v>
      </c>
      <c r="P28" s="13">
        <f>SUMIF(Mercado_Receita!$T$2:$T$667,"44593B2Energia convencionalRuralCooperativa de eletrificação ruralNão se aplicaNão se aplicaNão se aplica",Mercado_Receita!$N$2:$N$667)</f>
        <v>0</v>
      </c>
      <c r="Q28" s="13">
        <f>SUMIF(Mercado_Receita!$T$2:$T$667,"44621B2Energia convencionalRuralCooperativa de eletrificação ruralNão se aplicaNão se aplicaNão se aplica",Mercado_Receita!$N$2:$N$667)</f>
        <v>0</v>
      </c>
      <c r="R28" s="13">
        <f>SUMIF(Mercado_Receita!$T$2:$T$667,"44652B2Energia convencionalRuralCooperativa de eletrificação ruralNão se aplicaNão se aplicaNão se aplica",Mercado_Receita!$N$2:$N$667)</f>
        <v>0</v>
      </c>
      <c r="S28" s="13">
        <f>SUMIF(Mercado_Receita!$T$2:$T$667,"44682B2Energia convencionalRuralCooperativa de eletrificação ruralNão se aplicaNão se aplicaNão se aplica",Mercado_Receita!$N$2:$N$667)</f>
        <v>0</v>
      </c>
      <c r="T28" s="13">
        <f>SUMIF(Mercado_Receita!$T$2:$T$667,"44713B2Energia convencionalRuralCooperativa de eletrificação ruralNão se aplicaNão se aplicaNão se aplica",Mercado_Receita!$N$2:$N$667)</f>
        <v>0</v>
      </c>
      <c r="U28" s="13">
        <f t="shared" si="0"/>
        <v>0</v>
      </c>
      <c r="V28" s="13"/>
      <c r="W28" s="13"/>
    </row>
    <row r="29" spans="1:23" ht="11.25" customHeight="1" x14ac:dyDescent="0.3">
      <c r="A29" s="118"/>
      <c r="B29" s="117" t="s">
        <v>75</v>
      </c>
      <c r="C29" s="117" t="s">
        <v>43</v>
      </c>
      <c r="D29" s="117" t="s">
        <v>97</v>
      </c>
      <c r="E29" s="117" t="s">
        <v>25</v>
      </c>
      <c r="F29" s="117" t="s">
        <v>25</v>
      </c>
      <c r="G29" s="13" t="s">
        <v>77</v>
      </c>
      <c r="H29" s="13" t="s">
        <v>76</v>
      </c>
      <c r="I29" s="13">
        <f>SUMIF(Mercado_Receita!$T$2:$T$667,"44378B2Energia horáriaRuralServiço público de irrigação ruralNão se aplicaNão se aplicaPonta",Mercado_Receita!$N$2:$N$667)</f>
        <v>0</v>
      </c>
      <c r="J29" s="13">
        <f>SUMIF(Mercado_Receita!$T$2:$T$667,"44409B2Energia horáriaRuralServiço público de irrigação ruralNão se aplicaNão se aplicaPonta",Mercado_Receita!$N$2:$N$667)</f>
        <v>0</v>
      </c>
      <c r="K29" s="13">
        <f>SUMIF(Mercado_Receita!$T$2:$T$667,"44440B2Energia horáriaRuralServiço público de irrigação ruralNão se aplicaNão se aplicaPonta",Mercado_Receita!$N$2:$N$667)</f>
        <v>0</v>
      </c>
      <c r="L29" s="13">
        <f>SUMIF(Mercado_Receita!$T$2:$T$667,"44470B2Energia horáriaRuralServiço público de irrigação ruralNão se aplicaNão se aplicaPonta",Mercado_Receita!$N$2:$N$667)</f>
        <v>0</v>
      </c>
      <c r="M29" s="13">
        <f>SUMIF(Mercado_Receita!$T$2:$T$667,"44501B2Energia horáriaRuralServiço público de irrigação ruralNão se aplicaNão se aplicaPonta",Mercado_Receita!$N$2:$N$667)</f>
        <v>0</v>
      </c>
      <c r="N29" s="13">
        <f>SUMIF(Mercado_Receita!$T$2:$T$667,"44531B2Energia horáriaRuralServiço público de irrigação ruralNão se aplicaNão se aplicaPonta",Mercado_Receita!$N$2:$N$667)</f>
        <v>0</v>
      </c>
      <c r="O29" s="13">
        <f>SUMIF(Mercado_Receita!$T$2:$T$667,"44562B2Energia horáriaRuralServiço público de irrigação ruralNão se aplicaNão se aplicaPonta",Mercado_Receita!$N$2:$N$667)</f>
        <v>0</v>
      </c>
      <c r="P29" s="13">
        <f>SUMIF(Mercado_Receita!$T$2:$T$667,"44593B2Energia horáriaRuralServiço público de irrigação ruralNão se aplicaNão se aplicaPonta",Mercado_Receita!$N$2:$N$667)</f>
        <v>0</v>
      </c>
      <c r="Q29" s="13">
        <f>SUMIF(Mercado_Receita!$T$2:$T$667,"44621B2Energia horáriaRuralServiço público de irrigação ruralNão se aplicaNão se aplicaPonta",Mercado_Receita!$N$2:$N$667)</f>
        <v>0</v>
      </c>
      <c r="R29" s="13">
        <f>SUMIF(Mercado_Receita!$T$2:$T$667,"44652B2Energia horáriaRuralServiço público de irrigação ruralNão se aplicaNão se aplicaPonta",Mercado_Receita!$N$2:$N$667)</f>
        <v>0</v>
      </c>
      <c r="S29" s="13">
        <f>SUMIF(Mercado_Receita!$T$2:$T$667,"44682B2Energia horáriaRuralServiço público de irrigação ruralNão se aplicaNão se aplicaPonta",Mercado_Receita!$N$2:$N$667)</f>
        <v>0</v>
      </c>
      <c r="T29" s="13">
        <f>SUMIF(Mercado_Receita!$T$2:$T$667,"44713B2Energia horáriaRuralServiço público de irrigação ruralNão se aplicaNão se aplicaPonta",Mercado_Receita!$N$2:$N$667)</f>
        <v>0</v>
      </c>
      <c r="U29" s="13">
        <f t="shared" si="0"/>
        <v>0</v>
      </c>
      <c r="V29" s="13"/>
      <c r="W29" s="13"/>
    </row>
    <row r="30" spans="1:23" ht="11.25" customHeight="1" x14ac:dyDescent="0.3">
      <c r="A30" s="118"/>
      <c r="B30" s="118"/>
      <c r="C30" s="118"/>
      <c r="D30" s="118"/>
      <c r="E30" s="118"/>
      <c r="F30" s="118"/>
      <c r="G30" s="13" t="s">
        <v>93</v>
      </c>
      <c r="H30" s="13" t="s">
        <v>76</v>
      </c>
      <c r="I30" s="13">
        <f>SUMIF(Mercado_Receita!$T$2:$T$667,"44378B2Energia horáriaRuralServiço público de irrigação ruralNão se aplicaNão se aplicaIntermediário",Mercado_Receita!$N$2:$N$667)</f>
        <v>0</v>
      </c>
      <c r="J30" s="13">
        <f>SUMIF(Mercado_Receita!$T$2:$T$667,"44409B2Energia horáriaRuralServiço público de irrigação ruralNão se aplicaNão se aplicaIntermediário",Mercado_Receita!$N$2:$N$667)</f>
        <v>0</v>
      </c>
      <c r="K30" s="13">
        <f>SUMIF(Mercado_Receita!$T$2:$T$667,"44440B2Energia horáriaRuralServiço público de irrigação ruralNão se aplicaNão se aplicaIntermediário",Mercado_Receita!$N$2:$N$667)</f>
        <v>0</v>
      </c>
      <c r="L30" s="13">
        <f>SUMIF(Mercado_Receita!$T$2:$T$667,"44470B2Energia horáriaRuralServiço público de irrigação ruralNão se aplicaNão se aplicaIntermediário",Mercado_Receita!$N$2:$N$667)</f>
        <v>0</v>
      </c>
      <c r="M30" s="13">
        <f>SUMIF(Mercado_Receita!$T$2:$T$667,"44501B2Energia horáriaRuralServiço público de irrigação ruralNão se aplicaNão se aplicaIntermediário",Mercado_Receita!$N$2:$N$667)</f>
        <v>0</v>
      </c>
      <c r="N30" s="13">
        <f>SUMIF(Mercado_Receita!$T$2:$T$667,"44531B2Energia horáriaRuralServiço público de irrigação ruralNão se aplicaNão se aplicaIntermediário",Mercado_Receita!$N$2:$N$667)</f>
        <v>0</v>
      </c>
      <c r="O30" s="13">
        <f>SUMIF(Mercado_Receita!$T$2:$T$667,"44562B2Energia horáriaRuralServiço público de irrigação ruralNão se aplicaNão se aplicaIntermediário",Mercado_Receita!$N$2:$N$667)</f>
        <v>0</v>
      </c>
      <c r="P30" s="13">
        <f>SUMIF(Mercado_Receita!$T$2:$T$667,"44593B2Energia horáriaRuralServiço público de irrigação ruralNão se aplicaNão se aplicaIntermediário",Mercado_Receita!$N$2:$N$667)</f>
        <v>0</v>
      </c>
      <c r="Q30" s="13">
        <f>SUMIF(Mercado_Receita!$T$2:$T$667,"44621B2Energia horáriaRuralServiço público de irrigação ruralNão se aplicaNão se aplicaIntermediário",Mercado_Receita!$N$2:$N$667)</f>
        <v>0</v>
      </c>
      <c r="R30" s="13">
        <f>SUMIF(Mercado_Receita!$T$2:$T$667,"44652B2Energia horáriaRuralServiço público de irrigação ruralNão se aplicaNão se aplicaIntermediário",Mercado_Receita!$N$2:$N$667)</f>
        <v>0</v>
      </c>
      <c r="S30" s="13">
        <f>SUMIF(Mercado_Receita!$T$2:$T$667,"44682B2Energia horáriaRuralServiço público de irrigação ruralNão se aplicaNão se aplicaIntermediário",Mercado_Receita!$N$2:$N$667)</f>
        <v>0</v>
      </c>
      <c r="T30" s="13">
        <f>SUMIF(Mercado_Receita!$T$2:$T$667,"44713B2Energia horáriaRuralServiço público de irrigação ruralNão se aplicaNão se aplicaIntermediário",Mercado_Receita!$N$2:$N$667)</f>
        <v>0</v>
      </c>
      <c r="U30" s="13">
        <f t="shared" si="0"/>
        <v>0</v>
      </c>
      <c r="V30" s="13"/>
      <c r="W30" s="13"/>
    </row>
    <row r="31" spans="1:23" ht="11.25" customHeight="1" x14ac:dyDescent="0.3">
      <c r="A31" s="118"/>
      <c r="B31" s="118"/>
      <c r="C31" s="118"/>
      <c r="D31" s="118"/>
      <c r="E31" s="118"/>
      <c r="F31" s="118"/>
      <c r="G31" s="13" t="s">
        <v>78</v>
      </c>
      <c r="H31" s="13" t="s">
        <v>76</v>
      </c>
      <c r="I31" s="13">
        <f>SUMIF(Mercado_Receita!$T$2:$T$667,"44378B2Energia horáriaRuralServiço público de irrigação ruralNão se aplicaNão se aplicaFora ponta",Mercado_Receita!$N$2:$N$667)</f>
        <v>0</v>
      </c>
      <c r="J31" s="13">
        <f>SUMIF(Mercado_Receita!$T$2:$T$667,"44409B2Energia horáriaRuralServiço público de irrigação ruralNão se aplicaNão se aplicaFora ponta",Mercado_Receita!$N$2:$N$667)</f>
        <v>0</v>
      </c>
      <c r="K31" s="13">
        <f>SUMIF(Mercado_Receita!$T$2:$T$667,"44440B2Energia horáriaRuralServiço público de irrigação ruralNão se aplicaNão se aplicaFora ponta",Mercado_Receita!$N$2:$N$667)</f>
        <v>0</v>
      </c>
      <c r="L31" s="13">
        <f>SUMIF(Mercado_Receita!$T$2:$T$667,"44470B2Energia horáriaRuralServiço público de irrigação ruralNão se aplicaNão se aplicaFora ponta",Mercado_Receita!$N$2:$N$667)</f>
        <v>0</v>
      </c>
      <c r="M31" s="13">
        <f>SUMIF(Mercado_Receita!$T$2:$T$667,"44501B2Energia horáriaRuralServiço público de irrigação ruralNão se aplicaNão se aplicaFora ponta",Mercado_Receita!$N$2:$N$667)</f>
        <v>0</v>
      </c>
      <c r="N31" s="13">
        <f>SUMIF(Mercado_Receita!$T$2:$T$667,"44531B2Energia horáriaRuralServiço público de irrigação ruralNão se aplicaNão se aplicaFora ponta",Mercado_Receita!$N$2:$N$667)</f>
        <v>0</v>
      </c>
      <c r="O31" s="13">
        <f>SUMIF(Mercado_Receita!$T$2:$T$667,"44562B2Energia horáriaRuralServiço público de irrigação ruralNão se aplicaNão se aplicaFora ponta",Mercado_Receita!$N$2:$N$667)</f>
        <v>0</v>
      </c>
      <c r="P31" s="13">
        <f>SUMIF(Mercado_Receita!$T$2:$T$667,"44593B2Energia horáriaRuralServiço público de irrigação ruralNão se aplicaNão se aplicaFora ponta",Mercado_Receita!$N$2:$N$667)</f>
        <v>0</v>
      </c>
      <c r="Q31" s="13">
        <f>SUMIF(Mercado_Receita!$T$2:$T$667,"44621B2Energia horáriaRuralServiço público de irrigação ruralNão se aplicaNão se aplicaFora ponta",Mercado_Receita!$N$2:$N$667)</f>
        <v>0</v>
      </c>
      <c r="R31" s="13">
        <f>SUMIF(Mercado_Receita!$T$2:$T$667,"44652B2Energia horáriaRuralServiço público de irrigação ruralNão se aplicaNão se aplicaFora ponta",Mercado_Receita!$N$2:$N$667)</f>
        <v>0</v>
      </c>
      <c r="S31" s="13">
        <f>SUMIF(Mercado_Receita!$T$2:$T$667,"44682B2Energia horáriaRuralServiço público de irrigação ruralNão se aplicaNão se aplicaFora ponta",Mercado_Receita!$N$2:$N$667)</f>
        <v>0</v>
      </c>
      <c r="T31" s="13">
        <f>SUMIF(Mercado_Receita!$T$2:$T$667,"44713B2Energia horáriaRuralServiço público de irrigação ruralNão se aplicaNão se aplicaFora ponta",Mercado_Receita!$N$2:$N$667)</f>
        <v>0</v>
      </c>
      <c r="U31" s="13">
        <f t="shared" si="0"/>
        <v>0</v>
      </c>
      <c r="V31" s="13"/>
      <c r="W31" s="13"/>
    </row>
    <row r="32" spans="1:23" ht="11.25" customHeight="1" x14ac:dyDescent="0.3">
      <c r="A32" s="118"/>
      <c r="B32" s="12" t="s">
        <v>82</v>
      </c>
      <c r="C32" s="12" t="s">
        <v>43</v>
      </c>
      <c r="D32" s="12" t="s">
        <v>97</v>
      </c>
      <c r="E32" s="12" t="s">
        <v>25</v>
      </c>
      <c r="F32" s="12" t="s">
        <v>25</v>
      </c>
      <c r="G32" s="13" t="s">
        <v>81</v>
      </c>
      <c r="H32" s="13" t="s">
        <v>76</v>
      </c>
      <c r="I32" s="13">
        <f>SUMIF(Mercado_Receita!$T$2:$T$667,"44378B2Energia convencionalRuralServiço público de irrigação ruralNão se aplicaNão se aplicaNão se aplica",Mercado_Receita!$N$2:$N$667)</f>
        <v>0</v>
      </c>
      <c r="J32" s="13">
        <f>SUMIF(Mercado_Receita!$T$2:$T$667,"44409B2Energia convencionalRuralServiço público de irrigação ruralNão se aplicaNão se aplicaNão se aplica",Mercado_Receita!$N$2:$N$667)</f>
        <v>0</v>
      </c>
      <c r="K32" s="13">
        <f>SUMIF(Mercado_Receita!$T$2:$T$667,"44440B2Energia convencionalRuralServiço público de irrigação ruralNão se aplicaNão se aplicaNão se aplica",Mercado_Receita!$N$2:$N$667)</f>
        <v>0</v>
      </c>
      <c r="L32" s="13">
        <f>SUMIF(Mercado_Receita!$T$2:$T$667,"44470B2Energia convencionalRuralServiço público de irrigação ruralNão se aplicaNão se aplicaNão se aplica",Mercado_Receita!$N$2:$N$667)</f>
        <v>0</v>
      </c>
      <c r="M32" s="13">
        <f>SUMIF(Mercado_Receita!$T$2:$T$667,"44501B2Energia convencionalRuralServiço público de irrigação ruralNão se aplicaNão se aplicaNão se aplica",Mercado_Receita!$N$2:$N$667)</f>
        <v>0</v>
      </c>
      <c r="N32" s="13">
        <f>SUMIF(Mercado_Receita!$T$2:$T$667,"44531B2Energia convencionalRuralServiço público de irrigação ruralNão se aplicaNão se aplicaNão se aplica",Mercado_Receita!$N$2:$N$667)</f>
        <v>0</v>
      </c>
      <c r="O32" s="13">
        <f>SUMIF(Mercado_Receita!$T$2:$T$667,"44562B2Energia convencionalRuralServiço público de irrigação ruralNão se aplicaNão se aplicaNão se aplica",Mercado_Receita!$N$2:$N$667)</f>
        <v>0</v>
      </c>
      <c r="P32" s="13">
        <f>SUMIF(Mercado_Receita!$T$2:$T$667,"44593B2Energia convencionalRuralServiço público de irrigação ruralNão se aplicaNão se aplicaNão se aplica",Mercado_Receita!$N$2:$N$667)</f>
        <v>0</v>
      </c>
      <c r="Q32" s="13">
        <f>SUMIF(Mercado_Receita!$T$2:$T$667,"44621B2Energia convencionalRuralServiço público de irrigação ruralNão se aplicaNão se aplicaNão se aplica",Mercado_Receita!$N$2:$N$667)</f>
        <v>0</v>
      </c>
      <c r="R32" s="13">
        <f>SUMIF(Mercado_Receita!$T$2:$T$667,"44652B2Energia convencionalRuralServiço público de irrigação ruralNão se aplicaNão se aplicaNão se aplica",Mercado_Receita!$N$2:$N$667)</f>
        <v>0</v>
      </c>
      <c r="S32" s="13">
        <f>SUMIF(Mercado_Receita!$T$2:$T$667,"44682B2Energia convencionalRuralServiço público de irrigação ruralNão se aplicaNão se aplicaNão se aplica",Mercado_Receita!$N$2:$N$667)</f>
        <v>0</v>
      </c>
      <c r="T32" s="13">
        <f>SUMIF(Mercado_Receita!$T$2:$T$667,"44713B2Energia convencionalRuralServiço público de irrigação ruralNão se aplicaNão se aplicaNão se aplica",Mercado_Receita!$N$2:$N$667)</f>
        <v>0</v>
      </c>
      <c r="U32" s="13">
        <f t="shared" si="0"/>
        <v>0</v>
      </c>
      <c r="V32" s="13"/>
      <c r="W32" s="13"/>
    </row>
    <row r="33" spans="1:23" ht="11.25" customHeight="1" x14ac:dyDescent="0.3">
      <c r="A33" s="118"/>
      <c r="B33" s="117" t="s">
        <v>94</v>
      </c>
      <c r="C33" s="117" t="s">
        <v>43</v>
      </c>
      <c r="D33" s="12" t="s">
        <v>25</v>
      </c>
      <c r="E33" s="12" t="s">
        <v>25</v>
      </c>
      <c r="F33" s="12" t="s">
        <v>25</v>
      </c>
      <c r="G33" s="13" t="s">
        <v>81</v>
      </c>
      <c r="H33" s="13" t="s">
        <v>76</v>
      </c>
      <c r="I33" s="13">
        <f>SUMIF(Mercado_Receita!$T$2:$T$667,"44378B2Energia convencional pré-pagamentoRuralNão se aplicaNão se aplicaNão se aplicaNão se aplica",Mercado_Receita!$N$2:$N$667)</f>
        <v>0</v>
      </c>
      <c r="J33" s="13">
        <f>SUMIF(Mercado_Receita!$T$2:$T$667,"44409B2Energia convencional pré-pagamentoRuralNão se aplicaNão se aplicaNão se aplicaNão se aplica",Mercado_Receita!$N$2:$N$667)</f>
        <v>0</v>
      </c>
      <c r="K33" s="13">
        <f>SUMIF(Mercado_Receita!$T$2:$T$667,"44440B2Energia convencional pré-pagamentoRuralNão se aplicaNão se aplicaNão se aplicaNão se aplica",Mercado_Receita!$N$2:$N$667)</f>
        <v>0</v>
      </c>
      <c r="L33" s="13">
        <f>SUMIF(Mercado_Receita!$T$2:$T$667,"44470B2Energia convencional pré-pagamentoRuralNão se aplicaNão se aplicaNão se aplicaNão se aplica",Mercado_Receita!$N$2:$N$667)</f>
        <v>0</v>
      </c>
      <c r="M33" s="13">
        <f>SUMIF(Mercado_Receita!$T$2:$T$667,"44501B2Energia convencional pré-pagamentoRuralNão se aplicaNão se aplicaNão se aplicaNão se aplica",Mercado_Receita!$N$2:$N$667)</f>
        <v>0</v>
      </c>
      <c r="N33" s="13">
        <f>SUMIF(Mercado_Receita!$T$2:$T$667,"44531B2Energia convencional pré-pagamentoRuralNão se aplicaNão se aplicaNão se aplicaNão se aplica",Mercado_Receita!$N$2:$N$667)</f>
        <v>0</v>
      </c>
      <c r="O33" s="13">
        <f>SUMIF(Mercado_Receita!$T$2:$T$667,"44562B2Energia convencional pré-pagamentoRuralNão se aplicaNão se aplicaNão se aplicaNão se aplica",Mercado_Receita!$N$2:$N$667)</f>
        <v>0</v>
      </c>
      <c r="P33" s="13">
        <f>SUMIF(Mercado_Receita!$T$2:$T$667,"44593B2Energia convencional pré-pagamentoRuralNão se aplicaNão se aplicaNão se aplicaNão se aplica",Mercado_Receita!$N$2:$N$667)</f>
        <v>0</v>
      </c>
      <c r="Q33" s="13">
        <f>SUMIF(Mercado_Receita!$T$2:$T$667,"44621B2Energia convencional pré-pagamentoRuralNão se aplicaNão se aplicaNão se aplicaNão se aplica",Mercado_Receita!$N$2:$N$667)</f>
        <v>0</v>
      </c>
      <c r="R33" s="13">
        <f>SUMIF(Mercado_Receita!$T$2:$T$667,"44652B2Energia convencional pré-pagamentoRuralNão se aplicaNão se aplicaNão se aplicaNão se aplica",Mercado_Receita!$N$2:$N$667)</f>
        <v>0</v>
      </c>
      <c r="S33" s="13">
        <f>SUMIF(Mercado_Receita!$T$2:$T$667,"44682B2Energia convencional pré-pagamentoRuralNão se aplicaNão se aplicaNão se aplicaNão se aplica",Mercado_Receita!$N$2:$N$667)</f>
        <v>0</v>
      </c>
      <c r="T33" s="13">
        <f>SUMIF(Mercado_Receita!$T$2:$T$667,"44713B2Energia convencional pré-pagamentoRuralNão se aplicaNão se aplicaNão se aplicaNão se aplica",Mercado_Receita!$N$2:$N$667)</f>
        <v>0</v>
      </c>
      <c r="U33" s="13">
        <f t="shared" si="0"/>
        <v>0</v>
      </c>
      <c r="V33" s="13"/>
      <c r="W33" s="13"/>
    </row>
    <row r="34" spans="1:23" ht="11.25" customHeight="1" x14ac:dyDescent="0.3">
      <c r="A34" s="118"/>
      <c r="B34" s="118"/>
      <c r="C34" s="118"/>
      <c r="D34" s="12" t="s">
        <v>96</v>
      </c>
      <c r="E34" s="12" t="s">
        <v>25</v>
      </c>
      <c r="F34" s="12" t="s">
        <v>25</v>
      </c>
      <c r="G34" s="13" t="s">
        <v>81</v>
      </c>
      <c r="H34" s="13" t="s">
        <v>76</v>
      </c>
      <c r="I34" s="13">
        <f>SUMIF(Mercado_Receita!$T$2:$T$667,"44378B2Energia convencional pré-pagamentoRuralCooperativa de eletrificação ruralNão se aplicaNão se aplicaNão se aplica",Mercado_Receita!$N$2:$N$667)</f>
        <v>0</v>
      </c>
      <c r="J34" s="13">
        <f>SUMIF(Mercado_Receita!$T$2:$T$667,"44409B2Energia convencional pré-pagamentoRuralCooperativa de eletrificação ruralNão se aplicaNão se aplicaNão se aplica",Mercado_Receita!$N$2:$N$667)</f>
        <v>0</v>
      </c>
      <c r="K34" s="13">
        <f>SUMIF(Mercado_Receita!$T$2:$T$667,"44440B2Energia convencional pré-pagamentoRuralCooperativa de eletrificação ruralNão se aplicaNão se aplicaNão se aplica",Mercado_Receita!$N$2:$N$667)</f>
        <v>0</v>
      </c>
      <c r="L34" s="13">
        <f>SUMIF(Mercado_Receita!$T$2:$T$667,"44470B2Energia convencional pré-pagamentoRuralCooperativa de eletrificação ruralNão se aplicaNão se aplicaNão se aplica",Mercado_Receita!$N$2:$N$667)</f>
        <v>0</v>
      </c>
      <c r="M34" s="13">
        <f>SUMIF(Mercado_Receita!$T$2:$T$667,"44501B2Energia convencional pré-pagamentoRuralCooperativa de eletrificação ruralNão se aplicaNão se aplicaNão se aplica",Mercado_Receita!$N$2:$N$667)</f>
        <v>0</v>
      </c>
      <c r="N34" s="13">
        <f>SUMIF(Mercado_Receita!$T$2:$T$667,"44531B2Energia convencional pré-pagamentoRuralCooperativa de eletrificação ruralNão se aplicaNão se aplicaNão se aplica",Mercado_Receita!$N$2:$N$667)</f>
        <v>0</v>
      </c>
      <c r="O34" s="13">
        <f>SUMIF(Mercado_Receita!$T$2:$T$667,"44562B2Energia convencional pré-pagamentoRuralCooperativa de eletrificação ruralNão se aplicaNão se aplicaNão se aplica",Mercado_Receita!$N$2:$N$667)</f>
        <v>0</v>
      </c>
      <c r="P34" s="13">
        <f>SUMIF(Mercado_Receita!$T$2:$T$667,"44593B2Energia convencional pré-pagamentoRuralCooperativa de eletrificação ruralNão se aplicaNão se aplicaNão se aplica",Mercado_Receita!$N$2:$N$667)</f>
        <v>0</v>
      </c>
      <c r="Q34" s="13">
        <f>SUMIF(Mercado_Receita!$T$2:$T$667,"44621B2Energia convencional pré-pagamentoRuralCooperativa de eletrificação ruralNão se aplicaNão se aplicaNão se aplica",Mercado_Receita!$N$2:$N$667)</f>
        <v>0</v>
      </c>
      <c r="R34" s="13">
        <f>SUMIF(Mercado_Receita!$T$2:$T$667,"44652B2Energia convencional pré-pagamentoRuralCooperativa de eletrificação ruralNão se aplicaNão se aplicaNão se aplica",Mercado_Receita!$N$2:$N$667)</f>
        <v>0</v>
      </c>
      <c r="S34" s="13">
        <f>SUMIF(Mercado_Receita!$T$2:$T$667,"44682B2Energia convencional pré-pagamentoRuralCooperativa de eletrificação ruralNão se aplicaNão se aplicaNão se aplica",Mercado_Receita!$N$2:$N$667)</f>
        <v>0</v>
      </c>
      <c r="T34" s="13">
        <f>SUMIF(Mercado_Receita!$T$2:$T$667,"44713B2Energia convencional pré-pagamentoRuralCooperativa de eletrificação ruralNão se aplicaNão se aplicaNão se aplica",Mercado_Receita!$N$2:$N$667)</f>
        <v>0</v>
      </c>
      <c r="U34" s="13">
        <f t="shared" si="0"/>
        <v>0</v>
      </c>
      <c r="V34" s="13"/>
      <c r="W34" s="13"/>
    </row>
    <row r="35" spans="1:23" ht="11.25" customHeight="1" x14ac:dyDescent="0.3">
      <c r="A35" s="118"/>
      <c r="B35" s="118"/>
      <c r="C35" s="118"/>
      <c r="D35" s="12" t="s">
        <v>97</v>
      </c>
      <c r="E35" s="12" t="s">
        <v>25</v>
      </c>
      <c r="F35" s="12" t="s">
        <v>25</v>
      </c>
      <c r="G35" s="13" t="s">
        <v>81</v>
      </c>
      <c r="H35" s="13" t="s">
        <v>76</v>
      </c>
      <c r="I35" s="13">
        <f>SUMIF(Mercado_Receita!$T$2:$T$667,"44378B2Energia convencional pré-pagamentoRuralServiço público de irrigação ruralNão se aplicaNão se aplicaNão se aplica",Mercado_Receita!$N$2:$N$667)</f>
        <v>0</v>
      </c>
      <c r="J35" s="13">
        <f>SUMIF(Mercado_Receita!$T$2:$T$667,"44409B2Energia convencional pré-pagamentoRuralServiço público de irrigação ruralNão se aplicaNão se aplicaNão se aplica",Mercado_Receita!$N$2:$N$667)</f>
        <v>0</v>
      </c>
      <c r="K35" s="13">
        <f>SUMIF(Mercado_Receita!$T$2:$T$667,"44440B2Energia convencional pré-pagamentoRuralServiço público de irrigação ruralNão se aplicaNão se aplicaNão se aplica",Mercado_Receita!$N$2:$N$667)</f>
        <v>0</v>
      </c>
      <c r="L35" s="13">
        <f>SUMIF(Mercado_Receita!$T$2:$T$667,"44470B2Energia convencional pré-pagamentoRuralServiço público de irrigação ruralNão se aplicaNão se aplicaNão se aplica",Mercado_Receita!$N$2:$N$667)</f>
        <v>0</v>
      </c>
      <c r="M35" s="13">
        <f>SUMIF(Mercado_Receita!$T$2:$T$667,"44501B2Energia convencional pré-pagamentoRuralServiço público de irrigação ruralNão se aplicaNão se aplicaNão se aplica",Mercado_Receita!$N$2:$N$667)</f>
        <v>0</v>
      </c>
      <c r="N35" s="13">
        <f>SUMIF(Mercado_Receita!$T$2:$T$667,"44531B2Energia convencional pré-pagamentoRuralServiço público de irrigação ruralNão se aplicaNão se aplicaNão se aplica",Mercado_Receita!$N$2:$N$667)</f>
        <v>0</v>
      </c>
      <c r="O35" s="13">
        <f>SUMIF(Mercado_Receita!$T$2:$T$667,"44562B2Energia convencional pré-pagamentoRuralServiço público de irrigação ruralNão se aplicaNão se aplicaNão se aplica",Mercado_Receita!$N$2:$N$667)</f>
        <v>0</v>
      </c>
      <c r="P35" s="13">
        <f>SUMIF(Mercado_Receita!$T$2:$T$667,"44593B2Energia convencional pré-pagamentoRuralServiço público de irrigação ruralNão se aplicaNão se aplicaNão se aplica",Mercado_Receita!$N$2:$N$667)</f>
        <v>0</v>
      </c>
      <c r="Q35" s="13">
        <f>SUMIF(Mercado_Receita!$T$2:$T$667,"44621B2Energia convencional pré-pagamentoRuralServiço público de irrigação ruralNão se aplicaNão se aplicaNão se aplica",Mercado_Receita!$N$2:$N$667)</f>
        <v>0</v>
      </c>
      <c r="R35" s="13">
        <f>SUMIF(Mercado_Receita!$T$2:$T$667,"44652B2Energia convencional pré-pagamentoRuralServiço público de irrigação ruralNão se aplicaNão se aplicaNão se aplica",Mercado_Receita!$N$2:$N$667)</f>
        <v>0</v>
      </c>
      <c r="S35" s="13">
        <f>SUMIF(Mercado_Receita!$T$2:$T$667,"44682B2Energia convencional pré-pagamentoRuralServiço público de irrigação ruralNão se aplicaNão se aplicaNão se aplica",Mercado_Receita!$N$2:$N$667)</f>
        <v>0</v>
      </c>
      <c r="T35" s="13">
        <f>SUMIF(Mercado_Receita!$T$2:$T$667,"44713B2Energia convencional pré-pagamentoRuralServiço público de irrigação ruralNão se aplicaNão se aplicaNão se aplica",Mercado_Receita!$N$2:$N$667)</f>
        <v>0</v>
      </c>
      <c r="U35" s="13">
        <f t="shared" si="0"/>
        <v>0</v>
      </c>
      <c r="V35" s="13"/>
      <c r="W35" s="13"/>
    </row>
    <row r="36" spans="1:23" ht="11.25" customHeight="1" x14ac:dyDescent="0.3">
      <c r="A36" s="117" t="s">
        <v>37</v>
      </c>
      <c r="B36" s="117" t="s">
        <v>75</v>
      </c>
      <c r="C36" s="117" t="s">
        <v>25</v>
      </c>
      <c r="D36" s="117" t="s">
        <v>25</v>
      </c>
      <c r="E36" s="117" t="s">
        <v>25</v>
      </c>
      <c r="F36" s="117" t="s">
        <v>25</v>
      </c>
      <c r="G36" s="13" t="s">
        <v>77</v>
      </c>
      <c r="H36" s="13" t="s">
        <v>76</v>
      </c>
      <c r="I36" s="13">
        <f>SUMIF(Mercado_Receita!$T$2:$T$667,"44378B3Energia horáriaNão se aplicaNão se aplicaNão se aplicaNão se aplicaPonta",Mercado_Receita!$N$2:$N$667)</f>
        <v>1.9E-2</v>
      </c>
      <c r="J36" s="13">
        <f>SUMIF(Mercado_Receita!$T$2:$T$667,"44409B3Energia horáriaNão se aplicaNão se aplicaNão se aplicaNão se aplicaPonta",Mercado_Receita!$N$2:$N$667)</f>
        <v>0.02</v>
      </c>
      <c r="K36" s="13">
        <f>SUMIF(Mercado_Receita!$T$2:$T$667,"44440B3Energia horáriaNão se aplicaNão se aplicaNão se aplicaNão se aplicaPonta",Mercado_Receita!$N$2:$N$667)</f>
        <v>1.4E-2</v>
      </c>
      <c r="L36" s="13">
        <f>SUMIF(Mercado_Receita!$T$2:$T$667,"44470B3Energia horáriaNão se aplicaNão se aplicaNão se aplicaNão se aplicaPonta",Mercado_Receita!$N$2:$N$667)</f>
        <v>1.4999999999999999E-2</v>
      </c>
      <c r="M36" s="13">
        <f>SUMIF(Mercado_Receita!$T$2:$T$667,"44501B3Energia horáriaNão se aplicaNão se aplicaNão se aplicaNão se aplicaPonta",Mercado_Receita!$N$2:$N$667)</f>
        <v>1.4E-2</v>
      </c>
      <c r="N36" s="13">
        <f>SUMIF(Mercado_Receita!$T$2:$T$667,"44531B3Energia horáriaNão se aplicaNão se aplicaNão se aplicaNão se aplicaPonta",Mercado_Receita!$N$2:$N$667)</f>
        <v>0.02</v>
      </c>
      <c r="O36" s="13">
        <f>SUMIF(Mercado_Receita!$T$2:$T$667,"44562B3Energia horáriaNão se aplicaNão se aplicaNão se aplicaNão se aplicaPonta",Mercado_Receita!$N$2:$N$667)</f>
        <v>8.7240000000000002</v>
      </c>
      <c r="P36" s="13">
        <f>SUMIF(Mercado_Receita!$T$2:$T$667,"44593B3Energia horáriaNão se aplicaNão se aplicaNão se aplicaNão se aplicaPonta",Mercado_Receita!$N$2:$N$667)</f>
        <v>2.7E-2</v>
      </c>
      <c r="Q36" s="13">
        <f>SUMIF(Mercado_Receita!$T$2:$T$667,"44621B3Energia horáriaNão se aplicaNão se aplicaNão se aplicaNão se aplicaPonta",Mercado_Receita!$N$2:$N$667)</f>
        <v>0.03</v>
      </c>
      <c r="R36" s="13">
        <f>SUMIF(Mercado_Receita!$T$2:$T$667,"44652B3Energia horáriaNão se aplicaNão se aplicaNão se aplicaNão se aplicaPonta",Mercado_Receita!$N$2:$N$667)</f>
        <v>3.6999999999999998E-2</v>
      </c>
      <c r="S36" s="13">
        <f>SUMIF(Mercado_Receita!$T$2:$T$667,"44682B3Energia horáriaNão se aplicaNão se aplicaNão se aplicaNão se aplicaPonta",Mercado_Receita!$N$2:$N$667)</f>
        <v>0.08</v>
      </c>
      <c r="T36" s="13">
        <f>SUMIF(Mercado_Receita!$T$2:$T$667,"44713B3Energia horáriaNão se aplicaNão se aplicaNão se aplicaNão se aplicaPonta",Mercado_Receita!$N$2:$N$667)</f>
        <v>0.108</v>
      </c>
      <c r="U36" s="13">
        <f t="shared" si="0"/>
        <v>9.1080000000000005</v>
      </c>
      <c r="V36" s="13"/>
      <c r="W36" s="13"/>
    </row>
    <row r="37" spans="1:23" ht="11.25" customHeight="1" x14ac:dyDescent="0.3">
      <c r="A37" s="118"/>
      <c r="B37" s="118"/>
      <c r="C37" s="118"/>
      <c r="D37" s="118"/>
      <c r="E37" s="118"/>
      <c r="F37" s="118"/>
      <c r="G37" s="13" t="s">
        <v>93</v>
      </c>
      <c r="H37" s="13" t="s">
        <v>76</v>
      </c>
      <c r="I37" s="13">
        <f>SUMIF(Mercado_Receita!$T$2:$T$667,"44378B3Energia horáriaNão se aplicaNão se aplicaNão se aplicaNão se aplicaIntermediário",Mercado_Receita!$N$2:$N$667)</f>
        <v>3.2000000000000001E-2</v>
      </c>
      <c r="J37" s="13">
        <f>SUMIF(Mercado_Receita!$T$2:$T$667,"44409B3Energia horáriaNão se aplicaNão se aplicaNão se aplicaNão se aplicaIntermediário",Mercado_Receita!$N$2:$N$667)</f>
        <v>2.4E-2</v>
      </c>
      <c r="K37" s="13">
        <f>SUMIF(Mercado_Receita!$T$2:$T$667,"44440B3Energia horáriaNão se aplicaNão se aplicaNão se aplicaNão se aplicaIntermediário",Mercado_Receita!$N$2:$N$667)</f>
        <v>1.2999999999999999E-2</v>
      </c>
      <c r="L37" s="13">
        <f>SUMIF(Mercado_Receita!$T$2:$T$667,"44470B3Energia horáriaNão se aplicaNão se aplicaNão se aplicaNão se aplicaIntermediário",Mercado_Receita!$N$2:$N$667)</f>
        <v>1.7000000000000001E-2</v>
      </c>
      <c r="M37" s="13">
        <f>SUMIF(Mercado_Receita!$T$2:$T$667,"44501B3Energia horáriaNão se aplicaNão se aplicaNão se aplicaNão se aplicaIntermediário",Mercado_Receita!$N$2:$N$667)</f>
        <v>0.04</v>
      </c>
      <c r="N37" s="13">
        <f>SUMIF(Mercado_Receita!$T$2:$T$667,"44531B3Energia horáriaNão se aplicaNão se aplicaNão se aplicaNão se aplicaIntermediário",Mercado_Receita!$N$2:$N$667)</f>
        <v>5.1999999999999998E-2</v>
      </c>
      <c r="O37" s="13">
        <f>SUMIF(Mercado_Receita!$T$2:$T$667,"44562B3Energia horáriaNão se aplicaNão se aplicaNão se aplicaNão se aplicaIntermediário",Mercado_Receita!$N$2:$N$667)</f>
        <v>6.0999999999999999E-2</v>
      </c>
      <c r="P37" s="13">
        <f>SUMIF(Mercado_Receita!$T$2:$T$667,"44593B3Energia horáriaNão se aplicaNão se aplicaNão se aplicaNão se aplicaIntermediário",Mercado_Receita!$N$2:$N$667)</f>
        <v>6.9000000000000006E-2</v>
      </c>
      <c r="Q37" s="13">
        <f>SUMIF(Mercado_Receita!$T$2:$T$667,"44621B3Energia horáriaNão se aplicaNão se aplicaNão se aplicaNão se aplicaIntermediário",Mercado_Receita!$N$2:$N$667)</f>
        <v>5.2999999999999999E-2</v>
      </c>
      <c r="R37" s="13">
        <f>SUMIF(Mercado_Receita!$T$2:$T$667,"44652B3Energia horáriaNão se aplicaNão se aplicaNão se aplicaNão se aplicaIntermediário",Mercado_Receita!$N$2:$N$667)</f>
        <v>3.5000000000000003E-2</v>
      </c>
      <c r="S37" s="13">
        <f>SUMIF(Mercado_Receita!$T$2:$T$667,"44682B3Energia horáriaNão se aplicaNão se aplicaNão se aplicaNão se aplicaIntermediário",Mercado_Receita!$N$2:$N$667)</f>
        <v>8.8999999999999996E-2</v>
      </c>
      <c r="T37" s="13">
        <f>SUMIF(Mercado_Receita!$T$2:$T$667,"44713B3Energia horáriaNão se aplicaNão se aplicaNão se aplicaNão se aplicaIntermediário",Mercado_Receita!$N$2:$N$667)</f>
        <v>0.14200000000000002</v>
      </c>
      <c r="U37" s="13">
        <f t="shared" si="0"/>
        <v>0.627</v>
      </c>
      <c r="V37" s="13"/>
      <c r="W37" s="13"/>
    </row>
    <row r="38" spans="1:23" ht="11.25" customHeight="1" x14ac:dyDescent="0.3">
      <c r="A38" s="118"/>
      <c r="B38" s="118"/>
      <c r="C38" s="118"/>
      <c r="D38" s="118"/>
      <c r="E38" s="118"/>
      <c r="F38" s="118"/>
      <c r="G38" s="13" t="s">
        <v>78</v>
      </c>
      <c r="H38" s="13" t="s">
        <v>76</v>
      </c>
      <c r="I38" s="13">
        <f>SUMIF(Mercado_Receita!$T$2:$T$667,"44378B3Energia horáriaNão se aplicaNão se aplicaNão se aplicaNão se aplicaFora ponta",Mercado_Receita!$N$2:$N$667)</f>
        <v>0.42899999999999999</v>
      </c>
      <c r="J38" s="13">
        <f>SUMIF(Mercado_Receita!$T$2:$T$667,"44409B3Energia horáriaNão se aplicaNão se aplicaNão se aplicaNão se aplicaFora ponta",Mercado_Receita!$N$2:$N$667)</f>
        <v>0.34499999999999997</v>
      </c>
      <c r="K38" s="13">
        <f>SUMIF(Mercado_Receita!$T$2:$T$667,"44440B3Energia horáriaNão se aplicaNão se aplicaNão se aplicaNão se aplicaFora ponta",Mercado_Receita!$N$2:$N$667)</f>
        <v>0.19600000000000001</v>
      </c>
      <c r="L38" s="13">
        <f>SUMIF(Mercado_Receita!$T$2:$T$667,"44470B3Energia horáriaNão se aplicaNão se aplicaNão se aplicaNão se aplicaFora ponta",Mercado_Receita!$N$2:$N$667)</f>
        <v>0.192</v>
      </c>
      <c r="M38" s="13">
        <f>SUMIF(Mercado_Receita!$T$2:$T$667,"44501B3Energia horáriaNão se aplicaNão se aplicaNão se aplicaNão se aplicaFora ponta",Mercado_Receita!$N$2:$N$667)</f>
        <v>0.28599999999999998</v>
      </c>
      <c r="N38" s="13">
        <f>SUMIF(Mercado_Receita!$T$2:$T$667,"44531B3Energia horáriaNão se aplicaNão se aplicaNão se aplicaNão se aplicaFora ponta",Mercado_Receita!$N$2:$N$667)</f>
        <v>0.39400000000000002</v>
      </c>
      <c r="O38" s="13">
        <f>SUMIF(Mercado_Receita!$T$2:$T$667,"44562B3Energia horáriaNão se aplicaNão se aplicaNão se aplicaNão se aplicaFora ponta",Mercado_Receita!$N$2:$N$667)</f>
        <v>0.47399999999999998</v>
      </c>
      <c r="P38" s="13">
        <f>SUMIF(Mercado_Receita!$T$2:$T$667,"44593B3Energia horáriaNão se aplicaNão se aplicaNão se aplicaNão se aplicaFora ponta",Mercado_Receita!$N$2:$N$667)</f>
        <v>0.59299999999999997</v>
      </c>
      <c r="Q38" s="13">
        <f>SUMIF(Mercado_Receita!$T$2:$T$667,"44621B3Energia horáriaNão se aplicaNão se aplicaNão se aplicaNão se aplicaFora ponta",Mercado_Receita!$N$2:$N$667)</f>
        <v>0.46</v>
      </c>
      <c r="R38" s="13">
        <f>SUMIF(Mercado_Receita!$T$2:$T$667,"44652B3Energia horáriaNão se aplicaNão se aplicaNão se aplicaNão se aplicaFora ponta",Mercado_Receita!$N$2:$N$667)</f>
        <v>0.61399999999999999</v>
      </c>
      <c r="S38" s="13">
        <f>SUMIF(Mercado_Receita!$T$2:$T$667,"44682B3Energia horáriaNão se aplicaNão se aplicaNão se aplicaNão se aplicaFora ponta",Mercado_Receita!$N$2:$N$667)</f>
        <v>1.4119999999999999</v>
      </c>
      <c r="T38" s="13">
        <f>SUMIF(Mercado_Receita!$T$2:$T$667,"44713B3Energia horáriaNão se aplicaNão se aplicaNão se aplicaNão se aplicaFora ponta",Mercado_Receita!$N$2:$N$667)</f>
        <v>2.089</v>
      </c>
      <c r="U38" s="13">
        <f t="shared" si="0"/>
        <v>7.484</v>
      </c>
      <c r="V38" s="13"/>
      <c r="W38" s="13"/>
    </row>
    <row r="39" spans="1:23" ht="11.25" customHeight="1" x14ac:dyDescent="0.3">
      <c r="A39" s="118"/>
      <c r="B39" s="12" t="s">
        <v>82</v>
      </c>
      <c r="C39" s="12" t="s">
        <v>25</v>
      </c>
      <c r="D39" s="12" t="s">
        <v>25</v>
      </c>
      <c r="E39" s="12" t="s">
        <v>25</v>
      </c>
      <c r="F39" s="12" t="s">
        <v>25</v>
      </c>
      <c r="G39" s="13" t="s">
        <v>81</v>
      </c>
      <c r="H39" s="13" t="s">
        <v>76</v>
      </c>
      <c r="I39" s="13">
        <f>SUMIF(Mercado_Receita!$T$2:$T$667,"44378B3Energia convencionalNão se aplicaNão se aplicaNão se aplicaNão se aplicaNão se aplica",Mercado_Receita!$N$2:$N$667)</f>
        <v>842.43200000000013</v>
      </c>
      <c r="J39" s="13">
        <f>SUMIF(Mercado_Receita!$T$2:$T$667,"44409B3Energia convencionalNão se aplicaNão se aplicaNão se aplicaNão se aplicaNão se aplica",Mercado_Receita!$N$2:$N$667)</f>
        <v>898.82899999999995</v>
      </c>
      <c r="K39" s="13">
        <f>SUMIF(Mercado_Receita!$T$2:$T$667,"44440B3Energia convencionalNão se aplicaNão se aplicaNão se aplicaNão se aplicaNão se aplica",Mercado_Receita!$N$2:$N$667)</f>
        <v>838.02299999999991</v>
      </c>
      <c r="L39" s="13">
        <f>SUMIF(Mercado_Receita!$T$2:$T$667,"44470B3Energia convencionalNão se aplicaNão se aplicaNão se aplicaNão se aplicaNão se aplica",Mercado_Receita!$N$2:$N$667)</f>
        <v>865.34500000000003</v>
      </c>
      <c r="M39" s="13">
        <f>SUMIF(Mercado_Receita!$T$2:$T$667,"44501B3Energia convencionalNão se aplicaNão se aplicaNão se aplicaNão se aplicaNão se aplica",Mercado_Receita!$N$2:$N$667)</f>
        <v>934.52499999999986</v>
      </c>
      <c r="N39" s="13">
        <f>SUMIF(Mercado_Receita!$T$2:$T$667,"44531B3Energia convencionalNão se aplicaNão se aplicaNão se aplicaNão se aplicaNão se aplica",Mercado_Receita!$N$2:$N$667)</f>
        <v>1021.7910000000001</v>
      </c>
      <c r="O39" s="13">
        <f>SUMIF(Mercado_Receita!$T$2:$T$667,"44562B3Energia convencionalNão se aplicaNão se aplicaNão se aplicaNão se aplicaNão se aplica",Mercado_Receita!$N$2:$N$667)</f>
        <v>1108.04</v>
      </c>
      <c r="P39" s="13">
        <f>SUMIF(Mercado_Receita!$T$2:$T$667,"44593B3Energia convencionalNão se aplicaNão se aplicaNão se aplicaNão se aplicaNão se aplica",Mercado_Receita!$N$2:$N$667)</f>
        <v>1383.2769999999998</v>
      </c>
      <c r="Q39" s="13">
        <f>SUMIF(Mercado_Receita!$T$2:$T$667,"44621B3Energia convencionalNão se aplicaNão se aplicaNão se aplicaNão se aplicaNão se aplica",Mercado_Receita!$N$2:$N$667)</f>
        <v>1177.3630000000001</v>
      </c>
      <c r="R39" s="13">
        <f>SUMIF(Mercado_Receita!$T$2:$T$667,"44652B3Energia convencionalNão se aplicaNão se aplicaNão se aplicaNão se aplicaNão se aplica",Mercado_Receita!$N$2:$N$667)</f>
        <v>892.5619999999999</v>
      </c>
      <c r="S39" s="13">
        <f>SUMIF(Mercado_Receita!$T$2:$T$667,"44682B3Energia convencionalNão se aplicaNão se aplicaNão se aplicaNão se aplicaNão se aplica",Mercado_Receita!$N$2:$N$667)</f>
        <v>890.79499999999996</v>
      </c>
      <c r="T39" s="13">
        <f>SUMIF(Mercado_Receita!$T$2:$T$667,"44713B3Energia convencionalNão se aplicaNão se aplicaNão se aplicaNão se aplicaNão se aplica",Mercado_Receita!$N$2:$N$667)</f>
        <v>959.05799999999988</v>
      </c>
      <c r="U39" s="13">
        <f t="shared" si="0"/>
        <v>11812.039999999999</v>
      </c>
      <c r="V39" s="13"/>
      <c r="W39" s="13"/>
    </row>
    <row r="40" spans="1:23" ht="11.25" customHeight="1" x14ac:dyDescent="0.3">
      <c r="A40" s="118"/>
      <c r="B40" s="12" t="s">
        <v>94</v>
      </c>
      <c r="C40" s="12" t="s">
        <v>25</v>
      </c>
      <c r="D40" s="12" t="s">
        <v>25</v>
      </c>
      <c r="E40" s="12" t="s">
        <v>25</v>
      </c>
      <c r="F40" s="12" t="s">
        <v>25</v>
      </c>
      <c r="G40" s="13" t="s">
        <v>81</v>
      </c>
      <c r="H40" s="13" t="s">
        <v>76</v>
      </c>
      <c r="I40" s="13">
        <f>SUMIF(Mercado_Receita!$T$2:$T$667,"44378B3Energia convencional pré-pagamentoNão se aplicaNão se aplicaNão se aplicaNão se aplicaNão se aplica",Mercado_Receita!$N$2:$N$667)</f>
        <v>0</v>
      </c>
      <c r="J40" s="13">
        <f>SUMIF(Mercado_Receita!$T$2:$T$667,"44409B3Energia convencional pré-pagamentoNão se aplicaNão se aplicaNão se aplicaNão se aplicaNão se aplica",Mercado_Receita!$N$2:$N$667)</f>
        <v>0</v>
      </c>
      <c r="K40" s="13">
        <f>SUMIF(Mercado_Receita!$T$2:$T$667,"44440B3Energia convencional pré-pagamentoNão se aplicaNão se aplicaNão se aplicaNão se aplicaNão se aplica",Mercado_Receita!$N$2:$N$667)</f>
        <v>0</v>
      </c>
      <c r="L40" s="13">
        <f>SUMIF(Mercado_Receita!$T$2:$T$667,"44470B3Energia convencional pré-pagamentoNão se aplicaNão se aplicaNão se aplicaNão se aplicaNão se aplica",Mercado_Receita!$N$2:$N$667)</f>
        <v>0</v>
      </c>
      <c r="M40" s="13">
        <f>SUMIF(Mercado_Receita!$T$2:$T$667,"44501B3Energia convencional pré-pagamentoNão se aplicaNão se aplicaNão se aplicaNão se aplicaNão se aplica",Mercado_Receita!$N$2:$N$667)</f>
        <v>0</v>
      </c>
      <c r="N40" s="13">
        <f>SUMIF(Mercado_Receita!$T$2:$T$667,"44531B3Energia convencional pré-pagamentoNão se aplicaNão se aplicaNão se aplicaNão se aplicaNão se aplica",Mercado_Receita!$N$2:$N$667)</f>
        <v>0</v>
      </c>
      <c r="O40" s="13">
        <f>SUMIF(Mercado_Receita!$T$2:$T$667,"44562B3Energia convencional pré-pagamentoNão se aplicaNão se aplicaNão se aplicaNão se aplicaNão se aplica",Mercado_Receita!$N$2:$N$667)</f>
        <v>0</v>
      </c>
      <c r="P40" s="13">
        <f>SUMIF(Mercado_Receita!$T$2:$T$667,"44593B3Energia convencional pré-pagamentoNão se aplicaNão se aplicaNão se aplicaNão se aplicaNão se aplica",Mercado_Receita!$N$2:$N$667)</f>
        <v>0</v>
      </c>
      <c r="Q40" s="13">
        <f>SUMIF(Mercado_Receita!$T$2:$T$667,"44621B3Energia convencional pré-pagamentoNão se aplicaNão se aplicaNão se aplicaNão se aplicaNão se aplica",Mercado_Receita!$N$2:$N$667)</f>
        <v>0</v>
      </c>
      <c r="R40" s="13">
        <f>SUMIF(Mercado_Receita!$T$2:$T$667,"44652B3Energia convencional pré-pagamentoNão se aplicaNão se aplicaNão se aplicaNão se aplicaNão se aplica",Mercado_Receita!$N$2:$N$667)</f>
        <v>0</v>
      </c>
      <c r="S40" s="13">
        <f>SUMIF(Mercado_Receita!$T$2:$T$667,"44682B3Energia convencional pré-pagamentoNão se aplicaNão se aplicaNão se aplicaNão se aplicaNão se aplica",Mercado_Receita!$N$2:$N$667)</f>
        <v>0</v>
      </c>
      <c r="T40" s="13">
        <f>SUMIF(Mercado_Receita!$T$2:$T$667,"44713B3Energia convencional pré-pagamentoNão se aplicaNão se aplicaNão se aplicaNão se aplicaNão se aplica",Mercado_Receita!$N$2:$N$667)</f>
        <v>0</v>
      </c>
      <c r="U40" s="13">
        <f t="shared" si="0"/>
        <v>0</v>
      </c>
      <c r="V40" s="13"/>
      <c r="W40" s="13"/>
    </row>
    <row r="41" spans="1:23" ht="11.25" customHeight="1" x14ac:dyDescent="0.3">
      <c r="A41" s="117" t="s">
        <v>45</v>
      </c>
      <c r="B41" s="117" t="s">
        <v>82</v>
      </c>
      <c r="C41" s="117" t="s">
        <v>46</v>
      </c>
      <c r="D41" s="12" t="s">
        <v>47</v>
      </c>
      <c r="E41" s="12" t="s">
        <v>25</v>
      </c>
      <c r="F41" s="12" t="s">
        <v>25</v>
      </c>
      <c r="G41" s="13" t="s">
        <v>81</v>
      </c>
      <c r="H41" s="13" t="s">
        <v>76</v>
      </c>
      <c r="I41" s="13">
        <f>SUMIF(Mercado_Receita!$T$2:$T$667,"44378B4Energia convencionalIluminação públicaIluminação pública – B4aNão se aplicaNão se aplicaNão se aplica",Mercado_Receita!$N$2:$N$667)</f>
        <v>364.88</v>
      </c>
      <c r="J41" s="13">
        <f>SUMIF(Mercado_Receita!$T$2:$T$667,"44409B4Energia convencionalIluminação públicaIluminação pública – B4aNão se aplicaNão se aplicaNão se aplica",Mercado_Receita!$N$2:$N$667)</f>
        <v>368.59399999999999</v>
      </c>
      <c r="K41" s="13">
        <f>SUMIF(Mercado_Receita!$T$2:$T$667,"44440B4Energia convencionalIluminação públicaIluminação pública – B4aNão se aplicaNão se aplicaNão se aplica",Mercado_Receita!$N$2:$N$667)</f>
        <v>356.62299999999999</v>
      </c>
      <c r="L41" s="13">
        <f>SUMIF(Mercado_Receita!$T$2:$T$667,"44470B4Energia convencionalIluminação públicaIluminação pública – B4aNão se aplicaNão se aplicaNão se aplica",Mercado_Receita!$N$2:$N$667)</f>
        <v>364.07400000000001</v>
      </c>
      <c r="M41" s="13">
        <f>SUMIF(Mercado_Receita!$T$2:$T$667,"44501B4Energia convencionalIluminação públicaIluminação pública – B4aNão se aplicaNão se aplicaNão se aplica",Mercado_Receita!$N$2:$N$667)</f>
        <v>351.61599999999999</v>
      </c>
      <c r="N41" s="13">
        <f>SUMIF(Mercado_Receita!$T$2:$T$667,"44531B4Energia convencionalIluminação públicaIluminação pública – B4aNão se aplicaNão se aplicaNão se aplica",Mercado_Receita!$N$2:$N$667)</f>
        <v>362.399</v>
      </c>
      <c r="O41" s="13">
        <f>SUMIF(Mercado_Receita!$T$2:$T$667,"44562B4Energia convencionalIluminação públicaIluminação pública – B4aNão se aplicaNão se aplicaNão se aplica",Mercado_Receita!$N$2:$N$667)</f>
        <v>362.43400000000003</v>
      </c>
      <c r="P41" s="13">
        <f>SUMIF(Mercado_Receita!$T$2:$T$667,"44593B4Energia convencionalIluminação públicaIluminação pública – B4aNão se aplicaNão se aplicaNão se aplica",Mercado_Receita!$N$2:$N$667)</f>
        <v>329.58800000000002</v>
      </c>
      <c r="Q41" s="13">
        <f>SUMIF(Mercado_Receita!$T$2:$T$667,"44621B4Energia convencionalIluminação públicaIluminação pública – B4aNão se aplicaNão se aplicaNão se aplica",Mercado_Receita!$N$2:$N$667)</f>
        <v>383.39299999999997</v>
      </c>
      <c r="R41" s="13">
        <f>SUMIF(Mercado_Receita!$T$2:$T$667,"44652B4Energia convencionalIluminação públicaIluminação pública – B4aNão se aplicaNão se aplicaNão se aplica",Mercado_Receita!$N$2:$N$667)</f>
        <v>368.34699999999998</v>
      </c>
      <c r="S41" s="13">
        <f>SUMIF(Mercado_Receita!$T$2:$T$667,"44682B4Energia convencionalIluminação públicaIluminação pública – B4aNão se aplicaNão se aplicaNão se aplica",Mercado_Receita!$N$2:$N$667)</f>
        <v>382.18</v>
      </c>
      <c r="T41" s="13">
        <f>SUMIF(Mercado_Receita!$T$2:$T$667,"44713B4Energia convencionalIluminação públicaIluminação pública – B4aNão se aplicaNão se aplicaNão se aplica",Mercado_Receita!$N$2:$N$667)</f>
        <v>371.30099999999999</v>
      </c>
      <c r="U41" s="13">
        <f t="shared" si="0"/>
        <v>4365.4290000000001</v>
      </c>
      <c r="V41" s="13"/>
      <c r="W41" s="13"/>
    </row>
    <row r="42" spans="1:23" ht="11.25" customHeight="1" x14ac:dyDescent="0.3">
      <c r="A42" s="118"/>
      <c r="B42" s="118"/>
      <c r="C42" s="118"/>
      <c r="D42" s="13" t="s">
        <v>98</v>
      </c>
      <c r="E42" s="13" t="s">
        <v>25</v>
      </c>
      <c r="F42" s="13" t="s">
        <v>25</v>
      </c>
      <c r="G42" s="13" t="s">
        <v>81</v>
      </c>
      <c r="H42" s="13" t="s">
        <v>76</v>
      </c>
      <c r="I42" s="13">
        <f>SUMIF(Mercado_Receita!$T$2:$T$667,"44378B4Energia convencionalIluminação públicaIluminação pública – B4bNão se aplicaNão se aplicaNão se aplica",Mercado_Receita!$N$2:$N$667)</f>
        <v>0</v>
      </c>
      <c r="J42" s="13">
        <f>SUMIF(Mercado_Receita!$T$2:$T$667,"44409B4Energia convencionalIluminação públicaIluminação pública – B4bNão se aplicaNão se aplicaNão se aplica",Mercado_Receita!$N$2:$N$667)</f>
        <v>0</v>
      </c>
      <c r="K42" s="13">
        <f>SUMIF(Mercado_Receita!$T$2:$T$667,"44440B4Energia convencionalIluminação públicaIluminação pública – B4bNão se aplicaNão se aplicaNão se aplica",Mercado_Receita!$N$2:$N$667)</f>
        <v>0</v>
      </c>
      <c r="L42" s="13">
        <f>SUMIF(Mercado_Receita!$T$2:$T$667,"44470B4Energia convencionalIluminação públicaIluminação pública – B4bNão se aplicaNão se aplicaNão se aplica",Mercado_Receita!$N$2:$N$667)</f>
        <v>0</v>
      </c>
      <c r="M42" s="13">
        <f>SUMIF(Mercado_Receita!$T$2:$T$667,"44501B4Energia convencionalIluminação públicaIluminação pública – B4bNão se aplicaNão se aplicaNão se aplica",Mercado_Receita!$N$2:$N$667)</f>
        <v>0</v>
      </c>
      <c r="N42" s="13">
        <f>SUMIF(Mercado_Receita!$T$2:$T$667,"44531B4Energia convencionalIluminação públicaIluminação pública – B4bNão se aplicaNão se aplicaNão se aplica",Mercado_Receita!$N$2:$N$667)</f>
        <v>0</v>
      </c>
      <c r="O42" s="13">
        <f>SUMIF(Mercado_Receita!$T$2:$T$667,"44562B4Energia convencionalIluminação públicaIluminação pública – B4bNão se aplicaNão se aplicaNão se aplica",Mercado_Receita!$N$2:$N$667)</f>
        <v>0</v>
      </c>
      <c r="P42" s="13">
        <f>SUMIF(Mercado_Receita!$T$2:$T$667,"44593B4Energia convencionalIluminação públicaIluminação pública – B4bNão se aplicaNão se aplicaNão se aplica",Mercado_Receita!$N$2:$N$667)</f>
        <v>0</v>
      </c>
      <c r="Q42" s="13">
        <f>SUMIF(Mercado_Receita!$T$2:$T$667,"44621B4Energia convencionalIluminação públicaIluminação pública – B4bNão se aplicaNão se aplicaNão se aplica",Mercado_Receita!$N$2:$N$667)</f>
        <v>0</v>
      </c>
      <c r="R42" s="13">
        <f>SUMIF(Mercado_Receita!$T$2:$T$667,"44652B4Energia convencionalIluminação públicaIluminação pública – B4bNão se aplicaNão se aplicaNão se aplica",Mercado_Receita!$N$2:$N$667)</f>
        <v>0</v>
      </c>
      <c r="S42" s="13">
        <f>SUMIF(Mercado_Receita!$T$2:$T$667,"44682B4Energia convencionalIluminação públicaIluminação pública – B4bNão se aplicaNão se aplicaNão se aplica",Mercado_Receita!$N$2:$N$667)</f>
        <v>0</v>
      </c>
      <c r="T42" s="13">
        <f>SUMIF(Mercado_Receita!$T$2:$T$667,"44713B4Energia convencionalIluminação públicaIluminação pública – B4bNão se aplicaNão se aplicaNão se aplica",Mercado_Receita!$N$2:$N$667)</f>
        <v>0</v>
      </c>
      <c r="U42" s="13">
        <f t="shared" si="0"/>
        <v>0</v>
      </c>
      <c r="V42" s="13"/>
      <c r="W42" s="13"/>
    </row>
    <row r="43" spans="1:23" ht="11.25" customHeight="1" x14ac:dyDescent="0.3">
      <c r="A43" s="119" t="s">
        <v>609</v>
      </c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3"/>
      <c r="W43" s="13"/>
    </row>
  </sheetData>
  <mergeCells count="44">
    <mergeCell ref="A41:A42"/>
    <mergeCell ref="B41:B42"/>
    <mergeCell ref="C41:C42"/>
    <mergeCell ref="A43:U43"/>
    <mergeCell ref="C33:C35"/>
    <mergeCell ref="B33:B35"/>
    <mergeCell ref="A21:A35"/>
    <mergeCell ref="F36:F38"/>
    <mergeCell ref="E36:E38"/>
    <mergeCell ref="D36:D38"/>
    <mergeCell ref="C36:C38"/>
    <mergeCell ref="B36:B38"/>
    <mergeCell ref="A36:A40"/>
    <mergeCell ref="F25:F27"/>
    <mergeCell ref="E25:E27"/>
    <mergeCell ref="D25:D27"/>
    <mergeCell ref="C25:C27"/>
    <mergeCell ref="B25:B27"/>
    <mergeCell ref="F29:F31"/>
    <mergeCell ref="E29:E31"/>
    <mergeCell ref="D29:D31"/>
    <mergeCell ref="C29:C31"/>
    <mergeCell ref="B29:B31"/>
    <mergeCell ref="C16:C20"/>
    <mergeCell ref="B16:B20"/>
    <mergeCell ref="A8:A20"/>
    <mergeCell ref="F21:F23"/>
    <mergeCell ref="E21:E23"/>
    <mergeCell ref="D21:D23"/>
    <mergeCell ref="C21:C23"/>
    <mergeCell ref="B21:B23"/>
    <mergeCell ref="F8:F10"/>
    <mergeCell ref="E8:E10"/>
    <mergeCell ref="D8:D10"/>
    <mergeCell ref="C8:C10"/>
    <mergeCell ref="B8:B10"/>
    <mergeCell ref="C11:C15"/>
    <mergeCell ref="B11:B15"/>
    <mergeCell ref="A2:A7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EA28F-B5B0-45D3-A265-8FFF37074D84}">
  <sheetPr codeName="Planilha6"/>
  <dimension ref="A1:AD200"/>
  <sheetViews>
    <sheetView showGridLines="0" topLeftCell="A34" workbookViewId="0">
      <selection activeCell="C61" sqref="C61"/>
    </sheetView>
  </sheetViews>
  <sheetFormatPr defaultColWidth="9.109375" defaultRowHeight="12" customHeight="1" x14ac:dyDescent="0.2"/>
  <cols>
    <col min="1" max="1" width="9.88671875" style="14" bestFit="1" customWidth="1"/>
    <col min="2" max="2" width="13.88671875" style="14" bestFit="1" customWidth="1"/>
    <col min="3" max="3" width="18.109375" style="14" bestFit="1" customWidth="1"/>
    <col min="4" max="4" width="14" style="14" bestFit="1" customWidth="1"/>
    <col min="5" max="5" width="13.88671875" style="14" bestFit="1" customWidth="1"/>
    <col min="6" max="6" width="10" style="14" bestFit="1" customWidth="1"/>
    <col min="7" max="7" width="11.33203125" style="14" bestFit="1" customWidth="1"/>
    <col min="8" max="8" width="7.5546875" style="14" bestFit="1" customWidth="1"/>
    <col min="9" max="11" width="9.109375" style="14"/>
    <col min="12" max="12" width="31.44140625" style="14" bestFit="1" customWidth="1"/>
    <col min="13" max="13" width="10.88671875" style="14" bestFit="1" customWidth="1"/>
    <col min="14" max="14" width="33.33203125" style="14" bestFit="1" customWidth="1"/>
    <col min="15" max="15" width="30.6640625" style="14" customWidth="1"/>
    <col min="16" max="16" width="12" style="14" bestFit="1" customWidth="1"/>
    <col min="17" max="17" width="8.44140625" style="14" bestFit="1" customWidth="1"/>
    <col min="18" max="18" width="13.33203125" style="14" bestFit="1" customWidth="1"/>
    <col min="19" max="20" width="28.6640625" style="14" bestFit="1" customWidth="1"/>
    <col min="21" max="21" width="10.33203125" style="14" bestFit="1" customWidth="1"/>
    <col min="22" max="22" width="12.5546875" style="14" bestFit="1" customWidth="1"/>
    <col min="23" max="23" width="5" style="14" bestFit="1" customWidth="1"/>
    <col min="24" max="24" width="48.33203125" style="14" bestFit="1" customWidth="1"/>
    <col min="25" max="26" width="5" style="14" bestFit="1" customWidth="1"/>
    <col min="27" max="27" width="2" style="14" bestFit="1" customWidth="1"/>
    <col min="28" max="16384" width="9.109375" style="14"/>
  </cols>
  <sheetData>
    <row r="1" spans="1:30" ht="12" customHeight="1" x14ac:dyDescent="0.2">
      <c r="A1" s="17" t="s">
        <v>649</v>
      </c>
      <c r="B1" s="17" t="s">
        <v>650</v>
      </c>
      <c r="C1" s="17" t="s">
        <v>651</v>
      </c>
      <c r="D1" s="17" t="s">
        <v>652</v>
      </c>
      <c r="E1" s="17" t="s">
        <v>653</v>
      </c>
      <c r="F1" s="17" t="s">
        <v>654</v>
      </c>
      <c r="G1" s="7"/>
      <c r="H1" s="7"/>
      <c r="I1" s="7"/>
      <c r="J1" s="7"/>
      <c r="K1" s="7"/>
      <c r="L1" s="128" t="s">
        <v>655</v>
      </c>
      <c r="M1" s="128"/>
      <c r="N1" s="7"/>
      <c r="O1" s="125" t="s">
        <v>1329</v>
      </c>
      <c r="P1" s="126"/>
      <c r="Q1" s="126"/>
      <c r="R1" s="126"/>
      <c r="S1" s="126"/>
      <c r="T1" s="126"/>
      <c r="U1" s="126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9" t="s">
        <v>610</v>
      </c>
      <c r="B2" s="129" t="s">
        <v>611</v>
      </c>
      <c r="C2" s="54" t="s">
        <v>696</v>
      </c>
      <c r="D2" s="16">
        <v>237499.78640641886</v>
      </c>
      <c r="E2" s="16">
        <v>-6321.8271732228659</v>
      </c>
      <c r="F2" s="16">
        <v>15576.859586323053</v>
      </c>
      <c r="G2" s="15"/>
      <c r="H2" s="15"/>
      <c r="I2" s="15"/>
      <c r="J2" s="15"/>
      <c r="K2" s="15"/>
      <c r="L2" s="61" t="s">
        <v>656</v>
      </c>
      <c r="M2" s="62">
        <v>0.15915378713894612</v>
      </c>
      <c r="N2" s="15"/>
      <c r="O2" s="76" t="s">
        <v>723</v>
      </c>
      <c r="P2" s="76" t="s">
        <v>724</v>
      </c>
      <c r="Q2" s="76" t="s">
        <v>725</v>
      </c>
      <c r="R2" s="76" t="s">
        <v>39</v>
      </c>
      <c r="S2" s="76" t="s">
        <v>726</v>
      </c>
      <c r="T2" s="76" t="s">
        <v>90</v>
      </c>
      <c r="U2" s="76"/>
      <c r="V2" s="15"/>
      <c r="W2" s="15"/>
      <c r="X2" s="61" t="s">
        <v>1325</v>
      </c>
      <c r="Y2" s="15"/>
      <c r="Z2" s="15"/>
      <c r="AA2" s="15" t="s">
        <v>732</v>
      </c>
      <c r="AB2" s="15"/>
      <c r="AC2" s="15"/>
      <c r="AD2" s="15"/>
    </row>
    <row r="3" spans="1:30" ht="12" customHeight="1" x14ac:dyDescent="0.2">
      <c r="A3" s="130"/>
      <c r="B3" s="130"/>
      <c r="C3" s="54" t="s">
        <v>612</v>
      </c>
      <c r="D3" s="16">
        <v>73374.677892889988</v>
      </c>
      <c r="E3" s="16">
        <v>-1462.854310844883</v>
      </c>
      <c r="F3" s="16">
        <v>0</v>
      </c>
      <c r="G3" s="15"/>
      <c r="H3" s="15"/>
      <c r="I3" s="15"/>
      <c r="J3" s="15"/>
      <c r="K3" s="15"/>
      <c r="L3" s="61" t="s">
        <v>657</v>
      </c>
      <c r="M3" s="62"/>
      <c r="N3" s="15"/>
      <c r="O3" s="77">
        <v>1</v>
      </c>
      <c r="P3" s="77">
        <v>1</v>
      </c>
      <c r="Q3" s="77">
        <v>1</v>
      </c>
      <c r="R3" s="77">
        <v>1</v>
      </c>
      <c r="S3" s="77">
        <v>1</v>
      </c>
      <c r="T3" s="77">
        <v>1</v>
      </c>
      <c r="U3" s="77" t="s">
        <v>1330</v>
      </c>
      <c r="V3" s="15"/>
      <c r="W3" s="15"/>
      <c r="X3" s="61" t="s">
        <v>1326</v>
      </c>
      <c r="Y3" s="15"/>
      <c r="Z3" s="15"/>
      <c r="AA3" s="15">
        <v>0</v>
      </c>
      <c r="AB3" s="15"/>
      <c r="AC3" s="15"/>
      <c r="AD3" s="15"/>
    </row>
    <row r="4" spans="1:30" ht="12" customHeight="1" x14ac:dyDescent="0.2">
      <c r="A4" s="130"/>
      <c r="B4" s="130"/>
      <c r="C4" s="54" t="s">
        <v>613</v>
      </c>
      <c r="D4" s="16">
        <f>$M$22-D$30</f>
        <v>252169.25620839672</v>
      </c>
      <c r="E4" s="16">
        <f>IF((D4+D$30)&lt;&gt;0,$M$20*D4/(D4+D$30),0)</f>
        <v>-1.9727855092924103</v>
      </c>
      <c r="F4" s="16">
        <f>IF((D4+D$30)&lt;&gt;0,$M$21*D4/(D4+D$30),0)</f>
        <v>0</v>
      </c>
      <c r="G4" s="15"/>
      <c r="H4" s="15"/>
      <c r="I4" s="15"/>
      <c r="J4" s="15"/>
      <c r="K4" s="15"/>
      <c r="L4" s="61" t="s">
        <v>658</v>
      </c>
      <c r="M4" s="62">
        <v>0.10704236088323049</v>
      </c>
      <c r="N4" s="15"/>
      <c r="O4" s="77">
        <v>1</v>
      </c>
      <c r="P4" s="77">
        <v>1</v>
      </c>
      <c r="Q4" s="77">
        <v>1</v>
      </c>
      <c r="R4" s="77">
        <v>1</v>
      </c>
      <c r="S4" s="77">
        <v>1</v>
      </c>
      <c r="T4" s="77">
        <v>1</v>
      </c>
      <c r="U4" s="77" t="s">
        <v>88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30"/>
      <c r="B5" s="130"/>
      <c r="C5" s="54" t="s">
        <v>614</v>
      </c>
      <c r="D5" s="16">
        <v>0</v>
      </c>
      <c r="E5" s="16">
        <v>0</v>
      </c>
      <c r="F5" s="16">
        <v>0</v>
      </c>
      <c r="G5" s="15"/>
      <c r="H5" s="15"/>
      <c r="I5" s="15"/>
      <c r="J5" s="15"/>
      <c r="K5" s="15"/>
      <c r="L5" s="61" t="s">
        <v>659</v>
      </c>
      <c r="M5" s="62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30"/>
      <c r="B6" s="130"/>
      <c r="C6" s="54" t="s">
        <v>615</v>
      </c>
      <c r="D6" s="16">
        <v>0</v>
      </c>
      <c r="E6" s="16">
        <v>0</v>
      </c>
      <c r="F6" s="16">
        <v>0</v>
      </c>
      <c r="G6" s="15"/>
      <c r="H6" s="15"/>
      <c r="I6" s="15"/>
      <c r="J6" s="15"/>
      <c r="K6" s="15"/>
      <c r="L6" s="61" t="s">
        <v>660</v>
      </c>
      <c r="M6" s="62">
        <v>0</v>
      </c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30"/>
      <c r="B7" s="130"/>
      <c r="C7" s="54" t="s">
        <v>616</v>
      </c>
      <c r="D7" s="16">
        <v>6277945.6326438915</v>
      </c>
      <c r="E7" s="16">
        <v>-66756.333714650362</v>
      </c>
      <c r="F7" s="16">
        <v>776055.91760000004</v>
      </c>
      <c r="G7" s="15"/>
      <c r="H7" s="15"/>
      <c r="I7" s="15"/>
      <c r="J7" s="15"/>
      <c r="K7" s="15"/>
      <c r="L7" s="61" t="s">
        <v>661</v>
      </c>
      <c r="M7" s="61">
        <f>M8+M9+M10+M11</f>
        <v>8882.0280471692549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30"/>
      <c r="B8" s="130"/>
      <c r="C8" s="54" t="s">
        <v>617</v>
      </c>
      <c r="D8" s="16">
        <v>1038653.7823800762</v>
      </c>
      <c r="E8" s="16">
        <v>-10513.389966282062</v>
      </c>
      <c r="F8" s="16">
        <v>206711.2366</v>
      </c>
      <c r="G8" s="15"/>
      <c r="H8" s="15"/>
      <c r="I8" s="15"/>
      <c r="J8" s="15"/>
      <c r="K8" s="15"/>
      <c r="L8" s="63" t="s">
        <v>662</v>
      </c>
      <c r="M8" s="61">
        <v>7746.3859470062689</v>
      </c>
      <c r="N8" s="15"/>
      <c r="O8" s="61" t="s">
        <v>695</v>
      </c>
      <c r="P8" s="56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30"/>
      <c r="B9" s="130"/>
      <c r="C9" s="54" t="s">
        <v>618</v>
      </c>
      <c r="D9" s="16"/>
      <c r="E9" s="16"/>
      <c r="F9" s="16"/>
      <c r="G9" s="15"/>
      <c r="H9" s="15"/>
      <c r="I9" s="15"/>
      <c r="J9" s="15"/>
      <c r="K9" s="15"/>
      <c r="L9" s="64" t="s">
        <v>663</v>
      </c>
      <c r="M9" s="61">
        <v>321.56700016298646</v>
      </c>
      <c r="N9" s="15"/>
      <c r="O9" s="61" t="s">
        <v>1316</v>
      </c>
      <c r="P9" s="56">
        <f>SUM(Mercado_Receita!$J$2:$J$667)</f>
        <v>152141</v>
      </c>
      <c r="Q9" s="56">
        <v>152141</v>
      </c>
      <c r="R9" s="56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30"/>
      <c r="B10" s="131"/>
      <c r="C10" s="54" t="s">
        <v>619</v>
      </c>
      <c r="D10" s="16">
        <f>SUM(D$2:D9)</f>
        <v>7879643.1355316732</v>
      </c>
      <c r="E10" s="16">
        <f>SUM(E$2:E9)</f>
        <v>-85056.377950509472</v>
      </c>
      <c r="F10" s="16">
        <f>SUM(F$2:F9)</f>
        <v>998344.01378632314</v>
      </c>
      <c r="G10" s="15"/>
      <c r="H10" s="15"/>
      <c r="I10" s="15"/>
      <c r="J10" s="15"/>
      <c r="K10" s="15"/>
      <c r="L10" s="63" t="s">
        <v>664</v>
      </c>
      <c r="M10" s="61">
        <v>79.223956701594261</v>
      </c>
      <c r="N10" s="15"/>
      <c r="O10" s="61" t="s">
        <v>1317</v>
      </c>
      <c r="P10" s="56">
        <f>SUM(Mercado_Receita!$L$2:$L$667)</f>
        <v>83173.133999999918</v>
      </c>
      <c r="Q10" s="56">
        <v>83173.133999999904</v>
      </c>
      <c r="R10" s="56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30"/>
      <c r="B11" s="129" t="s">
        <v>620</v>
      </c>
      <c r="C11" s="54" t="s">
        <v>621</v>
      </c>
      <c r="D11" s="16">
        <v>0</v>
      </c>
      <c r="E11" s="16">
        <v>0</v>
      </c>
      <c r="F11" s="16">
        <f>IF((+$D$11+$D$12+$D$16+$D$17+$D$39)&lt;&gt;0,$M$19*$D$11/(+$D$11+$D$12+$D$16+$D$17+$D$39),0)</f>
        <v>0</v>
      </c>
      <c r="G11" s="15"/>
      <c r="H11" s="15"/>
      <c r="I11" s="15"/>
      <c r="J11" s="15"/>
      <c r="K11" s="15"/>
      <c r="L11" s="63" t="s">
        <v>665</v>
      </c>
      <c r="M11" s="61">
        <v>734.85114329840565</v>
      </c>
      <c r="N11" s="15"/>
      <c r="O11" s="61" t="s">
        <v>1318</v>
      </c>
      <c r="P11" s="56">
        <f>SUM(Mercado_Receita!$N$2:$N$667)</f>
        <v>74835.248000000007</v>
      </c>
      <c r="Q11" s="56">
        <v>74835.248000000007</v>
      </c>
      <c r="R11" s="56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30"/>
      <c r="B12" s="130"/>
      <c r="C12" s="54" t="s">
        <v>622</v>
      </c>
      <c r="D12" s="16">
        <v>0</v>
      </c>
      <c r="E12" s="16">
        <v>0</v>
      </c>
      <c r="F12" s="16">
        <f>IF((+$D$11+$D$12+$D$16+$D$17+$D$39)&lt;&gt;0,$M$19*$D$12/(+$D$11+$D$12+$D$16+$D$17+$D$39),0)</f>
        <v>0</v>
      </c>
      <c r="G12" s="15"/>
      <c r="H12" s="15"/>
      <c r="I12" s="15"/>
      <c r="J12" s="15"/>
      <c r="K12" s="15"/>
      <c r="L12" s="61" t="s">
        <v>666</v>
      </c>
      <c r="M12" s="61">
        <v>83717.276047169245</v>
      </c>
      <c r="N12" s="15"/>
      <c r="O12" s="61" t="s">
        <v>1319</v>
      </c>
      <c r="P12" s="56">
        <f>SUMIF('MERCADO TUSD'!$H$2:$H$51,"kW",'MERCADO TUSD'!$U$2:$U$51)</f>
        <v>152141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30"/>
      <c r="B13" s="130"/>
      <c r="C13" s="54" t="s">
        <v>623</v>
      </c>
      <c r="D13" s="16">
        <f>-$M$51+0</f>
        <v>0</v>
      </c>
      <c r="E13" s="16">
        <v>0</v>
      </c>
      <c r="F13" s="16">
        <v>0</v>
      </c>
      <c r="G13" s="15"/>
      <c r="H13" s="15"/>
      <c r="I13" s="15"/>
      <c r="J13" s="15"/>
      <c r="K13" s="15"/>
      <c r="L13" s="61" t="s">
        <v>667</v>
      </c>
      <c r="M13" s="61">
        <v>1606.3845821292894</v>
      </c>
      <c r="N13" s="15"/>
      <c r="O13" s="61" t="s">
        <v>1320</v>
      </c>
      <c r="P13" s="56">
        <f>SUMIF('MERCADO TUSD'!$H$2:$H$51,"MWh",'MERCADO TUSD'!$U$2:$U$51)</f>
        <v>83173.133999999976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30"/>
      <c r="B14" s="130"/>
      <c r="C14" s="54" t="s">
        <v>624</v>
      </c>
      <c r="D14" s="16">
        <v>0</v>
      </c>
      <c r="E14" s="16">
        <v>0</v>
      </c>
      <c r="F14" s="16">
        <v>0</v>
      </c>
      <c r="G14" s="15"/>
      <c r="H14" s="15"/>
      <c r="I14" s="15"/>
      <c r="J14" s="15"/>
      <c r="K14" s="15"/>
      <c r="L14" s="61" t="s">
        <v>668</v>
      </c>
      <c r="M14" s="61">
        <v>199.8141584570179</v>
      </c>
      <c r="N14" s="15"/>
      <c r="O14" s="61" t="s">
        <v>1321</v>
      </c>
      <c r="P14" s="56">
        <f>SUMIF('MERCADO TE'!$H$2:$H$42,"MWh",'MERCADO TE'!$U$2:$U$42)</f>
        <v>74835.247999999992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30"/>
      <c r="B15" s="130"/>
      <c r="C15" s="54" t="s">
        <v>625</v>
      </c>
      <c r="D15" s="16">
        <v>13361511.865062799</v>
      </c>
      <c r="E15" s="16">
        <v>-2303426.1390031921</v>
      </c>
      <c r="F15" s="16">
        <v>0</v>
      </c>
      <c r="G15" s="15"/>
      <c r="H15" s="15"/>
      <c r="I15" s="15"/>
      <c r="J15" s="15"/>
      <c r="K15" s="15"/>
      <c r="L15" s="61" t="s">
        <v>669</v>
      </c>
      <c r="M15" s="61">
        <f>M14*M12</f>
        <v>16727897.061678985</v>
      </c>
      <c r="N15" s="15"/>
      <c r="O15" s="61" t="s">
        <v>1322</v>
      </c>
      <c r="P15" s="56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30"/>
      <c r="B16" s="130"/>
      <c r="C16" s="54" t="s">
        <v>626</v>
      </c>
      <c r="D16" s="16">
        <v>0</v>
      </c>
      <c r="E16" s="16">
        <v>0</v>
      </c>
      <c r="F16" s="16">
        <f>IF((+$D$11+$D$12+$D$16+$D$17+$D$39)&lt;&gt;0,$M$19*$D$16/(+$D$11+$D$12+$D$16+$D$17+$D$39),0)</f>
        <v>0</v>
      </c>
      <c r="G16" s="15"/>
      <c r="H16" s="15"/>
      <c r="I16" s="15"/>
      <c r="J16" s="15"/>
      <c r="K16" s="15"/>
      <c r="L16" s="61" t="s">
        <v>670</v>
      </c>
      <c r="M16" s="61">
        <v>-2493859.2012993619</v>
      </c>
      <c r="N16" s="15"/>
      <c r="O16" s="61" t="s">
        <v>1323</v>
      </c>
      <c r="P16" s="56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30"/>
      <c r="B17" s="130"/>
      <c r="C17" s="54" t="s">
        <v>627</v>
      </c>
      <c r="D17" s="16">
        <v>0</v>
      </c>
      <c r="E17" s="16">
        <v>0</v>
      </c>
      <c r="F17" s="16">
        <f>IF((+$D$11+$D$12+$D$16+$D$17+$D$39)&lt;&gt;0,$M$19*$D$17/(+$D$11+$D$12+$D$16+$D$17+$D$39),0)</f>
        <v>0</v>
      </c>
      <c r="G17" s="15"/>
      <c r="H17" s="15"/>
      <c r="I17" s="15"/>
      <c r="J17" s="15"/>
      <c r="K17" s="15"/>
      <c r="L17" s="61" t="s">
        <v>671</v>
      </c>
      <c r="M17" s="61">
        <v>1702898.959</v>
      </c>
      <c r="N17" s="15"/>
      <c r="O17" s="61" t="s">
        <v>1324</v>
      </c>
      <c r="P17" s="56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30"/>
      <c r="B18" s="131"/>
      <c r="C18" s="54" t="s">
        <v>619</v>
      </c>
      <c r="D18" s="16">
        <f>SUM(D$11:D17)</f>
        <v>13361511.865062799</v>
      </c>
      <c r="E18" s="16">
        <f>SUM(E$11:E17)</f>
        <v>-2303426.1390031921</v>
      </c>
      <c r="F18" s="16">
        <f>SUM(F$11:F17)</f>
        <v>0</v>
      </c>
      <c r="G18" s="15"/>
      <c r="H18" s="15"/>
      <c r="I18" s="15"/>
      <c r="J18" s="15"/>
      <c r="K18" s="15"/>
      <c r="L18" s="61" t="s">
        <v>672</v>
      </c>
      <c r="M18" s="61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30"/>
      <c r="B19" s="129" t="s">
        <v>628</v>
      </c>
      <c r="C19" s="54" t="s">
        <v>629</v>
      </c>
      <c r="D19" s="16">
        <v>15957830.327701807</v>
      </c>
      <c r="E19" s="16">
        <v>1487377.6100786317</v>
      </c>
      <c r="F19" s="16">
        <v>0</v>
      </c>
      <c r="G19" s="15"/>
      <c r="H19" s="15"/>
      <c r="I19" s="15"/>
      <c r="J19" s="15"/>
      <c r="K19" s="15"/>
      <c r="L19" s="61" t="s">
        <v>673</v>
      </c>
      <c r="M19" s="61">
        <v>14988.964900000001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30"/>
      <c r="B20" s="131"/>
      <c r="C20" s="54" t="s">
        <v>619</v>
      </c>
      <c r="D20" s="16">
        <f>SUM(D$19:D19)</f>
        <v>15957830.327701807</v>
      </c>
      <c r="E20" s="16">
        <f>SUM(E$19:E19)</f>
        <v>1487377.6100786317</v>
      </c>
      <c r="F20" s="16">
        <f>SUM(F$19:F19)</f>
        <v>0</v>
      </c>
      <c r="G20" s="15"/>
      <c r="H20" s="15"/>
      <c r="I20" s="15"/>
      <c r="J20" s="15"/>
      <c r="K20" s="15"/>
      <c r="L20" s="61" t="s">
        <v>674</v>
      </c>
      <c r="M20" s="61">
        <v>-3.2866301509450011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30"/>
      <c r="B21" s="129" t="s">
        <v>630</v>
      </c>
      <c r="C21" s="54" t="s">
        <v>631</v>
      </c>
      <c r="D21" s="16"/>
      <c r="E21" s="16">
        <f>IF($D$47&lt;&gt;0,(1-$D$46/$D$47)*-6647267.33403596,0)+0</f>
        <v>-4597767.3896910865</v>
      </c>
      <c r="F21" s="16"/>
      <c r="G21" s="15"/>
      <c r="H21" s="15"/>
      <c r="I21" s="15"/>
      <c r="J21" s="15"/>
      <c r="K21" s="15"/>
      <c r="L21" s="61" t="s">
        <v>675</v>
      </c>
      <c r="M21" s="61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30"/>
      <c r="B22" s="130"/>
      <c r="C22" s="54" t="s">
        <v>632</v>
      </c>
      <c r="D22" s="16"/>
      <c r="E22" s="16"/>
      <c r="F22" s="16"/>
      <c r="G22" s="15"/>
      <c r="H22" s="15"/>
      <c r="I22" s="15"/>
      <c r="J22" s="15"/>
      <c r="K22" s="15"/>
      <c r="L22" s="61" t="s">
        <v>697</v>
      </c>
      <c r="M22" s="61">
        <v>420110.08124910505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30"/>
      <c r="B23" s="131"/>
      <c r="C23" s="54" t="s">
        <v>619</v>
      </c>
      <c r="D23" s="16">
        <f>SUM(D$21:D22)</f>
        <v>0</v>
      </c>
      <c r="E23" s="16">
        <f>SUM(E$21:E22)</f>
        <v>-4597767.3896910865</v>
      </c>
      <c r="F23" s="16">
        <f>SUM(F$21:F22)</f>
        <v>0</v>
      </c>
      <c r="G23" s="15"/>
      <c r="H23" s="15"/>
      <c r="I23" s="15"/>
      <c r="J23" s="15"/>
      <c r="K23" s="15"/>
      <c r="L23" s="61" t="s">
        <v>676</v>
      </c>
      <c r="M23" s="61">
        <v>27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30"/>
      <c r="B24" s="129" t="s">
        <v>633</v>
      </c>
      <c r="C24" s="54" t="s">
        <v>634</v>
      </c>
      <c r="D24" s="16">
        <f>$M$14*$M$8</f>
        <v>1547837.5890843272</v>
      </c>
      <c r="E24" s="16">
        <f>$M$16*$M$8/$M$12</f>
        <v>-230757.57815953059</v>
      </c>
      <c r="F24" s="16">
        <f>$M$17*$M$8/$M$12</f>
        <v>157569.77756582474</v>
      </c>
      <c r="G24" s="15"/>
      <c r="H24" s="15"/>
      <c r="I24" s="15"/>
      <c r="J24" s="15"/>
      <c r="K24" s="15"/>
      <c r="L24" s="61" t="s">
        <v>677</v>
      </c>
      <c r="M24" s="61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30"/>
      <c r="B25" s="130"/>
      <c r="C25" s="54" t="s">
        <v>635</v>
      </c>
      <c r="D25" s="16">
        <f>$M$14*$M$10</f>
        <v>15830.06823796428</v>
      </c>
      <c r="E25" s="16">
        <f>$M$16*$M$10/$M$12</f>
        <v>-2360.0074287210841</v>
      </c>
      <c r="F25" s="16">
        <f>$M$17*$M$10/$M$12</f>
        <v>1611.5000363723336</v>
      </c>
      <c r="G25" s="15"/>
      <c r="H25" s="15"/>
      <c r="I25" s="15"/>
      <c r="J25" s="15"/>
      <c r="K25" s="15"/>
      <c r="L25" s="61" t="s">
        <v>678</v>
      </c>
      <c r="M25" s="61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30"/>
      <c r="B26" s="130"/>
      <c r="C26" s="54" t="s">
        <v>636</v>
      </c>
      <c r="D26" s="16">
        <f>$M$14*$M$9</f>
        <v>64253.639525114879</v>
      </c>
      <c r="E26" s="16">
        <f>$M$16*$M$9/$M$12</f>
        <v>-9579.1795917828786</v>
      </c>
      <c r="F26" s="16">
        <f>$M$17*$M$9/$M$12</f>
        <v>6541.0168089770114</v>
      </c>
      <c r="G26" s="15"/>
      <c r="H26" s="15"/>
      <c r="I26" s="15"/>
      <c r="J26" s="15"/>
      <c r="K26" s="15"/>
      <c r="L26" s="61" t="s">
        <v>679</v>
      </c>
      <c r="M26" s="61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30"/>
      <c r="B27" s="130"/>
      <c r="C27" s="54" t="s">
        <v>637</v>
      </c>
      <c r="D27" s="16">
        <v>22189.345469980515</v>
      </c>
      <c r="E27" s="16">
        <v>3373.324918591873</v>
      </c>
      <c r="F27" s="16">
        <v>0</v>
      </c>
      <c r="G27" s="15"/>
      <c r="H27" s="15"/>
      <c r="I27" s="15"/>
      <c r="J27" s="15"/>
      <c r="K27" s="15"/>
      <c r="L27" s="61" t="s">
        <v>680</v>
      </c>
      <c r="M27" s="61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30"/>
      <c r="B28" s="131"/>
      <c r="C28" s="54" t="s">
        <v>619</v>
      </c>
      <c r="D28" s="16">
        <f>SUM(D$24:D27)</f>
        <v>1650110.6423173868</v>
      </c>
      <c r="E28" s="16">
        <f>SUM(E$24:E27)</f>
        <v>-239323.44026144268</v>
      </c>
      <c r="F28" s="16">
        <f>SUM(F$24:F27)</f>
        <v>165722.29441117408</v>
      </c>
      <c r="G28" s="15"/>
      <c r="H28" s="15"/>
      <c r="I28" s="15"/>
      <c r="J28" s="15"/>
      <c r="K28" s="15"/>
      <c r="L28" s="61" t="s">
        <v>681</v>
      </c>
      <c r="M28" s="61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31"/>
      <c r="B29" s="121" t="s">
        <v>619</v>
      </c>
      <c r="C29" s="122"/>
      <c r="D29" s="16">
        <f>SUMIF(C$2:C28,"SUBTOTAL",D$2:D28)</f>
        <v>38849095.970613666</v>
      </c>
      <c r="E29" s="16">
        <f>SUMIF(C$2:C28,"SUBTOTAL",E$2:E28)</f>
        <v>-5738195.7368275989</v>
      </c>
      <c r="F29" s="16">
        <f>SUMIF(C$2:C28,"SUBTOTAL",F$2:F28)</f>
        <v>1164066.3081974972</v>
      </c>
      <c r="G29" s="15"/>
      <c r="H29" s="15"/>
      <c r="I29" s="15"/>
      <c r="J29" s="15"/>
      <c r="K29" s="15"/>
      <c r="L29" s="61" t="s">
        <v>682</v>
      </c>
      <c r="M29" s="61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29" t="s">
        <v>638</v>
      </c>
      <c r="B30" s="129" t="s">
        <v>611</v>
      </c>
      <c r="C30" s="54" t="s">
        <v>613</v>
      </c>
      <c r="D30" s="16">
        <f>IFERROR($M$5*(+D$31+D$32+D$33+D$34+D$36+D$38+D$39+D$40+D$44)+($M$5^2)*(+D$31+D$32+D$33+D$34+D$36+D$38+D$39+D$40+D$44)/$M$22*(+$E$2+$F$2+$E$3+$F$3+$E$8+$F$8+$E$9+$F$9+$E$11+$F$11+$E$12+$F$12+$E$13+$F$13+$E$14+$F$14+$E$15+$F$15+$E$16+$F$16+$E$17+$F$17+$E$19+$F$19+$E$22+$F$22+$E$24+$F$24+$E$25+$F$25+$E$26+$F$26+$E$27+$F$27+$E$31+$F$31+$E$32+$F$32+$E$33+$F$33+$E$34+$F$34+$E$36+$F$36+$E$38+$F$38+$E$39+$F$39+$E$40+$F$40+$E$44+$F$44),0)</f>
        <v>167940.82504070833</v>
      </c>
      <c r="E30" s="16">
        <f>IF((D30+D$4)&lt;&gt;0,$M$20*D30/(D30+D$4),0)</f>
        <v>-1.3138446416525909</v>
      </c>
      <c r="F30" s="16">
        <f>IF((D30+D$4)&lt;&gt;0,$M$21*D30/(D30+D$4),0)</f>
        <v>0</v>
      </c>
      <c r="G30" s="15"/>
      <c r="H30" s="15"/>
      <c r="I30" s="15"/>
      <c r="J30" s="15"/>
      <c r="K30" s="15"/>
      <c r="L30" s="61" t="s">
        <v>683</v>
      </c>
      <c r="M30" s="61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30"/>
      <c r="B31" s="130"/>
      <c r="C31" s="54" t="s">
        <v>639</v>
      </c>
      <c r="D31" s="16">
        <v>1712489.293852424</v>
      </c>
      <c r="E31" s="16">
        <v>-493289.99075713538</v>
      </c>
      <c r="F31" s="16">
        <v>913870.79390000005</v>
      </c>
      <c r="G31" s="15"/>
      <c r="H31" s="15"/>
      <c r="I31" s="15"/>
      <c r="J31" s="15"/>
      <c r="K31" s="15"/>
      <c r="L31" s="61" t="s">
        <v>684</v>
      </c>
      <c r="M31" s="61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30"/>
      <c r="B32" s="130"/>
      <c r="C32" s="54" t="s">
        <v>640</v>
      </c>
      <c r="D32" s="16">
        <v>0</v>
      </c>
      <c r="E32" s="16">
        <v>0</v>
      </c>
      <c r="F32" s="16">
        <v>0</v>
      </c>
      <c r="G32" s="15"/>
      <c r="H32" s="15"/>
      <c r="I32" s="15"/>
      <c r="J32" s="15"/>
      <c r="K32" s="15"/>
      <c r="L32" s="61" t="s">
        <v>685</v>
      </c>
      <c r="M32" s="61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30"/>
      <c r="B33" s="130"/>
      <c r="C33" s="54" t="s">
        <v>699</v>
      </c>
      <c r="D33" s="16">
        <v>790965.44408662</v>
      </c>
      <c r="E33" s="16">
        <v>-39950.401748293851</v>
      </c>
      <c r="F33" s="16">
        <v>51876.921013676954</v>
      </c>
      <c r="G33" s="15"/>
      <c r="H33" s="15"/>
      <c r="I33" s="15"/>
      <c r="J33" s="15"/>
      <c r="K33" s="15"/>
      <c r="L33" s="61" t="s">
        <v>686</v>
      </c>
      <c r="M33" s="61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30"/>
      <c r="B34" s="130"/>
      <c r="C34" s="54" t="s">
        <v>641</v>
      </c>
      <c r="D34" s="16">
        <v>-1110000</v>
      </c>
      <c r="E34" s="16"/>
      <c r="F34" s="16"/>
      <c r="G34" s="15"/>
      <c r="H34" s="15"/>
      <c r="I34" s="15"/>
      <c r="J34" s="15"/>
      <c r="K34" s="15"/>
      <c r="L34" s="61" t="s">
        <v>687</v>
      </c>
      <c r="M34" s="61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30"/>
      <c r="B35" s="131"/>
      <c r="C35" s="54" t="s">
        <v>619</v>
      </c>
      <c r="D35" s="16">
        <f>SUM(D$30:D34)</f>
        <v>1561395.5629797522</v>
      </c>
      <c r="E35" s="16">
        <f>SUM(E$30:E34)</f>
        <v>-533241.70635007089</v>
      </c>
      <c r="F35" s="16">
        <f>SUM(F$30:F34)</f>
        <v>965747.71491367696</v>
      </c>
      <c r="G35" s="15"/>
      <c r="H35" s="15"/>
      <c r="I35" s="15"/>
      <c r="J35" s="15"/>
      <c r="K35" s="15"/>
      <c r="L35" s="61" t="s">
        <v>688</v>
      </c>
      <c r="M35" s="61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30"/>
      <c r="B36" s="129" t="s">
        <v>642</v>
      </c>
      <c r="C36" s="54" t="s">
        <v>643</v>
      </c>
      <c r="D36" s="16">
        <f>$M$14*($M$12-$M$7)</f>
        <v>14953142.10204223</v>
      </c>
      <c r="E36" s="16">
        <f>$M$16*($M$12-$M$7)/$M$12</f>
        <v>-2229271.9091954995</v>
      </c>
      <c r="F36" s="16">
        <f>$M$17*($M$12-$M$7)/$M$12</f>
        <v>1522229.0061600239</v>
      </c>
      <c r="G36" s="15"/>
      <c r="H36" s="15"/>
      <c r="I36" s="15"/>
      <c r="J36" s="15"/>
      <c r="K36" s="15"/>
      <c r="L36" s="61" t="s">
        <v>689</v>
      </c>
      <c r="M36" s="61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30"/>
      <c r="B37" s="131"/>
      <c r="C37" s="54" t="s">
        <v>619</v>
      </c>
      <c r="D37" s="16">
        <f>SUM(D$36:D36)</f>
        <v>14953142.10204223</v>
      </c>
      <c r="E37" s="16">
        <f>SUM(E$36:E36)</f>
        <v>-2229271.9091954995</v>
      </c>
      <c r="F37" s="16">
        <f>SUM(F$36:F36)</f>
        <v>1522229.0061600239</v>
      </c>
      <c r="G37" s="15"/>
      <c r="H37" s="15"/>
      <c r="I37" s="15"/>
      <c r="J37" s="15"/>
      <c r="K37" s="15"/>
      <c r="L37" s="61" t="s">
        <v>690</v>
      </c>
      <c r="M37" s="61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30"/>
      <c r="B38" s="129" t="s">
        <v>620</v>
      </c>
      <c r="C38" s="54" t="s">
        <v>644</v>
      </c>
      <c r="D38" s="16">
        <v>385890.19522984239</v>
      </c>
      <c r="E38" s="16">
        <v>-31139.957837230031</v>
      </c>
      <c r="F38" s="16">
        <v>115104.2267</v>
      </c>
      <c r="G38" s="15"/>
      <c r="H38" s="15"/>
      <c r="I38" s="15"/>
      <c r="J38" s="15"/>
      <c r="K38" s="15"/>
      <c r="L38" s="61" t="s">
        <v>691</v>
      </c>
      <c r="M38" s="61">
        <f>IFERROR(VLOOKUP("Convencional1RuralNão se aplicaRURALB2",Descontos!B1:U88,VLOOKUP("Convencional1RuralNão se aplicaRURALB2",Descontos!B1:U88,20,FALSE)+12,FALSE),100)</f>
        <v>0.06</v>
      </c>
      <c r="N38" s="15" t="s">
        <v>1331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30"/>
      <c r="B39" s="130"/>
      <c r="C39" s="54" t="s">
        <v>645</v>
      </c>
      <c r="D39" s="16">
        <v>270104.33764690749</v>
      </c>
      <c r="E39" s="16">
        <v>-2299.010892429159</v>
      </c>
      <c r="F39" s="16">
        <f>IF((+$D$11+$D$12+$D$16+$D$17+$D$39)&lt;&gt;0,$M$19*$D$39/(+$D$11+$D$12+$D$16+$D$17+$D$39),0)</f>
        <v>14988.964900000001</v>
      </c>
      <c r="G39" s="15"/>
      <c r="H39" s="15"/>
      <c r="I39" s="15"/>
      <c r="J39" s="15"/>
      <c r="K39" s="15"/>
      <c r="L39" s="61" t="s">
        <v>692</v>
      </c>
      <c r="M39" s="61">
        <f>IFERROR(VLOOKUP("Convencional1RuralCooperativa de eletrificação ruralPlanilha CUSTOB2",Descontos!B1:U88,VLOOKUP("Convencional1RuralCooperativa de eletrificação ruralPlanilha CUSTOB2",Descontos!B1:U88,20,FALSE)+12,FALSE),100)</f>
        <v>7.9999999999999988E-2</v>
      </c>
      <c r="N39" s="15">
        <v>7.9999999999999988E-2</v>
      </c>
      <c r="O39" s="15" t="s">
        <v>1332</v>
      </c>
      <c r="P39" s="15" t="s">
        <v>1333</v>
      </c>
      <c r="Q39" s="15" t="s">
        <v>1334</v>
      </c>
      <c r="R39" s="15" t="s">
        <v>1335</v>
      </c>
      <c r="S39" s="15" t="s">
        <v>1</v>
      </c>
      <c r="T39" s="15" t="s">
        <v>1336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3">
      <c r="A40" s="130"/>
      <c r="B40" s="130"/>
      <c r="C40" s="54" t="s">
        <v>646</v>
      </c>
      <c r="D40" s="16"/>
      <c r="E40" s="16">
        <v>0</v>
      </c>
      <c r="F40" s="16">
        <v>0</v>
      </c>
      <c r="G40" s="15"/>
      <c r="H40" s="15"/>
      <c r="I40" s="15"/>
      <c r="J40" s="15"/>
      <c r="K40" s="15"/>
      <c r="L40" s="61" t="s">
        <v>693</v>
      </c>
      <c r="M40" s="61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0.08</v>
      </c>
      <c r="O40" s="81" t="s">
        <v>58</v>
      </c>
      <c r="P40" s="81" t="s">
        <v>56</v>
      </c>
      <c r="Q40" s="81" t="s">
        <v>1337</v>
      </c>
      <c r="R40" s="81" t="s">
        <v>735</v>
      </c>
      <c r="S40" s="81" t="s">
        <v>39</v>
      </c>
      <c r="T40" s="81">
        <v>0.1426</v>
      </c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3">
      <c r="A41" s="130"/>
      <c r="B41" s="131"/>
      <c r="C41" s="54" t="s">
        <v>619</v>
      </c>
      <c r="D41" s="16">
        <f>SUM(D$38:D40)</f>
        <v>655994.53287674987</v>
      </c>
      <c r="E41" s="16">
        <f>SUM(E$38:E40)</f>
        <v>-33438.968729659187</v>
      </c>
      <c r="F41" s="16">
        <f>SUM(F$38:F40)</f>
        <v>130093.19160000001</v>
      </c>
      <c r="G41" s="15"/>
      <c r="H41" s="15"/>
      <c r="I41" s="15"/>
      <c r="J41" s="15"/>
      <c r="K41" s="15"/>
      <c r="L41" s="15"/>
      <c r="M41" s="15"/>
      <c r="N41" s="15"/>
      <c r="O41" s="81"/>
      <c r="P41" s="81"/>
      <c r="Q41" s="81"/>
      <c r="R41" s="81"/>
      <c r="S41" s="81"/>
      <c r="T41" s="81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3">
      <c r="A42" s="130"/>
      <c r="B42" s="129" t="s">
        <v>630</v>
      </c>
      <c r="C42" s="54" t="s">
        <v>631</v>
      </c>
      <c r="D42" s="16"/>
      <c r="E42" s="16">
        <f>IF($D$47&lt;&gt;0,($D$46/$D$47)* -6647267.33403596,0)+0</f>
        <v>-2049499.9443448738</v>
      </c>
      <c r="F42" s="16"/>
      <c r="G42" s="15"/>
      <c r="H42" s="15"/>
      <c r="I42" s="15"/>
      <c r="J42" s="15"/>
      <c r="K42" s="15"/>
      <c r="L42" s="15"/>
      <c r="M42" s="15"/>
      <c r="N42" s="15"/>
      <c r="O42" s="81"/>
      <c r="P42" s="81"/>
      <c r="Q42" s="81"/>
      <c r="R42" s="81"/>
      <c r="S42" s="81"/>
      <c r="T42" s="81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3">
      <c r="A43" s="130"/>
      <c r="B43" s="131"/>
      <c r="C43" s="54" t="s">
        <v>619</v>
      </c>
      <c r="D43" s="16">
        <f>SUM(D$42:D42)</f>
        <v>0</v>
      </c>
      <c r="E43" s="16">
        <f>SUM(E$42:E42)</f>
        <v>-2049499.9443448738</v>
      </c>
      <c r="F43" s="16">
        <f>SUM(F$42:F42)</f>
        <v>0</v>
      </c>
      <c r="G43" s="15"/>
      <c r="H43" s="15"/>
      <c r="I43" s="15"/>
      <c r="J43" s="15"/>
      <c r="K43" s="15"/>
      <c r="L43" s="15"/>
      <c r="M43" s="15"/>
      <c r="N43" s="15"/>
      <c r="O43" s="81"/>
      <c r="P43" s="81"/>
      <c r="Q43" s="81"/>
      <c r="R43" s="81"/>
      <c r="S43" s="81"/>
      <c r="T43" s="81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3">
      <c r="A44" s="130"/>
      <c r="B44" s="129" t="s">
        <v>633</v>
      </c>
      <c r="C44" s="54" t="s">
        <v>647</v>
      </c>
      <c r="D44" s="16">
        <f>$M$14*$M$11</f>
        <v>146833.6627893484</v>
      </c>
      <c r="E44" s="16">
        <f>$M$16*$M$11/$M$12</f>
        <v>-21890.526923827827</v>
      </c>
      <c r="F44" s="16">
        <f>$M$17*$M$11/$M$12</f>
        <v>14947.65842880202</v>
      </c>
      <c r="G44" s="15"/>
      <c r="H44" s="15"/>
      <c r="I44" s="15"/>
      <c r="J44" s="15"/>
      <c r="K44" s="15"/>
      <c r="L44" s="15"/>
      <c r="M44" s="15"/>
      <c r="N44" s="15"/>
      <c r="O44" s="81"/>
      <c r="P44" s="81"/>
      <c r="Q44" s="81"/>
      <c r="R44" s="81"/>
      <c r="S44" s="81"/>
      <c r="T44" s="81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3">
      <c r="A45" s="130"/>
      <c r="B45" s="131"/>
      <c r="C45" s="54" t="s">
        <v>619</v>
      </c>
      <c r="D45" s="16">
        <f>SUM(D$44:D44)</f>
        <v>146833.6627893484</v>
      </c>
      <c r="E45" s="16">
        <f>SUM(E$44:E44)</f>
        <v>-21890.526923827827</v>
      </c>
      <c r="F45" s="16">
        <f>SUM(F$44:F44)</f>
        <v>14947.65842880202</v>
      </c>
      <c r="G45" s="15"/>
      <c r="H45" s="15"/>
      <c r="I45" s="15"/>
      <c r="J45" s="15"/>
      <c r="K45" s="15"/>
      <c r="L45" s="15"/>
      <c r="M45" s="15"/>
      <c r="N45" s="15"/>
      <c r="O45" s="81"/>
      <c r="P45" s="81"/>
      <c r="Q45" s="81"/>
      <c r="R45" s="81"/>
      <c r="S45" s="81"/>
      <c r="T45" s="81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3">
      <c r="A46" s="131"/>
      <c r="B46" s="121" t="s">
        <v>619</v>
      </c>
      <c r="C46" s="122"/>
      <c r="D46" s="16">
        <f>SUMIF(C$30:C45,"SUBTOTAL",D$30:D45)</f>
        <v>17317365.860688079</v>
      </c>
      <c r="E46" s="16">
        <f>SUMIF(C$30:C45,"SUBTOTAL",E$30:E45)</f>
        <v>-4867343.0555439312</v>
      </c>
      <c r="F46" s="16">
        <f>SUMIF(C$30:C45,"SUBTOTAL",F$30:F45)</f>
        <v>2633017.5711025032</v>
      </c>
      <c r="G46" s="15"/>
      <c r="H46" s="15"/>
      <c r="I46" s="15"/>
      <c r="J46" s="15"/>
      <c r="K46" s="15"/>
      <c r="L46" s="15"/>
      <c r="M46" s="15"/>
      <c r="N46" s="15"/>
      <c r="O46" s="81"/>
      <c r="P46" s="81"/>
      <c r="Q46" s="81"/>
      <c r="R46" s="81"/>
      <c r="S46" s="81"/>
      <c r="T46" s="81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3">
      <c r="A47" s="121" t="s">
        <v>648</v>
      </c>
      <c r="B47" s="127"/>
      <c r="C47" s="122"/>
      <c r="D47" s="16">
        <f>SUMIF(C$2:C46,"SUBTOTAL",D$2:D46)</f>
        <v>56166461.831301741</v>
      </c>
      <c r="E47" s="16">
        <f>SUMIF(C$2:C46,"SUBTOTAL",E$2:E46)</f>
        <v>-10605538.792371532</v>
      </c>
      <c r="F47" s="16">
        <f>SUMIF(C$2:C46,"SUBTOTAL",F$2:F46)</f>
        <v>3797083.8792999997</v>
      </c>
      <c r="G47" s="15"/>
      <c r="H47" s="15"/>
      <c r="I47" s="15"/>
      <c r="J47" s="15"/>
      <c r="K47" s="15"/>
      <c r="L47" s="15"/>
      <c r="M47" s="15"/>
      <c r="N47" s="15"/>
      <c r="O47" s="81"/>
      <c r="P47" s="81"/>
      <c r="Q47" s="81"/>
      <c r="R47" s="81"/>
      <c r="S47" s="81"/>
      <c r="T47" s="81"/>
      <c r="U47" s="15"/>
      <c r="V47" s="15"/>
      <c r="W47" s="15"/>
      <c r="X47" s="15"/>
      <c r="Y47" s="15"/>
      <c r="Z47" s="15"/>
      <c r="AA47" s="15"/>
      <c r="AB47" s="15"/>
      <c r="AC47" s="15"/>
      <c r="AD47" s="15"/>
    </row>
    <row r="48" spans="1:30" ht="12" customHeight="1" x14ac:dyDescent="0.3">
      <c r="A48" s="123" t="s">
        <v>1327</v>
      </c>
      <c r="B48" s="124"/>
      <c r="C48" s="124"/>
      <c r="D48" s="74">
        <f ca="1">'TUSD BE'!$AM$56+'TUSD BE'!$AM$60+'TE BE'!$AB$47</f>
        <v>56166461.831301756</v>
      </c>
      <c r="E48" s="74">
        <f ca="1">'TUSD BF'!$AM$56+'TE BF'!$AB$47</f>
        <v>-10605538.79237153</v>
      </c>
      <c r="F48" s="74">
        <f ca="1">'TUSD CVA'!$AM$56+'TE CVA'!$AB$47</f>
        <v>3797083.8793000015</v>
      </c>
      <c r="G48" s="20">
        <f ca="1">SUM(D48:F48)</f>
        <v>49358006.918230221</v>
      </c>
      <c r="L48" s="60"/>
      <c r="M48" s="61"/>
      <c r="O48" s="81"/>
      <c r="P48" s="81"/>
      <c r="Q48" s="81"/>
      <c r="R48" s="81"/>
      <c r="S48" s="81"/>
      <c r="T48" s="81"/>
    </row>
    <row r="49" spans="1:20" ht="12" customHeight="1" x14ac:dyDescent="0.3">
      <c r="A49" s="123" t="s">
        <v>1328</v>
      </c>
      <c r="B49" s="124"/>
      <c r="C49" s="124"/>
      <c r="D49" s="75" t="str">
        <f ca="1">IF(ABS(D48-D47)&gt;1,"ERRO","OK")</f>
        <v>OK</v>
      </c>
      <c r="E49" s="75" t="str">
        <f ca="1">IF(ABS(E48-E47)&gt;1,"ERRO","OK")</f>
        <v>OK</v>
      </c>
      <c r="F49" s="75" t="str">
        <f ca="1">IF(ABS(F48-F47)&gt;1,"ERRO","OK")</f>
        <v>OK</v>
      </c>
      <c r="G49" s="55">
        <f ca="1">SUM(SUBSIDIO!AJ2:AJ9)+EFEITO!AU9</f>
        <v>49358006.918229997</v>
      </c>
      <c r="L49" s="60"/>
      <c r="M49" s="61"/>
      <c r="O49" s="81"/>
      <c r="P49" s="81"/>
      <c r="Q49" s="81"/>
      <c r="R49" s="81"/>
      <c r="S49" s="81"/>
      <c r="T49" s="81"/>
    </row>
    <row r="50" spans="1:20" ht="12" customHeight="1" x14ac:dyDescent="0.3">
      <c r="L50" s="60"/>
      <c r="M50" s="61"/>
      <c r="O50" s="81"/>
      <c r="P50" s="81"/>
      <c r="Q50" s="81"/>
      <c r="R50" s="81"/>
      <c r="S50" s="81"/>
      <c r="T50" s="81"/>
    </row>
    <row r="51" spans="1:20" ht="12" customHeight="1" x14ac:dyDescent="0.3">
      <c r="G51" s="20">
        <f ca="1">EFEITO_350!AU9</f>
        <v>45511862.193376087</v>
      </c>
      <c r="H51" s="14" t="s">
        <v>1345</v>
      </c>
      <c r="L51" s="58" t="s">
        <v>694</v>
      </c>
      <c r="M51" s="59">
        <v>0</v>
      </c>
      <c r="O51" s="81"/>
      <c r="P51" s="81"/>
      <c r="Q51" s="81"/>
      <c r="R51" s="81"/>
      <c r="S51" s="81"/>
      <c r="T51" s="81"/>
    </row>
    <row r="52" spans="1:20" ht="12" customHeight="1" x14ac:dyDescent="0.3">
      <c r="G52" s="20">
        <f ca="1">EFEITO!AU9-EFEITO_350!AU9</f>
        <v>777631.04657749087</v>
      </c>
      <c r="H52" s="14" t="s">
        <v>1346</v>
      </c>
      <c r="O52" s="81"/>
      <c r="P52" s="81"/>
      <c r="Q52" s="81"/>
      <c r="R52" s="81"/>
      <c r="S52" s="81"/>
      <c r="T52" s="81"/>
    </row>
    <row r="53" spans="1:20" ht="12" customHeight="1" x14ac:dyDescent="0.3">
      <c r="G53" s="20">
        <f ca="1">SUM(SUBSIDIO!AJ2:AJ9)</f>
        <v>3068513.6782764168</v>
      </c>
      <c r="H53" s="14" t="s">
        <v>1347</v>
      </c>
      <c r="O53" s="81"/>
      <c r="P53" s="81"/>
      <c r="Q53" s="81"/>
      <c r="R53" s="81"/>
      <c r="S53" s="81"/>
      <c r="T53" s="81"/>
    </row>
    <row r="54" spans="1:20" ht="12" customHeight="1" x14ac:dyDescent="0.3">
      <c r="G54" s="20">
        <f ca="1">SUM(G51:G53)</f>
        <v>49358006.918229997</v>
      </c>
      <c r="O54" s="81"/>
      <c r="P54" s="81"/>
      <c r="Q54" s="81"/>
      <c r="R54" s="81"/>
      <c r="S54" s="81"/>
      <c r="T54" s="81"/>
    </row>
    <row r="55" spans="1:20" ht="12" customHeight="1" x14ac:dyDescent="0.3">
      <c r="O55" s="81"/>
      <c r="P55" s="81"/>
      <c r="Q55" s="81"/>
      <c r="R55" s="81"/>
      <c r="S55" s="81"/>
      <c r="T55" s="81"/>
    </row>
    <row r="56" spans="1:20" ht="12" customHeight="1" x14ac:dyDescent="0.3">
      <c r="O56" s="81"/>
      <c r="P56" s="81"/>
      <c r="Q56" s="81"/>
      <c r="R56" s="81"/>
      <c r="S56" s="81"/>
      <c r="T56" s="81"/>
    </row>
    <row r="57" spans="1:20" ht="12" customHeight="1" x14ac:dyDescent="0.3">
      <c r="O57" s="81"/>
      <c r="P57" s="81"/>
      <c r="Q57" s="81"/>
      <c r="R57" s="81"/>
      <c r="S57" s="81"/>
      <c r="T57" s="81"/>
    </row>
    <row r="58" spans="1:20" ht="12" customHeight="1" x14ac:dyDescent="0.3">
      <c r="O58" s="81"/>
      <c r="P58" s="81"/>
      <c r="Q58" s="81"/>
      <c r="R58" s="81"/>
      <c r="S58" s="81"/>
      <c r="T58" s="81"/>
    </row>
    <row r="59" spans="1:20" ht="12" customHeight="1" x14ac:dyDescent="0.3">
      <c r="O59" s="81"/>
      <c r="P59" s="81"/>
      <c r="Q59" s="81"/>
      <c r="R59" s="81"/>
      <c r="S59" s="81"/>
      <c r="T59" s="81"/>
    </row>
    <row r="60" spans="1:20" ht="12" customHeight="1" x14ac:dyDescent="0.3">
      <c r="O60" s="81"/>
      <c r="P60" s="81"/>
      <c r="Q60" s="81"/>
      <c r="R60" s="81"/>
      <c r="S60" s="81"/>
      <c r="T60" s="81"/>
    </row>
    <row r="61" spans="1:20" ht="12" customHeight="1" x14ac:dyDescent="0.3">
      <c r="O61" s="81"/>
      <c r="P61" s="81"/>
      <c r="Q61" s="81"/>
      <c r="R61" s="81"/>
      <c r="S61" s="81"/>
      <c r="T61" s="81"/>
    </row>
    <row r="62" spans="1:20" ht="12" customHeight="1" x14ac:dyDescent="0.3">
      <c r="O62" s="81"/>
      <c r="P62" s="81"/>
      <c r="Q62" s="81"/>
      <c r="R62" s="81"/>
      <c r="S62" s="81"/>
      <c r="T62" s="81"/>
    </row>
    <row r="63" spans="1:20" ht="12" customHeight="1" x14ac:dyDescent="0.3">
      <c r="O63" s="81"/>
      <c r="P63" s="81"/>
      <c r="Q63" s="81"/>
      <c r="R63" s="81"/>
      <c r="S63" s="81"/>
      <c r="T63" s="81"/>
    </row>
    <row r="64" spans="1:20" ht="12" customHeight="1" x14ac:dyDescent="0.3">
      <c r="O64" s="81"/>
      <c r="P64" s="81"/>
      <c r="Q64" s="81"/>
      <c r="R64" s="81"/>
      <c r="S64" s="81"/>
      <c r="T64" s="81"/>
    </row>
    <row r="65" spans="15:20" ht="12" customHeight="1" x14ac:dyDescent="0.3">
      <c r="O65" s="81"/>
      <c r="P65" s="81"/>
      <c r="Q65" s="81"/>
      <c r="R65" s="81"/>
      <c r="S65" s="81"/>
      <c r="T65" s="81"/>
    </row>
    <row r="66" spans="15:20" ht="12" customHeight="1" x14ac:dyDescent="0.3">
      <c r="O66" s="81"/>
      <c r="P66" s="81"/>
      <c r="Q66" s="81"/>
      <c r="R66" s="81"/>
      <c r="S66" s="81"/>
      <c r="T66" s="81"/>
    </row>
    <row r="67" spans="15:20" ht="12" customHeight="1" x14ac:dyDescent="0.3">
      <c r="O67" s="81"/>
      <c r="P67" s="81"/>
      <c r="Q67" s="81"/>
      <c r="R67" s="81"/>
      <c r="S67" s="81"/>
      <c r="T67" s="81"/>
    </row>
    <row r="68" spans="15:20" ht="12" customHeight="1" x14ac:dyDescent="0.3">
      <c r="O68" s="81"/>
      <c r="P68" s="81"/>
      <c r="Q68" s="81"/>
      <c r="R68" s="81"/>
      <c r="S68" s="81"/>
      <c r="T68" s="81"/>
    </row>
    <row r="69" spans="15:20" ht="12" customHeight="1" x14ac:dyDescent="0.3">
      <c r="O69" s="81"/>
      <c r="P69" s="81"/>
      <c r="Q69" s="81"/>
      <c r="R69" s="81"/>
      <c r="S69" s="81"/>
      <c r="T69" s="81"/>
    </row>
    <row r="70" spans="15:20" ht="12" customHeight="1" x14ac:dyDescent="0.3">
      <c r="O70" s="81"/>
      <c r="P70" s="81"/>
      <c r="Q70" s="81"/>
      <c r="R70" s="81"/>
      <c r="S70" s="81"/>
      <c r="T70" s="81"/>
    </row>
    <row r="71" spans="15:20" ht="12" customHeight="1" x14ac:dyDescent="0.3">
      <c r="O71" s="81"/>
      <c r="P71" s="81"/>
      <c r="Q71" s="81"/>
      <c r="R71" s="81"/>
      <c r="S71" s="81"/>
      <c r="T71" s="81"/>
    </row>
    <row r="72" spans="15:20" ht="12" customHeight="1" x14ac:dyDescent="0.3">
      <c r="O72" s="81"/>
      <c r="P72" s="81"/>
      <c r="Q72" s="81"/>
      <c r="R72" s="81"/>
      <c r="S72" s="81"/>
      <c r="T72" s="81"/>
    </row>
    <row r="73" spans="15:20" ht="12" customHeight="1" x14ac:dyDescent="0.3">
      <c r="O73" s="81"/>
      <c r="P73" s="81"/>
      <c r="Q73" s="81"/>
      <c r="R73" s="81"/>
      <c r="S73" s="81"/>
      <c r="T73" s="81"/>
    </row>
    <row r="74" spans="15:20" ht="12" customHeight="1" x14ac:dyDescent="0.3">
      <c r="O74" s="81"/>
      <c r="P74" s="81"/>
      <c r="Q74" s="81"/>
      <c r="R74" s="81"/>
      <c r="S74" s="81"/>
      <c r="T74" s="81"/>
    </row>
    <row r="75" spans="15:20" ht="12" customHeight="1" x14ac:dyDescent="0.3">
      <c r="O75" s="81"/>
      <c r="P75" s="81"/>
      <c r="Q75" s="81"/>
      <c r="R75" s="81"/>
      <c r="S75" s="81"/>
      <c r="T75" s="81"/>
    </row>
    <row r="76" spans="15:20" ht="12" customHeight="1" x14ac:dyDescent="0.3">
      <c r="O76" s="81"/>
      <c r="P76" s="81"/>
      <c r="Q76" s="81"/>
      <c r="R76" s="81"/>
      <c r="S76" s="81"/>
      <c r="T76" s="81"/>
    </row>
    <row r="77" spans="15:20" ht="12" customHeight="1" x14ac:dyDescent="0.3">
      <c r="O77" s="81"/>
      <c r="P77" s="81"/>
      <c r="Q77" s="81"/>
      <c r="R77" s="81"/>
      <c r="S77" s="81"/>
      <c r="T77" s="81"/>
    </row>
    <row r="78" spans="15:20" ht="12" customHeight="1" x14ac:dyDescent="0.3">
      <c r="O78" s="81"/>
      <c r="P78" s="81"/>
      <c r="Q78" s="81"/>
      <c r="R78" s="81"/>
      <c r="S78" s="81"/>
      <c r="T78" s="81"/>
    </row>
    <row r="79" spans="15:20" ht="12" customHeight="1" x14ac:dyDescent="0.3">
      <c r="O79" s="81"/>
      <c r="P79" s="81"/>
      <c r="Q79" s="81"/>
      <c r="R79" s="81"/>
      <c r="S79" s="81"/>
      <c r="T79" s="81"/>
    </row>
    <row r="80" spans="15:20" ht="12" customHeight="1" x14ac:dyDescent="0.3">
      <c r="O80" s="81"/>
      <c r="P80" s="81"/>
      <c r="Q80" s="81"/>
      <c r="R80" s="81"/>
      <c r="S80" s="81"/>
      <c r="T80" s="81"/>
    </row>
    <row r="81" spans="15:20" ht="12" customHeight="1" x14ac:dyDescent="0.3">
      <c r="O81" s="81"/>
      <c r="P81" s="81"/>
      <c r="Q81" s="81"/>
      <c r="R81" s="81"/>
      <c r="S81" s="81"/>
      <c r="T81" s="81"/>
    </row>
    <row r="82" spans="15:20" ht="12" customHeight="1" x14ac:dyDescent="0.3">
      <c r="O82" s="81"/>
      <c r="P82" s="81"/>
      <c r="Q82" s="81"/>
      <c r="R82" s="81"/>
      <c r="S82" s="81"/>
      <c r="T82" s="81"/>
    </row>
    <row r="83" spans="15:20" ht="12" customHeight="1" x14ac:dyDescent="0.3">
      <c r="O83" s="81"/>
      <c r="P83" s="81"/>
      <c r="Q83" s="81"/>
      <c r="R83" s="81"/>
      <c r="S83" s="81"/>
      <c r="T83" s="81"/>
    </row>
    <row r="84" spans="15:20" ht="12" customHeight="1" x14ac:dyDescent="0.3">
      <c r="O84" s="81"/>
      <c r="P84" s="81"/>
      <c r="Q84" s="81"/>
      <c r="R84" s="81"/>
      <c r="S84" s="81"/>
      <c r="T84" s="81"/>
    </row>
    <row r="85" spans="15:20" ht="12" customHeight="1" x14ac:dyDescent="0.3">
      <c r="O85" s="81"/>
      <c r="P85" s="81"/>
      <c r="Q85" s="81"/>
      <c r="R85" s="81"/>
      <c r="S85" s="81"/>
      <c r="T85" s="81"/>
    </row>
    <row r="86" spans="15:20" ht="12" customHeight="1" x14ac:dyDescent="0.3">
      <c r="O86" s="81"/>
      <c r="P86" s="81"/>
      <c r="Q86" s="81"/>
      <c r="R86" s="81"/>
      <c r="S86" s="81"/>
      <c r="T86" s="81"/>
    </row>
    <row r="87" spans="15:20" ht="12" customHeight="1" x14ac:dyDescent="0.3">
      <c r="O87" s="81"/>
      <c r="P87" s="81"/>
      <c r="Q87" s="81"/>
      <c r="R87" s="81"/>
      <c r="S87" s="81"/>
      <c r="T87" s="81"/>
    </row>
    <row r="88" spans="15:20" ht="12" customHeight="1" x14ac:dyDescent="0.3">
      <c r="O88" s="81"/>
      <c r="P88" s="81"/>
      <c r="Q88" s="81"/>
      <c r="R88" s="81"/>
      <c r="S88" s="81"/>
      <c r="T88" s="81"/>
    </row>
    <row r="89" spans="15:20" ht="12" customHeight="1" x14ac:dyDescent="0.3">
      <c r="O89" s="81"/>
      <c r="P89" s="81"/>
      <c r="Q89" s="81"/>
      <c r="R89" s="81"/>
      <c r="S89" s="81"/>
      <c r="T89" s="81"/>
    </row>
    <row r="90" spans="15:20" ht="12" customHeight="1" x14ac:dyDescent="0.3">
      <c r="O90" s="81"/>
      <c r="P90" s="81"/>
      <c r="Q90" s="81"/>
      <c r="R90" s="81"/>
      <c r="S90" s="81"/>
      <c r="T90" s="81"/>
    </row>
    <row r="91" spans="15:20" ht="12" customHeight="1" x14ac:dyDescent="0.3">
      <c r="O91" s="81"/>
      <c r="P91" s="81"/>
      <c r="Q91" s="81"/>
      <c r="R91" s="81"/>
      <c r="S91" s="81"/>
      <c r="T91" s="81"/>
    </row>
    <row r="92" spans="15:20" ht="12" customHeight="1" x14ac:dyDescent="0.3">
      <c r="O92" s="81"/>
      <c r="P92" s="81"/>
      <c r="Q92" s="81"/>
      <c r="R92" s="81"/>
      <c r="S92" s="81"/>
      <c r="T92" s="81"/>
    </row>
    <row r="93" spans="15:20" ht="12" customHeight="1" x14ac:dyDescent="0.3">
      <c r="O93" s="81"/>
      <c r="P93" s="81"/>
      <c r="Q93" s="81"/>
      <c r="R93" s="81"/>
      <c r="S93" s="81"/>
      <c r="T93" s="81"/>
    </row>
    <row r="94" spans="15:20" ht="12" customHeight="1" x14ac:dyDescent="0.3">
      <c r="O94" s="81"/>
      <c r="P94" s="81"/>
      <c r="Q94" s="81"/>
      <c r="R94" s="81"/>
      <c r="S94" s="81"/>
      <c r="T94" s="81"/>
    </row>
    <row r="95" spans="15:20" ht="12" customHeight="1" x14ac:dyDescent="0.3">
      <c r="O95" s="81"/>
      <c r="P95" s="81"/>
      <c r="Q95" s="81"/>
      <c r="R95" s="81"/>
      <c r="S95" s="81"/>
      <c r="T95" s="81"/>
    </row>
    <row r="96" spans="15:20" ht="12" customHeight="1" x14ac:dyDescent="0.3">
      <c r="O96" s="81"/>
      <c r="P96" s="81"/>
      <c r="Q96" s="81"/>
      <c r="R96" s="81"/>
      <c r="S96" s="81"/>
      <c r="T96" s="81"/>
    </row>
    <row r="97" spans="15:30" ht="12" customHeight="1" x14ac:dyDescent="0.3">
      <c r="O97" s="81"/>
      <c r="P97" s="81"/>
      <c r="Q97" s="81"/>
      <c r="R97" s="81"/>
      <c r="S97" s="81"/>
      <c r="T97" s="81"/>
    </row>
    <row r="98" spans="15:30" ht="12" customHeight="1" x14ac:dyDescent="0.3">
      <c r="O98" s="81"/>
      <c r="P98" s="81"/>
      <c r="Q98" s="81"/>
      <c r="R98" s="81"/>
      <c r="S98" s="81"/>
      <c r="T98" s="81"/>
    </row>
    <row r="99" spans="15:30" ht="12" customHeight="1" x14ac:dyDescent="0.3">
      <c r="O99" s="80"/>
      <c r="P99" s="80"/>
      <c r="Q99" s="80"/>
      <c r="R99" s="80"/>
      <c r="S99" s="80"/>
      <c r="T99" s="80"/>
    </row>
    <row r="100" spans="15:30" ht="12" customHeight="1" x14ac:dyDescent="0.3"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</row>
    <row r="101" spans="15:30" ht="12" customHeight="1" x14ac:dyDescent="0.3">
      <c r="O101" s="81" t="s">
        <v>1332</v>
      </c>
      <c r="P101" s="81" t="s">
        <v>1338</v>
      </c>
      <c r="Q101" s="81" t="s">
        <v>1339</v>
      </c>
      <c r="R101" s="81" t="s">
        <v>1340</v>
      </c>
      <c r="S101" s="81" t="s">
        <v>1341</v>
      </c>
      <c r="T101" s="81" t="s">
        <v>1342</v>
      </c>
      <c r="U101" s="81" t="s">
        <v>1343</v>
      </c>
      <c r="V101" s="81" t="s">
        <v>1344</v>
      </c>
      <c r="W101" s="81"/>
      <c r="X101" s="81"/>
      <c r="Y101" s="81"/>
      <c r="Z101" s="81"/>
      <c r="AA101" s="81"/>
      <c r="AB101" s="81"/>
      <c r="AC101" s="81"/>
      <c r="AD101" s="81"/>
    </row>
    <row r="102" spans="15:30" ht="12" customHeight="1" x14ac:dyDescent="0.3">
      <c r="O102" s="81" t="s">
        <v>38</v>
      </c>
      <c r="P102" s="81" t="s">
        <v>83</v>
      </c>
      <c r="Q102" s="81" t="s">
        <v>39</v>
      </c>
      <c r="R102" s="81" t="s">
        <v>43</v>
      </c>
      <c r="S102" s="81" t="s">
        <v>96</v>
      </c>
      <c r="T102" s="81" t="s">
        <v>96</v>
      </c>
      <c r="U102" s="81">
        <v>4</v>
      </c>
      <c r="V102" s="81">
        <v>0.3</v>
      </c>
      <c r="W102" s="81">
        <v>0.24</v>
      </c>
      <c r="X102" s="81">
        <v>0.18</v>
      </c>
      <c r="Y102" s="81">
        <v>0.12</v>
      </c>
      <c r="Z102" s="81">
        <v>0.06</v>
      </c>
      <c r="AA102" s="81">
        <v>0</v>
      </c>
      <c r="AB102" s="81"/>
      <c r="AC102" s="81"/>
      <c r="AD102" s="81"/>
    </row>
    <row r="103" spans="15:30" ht="12" customHeight="1" x14ac:dyDescent="0.3">
      <c r="O103" s="81" t="s">
        <v>38</v>
      </c>
      <c r="P103" s="81" t="s">
        <v>83</v>
      </c>
      <c r="Q103" s="81" t="s">
        <v>39</v>
      </c>
      <c r="R103" s="81" t="s">
        <v>43</v>
      </c>
      <c r="S103" s="81" t="s">
        <v>96</v>
      </c>
      <c r="T103" s="81" t="s">
        <v>743</v>
      </c>
      <c r="U103" s="81">
        <v>4</v>
      </c>
      <c r="V103" s="81">
        <v>0.3</v>
      </c>
      <c r="W103" s="81">
        <v>0.24</v>
      </c>
      <c r="X103" s="81">
        <v>0.18</v>
      </c>
      <c r="Y103" s="81">
        <v>0.12</v>
      </c>
      <c r="Z103" s="81">
        <v>0.06</v>
      </c>
      <c r="AA103" s="81">
        <v>0</v>
      </c>
      <c r="AB103" s="81"/>
      <c r="AC103" s="81"/>
      <c r="AD103" s="81"/>
    </row>
    <row r="104" spans="15:30" ht="12" customHeight="1" x14ac:dyDescent="0.3">
      <c r="O104" s="81" t="s">
        <v>38</v>
      </c>
      <c r="P104" s="81" t="s">
        <v>83</v>
      </c>
      <c r="Q104" s="81" t="s">
        <v>39</v>
      </c>
      <c r="R104" s="81" t="s">
        <v>43</v>
      </c>
      <c r="S104" s="81" t="s">
        <v>25</v>
      </c>
      <c r="T104" s="81" t="s">
        <v>744</v>
      </c>
      <c r="U104" s="81">
        <v>4</v>
      </c>
      <c r="V104" s="81">
        <v>0.1</v>
      </c>
      <c r="W104" s="81">
        <v>0.08</v>
      </c>
      <c r="X104" s="81">
        <v>0.06</v>
      </c>
      <c r="Y104" s="81">
        <v>0.04</v>
      </c>
      <c r="Z104" s="81">
        <v>0.02</v>
      </c>
      <c r="AA104" s="81">
        <v>0</v>
      </c>
      <c r="AB104" s="81"/>
      <c r="AC104" s="81"/>
      <c r="AD104" s="81"/>
    </row>
    <row r="105" spans="15:30" ht="12" customHeight="1" x14ac:dyDescent="0.3">
      <c r="O105" s="81" t="s">
        <v>38</v>
      </c>
      <c r="P105" s="81" t="s">
        <v>83</v>
      </c>
      <c r="Q105" s="81" t="s">
        <v>39</v>
      </c>
      <c r="R105" s="81" t="s">
        <v>48</v>
      </c>
      <c r="S105" s="81" t="s">
        <v>49</v>
      </c>
      <c r="T105" s="81" t="s">
        <v>743</v>
      </c>
      <c r="U105" s="81">
        <v>4</v>
      </c>
      <c r="V105" s="81">
        <v>0.15</v>
      </c>
      <c r="W105" s="81">
        <v>0.12</v>
      </c>
      <c r="X105" s="81">
        <v>0.09</v>
      </c>
      <c r="Y105" s="81">
        <v>0.06</v>
      </c>
      <c r="Z105" s="81">
        <v>0.03</v>
      </c>
      <c r="AA105" s="81">
        <v>0</v>
      </c>
      <c r="AB105" s="81"/>
      <c r="AC105" s="81"/>
      <c r="AD105" s="81"/>
    </row>
    <row r="106" spans="15:30" ht="12" customHeight="1" x14ac:dyDescent="0.3">
      <c r="O106" s="81" t="s">
        <v>38</v>
      </c>
      <c r="P106" s="81" t="s">
        <v>33</v>
      </c>
      <c r="Q106" s="81" t="s">
        <v>42</v>
      </c>
      <c r="R106" s="81" t="s">
        <v>43</v>
      </c>
      <c r="S106" s="81" t="s">
        <v>96</v>
      </c>
      <c r="T106" s="81" t="s">
        <v>743</v>
      </c>
      <c r="U106" s="81">
        <v>4</v>
      </c>
      <c r="V106" s="81">
        <v>0.4</v>
      </c>
      <c r="W106" s="81">
        <v>0.31999999999999995</v>
      </c>
      <c r="X106" s="81">
        <v>0.23999999999999996</v>
      </c>
      <c r="Y106" s="81">
        <v>0.15999999999999998</v>
      </c>
      <c r="Z106" s="81">
        <v>7.9999999999999988E-2</v>
      </c>
      <c r="AA106" s="81">
        <v>0</v>
      </c>
      <c r="AB106" s="81"/>
      <c r="AC106" s="81"/>
      <c r="AD106" s="81"/>
    </row>
    <row r="107" spans="15:30" ht="12" customHeight="1" x14ac:dyDescent="0.3">
      <c r="O107" s="81" t="s">
        <v>38</v>
      </c>
      <c r="P107" s="81" t="s">
        <v>33</v>
      </c>
      <c r="Q107" s="81" t="s">
        <v>42</v>
      </c>
      <c r="R107" s="81" t="s">
        <v>43</v>
      </c>
      <c r="S107" s="81" t="s">
        <v>25</v>
      </c>
      <c r="T107" s="81" t="s">
        <v>743</v>
      </c>
      <c r="U107" s="81">
        <v>4</v>
      </c>
      <c r="V107" s="81">
        <v>0.3</v>
      </c>
      <c r="W107" s="81">
        <v>0.24</v>
      </c>
      <c r="X107" s="81">
        <v>0.18</v>
      </c>
      <c r="Y107" s="81">
        <v>0.12</v>
      </c>
      <c r="Z107" s="81">
        <v>0.06</v>
      </c>
      <c r="AA107" s="81">
        <v>0</v>
      </c>
      <c r="AB107" s="81"/>
      <c r="AC107" s="81"/>
      <c r="AD107" s="81"/>
    </row>
    <row r="108" spans="15:30" ht="12" customHeight="1" x14ac:dyDescent="0.3">
      <c r="O108" s="81" t="s">
        <v>38</v>
      </c>
      <c r="P108" s="81" t="s">
        <v>33</v>
      </c>
      <c r="Q108" s="81" t="s">
        <v>42</v>
      </c>
      <c r="R108" s="81" t="s">
        <v>43</v>
      </c>
      <c r="S108" s="81" t="s">
        <v>25</v>
      </c>
      <c r="T108" s="81" t="s">
        <v>43</v>
      </c>
      <c r="U108" s="81">
        <v>4</v>
      </c>
      <c r="V108" s="81">
        <v>0.3</v>
      </c>
      <c r="W108" s="81">
        <v>0.24</v>
      </c>
      <c r="X108" s="81">
        <v>0.18</v>
      </c>
      <c r="Y108" s="81">
        <v>0.12</v>
      </c>
      <c r="Z108" s="81">
        <v>0.06</v>
      </c>
      <c r="AA108" s="81">
        <v>0</v>
      </c>
      <c r="AB108" s="81"/>
      <c r="AC108" s="81"/>
      <c r="AD108" s="81"/>
    </row>
    <row r="109" spans="15:30" ht="12" customHeight="1" x14ac:dyDescent="0.3">
      <c r="O109" s="81" t="s">
        <v>38</v>
      </c>
      <c r="P109" s="81" t="s">
        <v>33</v>
      </c>
      <c r="Q109" s="81" t="s">
        <v>42</v>
      </c>
      <c r="R109" s="81" t="s">
        <v>43</v>
      </c>
      <c r="S109" s="81" t="s">
        <v>97</v>
      </c>
      <c r="T109" s="81" t="s">
        <v>743</v>
      </c>
      <c r="U109" s="81">
        <v>4</v>
      </c>
      <c r="V109" s="81">
        <v>0.4</v>
      </c>
      <c r="W109" s="81">
        <v>0.32</v>
      </c>
      <c r="X109" s="81">
        <v>0.24</v>
      </c>
      <c r="Y109" s="81">
        <v>0.16</v>
      </c>
      <c r="Z109" s="81">
        <v>0.08</v>
      </c>
      <c r="AA109" s="81">
        <v>0</v>
      </c>
      <c r="AB109" s="81"/>
      <c r="AC109" s="81"/>
      <c r="AD109" s="81"/>
    </row>
    <row r="110" spans="15:30" ht="12" customHeight="1" x14ac:dyDescent="0.3">
      <c r="O110" s="81" t="s">
        <v>38</v>
      </c>
      <c r="P110" s="81" t="s">
        <v>33</v>
      </c>
      <c r="Q110" s="81" t="s">
        <v>37</v>
      </c>
      <c r="R110" s="81" t="s">
        <v>48</v>
      </c>
      <c r="S110" s="81" t="s">
        <v>49</v>
      </c>
      <c r="T110" s="81" t="s">
        <v>743</v>
      </c>
      <c r="U110" s="81">
        <v>4</v>
      </c>
      <c r="V110" s="81">
        <v>0.15</v>
      </c>
      <c r="W110" s="81">
        <v>0.12</v>
      </c>
      <c r="X110" s="81">
        <v>0.09</v>
      </c>
      <c r="Y110" s="81">
        <v>0.06</v>
      </c>
      <c r="Z110" s="81">
        <v>0.03</v>
      </c>
      <c r="AA110" s="81">
        <v>0</v>
      </c>
      <c r="AB110" s="81"/>
      <c r="AC110" s="81"/>
      <c r="AD110" s="81"/>
    </row>
    <row r="111" spans="15:30" ht="12" customHeight="1" x14ac:dyDescent="0.3">
      <c r="O111" s="81" t="s">
        <v>38</v>
      </c>
      <c r="P111" s="81" t="s">
        <v>23</v>
      </c>
      <c r="Q111" s="81" t="s">
        <v>39</v>
      </c>
      <c r="R111" s="81" t="s">
        <v>43</v>
      </c>
      <c r="S111" s="81" t="s">
        <v>96</v>
      </c>
      <c r="T111" s="81" t="s">
        <v>743</v>
      </c>
      <c r="U111" s="81">
        <v>4</v>
      </c>
      <c r="V111" s="81">
        <v>0.3</v>
      </c>
      <c r="W111" s="81">
        <v>0.24</v>
      </c>
      <c r="X111" s="81">
        <v>0.18</v>
      </c>
      <c r="Y111" s="81">
        <v>0.12</v>
      </c>
      <c r="Z111" s="81">
        <v>0.06</v>
      </c>
      <c r="AA111" s="81">
        <v>0</v>
      </c>
      <c r="AB111" s="81"/>
      <c r="AC111" s="81"/>
      <c r="AD111" s="81"/>
    </row>
    <row r="112" spans="15:30" ht="12" customHeight="1" x14ac:dyDescent="0.3">
      <c r="O112" s="81" t="s">
        <v>38</v>
      </c>
      <c r="P112" s="81" t="s">
        <v>23</v>
      </c>
      <c r="Q112" s="81" t="s">
        <v>39</v>
      </c>
      <c r="R112" s="81" t="s">
        <v>43</v>
      </c>
      <c r="S112" s="81" t="s">
        <v>25</v>
      </c>
      <c r="T112" s="81" t="s">
        <v>744</v>
      </c>
      <c r="U112" s="81">
        <v>4</v>
      </c>
      <c r="V112" s="81">
        <v>0.1</v>
      </c>
      <c r="W112" s="81">
        <v>0.08</v>
      </c>
      <c r="X112" s="81">
        <v>0.06</v>
      </c>
      <c r="Y112" s="81">
        <v>0.04</v>
      </c>
      <c r="Z112" s="81">
        <v>0.02</v>
      </c>
      <c r="AA112" s="81">
        <v>0</v>
      </c>
      <c r="AB112" s="81"/>
      <c r="AC112" s="81"/>
      <c r="AD112" s="81"/>
    </row>
    <row r="113" spans="15:30" ht="12" customHeight="1" x14ac:dyDescent="0.3">
      <c r="O113" s="81" t="s">
        <v>38</v>
      </c>
      <c r="P113" s="81" t="s">
        <v>23</v>
      </c>
      <c r="Q113" s="81" t="s">
        <v>39</v>
      </c>
      <c r="R113" s="81" t="s">
        <v>48</v>
      </c>
      <c r="S113" s="81" t="s">
        <v>49</v>
      </c>
      <c r="T113" s="81" t="s">
        <v>743</v>
      </c>
      <c r="U113" s="81">
        <v>4</v>
      </c>
      <c r="V113" s="81">
        <v>0.15</v>
      </c>
      <c r="W113" s="81">
        <v>0.12</v>
      </c>
      <c r="X113" s="81">
        <v>0.09</v>
      </c>
      <c r="Y113" s="81">
        <v>0.06</v>
      </c>
      <c r="Z113" s="81">
        <v>0.03</v>
      </c>
      <c r="AA113" s="81">
        <v>0</v>
      </c>
      <c r="AB113" s="81"/>
      <c r="AC113" s="81"/>
      <c r="AD113" s="81"/>
    </row>
    <row r="114" spans="15:30" ht="12" customHeight="1" x14ac:dyDescent="0.3">
      <c r="O114" s="81" t="s">
        <v>38</v>
      </c>
      <c r="P114" s="81" t="s">
        <v>23</v>
      </c>
      <c r="Q114" s="81" t="s">
        <v>42</v>
      </c>
      <c r="R114" s="81" t="s">
        <v>43</v>
      </c>
      <c r="S114" s="81" t="s">
        <v>96</v>
      </c>
      <c r="T114" s="81" t="s">
        <v>96</v>
      </c>
      <c r="U114" s="81">
        <v>4</v>
      </c>
      <c r="V114" s="81">
        <v>0.4</v>
      </c>
      <c r="W114" s="81">
        <v>0.31999999999999995</v>
      </c>
      <c r="X114" s="81">
        <v>0.23999999999999996</v>
      </c>
      <c r="Y114" s="81">
        <v>0.15999999999999998</v>
      </c>
      <c r="Z114" s="81">
        <v>7.9999999999999988E-2</v>
      </c>
      <c r="AA114" s="81">
        <v>0</v>
      </c>
      <c r="AB114" s="81"/>
      <c r="AC114" s="81"/>
      <c r="AD114" s="81"/>
    </row>
    <row r="115" spans="15:30" ht="12" customHeight="1" x14ac:dyDescent="0.3">
      <c r="O115" s="81" t="s">
        <v>38</v>
      </c>
      <c r="P115" s="81" t="s">
        <v>23</v>
      </c>
      <c r="Q115" s="81" t="s">
        <v>42</v>
      </c>
      <c r="R115" s="81" t="s">
        <v>43</v>
      </c>
      <c r="S115" s="81" t="s">
        <v>96</v>
      </c>
      <c r="T115" s="81" t="s">
        <v>743</v>
      </c>
      <c r="U115" s="81">
        <v>4</v>
      </c>
      <c r="V115" s="81">
        <v>0.4</v>
      </c>
      <c r="W115" s="81">
        <v>0.31999999999999995</v>
      </c>
      <c r="X115" s="81">
        <v>0.23999999999999996</v>
      </c>
      <c r="Y115" s="81">
        <v>0.15999999999999998</v>
      </c>
      <c r="Z115" s="81">
        <v>7.9999999999999988E-2</v>
      </c>
      <c r="AA115" s="81">
        <v>0</v>
      </c>
      <c r="AB115" s="81"/>
      <c r="AC115" s="81"/>
      <c r="AD115" s="81"/>
    </row>
    <row r="116" spans="15:30" ht="12" customHeight="1" x14ac:dyDescent="0.3">
      <c r="O116" s="81" t="s">
        <v>38</v>
      </c>
      <c r="P116" s="81" t="s">
        <v>23</v>
      </c>
      <c r="Q116" s="81" t="s">
        <v>42</v>
      </c>
      <c r="R116" s="81" t="s">
        <v>43</v>
      </c>
      <c r="S116" s="81" t="s">
        <v>25</v>
      </c>
      <c r="T116" s="81" t="s">
        <v>743</v>
      </c>
      <c r="U116" s="81">
        <v>4</v>
      </c>
      <c r="V116" s="81">
        <v>0.3</v>
      </c>
      <c r="W116" s="81">
        <v>0.24</v>
      </c>
      <c r="X116" s="81">
        <v>0.18</v>
      </c>
      <c r="Y116" s="81">
        <v>0.12</v>
      </c>
      <c r="Z116" s="81">
        <v>0.06</v>
      </c>
      <c r="AA116" s="81">
        <v>0</v>
      </c>
      <c r="AB116" s="81"/>
      <c r="AC116" s="81"/>
      <c r="AD116" s="81"/>
    </row>
    <row r="117" spans="15:30" ht="12" customHeight="1" x14ac:dyDescent="0.3">
      <c r="O117" s="81" t="s">
        <v>38</v>
      </c>
      <c r="P117" s="81" t="s">
        <v>23</v>
      </c>
      <c r="Q117" s="81" t="s">
        <v>42</v>
      </c>
      <c r="R117" s="81" t="s">
        <v>43</v>
      </c>
      <c r="S117" s="81" t="s">
        <v>25</v>
      </c>
      <c r="T117" s="81" t="s">
        <v>43</v>
      </c>
      <c r="U117" s="81">
        <v>4</v>
      </c>
      <c r="V117" s="81">
        <v>0.3</v>
      </c>
      <c r="W117" s="81">
        <v>0.24</v>
      </c>
      <c r="X117" s="81">
        <v>0.18</v>
      </c>
      <c r="Y117" s="81">
        <v>0.12</v>
      </c>
      <c r="Z117" s="81">
        <v>0.06</v>
      </c>
      <c r="AA117" s="81">
        <v>0</v>
      </c>
      <c r="AB117" s="81"/>
      <c r="AC117" s="81"/>
      <c r="AD117" s="81"/>
    </row>
    <row r="118" spans="15:30" ht="12" customHeight="1" x14ac:dyDescent="0.3">
      <c r="O118" s="81" t="s">
        <v>38</v>
      </c>
      <c r="P118" s="81" t="s">
        <v>23</v>
      </c>
      <c r="Q118" s="81" t="s">
        <v>42</v>
      </c>
      <c r="R118" s="81" t="s">
        <v>43</v>
      </c>
      <c r="S118" s="81" t="s">
        <v>97</v>
      </c>
      <c r="T118" s="81" t="s">
        <v>743</v>
      </c>
      <c r="U118" s="81">
        <v>4</v>
      </c>
      <c r="V118" s="81">
        <v>0.4</v>
      </c>
      <c r="W118" s="81">
        <v>0.32</v>
      </c>
      <c r="X118" s="81">
        <v>0.24</v>
      </c>
      <c r="Y118" s="81">
        <v>0.16</v>
      </c>
      <c r="Z118" s="81">
        <v>0.08</v>
      </c>
      <c r="AA118" s="81">
        <v>0</v>
      </c>
      <c r="AB118" s="81"/>
      <c r="AC118" s="81"/>
      <c r="AD118" s="81"/>
    </row>
    <row r="119" spans="15:30" ht="12" customHeight="1" x14ac:dyDescent="0.3">
      <c r="O119" s="81" t="s">
        <v>38</v>
      </c>
      <c r="P119" s="81" t="s">
        <v>23</v>
      </c>
      <c r="Q119" s="81" t="s">
        <v>37</v>
      </c>
      <c r="R119" s="81" t="s">
        <v>48</v>
      </c>
      <c r="S119" s="81" t="s">
        <v>49</v>
      </c>
      <c r="T119" s="81" t="s">
        <v>743</v>
      </c>
      <c r="U119" s="81">
        <v>4</v>
      </c>
      <c r="V119" s="81">
        <v>0.15</v>
      </c>
      <c r="W119" s="81">
        <v>0.12</v>
      </c>
      <c r="X119" s="81">
        <v>0.09</v>
      </c>
      <c r="Y119" s="81">
        <v>0.06</v>
      </c>
      <c r="Z119" s="81">
        <v>0.03</v>
      </c>
      <c r="AA119" s="81">
        <v>0</v>
      </c>
      <c r="AB119" s="81"/>
      <c r="AC119" s="81"/>
      <c r="AD119" s="81"/>
    </row>
    <row r="120" spans="15:30" ht="12" customHeight="1" x14ac:dyDescent="0.3">
      <c r="O120" s="81" t="s">
        <v>38</v>
      </c>
      <c r="P120" s="81" t="s">
        <v>40</v>
      </c>
      <c r="Q120" s="81" t="s">
        <v>39</v>
      </c>
      <c r="R120" s="81" t="s">
        <v>43</v>
      </c>
      <c r="S120" s="81" t="s">
        <v>96</v>
      </c>
      <c r="T120" s="81" t="s">
        <v>743</v>
      </c>
      <c r="U120" s="81">
        <v>4</v>
      </c>
      <c r="V120" s="81">
        <v>0.3</v>
      </c>
      <c r="W120" s="81">
        <v>0.24</v>
      </c>
      <c r="X120" s="81">
        <v>0.18</v>
      </c>
      <c r="Y120" s="81">
        <v>0.12</v>
      </c>
      <c r="Z120" s="81">
        <v>0.06</v>
      </c>
      <c r="AA120" s="81">
        <v>0</v>
      </c>
      <c r="AB120" s="81"/>
      <c r="AC120" s="81"/>
      <c r="AD120" s="81"/>
    </row>
    <row r="121" spans="15:30" ht="12" customHeight="1" x14ac:dyDescent="0.3">
      <c r="O121" s="81" t="s">
        <v>38</v>
      </c>
      <c r="P121" s="81" t="s">
        <v>40</v>
      </c>
      <c r="Q121" s="81" t="s">
        <v>39</v>
      </c>
      <c r="R121" s="81" t="s">
        <v>43</v>
      </c>
      <c r="S121" s="81" t="s">
        <v>25</v>
      </c>
      <c r="T121" s="81" t="s">
        <v>744</v>
      </c>
      <c r="U121" s="81">
        <v>4</v>
      </c>
      <c r="V121" s="81">
        <v>0.1</v>
      </c>
      <c r="W121" s="81">
        <v>0.08</v>
      </c>
      <c r="X121" s="81">
        <v>0.06</v>
      </c>
      <c r="Y121" s="81">
        <v>0.04</v>
      </c>
      <c r="Z121" s="81">
        <v>0.02</v>
      </c>
      <c r="AA121" s="81">
        <v>0</v>
      </c>
      <c r="AB121" s="81"/>
      <c r="AC121" s="81"/>
      <c r="AD121" s="81"/>
    </row>
    <row r="122" spans="15:30" ht="12" customHeight="1" x14ac:dyDescent="0.3">
      <c r="O122" s="81" t="s">
        <v>38</v>
      </c>
      <c r="P122" s="81" t="s">
        <v>40</v>
      </c>
      <c r="Q122" s="81" t="s">
        <v>39</v>
      </c>
      <c r="R122" s="81" t="s">
        <v>48</v>
      </c>
      <c r="S122" s="81" t="s">
        <v>49</v>
      </c>
      <c r="T122" s="81" t="s">
        <v>743</v>
      </c>
      <c r="U122" s="81">
        <v>4</v>
      </c>
      <c r="V122" s="81">
        <v>0.15</v>
      </c>
      <c r="W122" s="81">
        <v>0.12</v>
      </c>
      <c r="X122" s="81">
        <v>0.09</v>
      </c>
      <c r="Y122" s="81">
        <v>0.06</v>
      </c>
      <c r="Z122" s="81">
        <v>0.03</v>
      </c>
      <c r="AA122" s="81">
        <v>0</v>
      </c>
      <c r="AB122" s="81"/>
      <c r="AC122" s="81"/>
      <c r="AD122" s="81"/>
    </row>
    <row r="123" spans="15:30" ht="12" customHeight="1" x14ac:dyDescent="0.3">
      <c r="O123" s="81"/>
      <c r="P123" s="81"/>
      <c r="Q123" s="81"/>
      <c r="R123" s="81"/>
      <c r="S123" s="81"/>
      <c r="T123" s="81"/>
      <c r="U123" s="81"/>
      <c r="V123" s="81"/>
      <c r="W123" s="81"/>
      <c r="X123" s="81"/>
      <c r="Y123" s="81"/>
      <c r="Z123" s="81"/>
      <c r="AA123" s="81"/>
      <c r="AB123" s="81"/>
      <c r="AC123" s="81"/>
      <c r="AD123" s="81"/>
    </row>
    <row r="124" spans="15:30" ht="12" customHeight="1" x14ac:dyDescent="0.3"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</row>
    <row r="125" spans="15:30" ht="12" customHeight="1" x14ac:dyDescent="0.3">
      <c r="O125" s="81"/>
      <c r="P125" s="81"/>
      <c r="Q125" s="81"/>
      <c r="R125" s="81"/>
      <c r="S125" s="81"/>
      <c r="T125" s="81"/>
      <c r="U125" s="81"/>
      <c r="V125" s="81"/>
      <c r="W125" s="81"/>
      <c r="X125" s="81"/>
      <c r="Y125" s="81"/>
      <c r="Z125" s="81"/>
      <c r="AA125" s="81"/>
      <c r="AB125" s="81"/>
      <c r="AC125" s="81"/>
      <c r="AD125" s="81"/>
    </row>
    <row r="126" spans="15:30" ht="12" customHeight="1" x14ac:dyDescent="0.3">
      <c r="O126" s="81"/>
      <c r="P126" s="81"/>
      <c r="Q126" s="81"/>
      <c r="R126" s="81"/>
      <c r="S126" s="81"/>
      <c r="T126" s="81"/>
      <c r="U126" s="81"/>
      <c r="V126" s="81"/>
      <c r="W126" s="81"/>
      <c r="X126" s="81"/>
      <c r="Y126" s="81"/>
      <c r="Z126" s="81"/>
      <c r="AA126" s="81"/>
      <c r="AB126" s="81"/>
      <c r="AC126" s="81"/>
      <c r="AD126" s="81"/>
    </row>
    <row r="127" spans="15:30" ht="12" customHeight="1" x14ac:dyDescent="0.3"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</row>
    <row r="128" spans="15:30" ht="12" customHeight="1" x14ac:dyDescent="0.3">
      <c r="O128" s="81"/>
      <c r="P128" s="81"/>
      <c r="Q128" s="81"/>
      <c r="R128" s="81"/>
      <c r="S128" s="81"/>
      <c r="T128" s="81"/>
      <c r="U128" s="81"/>
      <c r="V128" s="81"/>
      <c r="W128" s="81"/>
      <c r="X128" s="81"/>
      <c r="Y128" s="81"/>
      <c r="Z128" s="81"/>
      <c r="AA128" s="81"/>
      <c r="AB128" s="81"/>
      <c r="AC128" s="81"/>
      <c r="AD128" s="81"/>
    </row>
    <row r="129" spans="15:30" ht="12" customHeight="1" x14ac:dyDescent="0.3"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  <c r="AB129" s="81"/>
      <c r="AC129" s="81"/>
      <c r="AD129" s="81"/>
    </row>
    <row r="130" spans="15:30" ht="12" customHeight="1" x14ac:dyDescent="0.3"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</row>
    <row r="131" spans="15:30" ht="12" customHeight="1" x14ac:dyDescent="0.3"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1"/>
      <c r="AA131" s="81"/>
      <c r="AB131" s="81"/>
      <c r="AC131" s="81"/>
      <c r="AD131" s="81"/>
    </row>
    <row r="132" spans="15:30" ht="12" customHeight="1" x14ac:dyDescent="0.3">
      <c r="O132" s="81"/>
      <c r="P132" s="81"/>
      <c r="Q132" s="81"/>
      <c r="R132" s="81"/>
      <c r="S132" s="81"/>
      <c r="T132" s="81"/>
      <c r="U132" s="81"/>
      <c r="V132" s="81"/>
      <c r="W132" s="81"/>
      <c r="X132" s="81"/>
      <c r="Y132" s="81"/>
      <c r="Z132" s="81"/>
      <c r="AA132" s="81"/>
      <c r="AB132" s="81"/>
      <c r="AC132" s="81"/>
      <c r="AD132" s="81"/>
    </row>
    <row r="133" spans="15:30" ht="12" customHeight="1" x14ac:dyDescent="0.3"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</row>
    <row r="134" spans="15:30" ht="12" customHeight="1" x14ac:dyDescent="0.3">
      <c r="O134" s="81"/>
      <c r="P134" s="81"/>
      <c r="Q134" s="81"/>
      <c r="R134" s="81"/>
      <c r="S134" s="81"/>
      <c r="T134" s="81"/>
      <c r="U134" s="81"/>
      <c r="V134" s="81"/>
      <c r="W134" s="81"/>
      <c r="X134" s="81"/>
      <c r="Y134" s="81"/>
      <c r="Z134" s="81"/>
      <c r="AA134" s="81"/>
      <c r="AB134" s="81"/>
      <c r="AC134" s="81"/>
      <c r="AD134" s="81"/>
    </row>
    <row r="135" spans="15:30" ht="12" customHeight="1" x14ac:dyDescent="0.3">
      <c r="O135" s="81"/>
      <c r="P135" s="81"/>
      <c r="Q135" s="81"/>
      <c r="R135" s="81"/>
      <c r="S135" s="81"/>
      <c r="T135" s="81"/>
      <c r="U135" s="81"/>
      <c r="V135" s="81"/>
      <c r="W135" s="81"/>
      <c r="X135" s="81"/>
      <c r="Y135" s="81"/>
      <c r="Z135" s="81"/>
      <c r="AA135" s="81"/>
      <c r="AB135" s="81"/>
      <c r="AC135" s="81"/>
      <c r="AD135" s="81"/>
    </row>
    <row r="136" spans="15:30" ht="12" customHeight="1" x14ac:dyDescent="0.3"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</row>
    <row r="137" spans="15:30" ht="12" customHeight="1" x14ac:dyDescent="0.3">
      <c r="O137" s="81"/>
      <c r="P137" s="81"/>
      <c r="Q137" s="81"/>
      <c r="R137" s="81"/>
      <c r="S137" s="81"/>
      <c r="T137" s="81"/>
      <c r="U137" s="81"/>
      <c r="V137" s="81"/>
      <c r="W137" s="81"/>
      <c r="X137" s="81"/>
      <c r="Y137" s="81"/>
      <c r="Z137" s="81"/>
      <c r="AA137" s="81"/>
      <c r="AB137" s="81"/>
      <c r="AC137" s="81"/>
      <c r="AD137" s="81"/>
    </row>
    <row r="138" spans="15:30" ht="12" customHeight="1" x14ac:dyDescent="0.3">
      <c r="O138" s="81"/>
      <c r="P138" s="81"/>
      <c r="Q138" s="81"/>
      <c r="R138" s="81"/>
      <c r="S138" s="81"/>
      <c r="T138" s="81"/>
      <c r="U138" s="81"/>
      <c r="V138" s="81"/>
      <c r="W138" s="81"/>
      <c r="X138" s="81"/>
      <c r="Y138" s="81"/>
      <c r="Z138" s="81"/>
      <c r="AA138" s="81"/>
      <c r="AB138" s="81"/>
      <c r="AC138" s="81"/>
      <c r="AD138" s="81"/>
    </row>
    <row r="139" spans="15:30" ht="12" customHeight="1" x14ac:dyDescent="0.3"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</row>
    <row r="140" spans="15:30" ht="12" customHeight="1" x14ac:dyDescent="0.3">
      <c r="O140" s="81"/>
      <c r="P140" s="81"/>
      <c r="Q140" s="81"/>
      <c r="R140" s="81"/>
      <c r="S140" s="81"/>
      <c r="T140" s="81"/>
      <c r="U140" s="81"/>
      <c r="V140" s="81"/>
      <c r="W140" s="81"/>
      <c r="X140" s="81"/>
      <c r="Y140" s="81"/>
      <c r="Z140" s="81"/>
      <c r="AA140" s="81"/>
      <c r="AB140" s="81"/>
      <c r="AC140" s="81"/>
      <c r="AD140" s="81"/>
    </row>
    <row r="141" spans="15:30" ht="12" customHeight="1" x14ac:dyDescent="0.3">
      <c r="O141" s="81"/>
      <c r="P141" s="81"/>
      <c r="Q141" s="81"/>
      <c r="R141" s="81"/>
      <c r="S141" s="81"/>
      <c r="T141" s="81"/>
      <c r="U141" s="81"/>
      <c r="V141" s="81"/>
      <c r="W141" s="81"/>
      <c r="X141" s="81"/>
      <c r="Y141" s="81"/>
      <c r="Z141" s="81"/>
      <c r="AA141" s="81"/>
      <c r="AB141" s="81"/>
      <c r="AC141" s="81"/>
      <c r="AD141" s="81"/>
    </row>
    <row r="142" spans="15:30" ht="12" customHeight="1" x14ac:dyDescent="0.3"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</row>
    <row r="143" spans="15:30" ht="12" customHeight="1" x14ac:dyDescent="0.3">
      <c r="O143" s="81"/>
      <c r="P143" s="81"/>
      <c r="Q143" s="81"/>
      <c r="R143" s="81"/>
      <c r="S143" s="81"/>
      <c r="T143" s="81"/>
      <c r="U143" s="81"/>
      <c r="V143" s="81"/>
      <c r="W143" s="81"/>
      <c r="X143" s="81"/>
      <c r="Y143" s="81"/>
      <c r="Z143" s="81"/>
      <c r="AA143" s="81"/>
      <c r="AB143" s="81"/>
      <c r="AC143" s="81"/>
      <c r="AD143" s="81"/>
    </row>
    <row r="144" spans="15:30" ht="12" customHeight="1" x14ac:dyDescent="0.3">
      <c r="O144" s="81"/>
      <c r="P144" s="81"/>
      <c r="Q144" s="81"/>
      <c r="R144" s="81"/>
      <c r="S144" s="81"/>
      <c r="T144" s="81"/>
      <c r="U144" s="81"/>
      <c r="V144" s="81"/>
      <c r="W144" s="81"/>
      <c r="X144" s="81"/>
      <c r="Y144" s="81"/>
      <c r="Z144" s="81"/>
      <c r="AA144" s="81"/>
      <c r="AB144" s="81"/>
      <c r="AC144" s="81"/>
      <c r="AD144" s="81"/>
    </row>
    <row r="145" spans="15:30" ht="12" customHeight="1" x14ac:dyDescent="0.3"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</row>
    <row r="146" spans="15:30" ht="12" customHeight="1" x14ac:dyDescent="0.3">
      <c r="O146" s="81"/>
      <c r="P146" s="81"/>
      <c r="Q146" s="81"/>
      <c r="R146" s="81"/>
      <c r="S146" s="81"/>
      <c r="T146" s="81"/>
      <c r="U146" s="81"/>
      <c r="V146" s="81"/>
      <c r="W146" s="81"/>
      <c r="X146" s="81"/>
      <c r="Y146" s="81"/>
      <c r="Z146" s="81"/>
      <c r="AA146" s="81"/>
      <c r="AB146" s="81"/>
      <c r="AC146" s="81"/>
      <c r="AD146" s="81"/>
    </row>
    <row r="147" spans="15:30" ht="12" customHeight="1" x14ac:dyDescent="0.3">
      <c r="O147" s="81"/>
      <c r="P147" s="81"/>
      <c r="Q147" s="81"/>
      <c r="R147" s="81"/>
      <c r="S147" s="81"/>
      <c r="T147" s="81"/>
      <c r="U147" s="81"/>
      <c r="V147" s="81"/>
      <c r="W147" s="81"/>
      <c r="X147" s="81"/>
      <c r="Y147" s="81"/>
      <c r="Z147" s="81"/>
      <c r="AA147" s="81"/>
      <c r="AB147" s="81"/>
      <c r="AC147" s="81"/>
      <c r="AD147" s="81"/>
    </row>
    <row r="148" spans="15:30" ht="12" customHeight="1" x14ac:dyDescent="0.3"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</row>
    <row r="149" spans="15:30" ht="12" customHeight="1" x14ac:dyDescent="0.3">
      <c r="O149" s="81"/>
      <c r="P149" s="81"/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  <c r="AB149" s="81"/>
      <c r="AC149" s="81"/>
      <c r="AD149" s="81"/>
    </row>
    <row r="150" spans="15:30" ht="12" customHeight="1" x14ac:dyDescent="0.3">
      <c r="O150" s="81"/>
      <c r="P150" s="81"/>
      <c r="Q150" s="81"/>
      <c r="R150" s="81"/>
      <c r="S150" s="81"/>
      <c r="T150" s="81"/>
      <c r="U150" s="81"/>
      <c r="V150" s="81"/>
      <c r="W150" s="81"/>
      <c r="X150" s="81"/>
      <c r="Y150" s="81"/>
      <c r="Z150" s="81"/>
      <c r="AA150" s="81"/>
      <c r="AB150" s="81"/>
      <c r="AC150" s="81"/>
      <c r="AD150" s="81"/>
    </row>
    <row r="151" spans="15:30" ht="12" customHeight="1" x14ac:dyDescent="0.3"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</row>
    <row r="152" spans="15:30" ht="12" customHeight="1" x14ac:dyDescent="0.3">
      <c r="O152" s="81"/>
      <c r="P152" s="81"/>
      <c r="Q152" s="81"/>
      <c r="R152" s="81"/>
      <c r="S152" s="81"/>
      <c r="T152" s="81"/>
      <c r="U152" s="81"/>
      <c r="V152" s="81"/>
      <c r="W152" s="81"/>
      <c r="X152" s="81"/>
      <c r="Y152" s="81"/>
      <c r="Z152" s="81"/>
      <c r="AA152" s="81"/>
      <c r="AB152" s="81"/>
      <c r="AC152" s="81"/>
      <c r="AD152" s="81"/>
    </row>
    <row r="153" spans="15:30" ht="12" customHeight="1" x14ac:dyDescent="0.3">
      <c r="O153" s="81"/>
      <c r="P153" s="81"/>
      <c r="Q153" s="81"/>
      <c r="R153" s="81"/>
      <c r="S153" s="81"/>
      <c r="T153" s="81"/>
      <c r="U153" s="81"/>
      <c r="V153" s="81"/>
      <c r="W153" s="81"/>
      <c r="X153" s="81"/>
      <c r="Y153" s="81"/>
      <c r="Z153" s="81"/>
      <c r="AA153" s="81"/>
      <c r="AB153" s="81"/>
      <c r="AC153" s="81"/>
      <c r="AD153" s="81"/>
    </row>
    <row r="154" spans="15:30" ht="12" customHeight="1" x14ac:dyDescent="0.3"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</row>
    <row r="155" spans="15:30" ht="12" customHeight="1" x14ac:dyDescent="0.3">
      <c r="O155" s="81"/>
      <c r="P155" s="81"/>
      <c r="Q155" s="81"/>
      <c r="R155" s="81"/>
      <c r="S155" s="81"/>
      <c r="T155" s="81"/>
      <c r="U155" s="81"/>
      <c r="V155" s="81"/>
      <c r="W155" s="81"/>
      <c r="X155" s="81"/>
      <c r="Y155" s="81"/>
      <c r="Z155" s="81"/>
      <c r="AA155" s="81"/>
      <c r="AB155" s="81"/>
      <c r="AC155" s="81"/>
      <c r="AD155" s="81"/>
    </row>
    <row r="156" spans="15:30" ht="12" customHeight="1" x14ac:dyDescent="0.3">
      <c r="O156" s="81"/>
      <c r="P156" s="81"/>
      <c r="Q156" s="81"/>
      <c r="R156" s="81"/>
      <c r="S156" s="81"/>
      <c r="T156" s="81"/>
      <c r="U156" s="81"/>
      <c r="V156" s="81"/>
      <c r="W156" s="81"/>
      <c r="X156" s="81"/>
      <c r="Y156" s="81"/>
      <c r="Z156" s="81"/>
      <c r="AA156" s="81"/>
      <c r="AB156" s="81"/>
      <c r="AC156" s="81"/>
      <c r="AD156" s="81"/>
    </row>
    <row r="157" spans="15:30" ht="12" customHeight="1" x14ac:dyDescent="0.3"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</row>
    <row r="158" spans="15:30" ht="12" customHeight="1" x14ac:dyDescent="0.3"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81"/>
      <c r="Z158" s="81"/>
      <c r="AA158" s="81"/>
      <c r="AB158" s="81"/>
      <c r="AC158" s="81"/>
      <c r="AD158" s="81"/>
    </row>
    <row r="159" spans="15:30" ht="12" customHeight="1" x14ac:dyDescent="0.3"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81"/>
      <c r="Z159" s="81"/>
      <c r="AA159" s="81"/>
      <c r="AB159" s="81"/>
      <c r="AC159" s="81"/>
      <c r="AD159" s="81"/>
    </row>
    <row r="160" spans="15:30" ht="12" customHeight="1" x14ac:dyDescent="0.3"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</row>
    <row r="161" spans="15:30" ht="12" customHeight="1" x14ac:dyDescent="0.3"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81"/>
      <c r="Z161" s="81"/>
      <c r="AA161" s="81"/>
      <c r="AB161" s="81"/>
      <c r="AC161" s="81"/>
      <c r="AD161" s="81"/>
    </row>
    <row r="162" spans="15:30" ht="12" customHeight="1" x14ac:dyDescent="0.3"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81"/>
      <c r="Z162" s="81"/>
      <c r="AA162" s="81"/>
      <c r="AB162" s="81"/>
      <c r="AC162" s="81"/>
      <c r="AD162" s="81"/>
    </row>
    <row r="163" spans="15:30" ht="12" customHeight="1" x14ac:dyDescent="0.3"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</row>
    <row r="164" spans="15:30" ht="12" customHeight="1" x14ac:dyDescent="0.3"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81"/>
      <c r="Z164" s="81"/>
      <c r="AA164" s="81"/>
      <c r="AB164" s="81"/>
      <c r="AC164" s="81"/>
      <c r="AD164" s="81"/>
    </row>
    <row r="165" spans="15:30" ht="12" customHeight="1" x14ac:dyDescent="0.3"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81"/>
      <c r="Z165" s="81"/>
      <c r="AA165" s="81"/>
      <c r="AB165" s="81"/>
      <c r="AC165" s="81"/>
      <c r="AD165" s="81"/>
    </row>
    <row r="166" spans="15:30" ht="12" customHeight="1" x14ac:dyDescent="0.3"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81"/>
      <c r="Z166" s="81"/>
      <c r="AA166" s="81"/>
      <c r="AB166" s="81"/>
      <c r="AC166" s="81"/>
      <c r="AD166" s="81"/>
    </row>
    <row r="167" spans="15:30" ht="12" customHeight="1" x14ac:dyDescent="0.3"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81"/>
      <c r="Z167" s="81"/>
      <c r="AA167" s="81"/>
      <c r="AB167" s="81"/>
      <c r="AC167" s="81"/>
      <c r="AD167" s="81"/>
    </row>
    <row r="168" spans="15:30" ht="12" customHeight="1" x14ac:dyDescent="0.3"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81"/>
      <c r="Z168" s="81"/>
      <c r="AA168" s="81"/>
      <c r="AB168" s="81"/>
      <c r="AC168" s="81"/>
      <c r="AD168" s="81"/>
    </row>
    <row r="169" spans="15:30" ht="12" customHeight="1" x14ac:dyDescent="0.3"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  <c r="AB169" s="81"/>
      <c r="AC169" s="81"/>
      <c r="AD169" s="81"/>
    </row>
    <row r="170" spans="15:30" ht="12" customHeight="1" x14ac:dyDescent="0.3"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81"/>
      <c r="Z170" s="81"/>
      <c r="AA170" s="81"/>
      <c r="AB170" s="81"/>
      <c r="AC170" s="81"/>
      <c r="AD170" s="81"/>
    </row>
    <row r="171" spans="15:30" ht="12" customHeight="1" x14ac:dyDescent="0.3"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81"/>
      <c r="Z171" s="81"/>
      <c r="AA171" s="81"/>
      <c r="AB171" s="81"/>
      <c r="AC171" s="81"/>
      <c r="AD171" s="81"/>
    </row>
    <row r="172" spans="15:30" ht="12" customHeight="1" x14ac:dyDescent="0.3"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81"/>
      <c r="Z172" s="81"/>
      <c r="AA172" s="81"/>
      <c r="AB172" s="81"/>
      <c r="AC172" s="81"/>
      <c r="AD172" s="81"/>
    </row>
    <row r="173" spans="15:30" ht="12" customHeight="1" x14ac:dyDescent="0.3"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81"/>
      <c r="Z173" s="81"/>
      <c r="AA173" s="81"/>
      <c r="AB173" s="81"/>
      <c r="AC173" s="81"/>
      <c r="AD173" s="81"/>
    </row>
    <row r="174" spans="15:30" ht="12" customHeight="1" x14ac:dyDescent="0.3"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81"/>
      <c r="Z174" s="81"/>
      <c r="AA174" s="81"/>
      <c r="AB174" s="81"/>
      <c r="AC174" s="81"/>
      <c r="AD174" s="81"/>
    </row>
    <row r="175" spans="15:30" ht="12" customHeight="1" x14ac:dyDescent="0.3"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81"/>
      <c r="Z175" s="81"/>
      <c r="AA175" s="81"/>
      <c r="AB175" s="81"/>
      <c r="AC175" s="81"/>
      <c r="AD175" s="81"/>
    </row>
    <row r="176" spans="15:30" ht="12" customHeight="1" x14ac:dyDescent="0.3"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81"/>
      <c r="Z176" s="81"/>
      <c r="AA176" s="81"/>
      <c r="AB176" s="81"/>
      <c r="AC176" s="81"/>
      <c r="AD176" s="81"/>
    </row>
    <row r="177" spans="15:30" ht="12" customHeight="1" x14ac:dyDescent="0.3"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81"/>
      <c r="Z177" s="81"/>
      <c r="AA177" s="81"/>
      <c r="AB177" s="81"/>
      <c r="AC177" s="81"/>
      <c r="AD177" s="81"/>
    </row>
    <row r="178" spans="15:30" ht="12" customHeight="1" x14ac:dyDescent="0.3"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81"/>
      <c r="Z178" s="81"/>
      <c r="AA178" s="81"/>
      <c r="AB178" s="81"/>
      <c r="AC178" s="81"/>
      <c r="AD178" s="81"/>
    </row>
    <row r="179" spans="15:30" ht="12" customHeight="1" x14ac:dyDescent="0.3"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81"/>
      <c r="Z179" s="81"/>
      <c r="AA179" s="81"/>
      <c r="AB179" s="81"/>
      <c r="AC179" s="81"/>
      <c r="AD179" s="81"/>
    </row>
    <row r="180" spans="15:30" ht="12" customHeight="1" x14ac:dyDescent="0.3"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81"/>
      <c r="Z180" s="81"/>
      <c r="AA180" s="81"/>
      <c r="AB180" s="81"/>
      <c r="AC180" s="81"/>
      <c r="AD180" s="81"/>
    </row>
    <row r="181" spans="15:30" ht="12" customHeight="1" x14ac:dyDescent="0.3"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  <c r="Z181" s="81"/>
      <c r="AA181" s="81"/>
      <c r="AB181" s="81"/>
      <c r="AC181" s="81"/>
      <c r="AD181" s="81"/>
    </row>
    <row r="182" spans="15:30" ht="12" customHeight="1" x14ac:dyDescent="0.3"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  <c r="Z182" s="81"/>
      <c r="AA182" s="81"/>
      <c r="AB182" s="81"/>
      <c r="AC182" s="81"/>
      <c r="AD182" s="81"/>
    </row>
    <row r="183" spans="15:30" ht="12" customHeight="1" x14ac:dyDescent="0.3"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  <c r="Z183" s="81"/>
      <c r="AA183" s="81"/>
      <c r="AB183" s="81"/>
      <c r="AC183" s="81"/>
      <c r="AD183" s="81"/>
    </row>
    <row r="184" spans="15:30" ht="12" customHeight="1" x14ac:dyDescent="0.3"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  <c r="Z184" s="81"/>
      <c r="AA184" s="81"/>
      <c r="AB184" s="81"/>
      <c r="AC184" s="81"/>
      <c r="AD184" s="81"/>
    </row>
    <row r="185" spans="15:30" ht="12" customHeight="1" x14ac:dyDescent="0.3"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  <c r="Z185" s="81"/>
      <c r="AA185" s="81"/>
      <c r="AB185" s="81"/>
      <c r="AC185" s="81"/>
      <c r="AD185" s="81"/>
    </row>
    <row r="186" spans="15:30" ht="12" customHeight="1" x14ac:dyDescent="0.3"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</row>
    <row r="187" spans="15:30" ht="12" customHeight="1" x14ac:dyDescent="0.3"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  <c r="Z187" s="81"/>
      <c r="AA187" s="81"/>
      <c r="AB187" s="81"/>
      <c r="AC187" s="81"/>
      <c r="AD187" s="81"/>
    </row>
    <row r="188" spans="15:30" ht="12" customHeight="1" x14ac:dyDescent="0.3"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  <c r="Z188" s="81"/>
      <c r="AA188" s="81"/>
      <c r="AB188" s="81"/>
      <c r="AC188" s="81"/>
      <c r="AD188" s="81"/>
    </row>
    <row r="189" spans="15:30" ht="12" customHeight="1" x14ac:dyDescent="0.3"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  <c r="Z189" s="81"/>
      <c r="AA189" s="81"/>
      <c r="AB189" s="81"/>
      <c r="AC189" s="81"/>
      <c r="AD189" s="81"/>
    </row>
    <row r="190" spans="15:30" ht="12" customHeight="1" x14ac:dyDescent="0.3"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  <c r="Z190" s="81"/>
      <c r="AA190" s="81"/>
      <c r="AB190" s="81"/>
      <c r="AC190" s="81"/>
      <c r="AD190" s="81"/>
    </row>
    <row r="191" spans="15:30" ht="12" customHeight="1" x14ac:dyDescent="0.3"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  <c r="Z191" s="81"/>
      <c r="AA191" s="81"/>
      <c r="AB191" s="81"/>
      <c r="AC191" s="81"/>
      <c r="AD191" s="81"/>
    </row>
    <row r="192" spans="15:30" ht="12" customHeight="1" x14ac:dyDescent="0.3"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  <c r="AB192" s="81"/>
      <c r="AC192" s="81"/>
      <c r="AD192" s="81"/>
    </row>
    <row r="193" spans="15:30" ht="12" customHeight="1" x14ac:dyDescent="0.3"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</row>
    <row r="194" spans="15:30" ht="12" customHeight="1" x14ac:dyDescent="0.3"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  <c r="Z194" s="81"/>
      <c r="AA194" s="81"/>
      <c r="AB194" s="81"/>
      <c r="AC194" s="81"/>
      <c r="AD194" s="81"/>
    </row>
    <row r="195" spans="15:30" ht="12" customHeight="1" x14ac:dyDescent="0.3"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  <c r="Z195" s="81"/>
      <c r="AA195" s="81"/>
      <c r="AB195" s="81"/>
      <c r="AC195" s="81"/>
      <c r="AD195" s="81"/>
    </row>
    <row r="196" spans="15:30" ht="12" customHeight="1" x14ac:dyDescent="0.3"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  <c r="Z196" s="81"/>
      <c r="AA196" s="81"/>
      <c r="AB196" s="81"/>
      <c r="AC196" s="81"/>
      <c r="AD196" s="81"/>
    </row>
    <row r="197" spans="15:30" ht="12" customHeight="1" x14ac:dyDescent="0.3"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  <c r="Z197" s="81"/>
      <c r="AA197" s="81"/>
      <c r="AB197" s="81"/>
      <c r="AC197" s="81"/>
      <c r="AD197" s="81"/>
    </row>
    <row r="198" spans="15:30" ht="12" customHeight="1" x14ac:dyDescent="0.3"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  <c r="Z198" s="81"/>
      <c r="AA198" s="81"/>
      <c r="AB198" s="81"/>
      <c r="AC198" s="81"/>
      <c r="AD198" s="81"/>
    </row>
    <row r="199" spans="15:30" ht="12" customHeight="1" x14ac:dyDescent="0.3"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  <c r="Z199" s="81"/>
      <c r="AA199" s="81"/>
      <c r="AB199" s="81"/>
      <c r="AC199" s="81"/>
      <c r="AD199" s="81"/>
    </row>
    <row r="200" spans="15:30" ht="12" customHeight="1" x14ac:dyDescent="0.3"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  <c r="Z200" s="81"/>
      <c r="AA200" s="81"/>
      <c r="AB200" s="81"/>
      <c r="AC200" s="81"/>
      <c r="AD200" s="81"/>
    </row>
  </sheetData>
  <mergeCells count="19">
    <mergeCell ref="B38:B41"/>
    <mergeCell ref="B42:B43"/>
    <mergeCell ref="B44:B45"/>
    <mergeCell ref="B46:C46"/>
    <mergeCell ref="A48:C48"/>
    <mergeCell ref="A49:C49"/>
    <mergeCell ref="O1:U1"/>
    <mergeCell ref="A47:C47"/>
    <mergeCell ref="L1:M1"/>
    <mergeCell ref="A2:A29"/>
    <mergeCell ref="A30:A46"/>
    <mergeCell ref="B2:B10"/>
    <mergeCell ref="B11:B18"/>
    <mergeCell ref="B19:B20"/>
    <mergeCell ref="B21:B23"/>
    <mergeCell ref="B24:B28"/>
    <mergeCell ref="B29:C29"/>
    <mergeCell ref="B30:B35"/>
    <mergeCell ref="B36:B37"/>
  </mergeCells>
  <pageMargins left="0.511811024" right="0.511811024" top="0.78740157499999996" bottom="0.78740157499999996" header="0.31496062000000002" footer="0.31496062000000002"/>
  <pageSetup paperSize="9" orientation="portrait" horizont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CDFD7-B2D6-4C42-B87F-02208FA17297}">
  <sheetPr codeName="Planilha7"/>
  <dimension ref="A1:AP54"/>
  <sheetViews>
    <sheetView showGridLines="0" topLeftCell="C38" workbookViewId="0">
      <selection activeCell="K65" sqref="K65:P65"/>
    </sheetView>
  </sheetViews>
  <sheetFormatPr defaultColWidth="9.1093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9.109375" style="9"/>
    <col min="11" max="11" width="14.33203125" style="9" bestFit="1" customWidth="1"/>
    <col min="12" max="12" width="13.44140625" style="9" bestFit="1" customWidth="1"/>
    <col min="13" max="13" width="10.44140625" style="9" bestFit="1" customWidth="1"/>
    <col min="14" max="14" width="11.6640625" style="9" bestFit="1" customWidth="1"/>
    <col min="15" max="16" width="9" style="9" bestFit="1" customWidth="1"/>
    <col min="17" max="18" width="10" style="9" bestFit="1" customWidth="1"/>
    <col min="19" max="19" width="8.6640625" style="9" bestFit="1" customWidth="1"/>
    <col min="20" max="20" width="10" style="9" bestFit="1" customWidth="1"/>
    <col min="21" max="21" width="7.44140625" style="9" bestFit="1" customWidth="1"/>
    <col min="22" max="22" width="7.33203125" style="9" bestFit="1" customWidth="1"/>
    <col min="23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0.8867187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7.88671875" style="9" bestFit="1" customWidth="1"/>
    <col min="38" max="38" width="10" style="9" bestFit="1" customWidth="1"/>
    <col min="39" max="39" width="10.88671875" style="9" bestFit="1" customWidth="1"/>
    <col min="40" max="41" width="9.109375" style="9"/>
    <col min="42" max="42" width="7.88671875" style="9" bestFit="1" customWidth="1"/>
    <col min="43" max="16384" width="9.109375" style="9"/>
  </cols>
  <sheetData>
    <row r="1" spans="1:42" ht="11.25" customHeight="1" x14ac:dyDescent="0.3">
      <c r="A1" s="134" t="s">
        <v>66</v>
      </c>
      <c r="B1" s="134" t="s">
        <v>67</v>
      </c>
      <c r="C1" s="134" t="s">
        <v>68</v>
      </c>
      <c r="D1" s="134" t="s">
        <v>69</v>
      </c>
      <c r="E1" s="134" t="s">
        <v>70</v>
      </c>
      <c r="F1" s="134" t="s">
        <v>15</v>
      </c>
      <c r="G1" s="134" t="s">
        <v>72</v>
      </c>
      <c r="H1" s="134" t="s">
        <v>73</v>
      </c>
      <c r="I1" s="134" t="s">
        <v>700</v>
      </c>
      <c r="J1" s="125"/>
      <c r="L1" s="133" t="s">
        <v>701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702</v>
      </c>
    </row>
    <row r="2" spans="1:42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5"/>
      <c r="L2" s="133" t="s">
        <v>610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5"/>
    </row>
    <row r="3" spans="1:42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5"/>
      <c r="L3" s="133" t="s">
        <v>611</v>
      </c>
      <c r="M3" s="133"/>
      <c r="N3" s="133"/>
      <c r="O3" s="133"/>
      <c r="P3" s="133"/>
      <c r="Q3" s="133"/>
      <c r="R3" s="133"/>
      <c r="S3" s="133"/>
      <c r="T3" s="133"/>
      <c r="U3" s="133" t="s">
        <v>620</v>
      </c>
      <c r="V3" s="133"/>
      <c r="W3" s="133"/>
      <c r="X3" s="133"/>
      <c r="Y3" s="133"/>
      <c r="Z3" s="133"/>
      <c r="AA3" s="133"/>
      <c r="AB3" s="133"/>
      <c r="AC3" s="133" t="s">
        <v>628</v>
      </c>
      <c r="AD3" s="133"/>
      <c r="AE3" s="133" t="s">
        <v>630</v>
      </c>
      <c r="AF3" s="133"/>
      <c r="AG3" s="133"/>
      <c r="AH3" s="133" t="s">
        <v>633</v>
      </c>
      <c r="AI3" s="133"/>
      <c r="AJ3" s="133"/>
      <c r="AK3" s="133"/>
      <c r="AL3" s="133"/>
      <c r="AM3" s="133" t="s">
        <v>619</v>
      </c>
      <c r="AP3" s="135"/>
    </row>
    <row r="4" spans="1:42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5"/>
      <c r="L4" s="57" t="s">
        <v>696</v>
      </c>
      <c r="M4" s="57" t="s">
        <v>612</v>
      </c>
      <c r="N4" s="57" t="s">
        <v>613</v>
      </c>
      <c r="O4" s="57" t="s">
        <v>614</v>
      </c>
      <c r="P4" s="57" t="s">
        <v>615</v>
      </c>
      <c r="Q4" s="57" t="s">
        <v>616</v>
      </c>
      <c r="R4" s="57" t="s">
        <v>617</v>
      </c>
      <c r="S4" s="57" t="s">
        <v>618</v>
      </c>
      <c r="T4" s="57" t="s">
        <v>619</v>
      </c>
      <c r="U4" s="57" t="s">
        <v>621</v>
      </c>
      <c r="V4" s="57" t="s">
        <v>622</v>
      </c>
      <c r="W4" s="57" t="s">
        <v>623</v>
      </c>
      <c r="X4" s="57" t="s">
        <v>624</v>
      </c>
      <c r="Y4" s="57" t="s">
        <v>625</v>
      </c>
      <c r="Z4" s="57" t="s">
        <v>626</v>
      </c>
      <c r="AA4" s="57" t="s">
        <v>627</v>
      </c>
      <c r="AB4" s="57" t="s">
        <v>619</v>
      </c>
      <c r="AC4" s="57" t="s">
        <v>629</v>
      </c>
      <c r="AD4" s="57" t="s">
        <v>619</v>
      </c>
      <c r="AE4" s="57" t="s">
        <v>631</v>
      </c>
      <c r="AF4" s="57" t="s">
        <v>632</v>
      </c>
      <c r="AG4" s="57" t="s">
        <v>619</v>
      </c>
      <c r="AH4" s="57" t="s">
        <v>634</v>
      </c>
      <c r="AI4" s="57" t="s">
        <v>635</v>
      </c>
      <c r="AJ4" s="57" t="s">
        <v>636</v>
      </c>
      <c r="AK4" s="57" t="s">
        <v>637</v>
      </c>
      <c r="AL4" s="57" t="s">
        <v>619</v>
      </c>
      <c r="AM4" s="136"/>
      <c r="AP4" s="135"/>
    </row>
    <row r="5" spans="1:42" ht="11.25" customHeight="1" x14ac:dyDescent="0.3">
      <c r="A5" s="132" t="s">
        <v>39</v>
      </c>
      <c r="B5" s="132" t="s">
        <v>83</v>
      </c>
      <c r="C5" s="132" t="s">
        <v>25</v>
      </c>
      <c r="D5" s="132" t="s">
        <v>25</v>
      </c>
      <c r="E5" s="132" t="s">
        <v>25</v>
      </c>
      <c r="F5" s="132" t="s">
        <v>25</v>
      </c>
      <c r="G5" s="66" t="s">
        <v>85</v>
      </c>
      <c r="H5" s="66" t="s">
        <v>84</v>
      </c>
      <c r="I5" s="66">
        <f>'MERCADO TUSD'!$U$2</f>
        <v>0</v>
      </c>
      <c r="J5" s="15"/>
      <c r="L5" s="61"/>
      <c r="M5" s="61"/>
      <c r="N5" s="61"/>
      <c r="O5" s="61"/>
      <c r="P5" s="61"/>
      <c r="Q5" s="61"/>
      <c r="R5" s="61"/>
      <c r="S5" s="61"/>
      <c r="T5" s="61"/>
      <c r="U5" s="61">
        <v>0</v>
      </c>
      <c r="V5" s="61">
        <v>0</v>
      </c>
      <c r="W5" s="61">
        <v>0</v>
      </c>
      <c r="X5" s="61">
        <v>0</v>
      </c>
      <c r="Y5" s="61">
        <v>36.716799999999999</v>
      </c>
      <c r="Z5" s="61">
        <v>0</v>
      </c>
      <c r="AA5" s="61">
        <v>0</v>
      </c>
      <c r="AB5" s="61"/>
      <c r="AC5" s="61">
        <v>43.030700000000003</v>
      </c>
      <c r="AD5" s="61"/>
      <c r="AE5" s="61"/>
      <c r="AF5" s="61"/>
      <c r="AG5" s="61"/>
      <c r="AH5" s="61"/>
      <c r="AI5" s="61"/>
      <c r="AJ5" s="61"/>
      <c r="AK5" s="61"/>
      <c r="AL5" s="61"/>
      <c r="AM5" s="61"/>
      <c r="AP5" s="61">
        <v>1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66" t="s">
        <v>86</v>
      </c>
      <c r="H6" s="66" t="s">
        <v>84</v>
      </c>
      <c r="I6" s="66">
        <f>'MERCADO TUSD'!$U$3</f>
        <v>0</v>
      </c>
      <c r="J6" s="15"/>
      <c r="L6" s="61"/>
      <c r="M6" s="61"/>
      <c r="N6" s="61"/>
      <c r="O6" s="61"/>
      <c r="P6" s="61"/>
      <c r="Q6" s="61"/>
      <c r="R6" s="61"/>
      <c r="S6" s="61"/>
      <c r="T6" s="61"/>
      <c r="U6" s="61">
        <v>0</v>
      </c>
      <c r="V6" s="61">
        <v>0</v>
      </c>
      <c r="W6" s="61">
        <v>0</v>
      </c>
      <c r="X6" s="61">
        <v>0</v>
      </c>
      <c r="Y6" s="61">
        <v>21.356400000000001</v>
      </c>
      <c r="Z6" s="61">
        <v>0</v>
      </c>
      <c r="AA6" s="61">
        <v>0</v>
      </c>
      <c r="AB6" s="61"/>
      <c r="AC6" s="61">
        <v>21.5154</v>
      </c>
      <c r="AD6" s="61"/>
      <c r="AE6" s="61"/>
      <c r="AF6" s="61"/>
      <c r="AG6" s="61"/>
      <c r="AH6" s="61"/>
      <c r="AI6" s="61"/>
      <c r="AJ6" s="61"/>
      <c r="AK6" s="61"/>
      <c r="AL6" s="61"/>
      <c r="AM6" s="61"/>
      <c r="AP6" s="61">
        <v>1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66" t="s">
        <v>81</v>
      </c>
      <c r="H7" s="66" t="s">
        <v>76</v>
      </c>
      <c r="I7" s="66">
        <f>'MERCADO TUSD'!$U$4</f>
        <v>0</v>
      </c>
      <c r="J7" s="15"/>
      <c r="L7" s="61"/>
      <c r="M7" s="61"/>
      <c r="N7" s="61"/>
      <c r="O7" s="61"/>
      <c r="P7" s="61"/>
      <c r="Q7" s="61"/>
      <c r="R7" s="61"/>
      <c r="S7" s="61"/>
      <c r="T7" s="61"/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/>
      <c r="AC7" s="61">
        <v>0</v>
      </c>
      <c r="AD7" s="61"/>
      <c r="AE7" s="61"/>
      <c r="AF7" s="61"/>
      <c r="AG7" s="61"/>
      <c r="AH7" s="61"/>
      <c r="AI7" s="61"/>
      <c r="AJ7" s="61"/>
      <c r="AK7" s="61"/>
      <c r="AL7" s="61"/>
      <c r="AM7" s="61"/>
      <c r="AP7" s="61">
        <v>1</v>
      </c>
    </row>
    <row r="8" spans="1:42" ht="11.25" customHeight="1" x14ac:dyDescent="0.3">
      <c r="A8" s="132"/>
      <c r="B8" s="132"/>
      <c r="C8" s="132"/>
      <c r="D8" s="132"/>
      <c r="E8" s="65" t="s">
        <v>87</v>
      </c>
      <c r="F8" s="65" t="s">
        <v>25</v>
      </c>
      <c r="G8" s="66" t="s">
        <v>81</v>
      </c>
      <c r="H8" s="66" t="s">
        <v>76</v>
      </c>
      <c r="I8" s="66">
        <f>'MERCADO TUSD'!$U$5</f>
        <v>0</v>
      </c>
      <c r="J8" s="15"/>
      <c r="L8" s="61"/>
      <c r="M8" s="61"/>
      <c r="N8" s="61"/>
      <c r="O8" s="61"/>
      <c r="P8" s="61"/>
      <c r="Q8" s="61"/>
      <c r="R8" s="61"/>
      <c r="S8" s="61"/>
      <c r="T8" s="61"/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/>
      <c r="AC8" s="61">
        <v>0</v>
      </c>
      <c r="AD8" s="61"/>
      <c r="AE8" s="61"/>
      <c r="AF8" s="61"/>
      <c r="AG8" s="61"/>
      <c r="AH8" s="61"/>
      <c r="AI8" s="61"/>
      <c r="AJ8" s="61"/>
      <c r="AK8" s="61"/>
      <c r="AL8" s="61"/>
      <c r="AM8" s="61"/>
      <c r="AP8" s="61">
        <v>1</v>
      </c>
    </row>
    <row r="9" spans="1:42" ht="11.25" customHeight="1" x14ac:dyDescent="0.3">
      <c r="A9" s="132"/>
      <c r="B9" s="132" t="s">
        <v>56</v>
      </c>
      <c r="C9" s="132" t="s">
        <v>25</v>
      </c>
      <c r="D9" s="132" t="s">
        <v>25</v>
      </c>
      <c r="E9" s="132" t="s">
        <v>25</v>
      </c>
      <c r="F9" s="132" t="s">
        <v>58</v>
      </c>
      <c r="G9" s="66" t="s">
        <v>85</v>
      </c>
      <c r="H9" s="66" t="s">
        <v>84</v>
      </c>
      <c r="I9" s="66">
        <f>'MERCADO TUSD'!$U$6</f>
        <v>16540</v>
      </c>
      <c r="J9" s="15"/>
      <c r="L9" s="61"/>
      <c r="M9" s="61"/>
      <c r="N9" s="61"/>
      <c r="O9" s="61"/>
      <c r="P9" s="61"/>
      <c r="Q9" s="61"/>
      <c r="R9" s="61"/>
      <c r="S9" s="61"/>
      <c r="T9" s="61"/>
      <c r="U9" s="61">
        <v>0</v>
      </c>
      <c r="V9" s="61">
        <v>0</v>
      </c>
      <c r="W9" s="61">
        <v>0</v>
      </c>
      <c r="X9" s="61">
        <v>0</v>
      </c>
      <c r="Y9" s="61">
        <v>36.716799999999999</v>
      </c>
      <c r="Z9" s="61">
        <v>0</v>
      </c>
      <c r="AA9" s="61">
        <v>0</v>
      </c>
      <c r="AB9" s="61"/>
      <c r="AC9" s="61">
        <v>7.6006</v>
      </c>
      <c r="AD9" s="61"/>
      <c r="AE9" s="61"/>
      <c r="AF9" s="61"/>
      <c r="AG9" s="61"/>
      <c r="AH9" s="61"/>
      <c r="AI9" s="61"/>
      <c r="AJ9" s="61"/>
      <c r="AK9" s="61"/>
      <c r="AL9" s="61"/>
      <c r="AM9" s="61"/>
      <c r="AP9" s="61">
        <v>1</v>
      </c>
    </row>
    <row r="10" spans="1:42" ht="11.25" customHeight="1" x14ac:dyDescent="0.3">
      <c r="A10" s="132"/>
      <c r="B10" s="132"/>
      <c r="C10" s="132"/>
      <c r="D10" s="132"/>
      <c r="E10" s="132"/>
      <c r="F10" s="132"/>
      <c r="G10" s="66" t="s">
        <v>86</v>
      </c>
      <c r="H10" s="66" t="s">
        <v>84</v>
      </c>
      <c r="I10" s="66">
        <f>'MERCADO TUSD'!$U$7</f>
        <v>16454</v>
      </c>
      <c r="J10" s="15"/>
      <c r="L10" s="61"/>
      <c r="M10" s="61"/>
      <c r="N10" s="61"/>
      <c r="O10" s="61"/>
      <c r="P10" s="61"/>
      <c r="Q10" s="61"/>
      <c r="R10" s="61"/>
      <c r="S10" s="61"/>
      <c r="T10" s="61"/>
      <c r="U10" s="61">
        <v>0</v>
      </c>
      <c r="V10" s="61">
        <v>0</v>
      </c>
      <c r="W10" s="61">
        <v>0</v>
      </c>
      <c r="X10" s="61">
        <v>0</v>
      </c>
      <c r="Y10" s="61">
        <v>21.356400000000001</v>
      </c>
      <c r="Z10" s="61">
        <v>0</v>
      </c>
      <c r="AA10" s="61">
        <v>0</v>
      </c>
      <c r="AB10" s="61"/>
      <c r="AC10" s="61">
        <v>3.8003</v>
      </c>
      <c r="AD10" s="61"/>
      <c r="AE10" s="61"/>
      <c r="AF10" s="61"/>
      <c r="AG10" s="61"/>
      <c r="AH10" s="61"/>
      <c r="AI10" s="61"/>
      <c r="AJ10" s="61"/>
      <c r="AK10" s="61"/>
      <c r="AL10" s="61"/>
      <c r="AM10" s="61"/>
      <c r="AP10" s="61">
        <v>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66" t="s">
        <v>81</v>
      </c>
      <c r="H11" s="66" t="s">
        <v>76</v>
      </c>
      <c r="I11" s="66">
        <f>'MERCADO TUSD'!$U$8</f>
        <v>5489.0889999999999</v>
      </c>
      <c r="J11" s="15"/>
      <c r="L11" s="61"/>
      <c r="M11" s="61"/>
      <c r="N11" s="61"/>
      <c r="O11" s="61"/>
      <c r="P11" s="61"/>
      <c r="Q11" s="61"/>
      <c r="R11" s="61"/>
      <c r="S11" s="61"/>
      <c r="T11" s="61"/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/>
      <c r="AC11" s="61">
        <v>0</v>
      </c>
      <c r="AD11" s="61"/>
      <c r="AE11" s="61"/>
      <c r="AF11" s="61"/>
      <c r="AG11" s="61"/>
      <c r="AH11" s="61"/>
      <c r="AI11" s="61"/>
      <c r="AJ11" s="61"/>
      <c r="AK11" s="61"/>
      <c r="AL11" s="61"/>
      <c r="AM11" s="61"/>
      <c r="AP11" s="61">
        <v>1</v>
      </c>
    </row>
    <row r="12" spans="1:42" ht="11.25" customHeight="1" x14ac:dyDescent="0.3">
      <c r="A12" s="132"/>
      <c r="B12" s="65" t="s">
        <v>88</v>
      </c>
      <c r="C12" s="65" t="s">
        <v>25</v>
      </c>
      <c r="D12" s="65" t="s">
        <v>25</v>
      </c>
      <c r="E12" s="65" t="s">
        <v>25</v>
      </c>
      <c r="F12" s="65" t="s">
        <v>25</v>
      </c>
      <c r="G12" s="66" t="s">
        <v>9</v>
      </c>
      <c r="H12" s="66" t="s">
        <v>84</v>
      </c>
      <c r="I12" s="66">
        <f>'MERCADO TUSD'!$U$9</f>
        <v>0</v>
      </c>
      <c r="J12" s="15"/>
      <c r="L12" s="61"/>
      <c r="M12" s="61"/>
      <c r="N12" s="61"/>
      <c r="O12" s="61"/>
      <c r="P12" s="61"/>
      <c r="Q12" s="61"/>
      <c r="R12" s="61"/>
      <c r="S12" s="61"/>
      <c r="T12" s="61"/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/>
      <c r="AC12" s="61">
        <v>19.486499999999999</v>
      </c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P12" s="61"/>
    </row>
    <row r="13" spans="1:42" ht="11.25" customHeight="1" x14ac:dyDescent="0.3">
      <c r="A13" s="132"/>
      <c r="B13" s="132" t="s">
        <v>40</v>
      </c>
      <c r="C13" s="132" t="s">
        <v>25</v>
      </c>
      <c r="D13" s="132" t="s">
        <v>25</v>
      </c>
      <c r="E13" s="132" t="s">
        <v>25</v>
      </c>
      <c r="F13" s="132" t="s">
        <v>25</v>
      </c>
      <c r="G13" s="66" t="s">
        <v>9</v>
      </c>
      <c r="H13" s="66" t="s">
        <v>84</v>
      </c>
      <c r="I13" s="66">
        <f>'MERCADO TUSD'!$U$10</f>
        <v>119147</v>
      </c>
      <c r="J13" s="15"/>
      <c r="L13" s="61"/>
      <c r="M13" s="61"/>
      <c r="N13" s="61"/>
      <c r="O13" s="61"/>
      <c r="P13" s="61"/>
      <c r="Q13" s="61"/>
      <c r="R13" s="61"/>
      <c r="S13" s="61"/>
      <c r="T13" s="61"/>
      <c r="U13" s="61">
        <v>0</v>
      </c>
      <c r="V13" s="61">
        <v>0</v>
      </c>
      <c r="W13" s="61">
        <v>0</v>
      </c>
      <c r="X13" s="61">
        <v>0</v>
      </c>
      <c r="Y13" s="61">
        <v>21.356400000000001</v>
      </c>
      <c r="Z13" s="61">
        <v>0</v>
      </c>
      <c r="AA13" s="61">
        <v>0</v>
      </c>
      <c r="AB13" s="61"/>
      <c r="AC13" s="61">
        <v>21.5154</v>
      </c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P13" s="61">
        <v>1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66" t="s">
        <v>77</v>
      </c>
      <c r="H14" s="66" t="s">
        <v>76</v>
      </c>
      <c r="I14" s="66">
        <f>'MERCADO TUSD'!$U$11</f>
        <v>964.50799999999992</v>
      </c>
      <c r="J14" s="15"/>
      <c r="L14" s="61"/>
      <c r="M14" s="61"/>
      <c r="N14" s="61"/>
      <c r="O14" s="61"/>
      <c r="P14" s="61"/>
      <c r="Q14" s="61"/>
      <c r="R14" s="61"/>
      <c r="S14" s="61"/>
      <c r="T14" s="61"/>
      <c r="U14" s="61">
        <v>0</v>
      </c>
      <c r="V14" s="61">
        <v>0</v>
      </c>
      <c r="W14" s="61">
        <v>0</v>
      </c>
      <c r="X14" s="61">
        <v>0</v>
      </c>
      <c r="Y14" s="61">
        <v>883.03920000000005</v>
      </c>
      <c r="Z14" s="61">
        <v>0</v>
      </c>
      <c r="AA14" s="61">
        <v>0</v>
      </c>
      <c r="AB14" s="61"/>
      <c r="AC14" s="61">
        <v>1034.8901000000001</v>
      </c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P14" s="61">
        <v>1</v>
      </c>
    </row>
    <row r="15" spans="1:42" ht="11.25" customHeight="1" x14ac:dyDescent="0.3">
      <c r="A15" s="132"/>
      <c r="B15" s="132"/>
      <c r="C15" s="132"/>
      <c r="D15" s="132"/>
      <c r="E15" s="132"/>
      <c r="F15" s="132"/>
      <c r="G15" s="66" t="s">
        <v>78</v>
      </c>
      <c r="H15" s="66" t="s">
        <v>76</v>
      </c>
      <c r="I15" s="66">
        <f>'MERCADO TUSD'!$U$12</f>
        <v>18843.148999999998</v>
      </c>
      <c r="J15" s="15"/>
      <c r="L15" s="61"/>
      <c r="M15" s="61"/>
      <c r="N15" s="61"/>
      <c r="O15" s="61"/>
      <c r="P15" s="61"/>
      <c r="Q15" s="61"/>
      <c r="R15" s="61"/>
      <c r="S15" s="61"/>
      <c r="T15" s="61"/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/>
      <c r="AC15" s="61">
        <v>0</v>
      </c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P15" s="61">
        <v>1</v>
      </c>
    </row>
    <row r="16" spans="1:42" ht="11.25" customHeight="1" x14ac:dyDescent="0.3">
      <c r="A16" s="132"/>
      <c r="B16" s="132"/>
      <c r="C16" s="132"/>
      <c r="D16" s="132"/>
      <c r="E16" s="132" t="s">
        <v>87</v>
      </c>
      <c r="F16" s="132" t="s">
        <v>25</v>
      </c>
      <c r="G16" s="66" t="s">
        <v>77</v>
      </c>
      <c r="H16" s="66" t="s">
        <v>76</v>
      </c>
      <c r="I16" s="66">
        <f>'MERCADO TUSD'!$U$13</f>
        <v>0</v>
      </c>
      <c r="J16" s="15"/>
      <c r="L16" s="61"/>
      <c r="M16" s="61"/>
      <c r="N16" s="61"/>
      <c r="O16" s="61"/>
      <c r="P16" s="61"/>
      <c r="Q16" s="61"/>
      <c r="R16" s="61"/>
      <c r="S16" s="61"/>
      <c r="T16" s="61"/>
      <c r="U16" s="61">
        <v>0</v>
      </c>
      <c r="V16" s="61">
        <v>0</v>
      </c>
      <c r="W16" s="61">
        <v>0</v>
      </c>
      <c r="X16" s="61">
        <v>0</v>
      </c>
      <c r="Y16" s="61">
        <v>883.03920000000005</v>
      </c>
      <c r="Z16" s="61">
        <v>0</v>
      </c>
      <c r="AA16" s="61">
        <v>0</v>
      </c>
      <c r="AB16" s="61"/>
      <c r="AC16" s="61">
        <v>1034.8901000000001</v>
      </c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P16" s="61">
        <v>1</v>
      </c>
    </row>
    <row r="17" spans="1:42" ht="11.25" customHeight="1" x14ac:dyDescent="0.3">
      <c r="A17" s="132"/>
      <c r="B17" s="132"/>
      <c r="C17" s="132"/>
      <c r="D17" s="132"/>
      <c r="E17" s="132"/>
      <c r="F17" s="132"/>
      <c r="G17" s="66" t="s">
        <v>78</v>
      </c>
      <c r="H17" s="66" t="s">
        <v>76</v>
      </c>
      <c r="I17" s="66">
        <f>'MERCADO TUSD'!$U$14</f>
        <v>0</v>
      </c>
      <c r="J17" s="15"/>
      <c r="L17" s="61"/>
      <c r="M17" s="61"/>
      <c r="N17" s="61"/>
      <c r="O17" s="61"/>
      <c r="P17" s="61"/>
      <c r="Q17" s="61"/>
      <c r="R17" s="61"/>
      <c r="S17" s="61"/>
      <c r="T17" s="61"/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/>
      <c r="AC17" s="61">
        <v>0</v>
      </c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P17" s="61">
        <v>1</v>
      </c>
    </row>
    <row r="18" spans="1:42" ht="11.25" customHeight="1" x14ac:dyDescent="0.3">
      <c r="A18" s="132" t="s">
        <v>90</v>
      </c>
      <c r="B18" s="132" t="s">
        <v>88</v>
      </c>
      <c r="C18" s="132" t="s">
        <v>25</v>
      </c>
      <c r="D18" s="132" t="s">
        <v>25</v>
      </c>
      <c r="E18" s="65" t="s">
        <v>91</v>
      </c>
      <c r="F18" s="65" t="s">
        <v>25</v>
      </c>
      <c r="G18" s="66" t="s">
        <v>9</v>
      </c>
      <c r="H18" s="66" t="s">
        <v>84</v>
      </c>
      <c r="I18" s="66">
        <f>'MERCADO TUSD'!$U$15+0.00000001</f>
        <v>1E-8</v>
      </c>
      <c r="J18" s="15"/>
      <c r="L18" s="61"/>
      <c r="M18" s="61"/>
      <c r="N18" s="61"/>
      <c r="O18" s="61"/>
      <c r="P18" s="61"/>
      <c r="Q18" s="61"/>
      <c r="R18" s="61"/>
      <c r="S18" s="61"/>
      <c r="T18" s="61"/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/>
      <c r="AC18" s="61">
        <v>5.7210999999999999</v>
      </c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P18" s="61"/>
    </row>
    <row r="19" spans="1:42" ht="11.25" customHeight="1" x14ac:dyDescent="0.3">
      <c r="A19" s="132"/>
      <c r="B19" s="132"/>
      <c r="C19" s="132"/>
      <c r="D19" s="132"/>
      <c r="E19" s="65" t="s">
        <v>92</v>
      </c>
      <c r="F19" s="65" t="s">
        <v>25</v>
      </c>
      <c r="G19" s="66" t="s">
        <v>9</v>
      </c>
      <c r="H19" s="66" t="s">
        <v>84</v>
      </c>
      <c r="I19" s="66">
        <f>'MERCADO TUSD'!$U$16+0.00000001</f>
        <v>1E-8</v>
      </c>
      <c r="J19" s="15"/>
      <c r="L19" s="61"/>
      <c r="M19" s="61"/>
      <c r="N19" s="61"/>
      <c r="O19" s="61"/>
      <c r="P19" s="61"/>
      <c r="Q19" s="61"/>
      <c r="R19" s="61"/>
      <c r="S19" s="61"/>
      <c r="T19" s="61"/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/>
      <c r="AC19" s="61">
        <v>14.781000000000001</v>
      </c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P19" s="61"/>
    </row>
    <row r="20" spans="1:42" ht="11.25" customHeight="1" x14ac:dyDescent="0.3">
      <c r="A20" s="132" t="s">
        <v>22</v>
      </c>
      <c r="B20" s="132" t="s">
        <v>33</v>
      </c>
      <c r="C20" s="132" t="s">
        <v>24</v>
      </c>
      <c r="D20" s="132" t="s">
        <v>24</v>
      </c>
      <c r="E20" s="132" t="s">
        <v>25</v>
      </c>
      <c r="F20" s="132" t="s">
        <v>25</v>
      </c>
      <c r="G20" s="66" t="s">
        <v>77</v>
      </c>
      <c r="H20" s="66" t="s">
        <v>76</v>
      </c>
      <c r="I20" s="66">
        <f>'MERCADO TUSD'!$U$17</f>
        <v>0.68800000000000017</v>
      </c>
      <c r="J20" s="15"/>
      <c r="L20" s="61"/>
      <c r="M20" s="61"/>
      <c r="N20" s="61"/>
      <c r="O20" s="61"/>
      <c r="P20" s="61"/>
      <c r="Q20" s="61"/>
      <c r="R20" s="61"/>
      <c r="S20" s="61"/>
      <c r="T20" s="61"/>
      <c r="U20" s="61">
        <v>0</v>
      </c>
      <c r="V20" s="61">
        <v>0</v>
      </c>
      <c r="W20" s="61">
        <v>0</v>
      </c>
      <c r="X20" s="61">
        <v>0</v>
      </c>
      <c r="Y20" s="61">
        <v>422.33260000000001</v>
      </c>
      <c r="Z20" s="61">
        <v>0</v>
      </c>
      <c r="AA20" s="61">
        <v>0</v>
      </c>
      <c r="AB20" s="61"/>
      <c r="AC20" s="61">
        <v>587.58420000000001</v>
      </c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P20" s="61">
        <v>1</v>
      </c>
    </row>
    <row r="21" spans="1:42" ht="11.25" customHeight="1" x14ac:dyDescent="0.3">
      <c r="A21" s="132"/>
      <c r="B21" s="132"/>
      <c r="C21" s="132"/>
      <c r="D21" s="132"/>
      <c r="E21" s="132"/>
      <c r="F21" s="132"/>
      <c r="G21" s="66" t="s">
        <v>93</v>
      </c>
      <c r="H21" s="66" t="s">
        <v>76</v>
      </c>
      <c r="I21" s="66">
        <f>'MERCADO TUSD'!$U$18</f>
        <v>0.46</v>
      </c>
      <c r="J21" s="15"/>
      <c r="L21" s="61"/>
      <c r="M21" s="61"/>
      <c r="N21" s="61"/>
      <c r="O21" s="61"/>
      <c r="P21" s="61"/>
      <c r="Q21" s="61"/>
      <c r="R21" s="61"/>
      <c r="S21" s="61"/>
      <c r="T21" s="61"/>
      <c r="U21" s="61">
        <v>0</v>
      </c>
      <c r="V21" s="61">
        <v>0</v>
      </c>
      <c r="W21" s="61">
        <v>0</v>
      </c>
      <c r="X21" s="61">
        <v>0</v>
      </c>
      <c r="Y21" s="61">
        <v>253.39959999999999</v>
      </c>
      <c r="Z21" s="61">
        <v>0</v>
      </c>
      <c r="AA21" s="61">
        <v>0</v>
      </c>
      <c r="AB21" s="61"/>
      <c r="AC21" s="61">
        <v>352.5505</v>
      </c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P21" s="61">
        <v>1</v>
      </c>
    </row>
    <row r="22" spans="1:42" ht="11.25" customHeight="1" x14ac:dyDescent="0.3">
      <c r="A22" s="132"/>
      <c r="B22" s="132"/>
      <c r="C22" s="132"/>
      <c r="D22" s="132"/>
      <c r="E22" s="132"/>
      <c r="F22" s="132"/>
      <c r="G22" s="66" t="s">
        <v>78</v>
      </c>
      <c r="H22" s="66" t="s">
        <v>76</v>
      </c>
      <c r="I22" s="66">
        <f>'MERCADO TUSD'!$U$19</f>
        <v>5.6850000000000005</v>
      </c>
      <c r="J22" s="15"/>
      <c r="L22" s="61"/>
      <c r="M22" s="61"/>
      <c r="N22" s="61"/>
      <c r="O22" s="61"/>
      <c r="P22" s="61"/>
      <c r="Q22" s="61"/>
      <c r="R22" s="61"/>
      <c r="S22" s="61"/>
      <c r="T22" s="61"/>
      <c r="U22" s="61">
        <v>0</v>
      </c>
      <c r="V22" s="61">
        <v>0</v>
      </c>
      <c r="W22" s="61">
        <v>0</v>
      </c>
      <c r="X22" s="61">
        <v>0</v>
      </c>
      <c r="Y22" s="61">
        <v>84.466499999999996</v>
      </c>
      <c r="Z22" s="61">
        <v>0</v>
      </c>
      <c r="AA22" s="61">
        <v>0</v>
      </c>
      <c r="AB22" s="61"/>
      <c r="AC22" s="61">
        <v>117.5168</v>
      </c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P22" s="61">
        <v>1</v>
      </c>
    </row>
    <row r="23" spans="1:42" ht="11.25" customHeight="1" x14ac:dyDescent="0.3">
      <c r="A23" s="132"/>
      <c r="B23" s="132" t="s">
        <v>23</v>
      </c>
      <c r="C23" s="132" t="s">
        <v>24</v>
      </c>
      <c r="D23" s="65" t="s">
        <v>24</v>
      </c>
      <c r="E23" s="65" t="s">
        <v>25</v>
      </c>
      <c r="F23" s="65" t="s">
        <v>25</v>
      </c>
      <c r="G23" s="66" t="s">
        <v>81</v>
      </c>
      <c r="H23" s="66" t="s">
        <v>76</v>
      </c>
      <c r="I23" s="66">
        <f>'MERCADO TUSD'!$U$20</f>
        <v>20470.671000000002</v>
      </c>
      <c r="J23" s="15"/>
      <c r="L23" s="61"/>
      <c r="M23" s="61"/>
      <c r="N23" s="61"/>
      <c r="O23" s="61"/>
      <c r="P23" s="61"/>
      <c r="Q23" s="61"/>
      <c r="R23" s="61"/>
      <c r="S23" s="61"/>
      <c r="T23" s="61"/>
      <c r="U23" s="61">
        <v>0</v>
      </c>
      <c r="V23" s="61">
        <v>0</v>
      </c>
      <c r="W23" s="61">
        <v>0</v>
      </c>
      <c r="X23" s="61">
        <v>0</v>
      </c>
      <c r="Y23" s="61">
        <v>140.7775</v>
      </c>
      <c r="Z23" s="61">
        <v>0</v>
      </c>
      <c r="AA23" s="61">
        <v>0</v>
      </c>
      <c r="AB23" s="61"/>
      <c r="AC23" s="61">
        <v>195.8614</v>
      </c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P23" s="61">
        <v>1</v>
      </c>
    </row>
    <row r="24" spans="1:42" ht="11.25" customHeight="1" x14ac:dyDescent="0.3">
      <c r="A24" s="132"/>
      <c r="B24" s="132"/>
      <c r="C24" s="132"/>
      <c r="D24" s="65" t="s">
        <v>29</v>
      </c>
      <c r="E24" s="65" t="s">
        <v>25</v>
      </c>
      <c r="F24" s="65" t="s">
        <v>25</v>
      </c>
      <c r="G24" s="66" t="s">
        <v>81</v>
      </c>
      <c r="H24" s="66" t="s">
        <v>76</v>
      </c>
      <c r="I24" s="66">
        <f>'MERCADO TUSD'!$U$21</f>
        <v>425.12200000000001</v>
      </c>
      <c r="J24" s="15"/>
      <c r="L24" s="61"/>
      <c r="M24" s="61"/>
      <c r="N24" s="61"/>
      <c r="O24" s="61"/>
      <c r="P24" s="61"/>
      <c r="Q24" s="61"/>
      <c r="R24" s="61"/>
      <c r="S24" s="61"/>
      <c r="T24" s="61"/>
      <c r="U24" s="61">
        <v>0</v>
      </c>
      <c r="V24" s="61">
        <v>0</v>
      </c>
      <c r="W24" s="61">
        <v>0</v>
      </c>
      <c r="X24" s="61">
        <v>0</v>
      </c>
      <c r="Y24" s="61">
        <f>(1 - CUSTOS!$M$24)*140.7775</f>
        <v>140.7775</v>
      </c>
      <c r="Z24" s="61">
        <v>0</v>
      </c>
      <c r="AA24" s="61">
        <v>0</v>
      </c>
      <c r="AB24" s="61"/>
      <c r="AC24" s="61">
        <f>(1 - CUSTOS!$M$24)*195.8614</f>
        <v>195.8614</v>
      </c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P24" s="61">
        <f>IF((1 - CUSTOS!$M$24)&lt;&gt;0,1/(1 - CUSTOS!$M$24),1)</f>
        <v>1</v>
      </c>
    </row>
    <row r="25" spans="1:42" ht="11.25" customHeight="1" x14ac:dyDescent="0.3">
      <c r="A25" s="132"/>
      <c r="B25" s="132"/>
      <c r="C25" s="132"/>
      <c r="D25" s="65" t="s">
        <v>30</v>
      </c>
      <c r="E25" s="65" t="s">
        <v>25</v>
      </c>
      <c r="F25" s="65" t="s">
        <v>25</v>
      </c>
      <c r="G25" s="66" t="s">
        <v>81</v>
      </c>
      <c r="H25" s="66" t="s">
        <v>76</v>
      </c>
      <c r="I25" s="66">
        <f>'MERCADO TUSD'!$U$22</f>
        <v>876.85199999999986</v>
      </c>
      <c r="J25" s="15"/>
      <c r="L25" s="61"/>
      <c r="M25" s="61"/>
      <c r="N25" s="61"/>
      <c r="O25" s="61"/>
      <c r="P25" s="61"/>
      <c r="Q25" s="61"/>
      <c r="R25" s="61"/>
      <c r="S25" s="61"/>
      <c r="T25" s="61"/>
      <c r="U25" s="61">
        <v>0</v>
      </c>
      <c r="V25" s="61">
        <v>0</v>
      </c>
      <c r="W25" s="61">
        <v>0</v>
      </c>
      <c r="X25" s="61">
        <v>0</v>
      </c>
      <c r="Y25" s="61">
        <f>(1 - CUSTOS!$M$25)*140.7775</f>
        <v>140.7775</v>
      </c>
      <c r="Z25" s="61">
        <v>0</v>
      </c>
      <c r="AA25" s="61">
        <v>0</v>
      </c>
      <c r="AB25" s="61"/>
      <c r="AC25" s="61">
        <f>(1 - CUSTOS!$M$25)*195.8614</f>
        <v>195.8614</v>
      </c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P25" s="61">
        <f>IF((1 - CUSTOS!$M$25)&lt;&gt;0,1/(1 - CUSTOS!$M$25),1)</f>
        <v>1</v>
      </c>
    </row>
    <row r="26" spans="1:42" ht="11.25" customHeight="1" x14ac:dyDescent="0.3">
      <c r="A26" s="132"/>
      <c r="B26" s="132"/>
      <c r="C26" s="132"/>
      <c r="D26" s="65" t="s">
        <v>31</v>
      </c>
      <c r="E26" s="65" t="s">
        <v>25</v>
      </c>
      <c r="F26" s="65" t="s">
        <v>25</v>
      </c>
      <c r="G26" s="66" t="s">
        <v>81</v>
      </c>
      <c r="H26" s="66" t="s">
        <v>76</v>
      </c>
      <c r="I26" s="66">
        <f>'MERCADO TUSD'!$U$23</f>
        <v>876.00100000000009</v>
      </c>
      <c r="J26" s="15"/>
      <c r="L26" s="61"/>
      <c r="M26" s="61"/>
      <c r="N26" s="61"/>
      <c r="O26" s="61"/>
      <c r="P26" s="61"/>
      <c r="Q26" s="61"/>
      <c r="R26" s="61"/>
      <c r="S26" s="61"/>
      <c r="T26" s="61"/>
      <c r="U26" s="61">
        <v>0</v>
      </c>
      <c r="V26" s="61">
        <v>0</v>
      </c>
      <c r="W26" s="61">
        <v>0</v>
      </c>
      <c r="X26" s="61">
        <v>0</v>
      </c>
      <c r="Y26" s="61">
        <f>(1 - CUSTOS!$M$26)*140.7775</f>
        <v>140.7775</v>
      </c>
      <c r="Z26" s="61">
        <v>0</v>
      </c>
      <c r="AA26" s="61">
        <v>0</v>
      </c>
      <c r="AB26" s="61"/>
      <c r="AC26" s="61">
        <f>(1 - CUSTOS!$M$26)*195.8614</f>
        <v>195.8614</v>
      </c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P26" s="61">
        <f>IF((1 - CUSTOS!$M$26)&lt;&gt;0,1/(1 - CUSTOS!$M$26),1)</f>
        <v>1</v>
      </c>
    </row>
    <row r="27" spans="1:42" ht="11.25" customHeight="1" x14ac:dyDescent="0.3">
      <c r="A27" s="132"/>
      <c r="B27" s="132"/>
      <c r="C27" s="132"/>
      <c r="D27" s="65" t="s">
        <v>32</v>
      </c>
      <c r="E27" s="65" t="s">
        <v>25</v>
      </c>
      <c r="F27" s="65" t="s">
        <v>25</v>
      </c>
      <c r="G27" s="66" t="s">
        <v>81</v>
      </c>
      <c r="H27" s="66" t="s">
        <v>76</v>
      </c>
      <c r="I27" s="66">
        <f>'MERCADO TUSD'!$U$24</f>
        <v>331.42999999999995</v>
      </c>
      <c r="J27" s="15"/>
      <c r="L27" s="61"/>
      <c r="M27" s="61"/>
      <c r="N27" s="61"/>
      <c r="O27" s="61"/>
      <c r="P27" s="61"/>
      <c r="Q27" s="61"/>
      <c r="R27" s="61"/>
      <c r="S27" s="61"/>
      <c r="T27" s="61"/>
      <c r="U27" s="61">
        <v>0</v>
      </c>
      <c r="V27" s="61">
        <v>0</v>
      </c>
      <c r="W27" s="61">
        <v>0</v>
      </c>
      <c r="X27" s="61">
        <v>0</v>
      </c>
      <c r="Y27" s="61">
        <f>(1 - CUSTOS!$M$27)*140.7775</f>
        <v>140.7775</v>
      </c>
      <c r="Z27" s="61">
        <v>0</v>
      </c>
      <c r="AA27" s="61">
        <v>0</v>
      </c>
      <c r="AB27" s="61"/>
      <c r="AC27" s="61">
        <f>(1 - CUSTOS!$M$27)*195.8614</f>
        <v>195.8614</v>
      </c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P27" s="61">
        <f>IF((1 - CUSTOS!$M$27)&lt;&gt;0,1/(1 - CUSTOS!$M$27),1)</f>
        <v>1</v>
      </c>
    </row>
    <row r="28" spans="1:42" ht="11.25" customHeight="1" x14ac:dyDescent="0.3">
      <c r="A28" s="132"/>
      <c r="B28" s="132" t="s">
        <v>95</v>
      </c>
      <c r="C28" s="132" t="s">
        <v>24</v>
      </c>
      <c r="D28" s="65" t="s">
        <v>24</v>
      </c>
      <c r="E28" s="65" t="s">
        <v>25</v>
      </c>
      <c r="F28" s="65" t="s">
        <v>25</v>
      </c>
      <c r="G28" s="66" t="s">
        <v>81</v>
      </c>
      <c r="H28" s="66" t="s">
        <v>76</v>
      </c>
      <c r="I28" s="66">
        <f>'MERCADO TUSD'!$U$25</f>
        <v>0</v>
      </c>
      <c r="J28" s="15"/>
      <c r="L28" s="61"/>
      <c r="M28" s="61"/>
      <c r="N28" s="61"/>
      <c r="O28" s="61"/>
      <c r="P28" s="61"/>
      <c r="Q28" s="61"/>
      <c r="R28" s="61"/>
      <c r="S28" s="61"/>
      <c r="T28" s="61"/>
      <c r="U28" s="61">
        <v>0</v>
      </c>
      <c r="V28" s="61">
        <v>0</v>
      </c>
      <c r="W28" s="61">
        <v>0</v>
      </c>
      <c r="X28" s="61">
        <v>0</v>
      </c>
      <c r="Y28" s="61">
        <v>140.7775</v>
      </c>
      <c r="Z28" s="61">
        <v>0</v>
      </c>
      <c r="AA28" s="61">
        <v>0</v>
      </c>
      <c r="AB28" s="61"/>
      <c r="AC28" s="61">
        <v>195.8614</v>
      </c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P28" s="61">
        <v>1</v>
      </c>
    </row>
    <row r="29" spans="1:42" ht="11.25" customHeight="1" x14ac:dyDescent="0.3">
      <c r="A29" s="132"/>
      <c r="B29" s="132"/>
      <c r="C29" s="132"/>
      <c r="D29" s="65" t="s">
        <v>29</v>
      </c>
      <c r="E29" s="65" t="s">
        <v>25</v>
      </c>
      <c r="F29" s="65" t="s">
        <v>25</v>
      </c>
      <c r="G29" s="66" t="s">
        <v>81</v>
      </c>
      <c r="H29" s="66" t="s">
        <v>76</v>
      </c>
      <c r="I29" s="66">
        <f>'MERCADO TUSD'!$U$26</f>
        <v>0</v>
      </c>
      <c r="J29" s="15"/>
      <c r="L29" s="61"/>
      <c r="M29" s="61"/>
      <c r="N29" s="61"/>
      <c r="O29" s="61"/>
      <c r="P29" s="61"/>
      <c r="Q29" s="61"/>
      <c r="R29" s="61"/>
      <c r="S29" s="61"/>
      <c r="T29" s="61"/>
      <c r="U29" s="61">
        <v>0</v>
      </c>
      <c r="V29" s="61">
        <v>0</v>
      </c>
      <c r="W29" s="61">
        <v>0</v>
      </c>
      <c r="X29" s="61">
        <v>0</v>
      </c>
      <c r="Y29" s="61">
        <f>(1 - CUSTOS!$M$24)*140.7775</f>
        <v>140.7775</v>
      </c>
      <c r="Z29" s="61">
        <v>0</v>
      </c>
      <c r="AA29" s="61">
        <v>0</v>
      </c>
      <c r="AB29" s="61"/>
      <c r="AC29" s="61">
        <f>(1 - CUSTOS!$M$24)*195.8614</f>
        <v>195.8614</v>
      </c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P29" s="61">
        <f>IF((1 - CUSTOS!$M$24)&lt;&gt;0,1/(1 - CUSTOS!$M$24),1)</f>
        <v>1</v>
      </c>
    </row>
    <row r="30" spans="1:42" ht="11.25" customHeight="1" x14ac:dyDescent="0.3">
      <c r="A30" s="132"/>
      <c r="B30" s="132"/>
      <c r="C30" s="132"/>
      <c r="D30" s="65" t="s">
        <v>30</v>
      </c>
      <c r="E30" s="65" t="s">
        <v>25</v>
      </c>
      <c r="F30" s="65" t="s">
        <v>25</v>
      </c>
      <c r="G30" s="66" t="s">
        <v>81</v>
      </c>
      <c r="H30" s="66" t="s">
        <v>76</v>
      </c>
      <c r="I30" s="66">
        <f>'MERCADO TUSD'!$U$27</f>
        <v>0</v>
      </c>
      <c r="J30" s="15"/>
      <c r="L30" s="61"/>
      <c r="M30" s="61"/>
      <c r="N30" s="61"/>
      <c r="O30" s="61"/>
      <c r="P30" s="61"/>
      <c r="Q30" s="61"/>
      <c r="R30" s="61"/>
      <c r="S30" s="61"/>
      <c r="T30" s="61"/>
      <c r="U30" s="61">
        <v>0</v>
      </c>
      <c r="V30" s="61">
        <v>0</v>
      </c>
      <c r="W30" s="61">
        <v>0</v>
      </c>
      <c r="X30" s="61">
        <v>0</v>
      </c>
      <c r="Y30" s="61">
        <f>(1 - CUSTOS!$M$25)*140.7775</f>
        <v>140.7775</v>
      </c>
      <c r="Z30" s="61">
        <v>0</v>
      </c>
      <c r="AA30" s="61">
        <v>0</v>
      </c>
      <c r="AB30" s="61"/>
      <c r="AC30" s="61">
        <f>(1 - CUSTOS!$M$25)*195.8614</f>
        <v>195.8614</v>
      </c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P30" s="61">
        <f>IF((1 - CUSTOS!$M$25)&lt;&gt;0,1/(1 - CUSTOS!$M$25),1)</f>
        <v>1</v>
      </c>
    </row>
    <row r="31" spans="1:42" ht="11.25" customHeight="1" x14ac:dyDescent="0.3">
      <c r="A31" s="132"/>
      <c r="B31" s="132"/>
      <c r="C31" s="132"/>
      <c r="D31" s="65" t="s">
        <v>31</v>
      </c>
      <c r="E31" s="65" t="s">
        <v>25</v>
      </c>
      <c r="F31" s="65" t="s">
        <v>25</v>
      </c>
      <c r="G31" s="66" t="s">
        <v>81</v>
      </c>
      <c r="H31" s="66" t="s">
        <v>76</v>
      </c>
      <c r="I31" s="66">
        <f>'MERCADO TUSD'!$U$28</f>
        <v>0</v>
      </c>
      <c r="J31" s="15"/>
      <c r="L31" s="61"/>
      <c r="M31" s="61"/>
      <c r="N31" s="61"/>
      <c r="O31" s="61"/>
      <c r="P31" s="61"/>
      <c r="Q31" s="61"/>
      <c r="R31" s="61"/>
      <c r="S31" s="61"/>
      <c r="T31" s="61"/>
      <c r="U31" s="61">
        <v>0</v>
      </c>
      <c r="V31" s="61">
        <v>0</v>
      </c>
      <c r="W31" s="61">
        <v>0</v>
      </c>
      <c r="X31" s="61">
        <v>0</v>
      </c>
      <c r="Y31" s="61">
        <f>(1 - CUSTOS!$M$26)*140.7775</f>
        <v>140.7775</v>
      </c>
      <c r="Z31" s="61">
        <v>0</v>
      </c>
      <c r="AA31" s="61">
        <v>0</v>
      </c>
      <c r="AB31" s="61"/>
      <c r="AC31" s="61">
        <f>(1 - CUSTOS!$M$26)*195.8614</f>
        <v>195.8614</v>
      </c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P31" s="61">
        <f>IF((1 - CUSTOS!$M$26)&lt;&gt;0,1/(1 - CUSTOS!$M$26),1)</f>
        <v>1</v>
      </c>
    </row>
    <row r="32" spans="1:42" ht="11.25" customHeight="1" x14ac:dyDescent="0.3">
      <c r="A32" s="132"/>
      <c r="B32" s="132"/>
      <c r="C32" s="132"/>
      <c r="D32" s="65" t="s">
        <v>32</v>
      </c>
      <c r="E32" s="65" t="s">
        <v>25</v>
      </c>
      <c r="F32" s="65" t="s">
        <v>25</v>
      </c>
      <c r="G32" s="66" t="s">
        <v>81</v>
      </c>
      <c r="H32" s="66" t="s">
        <v>76</v>
      </c>
      <c r="I32" s="66">
        <f>'MERCADO TUSD'!$U$29</f>
        <v>0</v>
      </c>
      <c r="J32" s="15"/>
      <c r="L32" s="61"/>
      <c r="M32" s="61"/>
      <c r="N32" s="61"/>
      <c r="O32" s="61"/>
      <c r="P32" s="61"/>
      <c r="Q32" s="61"/>
      <c r="R32" s="61"/>
      <c r="S32" s="61"/>
      <c r="T32" s="61"/>
      <c r="U32" s="61">
        <v>0</v>
      </c>
      <c r="V32" s="61">
        <v>0</v>
      </c>
      <c r="W32" s="61">
        <v>0</v>
      </c>
      <c r="X32" s="61">
        <v>0</v>
      </c>
      <c r="Y32" s="61">
        <f>(1 - CUSTOS!$M$27)*140.7775</f>
        <v>140.7775</v>
      </c>
      <c r="Z32" s="61">
        <v>0</v>
      </c>
      <c r="AA32" s="61">
        <v>0</v>
      </c>
      <c r="AB32" s="61"/>
      <c r="AC32" s="61">
        <f>(1 - CUSTOS!$M$27)*195.8614</f>
        <v>195.8614</v>
      </c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P32" s="61">
        <f>IF((1 - CUSTOS!$M$27)&lt;&gt;0,1/(1 - CUSTOS!$M$27),1)</f>
        <v>1</v>
      </c>
    </row>
    <row r="33" spans="1:42" ht="11.25" customHeight="1" x14ac:dyDescent="0.3">
      <c r="A33" s="132" t="s">
        <v>42</v>
      </c>
      <c r="B33" s="132" t="s">
        <v>33</v>
      </c>
      <c r="C33" s="132" t="s">
        <v>43</v>
      </c>
      <c r="D33" s="132" t="s">
        <v>25</v>
      </c>
      <c r="E33" s="132" t="s">
        <v>25</v>
      </c>
      <c r="F33" s="132" t="s">
        <v>25</v>
      </c>
      <c r="G33" s="66" t="s">
        <v>77</v>
      </c>
      <c r="H33" s="66" t="s">
        <v>76</v>
      </c>
      <c r="I33" s="66">
        <f>'MERCADO TUSD'!$U$30</f>
        <v>0.36099999999999999</v>
      </c>
      <c r="J33" s="15"/>
      <c r="L33" s="61"/>
      <c r="M33" s="61"/>
      <c r="N33" s="61"/>
      <c r="O33" s="61"/>
      <c r="P33" s="61"/>
      <c r="Q33" s="61"/>
      <c r="R33" s="61"/>
      <c r="S33" s="61"/>
      <c r="T33" s="61"/>
      <c r="U33" s="61">
        <v>0</v>
      </c>
      <c r="V33" s="61">
        <v>0</v>
      </c>
      <c r="W33" s="61">
        <v>0</v>
      </c>
      <c r="X33" s="61">
        <v>0</v>
      </c>
      <c r="Y33" s="61">
        <f>(1 - CUSTOS!$M$28)*443.4492</f>
        <v>443.44920000000002</v>
      </c>
      <c r="Z33" s="61">
        <v>0</v>
      </c>
      <c r="AA33" s="61">
        <v>0</v>
      </c>
      <c r="AB33" s="61"/>
      <c r="AC33" s="61">
        <f>(1 - CUSTOS!$M$28)*616.9634</f>
        <v>616.96339999999998</v>
      </c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P33" s="61">
        <f>IF((1 - CUSTOS!$M$28)&lt;&gt;0,1/(1 - CUSTOS!$M$28),1)</f>
        <v>1</v>
      </c>
    </row>
    <row r="34" spans="1:42" ht="11.25" customHeight="1" x14ac:dyDescent="0.3">
      <c r="A34" s="132"/>
      <c r="B34" s="132"/>
      <c r="C34" s="132"/>
      <c r="D34" s="132"/>
      <c r="E34" s="132"/>
      <c r="F34" s="132"/>
      <c r="G34" s="66" t="s">
        <v>93</v>
      </c>
      <c r="H34" s="66" t="s">
        <v>76</v>
      </c>
      <c r="I34" s="66">
        <f>'MERCADO TUSD'!$U$31</f>
        <v>0.21399999999999994</v>
      </c>
      <c r="J34" s="15"/>
      <c r="L34" s="61"/>
      <c r="M34" s="61"/>
      <c r="N34" s="61"/>
      <c r="O34" s="61"/>
      <c r="P34" s="61"/>
      <c r="Q34" s="61"/>
      <c r="R34" s="61"/>
      <c r="S34" s="61"/>
      <c r="T34" s="61"/>
      <c r="U34" s="61">
        <v>0</v>
      </c>
      <c r="V34" s="61">
        <v>0</v>
      </c>
      <c r="W34" s="61">
        <v>0</v>
      </c>
      <c r="X34" s="61">
        <v>0</v>
      </c>
      <c r="Y34" s="61">
        <f>(1 - CUSTOS!$M$28)*266.0695</f>
        <v>266.06950000000001</v>
      </c>
      <c r="Z34" s="61">
        <v>0</v>
      </c>
      <c r="AA34" s="61">
        <v>0</v>
      </c>
      <c r="AB34" s="61"/>
      <c r="AC34" s="61">
        <f>(1 - CUSTOS!$M$28)*370.178</f>
        <v>370.178</v>
      </c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P34" s="61">
        <f>IF((1 - CUSTOS!$M$28)&lt;&gt;0,1/(1 - CUSTOS!$M$28),1)</f>
        <v>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66" t="s">
        <v>78</v>
      </c>
      <c r="H35" s="66" t="s">
        <v>76</v>
      </c>
      <c r="I35" s="66">
        <f>'MERCADO TUSD'!$U$32</f>
        <v>2.4970000000000008</v>
      </c>
      <c r="J35" s="15"/>
      <c r="L35" s="61"/>
      <c r="M35" s="61"/>
      <c r="N35" s="61"/>
      <c r="O35" s="61"/>
      <c r="P35" s="61"/>
      <c r="Q35" s="61"/>
      <c r="R35" s="61"/>
      <c r="S35" s="61"/>
      <c r="T35" s="61"/>
      <c r="U35" s="61">
        <v>0</v>
      </c>
      <c r="V35" s="61">
        <v>0</v>
      </c>
      <c r="W35" s="61">
        <v>0</v>
      </c>
      <c r="X35" s="61">
        <v>0</v>
      </c>
      <c r="Y35" s="61">
        <f>(1 - CUSTOS!$M$28)*88.6898</f>
        <v>88.689800000000005</v>
      </c>
      <c r="Z35" s="61">
        <v>0</v>
      </c>
      <c r="AA35" s="61">
        <v>0</v>
      </c>
      <c r="AB35" s="61"/>
      <c r="AC35" s="61">
        <f>(1 - CUSTOS!$M$28)*123.3927</f>
        <v>123.3927</v>
      </c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P35" s="61">
        <f>IF((1 - CUSTOS!$M$28)&lt;&gt;0,1/(1 - CUSTOS!$M$28),1)</f>
        <v>1</v>
      </c>
    </row>
    <row r="36" spans="1:42" ht="11.25" customHeight="1" x14ac:dyDescent="0.3">
      <c r="A36" s="132"/>
      <c r="B36" s="65" t="s">
        <v>23</v>
      </c>
      <c r="C36" s="65" t="s">
        <v>43</v>
      </c>
      <c r="D36" s="65" t="s">
        <v>25</v>
      </c>
      <c r="E36" s="65" t="s">
        <v>25</v>
      </c>
      <c r="F36" s="65" t="s">
        <v>25</v>
      </c>
      <c r="G36" s="66" t="s">
        <v>81</v>
      </c>
      <c r="H36" s="66" t="s">
        <v>76</v>
      </c>
      <c r="I36" s="66">
        <f>'MERCADO TUSD'!$U$33</f>
        <v>18691.718999999997</v>
      </c>
      <c r="J36" s="15"/>
      <c r="L36" s="61"/>
      <c r="M36" s="61"/>
      <c r="N36" s="61"/>
      <c r="O36" s="61"/>
      <c r="P36" s="61"/>
      <c r="Q36" s="61"/>
      <c r="R36" s="61"/>
      <c r="S36" s="61"/>
      <c r="T36" s="61"/>
      <c r="U36" s="61">
        <v>0</v>
      </c>
      <c r="V36" s="61">
        <v>0</v>
      </c>
      <c r="W36" s="61">
        <v>0</v>
      </c>
      <c r="X36" s="61">
        <v>0</v>
      </c>
      <c r="Y36" s="61">
        <f>(1 - CUSTOS!$M$28)*140.7775</f>
        <v>140.7775</v>
      </c>
      <c r="Z36" s="61">
        <v>0</v>
      </c>
      <c r="AA36" s="61">
        <v>0</v>
      </c>
      <c r="AB36" s="61"/>
      <c r="AC36" s="61">
        <f>(1 - CUSTOS!$M$28)*195.8614</f>
        <v>195.8614</v>
      </c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P36" s="61">
        <f>IF((1 - CUSTOS!$M$28)&lt;&gt;0,1/(1 - CUSTOS!$M$28),1)</f>
        <v>1</v>
      </c>
    </row>
    <row r="37" spans="1:42" ht="11.25" customHeight="1" x14ac:dyDescent="0.3">
      <c r="A37" s="132"/>
      <c r="B37" s="132" t="s">
        <v>33</v>
      </c>
      <c r="C37" s="132" t="s">
        <v>43</v>
      </c>
      <c r="D37" s="132" t="s">
        <v>96</v>
      </c>
      <c r="E37" s="132" t="s">
        <v>25</v>
      </c>
      <c r="F37" s="132" t="s">
        <v>25</v>
      </c>
      <c r="G37" s="66" t="s">
        <v>77</v>
      </c>
      <c r="H37" s="66" t="s">
        <v>76</v>
      </c>
      <c r="I37" s="66">
        <f>'MERCADO TUSD'!$U$34</f>
        <v>0</v>
      </c>
      <c r="J37" s="15"/>
      <c r="L37" s="61"/>
      <c r="M37" s="61"/>
      <c r="N37" s="61"/>
      <c r="O37" s="61"/>
      <c r="P37" s="61"/>
      <c r="Q37" s="61"/>
      <c r="R37" s="61"/>
      <c r="S37" s="61"/>
      <c r="T37" s="61"/>
      <c r="U37" s="61">
        <v>0</v>
      </c>
      <c r="V37" s="61">
        <v>0</v>
      </c>
      <c r="W37" s="61">
        <v>0</v>
      </c>
      <c r="X37" s="61">
        <v>0</v>
      </c>
      <c r="Y37" s="61">
        <f>(1 - CUSTOS!$M$29)*443.4492</f>
        <v>443.44920000000002</v>
      </c>
      <c r="Z37" s="61">
        <v>0</v>
      </c>
      <c r="AA37" s="61">
        <v>0</v>
      </c>
      <c r="AB37" s="61"/>
      <c r="AC37" s="61">
        <f>(1 - CUSTOS!$M$29)*616.9634</f>
        <v>616.96339999999998</v>
      </c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P37" s="61">
        <f>IF((1 - CUSTOS!$M$29)&lt;&gt;0,1/(1 - CUSTOS!$M$29),1)</f>
        <v>1</v>
      </c>
    </row>
    <row r="38" spans="1:42" ht="11.25" customHeight="1" x14ac:dyDescent="0.3">
      <c r="A38" s="132"/>
      <c r="B38" s="132"/>
      <c r="C38" s="132"/>
      <c r="D38" s="132"/>
      <c r="E38" s="132"/>
      <c r="F38" s="132"/>
      <c r="G38" s="66" t="s">
        <v>93</v>
      </c>
      <c r="H38" s="66" t="s">
        <v>76</v>
      </c>
      <c r="I38" s="66">
        <f>'MERCADO TUSD'!$U$35</f>
        <v>0</v>
      </c>
      <c r="J38" s="15"/>
      <c r="L38" s="61"/>
      <c r="M38" s="61"/>
      <c r="N38" s="61"/>
      <c r="O38" s="61"/>
      <c r="P38" s="61"/>
      <c r="Q38" s="61"/>
      <c r="R38" s="61"/>
      <c r="S38" s="61"/>
      <c r="T38" s="61"/>
      <c r="U38" s="61">
        <v>0</v>
      </c>
      <c r="V38" s="61">
        <v>0</v>
      </c>
      <c r="W38" s="61">
        <v>0</v>
      </c>
      <c r="X38" s="61">
        <v>0</v>
      </c>
      <c r="Y38" s="61">
        <f>(1 - CUSTOS!$M$29)*266.0695</f>
        <v>266.06950000000001</v>
      </c>
      <c r="Z38" s="61">
        <v>0</v>
      </c>
      <c r="AA38" s="61">
        <v>0</v>
      </c>
      <c r="AB38" s="61"/>
      <c r="AC38" s="61">
        <f>(1 - CUSTOS!$M$29)*370.178</f>
        <v>370.178</v>
      </c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P38" s="61">
        <f>IF((1 - CUSTOS!$M$29)&lt;&gt;0,1/(1 - CUSTOS!$M$29),1)</f>
        <v>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66" t="s">
        <v>78</v>
      </c>
      <c r="H39" s="66" t="s">
        <v>76</v>
      </c>
      <c r="I39" s="66">
        <f>'MERCADO TUSD'!$U$36</f>
        <v>0</v>
      </c>
      <c r="J39" s="15"/>
      <c r="L39" s="61"/>
      <c r="M39" s="61"/>
      <c r="N39" s="61"/>
      <c r="O39" s="61"/>
      <c r="P39" s="61"/>
      <c r="Q39" s="61"/>
      <c r="R39" s="61"/>
      <c r="S39" s="61"/>
      <c r="T39" s="61"/>
      <c r="U39" s="61">
        <v>0</v>
      </c>
      <c r="V39" s="61">
        <v>0</v>
      </c>
      <c r="W39" s="61">
        <v>0</v>
      </c>
      <c r="X39" s="61">
        <v>0</v>
      </c>
      <c r="Y39" s="61">
        <f>(1 - CUSTOS!$M$29)*88.6898</f>
        <v>88.689800000000005</v>
      </c>
      <c r="Z39" s="61">
        <v>0</v>
      </c>
      <c r="AA39" s="61">
        <v>0</v>
      </c>
      <c r="AB39" s="61"/>
      <c r="AC39" s="61">
        <f>(1 - CUSTOS!$M$29)*123.3927</f>
        <v>123.3927</v>
      </c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P39" s="61">
        <f>IF((1 - CUSTOS!$M$29)&lt;&gt;0,1/(1 - CUSTOS!$M$29),1)</f>
        <v>1</v>
      </c>
    </row>
    <row r="40" spans="1:42" ht="11.25" customHeight="1" x14ac:dyDescent="0.3">
      <c r="A40" s="132"/>
      <c r="B40" s="65" t="s">
        <v>23</v>
      </c>
      <c r="C40" s="65" t="s">
        <v>43</v>
      </c>
      <c r="D40" s="65" t="s">
        <v>96</v>
      </c>
      <c r="E40" s="65" t="s">
        <v>25</v>
      </c>
      <c r="F40" s="65" t="s">
        <v>25</v>
      </c>
      <c r="G40" s="66" t="s">
        <v>81</v>
      </c>
      <c r="H40" s="66" t="s">
        <v>76</v>
      </c>
      <c r="I40" s="66">
        <f>'MERCADO TUSD'!$U$37</f>
        <v>0</v>
      </c>
      <c r="J40" s="15"/>
      <c r="L40" s="61"/>
      <c r="M40" s="61"/>
      <c r="N40" s="61"/>
      <c r="O40" s="61"/>
      <c r="P40" s="61"/>
      <c r="Q40" s="61"/>
      <c r="R40" s="61"/>
      <c r="S40" s="61"/>
      <c r="T40" s="61"/>
      <c r="U40" s="61">
        <v>0</v>
      </c>
      <c r="V40" s="61">
        <v>0</v>
      </c>
      <c r="W40" s="61">
        <v>0</v>
      </c>
      <c r="X40" s="61">
        <v>0</v>
      </c>
      <c r="Y40" s="61">
        <f>(1 - CUSTOS!$M$29)*140.7775</f>
        <v>140.7775</v>
      </c>
      <c r="Z40" s="61">
        <v>0</v>
      </c>
      <c r="AA40" s="61">
        <v>0</v>
      </c>
      <c r="AB40" s="61"/>
      <c r="AC40" s="61">
        <f>(1 - CUSTOS!$M$29)*195.8614</f>
        <v>195.8614</v>
      </c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P40" s="61">
        <f>IF((1 - CUSTOS!$M$29)&lt;&gt;0,1/(1 - CUSTOS!$M$29),1)</f>
        <v>1</v>
      </c>
    </row>
    <row r="41" spans="1:42" ht="11.25" customHeight="1" x14ac:dyDescent="0.3">
      <c r="A41" s="132"/>
      <c r="B41" s="132" t="s">
        <v>33</v>
      </c>
      <c r="C41" s="132" t="s">
        <v>43</v>
      </c>
      <c r="D41" s="132" t="s">
        <v>97</v>
      </c>
      <c r="E41" s="132" t="s">
        <v>25</v>
      </c>
      <c r="F41" s="132" t="s">
        <v>25</v>
      </c>
      <c r="G41" s="66" t="s">
        <v>77</v>
      </c>
      <c r="H41" s="66" t="s">
        <v>76</v>
      </c>
      <c r="I41" s="66">
        <f>'MERCADO TUSD'!$U$38</f>
        <v>0</v>
      </c>
      <c r="J41" s="15"/>
      <c r="L41" s="61"/>
      <c r="M41" s="61"/>
      <c r="N41" s="61"/>
      <c r="O41" s="61"/>
      <c r="P41" s="61"/>
      <c r="Q41" s="61"/>
      <c r="R41" s="61"/>
      <c r="S41" s="61"/>
      <c r="T41" s="61"/>
      <c r="U41" s="61">
        <v>0</v>
      </c>
      <c r="V41" s="61">
        <v>0</v>
      </c>
      <c r="W41" s="61">
        <v>0</v>
      </c>
      <c r="X41" s="61">
        <v>0</v>
      </c>
      <c r="Y41" s="61">
        <f>(1 - CUSTOS!$M$30)*443.4492</f>
        <v>443.44920000000002</v>
      </c>
      <c r="Z41" s="61">
        <v>0</v>
      </c>
      <c r="AA41" s="61">
        <v>0</v>
      </c>
      <c r="AB41" s="61"/>
      <c r="AC41" s="61">
        <f>(1 - CUSTOS!$M$30)*616.9634</f>
        <v>616.96339999999998</v>
      </c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P41" s="61">
        <f>IF((1 - CUSTOS!$M$30)&lt;&gt;0,1/(1 - CUSTOS!$M$30),1)</f>
        <v>1</v>
      </c>
    </row>
    <row r="42" spans="1:42" ht="11.25" customHeight="1" x14ac:dyDescent="0.3">
      <c r="A42" s="132"/>
      <c r="B42" s="132"/>
      <c r="C42" s="132"/>
      <c r="D42" s="132"/>
      <c r="E42" s="132"/>
      <c r="F42" s="132"/>
      <c r="G42" s="66" t="s">
        <v>93</v>
      </c>
      <c r="H42" s="66" t="s">
        <v>76</v>
      </c>
      <c r="I42" s="66">
        <f>'MERCADO TUSD'!$U$39</f>
        <v>0</v>
      </c>
      <c r="J42" s="15"/>
      <c r="L42" s="61"/>
      <c r="M42" s="61"/>
      <c r="N42" s="61"/>
      <c r="O42" s="61"/>
      <c r="P42" s="61"/>
      <c r="Q42" s="61"/>
      <c r="R42" s="61"/>
      <c r="S42" s="61"/>
      <c r="T42" s="61"/>
      <c r="U42" s="61">
        <v>0</v>
      </c>
      <c r="V42" s="61">
        <v>0</v>
      </c>
      <c r="W42" s="61">
        <v>0</v>
      </c>
      <c r="X42" s="61">
        <v>0</v>
      </c>
      <c r="Y42" s="61">
        <f>(1 - CUSTOS!$M$30)*266.0695</f>
        <v>266.06950000000001</v>
      </c>
      <c r="Z42" s="61">
        <v>0</v>
      </c>
      <c r="AA42" s="61">
        <v>0</v>
      </c>
      <c r="AB42" s="61"/>
      <c r="AC42" s="61">
        <f>(1 - CUSTOS!$M$30)*370.178</f>
        <v>370.178</v>
      </c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P42" s="61">
        <f>IF((1 - CUSTOS!$M$30)&lt;&gt;0,1/(1 - CUSTOS!$M$30),1)</f>
        <v>1</v>
      </c>
    </row>
    <row r="43" spans="1:42" ht="11.25" customHeight="1" x14ac:dyDescent="0.3">
      <c r="A43" s="132"/>
      <c r="B43" s="132"/>
      <c r="C43" s="132"/>
      <c r="D43" s="132"/>
      <c r="E43" s="132"/>
      <c r="F43" s="132"/>
      <c r="G43" s="66" t="s">
        <v>78</v>
      </c>
      <c r="H43" s="66" t="s">
        <v>76</v>
      </c>
      <c r="I43" s="66">
        <f>'MERCADO TUSD'!$U$40</f>
        <v>0</v>
      </c>
      <c r="J43" s="15"/>
      <c r="L43" s="61"/>
      <c r="M43" s="61"/>
      <c r="N43" s="61"/>
      <c r="O43" s="61"/>
      <c r="P43" s="61"/>
      <c r="Q43" s="61"/>
      <c r="R43" s="61"/>
      <c r="S43" s="61"/>
      <c r="T43" s="61"/>
      <c r="U43" s="61">
        <v>0</v>
      </c>
      <c r="V43" s="61">
        <v>0</v>
      </c>
      <c r="W43" s="61">
        <v>0</v>
      </c>
      <c r="X43" s="61">
        <v>0</v>
      </c>
      <c r="Y43" s="61">
        <f>(1 - CUSTOS!$M$30)*88.6898</f>
        <v>88.689800000000005</v>
      </c>
      <c r="Z43" s="61">
        <v>0</v>
      </c>
      <c r="AA43" s="61">
        <v>0</v>
      </c>
      <c r="AB43" s="61"/>
      <c r="AC43" s="61">
        <f>(1 - CUSTOS!$M$30)*123.3927</f>
        <v>123.3927</v>
      </c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P43" s="61">
        <f>IF((1 - CUSTOS!$M$30)&lt;&gt;0,1/(1 - CUSTOS!$M$30),1)</f>
        <v>1</v>
      </c>
    </row>
    <row r="44" spans="1:42" ht="11.25" customHeight="1" x14ac:dyDescent="0.3">
      <c r="A44" s="132"/>
      <c r="B44" s="65" t="s">
        <v>23</v>
      </c>
      <c r="C44" s="65" t="s">
        <v>43</v>
      </c>
      <c r="D44" s="65" t="s">
        <v>97</v>
      </c>
      <c r="E44" s="65" t="s">
        <v>25</v>
      </c>
      <c r="F44" s="65" t="s">
        <v>25</v>
      </c>
      <c r="G44" s="66" t="s">
        <v>81</v>
      </c>
      <c r="H44" s="66" t="s">
        <v>76</v>
      </c>
      <c r="I44" s="66">
        <f>'MERCADO TUSD'!$U$41</f>
        <v>0</v>
      </c>
      <c r="J44" s="15"/>
      <c r="L44" s="61"/>
      <c r="M44" s="61"/>
      <c r="N44" s="61"/>
      <c r="O44" s="61"/>
      <c r="P44" s="61"/>
      <c r="Q44" s="61"/>
      <c r="R44" s="61"/>
      <c r="S44" s="61"/>
      <c r="T44" s="61"/>
      <c r="U44" s="61">
        <v>0</v>
      </c>
      <c r="V44" s="61">
        <v>0</v>
      </c>
      <c r="W44" s="61">
        <v>0</v>
      </c>
      <c r="X44" s="61">
        <v>0</v>
      </c>
      <c r="Y44" s="61">
        <f>(1 - CUSTOS!$M$30)*140.7775</f>
        <v>140.7775</v>
      </c>
      <c r="Z44" s="61">
        <v>0</v>
      </c>
      <c r="AA44" s="61">
        <v>0</v>
      </c>
      <c r="AB44" s="61"/>
      <c r="AC44" s="61">
        <f>(1 - CUSTOS!$M$30)*195.8614</f>
        <v>195.8614</v>
      </c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P44" s="61">
        <f>IF((1 - CUSTOS!$M$30)&lt;&gt;0,1/(1 - CUSTOS!$M$30),1)</f>
        <v>1</v>
      </c>
    </row>
    <row r="45" spans="1:42" ht="11.25" customHeight="1" x14ac:dyDescent="0.3">
      <c r="A45" s="132"/>
      <c r="B45" s="132" t="s">
        <v>95</v>
      </c>
      <c r="C45" s="132" t="s">
        <v>43</v>
      </c>
      <c r="D45" s="65" t="s">
        <v>25</v>
      </c>
      <c r="E45" s="65" t="s">
        <v>25</v>
      </c>
      <c r="F45" s="65" t="s">
        <v>25</v>
      </c>
      <c r="G45" s="66" t="s">
        <v>81</v>
      </c>
      <c r="H45" s="66" t="s">
        <v>76</v>
      </c>
      <c r="I45" s="66">
        <f>'MERCADO TUSD'!$U$42</f>
        <v>0</v>
      </c>
      <c r="J45" s="15"/>
      <c r="L45" s="61"/>
      <c r="M45" s="61"/>
      <c r="N45" s="61"/>
      <c r="O45" s="61"/>
      <c r="P45" s="61"/>
      <c r="Q45" s="61"/>
      <c r="R45" s="61"/>
      <c r="S45" s="61"/>
      <c r="T45" s="61"/>
      <c r="U45" s="61">
        <v>0</v>
      </c>
      <c r="V45" s="61">
        <v>0</v>
      </c>
      <c r="W45" s="61">
        <v>0</v>
      </c>
      <c r="X45" s="61">
        <v>0</v>
      </c>
      <c r="Y45" s="61">
        <f>(1 - CUSTOS!$M$28)*140.7775</f>
        <v>140.7775</v>
      </c>
      <c r="Z45" s="61">
        <v>0</v>
      </c>
      <c r="AA45" s="61">
        <v>0</v>
      </c>
      <c r="AB45" s="61"/>
      <c r="AC45" s="61">
        <f>(1 - CUSTOS!$M$28)*195.8614</f>
        <v>195.8614</v>
      </c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P45" s="61">
        <f>IF((1 - CUSTOS!$M$28)&lt;&gt;0,1/(1 - CUSTOS!$M$28),1)</f>
        <v>1</v>
      </c>
    </row>
    <row r="46" spans="1:42" ht="11.25" customHeight="1" x14ac:dyDescent="0.3">
      <c r="A46" s="132"/>
      <c r="B46" s="132"/>
      <c r="C46" s="132"/>
      <c r="D46" s="65" t="s">
        <v>96</v>
      </c>
      <c r="E46" s="65" t="s">
        <v>25</v>
      </c>
      <c r="F46" s="65" t="s">
        <v>25</v>
      </c>
      <c r="G46" s="66" t="s">
        <v>81</v>
      </c>
      <c r="H46" s="66" t="s">
        <v>76</v>
      </c>
      <c r="I46" s="66">
        <f>'MERCADO TUSD'!$U$43</f>
        <v>0</v>
      </c>
      <c r="J46" s="15"/>
      <c r="L46" s="61"/>
      <c r="M46" s="61"/>
      <c r="N46" s="61"/>
      <c r="O46" s="61"/>
      <c r="P46" s="61"/>
      <c r="Q46" s="61"/>
      <c r="R46" s="61"/>
      <c r="S46" s="61"/>
      <c r="T46" s="61"/>
      <c r="U46" s="61">
        <v>0</v>
      </c>
      <c r="V46" s="61">
        <v>0</v>
      </c>
      <c r="W46" s="61">
        <v>0</v>
      </c>
      <c r="X46" s="61">
        <v>0</v>
      </c>
      <c r="Y46" s="61">
        <f>(1 - CUSTOS!$M$29)*140.7775</f>
        <v>140.7775</v>
      </c>
      <c r="Z46" s="61">
        <v>0</v>
      </c>
      <c r="AA46" s="61">
        <v>0</v>
      </c>
      <c r="AB46" s="61"/>
      <c r="AC46" s="61">
        <f>(1 - CUSTOS!$M$29)*195.8614</f>
        <v>195.8614</v>
      </c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P46" s="61">
        <f>IF((1 - CUSTOS!$M$29)&lt;&gt;0,1/(1 - CUSTOS!$M$29),1)</f>
        <v>1</v>
      </c>
    </row>
    <row r="47" spans="1:42" ht="11.25" customHeight="1" x14ac:dyDescent="0.3">
      <c r="A47" s="132"/>
      <c r="B47" s="132"/>
      <c r="C47" s="132"/>
      <c r="D47" s="65" t="s">
        <v>97</v>
      </c>
      <c r="E47" s="65" t="s">
        <v>25</v>
      </c>
      <c r="F47" s="65" t="s">
        <v>25</v>
      </c>
      <c r="G47" s="66" t="s">
        <v>81</v>
      </c>
      <c r="H47" s="66" t="s">
        <v>76</v>
      </c>
      <c r="I47" s="66">
        <f>'MERCADO TUSD'!$U$44</f>
        <v>0</v>
      </c>
      <c r="J47" s="15"/>
      <c r="L47" s="61"/>
      <c r="M47" s="61"/>
      <c r="N47" s="61"/>
      <c r="O47" s="61"/>
      <c r="P47" s="61"/>
      <c r="Q47" s="61"/>
      <c r="R47" s="61"/>
      <c r="S47" s="61"/>
      <c r="T47" s="61"/>
      <c r="U47" s="61">
        <v>0</v>
      </c>
      <c r="V47" s="61">
        <v>0</v>
      </c>
      <c r="W47" s="61">
        <v>0</v>
      </c>
      <c r="X47" s="61">
        <v>0</v>
      </c>
      <c r="Y47" s="61">
        <f>(1 - CUSTOS!$M$30)*140.7775</f>
        <v>140.7775</v>
      </c>
      <c r="Z47" s="61">
        <v>0</v>
      </c>
      <c r="AA47" s="61">
        <v>0</v>
      </c>
      <c r="AB47" s="61"/>
      <c r="AC47" s="61">
        <f>(1 - CUSTOS!$M$30)*195.8614</f>
        <v>195.8614</v>
      </c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P47" s="61">
        <f>IF((1 - CUSTOS!$M$30)&lt;&gt;0,1/(1 - CUSTOS!$M$30),1)</f>
        <v>1</v>
      </c>
    </row>
    <row r="48" spans="1:42" ht="11.25" customHeight="1" x14ac:dyDescent="0.3">
      <c r="A48" s="132" t="s">
        <v>37</v>
      </c>
      <c r="B48" s="132" t="s">
        <v>33</v>
      </c>
      <c r="C48" s="132" t="s">
        <v>25</v>
      </c>
      <c r="D48" s="132" t="s">
        <v>25</v>
      </c>
      <c r="E48" s="132" t="s">
        <v>25</v>
      </c>
      <c r="F48" s="132" t="s">
        <v>25</v>
      </c>
      <c r="G48" s="66" t="s">
        <v>77</v>
      </c>
      <c r="H48" s="66" t="s">
        <v>76</v>
      </c>
      <c r="I48" s="66">
        <f>'MERCADO TUSD'!$U$45</f>
        <v>9.1080000000000005</v>
      </c>
      <c r="J48" s="15"/>
      <c r="L48" s="61"/>
      <c r="M48" s="61"/>
      <c r="N48" s="61"/>
      <c r="O48" s="61"/>
      <c r="P48" s="61"/>
      <c r="Q48" s="61"/>
      <c r="R48" s="61"/>
      <c r="S48" s="61"/>
      <c r="T48" s="61"/>
      <c r="U48" s="61">
        <v>0</v>
      </c>
      <c r="V48" s="61">
        <v>0</v>
      </c>
      <c r="W48" s="61">
        <v>0</v>
      </c>
      <c r="X48" s="61">
        <v>0</v>
      </c>
      <c r="Y48" s="61">
        <f>(1 - CUSTOS!$M$31)*506.7991</f>
        <v>506.79910000000001</v>
      </c>
      <c r="Z48" s="61">
        <v>0</v>
      </c>
      <c r="AA48" s="61">
        <v>0</v>
      </c>
      <c r="AB48" s="61"/>
      <c r="AC48" s="61">
        <f>(1 - CUSTOS!$M$31)*705.101</f>
        <v>705.101</v>
      </c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P48" s="61">
        <f>IF((1 - CUSTOS!$M$31)&lt;&gt;0,1/(1 - CUSTOS!$M$31),1)</f>
        <v>1</v>
      </c>
    </row>
    <row r="49" spans="1:42" ht="11.25" customHeight="1" x14ac:dyDescent="0.3">
      <c r="A49" s="132"/>
      <c r="B49" s="132"/>
      <c r="C49" s="132"/>
      <c r="D49" s="132"/>
      <c r="E49" s="132"/>
      <c r="F49" s="132"/>
      <c r="G49" s="66" t="s">
        <v>93</v>
      </c>
      <c r="H49" s="66" t="s">
        <v>76</v>
      </c>
      <c r="I49" s="66">
        <f>'MERCADO TUSD'!$U$46</f>
        <v>0.627</v>
      </c>
      <c r="J49" s="15"/>
      <c r="L49" s="61"/>
      <c r="M49" s="61"/>
      <c r="N49" s="61"/>
      <c r="O49" s="61"/>
      <c r="P49" s="61"/>
      <c r="Q49" s="61"/>
      <c r="R49" s="61"/>
      <c r="S49" s="61"/>
      <c r="T49" s="61"/>
      <c r="U49" s="61">
        <v>0</v>
      </c>
      <c r="V49" s="61">
        <v>0</v>
      </c>
      <c r="W49" s="61">
        <v>0</v>
      </c>
      <c r="X49" s="61">
        <v>0</v>
      </c>
      <c r="Y49" s="61">
        <f>(1 - CUSTOS!$M$31)*304.0795</f>
        <v>304.0795</v>
      </c>
      <c r="Z49" s="61">
        <v>0</v>
      </c>
      <c r="AA49" s="61">
        <v>0</v>
      </c>
      <c r="AB49" s="61"/>
      <c r="AC49" s="61">
        <f>(1 - CUSTOS!$M$31)*423.0606</f>
        <v>423.06060000000002</v>
      </c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P49" s="61">
        <f>IF((1 - CUSTOS!$M$31)&lt;&gt;0,1/(1 - CUSTOS!$M$31),1)</f>
        <v>1</v>
      </c>
    </row>
    <row r="50" spans="1:42" ht="11.25" customHeight="1" x14ac:dyDescent="0.3">
      <c r="A50" s="132"/>
      <c r="B50" s="132"/>
      <c r="C50" s="132"/>
      <c r="D50" s="132"/>
      <c r="E50" s="132"/>
      <c r="F50" s="132"/>
      <c r="G50" s="66" t="s">
        <v>78</v>
      </c>
      <c r="H50" s="66" t="s">
        <v>76</v>
      </c>
      <c r="I50" s="66">
        <f>'MERCADO TUSD'!$U$47</f>
        <v>7.484</v>
      </c>
      <c r="J50" s="15"/>
      <c r="L50" s="61"/>
      <c r="M50" s="61"/>
      <c r="N50" s="61"/>
      <c r="O50" s="61"/>
      <c r="P50" s="61"/>
      <c r="Q50" s="61"/>
      <c r="R50" s="61"/>
      <c r="S50" s="61"/>
      <c r="T50" s="61"/>
      <c r="U50" s="61">
        <v>0</v>
      </c>
      <c r="V50" s="61">
        <v>0</v>
      </c>
      <c r="W50" s="61">
        <v>0</v>
      </c>
      <c r="X50" s="61">
        <v>0</v>
      </c>
      <c r="Y50" s="61">
        <f>(1 - CUSTOS!$M$31)*101.3598</f>
        <v>101.35980000000001</v>
      </c>
      <c r="Z50" s="61">
        <v>0</v>
      </c>
      <c r="AA50" s="61">
        <v>0</v>
      </c>
      <c r="AB50" s="61"/>
      <c r="AC50" s="61">
        <f>(1 - CUSTOS!$M$31)*141.0202</f>
        <v>141.02019999999999</v>
      </c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P50" s="61">
        <f>IF((1 - CUSTOS!$M$31)&lt;&gt;0,1/(1 - CUSTOS!$M$31),1)</f>
        <v>1</v>
      </c>
    </row>
    <row r="51" spans="1:42" ht="11.25" customHeight="1" x14ac:dyDescent="0.3">
      <c r="A51" s="132"/>
      <c r="B51" s="65" t="s">
        <v>23</v>
      </c>
      <c r="C51" s="65" t="s">
        <v>25</v>
      </c>
      <c r="D51" s="65" t="s">
        <v>25</v>
      </c>
      <c r="E51" s="65" t="s">
        <v>25</v>
      </c>
      <c r="F51" s="65" t="s">
        <v>25</v>
      </c>
      <c r="G51" s="66" t="s">
        <v>81</v>
      </c>
      <c r="H51" s="66" t="s">
        <v>76</v>
      </c>
      <c r="I51" s="66">
        <f>'MERCADO TUSD'!$U$48</f>
        <v>11812.039999999999</v>
      </c>
      <c r="J51" s="15"/>
      <c r="L51" s="61"/>
      <c r="M51" s="61"/>
      <c r="N51" s="61"/>
      <c r="O51" s="61"/>
      <c r="P51" s="61"/>
      <c r="Q51" s="61"/>
      <c r="R51" s="61"/>
      <c r="S51" s="61"/>
      <c r="T51" s="61"/>
      <c r="U51" s="61">
        <v>0</v>
      </c>
      <c r="V51" s="61">
        <v>0</v>
      </c>
      <c r="W51" s="61">
        <v>0</v>
      </c>
      <c r="X51" s="61">
        <v>0</v>
      </c>
      <c r="Y51" s="61">
        <f>(1 - CUSTOS!$M$31)*140.7775</f>
        <v>140.7775</v>
      </c>
      <c r="Z51" s="61">
        <v>0</v>
      </c>
      <c r="AA51" s="61">
        <v>0</v>
      </c>
      <c r="AB51" s="61"/>
      <c r="AC51" s="61">
        <f>(1 - CUSTOS!$M$31)*195.8614</f>
        <v>195.8614</v>
      </c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P51" s="61">
        <f>IF((1 - CUSTOS!$M$31)&lt;&gt;0,1/(1 - CUSTOS!$M$31),1)</f>
        <v>1</v>
      </c>
    </row>
    <row r="52" spans="1:42" ht="11.25" customHeight="1" x14ac:dyDescent="0.3">
      <c r="A52" s="132"/>
      <c r="B52" s="65" t="s">
        <v>95</v>
      </c>
      <c r="C52" s="65" t="s">
        <v>25</v>
      </c>
      <c r="D52" s="65" t="s">
        <v>25</v>
      </c>
      <c r="E52" s="65" t="s">
        <v>25</v>
      </c>
      <c r="F52" s="65" t="s">
        <v>25</v>
      </c>
      <c r="G52" s="66" t="s">
        <v>81</v>
      </c>
      <c r="H52" s="66" t="s">
        <v>76</v>
      </c>
      <c r="I52" s="66">
        <f>'MERCADO TUSD'!$U$49</f>
        <v>0</v>
      </c>
      <c r="J52" s="15"/>
      <c r="L52" s="61"/>
      <c r="M52" s="61"/>
      <c r="N52" s="61"/>
      <c r="O52" s="61"/>
      <c r="P52" s="61"/>
      <c r="Q52" s="61"/>
      <c r="R52" s="61"/>
      <c r="S52" s="61"/>
      <c r="T52" s="61"/>
      <c r="U52" s="61">
        <v>0</v>
      </c>
      <c r="V52" s="61">
        <v>0</v>
      </c>
      <c r="W52" s="61">
        <v>0</v>
      </c>
      <c r="X52" s="61">
        <v>0</v>
      </c>
      <c r="Y52" s="61">
        <f>(1 - CUSTOS!$M$31)*140.7775</f>
        <v>140.7775</v>
      </c>
      <c r="Z52" s="61">
        <v>0</v>
      </c>
      <c r="AA52" s="61">
        <v>0</v>
      </c>
      <c r="AB52" s="61"/>
      <c r="AC52" s="61">
        <f>(1 - CUSTOS!$M$31)*195.8614</f>
        <v>195.8614</v>
      </c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P52" s="61">
        <f>IF((1 - CUSTOS!$M$31)&lt;&gt;0,1/(1 - CUSTOS!$M$31),1)</f>
        <v>1</v>
      </c>
    </row>
    <row r="53" spans="1:42" ht="11.25" customHeight="1" x14ac:dyDescent="0.3">
      <c r="A53" s="132" t="s">
        <v>45</v>
      </c>
      <c r="B53" s="132" t="s">
        <v>23</v>
      </c>
      <c r="C53" s="132" t="s">
        <v>46</v>
      </c>
      <c r="D53" s="65" t="s">
        <v>47</v>
      </c>
      <c r="E53" s="65" t="s">
        <v>25</v>
      </c>
      <c r="F53" s="65" t="s">
        <v>25</v>
      </c>
      <c r="G53" s="66" t="s">
        <v>81</v>
      </c>
      <c r="H53" s="66" t="s">
        <v>76</v>
      </c>
      <c r="I53" s="66">
        <f>'MERCADO TUSD'!$U$50</f>
        <v>4365.4290000000001</v>
      </c>
      <c r="J53" s="15"/>
      <c r="L53" s="61"/>
      <c r="M53" s="61"/>
      <c r="N53" s="61"/>
      <c r="O53" s="61"/>
      <c r="P53" s="61"/>
      <c r="Q53" s="61"/>
      <c r="R53" s="61"/>
      <c r="S53" s="61"/>
      <c r="T53" s="61"/>
      <c r="U53" s="61">
        <v>0</v>
      </c>
      <c r="V53" s="61">
        <v>0</v>
      </c>
      <c r="W53" s="61">
        <v>0</v>
      </c>
      <c r="X53" s="61">
        <v>0</v>
      </c>
      <c r="Y53" s="61">
        <f>(1 - CUSTOS!$M$32)*140.7775</f>
        <v>77.427625000000006</v>
      </c>
      <c r="Z53" s="61">
        <v>0</v>
      </c>
      <c r="AA53" s="61">
        <v>0</v>
      </c>
      <c r="AB53" s="61"/>
      <c r="AC53" s="61">
        <f>(1 - CUSTOS!$M$32)*195.8614</f>
        <v>107.72377000000002</v>
      </c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P53" s="61">
        <f>IF((1 - CUSTOS!$M$32)&lt;&gt;0,1/(1 - CUSTOS!$M$32),1)</f>
        <v>1.8181818181818181</v>
      </c>
    </row>
    <row r="54" spans="1:42" ht="11.25" customHeight="1" x14ac:dyDescent="0.3">
      <c r="A54" s="132"/>
      <c r="B54" s="132"/>
      <c r="C54" s="132"/>
      <c r="D54" s="66" t="s">
        <v>98</v>
      </c>
      <c r="E54" s="66" t="s">
        <v>25</v>
      </c>
      <c r="F54" s="66" t="s">
        <v>25</v>
      </c>
      <c r="G54" s="66" t="s">
        <v>81</v>
      </c>
      <c r="H54" s="66" t="s">
        <v>76</v>
      </c>
      <c r="I54" s="66">
        <f>'MERCADO TUSD'!$U$51</f>
        <v>0</v>
      </c>
      <c r="J54" s="15"/>
      <c r="L54" s="61"/>
      <c r="M54" s="61"/>
      <c r="N54" s="61"/>
      <c r="O54" s="61"/>
      <c r="P54" s="61"/>
      <c r="Q54" s="61"/>
      <c r="R54" s="61"/>
      <c r="S54" s="61"/>
      <c r="T54" s="61"/>
      <c r="U54" s="61">
        <v>0</v>
      </c>
      <c r="V54" s="61">
        <v>0</v>
      </c>
      <c r="W54" s="61">
        <v>0</v>
      </c>
      <c r="X54" s="61">
        <v>0</v>
      </c>
      <c r="Y54" s="61">
        <f>(1 - CUSTOS!$M$33)*140.7775</f>
        <v>84.466499999999996</v>
      </c>
      <c r="Z54" s="61">
        <v>0</v>
      </c>
      <c r="AA54" s="61">
        <v>0</v>
      </c>
      <c r="AB54" s="61"/>
      <c r="AC54" s="61">
        <f>(1 - CUSTOS!$M$33)*195.8614</f>
        <v>117.51684</v>
      </c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P54" s="61">
        <f>IF((1 - CUSTOS!$M$33)&lt;&gt;0,1/(1 - CUSTOS!$M$33),1)</f>
        <v>1.6666666666666667</v>
      </c>
    </row>
  </sheetData>
  <mergeCells count="78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E5:E7"/>
    <mergeCell ref="B13:B17"/>
    <mergeCell ref="C13:C17"/>
    <mergeCell ref="D13:D17"/>
    <mergeCell ref="E13:E15"/>
    <mergeCell ref="J1:J4"/>
    <mergeCell ref="L1:AM1"/>
    <mergeCell ref="A1:A4"/>
    <mergeCell ref="C9:C11"/>
    <mergeCell ref="D9:D11"/>
    <mergeCell ref="E9:E11"/>
    <mergeCell ref="F9:F11"/>
    <mergeCell ref="F5:F7"/>
    <mergeCell ref="B9:B11"/>
    <mergeCell ref="G1:G4"/>
    <mergeCell ref="H1:H4"/>
    <mergeCell ref="I1:I4"/>
    <mergeCell ref="A5:A17"/>
    <mergeCell ref="B5:B8"/>
    <mergeCell ref="C5:C8"/>
    <mergeCell ref="D5:D8"/>
    <mergeCell ref="F13:F15"/>
    <mergeCell ref="E16:E17"/>
    <mergeCell ref="A20:A32"/>
    <mergeCell ref="B20:B22"/>
    <mergeCell ref="C20:C22"/>
    <mergeCell ref="D20:D22"/>
    <mergeCell ref="E20:E22"/>
    <mergeCell ref="F16:F17"/>
    <mergeCell ref="A18:A19"/>
    <mergeCell ref="B18:B19"/>
    <mergeCell ref="C18:C19"/>
    <mergeCell ref="D18:D19"/>
    <mergeCell ref="F20:F22"/>
    <mergeCell ref="B23:B27"/>
    <mergeCell ref="C23:C27"/>
    <mergeCell ref="B28:B32"/>
    <mergeCell ref="A33:A47"/>
    <mergeCell ref="B33:B35"/>
    <mergeCell ref="C33:C35"/>
    <mergeCell ref="D33:D35"/>
    <mergeCell ref="E33:E35"/>
    <mergeCell ref="C28:C32"/>
    <mergeCell ref="F33:F35"/>
    <mergeCell ref="B37:B39"/>
    <mergeCell ref="C37:C39"/>
    <mergeCell ref="D37:D39"/>
    <mergeCell ref="E37:E39"/>
    <mergeCell ref="F37:F39"/>
    <mergeCell ref="D48:D50"/>
    <mergeCell ref="E48:E50"/>
    <mergeCell ref="F48:F50"/>
    <mergeCell ref="B41:B43"/>
    <mergeCell ref="C41:C43"/>
    <mergeCell ref="D41:D43"/>
    <mergeCell ref="E41:E43"/>
    <mergeCell ref="F41:F43"/>
    <mergeCell ref="B45:B47"/>
    <mergeCell ref="C45:C47"/>
    <mergeCell ref="A53:A54"/>
    <mergeCell ref="B53:B54"/>
    <mergeCell ref="C53:C54"/>
    <mergeCell ref="A48:A52"/>
    <mergeCell ref="B48:B50"/>
    <mergeCell ref="C48:C50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00CA3-4AAA-4C6C-88CD-884AEFA6F683}">
  <sheetPr codeName="Planilha8"/>
  <dimension ref="A1:AP73"/>
  <sheetViews>
    <sheetView showGridLines="0" topLeftCell="C38" workbookViewId="0">
      <selection activeCell="K65" sqref="K65:P65"/>
    </sheetView>
  </sheetViews>
  <sheetFormatPr defaultColWidth="9.1093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9.109375" style="9"/>
    <col min="11" max="11" width="14.33203125" style="9" bestFit="1" customWidth="1"/>
    <col min="12" max="12" width="13.44140625" style="9" bestFit="1" customWidth="1"/>
    <col min="13" max="13" width="10.44140625" style="9" bestFit="1" customWidth="1"/>
    <col min="14" max="14" width="11.6640625" style="9" bestFit="1" customWidth="1"/>
    <col min="15" max="16" width="9" style="9" bestFit="1" customWidth="1"/>
    <col min="17" max="18" width="10" style="9" bestFit="1" customWidth="1"/>
    <col min="19" max="19" width="8.6640625" style="9" bestFit="1" customWidth="1"/>
    <col min="20" max="20" width="10" style="9" bestFit="1" customWidth="1"/>
    <col min="21" max="21" width="7.44140625" style="9" bestFit="1" customWidth="1"/>
    <col min="22" max="22" width="7.33203125" style="9" bestFit="1" customWidth="1"/>
    <col min="23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0.8867187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7.88671875" style="9" bestFit="1" customWidth="1"/>
    <col min="38" max="38" width="10" style="9" bestFit="1" customWidth="1"/>
    <col min="39" max="39" width="10.88671875" style="9" bestFit="1" customWidth="1"/>
    <col min="40" max="41" width="9.109375" style="9"/>
    <col min="42" max="42" width="7.88671875" style="9" bestFit="1" customWidth="1"/>
    <col min="43" max="16384" width="9.109375" style="9"/>
  </cols>
  <sheetData>
    <row r="1" spans="1:42" ht="11.25" customHeight="1" x14ac:dyDescent="0.3">
      <c r="A1" s="134" t="s">
        <v>66</v>
      </c>
      <c r="B1" s="134" t="s">
        <v>67</v>
      </c>
      <c r="C1" s="134" t="s">
        <v>68</v>
      </c>
      <c r="D1" s="134" t="s">
        <v>69</v>
      </c>
      <c r="E1" s="134" t="s">
        <v>70</v>
      </c>
      <c r="F1" s="134" t="s">
        <v>15</v>
      </c>
      <c r="G1" s="134" t="s">
        <v>72</v>
      </c>
      <c r="H1" s="134" t="s">
        <v>73</v>
      </c>
      <c r="I1" s="134" t="s">
        <v>700</v>
      </c>
      <c r="J1" s="125"/>
      <c r="L1" s="133" t="s">
        <v>701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702</v>
      </c>
    </row>
    <row r="2" spans="1:42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5"/>
      <c r="L2" s="133" t="s">
        <v>610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5"/>
    </row>
    <row r="3" spans="1:42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5"/>
      <c r="L3" s="133" t="s">
        <v>611</v>
      </c>
      <c r="M3" s="133"/>
      <c r="N3" s="133"/>
      <c r="O3" s="133"/>
      <c r="P3" s="133"/>
      <c r="Q3" s="133"/>
      <c r="R3" s="133"/>
      <c r="S3" s="133"/>
      <c r="T3" s="133"/>
      <c r="U3" s="133" t="s">
        <v>620</v>
      </c>
      <c r="V3" s="133"/>
      <c r="W3" s="133"/>
      <c r="X3" s="133"/>
      <c r="Y3" s="133"/>
      <c r="Z3" s="133"/>
      <c r="AA3" s="133"/>
      <c r="AB3" s="133"/>
      <c r="AC3" s="133" t="s">
        <v>628</v>
      </c>
      <c r="AD3" s="133"/>
      <c r="AE3" s="133" t="s">
        <v>630</v>
      </c>
      <c r="AF3" s="133"/>
      <c r="AG3" s="133"/>
      <c r="AH3" s="133" t="s">
        <v>633</v>
      </c>
      <c r="AI3" s="133"/>
      <c r="AJ3" s="133"/>
      <c r="AK3" s="133"/>
      <c r="AL3" s="133"/>
      <c r="AM3" s="133" t="s">
        <v>619</v>
      </c>
      <c r="AP3" s="135"/>
    </row>
    <row r="4" spans="1:42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5"/>
      <c r="L4" s="57" t="s">
        <v>696</v>
      </c>
      <c r="M4" s="57" t="s">
        <v>612</v>
      </c>
      <c r="N4" s="57" t="s">
        <v>613</v>
      </c>
      <c r="O4" s="57" t="s">
        <v>614</v>
      </c>
      <c r="P4" s="57" t="s">
        <v>615</v>
      </c>
      <c r="Q4" s="57" t="s">
        <v>616</v>
      </c>
      <c r="R4" s="57" t="s">
        <v>617</v>
      </c>
      <c r="S4" s="57" t="s">
        <v>618</v>
      </c>
      <c r="T4" s="57" t="s">
        <v>619</v>
      </c>
      <c r="U4" s="57" t="s">
        <v>621</v>
      </c>
      <c r="V4" s="57" t="s">
        <v>622</v>
      </c>
      <c r="W4" s="57" t="s">
        <v>623</v>
      </c>
      <c r="X4" s="57" t="s">
        <v>624</v>
      </c>
      <c r="Y4" s="57" t="s">
        <v>625</v>
      </c>
      <c r="Z4" s="57" t="s">
        <v>626</v>
      </c>
      <c r="AA4" s="57" t="s">
        <v>627</v>
      </c>
      <c r="AB4" s="57" t="s">
        <v>619</v>
      </c>
      <c r="AC4" s="57" t="s">
        <v>629</v>
      </c>
      <c r="AD4" s="57" t="s">
        <v>619</v>
      </c>
      <c r="AE4" s="57" t="s">
        <v>631</v>
      </c>
      <c r="AF4" s="57" t="s">
        <v>632</v>
      </c>
      <c r="AG4" s="57" t="s">
        <v>619</v>
      </c>
      <c r="AH4" s="57" t="s">
        <v>634</v>
      </c>
      <c r="AI4" s="57" t="s">
        <v>635</v>
      </c>
      <c r="AJ4" s="57" t="s">
        <v>636</v>
      </c>
      <c r="AK4" s="57" t="s">
        <v>637</v>
      </c>
      <c r="AL4" s="57" t="s">
        <v>619</v>
      </c>
      <c r="AM4" s="136"/>
      <c r="AP4" s="135"/>
    </row>
    <row r="5" spans="1:42" ht="11.25" customHeight="1" x14ac:dyDescent="0.3">
      <c r="A5" s="132" t="s">
        <v>39</v>
      </c>
      <c r="B5" s="132" t="s">
        <v>83</v>
      </c>
      <c r="C5" s="132" t="s">
        <v>25</v>
      </c>
      <c r="D5" s="132" t="s">
        <v>25</v>
      </c>
      <c r="E5" s="132" t="s">
        <v>25</v>
      </c>
      <c r="F5" s="132" t="s">
        <v>25</v>
      </c>
      <c r="G5" s="66" t="s">
        <v>85</v>
      </c>
      <c r="H5" s="66" t="s">
        <v>84</v>
      </c>
      <c r="I5" s="66">
        <f>'MERCADO TUSD'!$U$2</f>
        <v>0</v>
      </c>
      <c r="J5" s="15"/>
      <c r="L5" s="61">
        <v>0</v>
      </c>
      <c r="M5" s="61">
        <v>0</v>
      </c>
      <c r="N5" s="61">
        <v>0</v>
      </c>
      <c r="O5" s="61">
        <v>0</v>
      </c>
      <c r="P5" s="61">
        <v>0</v>
      </c>
      <c r="Q5" s="61">
        <v>0</v>
      </c>
      <c r="R5" s="61">
        <v>0</v>
      </c>
      <c r="S5" s="61">
        <v>0</v>
      </c>
      <c r="T5" s="61"/>
      <c r="U5" s="61">
        <f>TRANSICAO!$U$5*CUSTOS!$R$3</f>
        <v>0</v>
      </c>
      <c r="V5" s="61">
        <f>TRANSICAO!$V$5*CUSTOS!$R$3</f>
        <v>0</v>
      </c>
      <c r="W5" s="61">
        <f>TRANSICAO!$W$5*CUSTOS!$R$3</f>
        <v>0</v>
      </c>
      <c r="X5" s="61">
        <f>TRANSICAO!$X$5*CUSTOS!$R$3</f>
        <v>0</v>
      </c>
      <c r="Y5" s="61">
        <f>TRANSICAO!$Y$5*CUSTOS!$R$3</f>
        <v>36.716799999999999</v>
      </c>
      <c r="Z5" s="61">
        <f>TRANSICAO!$Z$5*CUSTOS!$R$3</f>
        <v>0</v>
      </c>
      <c r="AA5" s="61">
        <f>TRANSICAO!$AA$5*CUSTOS!$R$3</f>
        <v>0</v>
      </c>
      <c r="AB5" s="61">
        <f>TRANSICAO!$AB$5*CUSTOS!$R$3</f>
        <v>0</v>
      </c>
      <c r="AC5" s="61">
        <f>TRANSICAO!$AC$5*CUSTOS!$R$3</f>
        <v>43.030700000000003</v>
      </c>
      <c r="AD5" s="61">
        <f>TRANSICAO!$AD$5*CUSTOS!$R$3</f>
        <v>0</v>
      </c>
      <c r="AE5" s="61">
        <v>0</v>
      </c>
      <c r="AF5" s="61">
        <v>0</v>
      </c>
      <c r="AG5" s="61"/>
      <c r="AH5" s="61">
        <v>0</v>
      </c>
      <c r="AI5" s="61">
        <v>0</v>
      </c>
      <c r="AJ5" s="61">
        <v>0</v>
      </c>
      <c r="AK5" s="61">
        <f t="shared" ref="AK5:AK36" si="0">AJ5</f>
        <v>0</v>
      </c>
      <c r="AL5" s="61"/>
      <c r="AM5" s="61"/>
      <c r="AP5" s="61">
        <v>1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66" t="s">
        <v>86</v>
      </c>
      <c r="H6" s="66" t="s">
        <v>84</v>
      </c>
      <c r="I6" s="66">
        <f>'MERCADO TUSD'!$U$3</f>
        <v>0</v>
      </c>
      <c r="J6" s="15"/>
      <c r="L6" s="61">
        <v>0</v>
      </c>
      <c r="M6" s="61">
        <v>0</v>
      </c>
      <c r="N6" s="61">
        <v>0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61"/>
      <c r="U6" s="61">
        <f>TRANSICAO!$U$6*CUSTOS!$R$3</f>
        <v>0</v>
      </c>
      <c r="V6" s="61">
        <f>TRANSICAO!$V$6*CUSTOS!$R$3</f>
        <v>0</v>
      </c>
      <c r="W6" s="61">
        <f>TRANSICAO!$W$6*CUSTOS!$R$3</f>
        <v>0</v>
      </c>
      <c r="X6" s="61">
        <f>TRANSICAO!$X$6*CUSTOS!$R$3</f>
        <v>0</v>
      </c>
      <c r="Y6" s="61">
        <f>TRANSICAO!$Y$6*CUSTOS!$R$3</f>
        <v>21.356400000000001</v>
      </c>
      <c r="Z6" s="61">
        <f>TRANSICAO!$Z$6*CUSTOS!$R$3</f>
        <v>0</v>
      </c>
      <c r="AA6" s="61">
        <f>TRANSICAO!$AA$6*CUSTOS!$R$3</f>
        <v>0</v>
      </c>
      <c r="AB6" s="61">
        <f>TRANSICAO!$AB$6*CUSTOS!$R$3</f>
        <v>0</v>
      </c>
      <c r="AC6" s="61">
        <f>TRANSICAO!$AC$6*CUSTOS!$R$3</f>
        <v>21.5154</v>
      </c>
      <c r="AD6" s="61">
        <f>TRANSICAO!$AD$6*CUSTOS!$R$3</f>
        <v>0</v>
      </c>
      <c r="AE6" s="61">
        <v>0</v>
      </c>
      <c r="AF6" s="61">
        <v>0</v>
      </c>
      <c r="AG6" s="61"/>
      <c r="AH6" s="61">
        <v>0</v>
      </c>
      <c r="AI6" s="61">
        <v>0</v>
      </c>
      <c r="AJ6" s="61">
        <v>0</v>
      </c>
      <c r="AK6" s="61">
        <f t="shared" si="0"/>
        <v>0</v>
      </c>
      <c r="AL6" s="61"/>
      <c r="AM6" s="61"/>
      <c r="AP6" s="61">
        <v>1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66" t="s">
        <v>81</v>
      </c>
      <c r="H7" s="66" t="s">
        <v>76</v>
      </c>
      <c r="I7" s="66">
        <f>'MERCADO TUSD'!$U$4</f>
        <v>0</v>
      </c>
      <c r="J7" s="15"/>
      <c r="L7" s="61">
        <f>0.84</f>
        <v>0.84</v>
      </c>
      <c r="M7" s="61">
        <f>IF(AND((+$I$7+$I$8+$I$14+$I$15+$I$16+$I$17)&lt;&gt;0,SUMPRODUCT($I$5:$I$54,$AC$5:$AC$54,$AP$5:$AP$54)&lt;&gt;0),$M$59*SUMPRODUCT($I$5:$I$17,$AC$5:$AC$17,$AP$5:$AP$17)/SUMPRODUCT($I$5:$I$54,$AC$5:$AC$54,$AP$5:$AP$54)/(+$I$7+$I$8+$I$14+$I$15+$I$16+$I$17),0)</f>
        <v>0.92054629275862143</v>
      </c>
      <c r="N7" s="61">
        <f ca="1">(+M7+O7+R7+U7+V7+W7+X7+Y7+Z7+AA7+AC7+AH7+AI7+AJ7+AK7)*CUSTOS!$M$5</f>
        <v>0.37100623524393422</v>
      </c>
      <c r="O7" s="61">
        <v>1</v>
      </c>
      <c r="P7" s="61">
        <v>1</v>
      </c>
      <c r="Q7" s="61">
        <f>0.84</f>
        <v>0.84</v>
      </c>
      <c r="R7" s="61">
        <v>1</v>
      </c>
      <c r="S7" s="61">
        <v>1</v>
      </c>
      <c r="T7" s="61"/>
      <c r="U7" s="61">
        <f>TRANSICAO!$U$7*CUSTOS!$R$3</f>
        <v>0</v>
      </c>
      <c r="V7" s="61">
        <f>TRANSICAO!$V$7*CUSTOS!$R$3</f>
        <v>0</v>
      </c>
      <c r="W7" s="61">
        <f>TRANSICAO!$W$7*CUSTOS!$R$3</f>
        <v>0</v>
      </c>
      <c r="X7" s="61">
        <f>TRANSICAO!$X$7*CUSTOS!$R$3</f>
        <v>0</v>
      </c>
      <c r="Y7" s="61">
        <f>TRANSICAO!$Y$7*CUSTOS!$R$3</f>
        <v>0</v>
      </c>
      <c r="Z7" s="61">
        <f>TRANSICAO!$Z$7*CUSTOS!$R$3</f>
        <v>0</v>
      </c>
      <c r="AA7" s="61">
        <f>TRANSICAO!$AA$7*CUSTOS!$R$3</f>
        <v>0</v>
      </c>
      <c r="AB7" s="61">
        <f>TRANSICAO!$AB$7*CUSTOS!$R$3</f>
        <v>0</v>
      </c>
      <c r="AC7" s="61">
        <f>TRANSICAO!$AC$7*CUSTOS!$R$3</f>
        <v>0</v>
      </c>
      <c r="AD7" s="61">
        <f>TRANSICAO!$AD$7*CUSTOS!$R$3</f>
        <v>0</v>
      </c>
      <c r="AE7" s="61">
        <v>0</v>
      </c>
      <c r="AF7" s="61">
        <v>0</v>
      </c>
      <c r="AG7" s="61"/>
      <c r="AH7" s="61">
        <v>16.2515</v>
      </c>
      <c r="AI7" s="61">
        <v>16.2515</v>
      </c>
      <c r="AJ7" s="61">
        <f ca="1">$N$66</f>
        <v>0.83853861581739708</v>
      </c>
      <c r="AK7" s="61">
        <f t="shared" ca="1" si="0"/>
        <v>0.83853861581739708</v>
      </c>
      <c r="AL7" s="61"/>
      <c r="AM7" s="61"/>
      <c r="AP7" s="61">
        <v>1</v>
      </c>
    </row>
    <row r="8" spans="1:42" ht="11.25" customHeight="1" x14ac:dyDescent="0.3">
      <c r="A8" s="132"/>
      <c r="B8" s="132"/>
      <c r="C8" s="132"/>
      <c r="D8" s="132"/>
      <c r="E8" s="65" t="s">
        <v>87</v>
      </c>
      <c r="F8" s="65" t="s">
        <v>25</v>
      </c>
      <c r="G8" s="66" t="s">
        <v>81</v>
      </c>
      <c r="H8" s="66" t="s">
        <v>76</v>
      </c>
      <c r="I8" s="66">
        <f>'MERCADO TUSD'!$U$5</f>
        <v>0</v>
      </c>
      <c r="J8" s="15"/>
      <c r="L8" s="61">
        <v>0</v>
      </c>
      <c r="M8" s="61">
        <f>IF(AND((+$I$7+$I$8+$I$14+$I$15+$I$16+$I$17)&lt;&gt;0,SUMPRODUCT($I$5:$I$54,$AC$5:$AC$54,$AP$5:$AP$54)&lt;&gt;0),$M$59*SUMPRODUCT($I$5:$I$17,$AC$5:$AC$17,$AP$5:$AP$17)/SUMPRODUCT($I$5:$I$54,$AC$5:$AC$54,$AP$5:$AP$54)/(+$I$7+$I$8+$I$14+$I$15+$I$16+$I$17),0)</f>
        <v>0.92054629275862143</v>
      </c>
      <c r="N8" s="61">
        <f ca="1">(+M8+O8+R8+U8+V8+W8+X8+Y8+Z8+AA8+AC8+AH8+AI8+AJ8+AK8)*CUSTOS!$M$5</f>
        <v>0.36100623524393421</v>
      </c>
      <c r="O8" s="61">
        <v>1</v>
      </c>
      <c r="P8" s="61">
        <v>0</v>
      </c>
      <c r="Q8" s="61">
        <v>0</v>
      </c>
      <c r="R8" s="61">
        <v>0</v>
      </c>
      <c r="S8" s="61">
        <v>0</v>
      </c>
      <c r="T8" s="61"/>
      <c r="U8" s="61">
        <f>TRANSICAO!$U$8*CUSTOS!$R$3</f>
        <v>0</v>
      </c>
      <c r="V8" s="61">
        <f>TRANSICAO!$V$8*CUSTOS!$R$3</f>
        <v>0</v>
      </c>
      <c r="W8" s="61">
        <f>TRANSICAO!$W$8*CUSTOS!$R$3</f>
        <v>0</v>
      </c>
      <c r="X8" s="61">
        <f>TRANSICAO!$X$8*CUSTOS!$R$3</f>
        <v>0</v>
      </c>
      <c r="Y8" s="61">
        <f>TRANSICAO!$Y$8*CUSTOS!$R$3</f>
        <v>0</v>
      </c>
      <c r="Z8" s="61">
        <f>TRANSICAO!$Z$8*CUSTOS!$R$3</f>
        <v>0</v>
      </c>
      <c r="AA8" s="61">
        <f>TRANSICAO!$AA$8*CUSTOS!$R$3</f>
        <v>0</v>
      </c>
      <c r="AB8" s="61">
        <f>TRANSICAO!$AB$8*CUSTOS!$R$3</f>
        <v>0</v>
      </c>
      <c r="AC8" s="61">
        <f>TRANSICAO!$AC$8*CUSTOS!$R$3</f>
        <v>0</v>
      </c>
      <c r="AD8" s="61">
        <f>TRANSICAO!$AD$8*CUSTOS!$R$3</f>
        <v>0</v>
      </c>
      <c r="AE8" s="61">
        <v>0</v>
      </c>
      <c r="AF8" s="61">
        <v>0</v>
      </c>
      <c r="AG8" s="61"/>
      <c r="AH8" s="61">
        <v>16.2515</v>
      </c>
      <c r="AI8" s="61">
        <v>16.2515</v>
      </c>
      <c r="AJ8" s="61">
        <f ca="1">$N$66</f>
        <v>0.83853861581739708</v>
      </c>
      <c r="AK8" s="61">
        <f t="shared" ca="1" si="0"/>
        <v>0.83853861581739708</v>
      </c>
      <c r="AL8" s="61"/>
      <c r="AM8" s="61"/>
      <c r="AP8" s="61">
        <v>1</v>
      </c>
    </row>
    <row r="9" spans="1:42" ht="11.25" customHeight="1" x14ac:dyDescent="0.3">
      <c r="A9" s="132"/>
      <c r="B9" s="132" t="s">
        <v>56</v>
      </c>
      <c r="C9" s="132" t="s">
        <v>25</v>
      </c>
      <c r="D9" s="132" t="s">
        <v>25</v>
      </c>
      <c r="E9" s="132" t="s">
        <v>25</v>
      </c>
      <c r="F9" s="132" t="s">
        <v>58</v>
      </c>
      <c r="G9" s="66" t="s">
        <v>85</v>
      </c>
      <c r="H9" s="66" t="s">
        <v>84</v>
      </c>
      <c r="I9" s="66">
        <f>'MERCADO TUSD'!$U$6</f>
        <v>16540</v>
      </c>
      <c r="J9" s="15"/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1"/>
      <c r="U9" s="61">
        <f>TRANSICAO!$U$9*CUSTOS!$R$3</f>
        <v>0</v>
      </c>
      <c r="V9" s="61">
        <f>TRANSICAO!$V$9*CUSTOS!$R$3</f>
        <v>0</v>
      </c>
      <c r="W9" s="61">
        <f>TRANSICAO!$W$9*CUSTOS!$R$3</f>
        <v>0</v>
      </c>
      <c r="X9" s="61">
        <f>TRANSICAO!$X$9*CUSTOS!$R$3</f>
        <v>0</v>
      </c>
      <c r="Y9" s="61">
        <f>TRANSICAO!$Y$9*CUSTOS!$R$3</f>
        <v>36.716799999999999</v>
      </c>
      <c r="Z9" s="61">
        <f>TRANSICAO!$Z$9*CUSTOS!$R$3</f>
        <v>0</v>
      </c>
      <c r="AA9" s="61">
        <f>TRANSICAO!$AA$9*CUSTOS!$R$3</f>
        <v>0</v>
      </c>
      <c r="AB9" s="61">
        <f>TRANSICAO!$AB$9*CUSTOS!$R$3</f>
        <v>0</v>
      </c>
      <c r="AC9" s="61">
        <f>TRANSICAO!$AC$9*CUSTOS!$R$3</f>
        <v>7.6006</v>
      </c>
      <c r="AD9" s="61">
        <f>TRANSICAO!$AD$9*CUSTOS!$R$3</f>
        <v>0</v>
      </c>
      <c r="AE9" s="61">
        <v>0</v>
      </c>
      <c r="AF9" s="61">
        <v>0</v>
      </c>
      <c r="AG9" s="61"/>
      <c r="AH9" s="61">
        <v>0</v>
      </c>
      <c r="AI9" s="61">
        <v>0</v>
      </c>
      <c r="AJ9" s="61">
        <v>0</v>
      </c>
      <c r="AK9" s="61">
        <f t="shared" si="0"/>
        <v>0</v>
      </c>
      <c r="AL9" s="61"/>
      <c r="AM9" s="61"/>
      <c r="AP9" s="61">
        <v>1</v>
      </c>
    </row>
    <row r="10" spans="1:42" ht="11.25" customHeight="1" x14ac:dyDescent="0.3">
      <c r="A10" s="132"/>
      <c r="B10" s="132"/>
      <c r="C10" s="132"/>
      <c r="D10" s="132"/>
      <c r="E10" s="132"/>
      <c r="F10" s="132"/>
      <c r="G10" s="66" t="s">
        <v>86</v>
      </c>
      <c r="H10" s="66" t="s">
        <v>84</v>
      </c>
      <c r="I10" s="66">
        <f>'MERCADO TUSD'!$U$7</f>
        <v>16454</v>
      </c>
      <c r="J10" s="15"/>
      <c r="L10" s="61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/>
      <c r="U10" s="61">
        <f>TRANSICAO!$U$10*CUSTOS!$R$3</f>
        <v>0</v>
      </c>
      <c r="V10" s="61">
        <f>TRANSICAO!$V$10*CUSTOS!$R$3</f>
        <v>0</v>
      </c>
      <c r="W10" s="61">
        <f>TRANSICAO!$W$10*CUSTOS!$R$3</f>
        <v>0</v>
      </c>
      <c r="X10" s="61">
        <f>TRANSICAO!$X$10*CUSTOS!$R$3</f>
        <v>0</v>
      </c>
      <c r="Y10" s="61">
        <f>TRANSICAO!$Y$10*CUSTOS!$R$3</f>
        <v>21.356400000000001</v>
      </c>
      <c r="Z10" s="61">
        <f>TRANSICAO!$Z$10*CUSTOS!$R$3</f>
        <v>0</v>
      </c>
      <c r="AA10" s="61">
        <f>TRANSICAO!$AA$10*CUSTOS!$R$3</f>
        <v>0</v>
      </c>
      <c r="AB10" s="61">
        <f>TRANSICAO!$AB$10*CUSTOS!$R$3</f>
        <v>0</v>
      </c>
      <c r="AC10" s="61">
        <f>TRANSICAO!$AC$10*CUSTOS!$R$3</f>
        <v>3.8003</v>
      </c>
      <c r="AD10" s="61">
        <f>TRANSICAO!$AD$10*CUSTOS!$R$3</f>
        <v>0</v>
      </c>
      <c r="AE10" s="61">
        <v>0</v>
      </c>
      <c r="AF10" s="61">
        <v>0</v>
      </c>
      <c r="AG10" s="61"/>
      <c r="AH10" s="61">
        <v>0</v>
      </c>
      <c r="AI10" s="61">
        <v>0</v>
      </c>
      <c r="AJ10" s="61">
        <v>0</v>
      </c>
      <c r="AK10" s="61">
        <f t="shared" si="0"/>
        <v>0</v>
      </c>
      <c r="AL10" s="61"/>
      <c r="AM10" s="61"/>
      <c r="AP10" s="61">
        <v>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66" t="s">
        <v>81</v>
      </c>
      <c r="H11" s="66" t="s">
        <v>76</v>
      </c>
      <c r="I11" s="66">
        <f>'MERCADO TUSD'!$U$8</f>
        <v>5489.0889999999999</v>
      </c>
      <c r="J11" s="15"/>
      <c r="L11" s="61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61">
        <v>0</v>
      </c>
      <c r="S11" s="61">
        <v>0</v>
      </c>
      <c r="T11" s="61"/>
      <c r="U11" s="61">
        <f>TRANSICAO!$U$11*CUSTOS!$R$3</f>
        <v>0</v>
      </c>
      <c r="V11" s="61">
        <f>TRANSICAO!$V$11*CUSTOS!$R$3</f>
        <v>0</v>
      </c>
      <c r="W11" s="61">
        <f>TRANSICAO!$W$11*CUSTOS!$R$3</f>
        <v>0</v>
      </c>
      <c r="X11" s="61">
        <f>TRANSICAO!$X$11*CUSTOS!$R$3</f>
        <v>0</v>
      </c>
      <c r="Y11" s="61">
        <f>TRANSICAO!$Y$11*CUSTOS!$R$3</f>
        <v>0</v>
      </c>
      <c r="Z11" s="61">
        <f>TRANSICAO!$Z$11*CUSTOS!$R$3</f>
        <v>0</v>
      </c>
      <c r="AA11" s="61">
        <f>TRANSICAO!$AA$11*CUSTOS!$R$3</f>
        <v>0</v>
      </c>
      <c r="AB11" s="61">
        <f>TRANSICAO!$AB$11*CUSTOS!$R$3</f>
        <v>0</v>
      </c>
      <c r="AC11" s="61">
        <f>TRANSICAO!$AC$11*CUSTOS!$R$3</f>
        <v>0</v>
      </c>
      <c r="AD11" s="61">
        <f>TRANSICAO!$AD$11*CUSTOS!$R$3</f>
        <v>0</v>
      </c>
      <c r="AE11" s="61">
        <v>0</v>
      </c>
      <c r="AF11" s="61">
        <v>0</v>
      </c>
      <c r="AG11" s="61"/>
      <c r="AH11" s="61">
        <v>16.2515</v>
      </c>
      <c r="AI11" s="61">
        <v>16.2515</v>
      </c>
      <c r="AJ11" s="61">
        <v>0</v>
      </c>
      <c r="AK11" s="61">
        <f t="shared" si="0"/>
        <v>0</v>
      </c>
      <c r="AL11" s="61"/>
      <c r="AM11" s="61"/>
      <c r="AP11" s="61">
        <v>1</v>
      </c>
    </row>
    <row r="12" spans="1:42" ht="11.25" customHeight="1" x14ac:dyDescent="0.3">
      <c r="A12" s="132"/>
      <c r="B12" s="65" t="s">
        <v>88</v>
      </c>
      <c r="C12" s="65" t="s">
        <v>25</v>
      </c>
      <c r="D12" s="65" t="s">
        <v>25</v>
      </c>
      <c r="E12" s="65" t="s">
        <v>25</v>
      </c>
      <c r="F12" s="65" t="s">
        <v>25</v>
      </c>
      <c r="G12" s="66" t="s">
        <v>9</v>
      </c>
      <c r="H12" s="66" t="s">
        <v>84</v>
      </c>
      <c r="I12" s="66">
        <f>'MERCADO TUSD'!$U$9</f>
        <v>0</v>
      </c>
      <c r="J12" s="15"/>
      <c r="L12" s="61">
        <v>0</v>
      </c>
      <c r="M12" s="61">
        <v>7.7899999999999997E-2</v>
      </c>
      <c r="N12" s="61">
        <f>0.1956</f>
        <v>0.1956</v>
      </c>
      <c r="O12" s="61">
        <v>0</v>
      </c>
      <c r="P12" s="61">
        <v>0</v>
      </c>
      <c r="Q12" s="61">
        <v>0</v>
      </c>
      <c r="R12" s="61">
        <v>0</v>
      </c>
      <c r="S12" s="61">
        <v>0</v>
      </c>
      <c r="T12" s="61"/>
      <c r="U12" s="61">
        <f>TRANSICAO!$U$12*CUSTOS!$R$4</f>
        <v>0</v>
      </c>
      <c r="V12" s="61">
        <f>TRANSICAO!$V$12*CUSTOS!$R$4</f>
        <v>0</v>
      </c>
      <c r="W12" s="61">
        <f>TRANSICAO!$W$12*CUSTOS!$R$4</f>
        <v>0</v>
      </c>
      <c r="X12" s="61">
        <f>TRANSICAO!$X$12*CUSTOS!$R$4</f>
        <v>0</v>
      </c>
      <c r="Y12" s="61">
        <f>TRANSICAO!$Y$12*CUSTOS!$R$4</f>
        <v>0</v>
      </c>
      <c r="Z12" s="61">
        <f>TRANSICAO!$Z$12*CUSTOS!$R$4</f>
        <v>0</v>
      </c>
      <c r="AA12" s="61">
        <f>TRANSICAO!$AA$12*CUSTOS!$R$4</f>
        <v>0</v>
      </c>
      <c r="AB12" s="61">
        <f>TRANSICAO!$AB$12*CUSTOS!$R$4</f>
        <v>0</v>
      </c>
      <c r="AC12" s="61">
        <f>TRANSICAO!$AC$12*CUSTOS!$R$4</f>
        <v>19.486499999999999</v>
      </c>
      <c r="AD12" s="61">
        <f>TRANSICAO!$AD$12*CUSTOS!$R$4</f>
        <v>0</v>
      </c>
      <c r="AE12" s="61">
        <v>0</v>
      </c>
      <c r="AF12" s="61">
        <v>0</v>
      </c>
      <c r="AG12" s="61"/>
      <c r="AH12" s="61">
        <v>0</v>
      </c>
      <c r="AI12" s="61">
        <v>0</v>
      </c>
      <c r="AJ12" s="61">
        <v>0</v>
      </c>
      <c r="AK12" s="61">
        <f t="shared" si="0"/>
        <v>0</v>
      </c>
      <c r="AL12" s="61"/>
      <c r="AM12" s="61"/>
      <c r="AP12" s="61"/>
    </row>
    <row r="13" spans="1:42" ht="11.25" customHeight="1" x14ac:dyDescent="0.3">
      <c r="A13" s="132"/>
      <c r="B13" s="132" t="s">
        <v>40</v>
      </c>
      <c r="C13" s="132" t="s">
        <v>25</v>
      </c>
      <c r="D13" s="132" t="s">
        <v>25</v>
      </c>
      <c r="E13" s="132" t="s">
        <v>25</v>
      </c>
      <c r="F13" s="132" t="s">
        <v>25</v>
      </c>
      <c r="G13" s="66" t="s">
        <v>9</v>
      </c>
      <c r="H13" s="66" t="s">
        <v>84</v>
      </c>
      <c r="I13" s="66">
        <f>'MERCADO TUSD'!$U$10</f>
        <v>119147</v>
      </c>
      <c r="J13" s="15"/>
      <c r="L13" s="61">
        <v>0</v>
      </c>
      <c r="M13" s="61">
        <v>0</v>
      </c>
      <c r="N13" s="61">
        <v>0</v>
      </c>
      <c r="O13" s="61">
        <v>0</v>
      </c>
      <c r="P13" s="61">
        <v>0</v>
      </c>
      <c r="Q13" s="61">
        <v>0</v>
      </c>
      <c r="R13" s="61">
        <v>0</v>
      </c>
      <c r="S13" s="61">
        <v>0</v>
      </c>
      <c r="T13" s="61"/>
      <c r="U13" s="61">
        <f>TRANSICAO!$U$13*CUSTOS!$R$3</f>
        <v>0</v>
      </c>
      <c r="V13" s="61">
        <f>TRANSICAO!$V$13*CUSTOS!$R$3</f>
        <v>0</v>
      </c>
      <c r="W13" s="61">
        <f>TRANSICAO!$W$13*CUSTOS!$R$3</f>
        <v>0</v>
      </c>
      <c r="X13" s="61">
        <f>TRANSICAO!$X$13*CUSTOS!$R$3</f>
        <v>0</v>
      </c>
      <c r="Y13" s="61">
        <f>TRANSICAO!$Y$13*CUSTOS!$R$3</f>
        <v>21.356400000000001</v>
      </c>
      <c r="Z13" s="61">
        <f>TRANSICAO!$Z$13*CUSTOS!$R$3</f>
        <v>0</v>
      </c>
      <c r="AA13" s="61">
        <f>TRANSICAO!$AA$13*CUSTOS!$R$3</f>
        <v>0</v>
      </c>
      <c r="AB13" s="61">
        <f>TRANSICAO!$AB$13*CUSTOS!$R$3</f>
        <v>0</v>
      </c>
      <c r="AC13" s="61">
        <f>TRANSICAO!$AC$13*CUSTOS!$R$3</f>
        <v>21.5154</v>
      </c>
      <c r="AD13" s="61">
        <f>TRANSICAO!$AD$13*CUSTOS!$R$3</f>
        <v>0</v>
      </c>
      <c r="AE13" s="61">
        <v>0</v>
      </c>
      <c r="AF13" s="61">
        <v>0</v>
      </c>
      <c r="AG13" s="61"/>
      <c r="AH13" s="61">
        <v>0</v>
      </c>
      <c r="AI13" s="61">
        <v>0</v>
      </c>
      <c r="AJ13" s="61">
        <v>0</v>
      </c>
      <c r="AK13" s="61">
        <f t="shared" si="0"/>
        <v>0</v>
      </c>
      <c r="AL13" s="61"/>
      <c r="AM13" s="61"/>
      <c r="AP13" s="61">
        <v>1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66" t="s">
        <v>77</v>
      </c>
      <c r="H14" s="66" t="s">
        <v>76</v>
      </c>
      <c r="I14" s="66">
        <f>'MERCADO TUSD'!$U$11</f>
        <v>964.50799999999992</v>
      </c>
      <c r="J14" s="15"/>
      <c r="L14" s="61">
        <f>0.84</f>
        <v>0.84</v>
      </c>
      <c r="M14" s="61">
        <f>IF(AND((+$I$7+$I$8+$I$14+$I$15+$I$16+$I$17)&lt;&gt;0,SUMPRODUCT($I$5:$I$54,$AC$5:$AC$54,$AP$5:$AP$54)&lt;&gt;0),$M$59*SUMPRODUCT($I$5:$I$17,$AC$5:$AC$17,$AP$5:$AP$17)/SUMPRODUCT($I$5:$I$54,$AC$5:$AC$54,$AP$5:$AP$54)/(+$I$7+$I$8+$I$14+$I$15+$I$16+$I$17),0)</f>
        <v>0.92054629275862143</v>
      </c>
      <c r="N14" s="61">
        <f ca="1">(+M14+O14+R14+U14+V14+W14+X14+Y14+Z14+AA14+AC14+AH14+AI14+AJ14+AK14)*CUSTOS!$M$5</f>
        <v>19.550299235243937</v>
      </c>
      <c r="O14" s="61">
        <v>1</v>
      </c>
      <c r="P14" s="61">
        <v>1</v>
      </c>
      <c r="Q14" s="61">
        <f>0.84</f>
        <v>0.84</v>
      </c>
      <c r="R14" s="61">
        <v>1</v>
      </c>
      <c r="S14" s="61">
        <v>1</v>
      </c>
      <c r="T14" s="61"/>
      <c r="U14" s="61">
        <f>TRANSICAO!$U$14*CUSTOS!$R$3</f>
        <v>0</v>
      </c>
      <c r="V14" s="61">
        <f>TRANSICAO!$V$14*CUSTOS!$R$3</f>
        <v>0</v>
      </c>
      <c r="W14" s="61">
        <f>TRANSICAO!$W$14*CUSTOS!$R$3</f>
        <v>0</v>
      </c>
      <c r="X14" s="61">
        <f>TRANSICAO!$X$14*CUSTOS!$R$3</f>
        <v>0</v>
      </c>
      <c r="Y14" s="61">
        <f>TRANSICAO!$Y$14*CUSTOS!$R$3</f>
        <v>883.03920000000005</v>
      </c>
      <c r="Z14" s="61">
        <f>TRANSICAO!$Z$14*CUSTOS!$R$3</f>
        <v>0</v>
      </c>
      <c r="AA14" s="61">
        <f>TRANSICAO!$AA$14*CUSTOS!$R$3</f>
        <v>0</v>
      </c>
      <c r="AB14" s="61">
        <f>TRANSICAO!$AB$14*CUSTOS!$R$3</f>
        <v>0</v>
      </c>
      <c r="AC14" s="61">
        <f>TRANSICAO!$AC$14*CUSTOS!$R$3</f>
        <v>1034.8901000000001</v>
      </c>
      <c r="AD14" s="61">
        <f>TRANSICAO!$AD$14*CUSTOS!$R$3</f>
        <v>0</v>
      </c>
      <c r="AE14" s="61">
        <v>0</v>
      </c>
      <c r="AF14" s="61">
        <v>0</v>
      </c>
      <c r="AG14" s="61"/>
      <c r="AH14" s="61">
        <v>16.2515</v>
      </c>
      <c r="AI14" s="61">
        <v>16.2515</v>
      </c>
      <c r="AJ14" s="61">
        <f ca="1">$N$66</f>
        <v>0.83853861581739708</v>
      </c>
      <c r="AK14" s="61">
        <f t="shared" ca="1" si="0"/>
        <v>0.83853861581739708</v>
      </c>
      <c r="AL14" s="61"/>
      <c r="AM14" s="61"/>
      <c r="AP14" s="61">
        <v>1</v>
      </c>
    </row>
    <row r="15" spans="1:42" ht="11.25" customHeight="1" x14ac:dyDescent="0.3">
      <c r="A15" s="132"/>
      <c r="B15" s="132"/>
      <c r="C15" s="132"/>
      <c r="D15" s="132"/>
      <c r="E15" s="132"/>
      <c r="F15" s="132"/>
      <c r="G15" s="66" t="s">
        <v>78</v>
      </c>
      <c r="H15" s="66" t="s">
        <v>76</v>
      </c>
      <c r="I15" s="66">
        <f>'MERCADO TUSD'!$U$12</f>
        <v>18843.148999999998</v>
      </c>
      <c r="J15" s="15"/>
      <c r="L15" s="61">
        <f>0.84</f>
        <v>0.84</v>
      </c>
      <c r="M15" s="61">
        <f>IF(AND((+$I$7+$I$8+$I$14+$I$15+$I$16+$I$17)&lt;&gt;0,SUMPRODUCT($I$5:$I$54,$AC$5:$AC$54,$AP$5:$AP$54)&lt;&gt;0),$M$59*SUMPRODUCT($I$5:$I$17,$AC$5:$AC$17,$AP$5:$AP$17)/SUMPRODUCT($I$5:$I$54,$AC$5:$AC$54,$AP$5:$AP$54)/(+$I$7+$I$8+$I$14+$I$15+$I$16+$I$17),0)</f>
        <v>0.92054629275862143</v>
      </c>
      <c r="N15" s="61">
        <f ca="1">(+M15+O15+R15+U15+V15+W15+X15+Y15+Z15+AA15+AC15+AH15+AI15+AJ15+AK15)*CUSTOS!$M$5</f>
        <v>0.37100623524393422</v>
      </c>
      <c r="O15" s="61">
        <v>1</v>
      </c>
      <c r="P15" s="61">
        <v>1</v>
      </c>
      <c r="Q15" s="61">
        <f>0.84</f>
        <v>0.84</v>
      </c>
      <c r="R15" s="61">
        <v>1</v>
      </c>
      <c r="S15" s="61">
        <v>1</v>
      </c>
      <c r="T15" s="61"/>
      <c r="U15" s="61">
        <f>TRANSICAO!$U$15*CUSTOS!$R$3</f>
        <v>0</v>
      </c>
      <c r="V15" s="61">
        <f>TRANSICAO!$V$15*CUSTOS!$R$3</f>
        <v>0</v>
      </c>
      <c r="W15" s="61">
        <f>TRANSICAO!$W$15*CUSTOS!$R$3</f>
        <v>0</v>
      </c>
      <c r="X15" s="61">
        <f>TRANSICAO!$X$15*CUSTOS!$R$3</f>
        <v>0</v>
      </c>
      <c r="Y15" s="61">
        <f>TRANSICAO!$Y$15*CUSTOS!$R$3</f>
        <v>0</v>
      </c>
      <c r="Z15" s="61">
        <f>TRANSICAO!$Z$15*CUSTOS!$R$3</f>
        <v>0</v>
      </c>
      <c r="AA15" s="61">
        <f>TRANSICAO!$AA$15*CUSTOS!$R$3</f>
        <v>0</v>
      </c>
      <c r="AB15" s="61">
        <f>TRANSICAO!$AB$15*CUSTOS!$R$3</f>
        <v>0</v>
      </c>
      <c r="AC15" s="61">
        <f>TRANSICAO!$AC$15*CUSTOS!$R$3</f>
        <v>0</v>
      </c>
      <c r="AD15" s="61">
        <f>TRANSICAO!$AD$15*CUSTOS!$R$3</f>
        <v>0</v>
      </c>
      <c r="AE15" s="61">
        <v>0</v>
      </c>
      <c r="AF15" s="61">
        <v>0</v>
      </c>
      <c r="AG15" s="61"/>
      <c r="AH15" s="61">
        <v>16.2515</v>
      </c>
      <c r="AI15" s="61">
        <v>16.2515</v>
      </c>
      <c r="AJ15" s="61">
        <f ca="1">$N$66</f>
        <v>0.83853861581739708</v>
      </c>
      <c r="AK15" s="61">
        <f t="shared" ca="1" si="0"/>
        <v>0.83853861581739708</v>
      </c>
      <c r="AL15" s="61"/>
      <c r="AM15" s="61"/>
      <c r="AP15" s="61">
        <v>1</v>
      </c>
    </row>
    <row r="16" spans="1:42" ht="11.25" customHeight="1" x14ac:dyDescent="0.3">
      <c r="A16" s="132"/>
      <c r="B16" s="132"/>
      <c r="C16" s="132"/>
      <c r="D16" s="132"/>
      <c r="E16" s="132" t="s">
        <v>87</v>
      </c>
      <c r="F16" s="132" t="s">
        <v>25</v>
      </c>
      <c r="G16" s="66" t="s">
        <v>77</v>
      </c>
      <c r="H16" s="66" t="s">
        <v>76</v>
      </c>
      <c r="I16" s="66">
        <f>'MERCADO TUSD'!$U$13</f>
        <v>0</v>
      </c>
      <c r="J16" s="15"/>
      <c r="L16" s="61">
        <v>0</v>
      </c>
      <c r="M16" s="61">
        <f>IF(AND((+$I$7+$I$8+$I$14+$I$15+$I$16+$I$17)&lt;&gt;0,SUMPRODUCT($I$5:$I$54,$AC$5:$AC$54,$AP$5:$AP$54)&lt;&gt;0),$M$59*SUMPRODUCT($I$5:$I$17,$AC$5:$AC$17,$AP$5:$AP$17)/SUMPRODUCT($I$5:$I$54,$AC$5:$AC$54,$AP$5:$AP$54)/(+$I$7+$I$8+$I$14+$I$15+$I$16+$I$17),0)</f>
        <v>0.92054629275862143</v>
      </c>
      <c r="N16" s="61">
        <f ca="1">(+M16+O16+R16+U16+V16+W16+X16+Y16+Z16+AA16+AC16+AH16+AI16+AJ16+AK16)*CUSTOS!$M$5</f>
        <v>19.540299235243939</v>
      </c>
      <c r="O16" s="61">
        <v>1</v>
      </c>
      <c r="P16" s="61">
        <v>0</v>
      </c>
      <c r="Q16" s="61">
        <v>0</v>
      </c>
      <c r="R16" s="61">
        <v>0</v>
      </c>
      <c r="S16" s="61">
        <v>0</v>
      </c>
      <c r="T16" s="61"/>
      <c r="U16" s="61">
        <f>TRANSICAO!$U$16*CUSTOS!$R$3</f>
        <v>0</v>
      </c>
      <c r="V16" s="61">
        <f>TRANSICAO!$V$16*CUSTOS!$R$3</f>
        <v>0</v>
      </c>
      <c r="W16" s="61">
        <f>TRANSICAO!$W$16*CUSTOS!$R$3</f>
        <v>0</v>
      </c>
      <c r="X16" s="61">
        <f>TRANSICAO!$X$16*CUSTOS!$R$3</f>
        <v>0</v>
      </c>
      <c r="Y16" s="61">
        <f>TRANSICAO!$Y$16*CUSTOS!$R$3</f>
        <v>883.03920000000005</v>
      </c>
      <c r="Z16" s="61">
        <f>TRANSICAO!$Z$16*CUSTOS!$R$3</f>
        <v>0</v>
      </c>
      <c r="AA16" s="61">
        <f>TRANSICAO!$AA$16*CUSTOS!$R$3</f>
        <v>0</v>
      </c>
      <c r="AB16" s="61">
        <f>TRANSICAO!$AB$16*CUSTOS!$R$3</f>
        <v>0</v>
      </c>
      <c r="AC16" s="61">
        <f>TRANSICAO!$AC$16*CUSTOS!$R$3</f>
        <v>1034.8901000000001</v>
      </c>
      <c r="AD16" s="61">
        <f>TRANSICAO!$AD$16*CUSTOS!$R$3</f>
        <v>0</v>
      </c>
      <c r="AE16" s="61">
        <v>0</v>
      </c>
      <c r="AF16" s="61">
        <v>0</v>
      </c>
      <c r="AG16" s="61"/>
      <c r="AH16" s="61">
        <v>16.2515</v>
      </c>
      <c r="AI16" s="61">
        <v>16.2515</v>
      </c>
      <c r="AJ16" s="61">
        <f ca="1">$N$66</f>
        <v>0.83853861581739708</v>
      </c>
      <c r="AK16" s="61">
        <f t="shared" ca="1" si="0"/>
        <v>0.83853861581739708</v>
      </c>
      <c r="AL16" s="61"/>
      <c r="AM16" s="61"/>
      <c r="AP16" s="61">
        <v>1</v>
      </c>
    </row>
    <row r="17" spans="1:42" ht="11.25" customHeight="1" x14ac:dyDescent="0.3">
      <c r="A17" s="132"/>
      <c r="B17" s="132"/>
      <c r="C17" s="132"/>
      <c r="D17" s="132"/>
      <c r="E17" s="132"/>
      <c r="F17" s="132"/>
      <c r="G17" s="66" t="s">
        <v>78</v>
      </c>
      <c r="H17" s="66" t="s">
        <v>76</v>
      </c>
      <c r="I17" s="66">
        <f>'MERCADO TUSD'!$U$14</f>
        <v>0</v>
      </c>
      <c r="J17" s="15"/>
      <c r="L17" s="61">
        <v>0</v>
      </c>
      <c r="M17" s="61">
        <f>IF(AND((+$I$7+$I$8+$I$14+$I$15+$I$16+$I$17)&lt;&gt;0,SUMPRODUCT($I$5:$I$54,$AC$5:$AC$54,$AP$5:$AP$54)&lt;&gt;0),$M$59*SUMPRODUCT($I$5:$I$17,$AC$5:$AC$17,$AP$5:$AP$17)/SUMPRODUCT($I$5:$I$54,$AC$5:$AC$54,$AP$5:$AP$54)/(+$I$7+$I$8+$I$14+$I$15+$I$16+$I$17),0)</f>
        <v>0.92054629275862143</v>
      </c>
      <c r="N17" s="61">
        <f ca="1">(+M17+O17+R17+U17+V17+W17+X17+Y17+Z17+AA17+AC17+AH17+AI17+AJ17+AK17)*CUSTOS!$M$5</f>
        <v>0.36100623524393421</v>
      </c>
      <c r="O17" s="61">
        <v>1</v>
      </c>
      <c r="P17" s="61">
        <v>0</v>
      </c>
      <c r="Q17" s="61">
        <v>0</v>
      </c>
      <c r="R17" s="61">
        <v>0</v>
      </c>
      <c r="S17" s="61">
        <v>0</v>
      </c>
      <c r="T17" s="61"/>
      <c r="U17" s="61">
        <f>TRANSICAO!$U$17*CUSTOS!$R$3</f>
        <v>0</v>
      </c>
      <c r="V17" s="61">
        <f>TRANSICAO!$V$17*CUSTOS!$R$3</f>
        <v>0</v>
      </c>
      <c r="W17" s="61">
        <f>TRANSICAO!$W$17*CUSTOS!$R$3</f>
        <v>0</v>
      </c>
      <c r="X17" s="61">
        <f>TRANSICAO!$X$17*CUSTOS!$R$3</f>
        <v>0</v>
      </c>
      <c r="Y17" s="61">
        <f>TRANSICAO!$Y$17*CUSTOS!$R$3</f>
        <v>0</v>
      </c>
      <c r="Z17" s="61">
        <f>TRANSICAO!$Z$17*CUSTOS!$R$3</f>
        <v>0</v>
      </c>
      <c r="AA17" s="61">
        <f>TRANSICAO!$AA$17*CUSTOS!$R$3</f>
        <v>0</v>
      </c>
      <c r="AB17" s="61">
        <f>TRANSICAO!$AB$17*CUSTOS!$R$3</f>
        <v>0</v>
      </c>
      <c r="AC17" s="61">
        <f>TRANSICAO!$AC$17*CUSTOS!$R$3</f>
        <v>0</v>
      </c>
      <c r="AD17" s="61">
        <f>TRANSICAO!$AD$17*CUSTOS!$R$3</f>
        <v>0</v>
      </c>
      <c r="AE17" s="61">
        <v>0</v>
      </c>
      <c r="AF17" s="61">
        <v>0</v>
      </c>
      <c r="AG17" s="61"/>
      <c r="AH17" s="61">
        <v>16.2515</v>
      </c>
      <c r="AI17" s="61">
        <v>16.2515</v>
      </c>
      <c r="AJ17" s="61">
        <f ca="1">$N$66</f>
        <v>0.83853861581739708</v>
      </c>
      <c r="AK17" s="61">
        <f t="shared" ca="1" si="0"/>
        <v>0.83853861581739708</v>
      </c>
      <c r="AL17" s="61"/>
      <c r="AM17" s="61"/>
      <c r="AP17" s="61">
        <v>1</v>
      </c>
    </row>
    <row r="18" spans="1:42" ht="11.25" customHeight="1" x14ac:dyDescent="0.3">
      <c r="A18" s="132" t="s">
        <v>90</v>
      </c>
      <c r="B18" s="132" t="s">
        <v>88</v>
      </c>
      <c r="C18" s="132" t="s">
        <v>25</v>
      </c>
      <c r="D18" s="132" t="s">
        <v>25</v>
      </c>
      <c r="E18" s="65" t="s">
        <v>91</v>
      </c>
      <c r="F18" s="65" t="s">
        <v>25</v>
      </c>
      <c r="G18" s="66" t="s">
        <v>9</v>
      </c>
      <c r="H18" s="66" t="s">
        <v>84</v>
      </c>
      <c r="I18" s="66">
        <f>'MERCADO TUSD'!$U$15+0.00000001</f>
        <v>1E-8</v>
      </c>
      <c r="J18" s="15"/>
      <c r="L18" s="61">
        <v>0</v>
      </c>
      <c r="M18" s="61">
        <v>2.29E-2</v>
      </c>
      <c r="N18" s="61">
        <f>0.0574</f>
        <v>5.74E-2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61"/>
      <c r="U18" s="61">
        <f>TRANSICAO!$U$18*CUSTOS!$T$4</f>
        <v>0</v>
      </c>
      <c r="V18" s="61">
        <f>TRANSICAO!$V$18*CUSTOS!$T$4</f>
        <v>0</v>
      </c>
      <c r="W18" s="61">
        <f>TRANSICAO!$W$18*CUSTOS!$T$4</f>
        <v>0</v>
      </c>
      <c r="X18" s="61">
        <f>TRANSICAO!$X$18*CUSTOS!$T$4</f>
        <v>0</v>
      </c>
      <c r="Y18" s="61">
        <f>TRANSICAO!$Y$18*CUSTOS!$T$4</f>
        <v>0</v>
      </c>
      <c r="Z18" s="61">
        <f>TRANSICAO!$Z$18*CUSTOS!$T$4</f>
        <v>0</v>
      </c>
      <c r="AA18" s="61">
        <f>TRANSICAO!$AA$18*CUSTOS!$T$4</f>
        <v>0</v>
      </c>
      <c r="AB18" s="61">
        <f>TRANSICAO!$AB$18*CUSTOS!$T$4</f>
        <v>0</v>
      </c>
      <c r="AC18" s="61">
        <f>TRANSICAO!$AC$18*CUSTOS!$T$4</f>
        <v>5.7210999999999999</v>
      </c>
      <c r="AD18" s="61">
        <f>TRANSICAO!$AD$18*CUSTOS!$T$4</f>
        <v>0</v>
      </c>
      <c r="AE18" s="61">
        <v>0</v>
      </c>
      <c r="AF18" s="61">
        <v>0</v>
      </c>
      <c r="AG18" s="61"/>
      <c r="AH18" s="61">
        <v>0</v>
      </c>
      <c r="AI18" s="61">
        <v>0</v>
      </c>
      <c r="AJ18" s="61">
        <v>0</v>
      </c>
      <c r="AK18" s="61">
        <f t="shared" si="0"/>
        <v>0</v>
      </c>
      <c r="AL18" s="61"/>
      <c r="AM18" s="61"/>
      <c r="AP18" s="61"/>
    </row>
    <row r="19" spans="1:42" ht="11.25" customHeight="1" x14ac:dyDescent="0.3">
      <c r="A19" s="132"/>
      <c r="B19" s="132"/>
      <c r="C19" s="132"/>
      <c r="D19" s="132"/>
      <c r="E19" s="65" t="s">
        <v>92</v>
      </c>
      <c r="F19" s="65" t="s">
        <v>25</v>
      </c>
      <c r="G19" s="66" t="s">
        <v>9</v>
      </c>
      <c r="H19" s="66" t="s">
        <v>84</v>
      </c>
      <c r="I19" s="66">
        <f>'MERCADO TUSD'!$U$16+0.00000001</f>
        <v>1E-8</v>
      </c>
      <c r="J19" s="15"/>
      <c r="L19" s="61">
        <v>0</v>
      </c>
      <c r="M19" s="61">
        <v>2.29E-2</v>
      </c>
      <c r="N19" s="61">
        <f>0.0574</f>
        <v>5.74E-2</v>
      </c>
      <c r="O19" s="61">
        <v>0</v>
      </c>
      <c r="P19" s="61">
        <v>0</v>
      </c>
      <c r="Q19" s="61">
        <v>0</v>
      </c>
      <c r="R19" s="61">
        <v>0</v>
      </c>
      <c r="S19" s="61">
        <v>0</v>
      </c>
      <c r="T19" s="61"/>
      <c r="U19" s="61">
        <f>TRANSICAO!$U$19*CUSTOS!$T$4</f>
        <v>0</v>
      </c>
      <c r="V19" s="61">
        <f>TRANSICAO!$V$19*CUSTOS!$T$4</f>
        <v>0</v>
      </c>
      <c r="W19" s="61">
        <f>TRANSICAO!$W$19*CUSTOS!$T$4</f>
        <v>0</v>
      </c>
      <c r="X19" s="61">
        <f>TRANSICAO!$X$19*CUSTOS!$T$4</f>
        <v>0</v>
      </c>
      <c r="Y19" s="61">
        <f>TRANSICAO!$Y$19*CUSTOS!$T$4</f>
        <v>0</v>
      </c>
      <c r="Z19" s="61">
        <f>TRANSICAO!$Z$19*CUSTOS!$T$4</f>
        <v>0</v>
      </c>
      <c r="AA19" s="61">
        <f>TRANSICAO!$AA$19*CUSTOS!$T$4</f>
        <v>0</v>
      </c>
      <c r="AB19" s="61">
        <f>TRANSICAO!$AB$19*CUSTOS!$T$4</f>
        <v>0</v>
      </c>
      <c r="AC19" s="61">
        <f>TRANSICAO!$AC$19*CUSTOS!$T$4</f>
        <v>14.781000000000001</v>
      </c>
      <c r="AD19" s="61">
        <f>TRANSICAO!$AD$19*CUSTOS!$T$4</f>
        <v>0</v>
      </c>
      <c r="AE19" s="61">
        <v>0</v>
      </c>
      <c r="AF19" s="61">
        <v>0</v>
      </c>
      <c r="AG19" s="61"/>
      <c r="AH19" s="61">
        <v>0</v>
      </c>
      <c r="AI19" s="61">
        <v>0</v>
      </c>
      <c r="AJ19" s="61">
        <v>0</v>
      </c>
      <c r="AK19" s="61">
        <f t="shared" si="0"/>
        <v>0</v>
      </c>
      <c r="AL19" s="61"/>
      <c r="AM19" s="61"/>
      <c r="AP19" s="61"/>
    </row>
    <row r="20" spans="1:42" ht="11.25" customHeight="1" x14ac:dyDescent="0.3">
      <c r="A20" s="132" t="s">
        <v>22</v>
      </c>
      <c r="B20" s="132" t="s">
        <v>33</v>
      </c>
      <c r="C20" s="132" t="s">
        <v>24</v>
      </c>
      <c r="D20" s="132" t="s">
        <v>24</v>
      </c>
      <c r="E20" s="132" t="s">
        <v>25</v>
      </c>
      <c r="F20" s="132" t="s">
        <v>25</v>
      </c>
      <c r="G20" s="66" t="s">
        <v>77</v>
      </c>
      <c r="H20" s="66" t="s">
        <v>76</v>
      </c>
      <c r="I20" s="66">
        <f>'MERCADO TUSD'!$U$17</f>
        <v>0.68800000000000017</v>
      </c>
      <c r="J20" s="15"/>
      <c r="L20" s="61">
        <f>1</f>
        <v>1</v>
      </c>
      <c r="M20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</f>
        <v>0.95273417327469756</v>
      </c>
      <c r="N20" s="61">
        <f ca="1">(+M20+O20+R20+U20+V20+W20+X20+Y20+Z20+AA20+AC20+AH20+AI20+AJ20+AK20)*CUSTOS!$M$5</f>
        <v>10.778023449424383</v>
      </c>
      <c r="O20" s="61">
        <v>1</v>
      </c>
      <c r="P20" s="61">
        <v>1</v>
      </c>
      <c r="Q20" s="61">
        <f>1</f>
        <v>1</v>
      </c>
      <c r="R20" s="61">
        <v>1</v>
      </c>
      <c r="S20" s="61">
        <v>1</v>
      </c>
      <c r="T20" s="61"/>
      <c r="U20" s="61">
        <f>TRANSICAO!$U$20*CUSTOS!$T$3</f>
        <v>0</v>
      </c>
      <c r="V20" s="61">
        <f>TRANSICAO!$V$20*CUSTOS!$T$3</f>
        <v>0</v>
      </c>
      <c r="W20" s="61">
        <f>TRANSICAO!$W$20*CUSTOS!$T$3</f>
        <v>0</v>
      </c>
      <c r="X20" s="61">
        <f>TRANSICAO!$X$20*CUSTOS!$T$3</f>
        <v>0</v>
      </c>
      <c r="Y20" s="61">
        <f>TRANSICAO!$Y$20*CUSTOS!$T$3</f>
        <v>422.33260000000001</v>
      </c>
      <c r="Z20" s="61">
        <f>TRANSICAO!$Z$20*CUSTOS!$T$3</f>
        <v>0</v>
      </c>
      <c r="AA20" s="61">
        <f>TRANSICAO!$AA$20*CUSTOS!$T$3</f>
        <v>0</v>
      </c>
      <c r="AB20" s="61">
        <f>TRANSICAO!$AB$20*CUSTOS!$T$3</f>
        <v>0</v>
      </c>
      <c r="AC20" s="61">
        <f>TRANSICAO!$AC$20*CUSTOS!$T$3</f>
        <v>587.58420000000001</v>
      </c>
      <c r="AD20" s="61">
        <f>TRANSICAO!$AD$20*CUSTOS!$T$3</f>
        <v>0</v>
      </c>
      <c r="AE20" s="61">
        <v>0</v>
      </c>
      <c r="AF20" s="61">
        <v>0</v>
      </c>
      <c r="AG20" s="61"/>
      <c r="AH20" s="61">
        <v>31.6432</v>
      </c>
      <c r="AI20" s="61">
        <v>31.6432</v>
      </c>
      <c r="AJ20" s="61">
        <f ca="1">$N$67</f>
        <v>0.82320538458186299</v>
      </c>
      <c r="AK20" s="61">
        <f t="shared" ca="1" si="0"/>
        <v>0.82320538458186299</v>
      </c>
      <c r="AL20" s="61"/>
      <c r="AM20" s="61"/>
      <c r="AP20" s="61">
        <v>1</v>
      </c>
    </row>
    <row r="21" spans="1:42" ht="11.25" customHeight="1" x14ac:dyDescent="0.3">
      <c r="A21" s="132"/>
      <c r="B21" s="132"/>
      <c r="C21" s="132"/>
      <c r="D21" s="132"/>
      <c r="E21" s="132"/>
      <c r="F21" s="132"/>
      <c r="G21" s="66" t="s">
        <v>93</v>
      </c>
      <c r="H21" s="66" t="s">
        <v>76</v>
      </c>
      <c r="I21" s="66">
        <f>'MERCADO TUSD'!$U$18</f>
        <v>0.46</v>
      </c>
      <c r="J21" s="15"/>
      <c r="L21" s="61">
        <f>1</f>
        <v>1</v>
      </c>
      <c r="M21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</f>
        <v>0.95273417327469756</v>
      </c>
      <c r="N21" s="61">
        <f ca="1">(+M21+O21+R21+U21+V21+W21+X21+Y21+Z21+AA21+AC21+AH21+AI21+AJ21+AK21)*CUSTOS!$M$5</f>
        <v>6.7383564494243844</v>
      </c>
      <c r="O21" s="61">
        <v>1</v>
      </c>
      <c r="P21" s="61">
        <v>1</v>
      </c>
      <c r="Q21" s="61">
        <f>1</f>
        <v>1</v>
      </c>
      <c r="R21" s="61">
        <v>1</v>
      </c>
      <c r="S21" s="61">
        <v>1</v>
      </c>
      <c r="T21" s="61"/>
      <c r="U21" s="61">
        <f>TRANSICAO!$U$21*CUSTOS!$T$3</f>
        <v>0</v>
      </c>
      <c r="V21" s="61">
        <f>TRANSICAO!$V$21*CUSTOS!$T$3</f>
        <v>0</v>
      </c>
      <c r="W21" s="61">
        <f>TRANSICAO!$W$21*CUSTOS!$T$3</f>
        <v>0</v>
      </c>
      <c r="X21" s="61">
        <f>TRANSICAO!$X$21*CUSTOS!$T$3</f>
        <v>0</v>
      </c>
      <c r="Y21" s="61">
        <f>TRANSICAO!$Y$21*CUSTOS!$T$3</f>
        <v>253.39959999999999</v>
      </c>
      <c r="Z21" s="61">
        <f>TRANSICAO!$Z$21*CUSTOS!$T$3</f>
        <v>0</v>
      </c>
      <c r="AA21" s="61">
        <f>TRANSICAO!$AA$21*CUSTOS!$T$3</f>
        <v>0</v>
      </c>
      <c r="AB21" s="61">
        <f>TRANSICAO!$AB$21*CUSTOS!$T$3</f>
        <v>0</v>
      </c>
      <c r="AC21" s="61">
        <f>TRANSICAO!$AC$21*CUSTOS!$T$3</f>
        <v>352.5505</v>
      </c>
      <c r="AD21" s="61">
        <f>TRANSICAO!$AD$21*CUSTOS!$T$3</f>
        <v>0</v>
      </c>
      <c r="AE21" s="61">
        <v>0</v>
      </c>
      <c r="AF21" s="61">
        <v>0</v>
      </c>
      <c r="AG21" s="61"/>
      <c r="AH21" s="61">
        <v>31.6432</v>
      </c>
      <c r="AI21" s="61">
        <v>31.6432</v>
      </c>
      <c r="AJ21" s="61">
        <f ca="1">$N$67</f>
        <v>0.82320538458186299</v>
      </c>
      <c r="AK21" s="61">
        <f t="shared" ca="1" si="0"/>
        <v>0.82320538458186299</v>
      </c>
      <c r="AL21" s="61"/>
      <c r="AM21" s="61"/>
      <c r="AP21" s="61">
        <v>1</v>
      </c>
    </row>
    <row r="22" spans="1:42" ht="11.25" customHeight="1" x14ac:dyDescent="0.3">
      <c r="A22" s="132"/>
      <c r="B22" s="132"/>
      <c r="C22" s="132"/>
      <c r="D22" s="132"/>
      <c r="E22" s="132"/>
      <c r="F22" s="132"/>
      <c r="G22" s="66" t="s">
        <v>78</v>
      </c>
      <c r="H22" s="66" t="s">
        <v>76</v>
      </c>
      <c r="I22" s="66">
        <f>'MERCADO TUSD'!$U$19</f>
        <v>5.6850000000000005</v>
      </c>
      <c r="J22" s="15"/>
      <c r="L22" s="61">
        <f>1</f>
        <v>1</v>
      </c>
      <c r="M22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</f>
        <v>0.95273417327469756</v>
      </c>
      <c r="N22" s="61">
        <f ca="1">(+M22+O22+R22+U22+V22+W22+X22+Y22+Z22+AA22+AC22+AH22+AI22+AJ22+AK22)*CUSTOS!$M$5</f>
        <v>2.6986884494243841</v>
      </c>
      <c r="O22" s="61">
        <v>1</v>
      </c>
      <c r="P22" s="61">
        <v>1</v>
      </c>
      <c r="Q22" s="61">
        <f>1</f>
        <v>1</v>
      </c>
      <c r="R22" s="61">
        <v>1</v>
      </c>
      <c r="S22" s="61">
        <v>1</v>
      </c>
      <c r="T22" s="61"/>
      <c r="U22" s="61">
        <f>TRANSICAO!$U$22*CUSTOS!$T$3</f>
        <v>0</v>
      </c>
      <c r="V22" s="61">
        <f>TRANSICAO!$V$22*CUSTOS!$T$3</f>
        <v>0</v>
      </c>
      <c r="W22" s="61">
        <f>TRANSICAO!$W$22*CUSTOS!$T$3</f>
        <v>0</v>
      </c>
      <c r="X22" s="61">
        <f>TRANSICAO!$X$22*CUSTOS!$T$3</f>
        <v>0</v>
      </c>
      <c r="Y22" s="61">
        <f>TRANSICAO!$Y$22*CUSTOS!$T$3</f>
        <v>84.466499999999996</v>
      </c>
      <c r="Z22" s="61">
        <f>TRANSICAO!$Z$22*CUSTOS!$T$3</f>
        <v>0</v>
      </c>
      <c r="AA22" s="61">
        <f>TRANSICAO!$AA$22*CUSTOS!$T$3</f>
        <v>0</v>
      </c>
      <c r="AB22" s="61">
        <f>TRANSICAO!$AB$22*CUSTOS!$T$3</f>
        <v>0</v>
      </c>
      <c r="AC22" s="61">
        <f>TRANSICAO!$AC$22*CUSTOS!$T$3</f>
        <v>117.5168</v>
      </c>
      <c r="AD22" s="61">
        <f>TRANSICAO!$AD$22*CUSTOS!$T$3</f>
        <v>0</v>
      </c>
      <c r="AE22" s="61">
        <v>0</v>
      </c>
      <c r="AF22" s="61">
        <v>0</v>
      </c>
      <c r="AG22" s="61"/>
      <c r="AH22" s="61">
        <v>31.6432</v>
      </c>
      <c r="AI22" s="61">
        <v>31.6432</v>
      </c>
      <c r="AJ22" s="61">
        <f ca="1">$N$67</f>
        <v>0.82320538458186299</v>
      </c>
      <c r="AK22" s="61">
        <f t="shared" ca="1" si="0"/>
        <v>0.82320538458186299</v>
      </c>
      <c r="AL22" s="61"/>
      <c r="AM22" s="61"/>
      <c r="AP22" s="61">
        <v>1</v>
      </c>
    </row>
    <row r="23" spans="1:42" ht="11.25" customHeight="1" x14ac:dyDescent="0.3">
      <c r="A23" s="132"/>
      <c r="B23" s="132" t="s">
        <v>23</v>
      </c>
      <c r="C23" s="132" t="s">
        <v>24</v>
      </c>
      <c r="D23" s="65" t="s">
        <v>24</v>
      </c>
      <c r="E23" s="65" t="s">
        <v>25</v>
      </c>
      <c r="F23" s="65" t="s">
        <v>25</v>
      </c>
      <c r="G23" s="66" t="s">
        <v>81</v>
      </c>
      <c r="H23" s="66" t="s">
        <v>76</v>
      </c>
      <c r="I23" s="66">
        <f>'MERCADO TUSD'!$U$20</f>
        <v>20470.671000000002</v>
      </c>
      <c r="J23" s="15"/>
      <c r="L23" s="61">
        <f>1</f>
        <v>1</v>
      </c>
      <c r="M23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</f>
        <v>0.95273417327469756</v>
      </c>
      <c r="N23" s="61">
        <f ca="1">(+M23+O23+R23+U23+V23+W23+X23+Y23+Z23+AA23+AC23+AH23+AI23+AJ23+AK23)*CUSTOS!$M$5</f>
        <v>4.0452444494243842</v>
      </c>
      <c r="O23" s="61">
        <v>1</v>
      </c>
      <c r="P23" s="61">
        <v>1</v>
      </c>
      <c r="Q23" s="61">
        <f>1</f>
        <v>1</v>
      </c>
      <c r="R23" s="61">
        <v>1</v>
      </c>
      <c r="S23" s="61">
        <v>1</v>
      </c>
      <c r="T23" s="61"/>
      <c r="U23" s="61">
        <f>TRANSICAO!$U$23*CUSTOS!$T$3</f>
        <v>0</v>
      </c>
      <c r="V23" s="61">
        <f>TRANSICAO!$V$23*CUSTOS!$T$3</f>
        <v>0</v>
      </c>
      <c r="W23" s="61">
        <f>TRANSICAO!$W$23*CUSTOS!$T$3</f>
        <v>0</v>
      </c>
      <c r="X23" s="61">
        <f>TRANSICAO!$X$23*CUSTOS!$T$3</f>
        <v>0</v>
      </c>
      <c r="Y23" s="61">
        <f>TRANSICAO!$Y$23*CUSTOS!$T$3</f>
        <v>140.7775</v>
      </c>
      <c r="Z23" s="61">
        <f>TRANSICAO!$Z$23*CUSTOS!$T$3</f>
        <v>0</v>
      </c>
      <c r="AA23" s="61">
        <f>TRANSICAO!$AA$23*CUSTOS!$T$3</f>
        <v>0</v>
      </c>
      <c r="AB23" s="61">
        <f>TRANSICAO!$AB$23*CUSTOS!$T$3</f>
        <v>0</v>
      </c>
      <c r="AC23" s="61">
        <f>TRANSICAO!$AC$23*CUSTOS!$T$3</f>
        <v>195.8614</v>
      </c>
      <c r="AD23" s="61">
        <f>TRANSICAO!$AD$23*CUSTOS!$T$3</f>
        <v>0</v>
      </c>
      <c r="AE23" s="61">
        <v>0</v>
      </c>
      <c r="AF23" s="61">
        <v>0</v>
      </c>
      <c r="AG23" s="61"/>
      <c r="AH23" s="61">
        <v>31.6432</v>
      </c>
      <c r="AI23" s="61">
        <v>31.6432</v>
      </c>
      <c r="AJ23" s="61">
        <f ca="1">$N$67</f>
        <v>0.82320538458186299</v>
      </c>
      <c r="AK23" s="61">
        <f t="shared" ca="1" si="0"/>
        <v>0.82320538458186299</v>
      </c>
      <c r="AL23" s="61"/>
      <c r="AM23" s="61"/>
      <c r="AP23" s="61">
        <v>1</v>
      </c>
    </row>
    <row r="24" spans="1:42" ht="11.25" customHeight="1" x14ac:dyDescent="0.3">
      <c r="A24" s="132"/>
      <c r="B24" s="132"/>
      <c r="C24" s="132"/>
      <c r="D24" s="65" t="s">
        <v>29</v>
      </c>
      <c r="E24" s="65" t="s">
        <v>25</v>
      </c>
      <c r="F24" s="65" t="s">
        <v>25</v>
      </c>
      <c r="G24" s="66" t="s">
        <v>81</v>
      </c>
      <c r="H24" s="66" t="s">
        <v>76</v>
      </c>
      <c r="I24" s="66">
        <f>'MERCADO TUSD'!$U$21</f>
        <v>425.12200000000001</v>
      </c>
      <c r="J24" s="15"/>
      <c r="L24" s="61">
        <v>0</v>
      </c>
      <c r="M24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CUSTOS!$M$24)</f>
        <v>0.95273417327469756</v>
      </c>
      <c r="N24" s="61">
        <f ca="1">(+M24+O24+R24+U24+V24+W24+X24+Y24+Z24+AA24+AC24+AH24+AI24+AJ24+AK24)*CUSTOS!$M$5</f>
        <v>4.0352444494243835</v>
      </c>
      <c r="O24" s="61">
        <f>1 - CUSTOS!$M$24</f>
        <v>1</v>
      </c>
      <c r="P24" s="61">
        <v>0</v>
      </c>
      <c r="Q24" s="61">
        <v>0</v>
      </c>
      <c r="R24" s="61">
        <v>0</v>
      </c>
      <c r="S24" s="61">
        <f>1 - CUSTOS!$M$24</f>
        <v>1</v>
      </c>
      <c r="T24" s="61"/>
      <c r="U24" s="61">
        <f>TRANSICAO!$U$24*CUSTOS!$T$3</f>
        <v>0</v>
      </c>
      <c r="V24" s="61">
        <f>TRANSICAO!$V$24*CUSTOS!$T$3</f>
        <v>0</v>
      </c>
      <c r="W24" s="61">
        <f>TRANSICAO!$W$24*CUSTOS!$T$3</f>
        <v>0</v>
      </c>
      <c r="X24" s="61">
        <f>TRANSICAO!$X$24*CUSTOS!$T$3</f>
        <v>0</v>
      </c>
      <c r="Y24" s="61">
        <f>TRANSICAO!$Y$24*CUSTOS!$T$3</f>
        <v>140.7775</v>
      </c>
      <c r="Z24" s="61">
        <f>TRANSICAO!$Z$24*CUSTOS!$T$3</f>
        <v>0</v>
      </c>
      <c r="AA24" s="61">
        <f>TRANSICAO!$AA$24*CUSTOS!$T$3</f>
        <v>0</v>
      </c>
      <c r="AB24" s="61">
        <f>TRANSICAO!$AB$24*CUSTOS!$T$3</f>
        <v>0</v>
      </c>
      <c r="AC24" s="61">
        <f>TRANSICAO!$AC$24*CUSTOS!$T$3</f>
        <v>195.8614</v>
      </c>
      <c r="AD24" s="61">
        <f>TRANSICAO!$AD$24*CUSTOS!$T$3</f>
        <v>0</v>
      </c>
      <c r="AE24" s="61">
        <v>0</v>
      </c>
      <c r="AF24" s="61">
        <v>0</v>
      </c>
      <c r="AG24" s="61"/>
      <c r="AH24" s="61">
        <f>(1 - CUSTOS!$M$24)*31.6432</f>
        <v>31.6432</v>
      </c>
      <c r="AI24" s="61">
        <f>(1 - CUSTOS!$M$24)*31.6432</f>
        <v>31.6432</v>
      </c>
      <c r="AJ24" s="61">
        <f ca="1">$N$67*(1-CUSTOS!$M$24)</f>
        <v>0.82320538458186299</v>
      </c>
      <c r="AK24" s="61">
        <f t="shared" ca="1" si="0"/>
        <v>0.82320538458186299</v>
      </c>
      <c r="AL24" s="61"/>
      <c r="AM24" s="61"/>
      <c r="AP24" s="61">
        <f>IF((1 - CUSTOS!$M$24)&lt;&gt;0,1/(1 - CUSTOS!$M$24),1)</f>
        <v>1</v>
      </c>
    </row>
    <row r="25" spans="1:42" ht="11.25" customHeight="1" x14ac:dyDescent="0.3">
      <c r="A25" s="132"/>
      <c r="B25" s="132"/>
      <c r="C25" s="132"/>
      <c r="D25" s="65" t="s">
        <v>30</v>
      </c>
      <c r="E25" s="65" t="s">
        <v>25</v>
      </c>
      <c r="F25" s="65" t="s">
        <v>25</v>
      </c>
      <c r="G25" s="66" t="s">
        <v>81</v>
      </c>
      <c r="H25" s="66" t="s">
        <v>76</v>
      </c>
      <c r="I25" s="66">
        <f>'MERCADO TUSD'!$U$22</f>
        <v>876.85199999999986</v>
      </c>
      <c r="J25" s="15"/>
      <c r="L25" s="61">
        <v>0</v>
      </c>
      <c r="M25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CUSTOS!$M$25)</f>
        <v>0.95273417327469756</v>
      </c>
      <c r="N25" s="61">
        <f ca="1">(+M25+O25+R25+U25+V25+W25+X25+Y25+Z25+AA25+AC25+AH25+AI25+AJ25+AK25)*CUSTOS!$M$5</f>
        <v>4.0352444494243835</v>
      </c>
      <c r="O25" s="61">
        <f>1 - CUSTOS!$M$25</f>
        <v>1</v>
      </c>
      <c r="P25" s="61">
        <v>0</v>
      </c>
      <c r="Q25" s="61">
        <v>0</v>
      </c>
      <c r="R25" s="61">
        <v>0</v>
      </c>
      <c r="S25" s="61">
        <f>1 - CUSTOS!$M$25</f>
        <v>1</v>
      </c>
      <c r="T25" s="61"/>
      <c r="U25" s="61">
        <f>TRANSICAO!$U$25*CUSTOS!$T$3</f>
        <v>0</v>
      </c>
      <c r="V25" s="61">
        <f>TRANSICAO!$V$25*CUSTOS!$T$3</f>
        <v>0</v>
      </c>
      <c r="W25" s="61">
        <f>TRANSICAO!$W$25*CUSTOS!$T$3</f>
        <v>0</v>
      </c>
      <c r="X25" s="61">
        <f>TRANSICAO!$X$25*CUSTOS!$T$3</f>
        <v>0</v>
      </c>
      <c r="Y25" s="61">
        <f>TRANSICAO!$Y$25*CUSTOS!$T$3</f>
        <v>140.7775</v>
      </c>
      <c r="Z25" s="61">
        <f>TRANSICAO!$Z$25*CUSTOS!$T$3</f>
        <v>0</v>
      </c>
      <c r="AA25" s="61">
        <f>TRANSICAO!$AA$25*CUSTOS!$T$3</f>
        <v>0</v>
      </c>
      <c r="AB25" s="61">
        <f>TRANSICAO!$AB$25*CUSTOS!$T$3</f>
        <v>0</v>
      </c>
      <c r="AC25" s="61">
        <f>TRANSICAO!$AC$25*CUSTOS!$T$3</f>
        <v>195.8614</v>
      </c>
      <c r="AD25" s="61">
        <f>TRANSICAO!$AD$25*CUSTOS!$T$3</f>
        <v>0</v>
      </c>
      <c r="AE25" s="61">
        <v>0</v>
      </c>
      <c r="AF25" s="61">
        <v>0</v>
      </c>
      <c r="AG25" s="61"/>
      <c r="AH25" s="61">
        <f>(1 - CUSTOS!$M$25)*31.6432</f>
        <v>31.6432</v>
      </c>
      <c r="AI25" s="61">
        <f>(1 - CUSTOS!$M$25)*31.6432</f>
        <v>31.6432</v>
      </c>
      <c r="AJ25" s="61">
        <f ca="1">$N$67*(1-CUSTOS!$M$25)</f>
        <v>0.82320538458186299</v>
      </c>
      <c r="AK25" s="61">
        <f t="shared" ca="1" si="0"/>
        <v>0.82320538458186299</v>
      </c>
      <c r="AL25" s="61"/>
      <c r="AM25" s="61"/>
      <c r="AP25" s="61">
        <f>IF((1 - CUSTOS!$M$25)&lt;&gt;0,1/(1 - CUSTOS!$M$25),1)</f>
        <v>1</v>
      </c>
    </row>
    <row r="26" spans="1:42" ht="11.25" customHeight="1" x14ac:dyDescent="0.3">
      <c r="A26" s="132"/>
      <c r="B26" s="132"/>
      <c r="C26" s="132"/>
      <c r="D26" s="65" t="s">
        <v>31</v>
      </c>
      <c r="E26" s="65" t="s">
        <v>25</v>
      </c>
      <c r="F26" s="65" t="s">
        <v>25</v>
      </c>
      <c r="G26" s="66" t="s">
        <v>81</v>
      </c>
      <c r="H26" s="66" t="s">
        <v>76</v>
      </c>
      <c r="I26" s="66">
        <f>'MERCADO TUSD'!$U$23</f>
        <v>876.00100000000009</v>
      </c>
      <c r="J26" s="15"/>
      <c r="L26" s="61">
        <v>0</v>
      </c>
      <c r="M26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CUSTOS!$M$26)</f>
        <v>0.95273417327469756</v>
      </c>
      <c r="N26" s="61">
        <f ca="1">(+M26+O26+R26+U26+V26+W26+X26+Y26+Z26+AA26+AC26+AH26+AI26+AJ26+AK26)*CUSTOS!$M$5</f>
        <v>4.0352444494243835</v>
      </c>
      <c r="O26" s="61">
        <f>1 - CUSTOS!$M$26</f>
        <v>1</v>
      </c>
      <c r="P26" s="61">
        <v>0</v>
      </c>
      <c r="Q26" s="61">
        <v>0</v>
      </c>
      <c r="R26" s="61">
        <v>0</v>
      </c>
      <c r="S26" s="61">
        <f>1 - CUSTOS!$M$26</f>
        <v>1</v>
      </c>
      <c r="T26" s="61"/>
      <c r="U26" s="61">
        <f>TRANSICAO!$U$26*CUSTOS!$T$3</f>
        <v>0</v>
      </c>
      <c r="V26" s="61">
        <f>TRANSICAO!$V$26*CUSTOS!$T$3</f>
        <v>0</v>
      </c>
      <c r="W26" s="61">
        <f>TRANSICAO!$W$26*CUSTOS!$T$3</f>
        <v>0</v>
      </c>
      <c r="X26" s="61">
        <f>TRANSICAO!$X$26*CUSTOS!$T$3</f>
        <v>0</v>
      </c>
      <c r="Y26" s="61">
        <f>TRANSICAO!$Y$26*CUSTOS!$T$3</f>
        <v>140.7775</v>
      </c>
      <c r="Z26" s="61">
        <f>TRANSICAO!$Z$26*CUSTOS!$T$3</f>
        <v>0</v>
      </c>
      <c r="AA26" s="61">
        <f>TRANSICAO!$AA$26*CUSTOS!$T$3</f>
        <v>0</v>
      </c>
      <c r="AB26" s="61">
        <f>TRANSICAO!$AB$26*CUSTOS!$T$3</f>
        <v>0</v>
      </c>
      <c r="AC26" s="61">
        <f>TRANSICAO!$AC$26*CUSTOS!$T$3</f>
        <v>195.8614</v>
      </c>
      <c r="AD26" s="61">
        <f>TRANSICAO!$AD$26*CUSTOS!$T$3</f>
        <v>0</v>
      </c>
      <c r="AE26" s="61">
        <v>0</v>
      </c>
      <c r="AF26" s="61">
        <v>0</v>
      </c>
      <c r="AG26" s="61"/>
      <c r="AH26" s="61">
        <f>(1 - CUSTOS!$M$26)*31.6432</f>
        <v>31.6432</v>
      </c>
      <c r="AI26" s="61">
        <f>(1 - CUSTOS!$M$26)*31.6432</f>
        <v>31.6432</v>
      </c>
      <c r="AJ26" s="61">
        <f ca="1">$N$67*(1-CUSTOS!$M$26)</f>
        <v>0.82320538458186299</v>
      </c>
      <c r="AK26" s="61">
        <f t="shared" ca="1" si="0"/>
        <v>0.82320538458186299</v>
      </c>
      <c r="AL26" s="61"/>
      <c r="AM26" s="61"/>
      <c r="AP26" s="61">
        <f>IF((1 - CUSTOS!$M$26)&lt;&gt;0,1/(1 - CUSTOS!$M$26),1)</f>
        <v>1</v>
      </c>
    </row>
    <row r="27" spans="1:42" ht="11.25" customHeight="1" x14ac:dyDescent="0.3">
      <c r="A27" s="132"/>
      <c r="B27" s="132"/>
      <c r="C27" s="132"/>
      <c r="D27" s="65" t="s">
        <v>32</v>
      </c>
      <c r="E27" s="65" t="s">
        <v>25</v>
      </c>
      <c r="F27" s="65" t="s">
        <v>25</v>
      </c>
      <c r="G27" s="66" t="s">
        <v>81</v>
      </c>
      <c r="H27" s="66" t="s">
        <v>76</v>
      </c>
      <c r="I27" s="66">
        <f>'MERCADO TUSD'!$U$24</f>
        <v>331.42999999999995</v>
      </c>
      <c r="J27" s="15"/>
      <c r="L27" s="61">
        <v>0</v>
      </c>
      <c r="M27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CUSTOS!$M$27)</f>
        <v>0.95273417327469756</v>
      </c>
      <c r="N27" s="61">
        <f ca="1">(+M27+O27+R27+U27+V27+W27+X27+Y27+Z27+AA27+AC27+AH27+AI27+AJ27+AK27)*CUSTOS!$M$5</f>
        <v>4.0352444494243835</v>
      </c>
      <c r="O27" s="61">
        <f>1 - CUSTOS!$M$27</f>
        <v>1</v>
      </c>
      <c r="P27" s="61">
        <v>0</v>
      </c>
      <c r="Q27" s="61">
        <v>0</v>
      </c>
      <c r="R27" s="61">
        <v>0</v>
      </c>
      <c r="S27" s="61">
        <f>1 - CUSTOS!$M$27</f>
        <v>1</v>
      </c>
      <c r="T27" s="61"/>
      <c r="U27" s="61">
        <f>TRANSICAO!$U$27*CUSTOS!$T$3</f>
        <v>0</v>
      </c>
      <c r="V27" s="61">
        <f>TRANSICAO!$V$27*CUSTOS!$T$3</f>
        <v>0</v>
      </c>
      <c r="W27" s="61">
        <f>TRANSICAO!$W$27*CUSTOS!$T$3</f>
        <v>0</v>
      </c>
      <c r="X27" s="61">
        <f>TRANSICAO!$X$27*CUSTOS!$T$3</f>
        <v>0</v>
      </c>
      <c r="Y27" s="61">
        <f>TRANSICAO!$Y$27*CUSTOS!$T$3</f>
        <v>140.7775</v>
      </c>
      <c r="Z27" s="61">
        <f>TRANSICAO!$Z$27*CUSTOS!$T$3</f>
        <v>0</v>
      </c>
      <c r="AA27" s="61">
        <f>TRANSICAO!$AA$27*CUSTOS!$T$3</f>
        <v>0</v>
      </c>
      <c r="AB27" s="61">
        <f>TRANSICAO!$AB$27*CUSTOS!$T$3</f>
        <v>0</v>
      </c>
      <c r="AC27" s="61">
        <f>TRANSICAO!$AC$27*CUSTOS!$T$3</f>
        <v>195.8614</v>
      </c>
      <c r="AD27" s="61">
        <f>TRANSICAO!$AD$27*CUSTOS!$T$3</f>
        <v>0</v>
      </c>
      <c r="AE27" s="61">
        <v>0</v>
      </c>
      <c r="AF27" s="61">
        <v>0</v>
      </c>
      <c r="AG27" s="61"/>
      <c r="AH27" s="61">
        <f>(1 - CUSTOS!$M$27)*31.6432</f>
        <v>31.6432</v>
      </c>
      <c r="AI27" s="61">
        <f>(1 - CUSTOS!$M$27)*31.6432</f>
        <v>31.6432</v>
      </c>
      <c r="AJ27" s="61">
        <f ca="1">$N$67*(1-CUSTOS!$M$27)</f>
        <v>0.82320538458186299</v>
      </c>
      <c r="AK27" s="61">
        <f t="shared" ca="1" si="0"/>
        <v>0.82320538458186299</v>
      </c>
      <c r="AL27" s="61"/>
      <c r="AM27" s="61"/>
      <c r="AP27" s="61">
        <f>IF((1 - CUSTOS!$M$27)&lt;&gt;0,1/(1 - CUSTOS!$M$27),1)</f>
        <v>1</v>
      </c>
    </row>
    <row r="28" spans="1:42" ht="11.25" customHeight="1" x14ac:dyDescent="0.3">
      <c r="A28" s="132"/>
      <c r="B28" s="132" t="s">
        <v>95</v>
      </c>
      <c r="C28" s="132" t="s">
        <v>24</v>
      </c>
      <c r="D28" s="65" t="s">
        <v>24</v>
      </c>
      <c r="E28" s="65" t="s">
        <v>25</v>
      </c>
      <c r="F28" s="65" t="s">
        <v>25</v>
      </c>
      <c r="G28" s="66" t="s">
        <v>81</v>
      </c>
      <c r="H28" s="66" t="s">
        <v>76</v>
      </c>
      <c r="I28" s="66">
        <f>'MERCADO TUSD'!$U$25</f>
        <v>0</v>
      </c>
      <c r="J28" s="15"/>
      <c r="L28" s="61">
        <f>1</f>
        <v>1</v>
      </c>
      <c r="M28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</f>
        <v>0.95273417327469756</v>
      </c>
      <c r="N28" s="61">
        <f ca="1">(+M28+O28+R28+U28+V28+W28+X28+Y28+Z28+AA28+AC28+AH28+AI28+AJ28+AK28)*CUSTOS!$M$5</f>
        <v>4.0452444494243842</v>
      </c>
      <c r="O28" s="61">
        <v>1</v>
      </c>
      <c r="P28" s="61">
        <v>1</v>
      </c>
      <c r="Q28" s="61">
        <f>1</f>
        <v>1</v>
      </c>
      <c r="R28" s="61">
        <v>1</v>
      </c>
      <c r="S28" s="61">
        <v>1</v>
      </c>
      <c r="T28" s="61"/>
      <c r="U28" s="61">
        <f>TRANSICAO!$U$28*CUSTOS!$T$3</f>
        <v>0</v>
      </c>
      <c r="V28" s="61">
        <f>TRANSICAO!$V$28*CUSTOS!$T$3</f>
        <v>0</v>
      </c>
      <c r="W28" s="61">
        <f>TRANSICAO!$W$28*CUSTOS!$T$3</f>
        <v>0</v>
      </c>
      <c r="X28" s="61">
        <f>TRANSICAO!$X$28*CUSTOS!$T$3</f>
        <v>0</v>
      </c>
      <c r="Y28" s="61">
        <f>TRANSICAO!$Y$28*CUSTOS!$T$3</f>
        <v>140.7775</v>
      </c>
      <c r="Z28" s="61">
        <f>TRANSICAO!$Z$28*CUSTOS!$T$3</f>
        <v>0</v>
      </c>
      <c r="AA28" s="61">
        <f>TRANSICAO!$AA$28*CUSTOS!$T$3</f>
        <v>0</v>
      </c>
      <c r="AB28" s="61">
        <f>TRANSICAO!$AB$28*CUSTOS!$T$3</f>
        <v>0</v>
      </c>
      <c r="AC28" s="61">
        <f>TRANSICAO!$AC$28*CUSTOS!$T$3</f>
        <v>195.8614</v>
      </c>
      <c r="AD28" s="61">
        <f>TRANSICAO!$AD$28*CUSTOS!$T$3</f>
        <v>0</v>
      </c>
      <c r="AE28" s="61">
        <v>0</v>
      </c>
      <c r="AF28" s="61">
        <v>0</v>
      </c>
      <c r="AG28" s="61"/>
      <c r="AH28" s="61">
        <v>31.6432</v>
      </c>
      <c r="AI28" s="61">
        <v>31.6432</v>
      </c>
      <c r="AJ28" s="61">
        <f ca="1">$N$67</f>
        <v>0.82320538458186299</v>
      </c>
      <c r="AK28" s="61">
        <f t="shared" ca="1" si="0"/>
        <v>0.82320538458186299</v>
      </c>
      <c r="AL28" s="61"/>
      <c r="AM28" s="61"/>
      <c r="AP28" s="61">
        <v>1</v>
      </c>
    </row>
    <row r="29" spans="1:42" ht="11.25" customHeight="1" x14ac:dyDescent="0.3">
      <c r="A29" s="132"/>
      <c r="B29" s="132"/>
      <c r="C29" s="132"/>
      <c r="D29" s="65" t="s">
        <v>29</v>
      </c>
      <c r="E29" s="65" t="s">
        <v>25</v>
      </c>
      <c r="F29" s="65" t="s">
        <v>25</v>
      </c>
      <c r="G29" s="66" t="s">
        <v>81</v>
      </c>
      <c r="H29" s="66" t="s">
        <v>76</v>
      </c>
      <c r="I29" s="66">
        <f>'MERCADO TUSD'!$U$26</f>
        <v>0</v>
      </c>
      <c r="J29" s="15"/>
      <c r="L29" s="61">
        <v>0</v>
      </c>
      <c r="M29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CUSTOS!$M$24)</f>
        <v>0.95273417327469756</v>
      </c>
      <c r="N29" s="61">
        <f ca="1">(+M29+O29+R29+U29+V29+W29+X29+Y29+Z29+AA29+AC29+AH29+AI29+AJ29+AK29)*CUSTOS!$M$5</f>
        <v>4.0352444494243835</v>
      </c>
      <c r="O29" s="61">
        <f>1 - CUSTOS!$M$24</f>
        <v>1</v>
      </c>
      <c r="P29" s="61">
        <v>0</v>
      </c>
      <c r="Q29" s="61">
        <v>0</v>
      </c>
      <c r="R29" s="61">
        <v>0</v>
      </c>
      <c r="S29" s="61">
        <f>1 - CUSTOS!$M$24</f>
        <v>1</v>
      </c>
      <c r="T29" s="61"/>
      <c r="U29" s="61">
        <f>TRANSICAO!$U$29*CUSTOS!$T$3</f>
        <v>0</v>
      </c>
      <c r="V29" s="61">
        <f>TRANSICAO!$V$29*CUSTOS!$T$3</f>
        <v>0</v>
      </c>
      <c r="W29" s="61">
        <f>TRANSICAO!$W$29*CUSTOS!$T$3</f>
        <v>0</v>
      </c>
      <c r="X29" s="61">
        <f>TRANSICAO!$X$29*CUSTOS!$T$3</f>
        <v>0</v>
      </c>
      <c r="Y29" s="61">
        <f>TRANSICAO!$Y$29*CUSTOS!$T$3</f>
        <v>140.7775</v>
      </c>
      <c r="Z29" s="61">
        <f>TRANSICAO!$Z$29*CUSTOS!$T$3</f>
        <v>0</v>
      </c>
      <c r="AA29" s="61">
        <f>TRANSICAO!$AA$29*CUSTOS!$T$3</f>
        <v>0</v>
      </c>
      <c r="AB29" s="61">
        <f>TRANSICAO!$AB$29*CUSTOS!$T$3</f>
        <v>0</v>
      </c>
      <c r="AC29" s="61">
        <f>TRANSICAO!$AC$29*CUSTOS!$T$3</f>
        <v>195.8614</v>
      </c>
      <c r="AD29" s="61">
        <f>TRANSICAO!$AD$29*CUSTOS!$T$3</f>
        <v>0</v>
      </c>
      <c r="AE29" s="61">
        <v>0</v>
      </c>
      <c r="AF29" s="61">
        <v>0</v>
      </c>
      <c r="AG29" s="61"/>
      <c r="AH29" s="61">
        <f>(1 - CUSTOS!$M$24)*31.6432</f>
        <v>31.6432</v>
      </c>
      <c r="AI29" s="61">
        <f>(1 - CUSTOS!$M$24)*31.6432</f>
        <v>31.6432</v>
      </c>
      <c r="AJ29" s="61">
        <f ca="1">$N$67*(1-CUSTOS!$M$24)</f>
        <v>0.82320538458186299</v>
      </c>
      <c r="AK29" s="61">
        <f t="shared" ca="1" si="0"/>
        <v>0.82320538458186299</v>
      </c>
      <c r="AL29" s="61"/>
      <c r="AM29" s="61"/>
      <c r="AP29" s="61">
        <f>IF((1 - CUSTOS!$M$24)&lt;&gt;0,1/(1 - CUSTOS!$M$24),1)</f>
        <v>1</v>
      </c>
    </row>
    <row r="30" spans="1:42" ht="11.25" customHeight="1" x14ac:dyDescent="0.3">
      <c r="A30" s="132"/>
      <c r="B30" s="132"/>
      <c r="C30" s="132"/>
      <c r="D30" s="65" t="s">
        <v>30</v>
      </c>
      <c r="E30" s="65" t="s">
        <v>25</v>
      </c>
      <c r="F30" s="65" t="s">
        <v>25</v>
      </c>
      <c r="G30" s="66" t="s">
        <v>81</v>
      </c>
      <c r="H30" s="66" t="s">
        <v>76</v>
      </c>
      <c r="I30" s="66">
        <f>'MERCADO TUSD'!$U$27</f>
        <v>0</v>
      </c>
      <c r="J30" s="15"/>
      <c r="L30" s="61">
        <v>0</v>
      </c>
      <c r="M30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CUSTOS!$M$25)</f>
        <v>0.95273417327469756</v>
      </c>
      <c r="N30" s="61">
        <f ca="1">(+M30+O30+R30+U30+V30+W30+X30+Y30+Z30+AA30+AC30+AH30+AI30+AJ30+AK30)*CUSTOS!$M$5</f>
        <v>4.0352444494243835</v>
      </c>
      <c r="O30" s="61">
        <f>1 - CUSTOS!$M$25</f>
        <v>1</v>
      </c>
      <c r="P30" s="61">
        <v>0</v>
      </c>
      <c r="Q30" s="61">
        <v>0</v>
      </c>
      <c r="R30" s="61">
        <v>0</v>
      </c>
      <c r="S30" s="61">
        <f>1 - CUSTOS!$M$25</f>
        <v>1</v>
      </c>
      <c r="T30" s="61"/>
      <c r="U30" s="61">
        <f>TRANSICAO!$U$30*CUSTOS!$T$3</f>
        <v>0</v>
      </c>
      <c r="V30" s="61">
        <f>TRANSICAO!$V$30*CUSTOS!$T$3</f>
        <v>0</v>
      </c>
      <c r="W30" s="61">
        <f>TRANSICAO!$W$30*CUSTOS!$T$3</f>
        <v>0</v>
      </c>
      <c r="X30" s="61">
        <f>TRANSICAO!$X$30*CUSTOS!$T$3</f>
        <v>0</v>
      </c>
      <c r="Y30" s="61">
        <f>TRANSICAO!$Y$30*CUSTOS!$T$3</f>
        <v>140.7775</v>
      </c>
      <c r="Z30" s="61">
        <f>TRANSICAO!$Z$30*CUSTOS!$T$3</f>
        <v>0</v>
      </c>
      <c r="AA30" s="61">
        <f>TRANSICAO!$AA$30*CUSTOS!$T$3</f>
        <v>0</v>
      </c>
      <c r="AB30" s="61">
        <f>TRANSICAO!$AB$30*CUSTOS!$T$3</f>
        <v>0</v>
      </c>
      <c r="AC30" s="61">
        <f>TRANSICAO!$AC$30*CUSTOS!$T$3</f>
        <v>195.8614</v>
      </c>
      <c r="AD30" s="61">
        <f>TRANSICAO!$AD$30*CUSTOS!$T$3</f>
        <v>0</v>
      </c>
      <c r="AE30" s="61">
        <v>0</v>
      </c>
      <c r="AF30" s="61">
        <v>0</v>
      </c>
      <c r="AG30" s="61"/>
      <c r="AH30" s="61">
        <f>(1 - CUSTOS!$M$25)*31.6432</f>
        <v>31.6432</v>
      </c>
      <c r="AI30" s="61">
        <f>(1 - CUSTOS!$M$25)*31.6432</f>
        <v>31.6432</v>
      </c>
      <c r="AJ30" s="61">
        <f ca="1">$N$67*(1-CUSTOS!$M$25)</f>
        <v>0.82320538458186299</v>
      </c>
      <c r="AK30" s="61">
        <f t="shared" ca="1" si="0"/>
        <v>0.82320538458186299</v>
      </c>
      <c r="AL30" s="61"/>
      <c r="AM30" s="61"/>
      <c r="AP30" s="61">
        <f>IF((1 - CUSTOS!$M$25)&lt;&gt;0,1/(1 - CUSTOS!$M$25),1)</f>
        <v>1</v>
      </c>
    </row>
    <row r="31" spans="1:42" ht="11.25" customHeight="1" x14ac:dyDescent="0.3">
      <c r="A31" s="132"/>
      <c r="B31" s="132"/>
      <c r="C31" s="132"/>
      <c r="D31" s="65" t="s">
        <v>31</v>
      </c>
      <c r="E31" s="65" t="s">
        <v>25</v>
      </c>
      <c r="F31" s="65" t="s">
        <v>25</v>
      </c>
      <c r="G31" s="66" t="s">
        <v>81</v>
      </c>
      <c r="H31" s="66" t="s">
        <v>76</v>
      </c>
      <c r="I31" s="66">
        <f>'MERCADO TUSD'!$U$28</f>
        <v>0</v>
      </c>
      <c r="J31" s="15"/>
      <c r="L31" s="61">
        <v>0</v>
      </c>
      <c r="M31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CUSTOS!$M$26)</f>
        <v>0.95273417327469756</v>
      </c>
      <c r="N31" s="61">
        <f ca="1">(+M31+O31+R31+U31+V31+W31+X31+Y31+Z31+AA31+AC31+AH31+AI31+AJ31+AK31)*CUSTOS!$M$5</f>
        <v>4.0352444494243835</v>
      </c>
      <c r="O31" s="61">
        <f>1 - CUSTOS!$M$26</f>
        <v>1</v>
      </c>
      <c r="P31" s="61">
        <v>0</v>
      </c>
      <c r="Q31" s="61">
        <v>0</v>
      </c>
      <c r="R31" s="61">
        <v>0</v>
      </c>
      <c r="S31" s="61">
        <f>1 - CUSTOS!$M$26</f>
        <v>1</v>
      </c>
      <c r="T31" s="61"/>
      <c r="U31" s="61">
        <f>TRANSICAO!$U$31*CUSTOS!$T$3</f>
        <v>0</v>
      </c>
      <c r="V31" s="61">
        <f>TRANSICAO!$V$31*CUSTOS!$T$3</f>
        <v>0</v>
      </c>
      <c r="W31" s="61">
        <f>TRANSICAO!$W$31*CUSTOS!$T$3</f>
        <v>0</v>
      </c>
      <c r="X31" s="61">
        <f>TRANSICAO!$X$31*CUSTOS!$T$3</f>
        <v>0</v>
      </c>
      <c r="Y31" s="61">
        <f>TRANSICAO!$Y$31*CUSTOS!$T$3</f>
        <v>140.7775</v>
      </c>
      <c r="Z31" s="61">
        <f>TRANSICAO!$Z$31*CUSTOS!$T$3</f>
        <v>0</v>
      </c>
      <c r="AA31" s="61">
        <f>TRANSICAO!$AA$31*CUSTOS!$T$3</f>
        <v>0</v>
      </c>
      <c r="AB31" s="61">
        <f>TRANSICAO!$AB$31*CUSTOS!$T$3</f>
        <v>0</v>
      </c>
      <c r="AC31" s="61">
        <f>TRANSICAO!$AC$31*CUSTOS!$T$3</f>
        <v>195.8614</v>
      </c>
      <c r="AD31" s="61">
        <f>TRANSICAO!$AD$31*CUSTOS!$T$3</f>
        <v>0</v>
      </c>
      <c r="AE31" s="61">
        <v>0</v>
      </c>
      <c r="AF31" s="61">
        <v>0</v>
      </c>
      <c r="AG31" s="61"/>
      <c r="AH31" s="61">
        <f>(1 - CUSTOS!$M$26)*31.6432</f>
        <v>31.6432</v>
      </c>
      <c r="AI31" s="61">
        <f>(1 - CUSTOS!$M$26)*31.6432</f>
        <v>31.6432</v>
      </c>
      <c r="AJ31" s="61">
        <f ca="1">$N$67*(1-CUSTOS!$M$26)</f>
        <v>0.82320538458186299</v>
      </c>
      <c r="AK31" s="61">
        <f t="shared" ca="1" si="0"/>
        <v>0.82320538458186299</v>
      </c>
      <c r="AL31" s="61"/>
      <c r="AM31" s="61"/>
      <c r="AP31" s="61">
        <f>IF((1 - CUSTOS!$M$26)&lt;&gt;0,1/(1 - CUSTOS!$M$26),1)</f>
        <v>1</v>
      </c>
    </row>
    <row r="32" spans="1:42" ht="11.25" customHeight="1" x14ac:dyDescent="0.3">
      <c r="A32" s="132"/>
      <c r="B32" s="132"/>
      <c r="C32" s="132"/>
      <c r="D32" s="65" t="s">
        <v>32</v>
      </c>
      <c r="E32" s="65" t="s">
        <v>25</v>
      </c>
      <c r="F32" s="65" t="s">
        <v>25</v>
      </c>
      <c r="G32" s="66" t="s">
        <v>81</v>
      </c>
      <c r="H32" s="66" t="s">
        <v>76</v>
      </c>
      <c r="I32" s="66">
        <f>'MERCADO TUSD'!$U$29</f>
        <v>0</v>
      </c>
      <c r="J32" s="15"/>
      <c r="L32" s="61">
        <v>0</v>
      </c>
      <c r="M32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CUSTOS!$M$27)</f>
        <v>0.95273417327469756</v>
      </c>
      <c r="N32" s="61">
        <f ca="1">(+M32+O32+R32+U32+V32+W32+X32+Y32+Z32+AA32+AC32+AH32+AI32+AJ32+AK32)*CUSTOS!$M$5</f>
        <v>4.0352444494243835</v>
      </c>
      <c r="O32" s="61">
        <f>1 - CUSTOS!$M$27</f>
        <v>1</v>
      </c>
      <c r="P32" s="61">
        <v>0</v>
      </c>
      <c r="Q32" s="61">
        <v>0</v>
      </c>
      <c r="R32" s="61">
        <v>0</v>
      </c>
      <c r="S32" s="61">
        <f>1 - CUSTOS!$M$27</f>
        <v>1</v>
      </c>
      <c r="T32" s="61"/>
      <c r="U32" s="61">
        <f>TRANSICAO!$U$32*CUSTOS!$T$3</f>
        <v>0</v>
      </c>
      <c r="V32" s="61">
        <f>TRANSICAO!$V$32*CUSTOS!$T$3</f>
        <v>0</v>
      </c>
      <c r="W32" s="61">
        <f>TRANSICAO!$W$32*CUSTOS!$T$3</f>
        <v>0</v>
      </c>
      <c r="X32" s="61">
        <f>TRANSICAO!$X$32*CUSTOS!$T$3</f>
        <v>0</v>
      </c>
      <c r="Y32" s="61">
        <f>TRANSICAO!$Y$32*CUSTOS!$T$3</f>
        <v>140.7775</v>
      </c>
      <c r="Z32" s="61">
        <f>TRANSICAO!$Z$32*CUSTOS!$T$3</f>
        <v>0</v>
      </c>
      <c r="AA32" s="61">
        <f>TRANSICAO!$AA$32*CUSTOS!$T$3</f>
        <v>0</v>
      </c>
      <c r="AB32" s="61">
        <f>TRANSICAO!$AB$32*CUSTOS!$T$3</f>
        <v>0</v>
      </c>
      <c r="AC32" s="61">
        <f>TRANSICAO!$AC$32*CUSTOS!$T$3</f>
        <v>195.8614</v>
      </c>
      <c r="AD32" s="61">
        <f>TRANSICAO!$AD$32*CUSTOS!$T$3</f>
        <v>0</v>
      </c>
      <c r="AE32" s="61">
        <v>0</v>
      </c>
      <c r="AF32" s="61">
        <v>0</v>
      </c>
      <c r="AG32" s="61"/>
      <c r="AH32" s="61">
        <f>(1 - CUSTOS!$M$27)*31.6432</f>
        <v>31.6432</v>
      </c>
      <c r="AI32" s="61">
        <f>(1 - CUSTOS!$M$27)*31.6432</f>
        <v>31.6432</v>
      </c>
      <c r="AJ32" s="61">
        <f ca="1">$N$67*(1-CUSTOS!$M$27)</f>
        <v>0.82320538458186299</v>
      </c>
      <c r="AK32" s="61">
        <f t="shared" ca="1" si="0"/>
        <v>0.82320538458186299</v>
      </c>
      <c r="AL32" s="61"/>
      <c r="AM32" s="61"/>
      <c r="AP32" s="61">
        <f>IF((1 - CUSTOS!$M$27)&lt;&gt;0,1/(1 - CUSTOS!$M$27),1)</f>
        <v>1</v>
      </c>
    </row>
    <row r="33" spans="1:42" ht="11.25" customHeight="1" x14ac:dyDescent="0.3">
      <c r="A33" s="132" t="s">
        <v>42</v>
      </c>
      <c r="B33" s="132" t="s">
        <v>33</v>
      </c>
      <c r="C33" s="132" t="s">
        <v>43</v>
      </c>
      <c r="D33" s="132" t="s">
        <v>25</v>
      </c>
      <c r="E33" s="132" t="s">
        <v>25</v>
      </c>
      <c r="F33" s="132" t="s">
        <v>25</v>
      </c>
      <c r="G33" s="66" t="s">
        <v>77</v>
      </c>
      <c r="H33" s="66" t="s">
        <v>76</v>
      </c>
      <c r="I33" s="66">
        <f>'MERCADO TUSD'!$U$30</f>
        <v>0.36099999999999999</v>
      </c>
      <c r="J33" s="15"/>
      <c r="L33" s="61">
        <f>1*(1 - CUSTOS!$M$28)</f>
        <v>1</v>
      </c>
      <c r="M33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CUSTOS!$M$28)</f>
        <v>0.95273417327469756</v>
      </c>
      <c r="N33" s="61">
        <f ca="1">(+M33+O33+R33+U33+V33+W33+X33+Y33+Z33+AA33+AC33+AH33+AI33+AJ33+AK33)*CUSTOS!$M$5</f>
        <v>11.282981449424383</v>
      </c>
      <c r="O33" s="61">
        <f>1 - CUSTOS!$M$28</f>
        <v>1</v>
      </c>
      <c r="P33" s="61">
        <f>1 - CUSTOS!$M$28</f>
        <v>1</v>
      </c>
      <c r="Q33" s="61">
        <f>1*(1 - CUSTOS!$M$28)</f>
        <v>1</v>
      </c>
      <c r="R33" s="61">
        <f>1 - CUSTOS!$M$28</f>
        <v>1</v>
      </c>
      <c r="S33" s="61">
        <f>1 - CUSTOS!$M$28</f>
        <v>1</v>
      </c>
      <c r="T33" s="61"/>
      <c r="U33" s="61">
        <f>TRANSICAO!$U$33*CUSTOS!$T$3</f>
        <v>0</v>
      </c>
      <c r="V33" s="61">
        <f>TRANSICAO!$V$33*CUSTOS!$T$3</f>
        <v>0</v>
      </c>
      <c r="W33" s="61">
        <f>TRANSICAO!$W$33*CUSTOS!$T$3</f>
        <v>0</v>
      </c>
      <c r="X33" s="61">
        <f>TRANSICAO!$X$33*CUSTOS!$T$3</f>
        <v>0</v>
      </c>
      <c r="Y33" s="61">
        <f>TRANSICAO!$Y$33*CUSTOS!$T$3</f>
        <v>443.44920000000002</v>
      </c>
      <c r="Z33" s="61">
        <f>TRANSICAO!$Z$33*CUSTOS!$T$3</f>
        <v>0</v>
      </c>
      <c r="AA33" s="61">
        <f>TRANSICAO!$AA$33*CUSTOS!$T$3</f>
        <v>0</v>
      </c>
      <c r="AB33" s="61">
        <f>TRANSICAO!$AB$33*CUSTOS!$T$3</f>
        <v>0</v>
      </c>
      <c r="AC33" s="61">
        <f>TRANSICAO!$AC$33*CUSTOS!$T$3</f>
        <v>616.96339999999998</v>
      </c>
      <c r="AD33" s="61">
        <f>TRANSICAO!$AD$33*CUSTOS!$T$3</f>
        <v>0</v>
      </c>
      <c r="AE33" s="61">
        <v>0</v>
      </c>
      <c r="AF33" s="61">
        <v>0</v>
      </c>
      <c r="AG33" s="61"/>
      <c r="AH33" s="61">
        <f>(1 - CUSTOS!$M$28)*31.6432</f>
        <v>31.6432</v>
      </c>
      <c r="AI33" s="61">
        <f>(1 - CUSTOS!$M$28)*31.6432</f>
        <v>31.6432</v>
      </c>
      <c r="AJ33" s="61">
        <f ca="1">$N$67*(1-CUSTOS!$M$28)</f>
        <v>0.82320538458186299</v>
      </c>
      <c r="AK33" s="61">
        <f t="shared" ca="1" si="0"/>
        <v>0.82320538458186299</v>
      </c>
      <c r="AL33" s="61"/>
      <c r="AM33" s="61"/>
      <c r="AP33" s="61">
        <f>IF((1 - CUSTOS!$M$28)&lt;&gt;0,1/(1 - CUSTOS!$M$28),1)</f>
        <v>1</v>
      </c>
    </row>
    <row r="34" spans="1:42" ht="11.25" customHeight="1" x14ac:dyDescent="0.3">
      <c r="A34" s="132"/>
      <c r="B34" s="132"/>
      <c r="C34" s="132"/>
      <c r="D34" s="132"/>
      <c r="E34" s="132"/>
      <c r="F34" s="132"/>
      <c r="G34" s="66" t="s">
        <v>93</v>
      </c>
      <c r="H34" s="66" t="s">
        <v>76</v>
      </c>
      <c r="I34" s="66">
        <f>'MERCADO TUSD'!$U$31</f>
        <v>0.21399999999999994</v>
      </c>
      <c r="J34" s="15"/>
      <c r="L34" s="61">
        <f>1*(1 - CUSTOS!$M$28)</f>
        <v>1</v>
      </c>
      <c r="M34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CUSTOS!$M$28)</f>
        <v>0.95273417327469756</v>
      </c>
      <c r="N34" s="61">
        <f ca="1">(+M34+O34+R34+U34+V34+W34+X34+Y34+Z34+AA34+AC34+AH34+AI34+AJ34+AK34)*CUSTOS!$M$5</f>
        <v>7.0413304494243851</v>
      </c>
      <c r="O34" s="61">
        <f>1 - CUSTOS!$M$28</f>
        <v>1</v>
      </c>
      <c r="P34" s="61">
        <f>1 - CUSTOS!$M$28</f>
        <v>1</v>
      </c>
      <c r="Q34" s="61">
        <f>1*(1 - CUSTOS!$M$28)</f>
        <v>1</v>
      </c>
      <c r="R34" s="61">
        <f>1 - CUSTOS!$M$28</f>
        <v>1</v>
      </c>
      <c r="S34" s="61">
        <f>1 - CUSTOS!$M$28</f>
        <v>1</v>
      </c>
      <c r="T34" s="61"/>
      <c r="U34" s="61">
        <f>TRANSICAO!$U$34*CUSTOS!$T$3</f>
        <v>0</v>
      </c>
      <c r="V34" s="61">
        <f>TRANSICAO!$V$34*CUSTOS!$T$3</f>
        <v>0</v>
      </c>
      <c r="W34" s="61">
        <f>TRANSICAO!$W$34*CUSTOS!$T$3</f>
        <v>0</v>
      </c>
      <c r="X34" s="61">
        <f>TRANSICAO!$X$34*CUSTOS!$T$3</f>
        <v>0</v>
      </c>
      <c r="Y34" s="61">
        <f>TRANSICAO!$Y$34*CUSTOS!$T$3</f>
        <v>266.06950000000001</v>
      </c>
      <c r="Z34" s="61">
        <f>TRANSICAO!$Z$34*CUSTOS!$T$3</f>
        <v>0</v>
      </c>
      <c r="AA34" s="61">
        <f>TRANSICAO!$AA$34*CUSTOS!$T$3</f>
        <v>0</v>
      </c>
      <c r="AB34" s="61">
        <f>TRANSICAO!$AB$34*CUSTOS!$T$3</f>
        <v>0</v>
      </c>
      <c r="AC34" s="61">
        <f>TRANSICAO!$AC$34*CUSTOS!$T$3</f>
        <v>370.178</v>
      </c>
      <c r="AD34" s="61">
        <f>TRANSICAO!$AD$34*CUSTOS!$T$3</f>
        <v>0</v>
      </c>
      <c r="AE34" s="61">
        <v>0</v>
      </c>
      <c r="AF34" s="61">
        <v>0</v>
      </c>
      <c r="AG34" s="61"/>
      <c r="AH34" s="61">
        <f>(1 - CUSTOS!$M$28)*31.6432</f>
        <v>31.6432</v>
      </c>
      <c r="AI34" s="61">
        <f>(1 - CUSTOS!$M$28)*31.6432</f>
        <v>31.6432</v>
      </c>
      <c r="AJ34" s="61">
        <f ca="1">$N$67*(1-CUSTOS!$M$28)</f>
        <v>0.82320538458186299</v>
      </c>
      <c r="AK34" s="61">
        <f t="shared" ca="1" si="0"/>
        <v>0.82320538458186299</v>
      </c>
      <c r="AL34" s="61"/>
      <c r="AM34" s="61"/>
      <c r="AP34" s="61">
        <f>IF((1 - CUSTOS!$M$28)&lt;&gt;0,1/(1 - CUSTOS!$M$28),1)</f>
        <v>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66" t="s">
        <v>78</v>
      </c>
      <c r="H35" s="66" t="s">
        <v>76</v>
      </c>
      <c r="I35" s="66">
        <f>'MERCADO TUSD'!$U$32</f>
        <v>2.4970000000000008</v>
      </c>
      <c r="J35" s="15"/>
      <c r="L35" s="61">
        <f>1*(1 - CUSTOS!$M$28)</f>
        <v>1</v>
      </c>
      <c r="M35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CUSTOS!$M$28)</f>
        <v>0.95273417327469756</v>
      </c>
      <c r="N35" s="61">
        <f ca="1">(+M35+O35+R35+U35+V35+W35+X35+Y35+Z35+AA35+AC35+AH35+AI35+AJ35+AK35)*CUSTOS!$M$5</f>
        <v>2.7996804494243843</v>
      </c>
      <c r="O35" s="61">
        <f>1 - CUSTOS!$M$28</f>
        <v>1</v>
      </c>
      <c r="P35" s="61">
        <f>1 - CUSTOS!$M$28</f>
        <v>1</v>
      </c>
      <c r="Q35" s="61">
        <f>1*(1 - CUSTOS!$M$28)</f>
        <v>1</v>
      </c>
      <c r="R35" s="61">
        <f>1 - CUSTOS!$M$28</f>
        <v>1</v>
      </c>
      <c r="S35" s="61">
        <f>1 - CUSTOS!$M$28</f>
        <v>1</v>
      </c>
      <c r="T35" s="61"/>
      <c r="U35" s="61">
        <f>TRANSICAO!$U$35*CUSTOS!$T$3</f>
        <v>0</v>
      </c>
      <c r="V35" s="61">
        <f>TRANSICAO!$V$35*CUSTOS!$T$3</f>
        <v>0</v>
      </c>
      <c r="W35" s="61">
        <f>TRANSICAO!$W$35*CUSTOS!$T$3</f>
        <v>0</v>
      </c>
      <c r="X35" s="61">
        <f>TRANSICAO!$X$35*CUSTOS!$T$3</f>
        <v>0</v>
      </c>
      <c r="Y35" s="61">
        <f>TRANSICAO!$Y$35*CUSTOS!$T$3</f>
        <v>88.689800000000005</v>
      </c>
      <c r="Z35" s="61">
        <f>TRANSICAO!$Z$35*CUSTOS!$T$3</f>
        <v>0</v>
      </c>
      <c r="AA35" s="61">
        <f>TRANSICAO!$AA$35*CUSTOS!$T$3</f>
        <v>0</v>
      </c>
      <c r="AB35" s="61">
        <f>TRANSICAO!$AB$35*CUSTOS!$T$3</f>
        <v>0</v>
      </c>
      <c r="AC35" s="61">
        <f>TRANSICAO!$AC$35*CUSTOS!$T$3</f>
        <v>123.3927</v>
      </c>
      <c r="AD35" s="61">
        <f>TRANSICAO!$AD$35*CUSTOS!$T$3</f>
        <v>0</v>
      </c>
      <c r="AE35" s="61">
        <v>0</v>
      </c>
      <c r="AF35" s="61">
        <v>0</v>
      </c>
      <c r="AG35" s="61"/>
      <c r="AH35" s="61">
        <f>(1 - CUSTOS!$M$28)*31.6432</f>
        <v>31.6432</v>
      </c>
      <c r="AI35" s="61">
        <f>(1 - CUSTOS!$M$28)*31.6432</f>
        <v>31.6432</v>
      </c>
      <c r="AJ35" s="61">
        <f ca="1">$N$67*(1-CUSTOS!$M$28)</f>
        <v>0.82320538458186299</v>
      </c>
      <c r="AK35" s="61">
        <f t="shared" ca="1" si="0"/>
        <v>0.82320538458186299</v>
      </c>
      <c r="AL35" s="61"/>
      <c r="AM35" s="61"/>
      <c r="AP35" s="61">
        <f>IF((1 - CUSTOS!$M$28)&lt;&gt;0,1/(1 - CUSTOS!$M$28),1)</f>
        <v>1</v>
      </c>
    </row>
    <row r="36" spans="1:42" ht="11.25" customHeight="1" x14ac:dyDescent="0.3">
      <c r="A36" s="132"/>
      <c r="B36" s="65" t="s">
        <v>23</v>
      </c>
      <c r="C36" s="65" t="s">
        <v>43</v>
      </c>
      <c r="D36" s="65" t="s">
        <v>25</v>
      </c>
      <c r="E36" s="65" t="s">
        <v>25</v>
      </c>
      <c r="F36" s="65" t="s">
        <v>25</v>
      </c>
      <c r="G36" s="66" t="s">
        <v>81</v>
      </c>
      <c r="H36" s="66" t="s">
        <v>76</v>
      </c>
      <c r="I36" s="66">
        <f>'MERCADO TUSD'!$U$33</f>
        <v>18691.718999999997</v>
      </c>
      <c r="J36" s="15"/>
      <c r="L36" s="61">
        <f>1*(1 - CUSTOS!$M$28)</f>
        <v>1</v>
      </c>
      <c r="M36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CUSTOS!$M$28)</f>
        <v>0.95273417327469756</v>
      </c>
      <c r="N36" s="61">
        <f ca="1">(+M36+O36+R36+U36+V36+W36+X36+Y36+Z36+AA36+AC36+AH36+AI36+AJ36+AK36)*CUSTOS!$M$5</f>
        <v>4.0452444494243842</v>
      </c>
      <c r="O36" s="61">
        <f>1 - CUSTOS!$M$28</f>
        <v>1</v>
      </c>
      <c r="P36" s="61">
        <f>1 - CUSTOS!$M$28</f>
        <v>1</v>
      </c>
      <c r="Q36" s="61">
        <f>1*(1 - CUSTOS!$M$28)</f>
        <v>1</v>
      </c>
      <c r="R36" s="61">
        <f>1 - CUSTOS!$M$28</f>
        <v>1</v>
      </c>
      <c r="S36" s="61">
        <f>1 - CUSTOS!$M$28</f>
        <v>1</v>
      </c>
      <c r="T36" s="61"/>
      <c r="U36" s="61">
        <f>TRANSICAO!$U$36*CUSTOS!$T$3</f>
        <v>0</v>
      </c>
      <c r="V36" s="61">
        <f>TRANSICAO!$V$36*CUSTOS!$T$3</f>
        <v>0</v>
      </c>
      <c r="W36" s="61">
        <f>TRANSICAO!$W$36*CUSTOS!$T$3</f>
        <v>0</v>
      </c>
      <c r="X36" s="61">
        <f>TRANSICAO!$X$36*CUSTOS!$T$3</f>
        <v>0</v>
      </c>
      <c r="Y36" s="61">
        <f>TRANSICAO!$Y$36*CUSTOS!$T$3</f>
        <v>140.7775</v>
      </c>
      <c r="Z36" s="61">
        <f>TRANSICAO!$Z$36*CUSTOS!$T$3</f>
        <v>0</v>
      </c>
      <c r="AA36" s="61">
        <f>TRANSICAO!$AA$36*CUSTOS!$T$3</f>
        <v>0</v>
      </c>
      <c r="AB36" s="61">
        <f>TRANSICAO!$AB$36*CUSTOS!$T$3</f>
        <v>0</v>
      </c>
      <c r="AC36" s="61">
        <f>TRANSICAO!$AC$36*CUSTOS!$T$3</f>
        <v>195.8614</v>
      </c>
      <c r="AD36" s="61">
        <f>TRANSICAO!$AD$36*CUSTOS!$T$3</f>
        <v>0</v>
      </c>
      <c r="AE36" s="61">
        <v>0</v>
      </c>
      <c r="AF36" s="61">
        <v>0</v>
      </c>
      <c r="AG36" s="61"/>
      <c r="AH36" s="61">
        <f>(1 - CUSTOS!$M$28)*31.6432</f>
        <v>31.6432</v>
      </c>
      <c r="AI36" s="61">
        <f>(1 - CUSTOS!$M$28)*31.6432</f>
        <v>31.6432</v>
      </c>
      <c r="AJ36" s="61">
        <f ca="1">$N$67*(1-CUSTOS!$M$28)</f>
        <v>0.82320538458186299</v>
      </c>
      <c r="AK36" s="61">
        <f t="shared" ca="1" si="0"/>
        <v>0.82320538458186299</v>
      </c>
      <c r="AL36" s="61"/>
      <c r="AM36" s="61"/>
      <c r="AP36" s="61">
        <f>IF((1 - CUSTOS!$M$28)&lt;&gt;0,1/(1 - CUSTOS!$M$28),1)</f>
        <v>1</v>
      </c>
    </row>
    <row r="37" spans="1:42" ht="11.25" customHeight="1" x14ac:dyDescent="0.3">
      <c r="A37" s="132"/>
      <c r="B37" s="132" t="s">
        <v>33</v>
      </c>
      <c r="C37" s="132" t="s">
        <v>43</v>
      </c>
      <c r="D37" s="132" t="s">
        <v>96</v>
      </c>
      <c r="E37" s="132" t="s">
        <v>25</v>
      </c>
      <c r="F37" s="132" t="s">
        <v>25</v>
      </c>
      <c r="G37" s="66" t="s">
        <v>77</v>
      </c>
      <c r="H37" s="66" t="s">
        <v>76</v>
      </c>
      <c r="I37" s="66">
        <f>'MERCADO TUSD'!$U$34</f>
        <v>0</v>
      </c>
      <c r="J37" s="15"/>
      <c r="L37" s="61">
        <f>1*(1 - CUSTOS!$M$29)</f>
        <v>1</v>
      </c>
      <c r="M37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CUSTOS!$M$29)</f>
        <v>0.95273417327469756</v>
      </c>
      <c r="N37" s="61">
        <f ca="1">(+M37+O37+R37+U37+V37+W37+X37+Y37+Z37+AA37+AC37+AH37+AI37+AJ37+AK37)*CUSTOS!$M$5</f>
        <v>11.282981449424383</v>
      </c>
      <c r="O37" s="61">
        <f>1 - CUSTOS!$M$29</f>
        <v>1</v>
      </c>
      <c r="P37" s="61">
        <f>1 - CUSTOS!$M$29</f>
        <v>1</v>
      </c>
      <c r="Q37" s="61">
        <f>1*(1 - CUSTOS!$M$29)</f>
        <v>1</v>
      </c>
      <c r="R37" s="61">
        <f>1 - CUSTOS!$M$29</f>
        <v>1</v>
      </c>
      <c r="S37" s="61">
        <f>1 - CUSTOS!$M$29</f>
        <v>1</v>
      </c>
      <c r="T37" s="61"/>
      <c r="U37" s="61">
        <f>TRANSICAO!$U$37*CUSTOS!$T$3</f>
        <v>0</v>
      </c>
      <c r="V37" s="61">
        <f>TRANSICAO!$V$37*CUSTOS!$T$3</f>
        <v>0</v>
      </c>
      <c r="W37" s="61">
        <f>TRANSICAO!$W$37*CUSTOS!$T$3</f>
        <v>0</v>
      </c>
      <c r="X37" s="61">
        <f>TRANSICAO!$X$37*CUSTOS!$T$3</f>
        <v>0</v>
      </c>
      <c r="Y37" s="61">
        <f>TRANSICAO!$Y$37*CUSTOS!$T$3</f>
        <v>443.44920000000002</v>
      </c>
      <c r="Z37" s="61">
        <f>TRANSICAO!$Z$37*CUSTOS!$T$3</f>
        <v>0</v>
      </c>
      <c r="AA37" s="61">
        <f>TRANSICAO!$AA$37*CUSTOS!$T$3</f>
        <v>0</v>
      </c>
      <c r="AB37" s="61">
        <f>TRANSICAO!$AB$37*CUSTOS!$T$3</f>
        <v>0</v>
      </c>
      <c r="AC37" s="61">
        <f>TRANSICAO!$AC$37*CUSTOS!$T$3</f>
        <v>616.96339999999998</v>
      </c>
      <c r="AD37" s="61">
        <f>TRANSICAO!$AD$37*CUSTOS!$T$3</f>
        <v>0</v>
      </c>
      <c r="AE37" s="61">
        <v>0</v>
      </c>
      <c r="AF37" s="61">
        <v>0</v>
      </c>
      <c r="AG37" s="61"/>
      <c r="AH37" s="61">
        <f>(1 - CUSTOS!$M$29)*31.6432</f>
        <v>31.6432</v>
      </c>
      <c r="AI37" s="61">
        <f>(1 - CUSTOS!$M$29)*31.6432</f>
        <v>31.6432</v>
      </c>
      <c r="AJ37" s="61">
        <f ca="1">$N$67*(1-CUSTOS!$M$29)</f>
        <v>0.82320538458186299</v>
      </c>
      <c r="AK37" s="61">
        <f t="shared" ref="AK37:AK54" ca="1" si="1">AJ37</f>
        <v>0.82320538458186299</v>
      </c>
      <c r="AL37" s="61"/>
      <c r="AM37" s="61"/>
      <c r="AP37" s="61">
        <f>IF((1 - CUSTOS!$M$29)&lt;&gt;0,1/(1 - CUSTOS!$M$29),1)</f>
        <v>1</v>
      </c>
    </row>
    <row r="38" spans="1:42" ht="11.25" customHeight="1" x14ac:dyDescent="0.3">
      <c r="A38" s="132"/>
      <c r="B38" s="132"/>
      <c r="C38" s="132"/>
      <c r="D38" s="132"/>
      <c r="E38" s="132"/>
      <c r="F38" s="132"/>
      <c r="G38" s="66" t="s">
        <v>93</v>
      </c>
      <c r="H38" s="66" t="s">
        <v>76</v>
      </c>
      <c r="I38" s="66">
        <f>'MERCADO TUSD'!$U$35</f>
        <v>0</v>
      </c>
      <c r="J38" s="15"/>
      <c r="L38" s="61">
        <f>1*(1 - CUSTOS!$M$29)</f>
        <v>1</v>
      </c>
      <c r="M38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CUSTOS!$M$29)</f>
        <v>0.95273417327469756</v>
      </c>
      <c r="N38" s="61">
        <f ca="1">(+M38+O38+R38+U38+V38+W38+X38+Y38+Z38+AA38+AC38+AH38+AI38+AJ38+AK38)*CUSTOS!$M$5</f>
        <v>7.0413304494243851</v>
      </c>
      <c r="O38" s="61">
        <f>1 - CUSTOS!$M$29</f>
        <v>1</v>
      </c>
      <c r="P38" s="61">
        <f>1 - CUSTOS!$M$29</f>
        <v>1</v>
      </c>
      <c r="Q38" s="61">
        <f>1*(1 - CUSTOS!$M$29)</f>
        <v>1</v>
      </c>
      <c r="R38" s="61">
        <f>1 - CUSTOS!$M$29</f>
        <v>1</v>
      </c>
      <c r="S38" s="61">
        <f>1 - CUSTOS!$M$29</f>
        <v>1</v>
      </c>
      <c r="T38" s="61"/>
      <c r="U38" s="61">
        <f>TRANSICAO!$U$38*CUSTOS!$T$3</f>
        <v>0</v>
      </c>
      <c r="V38" s="61">
        <f>TRANSICAO!$V$38*CUSTOS!$T$3</f>
        <v>0</v>
      </c>
      <c r="W38" s="61">
        <f>TRANSICAO!$W$38*CUSTOS!$T$3</f>
        <v>0</v>
      </c>
      <c r="X38" s="61">
        <f>TRANSICAO!$X$38*CUSTOS!$T$3</f>
        <v>0</v>
      </c>
      <c r="Y38" s="61">
        <f>TRANSICAO!$Y$38*CUSTOS!$T$3</f>
        <v>266.06950000000001</v>
      </c>
      <c r="Z38" s="61">
        <f>TRANSICAO!$Z$38*CUSTOS!$T$3</f>
        <v>0</v>
      </c>
      <c r="AA38" s="61">
        <f>TRANSICAO!$AA$38*CUSTOS!$T$3</f>
        <v>0</v>
      </c>
      <c r="AB38" s="61">
        <f>TRANSICAO!$AB$38*CUSTOS!$T$3</f>
        <v>0</v>
      </c>
      <c r="AC38" s="61">
        <f>TRANSICAO!$AC$38*CUSTOS!$T$3</f>
        <v>370.178</v>
      </c>
      <c r="AD38" s="61">
        <f>TRANSICAO!$AD$38*CUSTOS!$T$3</f>
        <v>0</v>
      </c>
      <c r="AE38" s="61">
        <v>0</v>
      </c>
      <c r="AF38" s="61">
        <v>0</v>
      </c>
      <c r="AG38" s="61"/>
      <c r="AH38" s="61">
        <f>(1 - CUSTOS!$M$29)*31.6432</f>
        <v>31.6432</v>
      </c>
      <c r="AI38" s="61">
        <f>(1 - CUSTOS!$M$29)*31.6432</f>
        <v>31.6432</v>
      </c>
      <c r="AJ38" s="61">
        <f ca="1">$N$67*(1-CUSTOS!$M$29)</f>
        <v>0.82320538458186299</v>
      </c>
      <c r="AK38" s="61">
        <f t="shared" ca="1" si="1"/>
        <v>0.82320538458186299</v>
      </c>
      <c r="AL38" s="61"/>
      <c r="AM38" s="61"/>
      <c r="AP38" s="61">
        <f>IF((1 - CUSTOS!$M$29)&lt;&gt;0,1/(1 - CUSTOS!$M$29),1)</f>
        <v>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66" t="s">
        <v>78</v>
      </c>
      <c r="H39" s="66" t="s">
        <v>76</v>
      </c>
      <c r="I39" s="66">
        <f>'MERCADO TUSD'!$U$36</f>
        <v>0</v>
      </c>
      <c r="J39" s="15"/>
      <c r="L39" s="61">
        <f>1*(1 - CUSTOS!$M$29)</f>
        <v>1</v>
      </c>
      <c r="M39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CUSTOS!$M$29)</f>
        <v>0.95273417327469756</v>
      </c>
      <c r="N39" s="61">
        <f ca="1">(+M39+O39+R39+U39+V39+W39+X39+Y39+Z39+AA39+AC39+AH39+AI39+AJ39+AK39)*CUSTOS!$M$5</f>
        <v>2.7996804494243843</v>
      </c>
      <c r="O39" s="61">
        <f>1 - CUSTOS!$M$29</f>
        <v>1</v>
      </c>
      <c r="P39" s="61">
        <f>1 - CUSTOS!$M$29</f>
        <v>1</v>
      </c>
      <c r="Q39" s="61">
        <f>1*(1 - CUSTOS!$M$29)</f>
        <v>1</v>
      </c>
      <c r="R39" s="61">
        <f>1 - CUSTOS!$M$29</f>
        <v>1</v>
      </c>
      <c r="S39" s="61">
        <f>1 - CUSTOS!$M$29</f>
        <v>1</v>
      </c>
      <c r="T39" s="61"/>
      <c r="U39" s="61">
        <f>TRANSICAO!$U$39*CUSTOS!$T$3</f>
        <v>0</v>
      </c>
      <c r="V39" s="61">
        <f>TRANSICAO!$V$39*CUSTOS!$T$3</f>
        <v>0</v>
      </c>
      <c r="W39" s="61">
        <f>TRANSICAO!$W$39*CUSTOS!$T$3</f>
        <v>0</v>
      </c>
      <c r="X39" s="61">
        <f>TRANSICAO!$X$39*CUSTOS!$T$3</f>
        <v>0</v>
      </c>
      <c r="Y39" s="61">
        <f>TRANSICAO!$Y$39*CUSTOS!$T$3</f>
        <v>88.689800000000005</v>
      </c>
      <c r="Z39" s="61">
        <f>TRANSICAO!$Z$39*CUSTOS!$T$3</f>
        <v>0</v>
      </c>
      <c r="AA39" s="61">
        <f>TRANSICAO!$AA$39*CUSTOS!$T$3</f>
        <v>0</v>
      </c>
      <c r="AB39" s="61">
        <f>TRANSICAO!$AB$39*CUSTOS!$T$3</f>
        <v>0</v>
      </c>
      <c r="AC39" s="61">
        <f>TRANSICAO!$AC$39*CUSTOS!$T$3</f>
        <v>123.3927</v>
      </c>
      <c r="AD39" s="61">
        <f>TRANSICAO!$AD$39*CUSTOS!$T$3</f>
        <v>0</v>
      </c>
      <c r="AE39" s="61">
        <v>0</v>
      </c>
      <c r="AF39" s="61">
        <v>0</v>
      </c>
      <c r="AG39" s="61"/>
      <c r="AH39" s="61">
        <f>(1 - CUSTOS!$M$29)*31.6432</f>
        <v>31.6432</v>
      </c>
      <c r="AI39" s="61">
        <f>(1 - CUSTOS!$M$29)*31.6432</f>
        <v>31.6432</v>
      </c>
      <c r="AJ39" s="61">
        <f ca="1">$N$67*(1-CUSTOS!$M$29)</f>
        <v>0.82320538458186299</v>
      </c>
      <c r="AK39" s="61">
        <f t="shared" ca="1" si="1"/>
        <v>0.82320538458186299</v>
      </c>
      <c r="AL39" s="61"/>
      <c r="AM39" s="61"/>
      <c r="AP39" s="61">
        <f>IF((1 - CUSTOS!$M$29)&lt;&gt;0,1/(1 - CUSTOS!$M$29),1)</f>
        <v>1</v>
      </c>
    </row>
    <row r="40" spans="1:42" ht="11.25" customHeight="1" x14ac:dyDescent="0.3">
      <c r="A40" s="132"/>
      <c r="B40" s="65" t="s">
        <v>23</v>
      </c>
      <c r="C40" s="65" t="s">
        <v>43</v>
      </c>
      <c r="D40" s="65" t="s">
        <v>96</v>
      </c>
      <c r="E40" s="65" t="s">
        <v>25</v>
      </c>
      <c r="F40" s="65" t="s">
        <v>25</v>
      </c>
      <c r="G40" s="66" t="s">
        <v>81</v>
      </c>
      <c r="H40" s="66" t="s">
        <v>76</v>
      </c>
      <c r="I40" s="66">
        <f>'MERCADO TUSD'!$U$37</f>
        <v>0</v>
      </c>
      <c r="J40" s="15"/>
      <c r="L40" s="61">
        <f>1*(1 - CUSTOS!$M$29)</f>
        <v>1</v>
      </c>
      <c r="M40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CUSTOS!$M$29)</f>
        <v>0.95273417327469756</v>
      </c>
      <c r="N40" s="61">
        <f ca="1">(+M40+O40+R40+U40+V40+W40+X40+Y40+Z40+AA40+AC40+AH40+AI40+AJ40+AK40)*CUSTOS!$M$5</f>
        <v>4.0452444494243842</v>
      </c>
      <c r="O40" s="61">
        <f>1 - CUSTOS!$M$29</f>
        <v>1</v>
      </c>
      <c r="P40" s="61">
        <f>1 - CUSTOS!$M$29</f>
        <v>1</v>
      </c>
      <c r="Q40" s="61">
        <f>1*(1 - CUSTOS!$M$29)</f>
        <v>1</v>
      </c>
      <c r="R40" s="61">
        <f>1 - CUSTOS!$M$29</f>
        <v>1</v>
      </c>
      <c r="S40" s="61">
        <f>1 - CUSTOS!$M$29</f>
        <v>1</v>
      </c>
      <c r="T40" s="61"/>
      <c r="U40" s="61">
        <f>TRANSICAO!$U$40*CUSTOS!$T$3</f>
        <v>0</v>
      </c>
      <c r="V40" s="61">
        <f>TRANSICAO!$V$40*CUSTOS!$T$3</f>
        <v>0</v>
      </c>
      <c r="W40" s="61">
        <f>TRANSICAO!$W$40*CUSTOS!$T$3</f>
        <v>0</v>
      </c>
      <c r="X40" s="61">
        <f>TRANSICAO!$X$40*CUSTOS!$T$3</f>
        <v>0</v>
      </c>
      <c r="Y40" s="61">
        <f>TRANSICAO!$Y$40*CUSTOS!$T$3</f>
        <v>140.7775</v>
      </c>
      <c r="Z40" s="61">
        <f>TRANSICAO!$Z$40*CUSTOS!$T$3</f>
        <v>0</v>
      </c>
      <c r="AA40" s="61">
        <f>TRANSICAO!$AA$40*CUSTOS!$T$3</f>
        <v>0</v>
      </c>
      <c r="AB40" s="61">
        <f>TRANSICAO!$AB$40*CUSTOS!$T$3</f>
        <v>0</v>
      </c>
      <c r="AC40" s="61">
        <f>TRANSICAO!$AC$40*CUSTOS!$T$3</f>
        <v>195.8614</v>
      </c>
      <c r="AD40" s="61">
        <f>TRANSICAO!$AD$40*CUSTOS!$T$3</f>
        <v>0</v>
      </c>
      <c r="AE40" s="61">
        <v>0</v>
      </c>
      <c r="AF40" s="61">
        <v>0</v>
      </c>
      <c r="AG40" s="61"/>
      <c r="AH40" s="61">
        <f>(1 - CUSTOS!$M$29)*31.6432</f>
        <v>31.6432</v>
      </c>
      <c r="AI40" s="61">
        <f>(1 - CUSTOS!$M$29)*31.6432</f>
        <v>31.6432</v>
      </c>
      <c r="AJ40" s="61">
        <f ca="1">$N$67*(1-CUSTOS!$M$29)</f>
        <v>0.82320538458186299</v>
      </c>
      <c r="AK40" s="61">
        <f t="shared" ca="1" si="1"/>
        <v>0.82320538458186299</v>
      </c>
      <c r="AL40" s="61"/>
      <c r="AM40" s="61"/>
      <c r="AP40" s="61">
        <f>IF((1 - CUSTOS!$M$29)&lt;&gt;0,1/(1 - CUSTOS!$M$29),1)</f>
        <v>1</v>
      </c>
    </row>
    <row r="41" spans="1:42" ht="11.25" customHeight="1" x14ac:dyDescent="0.3">
      <c r="A41" s="132"/>
      <c r="B41" s="132" t="s">
        <v>33</v>
      </c>
      <c r="C41" s="132" t="s">
        <v>43</v>
      </c>
      <c r="D41" s="132" t="s">
        <v>97</v>
      </c>
      <c r="E41" s="132" t="s">
        <v>25</v>
      </c>
      <c r="F41" s="132" t="s">
        <v>25</v>
      </c>
      <c r="G41" s="66" t="s">
        <v>77</v>
      </c>
      <c r="H41" s="66" t="s">
        <v>76</v>
      </c>
      <c r="I41" s="66">
        <f>'MERCADO TUSD'!$U$38</f>
        <v>0</v>
      </c>
      <c r="J41" s="15"/>
      <c r="L41" s="61">
        <f>1*(1 - CUSTOS!$M$30)</f>
        <v>1</v>
      </c>
      <c r="M41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CUSTOS!$M$30)</f>
        <v>0.95273417327469756</v>
      </c>
      <c r="N41" s="61">
        <f ca="1">(+M41+O41+R41+U41+V41+W41+X41+Y41+Z41+AA41+AC41+AH41+AI41+AJ41+AK41)*CUSTOS!$M$5</f>
        <v>11.282981449424383</v>
      </c>
      <c r="O41" s="61">
        <f>1 - CUSTOS!$M$30</f>
        <v>1</v>
      </c>
      <c r="P41" s="61">
        <f>1 - CUSTOS!$M$30</f>
        <v>1</v>
      </c>
      <c r="Q41" s="61">
        <f>1*(1 - CUSTOS!$M$30)</f>
        <v>1</v>
      </c>
      <c r="R41" s="61">
        <f>1 - CUSTOS!$M$30</f>
        <v>1</v>
      </c>
      <c r="S41" s="61">
        <f>1 - CUSTOS!$M$30</f>
        <v>1</v>
      </c>
      <c r="T41" s="61"/>
      <c r="U41" s="61">
        <f>TRANSICAO!$U$41*CUSTOS!$T$3</f>
        <v>0</v>
      </c>
      <c r="V41" s="61">
        <f>TRANSICAO!$V$41*CUSTOS!$T$3</f>
        <v>0</v>
      </c>
      <c r="W41" s="61">
        <f>TRANSICAO!$W$41*CUSTOS!$T$3</f>
        <v>0</v>
      </c>
      <c r="X41" s="61">
        <f>TRANSICAO!$X$41*CUSTOS!$T$3</f>
        <v>0</v>
      </c>
      <c r="Y41" s="61">
        <f>TRANSICAO!$Y$41*CUSTOS!$T$3</f>
        <v>443.44920000000002</v>
      </c>
      <c r="Z41" s="61">
        <f>TRANSICAO!$Z$41*CUSTOS!$T$3</f>
        <v>0</v>
      </c>
      <c r="AA41" s="61">
        <f>TRANSICAO!$AA$41*CUSTOS!$T$3</f>
        <v>0</v>
      </c>
      <c r="AB41" s="61">
        <f>TRANSICAO!$AB$41*CUSTOS!$T$3</f>
        <v>0</v>
      </c>
      <c r="AC41" s="61">
        <f>TRANSICAO!$AC$41*CUSTOS!$T$3</f>
        <v>616.96339999999998</v>
      </c>
      <c r="AD41" s="61">
        <f>TRANSICAO!$AD$41*CUSTOS!$T$3</f>
        <v>0</v>
      </c>
      <c r="AE41" s="61">
        <v>0</v>
      </c>
      <c r="AF41" s="61">
        <v>0</v>
      </c>
      <c r="AG41" s="61"/>
      <c r="AH41" s="61">
        <f>(1 - CUSTOS!$M$30)*31.6432</f>
        <v>31.6432</v>
      </c>
      <c r="AI41" s="61">
        <f>(1 - CUSTOS!$M$30)*31.6432</f>
        <v>31.6432</v>
      </c>
      <c r="AJ41" s="61">
        <f ca="1">$N$67*(1-CUSTOS!$M$30)</f>
        <v>0.82320538458186299</v>
      </c>
      <c r="AK41" s="61">
        <f t="shared" ca="1" si="1"/>
        <v>0.82320538458186299</v>
      </c>
      <c r="AL41" s="61"/>
      <c r="AM41" s="61"/>
      <c r="AP41" s="61">
        <f>IF((1 - CUSTOS!$M$30)&lt;&gt;0,1/(1 - CUSTOS!$M$30),1)</f>
        <v>1</v>
      </c>
    </row>
    <row r="42" spans="1:42" ht="11.25" customHeight="1" x14ac:dyDescent="0.3">
      <c r="A42" s="132"/>
      <c r="B42" s="132"/>
      <c r="C42" s="132"/>
      <c r="D42" s="132"/>
      <c r="E42" s="132"/>
      <c r="F42" s="132"/>
      <c r="G42" s="66" t="s">
        <v>93</v>
      </c>
      <c r="H42" s="66" t="s">
        <v>76</v>
      </c>
      <c r="I42" s="66">
        <f>'MERCADO TUSD'!$U$39</f>
        <v>0</v>
      </c>
      <c r="J42" s="15"/>
      <c r="L42" s="61">
        <f>1*(1 - CUSTOS!$M$30)</f>
        <v>1</v>
      </c>
      <c r="M42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CUSTOS!$M$30)</f>
        <v>0.95273417327469756</v>
      </c>
      <c r="N42" s="61">
        <f ca="1">(+M42+O42+R42+U42+V42+W42+X42+Y42+Z42+AA42+AC42+AH42+AI42+AJ42+AK42)*CUSTOS!$M$5</f>
        <v>7.0413304494243851</v>
      </c>
      <c r="O42" s="61">
        <f>1 - CUSTOS!$M$30</f>
        <v>1</v>
      </c>
      <c r="P42" s="61">
        <f>1 - CUSTOS!$M$30</f>
        <v>1</v>
      </c>
      <c r="Q42" s="61">
        <f>1*(1 - CUSTOS!$M$30)</f>
        <v>1</v>
      </c>
      <c r="R42" s="61">
        <f>1 - CUSTOS!$M$30</f>
        <v>1</v>
      </c>
      <c r="S42" s="61">
        <f>1 - CUSTOS!$M$30</f>
        <v>1</v>
      </c>
      <c r="T42" s="61"/>
      <c r="U42" s="61">
        <f>TRANSICAO!$U$42*CUSTOS!$T$3</f>
        <v>0</v>
      </c>
      <c r="V42" s="61">
        <f>TRANSICAO!$V$42*CUSTOS!$T$3</f>
        <v>0</v>
      </c>
      <c r="W42" s="61">
        <f>TRANSICAO!$W$42*CUSTOS!$T$3</f>
        <v>0</v>
      </c>
      <c r="X42" s="61">
        <f>TRANSICAO!$X$42*CUSTOS!$T$3</f>
        <v>0</v>
      </c>
      <c r="Y42" s="61">
        <f>TRANSICAO!$Y$42*CUSTOS!$T$3</f>
        <v>266.06950000000001</v>
      </c>
      <c r="Z42" s="61">
        <f>TRANSICAO!$Z$42*CUSTOS!$T$3</f>
        <v>0</v>
      </c>
      <c r="AA42" s="61">
        <f>TRANSICAO!$AA$42*CUSTOS!$T$3</f>
        <v>0</v>
      </c>
      <c r="AB42" s="61">
        <f>TRANSICAO!$AB$42*CUSTOS!$T$3</f>
        <v>0</v>
      </c>
      <c r="AC42" s="61">
        <f>TRANSICAO!$AC$42*CUSTOS!$T$3</f>
        <v>370.178</v>
      </c>
      <c r="AD42" s="61">
        <f>TRANSICAO!$AD$42*CUSTOS!$T$3</f>
        <v>0</v>
      </c>
      <c r="AE42" s="61">
        <v>0</v>
      </c>
      <c r="AF42" s="61">
        <v>0</v>
      </c>
      <c r="AG42" s="61"/>
      <c r="AH42" s="61">
        <f>(1 - CUSTOS!$M$30)*31.6432</f>
        <v>31.6432</v>
      </c>
      <c r="AI42" s="61">
        <f>(1 - CUSTOS!$M$30)*31.6432</f>
        <v>31.6432</v>
      </c>
      <c r="AJ42" s="61">
        <f ca="1">$N$67*(1-CUSTOS!$M$30)</f>
        <v>0.82320538458186299</v>
      </c>
      <c r="AK42" s="61">
        <f t="shared" ca="1" si="1"/>
        <v>0.82320538458186299</v>
      </c>
      <c r="AL42" s="61"/>
      <c r="AM42" s="61"/>
      <c r="AP42" s="61">
        <f>IF((1 - CUSTOS!$M$30)&lt;&gt;0,1/(1 - CUSTOS!$M$30),1)</f>
        <v>1</v>
      </c>
    </row>
    <row r="43" spans="1:42" ht="11.25" customHeight="1" x14ac:dyDescent="0.3">
      <c r="A43" s="132"/>
      <c r="B43" s="132"/>
      <c r="C43" s="132"/>
      <c r="D43" s="132"/>
      <c r="E43" s="132"/>
      <c r="F43" s="132"/>
      <c r="G43" s="66" t="s">
        <v>78</v>
      </c>
      <c r="H43" s="66" t="s">
        <v>76</v>
      </c>
      <c r="I43" s="66">
        <f>'MERCADO TUSD'!$U$40</f>
        <v>0</v>
      </c>
      <c r="J43" s="15"/>
      <c r="L43" s="61">
        <f>1*(1 - CUSTOS!$M$30)</f>
        <v>1</v>
      </c>
      <c r="M43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CUSTOS!$M$30)</f>
        <v>0.95273417327469756</v>
      </c>
      <c r="N43" s="61">
        <f ca="1">(+M43+O43+R43+U43+V43+W43+X43+Y43+Z43+AA43+AC43+AH43+AI43+AJ43+AK43)*CUSTOS!$M$5</f>
        <v>2.7996804494243843</v>
      </c>
      <c r="O43" s="61">
        <f>1 - CUSTOS!$M$30</f>
        <v>1</v>
      </c>
      <c r="P43" s="61">
        <f>1 - CUSTOS!$M$30</f>
        <v>1</v>
      </c>
      <c r="Q43" s="61">
        <f>1*(1 - CUSTOS!$M$30)</f>
        <v>1</v>
      </c>
      <c r="R43" s="61">
        <f>1 - CUSTOS!$M$30</f>
        <v>1</v>
      </c>
      <c r="S43" s="61">
        <f>1 - CUSTOS!$M$30</f>
        <v>1</v>
      </c>
      <c r="T43" s="61"/>
      <c r="U43" s="61">
        <f>TRANSICAO!$U$43*CUSTOS!$T$3</f>
        <v>0</v>
      </c>
      <c r="V43" s="61">
        <f>TRANSICAO!$V$43*CUSTOS!$T$3</f>
        <v>0</v>
      </c>
      <c r="W43" s="61">
        <f>TRANSICAO!$W$43*CUSTOS!$T$3</f>
        <v>0</v>
      </c>
      <c r="X43" s="61">
        <f>TRANSICAO!$X$43*CUSTOS!$T$3</f>
        <v>0</v>
      </c>
      <c r="Y43" s="61">
        <f>TRANSICAO!$Y$43*CUSTOS!$T$3</f>
        <v>88.689800000000005</v>
      </c>
      <c r="Z43" s="61">
        <f>TRANSICAO!$Z$43*CUSTOS!$T$3</f>
        <v>0</v>
      </c>
      <c r="AA43" s="61">
        <f>TRANSICAO!$AA$43*CUSTOS!$T$3</f>
        <v>0</v>
      </c>
      <c r="AB43" s="61">
        <f>TRANSICAO!$AB$43*CUSTOS!$T$3</f>
        <v>0</v>
      </c>
      <c r="AC43" s="61">
        <f>TRANSICAO!$AC$43*CUSTOS!$T$3</f>
        <v>123.3927</v>
      </c>
      <c r="AD43" s="61">
        <f>TRANSICAO!$AD$43*CUSTOS!$T$3</f>
        <v>0</v>
      </c>
      <c r="AE43" s="61">
        <v>0</v>
      </c>
      <c r="AF43" s="61">
        <v>0</v>
      </c>
      <c r="AG43" s="61"/>
      <c r="AH43" s="61">
        <f>(1 - CUSTOS!$M$30)*31.6432</f>
        <v>31.6432</v>
      </c>
      <c r="AI43" s="61">
        <f>(1 - CUSTOS!$M$30)*31.6432</f>
        <v>31.6432</v>
      </c>
      <c r="AJ43" s="61">
        <f ca="1">$N$67*(1-CUSTOS!$M$30)</f>
        <v>0.82320538458186299</v>
      </c>
      <c r="AK43" s="61">
        <f t="shared" ca="1" si="1"/>
        <v>0.82320538458186299</v>
      </c>
      <c r="AL43" s="61"/>
      <c r="AM43" s="61"/>
      <c r="AP43" s="61">
        <f>IF((1 - CUSTOS!$M$30)&lt;&gt;0,1/(1 - CUSTOS!$M$30),1)</f>
        <v>1</v>
      </c>
    </row>
    <row r="44" spans="1:42" ht="11.25" customHeight="1" x14ac:dyDescent="0.3">
      <c r="A44" s="132"/>
      <c r="B44" s="65" t="s">
        <v>23</v>
      </c>
      <c r="C44" s="65" t="s">
        <v>43</v>
      </c>
      <c r="D44" s="65" t="s">
        <v>97</v>
      </c>
      <c r="E44" s="65" t="s">
        <v>25</v>
      </c>
      <c r="F44" s="65" t="s">
        <v>25</v>
      </c>
      <c r="G44" s="66" t="s">
        <v>81</v>
      </c>
      <c r="H44" s="66" t="s">
        <v>76</v>
      </c>
      <c r="I44" s="66">
        <f>'MERCADO TUSD'!$U$41</f>
        <v>0</v>
      </c>
      <c r="J44" s="15"/>
      <c r="L44" s="61">
        <f>1*(1 - CUSTOS!$M$30)</f>
        <v>1</v>
      </c>
      <c r="M44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CUSTOS!$M$30)</f>
        <v>0.95273417327469756</v>
      </c>
      <c r="N44" s="61">
        <f ca="1">(+M44+O44+R44+U44+V44+W44+X44+Y44+Z44+AA44+AC44+AH44+AI44+AJ44+AK44)*CUSTOS!$M$5</f>
        <v>4.0452444494243842</v>
      </c>
      <c r="O44" s="61">
        <f>1 - CUSTOS!$M$30</f>
        <v>1</v>
      </c>
      <c r="P44" s="61">
        <f>1 - CUSTOS!$M$30</f>
        <v>1</v>
      </c>
      <c r="Q44" s="61">
        <f>1*(1 - CUSTOS!$M$30)</f>
        <v>1</v>
      </c>
      <c r="R44" s="61">
        <f>1 - CUSTOS!$M$30</f>
        <v>1</v>
      </c>
      <c r="S44" s="61">
        <f>1 - CUSTOS!$M$30</f>
        <v>1</v>
      </c>
      <c r="T44" s="61"/>
      <c r="U44" s="61">
        <f>TRANSICAO!$U$44*CUSTOS!$T$3</f>
        <v>0</v>
      </c>
      <c r="V44" s="61">
        <f>TRANSICAO!$V$44*CUSTOS!$T$3</f>
        <v>0</v>
      </c>
      <c r="W44" s="61">
        <f>TRANSICAO!$W$44*CUSTOS!$T$3</f>
        <v>0</v>
      </c>
      <c r="X44" s="61">
        <f>TRANSICAO!$X$44*CUSTOS!$T$3</f>
        <v>0</v>
      </c>
      <c r="Y44" s="61">
        <f>TRANSICAO!$Y$44*CUSTOS!$T$3</f>
        <v>140.7775</v>
      </c>
      <c r="Z44" s="61">
        <f>TRANSICAO!$Z$44*CUSTOS!$T$3</f>
        <v>0</v>
      </c>
      <c r="AA44" s="61">
        <f>TRANSICAO!$AA$44*CUSTOS!$T$3</f>
        <v>0</v>
      </c>
      <c r="AB44" s="61">
        <f>TRANSICAO!$AB$44*CUSTOS!$T$3</f>
        <v>0</v>
      </c>
      <c r="AC44" s="61">
        <f>TRANSICAO!$AC$44*CUSTOS!$T$3</f>
        <v>195.8614</v>
      </c>
      <c r="AD44" s="61">
        <f>TRANSICAO!$AD$44*CUSTOS!$T$3</f>
        <v>0</v>
      </c>
      <c r="AE44" s="61">
        <v>0</v>
      </c>
      <c r="AF44" s="61">
        <v>0</v>
      </c>
      <c r="AG44" s="61"/>
      <c r="AH44" s="61">
        <f>(1 - CUSTOS!$M$30)*31.6432</f>
        <v>31.6432</v>
      </c>
      <c r="AI44" s="61">
        <f>(1 - CUSTOS!$M$30)*31.6432</f>
        <v>31.6432</v>
      </c>
      <c r="AJ44" s="61">
        <f ca="1">$N$67*(1-CUSTOS!$M$30)</f>
        <v>0.82320538458186299</v>
      </c>
      <c r="AK44" s="61">
        <f t="shared" ca="1" si="1"/>
        <v>0.82320538458186299</v>
      </c>
      <c r="AL44" s="61"/>
      <c r="AM44" s="61"/>
      <c r="AP44" s="61">
        <f>IF((1 - CUSTOS!$M$30)&lt;&gt;0,1/(1 - CUSTOS!$M$30),1)</f>
        <v>1</v>
      </c>
    </row>
    <row r="45" spans="1:42" ht="11.25" customHeight="1" x14ac:dyDescent="0.3">
      <c r="A45" s="132"/>
      <c r="B45" s="132" t="s">
        <v>95</v>
      </c>
      <c r="C45" s="132" t="s">
        <v>43</v>
      </c>
      <c r="D45" s="65" t="s">
        <v>25</v>
      </c>
      <c r="E45" s="65" t="s">
        <v>25</v>
      </c>
      <c r="F45" s="65" t="s">
        <v>25</v>
      </c>
      <c r="G45" s="66" t="s">
        <v>81</v>
      </c>
      <c r="H45" s="66" t="s">
        <v>76</v>
      </c>
      <c r="I45" s="66">
        <f>'MERCADO TUSD'!$U$42</f>
        <v>0</v>
      </c>
      <c r="J45" s="15"/>
      <c r="L45" s="61">
        <f>1*(1 - CUSTOS!$M$28)</f>
        <v>1</v>
      </c>
      <c r="M45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CUSTOS!$M$28)</f>
        <v>0.95273417327469756</v>
      </c>
      <c r="N45" s="61">
        <f ca="1">(+M45+O45+R45+U45+V45+W45+X45+Y45+Z45+AA45+AC45+AH45+AI45+AJ45+AK45)*CUSTOS!$M$5</f>
        <v>4.0452444494243842</v>
      </c>
      <c r="O45" s="61">
        <f>1 - CUSTOS!$M$28</f>
        <v>1</v>
      </c>
      <c r="P45" s="61">
        <f>1 - CUSTOS!$M$28</f>
        <v>1</v>
      </c>
      <c r="Q45" s="61">
        <f>1*(1 - CUSTOS!$M$28)</f>
        <v>1</v>
      </c>
      <c r="R45" s="61">
        <f>1 - CUSTOS!$M$28</f>
        <v>1</v>
      </c>
      <c r="S45" s="61">
        <f>1 - CUSTOS!$M$28</f>
        <v>1</v>
      </c>
      <c r="T45" s="61"/>
      <c r="U45" s="61">
        <f>TRANSICAO!$U$45*CUSTOS!$T$3</f>
        <v>0</v>
      </c>
      <c r="V45" s="61">
        <f>TRANSICAO!$V$45*CUSTOS!$T$3</f>
        <v>0</v>
      </c>
      <c r="W45" s="61">
        <f>TRANSICAO!$W$45*CUSTOS!$T$3</f>
        <v>0</v>
      </c>
      <c r="X45" s="61">
        <f>TRANSICAO!$X$45*CUSTOS!$T$3</f>
        <v>0</v>
      </c>
      <c r="Y45" s="61">
        <f>TRANSICAO!$Y$45*CUSTOS!$T$3</f>
        <v>140.7775</v>
      </c>
      <c r="Z45" s="61">
        <f>TRANSICAO!$Z$45*CUSTOS!$T$3</f>
        <v>0</v>
      </c>
      <c r="AA45" s="61">
        <f>TRANSICAO!$AA$45*CUSTOS!$T$3</f>
        <v>0</v>
      </c>
      <c r="AB45" s="61">
        <f>TRANSICAO!$AB$45*CUSTOS!$T$3</f>
        <v>0</v>
      </c>
      <c r="AC45" s="61">
        <f>TRANSICAO!$AC$45*CUSTOS!$T$3</f>
        <v>195.8614</v>
      </c>
      <c r="AD45" s="61">
        <f>TRANSICAO!$AD$45*CUSTOS!$T$3</f>
        <v>0</v>
      </c>
      <c r="AE45" s="61">
        <v>0</v>
      </c>
      <c r="AF45" s="61">
        <v>0</v>
      </c>
      <c r="AG45" s="61"/>
      <c r="AH45" s="61">
        <f>(1 - CUSTOS!$M$28)*31.6432</f>
        <v>31.6432</v>
      </c>
      <c r="AI45" s="61">
        <f>(1 - CUSTOS!$M$28)*31.6432</f>
        <v>31.6432</v>
      </c>
      <c r="AJ45" s="61">
        <f ca="1">$N$67*(1-CUSTOS!$M$28)</f>
        <v>0.82320538458186299</v>
      </c>
      <c r="AK45" s="61">
        <f t="shared" ca="1" si="1"/>
        <v>0.82320538458186299</v>
      </c>
      <c r="AL45" s="61"/>
      <c r="AM45" s="61"/>
      <c r="AP45" s="61">
        <f>IF((1 - CUSTOS!$M$28)&lt;&gt;0,1/(1 - CUSTOS!$M$28),1)</f>
        <v>1</v>
      </c>
    </row>
    <row r="46" spans="1:42" ht="11.25" customHeight="1" x14ac:dyDescent="0.3">
      <c r="A46" s="132"/>
      <c r="B46" s="132"/>
      <c r="C46" s="132"/>
      <c r="D46" s="65" t="s">
        <v>96</v>
      </c>
      <c r="E46" s="65" t="s">
        <v>25</v>
      </c>
      <c r="F46" s="65" t="s">
        <v>25</v>
      </c>
      <c r="G46" s="66" t="s">
        <v>81</v>
      </c>
      <c r="H46" s="66" t="s">
        <v>76</v>
      </c>
      <c r="I46" s="66">
        <f>'MERCADO TUSD'!$U$43</f>
        <v>0</v>
      </c>
      <c r="J46" s="15"/>
      <c r="L46" s="61">
        <f>1*(1 - CUSTOS!$M$29)</f>
        <v>1</v>
      </c>
      <c r="M46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CUSTOS!$M$29)</f>
        <v>0.95273417327469756</v>
      </c>
      <c r="N46" s="61">
        <f ca="1">(+M46+O46+R46+U46+V46+W46+X46+Y46+Z46+AA46+AC46+AH46+AI46+AJ46+AK46)*CUSTOS!$M$5</f>
        <v>4.0452444494243842</v>
      </c>
      <c r="O46" s="61">
        <f>1 - CUSTOS!$M$29</f>
        <v>1</v>
      </c>
      <c r="P46" s="61">
        <f>1 - CUSTOS!$M$29</f>
        <v>1</v>
      </c>
      <c r="Q46" s="61">
        <f>1*(1 - CUSTOS!$M$29)</f>
        <v>1</v>
      </c>
      <c r="R46" s="61">
        <f>1 - CUSTOS!$M$29</f>
        <v>1</v>
      </c>
      <c r="S46" s="61">
        <f>1 - CUSTOS!$M$29</f>
        <v>1</v>
      </c>
      <c r="T46" s="61"/>
      <c r="U46" s="61">
        <f>TRANSICAO!$U$46*CUSTOS!$T$3</f>
        <v>0</v>
      </c>
      <c r="V46" s="61">
        <f>TRANSICAO!$V$46*CUSTOS!$T$3</f>
        <v>0</v>
      </c>
      <c r="W46" s="61">
        <f>TRANSICAO!$W$46*CUSTOS!$T$3</f>
        <v>0</v>
      </c>
      <c r="X46" s="61">
        <f>TRANSICAO!$X$46*CUSTOS!$T$3</f>
        <v>0</v>
      </c>
      <c r="Y46" s="61">
        <f>TRANSICAO!$Y$46*CUSTOS!$T$3</f>
        <v>140.7775</v>
      </c>
      <c r="Z46" s="61">
        <f>TRANSICAO!$Z$46*CUSTOS!$T$3</f>
        <v>0</v>
      </c>
      <c r="AA46" s="61">
        <f>TRANSICAO!$AA$46*CUSTOS!$T$3</f>
        <v>0</v>
      </c>
      <c r="AB46" s="61">
        <f>TRANSICAO!$AB$46*CUSTOS!$T$3</f>
        <v>0</v>
      </c>
      <c r="AC46" s="61">
        <f>TRANSICAO!$AC$46*CUSTOS!$T$3</f>
        <v>195.8614</v>
      </c>
      <c r="AD46" s="61">
        <f>TRANSICAO!$AD$46*CUSTOS!$T$3</f>
        <v>0</v>
      </c>
      <c r="AE46" s="61">
        <v>0</v>
      </c>
      <c r="AF46" s="61">
        <v>0</v>
      </c>
      <c r="AG46" s="61"/>
      <c r="AH46" s="61">
        <f>(1 - CUSTOS!$M$29)*31.6432</f>
        <v>31.6432</v>
      </c>
      <c r="AI46" s="61">
        <f>(1 - CUSTOS!$M$29)*31.6432</f>
        <v>31.6432</v>
      </c>
      <c r="AJ46" s="61">
        <f ca="1">$N$67*(1-CUSTOS!$M$29)</f>
        <v>0.82320538458186299</v>
      </c>
      <c r="AK46" s="61">
        <f t="shared" ca="1" si="1"/>
        <v>0.82320538458186299</v>
      </c>
      <c r="AL46" s="61"/>
      <c r="AM46" s="61"/>
      <c r="AP46" s="61">
        <f>IF((1 - CUSTOS!$M$29)&lt;&gt;0,1/(1 - CUSTOS!$M$29),1)</f>
        <v>1</v>
      </c>
    </row>
    <row r="47" spans="1:42" ht="11.25" customHeight="1" x14ac:dyDescent="0.3">
      <c r="A47" s="132"/>
      <c r="B47" s="132"/>
      <c r="C47" s="132"/>
      <c r="D47" s="65" t="s">
        <v>97</v>
      </c>
      <c r="E47" s="65" t="s">
        <v>25</v>
      </c>
      <c r="F47" s="65" t="s">
        <v>25</v>
      </c>
      <c r="G47" s="66" t="s">
        <v>81</v>
      </c>
      <c r="H47" s="66" t="s">
        <v>76</v>
      </c>
      <c r="I47" s="66">
        <f>'MERCADO TUSD'!$U$44</f>
        <v>0</v>
      </c>
      <c r="J47" s="15"/>
      <c r="L47" s="61">
        <f>1*(1 - CUSTOS!$M$30)</f>
        <v>1</v>
      </c>
      <c r="M47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CUSTOS!$M$30)</f>
        <v>0.95273417327469756</v>
      </c>
      <c r="N47" s="61">
        <f ca="1">(+M47+O47+R47+U47+V47+W47+X47+Y47+Z47+AA47+AC47+AH47+AI47+AJ47+AK47)*CUSTOS!$M$5</f>
        <v>4.0452444494243842</v>
      </c>
      <c r="O47" s="61">
        <f>1 - CUSTOS!$M$30</f>
        <v>1</v>
      </c>
      <c r="P47" s="61">
        <f>1 - CUSTOS!$M$30</f>
        <v>1</v>
      </c>
      <c r="Q47" s="61">
        <f>1*(1 - CUSTOS!$M$30)</f>
        <v>1</v>
      </c>
      <c r="R47" s="61">
        <f>1 - CUSTOS!$M$30</f>
        <v>1</v>
      </c>
      <c r="S47" s="61">
        <f>1 - CUSTOS!$M$30</f>
        <v>1</v>
      </c>
      <c r="T47" s="61"/>
      <c r="U47" s="61">
        <f>TRANSICAO!$U$47*CUSTOS!$T$3</f>
        <v>0</v>
      </c>
      <c r="V47" s="61">
        <f>TRANSICAO!$V$47*CUSTOS!$T$3</f>
        <v>0</v>
      </c>
      <c r="W47" s="61">
        <f>TRANSICAO!$W$47*CUSTOS!$T$3</f>
        <v>0</v>
      </c>
      <c r="X47" s="61">
        <f>TRANSICAO!$X$47*CUSTOS!$T$3</f>
        <v>0</v>
      </c>
      <c r="Y47" s="61">
        <f>TRANSICAO!$Y$47*CUSTOS!$T$3</f>
        <v>140.7775</v>
      </c>
      <c r="Z47" s="61">
        <f>TRANSICAO!$Z$47*CUSTOS!$T$3</f>
        <v>0</v>
      </c>
      <c r="AA47" s="61">
        <f>TRANSICAO!$AA$47*CUSTOS!$T$3</f>
        <v>0</v>
      </c>
      <c r="AB47" s="61">
        <f>TRANSICAO!$AB$47*CUSTOS!$T$3</f>
        <v>0</v>
      </c>
      <c r="AC47" s="61">
        <f>TRANSICAO!$AC$47*CUSTOS!$T$3</f>
        <v>195.8614</v>
      </c>
      <c r="AD47" s="61">
        <f>TRANSICAO!$AD$47*CUSTOS!$T$3</f>
        <v>0</v>
      </c>
      <c r="AE47" s="61">
        <v>0</v>
      </c>
      <c r="AF47" s="61">
        <v>0</v>
      </c>
      <c r="AG47" s="61"/>
      <c r="AH47" s="61">
        <f>(1 - CUSTOS!$M$30)*31.6432</f>
        <v>31.6432</v>
      </c>
      <c r="AI47" s="61">
        <f>(1 - CUSTOS!$M$30)*31.6432</f>
        <v>31.6432</v>
      </c>
      <c r="AJ47" s="61">
        <f ca="1">$N$67*(1-CUSTOS!$M$30)</f>
        <v>0.82320538458186299</v>
      </c>
      <c r="AK47" s="61">
        <f t="shared" ca="1" si="1"/>
        <v>0.82320538458186299</v>
      </c>
      <c r="AL47" s="61"/>
      <c r="AM47" s="61"/>
      <c r="AP47" s="61">
        <f>IF((1 - CUSTOS!$M$30)&lt;&gt;0,1/(1 - CUSTOS!$M$30),1)</f>
        <v>1</v>
      </c>
    </row>
    <row r="48" spans="1:42" ht="11.25" customHeight="1" x14ac:dyDescent="0.3">
      <c r="A48" s="132" t="s">
        <v>37</v>
      </c>
      <c r="B48" s="132" t="s">
        <v>33</v>
      </c>
      <c r="C48" s="132" t="s">
        <v>25</v>
      </c>
      <c r="D48" s="132" t="s">
        <v>25</v>
      </c>
      <c r="E48" s="132" t="s">
        <v>25</v>
      </c>
      <c r="F48" s="132" t="s">
        <v>25</v>
      </c>
      <c r="G48" s="66" t="s">
        <v>77</v>
      </c>
      <c r="H48" s="66" t="s">
        <v>76</v>
      </c>
      <c r="I48" s="66">
        <f>'MERCADO TUSD'!$U$45</f>
        <v>9.1080000000000005</v>
      </c>
      <c r="J48" s="15"/>
      <c r="L48" s="61">
        <f>1*(1 - CUSTOS!$M$31)</f>
        <v>1</v>
      </c>
      <c r="M48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CUSTOS!$M$31)</f>
        <v>0.95273417327469756</v>
      </c>
      <c r="N48" s="61">
        <f ca="1">(+M48+O48+R48+U48+V48+W48+X48+Y48+Z48+AA48+AC48+AH48+AI48+AJ48+AK48)*CUSTOS!$M$5</f>
        <v>12.797856449424383</v>
      </c>
      <c r="O48" s="61">
        <f>1 - CUSTOS!$M$31</f>
        <v>1</v>
      </c>
      <c r="P48" s="61">
        <f>1 - CUSTOS!$M$31</f>
        <v>1</v>
      </c>
      <c r="Q48" s="61">
        <f>1*(1 - CUSTOS!$M$31)</f>
        <v>1</v>
      </c>
      <c r="R48" s="61">
        <f>1 - CUSTOS!$M$31</f>
        <v>1</v>
      </c>
      <c r="S48" s="61">
        <f>1 - CUSTOS!$M$31</f>
        <v>1</v>
      </c>
      <c r="T48" s="61"/>
      <c r="U48" s="61">
        <f>TRANSICAO!$U$48*CUSTOS!$T$3</f>
        <v>0</v>
      </c>
      <c r="V48" s="61">
        <f>TRANSICAO!$V$48*CUSTOS!$T$3</f>
        <v>0</v>
      </c>
      <c r="W48" s="61">
        <f>TRANSICAO!$W$48*CUSTOS!$T$3</f>
        <v>0</v>
      </c>
      <c r="X48" s="61">
        <f>TRANSICAO!$X$48*CUSTOS!$T$3</f>
        <v>0</v>
      </c>
      <c r="Y48" s="61">
        <f>TRANSICAO!$Y$48*CUSTOS!$T$3</f>
        <v>506.79910000000001</v>
      </c>
      <c r="Z48" s="61">
        <f>TRANSICAO!$Z$48*CUSTOS!$T$3</f>
        <v>0</v>
      </c>
      <c r="AA48" s="61">
        <f>TRANSICAO!$AA$48*CUSTOS!$T$3</f>
        <v>0</v>
      </c>
      <c r="AB48" s="61">
        <f>TRANSICAO!$AB$48*CUSTOS!$T$3</f>
        <v>0</v>
      </c>
      <c r="AC48" s="61">
        <f>TRANSICAO!$AC$48*CUSTOS!$T$3</f>
        <v>705.101</v>
      </c>
      <c r="AD48" s="61">
        <f>TRANSICAO!$AD$48*CUSTOS!$T$3</f>
        <v>0</v>
      </c>
      <c r="AE48" s="61">
        <v>0</v>
      </c>
      <c r="AF48" s="61">
        <v>0</v>
      </c>
      <c r="AG48" s="61"/>
      <c r="AH48" s="61">
        <f>(1 - CUSTOS!$M$31)*31.6432</f>
        <v>31.6432</v>
      </c>
      <c r="AI48" s="61">
        <f>(1 - CUSTOS!$M$31)*31.6432</f>
        <v>31.6432</v>
      </c>
      <c r="AJ48" s="61">
        <f ca="1">$N$67*(1-CUSTOS!$M$31)</f>
        <v>0.82320538458186299</v>
      </c>
      <c r="AK48" s="61">
        <f t="shared" ca="1" si="1"/>
        <v>0.82320538458186299</v>
      </c>
      <c r="AL48" s="61"/>
      <c r="AM48" s="61"/>
      <c r="AP48" s="61">
        <f>IF((1 - CUSTOS!$M$31)&lt;&gt;0,1/(1 - CUSTOS!$M$31),1)</f>
        <v>1</v>
      </c>
    </row>
    <row r="49" spans="1:42" ht="11.25" customHeight="1" x14ac:dyDescent="0.3">
      <c r="A49" s="132"/>
      <c r="B49" s="132"/>
      <c r="C49" s="132"/>
      <c r="D49" s="132"/>
      <c r="E49" s="132"/>
      <c r="F49" s="132"/>
      <c r="G49" s="66" t="s">
        <v>93</v>
      </c>
      <c r="H49" s="66" t="s">
        <v>76</v>
      </c>
      <c r="I49" s="66">
        <f>'MERCADO TUSD'!$U$46</f>
        <v>0.627</v>
      </c>
      <c r="J49" s="15"/>
      <c r="L49" s="61">
        <f>1*(1 - CUSTOS!$M$31)</f>
        <v>1</v>
      </c>
      <c r="M49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CUSTOS!$M$31)</f>
        <v>0.95273417327469756</v>
      </c>
      <c r="N49" s="61">
        <f ca="1">(+M49+O49+R49+U49+V49+W49+X49+Y49+Z49+AA49+AC49+AH49+AI49+AJ49+AK49)*CUSTOS!$M$5</f>
        <v>7.9502564494243853</v>
      </c>
      <c r="O49" s="61">
        <f>1 - CUSTOS!$M$31</f>
        <v>1</v>
      </c>
      <c r="P49" s="61">
        <f>1 - CUSTOS!$M$31</f>
        <v>1</v>
      </c>
      <c r="Q49" s="61">
        <f>1*(1 - CUSTOS!$M$31)</f>
        <v>1</v>
      </c>
      <c r="R49" s="61">
        <f>1 - CUSTOS!$M$31</f>
        <v>1</v>
      </c>
      <c r="S49" s="61">
        <f>1 - CUSTOS!$M$31</f>
        <v>1</v>
      </c>
      <c r="T49" s="61"/>
      <c r="U49" s="61">
        <f>TRANSICAO!$U$49*CUSTOS!$T$3</f>
        <v>0</v>
      </c>
      <c r="V49" s="61">
        <f>TRANSICAO!$V$49*CUSTOS!$T$3</f>
        <v>0</v>
      </c>
      <c r="W49" s="61">
        <f>TRANSICAO!$W$49*CUSTOS!$T$3</f>
        <v>0</v>
      </c>
      <c r="X49" s="61">
        <f>TRANSICAO!$X$49*CUSTOS!$T$3</f>
        <v>0</v>
      </c>
      <c r="Y49" s="61">
        <f>TRANSICAO!$Y$49*CUSTOS!$T$3</f>
        <v>304.0795</v>
      </c>
      <c r="Z49" s="61">
        <f>TRANSICAO!$Z$49*CUSTOS!$T$3</f>
        <v>0</v>
      </c>
      <c r="AA49" s="61">
        <f>TRANSICAO!$AA$49*CUSTOS!$T$3</f>
        <v>0</v>
      </c>
      <c r="AB49" s="61">
        <f>TRANSICAO!$AB$49*CUSTOS!$T$3</f>
        <v>0</v>
      </c>
      <c r="AC49" s="61">
        <f>TRANSICAO!$AC$49*CUSTOS!$T$3</f>
        <v>423.06060000000002</v>
      </c>
      <c r="AD49" s="61">
        <f>TRANSICAO!$AD$49*CUSTOS!$T$3</f>
        <v>0</v>
      </c>
      <c r="AE49" s="61">
        <v>0</v>
      </c>
      <c r="AF49" s="61">
        <v>0</v>
      </c>
      <c r="AG49" s="61"/>
      <c r="AH49" s="61">
        <f>(1 - CUSTOS!$M$31)*31.6432</f>
        <v>31.6432</v>
      </c>
      <c r="AI49" s="61">
        <f>(1 - CUSTOS!$M$31)*31.6432</f>
        <v>31.6432</v>
      </c>
      <c r="AJ49" s="61">
        <f ca="1">$N$67*(1-CUSTOS!$M$31)</f>
        <v>0.82320538458186299</v>
      </c>
      <c r="AK49" s="61">
        <f t="shared" ca="1" si="1"/>
        <v>0.82320538458186299</v>
      </c>
      <c r="AL49" s="61"/>
      <c r="AM49" s="61"/>
      <c r="AP49" s="61">
        <f>IF((1 - CUSTOS!$M$31)&lt;&gt;0,1/(1 - CUSTOS!$M$31),1)</f>
        <v>1</v>
      </c>
    </row>
    <row r="50" spans="1:42" ht="11.25" customHeight="1" x14ac:dyDescent="0.3">
      <c r="A50" s="132"/>
      <c r="B50" s="132"/>
      <c r="C50" s="132"/>
      <c r="D50" s="132"/>
      <c r="E50" s="132"/>
      <c r="F50" s="132"/>
      <c r="G50" s="66" t="s">
        <v>78</v>
      </c>
      <c r="H50" s="66" t="s">
        <v>76</v>
      </c>
      <c r="I50" s="66">
        <f>'MERCADO TUSD'!$U$47</f>
        <v>7.484</v>
      </c>
      <c r="J50" s="15"/>
      <c r="L50" s="61">
        <f>1*(1 - CUSTOS!$M$31)</f>
        <v>1</v>
      </c>
      <c r="M50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CUSTOS!$M$31)</f>
        <v>0.95273417327469756</v>
      </c>
      <c r="N50" s="61">
        <f ca="1">(+M50+O50+R50+U50+V50+W50+X50+Y50+Z50+AA50+AC50+AH50+AI50+AJ50+AK50)*CUSTOS!$M$5</f>
        <v>3.1026554494243834</v>
      </c>
      <c r="O50" s="61">
        <f>1 - CUSTOS!$M$31</f>
        <v>1</v>
      </c>
      <c r="P50" s="61">
        <f>1 - CUSTOS!$M$31</f>
        <v>1</v>
      </c>
      <c r="Q50" s="61">
        <f>1*(1 - CUSTOS!$M$31)</f>
        <v>1</v>
      </c>
      <c r="R50" s="61">
        <f>1 - CUSTOS!$M$31</f>
        <v>1</v>
      </c>
      <c r="S50" s="61">
        <f>1 - CUSTOS!$M$31</f>
        <v>1</v>
      </c>
      <c r="T50" s="61"/>
      <c r="U50" s="61">
        <f>TRANSICAO!$U$50*CUSTOS!$T$3</f>
        <v>0</v>
      </c>
      <c r="V50" s="61">
        <f>TRANSICAO!$V$50*CUSTOS!$T$3</f>
        <v>0</v>
      </c>
      <c r="W50" s="61">
        <f>TRANSICAO!$W$50*CUSTOS!$T$3</f>
        <v>0</v>
      </c>
      <c r="X50" s="61">
        <f>TRANSICAO!$X$50*CUSTOS!$T$3</f>
        <v>0</v>
      </c>
      <c r="Y50" s="61">
        <f>TRANSICAO!$Y$50*CUSTOS!$T$3</f>
        <v>101.35980000000001</v>
      </c>
      <c r="Z50" s="61">
        <f>TRANSICAO!$Z$50*CUSTOS!$T$3</f>
        <v>0</v>
      </c>
      <c r="AA50" s="61">
        <f>TRANSICAO!$AA$50*CUSTOS!$T$3</f>
        <v>0</v>
      </c>
      <c r="AB50" s="61">
        <f>TRANSICAO!$AB$50*CUSTOS!$T$3</f>
        <v>0</v>
      </c>
      <c r="AC50" s="61">
        <f>TRANSICAO!$AC$50*CUSTOS!$T$3</f>
        <v>141.02019999999999</v>
      </c>
      <c r="AD50" s="61">
        <f>TRANSICAO!$AD$50*CUSTOS!$T$3</f>
        <v>0</v>
      </c>
      <c r="AE50" s="61">
        <v>0</v>
      </c>
      <c r="AF50" s="61">
        <v>0</v>
      </c>
      <c r="AG50" s="61"/>
      <c r="AH50" s="61">
        <f>(1 - CUSTOS!$M$31)*31.6432</f>
        <v>31.6432</v>
      </c>
      <c r="AI50" s="61">
        <f>(1 - CUSTOS!$M$31)*31.6432</f>
        <v>31.6432</v>
      </c>
      <c r="AJ50" s="61">
        <f ca="1">$N$67*(1-CUSTOS!$M$31)</f>
        <v>0.82320538458186299</v>
      </c>
      <c r="AK50" s="61">
        <f t="shared" ca="1" si="1"/>
        <v>0.82320538458186299</v>
      </c>
      <c r="AL50" s="61"/>
      <c r="AM50" s="61"/>
      <c r="AP50" s="61">
        <f>IF((1 - CUSTOS!$M$31)&lt;&gt;0,1/(1 - CUSTOS!$M$31),1)</f>
        <v>1</v>
      </c>
    </row>
    <row r="51" spans="1:42" ht="11.25" customHeight="1" x14ac:dyDescent="0.3">
      <c r="A51" s="132"/>
      <c r="B51" s="65" t="s">
        <v>23</v>
      </c>
      <c r="C51" s="65" t="s">
        <v>25</v>
      </c>
      <c r="D51" s="65" t="s">
        <v>25</v>
      </c>
      <c r="E51" s="65" t="s">
        <v>25</v>
      </c>
      <c r="F51" s="65" t="s">
        <v>25</v>
      </c>
      <c r="G51" s="66" t="s">
        <v>81</v>
      </c>
      <c r="H51" s="66" t="s">
        <v>76</v>
      </c>
      <c r="I51" s="66">
        <f>'MERCADO TUSD'!$U$48</f>
        <v>11812.039999999999</v>
      </c>
      <c r="J51" s="15"/>
      <c r="L51" s="61">
        <f>1*(1 - CUSTOS!$M$31)</f>
        <v>1</v>
      </c>
      <c r="M51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CUSTOS!$M$31)</f>
        <v>0.95273417327469756</v>
      </c>
      <c r="N51" s="61">
        <f ca="1">(+M51+O51+R51+U51+V51+W51+X51+Y51+Z51+AA51+AC51+AH51+AI51+AJ51+AK51)*CUSTOS!$M$5</f>
        <v>4.0452444494243842</v>
      </c>
      <c r="O51" s="61">
        <f>1 - CUSTOS!$M$31</f>
        <v>1</v>
      </c>
      <c r="P51" s="61">
        <f>1 - CUSTOS!$M$31</f>
        <v>1</v>
      </c>
      <c r="Q51" s="61">
        <f>1*(1 - CUSTOS!$M$31)</f>
        <v>1</v>
      </c>
      <c r="R51" s="61">
        <f>1 - CUSTOS!$M$31</f>
        <v>1</v>
      </c>
      <c r="S51" s="61">
        <f>1 - CUSTOS!$M$31</f>
        <v>1</v>
      </c>
      <c r="T51" s="61"/>
      <c r="U51" s="61">
        <f>TRANSICAO!$U$51*CUSTOS!$T$3</f>
        <v>0</v>
      </c>
      <c r="V51" s="61">
        <f>TRANSICAO!$V$51*CUSTOS!$T$3</f>
        <v>0</v>
      </c>
      <c r="W51" s="61">
        <f>TRANSICAO!$W$51*CUSTOS!$T$3</f>
        <v>0</v>
      </c>
      <c r="X51" s="61">
        <f>TRANSICAO!$X$51*CUSTOS!$T$3</f>
        <v>0</v>
      </c>
      <c r="Y51" s="61">
        <f>TRANSICAO!$Y$51*CUSTOS!$T$3</f>
        <v>140.7775</v>
      </c>
      <c r="Z51" s="61">
        <f>TRANSICAO!$Z$51*CUSTOS!$T$3</f>
        <v>0</v>
      </c>
      <c r="AA51" s="61">
        <f>TRANSICAO!$AA$51*CUSTOS!$T$3</f>
        <v>0</v>
      </c>
      <c r="AB51" s="61">
        <f>TRANSICAO!$AB$51*CUSTOS!$T$3</f>
        <v>0</v>
      </c>
      <c r="AC51" s="61">
        <f>TRANSICAO!$AC$51*CUSTOS!$T$3</f>
        <v>195.8614</v>
      </c>
      <c r="AD51" s="61">
        <f>TRANSICAO!$AD$51*CUSTOS!$T$3</f>
        <v>0</v>
      </c>
      <c r="AE51" s="61">
        <v>0</v>
      </c>
      <c r="AF51" s="61">
        <v>0</v>
      </c>
      <c r="AG51" s="61"/>
      <c r="AH51" s="61">
        <f>(1 - CUSTOS!$M$31)*31.6432</f>
        <v>31.6432</v>
      </c>
      <c r="AI51" s="61">
        <f>(1 - CUSTOS!$M$31)*31.6432</f>
        <v>31.6432</v>
      </c>
      <c r="AJ51" s="61">
        <f ca="1">$N$67*(1-CUSTOS!$M$31)</f>
        <v>0.82320538458186299</v>
      </c>
      <c r="AK51" s="61">
        <f t="shared" ca="1" si="1"/>
        <v>0.82320538458186299</v>
      </c>
      <c r="AL51" s="61"/>
      <c r="AM51" s="61"/>
      <c r="AP51" s="61">
        <f>IF((1 - CUSTOS!$M$31)&lt;&gt;0,1/(1 - CUSTOS!$M$31),1)</f>
        <v>1</v>
      </c>
    </row>
    <row r="52" spans="1:42" ht="11.25" customHeight="1" x14ac:dyDescent="0.3">
      <c r="A52" s="132"/>
      <c r="B52" s="65" t="s">
        <v>95</v>
      </c>
      <c r="C52" s="65" t="s">
        <v>25</v>
      </c>
      <c r="D52" s="65" t="s">
        <v>25</v>
      </c>
      <c r="E52" s="65" t="s">
        <v>25</v>
      </c>
      <c r="F52" s="65" t="s">
        <v>25</v>
      </c>
      <c r="G52" s="66" t="s">
        <v>81</v>
      </c>
      <c r="H52" s="66" t="s">
        <v>76</v>
      </c>
      <c r="I52" s="66">
        <f>'MERCADO TUSD'!$U$49</f>
        <v>0</v>
      </c>
      <c r="J52" s="15"/>
      <c r="L52" s="61">
        <f>1*(1 - CUSTOS!$M$31)</f>
        <v>1</v>
      </c>
      <c r="M52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CUSTOS!$M$31)</f>
        <v>0.95273417327469756</v>
      </c>
      <c r="N52" s="61">
        <f ca="1">(+M52+O52+R52+U52+V52+W52+X52+Y52+Z52+AA52+AC52+AH52+AI52+AJ52+AK52)*CUSTOS!$M$5</f>
        <v>4.0452444494243842</v>
      </c>
      <c r="O52" s="61">
        <f>1 - CUSTOS!$M$31</f>
        <v>1</v>
      </c>
      <c r="P52" s="61">
        <f>1 - CUSTOS!$M$31</f>
        <v>1</v>
      </c>
      <c r="Q52" s="61">
        <f>1*(1 - CUSTOS!$M$31)</f>
        <v>1</v>
      </c>
      <c r="R52" s="61">
        <f>1 - CUSTOS!$M$31</f>
        <v>1</v>
      </c>
      <c r="S52" s="61">
        <f>1 - CUSTOS!$M$31</f>
        <v>1</v>
      </c>
      <c r="T52" s="61"/>
      <c r="U52" s="61">
        <f>TRANSICAO!$U$52*CUSTOS!$T$3</f>
        <v>0</v>
      </c>
      <c r="V52" s="61">
        <f>TRANSICAO!$V$52*CUSTOS!$T$3</f>
        <v>0</v>
      </c>
      <c r="W52" s="61">
        <f>TRANSICAO!$W$52*CUSTOS!$T$3</f>
        <v>0</v>
      </c>
      <c r="X52" s="61">
        <f>TRANSICAO!$X$52*CUSTOS!$T$3</f>
        <v>0</v>
      </c>
      <c r="Y52" s="61">
        <f>TRANSICAO!$Y$52*CUSTOS!$T$3</f>
        <v>140.7775</v>
      </c>
      <c r="Z52" s="61">
        <f>TRANSICAO!$Z$52*CUSTOS!$T$3</f>
        <v>0</v>
      </c>
      <c r="AA52" s="61">
        <f>TRANSICAO!$AA$52*CUSTOS!$T$3</f>
        <v>0</v>
      </c>
      <c r="AB52" s="61">
        <f>TRANSICAO!$AB$52*CUSTOS!$T$3</f>
        <v>0</v>
      </c>
      <c r="AC52" s="61">
        <f>TRANSICAO!$AC$52*CUSTOS!$T$3</f>
        <v>195.8614</v>
      </c>
      <c r="AD52" s="61">
        <f>TRANSICAO!$AD$52*CUSTOS!$T$3</f>
        <v>0</v>
      </c>
      <c r="AE52" s="61">
        <v>0</v>
      </c>
      <c r="AF52" s="61">
        <v>0</v>
      </c>
      <c r="AG52" s="61"/>
      <c r="AH52" s="61">
        <f>(1 - CUSTOS!$M$31)*31.6432</f>
        <v>31.6432</v>
      </c>
      <c r="AI52" s="61">
        <f>(1 - CUSTOS!$M$31)*31.6432</f>
        <v>31.6432</v>
      </c>
      <c r="AJ52" s="61">
        <f ca="1">$N$67*(1-CUSTOS!$M$31)</f>
        <v>0.82320538458186299</v>
      </c>
      <c r="AK52" s="61">
        <f t="shared" ca="1" si="1"/>
        <v>0.82320538458186299</v>
      </c>
      <c r="AL52" s="61"/>
      <c r="AM52" s="61"/>
      <c r="AP52" s="61">
        <f>IF((1 - CUSTOS!$M$31)&lt;&gt;0,1/(1 - CUSTOS!$M$31),1)</f>
        <v>1</v>
      </c>
    </row>
    <row r="53" spans="1:42" ht="11.25" customHeight="1" x14ac:dyDescent="0.3">
      <c r="A53" s="132" t="s">
        <v>45</v>
      </c>
      <c r="B53" s="132" t="s">
        <v>23</v>
      </c>
      <c r="C53" s="132" t="s">
        <v>46</v>
      </c>
      <c r="D53" s="65" t="s">
        <v>47</v>
      </c>
      <c r="E53" s="65" t="s">
        <v>25</v>
      </c>
      <c r="F53" s="65" t="s">
        <v>25</v>
      </c>
      <c r="G53" s="66" t="s">
        <v>81</v>
      </c>
      <c r="H53" s="66" t="s">
        <v>76</v>
      </c>
      <c r="I53" s="66">
        <f>'MERCADO TUSD'!$U$50</f>
        <v>4365.4290000000001</v>
      </c>
      <c r="J53" s="15"/>
      <c r="L53" s="61">
        <f>1*(1 - CUSTOS!$M$32)</f>
        <v>0.55000000000000004</v>
      </c>
      <c r="M53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CUSTOS!$M$32)</f>
        <v>0.52400379530108365</v>
      </c>
      <c r="N53" s="61">
        <f ca="1">(+M53+O53+R53+U53+V53+W53+X53+Y53+Z53+AA53+AC53+AH53+AI53+AJ53+AK53)*CUSTOS!$M$5</f>
        <v>2.2248844471834115</v>
      </c>
      <c r="O53" s="61">
        <f>1 - CUSTOS!$M$32</f>
        <v>0.55000000000000004</v>
      </c>
      <c r="P53" s="61">
        <f>1 - CUSTOS!$M$32</f>
        <v>0.55000000000000004</v>
      </c>
      <c r="Q53" s="61">
        <f>1*(1 - CUSTOS!$M$32)</f>
        <v>0.55000000000000004</v>
      </c>
      <c r="R53" s="61">
        <f>1 - CUSTOS!$M$32</f>
        <v>0.55000000000000004</v>
      </c>
      <c r="S53" s="61">
        <f>1 - CUSTOS!$M$32</f>
        <v>0.55000000000000004</v>
      </c>
      <c r="T53" s="61"/>
      <c r="U53" s="61">
        <f>TRANSICAO!$U$53*CUSTOS!$T$3</f>
        <v>0</v>
      </c>
      <c r="V53" s="61">
        <f>TRANSICAO!$V$53*CUSTOS!$T$3</f>
        <v>0</v>
      </c>
      <c r="W53" s="61">
        <f>TRANSICAO!$W$53*CUSTOS!$T$3</f>
        <v>0</v>
      </c>
      <c r="X53" s="61">
        <f>TRANSICAO!$X$53*CUSTOS!$T$3</f>
        <v>0</v>
      </c>
      <c r="Y53" s="61">
        <f>TRANSICAO!$Y$53*CUSTOS!$T$3</f>
        <v>77.427625000000006</v>
      </c>
      <c r="Z53" s="61">
        <f>TRANSICAO!$Z$53*CUSTOS!$T$3</f>
        <v>0</v>
      </c>
      <c r="AA53" s="61">
        <f>TRANSICAO!$AA$53*CUSTOS!$T$3</f>
        <v>0</v>
      </c>
      <c r="AB53" s="61">
        <f>TRANSICAO!$AB$53*CUSTOS!$T$3</f>
        <v>0</v>
      </c>
      <c r="AC53" s="61">
        <f>TRANSICAO!$AC$53*CUSTOS!$T$3</f>
        <v>107.72377000000002</v>
      </c>
      <c r="AD53" s="61">
        <f>TRANSICAO!$AD$53*CUSTOS!$T$3</f>
        <v>0</v>
      </c>
      <c r="AE53" s="61">
        <v>0</v>
      </c>
      <c r="AF53" s="61">
        <v>0</v>
      </c>
      <c r="AG53" s="61"/>
      <c r="AH53" s="61">
        <f>(1 - CUSTOS!$M$32)*31.6432</f>
        <v>17.403760000000002</v>
      </c>
      <c r="AI53" s="61">
        <f>(1 - CUSTOS!$M$32)*31.6432</f>
        <v>17.403760000000002</v>
      </c>
      <c r="AJ53" s="61">
        <f ca="1">$N$67*(1-CUSTOS!$M$32)</f>
        <v>0.45276296152002465</v>
      </c>
      <c r="AK53" s="61">
        <f t="shared" ca="1" si="1"/>
        <v>0.45276296152002465</v>
      </c>
      <c r="AL53" s="61"/>
      <c r="AM53" s="61"/>
      <c r="AP53" s="61">
        <f>IF((1 - CUSTOS!$M$32)&lt;&gt;0,1/(1 - CUSTOS!$M$32),1)</f>
        <v>1.8181818181818181</v>
      </c>
    </row>
    <row r="54" spans="1:42" ht="11.25" customHeight="1" x14ac:dyDescent="0.3">
      <c r="A54" s="132"/>
      <c r="B54" s="132"/>
      <c r="C54" s="132"/>
      <c r="D54" s="66" t="s">
        <v>98</v>
      </c>
      <c r="E54" s="66" t="s">
        <v>25</v>
      </c>
      <c r="F54" s="66" t="s">
        <v>25</v>
      </c>
      <c r="G54" s="66" t="s">
        <v>81</v>
      </c>
      <c r="H54" s="66" t="s">
        <v>76</v>
      </c>
      <c r="I54" s="66">
        <f>'MERCADO TUSD'!$U$51</f>
        <v>0</v>
      </c>
      <c r="J54" s="15"/>
      <c r="L54" s="61">
        <f>1*(1 - CUSTOS!$M$33)</f>
        <v>0.6</v>
      </c>
      <c r="M54" s="61">
        <f>IF(AND((+$I$20+$I$21+$I$22+$I$23+$I$24+$I$25+$I$26+$I$27+$I$28+$I$29+$I$30+$I$31+$I$32+$I$33+$I$34+$I$35+$I$36+$I$37+$I$38+$I$39+$I$40+$I$41+$I$42+$I$43+$I$44+$I$45+$I$46+$I$47+$I$48+$I$49+$I$50+$I$51+$I$52+$I$53+$I$54)&lt;&gt;0,SUMPRODUCT($I$5:$I$54,$AC$5:$AC$54,$AP$5:$AP$54)&lt;&gt;0),$M$59*SUMPRODUCT($I$20:$I$54,$AC$20:$AC$54,$AP$20:$AP$54)/SUMPRODUCT($I$5:$I$54,$AC$5:$AC$54,$AP$5:$AP$54)/(+$I$20+$I$21+$I$22+$I$23+$I$24+$I$25+$I$26+$I$27+$I$28+$I$29+$I$30+$I$31+$I$32+$I$33+$I$34+$I$35+$I$36+$I$37+$I$38+$I$39+$I$40+$I$41+$I$42+$I$43+$I$44+$I$45+$I$46+$I$47+$I$48+$I$49+$I$50+$I$51+$I$52+$I$53+$I$54),0)*(1 - CUSTOS!$M$33)</f>
        <v>0.57164050396481847</v>
      </c>
      <c r="N54" s="61">
        <f ca="1">(+M54+O54+R54+U54+V54+W54+X54+Y54+Z54+AA54+AC54+AH54+AI54+AJ54+AK54)*CUSTOS!$M$5</f>
        <v>2.4271466696546304</v>
      </c>
      <c r="O54" s="61">
        <f>1 - CUSTOS!$M$33</f>
        <v>0.6</v>
      </c>
      <c r="P54" s="61">
        <f>1 - CUSTOS!$M$33</f>
        <v>0.6</v>
      </c>
      <c r="Q54" s="61">
        <f>1*(1 - CUSTOS!$M$33)</f>
        <v>0.6</v>
      </c>
      <c r="R54" s="61">
        <f>1 - CUSTOS!$M$33</f>
        <v>0.6</v>
      </c>
      <c r="S54" s="61">
        <f>1 - CUSTOS!$M$33</f>
        <v>0.6</v>
      </c>
      <c r="T54" s="61"/>
      <c r="U54" s="61">
        <f>TRANSICAO!$U$54*CUSTOS!$T$3</f>
        <v>0</v>
      </c>
      <c r="V54" s="61">
        <f>TRANSICAO!$V$54*CUSTOS!$T$3</f>
        <v>0</v>
      </c>
      <c r="W54" s="61">
        <f>TRANSICAO!$W$54*CUSTOS!$T$3</f>
        <v>0</v>
      </c>
      <c r="X54" s="61">
        <f>TRANSICAO!$X$54*CUSTOS!$T$3</f>
        <v>0</v>
      </c>
      <c r="Y54" s="61">
        <f>TRANSICAO!$Y$54*CUSTOS!$T$3</f>
        <v>84.466499999999996</v>
      </c>
      <c r="Z54" s="61">
        <f>TRANSICAO!$Z$54*CUSTOS!$T$3</f>
        <v>0</v>
      </c>
      <c r="AA54" s="61">
        <f>TRANSICAO!$AA$54*CUSTOS!$T$3</f>
        <v>0</v>
      </c>
      <c r="AB54" s="61">
        <f>TRANSICAO!$AB$54*CUSTOS!$T$3</f>
        <v>0</v>
      </c>
      <c r="AC54" s="61">
        <f>TRANSICAO!$AC$54*CUSTOS!$T$3</f>
        <v>117.51684</v>
      </c>
      <c r="AD54" s="61">
        <f>TRANSICAO!$AD$54*CUSTOS!$T$3</f>
        <v>0</v>
      </c>
      <c r="AE54" s="61">
        <v>0</v>
      </c>
      <c r="AF54" s="61">
        <v>0</v>
      </c>
      <c r="AG54" s="61"/>
      <c r="AH54" s="61">
        <f>(1 - CUSTOS!$M$33)*31.6432</f>
        <v>18.98592</v>
      </c>
      <c r="AI54" s="61">
        <f>(1 - CUSTOS!$M$33)*31.6432</f>
        <v>18.98592</v>
      </c>
      <c r="AJ54" s="61">
        <f ca="1">$N$67*(1-CUSTOS!$M$33)</f>
        <v>0.49392323074911776</v>
      </c>
      <c r="AK54" s="61">
        <f t="shared" ca="1" si="1"/>
        <v>0.49392323074911776</v>
      </c>
      <c r="AL54" s="61"/>
      <c r="AM54" s="61"/>
      <c r="AP54" s="61">
        <f>IF((1 - CUSTOS!$M$33)&lt;&gt;0,1/(1 - CUSTOS!$M$33),1)</f>
        <v>1.6666666666666667</v>
      </c>
    </row>
    <row r="56" spans="1:42" ht="11.25" customHeight="1" x14ac:dyDescent="0.3">
      <c r="K56" s="60" t="s">
        <v>703</v>
      </c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</row>
    <row r="57" spans="1:42" ht="11.25" customHeight="1" x14ac:dyDescent="0.3">
      <c r="K57" s="60" t="s">
        <v>704</v>
      </c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</row>
    <row r="58" spans="1:42" ht="11.25" customHeight="1" x14ac:dyDescent="0.3">
      <c r="K58" s="60" t="s">
        <v>705</v>
      </c>
      <c r="L58" s="61">
        <f>IF(ISERROR(+SUMPRODUCT($L$5:$L$8,$I$5:$I$8)+SUMPRODUCT($L$9:$L$11,$I$9:$I$11)+SUMPRODUCT($L$12:$L$12,$I$12:$I$12)+SUMPRODUCT($L$13:$L$17,$I$13:$I$17)+SUMPRODUCT($L$18:$L$19,$I$18:$I$19)+SUMPRODUCT($L$20:$L$22,$I$20:$I$22)+SUMPRODUCT($L$23:$L$27,$I$23:$I$27)+SUMPRODUCT($L$28:$L$32,$I$28:$I$32)+SUMPRODUCT($L$33:$L$35,$I$33:$I$35)+SUMPRODUCT($L$36:$L$36,$I$36:$I$36)+SUMPRODUCT($L$37:$L$39,$I$37:$I$39)+SUMPRODUCT($L$40:$L$40,$I$40:$I$40)+SUMPRODUCT($L$41:$L$43,$I$41:$I$43)+SUMPRODUCT($L$44:$L$44,$I$44:$I$44)+SUMPRODUCT($L$45:$L$47,$I$45:$I$47)+SUMPRODUCT($L$48:$L$50,$I$48:$I$50)+SUMPRODUCT($L$51:$L$51,$I$51:$I$51)+SUMPRODUCT($L$52:$L$52,$I$52:$I$52)+SUMPRODUCT($L$53:$L$54,$I$53:$I$54)),0,+SUMPRODUCT($L$5:$L$8,$I$5:$I$8)+SUMPRODUCT($L$9:$L$11,$I$9:$I$11)+SUMPRODUCT($L$12:$L$12,$I$12:$I$12)+SUMPRODUCT($L$13:$L$17,$I$13:$I$17)+SUMPRODUCT($L$18:$L$19,$I$18:$I$19)+SUMPRODUCT($L$20:$L$22,$I$20:$I$22)+SUMPRODUCT($L$23:$L$27,$I$23:$I$27)+SUMPRODUCT($L$28:$L$32,$I$28:$I$32)+SUMPRODUCT($L$33:$L$35,$I$33:$I$35)+SUMPRODUCT($L$36:$L$36,$I$36:$I$36)+SUMPRODUCT($L$37:$L$39,$I$37:$I$39)+SUMPRODUCT($L$40:$L$40,$I$40:$I$40)+SUMPRODUCT($L$41:$L$43,$I$41:$I$43)+SUMPRODUCT($L$44:$L$44,$I$44:$I$44)+SUMPRODUCT($L$45:$L$47,$I$45:$I$47)+SUMPRODUCT($L$48:$L$50,$I$48:$I$50)+SUMPRODUCT($L$51:$L$51,$I$51:$I$51)+SUMPRODUCT($L$52:$L$52,$I$52:$I$52)+SUMPRODUCT($L$53:$L$54,$I$53:$I$54))</f>
        <v>70040.971829999995</v>
      </c>
      <c r="M58" s="61">
        <f>IF(ISERROR(+SUMPRODUCT($M$5:$M$8,$I$5:$I$8)+SUMPRODUCT($M$9:$M$11,$I$9:$I$11)+SUMPRODUCT($M$12:$M$12,$I$12:$I$12)+SUMPRODUCT($M$13:$M$17,$I$13:$I$17)+SUMPRODUCT($M$18:$M$19,$I$18:$I$19)+SUMPRODUCT($M$20:$M$22,$I$20:$I$22)+SUMPRODUCT($M$23:$M$27,$I$23:$I$27)+SUMPRODUCT($M$28:$M$32,$I$28:$I$32)+SUMPRODUCT($M$33:$M$35,$I$33:$I$35)+SUMPRODUCT($M$36:$M$36,$I$36:$I$36)+SUMPRODUCT($M$37:$M$39,$I$37:$I$39)+SUMPRODUCT($M$40:$M$40,$I$40:$I$40)+SUMPRODUCT($M$41:$M$43,$I$41:$I$43)+SUMPRODUCT($M$44:$M$44,$I$44:$I$44)+SUMPRODUCT($M$45:$M$47,$I$45:$I$47)+SUMPRODUCT($M$48:$M$50,$I$48:$I$50)+SUMPRODUCT($M$51:$M$51,$I$51:$I$51)+SUMPRODUCT($M$52:$M$52,$I$52:$I$52)+SUMPRODUCT($M$53:$M$54,$I$53:$I$54)),0,+SUMPRODUCT($M$5:$M$8,$I$5:$I$8)+SUMPRODUCT($M$9:$M$11,$I$9:$I$11)+SUMPRODUCT($M$12:$M$12,$I$12:$I$12)+SUMPRODUCT($M$13:$M$17,$I$13:$I$17)+SUMPRODUCT($M$18:$M$19,$I$18:$I$19)+SUMPRODUCT($M$20:$M$22,$I$20:$I$22)+SUMPRODUCT($M$23:$M$27,$I$23:$I$27)+SUMPRODUCT($M$28:$M$32,$I$28:$I$32)+SUMPRODUCT($M$33:$M$35,$I$33:$I$35)+SUMPRODUCT($M$36:$M$36,$I$36:$I$36)+SUMPRODUCT($M$37:$M$39,$I$37:$I$39)+SUMPRODUCT($M$40:$M$40,$I$40:$I$40)+SUMPRODUCT($M$41:$M$43,$I$41:$I$43)+SUMPRODUCT($M$44:$M$44,$I$44:$I$44)+SUMPRODUCT($M$45:$M$47,$I$45:$I$47)+SUMPRODUCT($M$48:$M$50,$I$48:$I$50)+SUMPRODUCT($M$51:$M$51,$I$51:$I$51)+SUMPRODUCT($M$52:$M$52,$I$52:$I$52)+SUMPRODUCT($M$53:$M$54,$I$53:$I$54))</f>
        <v>71503.08586770347</v>
      </c>
      <c r="N58" s="61">
        <f ca="1">IF(ISERROR(+SUMPRODUCT($N$5:$N$8,$I$5:$I$8)+SUMPRODUCT($N$9:$N$11,$I$9:$I$11)+SUMPRODUCT($N$12:$N$12,$I$12:$I$12)+SUMPRODUCT($N$13:$N$17,$I$13:$I$17)+SUMPRODUCT($N$18:$N$19,$I$18:$I$19)+SUMPRODUCT($N$20:$N$22,$I$20:$I$22)+SUMPRODUCT($N$23:$N$27,$I$23:$I$27)+SUMPRODUCT($N$28:$N$32,$I$28:$I$32)+SUMPRODUCT($N$33:$N$35,$I$33:$I$35)+SUMPRODUCT($N$36:$N$36,$I$36:$I$36)+SUMPRODUCT($N$37:$N$39,$I$37:$I$39)+SUMPRODUCT($N$40:$N$40,$I$40:$I$40)+SUMPRODUCT($N$41:$N$43,$I$41:$I$43)+SUMPRODUCT($N$44:$N$44,$I$44:$I$44)+SUMPRODUCT($N$45:$N$47,$I$45:$I$47)+SUMPRODUCT($N$48:$N$50,$I$48:$I$50)+SUMPRODUCT($N$51:$N$51,$I$51:$I$51)+SUMPRODUCT($N$52:$N$52,$I$52:$I$52)+SUMPRODUCT($N$53:$N$54,$I$53:$I$54)),0,+SUMPRODUCT($N$5:$N$8,$I$5:$I$8)+SUMPRODUCT($N$9:$N$11,$I$9:$I$11)+SUMPRODUCT($N$12:$N$12,$I$12:$I$12)+SUMPRODUCT($N$13:$N$17,$I$13:$I$17)+SUMPRODUCT($N$18:$N$19,$I$18:$I$19)+SUMPRODUCT($N$20:$N$22,$I$20:$I$22)+SUMPRODUCT($N$23:$N$27,$I$23:$I$27)+SUMPRODUCT($N$28:$N$32,$I$28:$I$32)+SUMPRODUCT($N$33:$N$35,$I$33:$I$35)+SUMPRODUCT($N$36:$N$36,$I$36:$I$36)+SUMPRODUCT($N$37:$N$39,$I$37:$I$39)+SUMPRODUCT($N$40:$N$40,$I$40:$I$40)+SUMPRODUCT($N$41:$N$43,$I$41:$I$43)+SUMPRODUCT($N$44:$N$44,$I$44:$I$44)+SUMPRODUCT($N$45:$N$47,$I$45:$I$47)+SUMPRODUCT($N$48:$N$50,$I$48:$I$50)+SUMPRODUCT($N$51:$N$51,$I$51:$I$51)+SUMPRODUCT($N$52:$N$52,$I$52:$I$52)+SUMPRODUCT($N$53:$N$54,$I$53:$I$54))</f>
        <v>252073.20922223647</v>
      </c>
      <c r="O58" s="61">
        <f>IF(ISERROR(+SUMPRODUCT($O$5:$O$8,$I$5:$I$8)+SUMPRODUCT($O$9:$O$11,$I$9:$I$11)+SUMPRODUCT($O$12:$O$12,$I$12:$I$12)+SUMPRODUCT($O$13:$O$17,$I$13:$I$17)+SUMPRODUCT($O$18:$O$19,$I$18:$I$19)+SUMPRODUCT($O$20:$O$22,$I$20:$I$22)+SUMPRODUCT($O$23:$O$27,$I$23:$I$27)+SUMPRODUCT($O$28:$O$32,$I$28:$I$32)+SUMPRODUCT($O$33:$O$35,$I$33:$I$35)+SUMPRODUCT($O$36:$O$36,$I$36:$I$36)+SUMPRODUCT($O$37:$O$39,$I$37:$I$39)+SUMPRODUCT($O$40:$O$40,$I$40:$I$40)+SUMPRODUCT($O$41:$O$43,$I$41:$I$43)+SUMPRODUCT($O$44:$O$44,$I$44:$I$44)+SUMPRODUCT($O$45:$O$47,$I$45:$I$47)+SUMPRODUCT($O$48:$O$50,$I$48:$I$50)+SUMPRODUCT($O$51:$O$51,$I$51:$I$51)+SUMPRODUCT($O$52:$O$52,$I$52:$I$52)+SUMPRODUCT($O$53:$O$54,$I$53:$I$54)),0,+SUMPRODUCT($O$5:$O$8,$I$5:$I$8)+SUMPRODUCT($O$9:$O$11,$I$9:$I$11)+SUMPRODUCT($O$12:$O$12,$I$12:$I$12)+SUMPRODUCT($O$13:$O$17,$I$13:$I$17)+SUMPRODUCT($O$18:$O$19,$I$18:$I$19)+SUMPRODUCT($O$20:$O$22,$I$20:$I$22)+SUMPRODUCT($O$23:$O$27,$I$23:$I$27)+SUMPRODUCT($O$28:$O$32,$I$28:$I$32)+SUMPRODUCT($O$33:$O$35,$I$33:$I$35)+SUMPRODUCT($O$36:$O$36,$I$36:$I$36)+SUMPRODUCT($O$37:$O$39,$I$37:$I$39)+SUMPRODUCT($O$40:$O$40,$I$40:$I$40)+SUMPRODUCT($O$41:$O$43,$I$41:$I$43)+SUMPRODUCT($O$44:$O$44,$I$44:$I$44)+SUMPRODUCT($O$45:$O$47,$I$45:$I$47)+SUMPRODUCT($O$48:$O$50,$I$48:$I$50)+SUMPRODUCT($O$51:$O$51,$I$51:$I$51)+SUMPRODUCT($O$52:$O$52,$I$52:$I$52)+SUMPRODUCT($O$53:$O$54,$I$53:$I$54))</f>
        <v>75719.601949999997</v>
      </c>
      <c r="P58" s="61">
        <f>IF(ISERROR(+SUMPRODUCT($P$5:$P$8,$I$5:$I$8)+SUMPRODUCT($P$9:$P$11,$I$9:$I$11)+SUMPRODUCT($P$12:$P$12,$I$12:$I$12)+SUMPRODUCT($P$13:$P$17,$I$13:$I$17)+SUMPRODUCT($P$18:$P$19,$I$18:$I$19)+SUMPRODUCT($P$20:$P$22,$I$20:$I$22)+SUMPRODUCT($P$23:$P$27,$I$23:$I$27)+SUMPRODUCT($P$28:$P$32,$I$28:$I$32)+SUMPRODUCT($P$33:$P$35,$I$33:$I$35)+SUMPRODUCT($P$36:$P$36,$I$36:$I$36)+SUMPRODUCT($P$37:$P$39,$I$37:$I$39)+SUMPRODUCT($P$40:$P$40,$I$40:$I$40)+SUMPRODUCT($P$41:$P$43,$I$41:$I$43)+SUMPRODUCT($P$44:$P$44,$I$44:$I$44)+SUMPRODUCT($P$45:$P$47,$I$45:$I$47)+SUMPRODUCT($P$48:$P$50,$I$48:$I$50)+SUMPRODUCT($P$51:$P$51,$I$51:$I$51)+SUMPRODUCT($P$52:$P$52,$I$52:$I$52)+SUMPRODUCT($P$53:$P$54,$I$53:$I$54)),0,+SUMPRODUCT($P$5:$P$8,$I$5:$I$8)+SUMPRODUCT($P$9:$P$11,$I$9:$I$11)+SUMPRODUCT($P$12:$P$12,$I$12:$I$12)+SUMPRODUCT($P$13:$P$17,$I$13:$I$17)+SUMPRODUCT($P$18:$P$19,$I$18:$I$19)+SUMPRODUCT($P$20:$P$22,$I$20:$I$22)+SUMPRODUCT($P$23:$P$27,$I$23:$I$27)+SUMPRODUCT($P$28:$P$32,$I$28:$I$32)+SUMPRODUCT($P$33:$P$35,$I$33:$I$35)+SUMPRODUCT($P$36:$P$36,$I$36:$I$36)+SUMPRODUCT($P$37:$P$39,$I$37:$I$39)+SUMPRODUCT($P$40:$P$40,$I$40:$I$40)+SUMPRODUCT($P$41:$P$43,$I$41:$I$43)+SUMPRODUCT($P$44:$P$44,$I$44:$I$44)+SUMPRODUCT($P$45:$P$47,$I$45:$I$47)+SUMPRODUCT($P$48:$P$50,$I$48:$I$50)+SUMPRODUCT($P$51:$P$51,$I$51:$I$51)+SUMPRODUCT($P$52:$P$52,$I$52:$I$52)+SUMPRODUCT($P$53:$P$54,$I$53:$I$54))</f>
        <v>73210.196949999998</v>
      </c>
      <c r="Q58" s="61">
        <f>IF(ISERROR(+SUMPRODUCT($Q$5:$Q$8,$I$5:$I$8)+SUMPRODUCT($Q$9:$Q$11,$I$9:$I$11)+SUMPRODUCT($Q$12:$Q$12,$I$12:$I$12)+SUMPRODUCT($Q$13:$Q$17,$I$13:$I$17)+SUMPRODUCT($Q$18:$Q$19,$I$18:$I$19)+SUMPRODUCT($Q$20:$Q$22,$I$20:$I$22)+SUMPRODUCT($Q$23:$Q$27,$I$23:$I$27)+SUMPRODUCT($Q$28:$Q$32,$I$28:$I$32)+SUMPRODUCT($Q$33:$Q$35,$I$33:$I$35)+SUMPRODUCT($Q$36:$Q$36,$I$36:$I$36)+SUMPRODUCT($Q$37:$Q$39,$I$37:$I$39)+SUMPRODUCT($Q$40:$Q$40,$I$40:$I$40)+SUMPRODUCT($Q$41:$Q$43,$I$41:$I$43)+SUMPRODUCT($Q$44:$Q$44,$I$44:$I$44)+SUMPRODUCT($Q$45:$Q$47,$I$45:$I$47)+SUMPRODUCT($Q$48:$Q$50,$I$48:$I$50)+SUMPRODUCT($Q$51:$Q$51,$I$51:$I$51)+SUMPRODUCT($Q$52:$Q$52,$I$52:$I$52)+SUMPRODUCT($Q$53:$Q$54,$I$53:$I$54)),0,+SUMPRODUCT($Q$5:$Q$8,$I$5:$I$8)+SUMPRODUCT($Q$9:$Q$11,$I$9:$I$11)+SUMPRODUCT($Q$12:$Q$12,$I$12:$I$12)+SUMPRODUCT($Q$13:$Q$17,$I$13:$I$17)+SUMPRODUCT($Q$18:$Q$19,$I$18:$I$19)+SUMPRODUCT($Q$20:$Q$22,$I$20:$I$22)+SUMPRODUCT($Q$23:$Q$27,$I$23:$I$27)+SUMPRODUCT($Q$28:$Q$32,$I$28:$I$32)+SUMPRODUCT($Q$33:$Q$35,$I$33:$I$35)+SUMPRODUCT($Q$36:$Q$36,$I$36:$I$36)+SUMPRODUCT($Q$37:$Q$39,$I$37:$I$39)+SUMPRODUCT($Q$40:$Q$40,$I$40:$I$40)+SUMPRODUCT($Q$41:$Q$43,$I$41:$I$43)+SUMPRODUCT($Q$44:$Q$44,$I$44:$I$44)+SUMPRODUCT($Q$45:$Q$47,$I$45:$I$47)+SUMPRODUCT($Q$48:$Q$50,$I$48:$I$50)+SUMPRODUCT($Q$51:$Q$51,$I$51:$I$51)+SUMPRODUCT($Q$52:$Q$52,$I$52:$I$52)+SUMPRODUCT($Q$53:$Q$54,$I$53:$I$54))</f>
        <v>70040.971829999995</v>
      </c>
      <c r="R58" s="61">
        <f>IF(ISERROR(+SUMPRODUCT($R$5:$R$8,$I$5:$I$8)+SUMPRODUCT($R$9:$R$11,$I$9:$I$11)+SUMPRODUCT($R$12:$R$12,$I$12:$I$12)+SUMPRODUCT($R$13:$R$17,$I$13:$I$17)+SUMPRODUCT($R$18:$R$19,$I$18:$I$19)+SUMPRODUCT($R$20:$R$22,$I$20:$I$22)+SUMPRODUCT($R$23:$R$27,$I$23:$I$27)+SUMPRODUCT($R$28:$R$32,$I$28:$I$32)+SUMPRODUCT($R$33:$R$35,$I$33:$I$35)+SUMPRODUCT($R$36:$R$36,$I$36:$I$36)+SUMPRODUCT($R$37:$R$39,$I$37:$I$39)+SUMPRODUCT($R$40:$R$40,$I$40:$I$40)+SUMPRODUCT($R$41:$R$43,$I$41:$I$43)+SUMPRODUCT($R$44:$R$44,$I$44:$I$44)+SUMPRODUCT($R$45:$R$47,$I$45:$I$47)+SUMPRODUCT($R$48:$R$50,$I$48:$I$50)+SUMPRODUCT($R$51:$R$51,$I$51:$I$51)+SUMPRODUCT($R$52:$R$52,$I$52:$I$52)+SUMPRODUCT($R$53:$R$54,$I$53:$I$54)),0,+SUMPRODUCT($R$5:$R$8,$I$5:$I$8)+SUMPRODUCT($R$9:$R$11,$I$9:$I$11)+SUMPRODUCT($R$12:$R$12,$I$12:$I$12)+SUMPRODUCT($R$13:$R$17,$I$13:$I$17)+SUMPRODUCT($R$18:$R$19,$I$18:$I$19)+SUMPRODUCT($R$20:$R$22,$I$20:$I$22)+SUMPRODUCT($R$23:$R$27,$I$23:$I$27)+SUMPRODUCT($R$28:$R$32,$I$28:$I$32)+SUMPRODUCT($R$33:$R$35,$I$33:$I$35)+SUMPRODUCT($R$36:$R$36,$I$36:$I$36)+SUMPRODUCT($R$37:$R$39,$I$37:$I$39)+SUMPRODUCT($R$40:$R$40,$I$40:$I$40)+SUMPRODUCT($R$41:$R$43,$I$41:$I$43)+SUMPRODUCT($R$44:$R$44,$I$44:$I$44)+SUMPRODUCT($R$45:$R$47,$I$45:$I$47)+SUMPRODUCT($R$48:$R$50,$I$48:$I$50)+SUMPRODUCT($R$51:$R$51,$I$51:$I$51)+SUMPRODUCT($R$52:$R$52,$I$52:$I$52)+SUMPRODUCT($R$53:$R$54,$I$53:$I$54))</f>
        <v>73210.196949999998</v>
      </c>
      <c r="S58" s="61">
        <f>IF(ISERROR(+SUMPRODUCT($S$5:$S$8,$I$5:$I$8)+SUMPRODUCT($S$9:$S$11,$I$9:$I$11)+SUMPRODUCT($S$12:$S$12,$I$12:$I$12)+SUMPRODUCT($S$13:$S$17,$I$13:$I$17)+SUMPRODUCT($S$18:$S$19,$I$18:$I$19)+SUMPRODUCT($S$20:$S$22,$I$20:$I$22)+SUMPRODUCT($S$23:$S$27,$I$23:$I$27)+SUMPRODUCT($S$28:$S$32,$I$28:$I$32)+SUMPRODUCT($S$33:$S$35,$I$33:$I$35)+SUMPRODUCT($S$36:$S$36,$I$36:$I$36)+SUMPRODUCT($S$37:$S$39,$I$37:$I$39)+SUMPRODUCT($S$40:$S$40,$I$40:$I$40)+SUMPRODUCT($S$41:$S$43,$I$41:$I$43)+SUMPRODUCT($S$44:$S$44,$I$44:$I$44)+SUMPRODUCT($S$45:$S$47,$I$45:$I$47)+SUMPRODUCT($S$48:$S$50,$I$48:$I$50)+SUMPRODUCT($S$51:$S$51,$I$51:$I$51)+SUMPRODUCT($S$52:$S$52,$I$52:$I$52)+SUMPRODUCT($S$53:$S$54,$I$53:$I$54)),0,+SUMPRODUCT($S$5:$S$8,$I$5:$I$8)+SUMPRODUCT($S$9:$S$11,$I$9:$I$11)+SUMPRODUCT($S$12:$S$12,$I$12:$I$12)+SUMPRODUCT($S$13:$S$17,$I$13:$I$17)+SUMPRODUCT($S$18:$S$19,$I$18:$I$19)+SUMPRODUCT($S$20:$S$22,$I$20:$I$22)+SUMPRODUCT($S$23:$S$27,$I$23:$I$27)+SUMPRODUCT($S$28:$S$32,$I$28:$I$32)+SUMPRODUCT($S$33:$S$35,$I$33:$I$35)+SUMPRODUCT($S$36:$S$36,$I$36:$I$36)+SUMPRODUCT($S$37:$S$39,$I$37:$I$39)+SUMPRODUCT($S$40:$S$40,$I$40:$I$40)+SUMPRODUCT($S$41:$S$43,$I$41:$I$43)+SUMPRODUCT($S$44:$S$44,$I$44:$I$44)+SUMPRODUCT($S$45:$S$47,$I$45:$I$47)+SUMPRODUCT($S$48:$S$50,$I$48:$I$50)+SUMPRODUCT($S$51:$S$51,$I$51:$I$51)+SUMPRODUCT($S$52:$S$52,$I$52:$I$52)+SUMPRODUCT($S$53:$S$54,$I$53:$I$54))</f>
        <v>75719.601949999997</v>
      </c>
      <c r="T58" s="61"/>
      <c r="U58" s="61">
        <f>IF(ISERROR(+SUMPRODUCT($U$5:$U$8,$I$5:$I$8)+SUMPRODUCT($U$9:$U$11,$I$9:$I$11)+SUMPRODUCT($U$12:$U$12,$I$12:$I$12)+SUMPRODUCT($U$13:$U$17,$I$13:$I$17)+SUMPRODUCT($U$18:$U$19,$I$18:$I$19)+SUMPRODUCT($U$20:$U$22,$I$20:$I$22)+SUMPRODUCT($U$23:$U$27,$I$23:$I$27)+SUMPRODUCT($U$28:$U$32,$I$28:$I$32)+SUMPRODUCT($U$33:$U$35,$I$33:$I$35)+SUMPRODUCT($U$36:$U$36,$I$36:$I$36)+SUMPRODUCT($U$37:$U$39,$I$37:$I$39)+SUMPRODUCT($U$40:$U$40,$I$40:$I$40)+SUMPRODUCT($U$41:$U$43,$I$41:$I$43)+SUMPRODUCT($U$44:$U$44,$I$44:$I$44)+SUMPRODUCT($U$45:$U$47,$I$45:$I$47)+SUMPRODUCT($U$48:$U$50,$I$48:$I$50)+SUMPRODUCT($U$51:$U$51,$I$51:$I$51)+SUMPRODUCT($U$52:$U$52,$I$52:$I$52)+SUMPRODUCT($U$53:$U$54,$I$53:$I$54)),0,+SUMPRODUCT($U$5:$U$8,$I$5:$I$8)+SUMPRODUCT($U$9:$U$11,$I$9:$I$11)+SUMPRODUCT($U$12:$U$12,$I$12:$I$12)+SUMPRODUCT($U$13:$U$17,$I$13:$I$17)+SUMPRODUCT($U$18:$U$19,$I$18:$I$19)+SUMPRODUCT($U$20:$U$22,$I$20:$I$22)+SUMPRODUCT($U$23:$U$27,$I$23:$I$27)+SUMPRODUCT($U$28:$U$32,$I$28:$I$32)+SUMPRODUCT($U$33:$U$35,$I$33:$I$35)+SUMPRODUCT($U$36:$U$36,$I$36:$I$36)+SUMPRODUCT($U$37:$U$39,$I$37:$I$39)+SUMPRODUCT($U$40:$U$40,$I$40:$I$40)+SUMPRODUCT($U$41:$U$43,$I$41:$I$43)+SUMPRODUCT($U$44:$U$44,$I$44:$I$44)+SUMPRODUCT($U$45:$U$47,$I$45:$I$47)+SUMPRODUCT($U$48:$U$50,$I$48:$I$50)+SUMPRODUCT($U$51:$U$51,$I$51:$I$51)+SUMPRODUCT($U$52:$U$52,$I$52:$I$52)+SUMPRODUCT($U$53:$U$54,$I$53:$I$54))</f>
        <v>0</v>
      </c>
      <c r="V58" s="61">
        <f>IF(ISERROR(+SUMPRODUCT($V$5:$V$8,$I$5:$I$8)+SUMPRODUCT($V$9:$V$11,$I$9:$I$11)+SUMPRODUCT($V$12:$V$12,$I$12:$I$12)+SUMPRODUCT($V$13:$V$17,$I$13:$I$17)+SUMPRODUCT($V$18:$V$19,$I$18:$I$19)+SUMPRODUCT($V$20:$V$22,$I$20:$I$22)+SUMPRODUCT($V$23:$V$27,$I$23:$I$27)+SUMPRODUCT($V$28:$V$32,$I$28:$I$32)+SUMPRODUCT($V$33:$V$35,$I$33:$I$35)+SUMPRODUCT($V$36:$V$36,$I$36:$I$36)+SUMPRODUCT($V$37:$V$39,$I$37:$I$39)+SUMPRODUCT($V$40:$V$40,$I$40:$I$40)+SUMPRODUCT($V$41:$V$43,$I$41:$I$43)+SUMPRODUCT($V$44:$V$44,$I$44:$I$44)+SUMPRODUCT($V$45:$V$47,$I$45:$I$47)+SUMPRODUCT($V$48:$V$50,$I$48:$I$50)+SUMPRODUCT($V$51:$V$51,$I$51:$I$51)+SUMPRODUCT($V$52:$V$52,$I$52:$I$52)+SUMPRODUCT($V$53:$V$54,$I$53:$I$54)),0,+SUMPRODUCT($V$5:$V$8,$I$5:$I$8)+SUMPRODUCT($V$9:$V$11,$I$9:$I$11)+SUMPRODUCT($V$12:$V$12,$I$12:$I$12)+SUMPRODUCT($V$13:$V$17,$I$13:$I$17)+SUMPRODUCT($V$18:$V$19,$I$18:$I$19)+SUMPRODUCT($V$20:$V$22,$I$20:$I$22)+SUMPRODUCT($V$23:$V$27,$I$23:$I$27)+SUMPRODUCT($V$28:$V$32,$I$28:$I$32)+SUMPRODUCT($V$33:$V$35,$I$33:$I$35)+SUMPRODUCT($V$36:$V$36,$I$36:$I$36)+SUMPRODUCT($V$37:$V$39,$I$37:$I$39)+SUMPRODUCT($V$40:$V$40,$I$40:$I$40)+SUMPRODUCT($V$41:$V$43,$I$41:$I$43)+SUMPRODUCT($V$44:$V$44,$I$44:$I$44)+SUMPRODUCT($V$45:$V$47,$I$45:$I$47)+SUMPRODUCT($V$48:$V$50,$I$48:$I$50)+SUMPRODUCT($V$51:$V$51,$I$51:$I$51)+SUMPRODUCT($V$52:$V$52,$I$52:$I$52)+SUMPRODUCT($V$53:$V$54,$I$53:$I$54))</f>
        <v>0</v>
      </c>
      <c r="W58" s="61">
        <f>IF(ISERROR(+SUMPRODUCT($W$5:$W$8,$I$5:$I$8)+SUMPRODUCT($W$9:$W$11,$I$9:$I$11)+SUMPRODUCT($W$12:$W$12,$I$12:$I$12)+SUMPRODUCT($W$13:$W$17,$I$13:$I$17)+SUMPRODUCT($W$18:$W$19,$I$18:$I$19)+SUMPRODUCT($W$20:$W$22,$I$20:$I$22)+SUMPRODUCT($W$23:$W$27,$I$23:$I$27)+SUMPRODUCT($W$28:$W$32,$I$28:$I$32)+SUMPRODUCT($W$33:$W$35,$I$33:$I$35)+SUMPRODUCT($W$36:$W$36,$I$36:$I$36)+SUMPRODUCT($W$37:$W$39,$I$37:$I$39)+SUMPRODUCT($W$40:$W$40,$I$40:$I$40)+SUMPRODUCT($W$41:$W$43,$I$41:$I$43)+SUMPRODUCT($W$44:$W$44,$I$44:$I$44)+SUMPRODUCT($W$45:$W$47,$I$45:$I$47)+SUMPRODUCT($W$48:$W$50,$I$48:$I$50)+SUMPRODUCT($W$51:$W$51,$I$51:$I$51)+SUMPRODUCT($W$52:$W$52,$I$52:$I$52)+SUMPRODUCT($W$53:$W$54,$I$53:$I$54)),0,+SUMPRODUCT($W$5:$W$8,$I$5:$I$8)+SUMPRODUCT($W$9:$W$11,$I$9:$I$11)+SUMPRODUCT($W$12:$W$12,$I$12:$I$12)+SUMPRODUCT($W$13:$W$17,$I$13:$I$17)+SUMPRODUCT($W$18:$W$19,$I$18:$I$19)+SUMPRODUCT($W$20:$W$22,$I$20:$I$22)+SUMPRODUCT($W$23:$W$27,$I$23:$I$27)+SUMPRODUCT($W$28:$W$32,$I$28:$I$32)+SUMPRODUCT($W$33:$W$35,$I$33:$I$35)+SUMPRODUCT($W$36:$W$36,$I$36:$I$36)+SUMPRODUCT($W$37:$W$39,$I$37:$I$39)+SUMPRODUCT($W$40:$W$40,$I$40:$I$40)+SUMPRODUCT($W$41:$W$43,$I$41:$I$43)+SUMPRODUCT($W$44:$W$44,$I$44:$I$44)+SUMPRODUCT($W$45:$W$47,$I$45:$I$47)+SUMPRODUCT($W$48:$W$50,$I$48:$I$50)+SUMPRODUCT($W$51:$W$51,$I$51:$I$51)+SUMPRODUCT($W$52:$W$52,$I$52:$I$52)+SUMPRODUCT($W$53:$W$54,$I$53:$I$54))</f>
        <v>0</v>
      </c>
      <c r="X58" s="61">
        <f>IF(ISERROR(+SUMPRODUCT($X$5:$X$8,$I$5:$I$8)+SUMPRODUCT($X$9:$X$11,$I$9:$I$11)+SUMPRODUCT($X$12:$X$12,$I$12:$I$12)+SUMPRODUCT($X$13:$X$17,$I$13:$I$17)+SUMPRODUCT($X$18:$X$19,$I$18:$I$19)+SUMPRODUCT($X$20:$X$22,$I$20:$I$22)+SUMPRODUCT($X$23:$X$27,$I$23:$I$27)+SUMPRODUCT($X$28:$X$32,$I$28:$I$32)+SUMPRODUCT($X$33:$X$35,$I$33:$I$35)+SUMPRODUCT($X$36:$X$36,$I$36:$I$36)+SUMPRODUCT($X$37:$X$39,$I$37:$I$39)+SUMPRODUCT($X$40:$X$40,$I$40:$I$40)+SUMPRODUCT($X$41:$X$43,$I$41:$I$43)+SUMPRODUCT($X$44:$X$44,$I$44:$I$44)+SUMPRODUCT($X$45:$X$47,$I$45:$I$47)+SUMPRODUCT($X$48:$X$50,$I$48:$I$50)+SUMPRODUCT($X$51:$X$51,$I$51:$I$51)+SUMPRODUCT($X$52:$X$52,$I$52:$I$52)+SUMPRODUCT($X$53:$X$54,$I$53:$I$54)),0,+SUMPRODUCT($X$5:$X$8,$I$5:$I$8)+SUMPRODUCT($X$9:$X$11,$I$9:$I$11)+SUMPRODUCT($X$12:$X$12,$I$12:$I$12)+SUMPRODUCT($X$13:$X$17,$I$13:$I$17)+SUMPRODUCT($X$18:$X$19,$I$18:$I$19)+SUMPRODUCT($X$20:$X$22,$I$20:$I$22)+SUMPRODUCT($X$23:$X$27,$I$23:$I$27)+SUMPRODUCT($X$28:$X$32,$I$28:$I$32)+SUMPRODUCT($X$33:$X$35,$I$33:$I$35)+SUMPRODUCT($X$36:$X$36,$I$36:$I$36)+SUMPRODUCT($X$37:$X$39,$I$37:$I$39)+SUMPRODUCT($X$40:$X$40,$I$40:$I$40)+SUMPRODUCT($X$41:$X$43,$I$41:$I$43)+SUMPRODUCT($X$44:$X$44,$I$44:$I$44)+SUMPRODUCT($X$45:$X$47,$I$45:$I$47)+SUMPRODUCT($X$48:$X$50,$I$48:$I$50)+SUMPRODUCT($X$51:$X$51,$I$51:$I$51)+SUMPRODUCT($X$52:$X$52,$I$52:$I$52)+SUMPRODUCT($X$53:$X$54,$I$53:$I$54))</f>
        <v>0</v>
      </c>
      <c r="Y58" s="61">
        <f>IF(ISERROR(+SUMPRODUCT($Y$5:$Y$8,$I$5:$I$8)+SUMPRODUCT($Y$9:$Y$11,$I$9:$I$11)+SUMPRODUCT($Y$12:$Y$12,$I$12:$I$12)+SUMPRODUCT($Y$13:$Y$17,$I$13:$I$17)+SUMPRODUCT($Y$18:$Y$19,$I$18:$I$19)+SUMPRODUCT($Y$20:$Y$22,$I$20:$I$22)+SUMPRODUCT($Y$23:$Y$27,$I$23:$I$27)+SUMPRODUCT($Y$28:$Y$32,$I$28:$I$32)+SUMPRODUCT($Y$33:$Y$35,$I$33:$I$35)+SUMPRODUCT($Y$36:$Y$36,$I$36:$I$36)+SUMPRODUCT($Y$37:$Y$39,$I$37:$I$39)+SUMPRODUCT($Y$40:$Y$40,$I$40:$I$40)+SUMPRODUCT($Y$41:$Y$43,$I$41:$I$43)+SUMPRODUCT($Y$44:$Y$44,$I$44:$I$44)+SUMPRODUCT($Y$45:$Y$47,$I$45:$I$47)+SUMPRODUCT($Y$48:$Y$50,$I$48:$I$50)+SUMPRODUCT($Y$51:$Y$51,$I$51:$I$51)+SUMPRODUCT($Y$52:$Y$52,$I$52:$I$52)+SUMPRODUCT($Y$53:$Y$54,$I$53:$I$54)),0,+SUMPRODUCT($Y$5:$Y$8,$I$5:$I$8)+SUMPRODUCT($Y$9:$Y$11,$I$9:$I$11)+SUMPRODUCT($Y$12:$Y$12,$I$12:$I$12)+SUMPRODUCT($Y$13:$Y$17,$I$13:$I$17)+SUMPRODUCT($Y$18:$Y$19,$I$18:$I$19)+SUMPRODUCT($Y$20:$Y$22,$I$20:$I$22)+SUMPRODUCT($Y$23:$Y$27,$I$23:$I$27)+SUMPRODUCT($Y$28:$Y$32,$I$28:$I$32)+SUMPRODUCT($Y$33:$Y$35,$I$33:$I$35)+SUMPRODUCT($Y$36:$Y$36,$I$36:$I$36)+SUMPRODUCT($Y$37:$Y$39,$I$37:$I$39)+SUMPRODUCT($Y$40:$Y$40,$I$40:$I$40)+SUMPRODUCT($Y$41:$Y$43,$I$41:$I$43)+SUMPRODUCT($Y$44:$Y$44,$I$44:$I$44)+SUMPRODUCT($Y$45:$Y$47,$I$45:$I$47)+SUMPRODUCT($Y$48:$Y$50,$I$48:$I$50)+SUMPRODUCT($Y$51:$Y$51,$I$51:$I$51)+SUMPRODUCT($Y$52:$Y$52,$I$52:$I$52)+SUMPRODUCT($Y$53:$Y$54,$I$53:$I$54))</f>
        <v>12229159.786356824</v>
      </c>
      <c r="Z58" s="61">
        <f>IF(ISERROR(+SUMPRODUCT($Z$5:$Z$8,$I$5:$I$8)+SUMPRODUCT($Z$9:$Z$11,$I$9:$I$11)+SUMPRODUCT($Z$12:$Z$12,$I$12:$I$12)+SUMPRODUCT($Z$13:$Z$17,$I$13:$I$17)+SUMPRODUCT($Z$18:$Z$19,$I$18:$I$19)+SUMPRODUCT($Z$20:$Z$22,$I$20:$I$22)+SUMPRODUCT($Z$23:$Z$27,$I$23:$I$27)+SUMPRODUCT($Z$28:$Z$32,$I$28:$I$32)+SUMPRODUCT($Z$33:$Z$35,$I$33:$I$35)+SUMPRODUCT($Z$36:$Z$36,$I$36:$I$36)+SUMPRODUCT($Z$37:$Z$39,$I$37:$I$39)+SUMPRODUCT($Z$40:$Z$40,$I$40:$I$40)+SUMPRODUCT($Z$41:$Z$43,$I$41:$I$43)+SUMPRODUCT($Z$44:$Z$44,$I$44:$I$44)+SUMPRODUCT($Z$45:$Z$47,$I$45:$I$47)+SUMPRODUCT($Z$48:$Z$50,$I$48:$I$50)+SUMPRODUCT($Z$51:$Z$51,$I$51:$I$51)+SUMPRODUCT($Z$52:$Z$52,$I$52:$I$52)+SUMPRODUCT($Z$53:$Z$54,$I$53:$I$54)),0,+SUMPRODUCT($Z$5:$Z$8,$I$5:$I$8)+SUMPRODUCT($Z$9:$Z$11,$I$9:$I$11)+SUMPRODUCT($Z$12:$Z$12,$I$12:$I$12)+SUMPRODUCT($Z$13:$Z$17,$I$13:$I$17)+SUMPRODUCT($Z$18:$Z$19,$I$18:$I$19)+SUMPRODUCT($Z$20:$Z$22,$I$20:$I$22)+SUMPRODUCT($Z$23:$Z$27,$I$23:$I$27)+SUMPRODUCT($Z$28:$Z$32,$I$28:$I$32)+SUMPRODUCT($Z$33:$Z$35,$I$33:$I$35)+SUMPRODUCT($Z$36:$Z$36,$I$36:$I$36)+SUMPRODUCT($Z$37:$Z$39,$I$37:$I$39)+SUMPRODUCT($Z$40:$Z$40,$I$40:$I$40)+SUMPRODUCT($Z$41:$Z$43,$I$41:$I$43)+SUMPRODUCT($Z$44:$Z$44,$I$44:$I$44)+SUMPRODUCT($Z$45:$Z$47,$I$45:$I$47)+SUMPRODUCT($Z$48:$Z$50,$I$48:$I$50)+SUMPRODUCT($Z$51:$Z$51,$I$51:$I$51)+SUMPRODUCT($Z$52:$Z$52,$I$52:$I$52)+SUMPRODUCT($Z$53:$Z$54,$I$53:$I$54))</f>
        <v>0</v>
      </c>
      <c r="AA58" s="61">
        <f>IF(ISERROR(+SUMPRODUCT($AA$5:$AA$8,$I$5:$I$8)+SUMPRODUCT($AA$9:$AA$11,$I$9:$I$11)+SUMPRODUCT($AA$12:$AA$12,$I$12:$I$12)+SUMPRODUCT($AA$13:$AA$17,$I$13:$I$17)+SUMPRODUCT($AA$18:$AA$19,$I$18:$I$19)+SUMPRODUCT($AA$20:$AA$22,$I$20:$I$22)+SUMPRODUCT($AA$23:$AA$27,$I$23:$I$27)+SUMPRODUCT($AA$28:$AA$32,$I$28:$I$32)+SUMPRODUCT($AA$33:$AA$35,$I$33:$I$35)+SUMPRODUCT($AA$36:$AA$36,$I$36:$I$36)+SUMPRODUCT($AA$37:$AA$39,$I$37:$I$39)+SUMPRODUCT($AA$40:$AA$40,$I$40:$I$40)+SUMPRODUCT($AA$41:$AA$43,$I$41:$I$43)+SUMPRODUCT($AA$44:$AA$44,$I$44:$I$44)+SUMPRODUCT($AA$45:$AA$47,$I$45:$I$47)+SUMPRODUCT($AA$48:$AA$50,$I$48:$I$50)+SUMPRODUCT($AA$51:$AA$51,$I$51:$I$51)+SUMPRODUCT($AA$52:$AA$52,$I$52:$I$52)+SUMPRODUCT($AA$53:$AA$54,$I$53:$I$54)),0,+SUMPRODUCT($AA$5:$AA$8,$I$5:$I$8)+SUMPRODUCT($AA$9:$AA$11,$I$9:$I$11)+SUMPRODUCT($AA$12:$AA$12,$I$12:$I$12)+SUMPRODUCT($AA$13:$AA$17,$I$13:$I$17)+SUMPRODUCT($AA$18:$AA$19,$I$18:$I$19)+SUMPRODUCT($AA$20:$AA$22,$I$20:$I$22)+SUMPRODUCT($AA$23:$AA$27,$I$23:$I$27)+SUMPRODUCT($AA$28:$AA$32,$I$28:$I$32)+SUMPRODUCT($AA$33:$AA$35,$I$33:$I$35)+SUMPRODUCT($AA$36:$AA$36,$I$36:$I$36)+SUMPRODUCT($AA$37:$AA$39,$I$37:$I$39)+SUMPRODUCT($AA$40:$AA$40,$I$40:$I$40)+SUMPRODUCT($AA$41:$AA$43,$I$41:$I$43)+SUMPRODUCT($AA$44:$AA$44,$I$44:$I$44)+SUMPRODUCT($AA$45:$AA$47,$I$45:$I$47)+SUMPRODUCT($AA$48:$AA$50,$I$48:$I$50)+SUMPRODUCT($AA$51:$AA$51,$I$51:$I$51)+SUMPRODUCT($AA$52:$AA$52,$I$52:$I$52)+SUMPRODUCT($AA$53:$AA$54,$I$53:$I$54))</f>
        <v>0</v>
      </c>
      <c r="AB58" s="61"/>
      <c r="AC58" s="61">
        <f>IF(ISERROR(+SUMPRODUCT($AC$5:$AC$8,$I$5:$I$8)+SUMPRODUCT($AC$9:$AC$11,$I$9:$I$11)+SUMPRODUCT($AC$12:$AC$12,$I$12:$I$12)+SUMPRODUCT($AC$13:$AC$17,$I$13:$I$17)+SUMPRODUCT($AC$18:$AC$19,$I$18:$I$19)+SUMPRODUCT($AC$20:$AC$22,$I$20:$I$22)+SUMPRODUCT($AC$23:$AC$27,$I$23:$I$27)+SUMPRODUCT($AC$28:$AC$32,$I$28:$I$32)+SUMPRODUCT($AC$33:$AC$35,$I$33:$I$35)+SUMPRODUCT($AC$36:$AC$36,$I$36:$I$36)+SUMPRODUCT($AC$37:$AC$39,$I$37:$I$39)+SUMPRODUCT($AC$40:$AC$40,$I$40:$I$40)+SUMPRODUCT($AC$41:$AC$43,$I$41:$I$43)+SUMPRODUCT($AC$44:$AC$44,$I$44:$I$44)+SUMPRODUCT($AC$45:$AC$47,$I$45:$I$47)+SUMPRODUCT($AC$48:$AC$50,$I$48:$I$50)+SUMPRODUCT($AC$51:$AC$51,$I$51:$I$51)+SUMPRODUCT($AC$52:$AC$52,$I$52:$I$52)+SUMPRODUCT($AC$53:$AC$54,$I$53:$I$54)),0,+SUMPRODUCT($AC$5:$AC$8,$I$5:$I$8)+SUMPRODUCT($AC$9:$AC$11,$I$9:$I$11)+SUMPRODUCT($AC$12:$AC$12,$I$12:$I$12)+SUMPRODUCT($AC$13:$AC$17,$I$13:$I$17)+SUMPRODUCT($AC$18:$AC$19,$I$18:$I$19)+SUMPRODUCT($AC$20:$AC$22,$I$20:$I$22)+SUMPRODUCT($AC$23:$AC$27,$I$23:$I$27)+SUMPRODUCT($AC$28:$AC$32,$I$28:$I$32)+SUMPRODUCT($AC$33:$AC$35,$I$33:$I$35)+SUMPRODUCT($AC$36:$AC$36,$I$36:$I$36)+SUMPRODUCT($AC$37:$AC$39,$I$37:$I$39)+SUMPRODUCT($AC$40:$AC$40,$I$40:$I$40)+SUMPRODUCT($AC$41:$AC$43,$I$41:$I$43)+SUMPRODUCT($AC$44:$AC$44,$I$44:$I$44)+SUMPRODUCT($AC$45:$AC$47,$I$45:$I$47)+SUMPRODUCT($AC$48:$AC$50,$I$48:$I$50)+SUMPRODUCT($AC$51:$AC$51,$I$51:$I$51)+SUMPRODUCT($AC$52:$AC$52,$I$52:$I$52)+SUMPRODUCT($AC$53:$AC$54,$I$53:$I$54))</f>
        <v>14705165.756287236</v>
      </c>
      <c r="AD58" s="61"/>
      <c r="AE58" s="61">
        <f>IF(ISERROR(+SUMPRODUCT($AE$5:$AE$8,$I$5:$I$8)+SUMPRODUCT($AE$9:$AE$11,$I$9:$I$11)+SUMPRODUCT($AE$12:$AE$12,$I$12:$I$12)+SUMPRODUCT($AE$13:$AE$17,$I$13:$I$17)+SUMPRODUCT($AE$18:$AE$19,$I$18:$I$19)+SUMPRODUCT($AE$20:$AE$22,$I$20:$I$22)+SUMPRODUCT($AE$23:$AE$27,$I$23:$I$27)+SUMPRODUCT($AE$28:$AE$32,$I$28:$I$32)+SUMPRODUCT($AE$33:$AE$35,$I$33:$I$35)+SUMPRODUCT($AE$36:$AE$36,$I$36:$I$36)+SUMPRODUCT($AE$37:$AE$39,$I$37:$I$39)+SUMPRODUCT($AE$40:$AE$40,$I$40:$I$40)+SUMPRODUCT($AE$41:$AE$43,$I$41:$I$43)+SUMPRODUCT($AE$44:$AE$44,$I$44:$I$44)+SUMPRODUCT($AE$45:$AE$47,$I$45:$I$47)+SUMPRODUCT($AE$48:$AE$50,$I$48:$I$50)+SUMPRODUCT($AE$51:$AE$51,$I$51:$I$51)+SUMPRODUCT($AE$52:$AE$52,$I$52:$I$52)+SUMPRODUCT($AE$53:$AE$54,$I$53:$I$54)),0,+SUMPRODUCT($AE$5:$AE$8,$I$5:$I$8)+SUMPRODUCT($AE$9:$AE$11,$I$9:$I$11)+SUMPRODUCT($AE$12:$AE$12,$I$12:$I$12)+SUMPRODUCT($AE$13:$AE$17,$I$13:$I$17)+SUMPRODUCT($AE$18:$AE$19,$I$18:$I$19)+SUMPRODUCT($AE$20:$AE$22,$I$20:$I$22)+SUMPRODUCT($AE$23:$AE$27,$I$23:$I$27)+SUMPRODUCT($AE$28:$AE$32,$I$28:$I$32)+SUMPRODUCT($AE$33:$AE$35,$I$33:$I$35)+SUMPRODUCT($AE$36:$AE$36,$I$36:$I$36)+SUMPRODUCT($AE$37:$AE$39,$I$37:$I$39)+SUMPRODUCT($AE$40:$AE$40,$I$40:$I$40)+SUMPRODUCT($AE$41:$AE$43,$I$41:$I$43)+SUMPRODUCT($AE$44:$AE$44,$I$44:$I$44)+SUMPRODUCT($AE$45:$AE$47,$I$45:$I$47)+SUMPRODUCT($AE$48:$AE$50,$I$48:$I$50)+SUMPRODUCT($AE$51:$AE$51,$I$51:$I$51)+SUMPRODUCT($AE$52:$AE$52,$I$52:$I$52)+SUMPRODUCT($AE$53:$AE$54,$I$53:$I$54))</f>
        <v>0</v>
      </c>
      <c r="AF58" s="61">
        <f>IF(ISERROR(+SUMPRODUCT($AF$5:$AF$8,$I$5:$I$8)+SUMPRODUCT($AF$9:$AF$11,$I$9:$I$11)+SUMPRODUCT($AF$12:$AF$12,$I$12:$I$12)+SUMPRODUCT($AF$13:$AF$17,$I$13:$I$17)+SUMPRODUCT($AF$18:$AF$19,$I$18:$I$19)+SUMPRODUCT($AF$20:$AF$22,$I$20:$I$22)+SUMPRODUCT($AF$23:$AF$27,$I$23:$I$27)+SUMPRODUCT($AF$28:$AF$32,$I$28:$I$32)+SUMPRODUCT($AF$33:$AF$35,$I$33:$I$35)+SUMPRODUCT($AF$36:$AF$36,$I$36:$I$36)+SUMPRODUCT($AF$37:$AF$39,$I$37:$I$39)+SUMPRODUCT($AF$40:$AF$40,$I$40:$I$40)+SUMPRODUCT($AF$41:$AF$43,$I$41:$I$43)+SUMPRODUCT($AF$44:$AF$44,$I$44:$I$44)+SUMPRODUCT($AF$45:$AF$47,$I$45:$I$47)+SUMPRODUCT($AF$48:$AF$50,$I$48:$I$50)+SUMPRODUCT($AF$51:$AF$51,$I$51:$I$51)+SUMPRODUCT($AF$52:$AF$52,$I$52:$I$52)+SUMPRODUCT($AF$53:$AF$54,$I$53:$I$54)),0,+SUMPRODUCT($AF$5:$AF$8,$I$5:$I$8)+SUMPRODUCT($AF$9:$AF$11,$I$9:$I$11)+SUMPRODUCT($AF$12:$AF$12,$I$12:$I$12)+SUMPRODUCT($AF$13:$AF$17,$I$13:$I$17)+SUMPRODUCT($AF$18:$AF$19,$I$18:$I$19)+SUMPRODUCT($AF$20:$AF$22,$I$20:$I$22)+SUMPRODUCT($AF$23:$AF$27,$I$23:$I$27)+SUMPRODUCT($AF$28:$AF$32,$I$28:$I$32)+SUMPRODUCT($AF$33:$AF$35,$I$33:$I$35)+SUMPRODUCT($AF$36:$AF$36,$I$36:$I$36)+SUMPRODUCT($AF$37:$AF$39,$I$37:$I$39)+SUMPRODUCT($AF$40:$AF$40,$I$40:$I$40)+SUMPRODUCT($AF$41:$AF$43,$I$41:$I$43)+SUMPRODUCT($AF$44:$AF$44,$I$44:$I$44)+SUMPRODUCT($AF$45:$AF$47,$I$45:$I$47)+SUMPRODUCT($AF$48:$AF$50,$I$48:$I$50)+SUMPRODUCT($AF$51:$AF$51,$I$51:$I$51)+SUMPRODUCT($AF$52:$AF$52,$I$52:$I$52)+SUMPRODUCT($AF$53:$AF$54,$I$53:$I$54))</f>
        <v>0</v>
      </c>
      <c r="AG58" s="61"/>
      <c r="AH58" s="61">
        <f>IF(ISERROR(+SUMPRODUCT($AH$5:$AH$8,$I$5:$I$8)+SUMPRODUCT($AH$9:$AH$11,$I$9:$I$11)+SUMPRODUCT($AH$12:$AH$12,$I$12:$I$12)+SUMPRODUCT($AH$13:$AH$17,$I$13:$I$17)+SUMPRODUCT($AH$18:$AH$19,$I$18:$I$19)+SUMPRODUCT($AH$20:$AH$22,$I$20:$I$22)+SUMPRODUCT($AH$23:$AH$27,$I$23:$I$27)+SUMPRODUCT($AH$28:$AH$32,$I$28:$I$32)+SUMPRODUCT($AH$33:$AH$35,$I$33:$I$35)+SUMPRODUCT($AH$36:$AH$36,$I$36:$I$36)+SUMPRODUCT($AH$37:$AH$39,$I$37:$I$39)+SUMPRODUCT($AH$40:$AH$40,$I$40:$I$40)+SUMPRODUCT($AH$41:$AH$43,$I$41:$I$43)+SUMPRODUCT($AH$44:$AH$44,$I$44:$I$44)+SUMPRODUCT($AH$45:$AH$47,$I$45:$I$47)+SUMPRODUCT($AH$48:$AH$50,$I$48:$I$50)+SUMPRODUCT($AH$51:$AH$51,$I$51:$I$51)+SUMPRODUCT($AH$52:$AH$52,$I$52:$I$52)+SUMPRODUCT($AH$53:$AH$54,$I$53:$I$54)),0,+SUMPRODUCT($AH$5:$AH$8,$I$5:$I$8)+SUMPRODUCT($AH$9:$AH$11,$I$9:$I$11)+SUMPRODUCT($AH$12:$AH$12,$I$12:$I$12)+SUMPRODUCT($AH$13:$AH$17,$I$13:$I$17)+SUMPRODUCT($AH$18:$AH$19,$I$18:$I$19)+SUMPRODUCT($AH$20:$AH$22,$I$20:$I$22)+SUMPRODUCT($AH$23:$AH$27,$I$23:$I$27)+SUMPRODUCT($AH$28:$AH$32,$I$28:$I$32)+SUMPRODUCT($AH$33:$AH$35,$I$33:$I$35)+SUMPRODUCT($AH$36:$AH$36,$I$36:$I$36)+SUMPRODUCT($AH$37:$AH$39,$I$37:$I$39)+SUMPRODUCT($AH$40:$AH$40,$I$40:$I$40)+SUMPRODUCT($AH$41:$AH$43,$I$41:$I$43)+SUMPRODUCT($AH$44:$AH$44,$I$44:$I$44)+SUMPRODUCT($AH$45:$AH$47,$I$45:$I$47)+SUMPRODUCT($AH$48:$AH$50,$I$48:$I$50)+SUMPRODUCT($AH$51:$AH$51,$I$51:$I$51)+SUMPRODUCT($AH$52:$AH$52,$I$52:$I$52)+SUMPRODUCT($AH$53:$AH$54,$I$53:$I$54))</f>
        <v>2180342.9240608392</v>
      </c>
      <c r="AI58" s="61">
        <f>IF(ISERROR(+SUMPRODUCT($AI$5:$AI$8,$I$5:$I$8)+SUMPRODUCT($AI$9:$AI$11,$I$9:$I$11)+SUMPRODUCT($AI$12:$AI$12,$I$12:$I$12)+SUMPRODUCT($AI$13:$AI$17,$I$13:$I$17)+SUMPRODUCT($AI$18:$AI$19,$I$18:$I$19)+SUMPRODUCT($AI$20:$AI$22,$I$20:$I$22)+SUMPRODUCT($AI$23:$AI$27,$I$23:$I$27)+SUMPRODUCT($AI$28:$AI$32,$I$28:$I$32)+SUMPRODUCT($AI$33:$AI$35,$I$33:$I$35)+SUMPRODUCT($AI$36:$AI$36,$I$36:$I$36)+SUMPRODUCT($AI$37:$AI$39,$I$37:$I$39)+SUMPRODUCT($AI$40:$AI$40,$I$40:$I$40)+SUMPRODUCT($AI$41:$AI$43,$I$41:$I$43)+SUMPRODUCT($AI$44:$AI$44,$I$44:$I$44)+SUMPRODUCT($AI$45:$AI$47,$I$45:$I$47)+SUMPRODUCT($AI$48:$AI$50,$I$48:$I$50)+SUMPRODUCT($AI$51:$AI$51,$I$51:$I$51)+SUMPRODUCT($AI$52:$AI$52,$I$52:$I$52)+SUMPRODUCT($AI$53:$AI$54,$I$53:$I$54)),0,+SUMPRODUCT($AI$5:$AI$8,$I$5:$I$8)+SUMPRODUCT($AI$9:$AI$11,$I$9:$I$11)+SUMPRODUCT($AI$12:$AI$12,$I$12:$I$12)+SUMPRODUCT($AI$13:$AI$17,$I$13:$I$17)+SUMPRODUCT($AI$18:$AI$19,$I$18:$I$19)+SUMPRODUCT($AI$20:$AI$22,$I$20:$I$22)+SUMPRODUCT($AI$23:$AI$27,$I$23:$I$27)+SUMPRODUCT($AI$28:$AI$32,$I$28:$I$32)+SUMPRODUCT($AI$33:$AI$35,$I$33:$I$35)+SUMPRODUCT($AI$36:$AI$36,$I$36:$I$36)+SUMPRODUCT($AI$37:$AI$39,$I$37:$I$39)+SUMPRODUCT($AI$40:$AI$40,$I$40:$I$40)+SUMPRODUCT($AI$41:$AI$43,$I$41:$I$43)+SUMPRODUCT($AI$44:$AI$44,$I$44:$I$44)+SUMPRODUCT($AI$45:$AI$47,$I$45:$I$47)+SUMPRODUCT($AI$48:$AI$50,$I$48:$I$50)+SUMPRODUCT($AI$51:$AI$51,$I$51:$I$51)+SUMPRODUCT($AI$52:$AI$52,$I$52:$I$52)+SUMPRODUCT($AI$53:$AI$54,$I$53:$I$54))</f>
        <v>2180342.9240608392</v>
      </c>
      <c r="AJ58" s="61">
        <f ca="1">IF(ISERROR(+SUMPRODUCT($AJ$5:$AJ$8,$I$5:$I$8)+SUMPRODUCT($AJ$9:$AJ$11,$I$9:$I$11)+SUMPRODUCT($AJ$12:$AJ$12,$I$12:$I$12)+SUMPRODUCT($AJ$13:$AJ$17,$I$13:$I$17)+SUMPRODUCT($AJ$18:$AJ$19,$I$18:$I$19)+SUMPRODUCT($AJ$20:$AJ$22,$I$20:$I$22)+SUMPRODUCT($AJ$23:$AJ$27,$I$23:$I$27)+SUMPRODUCT($AJ$28:$AJ$32,$I$28:$I$32)+SUMPRODUCT($AJ$33:$AJ$35,$I$33:$I$35)+SUMPRODUCT($AJ$36:$AJ$36,$I$36:$I$36)+SUMPRODUCT($AJ$37:$AJ$39,$I$37:$I$39)+SUMPRODUCT($AJ$40:$AJ$40,$I$40:$I$40)+SUMPRODUCT($AJ$41:$AJ$43,$I$41:$I$43)+SUMPRODUCT($AJ$44:$AJ$44,$I$44:$I$44)+SUMPRODUCT($AJ$45:$AJ$47,$I$45:$I$47)+SUMPRODUCT($AJ$48:$AJ$50,$I$48:$I$50)+SUMPRODUCT($AJ$51:$AJ$51,$I$51:$I$51)+SUMPRODUCT($AJ$52:$AJ$52,$I$52:$I$52)+SUMPRODUCT($AJ$53:$AJ$54,$I$53:$I$54)),0,+SUMPRODUCT($AJ$5:$AJ$8,$I$5:$I$8)+SUMPRODUCT($AJ$9:$AJ$11,$I$9:$I$11)+SUMPRODUCT($AJ$12:$AJ$12,$I$12:$I$12)+SUMPRODUCT($AJ$13:$AJ$17,$I$13:$I$17)+SUMPRODUCT($AJ$18:$AJ$19,$I$18:$I$19)+SUMPRODUCT($AJ$20:$AJ$22,$I$20:$I$22)+SUMPRODUCT($AJ$23:$AJ$27,$I$23:$I$27)+SUMPRODUCT($AJ$28:$AJ$32,$I$28:$I$32)+SUMPRODUCT($AJ$33:$AJ$35,$I$33:$I$35)+SUMPRODUCT($AJ$36:$AJ$36,$I$36:$I$36)+SUMPRODUCT($AJ$37:$AJ$39,$I$37:$I$39)+SUMPRODUCT($AJ$40:$AJ$40,$I$40:$I$40)+SUMPRODUCT($AJ$41:$AJ$43,$I$41:$I$43)+SUMPRODUCT($AJ$44:$AJ$44,$I$44:$I$44)+SUMPRODUCT($AJ$45:$AJ$47,$I$45:$I$47)+SUMPRODUCT($AJ$48:$AJ$50,$I$48:$I$50)+SUMPRODUCT($AJ$51:$AJ$51,$I$51:$I$51)+SUMPRODUCT($AJ$52:$AJ$52,$I$52:$I$52)+SUMPRODUCT($AJ$53:$AJ$54,$I$53:$I$54))</f>
        <v>62636.499428650481</v>
      </c>
      <c r="AK58" s="61">
        <f ca="1">IF(ISERROR(+SUMPRODUCT($AK$5:$AK$8,$I$5:$I$8)+SUMPRODUCT($AK$9:$AK$11,$I$9:$I$11)+SUMPRODUCT($AK$12:$AK$12,$I$12:$I$12)+SUMPRODUCT($AK$13:$AK$17,$I$13:$I$17)+SUMPRODUCT($AK$18:$AK$19,$I$18:$I$19)+SUMPRODUCT($AK$20:$AK$22,$I$20:$I$22)+SUMPRODUCT($AK$23:$AK$27,$I$23:$I$27)+SUMPRODUCT($AK$28:$AK$32,$I$28:$I$32)+SUMPRODUCT($AK$33:$AK$35,$I$33:$I$35)+SUMPRODUCT($AK$36:$AK$36,$I$36:$I$36)+SUMPRODUCT($AK$37:$AK$39,$I$37:$I$39)+SUMPRODUCT($AK$40:$AK$40,$I$40:$I$40)+SUMPRODUCT($AK$41:$AK$43,$I$41:$I$43)+SUMPRODUCT($AK$44:$AK$44,$I$44:$I$44)+SUMPRODUCT($AK$45:$AK$47,$I$45:$I$47)+SUMPRODUCT($AK$48:$AK$50,$I$48:$I$50)+SUMPRODUCT($AK$51:$AK$51,$I$51:$I$51)+SUMPRODUCT($AK$52:$AK$52,$I$52:$I$52)+SUMPRODUCT($AK$53:$AK$54,$I$53:$I$54)),0,+SUMPRODUCT($AK$5:$AK$8,$I$5:$I$8)+SUMPRODUCT($AK$9:$AK$11,$I$9:$I$11)+SUMPRODUCT($AK$12:$AK$12,$I$12:$I$12)+SUMPRODUCT($AK$13:$AK$17,$I$13:$I$17)+SUMPRODUCT($AK$18:$AK$19,$I$18:$I$19)+SUMPRODUCT($AK$20:$AK$22,$I$20:$I$22)+SUMPRODUCT($AK$23:$AK$27,$I$23:$I$27)+SUMPRODUCT($AK$28:$AK$32,$I$28:$I$32)+SUMPRODUCT($AK$33:$AK$35,$I$33:$I$35)+SUMPRODUCT($AK$36:$AK$36,$I$36:$I$36)+SUMPRODUCT($AK$37:$AK$39,$I$37:$I$39)+SUMPRODUCT($AK$40:$AK$40,$I$40:$I$40)+SUMPRODUCT($AK$41:$AK$43,$I$41:$I$43)+SUMPRODUCT($AK$44:$AK$44,$I$44:$I$44)+SUMPRODUCT($AK$45:$AK$47,$I$45:$I$47)+SUMPRODUCT($AK$48:$AK$50,$I$48:$I$50)+SUMPRODUCT($AK$51:$AK$51,$I$51:$I$51)+SUMPRODUCT($AK$52:$AK$52,$I$52:$I$52)+SUMPRODUCT($AK$53:$AK$54,$I$53:$I$54))</f>
        <v>62636.499428650481</v>
      </c>
      <c r="AL58" s="61"/>
      <c r="AM58" s="61"/>
    </row>
    <row r="59" spans="1:42" ht="11.25" customHeight="1" x14ac:dyDescent="0.3">
      <c r="K59" s="60" t="s">
        <v>652</v>
      </c>
      <c r="L59" s="61">
        <f>CUSTOS!$D$2</f>
        <v>237499.78640641886</v>
      </c>
      <c r="M59" s="61">
        <f>CUSTOS!$D$3</f>
        <v>73374.677892889988</v>
      </c>
      <c r="N59" s="61">
        <f>CUSTOS!$D$4</f>
        <v>252169.25620839672</v>
      </c>
      <c r="O59" s="61">
        <f>CUSTOS!$D$5</f>
        <v>0</v>
      </c>
      <c r="P59" s="61">
        <f>CUSTOS!$D$6</f>
        <v>0</v>
      </c>
      <c r="Q59" s="61">
        <f>CUSTOS!$D$7</f>
        <v>6277945.6326438915</v>
      </c>
      <c r="R59" s="61">
        <f>CUSTOS!$D$8</f>
        <v>1038653.7823800762</v>
      </c>
      <c r="S59" s="61">
        <f>CUSTOS!$D$9</f>
        <v>0</v>
      </c>
      <c r="T59" s="61">
        <f>CUSTOS!$D$10</f>
        <v>7879643.1355316732</v>
      </c>
      <c r="U59" s="61">
        <f>CUSTOS!$D$11</f>
        <v>0</v>
      </c>
      <c r="V59" s="61">
        <f>IF(SUM(V56:V58)&lt;&gt;0,CUSTOS!$D$12+CUSTOS!$D$16+CUSTOS!$D$17-'TR TUSD'!$Z$57-'TR TUSD'!$AA$57,0)</f>
        <v>0</v>
      </c>
      <c r="W59" s="61">
        <f>CUSTOS!$D$13</f>
        <v>0</v>
      </c>
      <c r="X59" s="61">
        <f>CUSTOS!$D$14</f>
        <v>0</v>
      </c>
      <c r="Y59" s="61">
        <f>IF(SUM(V56:V58)=0,CUSTOS!$D$15+CUSTOS!$D$16+CUSTOS!$D$17-'TR TUSD'!$Z$57-'TR TUSD'!$AA$57,CUSTOS!$D$15)</f>
        <v>13361511.865062799</v>
      </c>
      <c r="Z59" s="61">
        <f>Z57</f>
        <v>0</v>
      </c>
      <c r="AA59" s="61">
        <f>AA57</f>
        <v>0</v>
      </c>
      <c r="AB59" s="61">
        <f>CUSTOS!$D$18</f>
        <v>13361511.865062799</v>
      </c>
      <c r="AC59" s="61">
        <f>CUSTOS!$D$19</f>
        <v>15957830.327701807</v>
      </c>
      <c r="AD59" s="61">
        <f>CUSTOS!$D$20</f>
        <v>15957830.327701807</v>
      </c>
      <c r="AE59" s="61">
        <f>CUSTOS!$D$21</f>
        <v>0</v>
      </c>
      <c r="AF59" s="61">
        <f>CUSTOS!$D$22</f>
        <v>0</v>
      </c>
      <c r="AG59" s="61">
        <f>CUSTOS!$D$23</f>
        <v>0</v>
      </c>
      <c r="AH59" s="61">
        <f>CUSTOS!$D$24</f>
        <v>1547837.5890843272</v>
      </c>
      <c r="AI59" s="61">
        <f>CUSTOS!$D$25</f>
        <v>15830.06823796428</v>
      </c>
      <c r="AJ59" s="61">
        <f>CUSTOS!$D$26</f>
        <v>64253.639525114879</v>
      </c>
      <c r="AK59" s="61">
        <f>CUSTOS!$D$27</f>
        <v>22189.345469980515</v>
      </c>
      <c r="AL59" s="61">
        <f>CUSTOS!$D$28</f>
        <v>1650110.6423173868</v>
      </c>
      <c r="AM59" s="61">
        <f>CUSTOS!$D$29</f>
        <v>38849095.970613666</v>
      </c>
    </row>
    <row r="60" spans="1:42" ht="11.25" customHeight="1" x14ac:dyDescent="0.3">
      <c r="K60" s="60" t="s">
        <v>653</v>
      </c>
      <c r="L60" s="61">
        <f>CUSTOS!$E$2</f>
        <v>-6321.8271732228659</v>
      </c>
      <c r="M60" s="61">
        <f>CUSTOS!$E$3</f>
        <v>-1462.854310844883</v>
      </c>
      <c r="N60" s="61">
        <f>CUSTOS!$E$4</f>
        <v>-1.9727855092924103</v>
      </c>
      <c r="O60" s="61">
        <f>CUSTOS!$E$5</f>
        <v>0</v>
      </c>
      <c r="P60" s="61">
        <f>CUSTOS!$E$6</f>
        <v>0</v>
      </c>
      <c r="Q60" s="61">
        <f>CUSTOS!$E$7</f>
        <v>-66756.333714650362</v>
      </c>
      <c r="R60" s="61">
        <f>CUSTOS!$E$8</f>
        <v>-10513.389966282062</v>
      </c>
      <c r="S60" s="61">
        <f>CUSTOS!$E$9</f>
        <v>0</v>
      </c>
      <c r="T60" s="61">
        <f>CUSTOS!$E$10</f>
        <v>-85056.377950509472</v>
      </c>
      <c r="U60" s="61">
        <f>CUSTOS!$E$11</f>
        <v>0</v>
      </c>
      <c r="V60" s="61">
        <f>CUSTOS!$E$12</f>
        <v>0</v>
      </c>
      <c r="W60" s="61">
        <f>CUSTOS!$E$13</f>
        <v>0</v>
      </c>
      <c r="X60" s="61">
        <f>CUSTOS!$E$14</f>
        <v>0</v>
      </c>
      <c r="Y60" s="61">
        <f>CUSTOS!$E$15</f>
        <v>-2303426.1390031921</v>
      </c>
      <c r="Z60" s="61">
        <f>CUSTOS!$E$16</f>
        <v>0</v>
      </c>
      <c r="AA60" s="61">
        <f>CUSTOS!$E$17</f>
        <v>0</v>
      </c>
      <c r="AB60" s="61">
        <f>CUSTOS!$E$18</f>
        <v>-2303426.1390031921</v>
      </c>
      <c r="AC60" s="61">
        <f>CUSTOS!$E$19</f>
        <v>1487377.6100786317</v>
      </c>
      <c r="AD60" s="61">
        <f>CUSTOS!$E$20</f>
        <v>1487377.6100786317</v>
      </c>
      <c r="AE60" s="61">
        <f>CUSTOS!$E$21</f>
        <v>-4597767.3896910865</v>
      </c>
      <c r="AF60" s="61">
        <f>CUSTOS!$E$22</f>
        <v>0</v>
      </c>
      <c r="AG60" s="61">
        <f>CUSTOS!$E$23</f>
        <v>-4597767.3896910865</v>
      </c>
      <c r="AH60" s="61">
        <f>CUSTOS!$E$24</f>
        <v>-230757.57815953059</v>
      </c>
      <c r="AI60" s="61">
        <f>CUSTOS!$E$25</f>
        <v>-2360.0074287210841</v>
      </c>
      <c r="AJ60" s="61">
        <f>CUSTOS!$E$26</f>
        <v>-9579.1795917828786</v>
      </c>
      <c r="AK60" s="61">
        <f>CUSTOS!$E$27</f>
        <v>3373.324918591873</v>
      </c>
      <c r="AL60" s="61">
        <f>CUSTOS!$E$28</f>
        <v>-239323.44026144268</v>
      </c>
      <c r="AM60" s="61">
        <f>CUSTOS!$E$29</f>
        <v>-5738195.7368275989</v>
      </c>
    </row>
    <row r="61" spans="1:42" ht="11.25" customHeight="1" x14ac:dyDescent="0.3">
      <c r="K61" s="60" t="s">
        <v>654</v>
      </c>
      <c r="L61" s="61">
        <f>CUSTOS!$F$2</f>
        <v>15576.859586323053</v>
      </c>
      <c r="M61" s="61">
        <f>CUSTOS!$F$3</f>
        <v>0</v>
      </c>
      <c r="N61" s="61">
        <f>CUSTOS!$F$4</f>
        <v>0</v>
      </c>
      <c r="O61" s="61">
        <f>CUSTOS!$F$5</f>
        <v>0</v>
      </c>
      <c r="P61" s="61">
        <f>CUSTOS!$F$6</f>
        <v>0</v>
      </c>
      <c r="Q61" s="61">
        <f>CUSTOS!$F$7</f>
        <v>776055.91760000004</v>
      </c>
      <c r="R61" s="61">
        <f>CUSTOS!$F$8</f>
        <v>206711.2366</v>
      </c>
      <c r="S61" s="61">
        <f>CUSTOS!$F$9</f>
        <v>0</v>
      </c>
      <c r="T61" s="61">
        <f>CUSTOS!$F$10</f>
        <v>998344.01378632314</v>
      </c>
      <c r="U61" s="61">
        <f>CUSTOS!$F$11</f>
        <v>0</v>
      </c>
      <c r="V61" s="61">
        <f>CUSTOS!$F$12</f>
        <v>0</v>
      </c>
      <c r="W61" s="61">
        <f>CUSTOS!$F$13</f>
        <v>0</v>
      </c>
      <c r="X61" s="61">
        <f>CUSTOS!$F$14</f>
        <v>0</v>
      </c>
      <c r="Y61" s="61">
        <f>CUSTOS!$F$15</f>
        <v>0</v>
      </c>
      <c r="Z61" s="61">
        <f>CUSTOS!$F$16</f>
        <v>0</v>
      </c>
      <c r="AA61" s="61">
        <f>CUSTOS!$F$17</f>
        <v>0</v>
      </c>
      <c r="AB61" s="61">
        <f>CUSTOS!$F$18</f>
        <v>0</v>
      </c>
      <c r="AC61" s="61">
        <f>CUSTOS!$F$19</f>
        <v>0</v>
      </c>
      <c r="AD61" s="61">
        <f>CUSTOS!$F$20</f>
        <v>0</v>
      </c>
      <c r="AE61" s="61">
        <f>CUSTOS!$F$21</f>
        <v>0</v>
      </c>
      <c r="AF61" s="61">
        <f>CUSTOS!$F$22</f>
        <v>0</v>
      </c>
      <c r="AG61" s="61">
        <f>CUSTOS!$F$23</f>
        <v>0</v>
      </c>
      <c r="AH61" s="61">
        <f>CUSTOS!$F$24</f>
        <v>157569.77756582474</v>
      </c>
      <c r="AI61" s="61">
        <f>CUSTOS!$F$25</f>
        <v>1611.5000363723336</v>
      </c>
      <c r="AJ61" s="61">
        <f>CUSTOS!$F$26</f>
        <v>6541.0168089770114</v>
      </c>
      <c r="AK61" s="61">
        <f>CUSTOS!$F$27</f>
        <v>0</v>
      </c>
      <c r="AL61" s="61">
        <f>CUSTOS!$F$28</f>
        <v>165722.29441117408</v>
      </c>
      <c r="AM61" s="61">
        <f>CUSTOS!$F$29</f>
        <v>1164066.3081974972</v>
      </c>
    </row>
    <row r="62" spans="1:42" ht="11.25" customHeight="1" x14ac:dyDescent="0.3">
      <c r="K62" s="60" t="s">
        <v>706</v>
      </c>
      <c r="L62" s="61">
        <v>0</v>
      </c>
      <c r="M62" s="61">
        <v>0</v>
      </c>
      <c r="N62" s="61">
        <v>0</v>
      </c>
      <c r="O62" s="61">
        <v>0</v>
      </c>
      <c r="P62" s="61">
        <v>0</v>
      </c>
      <c r="Q62" s="61">
        <v>0</v>
      </c>
      <c r="R62" s="61">
        <v>0</v>
      </c>
      <c r="S62" s="61">
        <v>0</v>
      </c>
      <c r="T62" s="61"/>
      <c r="U62" s="61">
        <v>0</v>
      </c>
      <c r="V62" s="61">
        <v>0</v>
      </c>
      <c r="W62" s="61">
        <v>0</v>
      </c>
      <c r="X62" s="61">
        <v>0</v>
      </c>
      <c r="Y62" s="61">
        <v>0</v>
      </c>
      <c r="Z62" s="61">
        <v>0</v>
      </c>
      <c r="AA62" s="61">
        <v>0</v>
      </c>
      <c r="AB62" s="61"/>
      <c r="AC62" s="61">
        <v>0</v>
      </c>
      <c r="AD62" s="61"/>
      <c r="AE62" s="61">
        <v>0</v>
      </c>
      <c r="AF62" s="61">
        <v>0</v>
      </c>
      <c r="AG62" s="61"/>
      <c r="AH62" s="61">
        <v>0</v>
      </c>
      <c r="AI62" s="61">
        <v>0</v>
      </c>
      <c r="AJ62" s="61">
        <v>0</v>
      </c>
      <c r="AK62" s="61">
        <v>0</v>
      </c>
      <c r="AL62" s="61"/>
      <c r="AM62" s="61"/>
    </row>
    <row r="63" spans="1:42" ht="11.25" customHeight="1" x14ac:dyDescent="0.3">
      <c r="K63" s="60" t="s">
        <v>707</v>
      </c>
      <c r="L63" s="61">
        <f t="shared" ref="L63:S63" si="2">IF((L58+L56)&lt;&gt;0,(L59-L57-L62)/(L58+L56),0)</f>
        <v>3.3908693754687853</v>
      </c>
      <c r="M63" s="61">
        <f t="shared" si="2"/>
        <v>1.0261749825545905</v>
      </c>
      <c r="N63" s="61">
        <f t="shared" ca="1" si="2"/>
        <v>1.0003810281404224</v>
      </c>
      <c r="O63" s="61">
        <f t="shared" si="2"/>
        <v>0</v>
      </c>
      <c r="P63" s="61">
        <f t="shared" si="2"/>
        <v>0</v>
      </c>
      <c r="Q63" s="61">
        <f t="shared" si="2"/>
        <v>89.632474658995491</v>
      </c>
      <c r="R63" s="61">
        <f t="shared" si="2"/>
        <v>14.187282996785822</v>
      </c>
      <c r="S63" s="61">
        <f t="shared" si="2"/>
        <v>0</v>
      </c>
      <c r="T63" s="61"/>
      <c r="U63" s="61">
        <f>IF(U58&lt;&gt;0,(U59-U57-U56-U62)/U58,0)</f>
        <v>0</v>
      </c>
      <c r="V63" s="61">
        <f>IF(V58&lt;&gt;0,(V59-V57-V56-V62)/V58,0)</f>
        <v>0</v>
      </c>
      <c r="W63" s="61">
        <f>IF(W58&lt;&gt;0,(W59-W57-W56-W62)/W58,0)</f>
        <v>0</v>
      </c>
      <c r="X63" s="61">
        <f>IF(X58&lt;&gt;0,(X59-X57-X56-X62)/X58,0)</f>
        <v>0</v>
      </c>
      <c r="Y63" s="61">
        <f>IF(Y58&lt;&gt;0,(Y59-Y57-Y56-Y62)/Y58,0)</f>
        <v>1.0925944299108152</v>
      </c>
      <c r="Z63" s="61"/>
      <c r="AA63" s="61"/>
      <c r="AB63" s="61"/>
      <c r="AC63" s="61">
        <f>IF(AC58&lt;&gt;0,(AC59-AC57-AC56-AC62)/AC58,0)</f>
        <v>1.0851853418162927</v>
      </c>
      <c r="AD63" s="61"/>
      <c r="AE63" s="61">
        <f>IF((AE58+AE56)&lt;&gt;0,(AE59-AE57-AE62)/(AE58+AE56),0)</f>
        <v>0</v>
      </c>
      <c r="AF63" s="61">
        <f>IF((AF58+AF56)&lt;&gt;0,(AF59-AF57-AF62)/(AF58+AF56),0)</f>
        <v>0</v>
      </c>
      <c r="AG63" s="61"/>
      <c r="AH63" s="61">
        <f>IF(AH58&lt;&gt;0,(AH59-AH57-AH56-AH62)/AH58,0)</f>
        <v>0.70990557127661136</v>
      </c>
      <c r="AI63" s="61">
        <f>IF(AI58&lt;&gt;0,(AI59-AI57-AI56-AI62)/AI58,0)</f>
        <v>7.2603571040472555E-3</v>
      </c>
      <c r="AJ63" s="61">
        <f ca="1">IF((AJ58+AJ56)&lt;&gt;0,(AJ59-AJ57-AJ62)/(AJ58+AJ56),0)</f>
        <v>1.0258178555828537</v>
      </c>
      <c r="AK63" s="61">
        <f ca="1">IF((AK58+AK56)&lt;&gt;0,(AK59-AK57-AK62)/(AK58+AK56),0)</f>
        <v>0.35425583601229982</v>
      </c>
      <c r="AL63" s="61"/>
      <c r="AM63" s="61"/>
    </row>
    <row r="65" spans="11:16" ht="11.25" customHeight="1" x14ac:dyDescent="0.3">
      <c r="K65" s="67" t="s">
        <v>1348</v>
      </c>
      <c r="L65" s="67" t="s">
        <v>1349</v>
      </c>
      <c r="M65" s="67" t="s">
        <v>1350</v>
      </c>
      <c r="N65" s="67" t="s">
        <v>1351</v>
      </c>
      <c r="O65" s="67" t="s">
        <v>1352</v>
      </c>
      <c r="P65" s="67" t="s">
        <v>1353</v>
      </c>
    </row>
    <row r="66" spans="11:16" ht="11.25" customHeight="1" x14ac:dyDescent="0.3">
      <c r="K66" s="66" t="s">
        <v>39</v>
      </c>
      <c r="L66" s="66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</f>
        <v>9679985.5112321805</v>
      </c>
      <c r="M66" s="66">
        <f>+'TUSD BE'!$I$7+'TUSD BE'!$I$8+'TUSD BE'!$I$14+'TUSD BE'!$I$15+'TUSD BE'!$I$16+'TUSD BE'!$I$17</f>
        <v>19807.656999999999</v>
      </c>
      <c r="N66" s="66">
        <f ca="1">IF(AND($L$73&lt;&gt;0,M66&lt;&gt;0),(L66/$L$73*$AJ$59)/M66,0)</f>
        <v>0.83853861581739708</v>
      </c>
      <c r="O66" s="66"/>
      <c r="P66" s="66"/>
    </row>
    <row r="67" spans="11:16" ht="11.25" customHeight="1" x14ac:dyDescent="0.3">
      <c r="K67" s="66" t="s">
        <v>90</v>
      </c>
      <c r="L67" s="66">
        <f ca="1">+$L$68+$L$69+$L$70+$L$71+$L$72</f>
        <v>27766948.516876936</v>
      </c>
      <c r="M67" s="66">
        <f>+$M$68+$M$69+$M$70+$M$71+$M$72</f>
        <v>57876.387999999992</v>
      </c>
      <c r="N67" s="66">
        <f ca="1">IF(AND($L$73&lt;&gt;0,M67&lt;&gt;0),(L67/$L$73*$AJ$59)/M67,0)</f>
        <v>0.82320538458186299</v>
      </c>
      <c r="O67" s="66"/>
      <c r="P67" s="66"/>
    </row>
    <row r="68" spans="11:16" ht="11.25" customHeight="1" x14ac:dyDescent="0.3">
      <c r="K68" s="66" t="s">
        <v>90</v>
      </c>
      <c r="L68" s="66"/>
      <c r="M68" s="66"/>
      <c r="N68" s="66">
        <f ca="1">IF(AND($L$73&lt;&gt;0,M68&lt;&gt;0),(L68/$L$73*$AJ$59)/M68,0)</f>
        <v>0</v>
      </c>
      <c r="O68" s="66"/>
      <c r="P68" s="66"/>
    </row>
    <row r="69" spans="11:16" ht="11.25" customHeight="1" x14ac:dyDescent="0.3">
      <c r="K69" s="66" t="s">
        <v>22</v>
      </c>
      <c r="L69" s="66">
        <f ca="1">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</f>
        <v>11253785.98244736</v>
      </c>
      <c r="M69" s="66">
        <f>+'TUSD BE'!$I$20+'TUSD BE'!$I$21+'TUSD BE'!$I$22+'TUSD BE'!$I$23+'TUSD BE'!$I$24+'TUSD BE'!$I$25+'TUSD BE'!$I$26+'TUSD BE'!$I$27+'TUSD BE'!$I$28+'TUSD BE'!$I$29+'TUSD BE'!$I$30+'TUSD BE'!$I$31+'TUSD BE'!$I$32</f>
        <v>22986.909</v>
      </c>
      <c r="N69" s="66"/>
      <c r="O69" s="66"/>
      <c r="P69" s="66"/>
    </row>
    <row r="70" spans="11:16" ht="11.25" customHeight="1" x14ac:dyDescent="0.3">
      <c r="K70" s="66" t="s">
        <v>42</v>
      </c>
      <c r="L70" s="66">
        <f ca="1">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</f>
        <v>9371474.1524083316</v>
      </c>
      <c r="M70" s="66">
        <f>+'TUSD BE'!$I$33+'TUSD BE'!$I$34+'TUSD BE'!$I$35+'TUSD BE'!$I$36+'TUSD BE'!$I$37+'TUSD BE'!$I$38+'TUSD BE'!$I$39+'TUSD BE'!$I$40+'TUSD BE'!$I$41+'TUSD BE'!$I$42+'TUSD BE'!$I$43+'TUSD BE'!$I$44+'TUSD BE'!$I$45+'TUSD BE'!$I$46+'TUSD BE'!$I$47</f>
        <v>18694.790999999997</v>
      </c>
      <c r="N70" s="66"/>
      <c r="O70" s="66"/>
      <c r="P70" s="66"/>
    </row>
    <row r="71" spans="11:16" ht="11.25" customHeight="1" x14ac:dyDescent="0.3">
      <c r="K71" s="66" t="s">
        <v>37</v>
      </c>
      <c r="L71" s="66">
        <f ca="1">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</f>
        <v>5938104.9962617625</v>
      </c>
      <c r="M71" s="66">
        <f>+'TUSD BE'!$I$48+'TUSD BE'!$I$49+'TUSD BE'!$I$50+'TUSD BE'!$I$51+'TUSD BE'!$I$52</f>
        <v>11829.258999999998</v>
      </c>
      <c r="N71" s="66"/>
      <c r="O71" s="66"/>
      <c r="P71" s="66"/>
    </row>
    <row r="72" spans="11:16" ht="11.25" customHeight="1" x14ac:dyDescent="0.3">
      <c r="K72" s="66" t="s">
        <v>45</v>
      </c>
      <c r="L72" s="66">
        <f ca="1">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</f>
        <v>1203583.3857594803</v>
      </c>
      <c r="M72" s="66">
        <f>+'TUSD BE'!$I$53+'TUSD BE'!$I$54</f>
        <v>4365.4290000000001</v>
      </c>
      <c r="N72" s="66"/>
      <c r="O72" s="66"/>
      <c r="P72" s="66"/>
    </row>
    <row r="73" spans="11:16" ht="11.25" customHeight="1" x14ac:dyDescent="0.3">
      <c r="K73" s="66"/>
      <c r="L73" s="66">
        <f ca="1">SUM($L$66:$L$72,-$L$67)</f>
        <v>37446934.028109111</v>
      </c>
      <c r="M73" s="66">
        <f>SUM($M$66:$M$72,-$M$67)</f>
        <v>77684.044999999998</v>
      </c>
      <c r="N73" s="66"/>
      <c r="O73" s="66"/>
      <c r="P73" s="66"/>
    </row>
  </sheetData>
  <mergeCells count="78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8:E50"/>
    <mergeCell ref="F48:F50"/>
    <mergeCell ref="A53:A54"/>
    <mergeCell ref="B53:B54"/>
    <mergeCell ref="C53:C54"/>
    <mergeCell ref="B45:B47"/>
    <mergeCell ref="C45:C47"/>
    <mergeCell ref="A48:A52"/>
    <mergeCell ref="B48:B50"/>
    <mergeCell ref="C48:C50"/>
    <mergeCell ref="D48:D50"/>
    <mergeCell ref="F37:F39"/>
    <mergeCell ref="B41:B43"/>
    <mergeCell ref="C41:C43"/>
    <mergeCell ref="D41:D43"/>
    <mergeCell ref="E41:E43"/>
    <mergeCell ref="F41:F43"/>
    <mergeCell ref="A33:A47"/>
    <mergeCell ref="B33:B35"/>
    <mergeCell ref="C33:C35"/>
    <mergeCell ref="D33:D35"/>
    <mergeCell ref="E33:E35"/>
    <mergeCell ref="F33:F35"/>
    <mergeCell ref="B37:B39"/>
    <mergeCell ref="C37:C39"/>
    <mergeCell ref="D37:D39"/>
    <mergeCell ref="E37:E39"/>
    <mergeCell ref="F20:F22"/>
    <mergeCell ref="B23:B27"/>
    <mergeCell ref="C23:C27"/>
    <mergeCell ref="B28:B32"/>
    <mergeCell ref="C28:C32"/>
    <mergeCell ref="A20:A32"/>
    <mergeCell ref="B20:B22"/>
    <mergeCell ref="C20:C22"/>
    <mergeCell ref="D20:D22"/>
    <mergeCell ref="E20:E22"/>
    <mergeCell ref="F13:F15"/>
    <mergeCell ref="E16:E17"/>
    <mergeCell ref="F16:F17"/>
    <mergeCell ref="A18:A19"/>
    <mergeCell ref="B18:B19"/>
    <mergeCell ref="C18:C19"/>
    <mergeCell ref="D18:D19"/>
    <mergeCell ref="A5:A17"/>
    <mergeCell ref="B5:B8"/>
    <mergeCell ref="C5:C8"/>
    <mergeCell ref="D5:D8"/>
    <mergeCell ref="E5:E7"/>
    <mergeCell ref="B13:B17"/>
    <mergeCell ref="C13:C17"/>
    <mergeCell ref="D13:D17"/>
    <mergeCell ref="E13:E15"/>
    <mergeCell ref="F5:F7"/>
    <mergeCell ref="B9:B11"/>
    <mergeCell ref="C9:C11"/>
    <mergeCell ref="D9:D11"/>
    <mergeCell ref="E9:E11"/>
    <mergeCell ref="F9:F1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27030-74AC-4EC6-977D-A3C58F0FCEB1}">
  <sheetPr codeName="Planilha9"/>
  <dimension ref="A1:AP61"/>
  <sheetViews>
    <sheetView showGridLines="0" topLeftCell="X31" workbookViewId="0">
      <selection activeCell="AN8" sqref="AN8"/>
    </sheetView>
  </sheetViews>
  <sheetFormatPr defaultColWidth="9.1093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9.109375" style="9"/>
    <col min="11" max="11" width="14.33203125" style="9" bestFit="1" customWidth="1"/>
    <col min="12" max="12" width="13.44140625" style="9" bestFit="1" customWidth="1"/>
    <col min="13" max="13" width="7.88671875" style="9" bestFit="1" customWidth="1"/>
    <col min="14" max="14" width="8.6640625" style="9" bestFit="1" customWidth="1"/>
    <col min="15" max="15" width="4.109375" style="9" bestFit="1" customWidth="1"/>
    <col min="16" max="16" width="4.44140625" style="9" bestFit="1" customWidth="1"/>
    <col min="17" max="18" width="10" style="9" bestFit="1" customWidth="1"/>
    <col min="19" max="19" width="8.6640625" style="9" bestFit="1" customWidth="1"/>
    <col min="20" max="20" width="10" style="9" bestFit="1" customWidth="1"/>
    <col min="21" max="21" width="7.44140625" style="9" bestFit="1" customWidth="1"/>
    <col min="22" max="22" width="7.33203125" style="9" bestFit="1" customWidth="1"/>
    <col min="23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0.8867187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7.88671875" style="9" bestFit="1" customWidth="1"/>
    <col min="38" max="38" width="10" style="9" bestFit="1" customWidth="1"/>
    <col min="39" max="39" width="10.88671875" style="9" bestFit="1" customWidth="1"/>
    <col min="40" max="41" width="9.109375" style="9"/>
    <col min="42" max="42" width="7.88671875" style="9" bestFit="1" customWidth="1"/>
    <col min="43" max="16384" width="9.109375" style="9"/>
  </cols>
  <sheetData>
    <row r="1" spans="1:42" ht="11.25" customHeight="1" x14ac:dyDescent="0.3">
      <c r="A1" s="134" t="s">
        <v>66</v>
      </c>
      <c r="B1" s="134" t="s">
        <v>67</v>
      </c>
      <c r="C1" s="134" t="s">
        <v>68</v>
      </c>
      <c r="D1" s="134" t="s">
        <v>69</v>
      </c>
      <c r="E1" s="134" t="s">
        <v>70</v>
      </c>
      <c r="F1" s="134" t="s">
        <v>15</v>
      </c>
      <c r="G1" s="134" t="s">
        <v>72</v>
      </c>
      <c r="H1" s="134" t="s">
        <v>73</v>
      </c>
      <c r="I1" s="134" t="s">
        <v>700</v>
      </c>
      <c r="J1" s="125"/>
      <c r="L1" s="133" t="s">
        <v>708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702</v>
      </c>
    </row>
    <row r="2" spans="1:42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5"/>
      <c r="L2" s="133" t="s">
        <v>610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5"/>
    </row>
    <row r="3" spans="1:42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5"/>
      <c r="L3" s="133" t="s">
        <v>611</v>
      </c>
      <c r="M3" s="133"/>
      <c r="N3" s="133"/>
      <c r="O3" s="133"/>
      <c r="P3" s="133"/>
      <c r="Q3" s="133"/>
      <c r="R3" s="133"/>
      <c r="S3" s="133"/>
      <c r="T3" s="133"/>
      <c r="U3" s="133" t="s">
        <v>620</v>
      </c>
      <c r="V3" s="133"/>
      <c r="W3" s="133"/>
      <c r="X3" s="133"/>
      <c r="Y3" s="133"/>
      <c r="Z3" s="133"/>
      <c r="AA3" s="133"/>
      <c r="AB3" s="133"/>
      <c r="AC3" s="133" t="s">
        <v>628</v>
      </c>
      <c r="AD3" s="133"/>
      <c r="AE3" s="133" t="s">
        <v>630</v>
      </c>
      <c r="AF3" s="133"/>
      <c r="AG3" s="133"/>
      <c r="AH3" s="133" t="s">
        <v>633</v>
      </c>
      <c r="AI3" s="133"/>
      <c r="AJ3" s="133"/>
      <c r="AK3" s="133"/>
      <c r="AL3" s="133"/>
      <c r="AM3" s="133" t="s">
        <v>619</v>
      </c>
      <c r="AP3" s="135"/>
    </row>
    <row r="4" spans="1:42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5"/>
      <c r="L4" s="57" t="s">
        <v>696</v>
      </c>
      <c r="M4" s="57" t="s">
        <v>612</v>
      </c>
      <c r="N4" s="57" t="s">
        <v>613</v>
      </c>
      <c r="O4" s="57" t="s">
        <v>614</v>
      </c>
      <c r="P4" s="57" t="s">
        <v>615</v>
      </c>
      <c r="Q4" s="57" t="s">
        <v>616</v>
      </c>
      <c r="R4" s="57" t="s">
        <v>617</v>
      </c>
      <c r="S4" s="57" t="s">
        <v>618</v>
      </c>
      <c r="T4" s="57" t="s">
        <v>619</v>
      </c>
      <c r="U4" s="57" t="s">
        <v>621</v>
      </c>
      <c r="V4" s="57" t="s">
        <v>622</v>
      </c>
      <c r="W4" s="57" t="s">
        <v>623</v>
      </c>
      <c r="X4" s="57" t="s">
        <v>624</v>
      </c>
      <c r="Y4" s="57" t="s">
        <v>625</v>
      </c>
      <c r="Z4" s="57" t="s">
        <v>626</v>
      </c>
      <c r="AA4" s="57" t="s">
        <v>627</v>
      </c>
      <c r="AB4" s="57" t="s">
        <v>619</v>
      </c>
      <c r="AC4" s="57" t="s">
        <v>629</v>
      </c>
      <c r="AD4" s="57" t="s">
        <v>619</v>
      </c>
      <c r="AE4" s="57" t="s">
        <v>631</v>
      </c>
      <c r="AF4" s="57" t="s">
        <v>632</v>
      </c>
      <c r="AG4" s="57" t="s">
        <v>619</v>
      </c>
      <c r="AH4" s="57" t="s">
        <v>634</v>
      </c>
      <c r="AI4" s="57" t="s">
        <v>635</v>
      </c>
      <c r="AJ4" s="57" t="s">
        <v>636</v>
      </c>
      <c r="AK4" s="57" t="s">
        <v>637</v>
      </c>
      <c r="AL4" s="57" t="s">
        <v>619</v>
      </c>
      <c r="AM4" s="136"/>
      <c r="AP4" s="135"/>
    </row>
    <row r="5" spans="1:42" ht="11.25" customHeight="1" x14ac:dyDescent="0.3">
      <c r="A5" s="132" t="s">
        <v>39</v>
      </c>
      <c r="B5" s="132" t="s">
        <v>83</v>
      </c>
      <c r="C5" s="132" t="s">
        <v>25</v>
      </c>
      <c r="D5" s="132" t="s">
        <v>25</v>
      </c>
      <c r="E5" s="132" t="s">
        <v>25</v>
      </c>
      <c r="F5" s="132" t="s">
        <v>25</v>
      </c>
      <c r="G5" s="66" t="s">
        <v>85</v>
      </c>
      <c r="H5" s="66" t="s">
        <v>84</v>
      </c>
      <c r="I5" s="66">
        <f>'MERCADO TUSD'!$U$2</f>
        <v>0</v>
      </c>
      <c r="J5" s="15"/>
      <c r="L5" s="61">
        <f>'TR TUSD'!$L$5*'TR TUSD'!$L$63</f>
        <v>0</v>
      </c>
      <c r="M5" s="61">
        <f>'TR TUSD'!$M$5*'TR TUSD'!$M$63</f>
        <v>0</v>
      </c>
      <c r="N5" s="61">
        <f ca="1">'TR TUSD'!$N$5*'TR TUSD'!$N$63</f>
        <v>0</v>
      </c>
      <c r="O5" s="61">
        <f>'TR TUSD'!$O$5*'TR TUSD'!$O$63</f>
        <v>0</v>
      </c>
      <c r="P5" s="61">
        <f>'TR TUSD'!$P$5*'TR TUSD'!$P$63</f>
        <v>0</v>
      </c>
      <c r="Q5" s="61">
        <f>'TR TUSD'!$Q$5*'TR TUSD'!$Q$63</f>
        <v>0</v>
      </c>
      <c r="R5" s="61">
        <f>'TR TUSD'!$R$5*'TR TUSD'!$R$63</f>
        <v>0</v>
      </c>
      <c r="S5" s="61">
        <f>'TR TUSD'!$S$5*'TR TUSD'!$S$63</f>
        <v>0</v>
      </c>
      <c r="T5" s="61">
        <f ca="1">SUM($L$5:$S$5)</f>
        <v>0</v>
      </c>
      <c r="U5" s="61">
        <f>'TR TUSD'!$U$5*'TR TUSD'!$U$63</f>
        <v>0</v>
      </c>
      <c r="V5" s="61">
        <f>'TR TUSD'!$V$5*'TR TUSD'!$V$63</f>
        <v>0</v>
      </c>
      <c r="W5" s="61">
        <f>'TR TUSD'!$W$5*'TR TUSD'!$W$63</f>
        <v>0</v>
      </c>
      <c r="X5" s="61">
        <f>'TR TUSD'!$X$5*'TR TUSD'!$X$63</f>
        <v>0</v>
      </c>
      <c r="Y5" s="61">
        <f>'TR TUSD'!$Y$5*'TR TUSD'!$Y$63</f>
        <v>40.11657116414942</v>
      </c>
      <c r="Z5" s="61">
        <f>'TR TUSD'!$Z$5</f>
        <v>0</v>
      </c>
      <c r="AA5" s="61">
        <f>'TR TUSD'!$AA$5</f>
        <v>0</v>
      </c>
      <c r="AB5" s="61">
        <f>SUM($U$5:$AA$5)</f>
        <v>40.11657116414942</v>
      </c>
      <c r="AC5" s="61">
        <f>'TR TUSD'!$AC$5*'TR TUSD'!$AC$63</f>
        <v>46.696284888094347</v>
      </c>
      <c r="AD5" s="61">
        <f>SUM($AC$5:$AC$5)</f>
        <v>46.696284888094347</v>
      </c>
      <c r="AE5" s="61">
        <v>0</v>
      </c>
      <c r="AF5" s="61">
        <v>0</v>
      </c>
      <c r="AG5" s="61">
        <f>SUM($AE$5:$AF$5)</f>
        <v>0</v>
      </c>
      <c r="AH5" s="61">
        <f>'TR TUSD'!$AH$5*'TR TUSD'!$AH$63</f>
        <v>0</v>
      </c>
      <c r="AI5" s="61">
        <f>'TR TUSD'!$AI$5*'TR TUSD'!$AI$63</f>
        <v>0</v>
      </c>
      <c r="AJ5" s="61">
        <f ca="1">'TR TUSD'!$AJ$5*'TR TUSD'!$AJ$63</f>
        <v>0</v>
      </c>
      <c r="AK5" s="61">
        <f ca="1">'TR TUSD'!$AK$5*'TR TUSD'!$AK$63</f>
        <v>0</v>
      </c>
      <c r="AL5" s="61">
        <f ca="1">SUM($AH$5:$AK$5)</f>
        <v>0</v>
      </c>
      <c r="AM5" s="61">
        <f ca="1">SUMIF($L$4:$AL$4,"SUBTOTAL",$L$5:$AL$5)</f>
        <v>86.812856052243774</v>
      </c>
      <c r="AP5" s="61">
        <v>1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66" t="s">
        <v>86</v>
      </c>
      <c r="H6" s="66" t="s">
        <v>84</v>
      </c>
      <c r="I6" s="66">
        <f>'MERCADO TUSD'!$U$3</f>
        <v>0</v>
      </c>
      <c r="J6" s="15"/>
      <c r="L6" s="61">
        <f>'TR TUSD'!$L$6*'TR TUSD'!$L$63</f>
        <v>0</v>
      </c>
      <c r="M6" s="61">
        <f>'TR TUSD'!$M$6*'TR TUSD'!$M$63</f>
        <v>0</v>
      </c>
      <c r="N6" s="61">
        <f ca="1">'TR TUSD'!$N$6*'TR TUSD'!$N$63</f>
        <v>0</v>
      </c>
      <c r="O6" s="61">
        <f>'TR TUSD'!$O$6*'TR TUSD'!$O$63</f>
        <v>0</v>
      </c>
      <c r="P6" s="61">
        <f>'TR TUSD'!$P$6*'TR TUSD'!$P$63</f>
        <v>0</v>
      </c>
      <c r="Q6" s="61">
        <f>'TR TUSD'!$Q$6*'TR TUSD'!$Q$63</f>
        <v>0</v>
      </c>
      <c r="R6" s="61">
        <f>'TR TUSD'!$R$6*'TR TUSD'!$R$63</f>
        <v>0</v>
      </c>
      <c r="S6" s="61">
        <f>'TR TUSD'!$S$6*'TR TUSD'!$S$63</f>
        <v>0</v>
      </c>
      <c r="T6" s="61">
        <f ca="1">SUM($L$6:$S$6)</f>
        <v>0</v>
      </c>
      <c r="U6" s="61">
        <f>'TR TUSD'!$U$6*'TR TUSD'!$U$63</f>
        <v>0</v>
      </c>
      <c r="V6" s="61">
        <f>'TR TUSD'!$V$6*'TR TUSD'!$V$63</f>
        <v>0</v>
      </c>
      <c r="W6" s="61">
        <f>'TR TUSD'!$W$6*'TR TUSD'!$W$63</f>
        <v>0</v>
      </c>
      <c r="X6" s="61">
        <f>'TR TUSD'!$X$6*'TR TUSD'!$X$63</f>
        <v>0</v>
      </c>
      <c r="Y6" s="61">
        <f>'TR TUSD'!$Y$6*'TR TUSD'!$Y$63</f>
        <v>23.333883682947334</v>
      </c>
      <c r="Z6" s="61">
        <f>'TR TUSD'!$Z$6</f>
        <v>0</v>
      </c>
      <c r="AA6" s="61">
        <f>'TR TUSD'!$AA$6</f>
        <v>0</v>
      </c>
      <c r="AB6" s="61">
        <f>SUM($U$6:$AA$6)</f>
        <v>23.333883682947334</v>
      </c>
      <c r="AC6" s="61">
        <f>'TR TUSD'!$AC$6*'TR TUSD'!$AC$63</f>
        <v>23.348196703314262</v>
      </c>
      <c r="AD6" s="61">
        <f>SUM($AC$6:$AC$6)</f>
        <v>23.348196703314262</v>
      </c>
      <c r="AE6" s="61">
        <v>0</v>
      </c>
      <c r="AF6" s="61">
        <v>0</v>
      </c>
      <c r="AG6" s="61">
        <f>SUM($AE$6:$AF$6)</f>
        <v>0</v>
      </c>
      <c r="AH6" s="61">
        <f>'TR TUSD'!$AH$6*'TR TUSD'!$AH$63</f>
        <v>0</v>
      </c>
      <c r="AI6" s="61">
        <f>'TR TUSD'!$AI$6*'TR TUSD'!$AI$63</f>
        <v>0</v>
      </c>
      <c r="AJ6" s="61">
        <f ca="1">'TR TUSD'!$AJ$6*'TR TUSD'!$AJ$63</f>
        <v>0</v>
      </c>
      <c r="AK6" s="61">
        <f ca="1">'TR TUSD'!$AK$6*'TR TUSD'!$AK$63</f>
        <v>0</v>
      </c>
      <c r="AL6" s="61">
        <f ca="1">SUM($AH$6:$AK$6)</f>
        <v>0</v>
      </c>
      <c r="AM6" s="61">
        <f ca="1">SUMIF($L$4:$AL$4,"SUBTOTAL",$L$6:$AL$6)</f>
        <v>46.682080386261596</v>
      </c>
      <c r="AP6" s="61">
        <v>1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66" t="s">
        <v>81</v>
      </c>
      <c r="H7" s="66" t="s">
        <v>76</v>
      </c>
      <c r="I7" s="66">
        <f>'MERCADO TUSD'!$U$4</f>
        <v>0</v>
      </c>
      <c r="J7" s="15"/>
      <c r="L7" s="61">
        <f>'TR TUSD'!$L$7*'TR TUSD'!$L$63</f>
        <v>2.8483302753937796</v>
      </c>
      <c r="M7" s="61">
        <f>'TR TUSD'!$M$7*'TR TUSD'!$M$63</f>
        <v>0.94464157591227127</v>
      </c>
      <c r="N7" s="61">
        <f ca="1">'TR TUSD'!$N$7*'TR TUSD'!$N$63</f>
        <v>0.37114759905983435</v>
      </c>
      <c r="O7" s="61">
        <f>'TR TUSD'!$O$7*'TR TUSD'!$O$63</f>
        <v>0</v>
      </c>
      <c r="P7" s="61">
        <f>'TR TUSD'!$P$7*'TR TUSD'!$P$63</f>
        <v>0</v>
      </c>
      <c r="Q7" s="61">
        <f>'TR TUSD'!$Q$7*'TR TUSD'!$Q$63</f>
        <v>75.29127871355621</v>
      </c>
      <c r="R7" s="61">
        <f>'TR TUSD'!$R$7*'TR TUSD'!$R$63</f>
        <v>14.187282996785822</v>
      </c>
      <c r="S7" s="61">
        <f>'TR TUSD'!$S$7*'TR TUSD'!$S$63</f>
        <v>0</v>
      </c>
      <c r="T7" s="61">
        <f ca="1">SUM($L$7:$S$7)</f>
        <v>93.642681160707923</v>
      </c>
      <c r="U7" s="61">
        <f>'TR TUSD'!$U$7*'TR TUSD'!$U$63</f>
        <v>0</v>
      </c>
      <c r="V7" s="61">
        <f>'TR TUSD'!$V$7*'TR TUSD'!$V$63</f>
        <v>0</v>
      </c>
      <c r="W7" s="61">
        <f>'TR TUSD'!$W$7*'TR TUSD'!$W$63</f>
        <v>0</v>
      </c>
      <c r="X7" s="61">
        <f>'TR TUSD'!$X$7*'TR TUSD'!$X$63</f>
        <v>0</v>
      </c>
      <c r="Y7" s="61">
        <f>'TR TUSD'!$Y$7*'TR TUSD'!$Y$63</f>
        <v>0</v>
      </c>
      <c r="Z7" s="61">
        <f>'TR TUSD'!$Z$7</f>
        <v>0</v>
      </c>
      <c r="AA7" s="61">
        <f>'TR TUSD'!$AA$7</f>
        <v>0</v>
      </c>
      <c r="AB7" s="61">
        <f>SUM($U$7:$AA$7)</f>
        <v>0</v>
      </c>
      <c r="AC7" s="61">
        <f>'TR TUSD'!$AC$7*'TR TUSD'!$AC$63</f>
        <v>0</v>
      </c>
      <c r="AD7" s="61">
        <f>SUM($AC$7:$AC$7)</f>
        <v>0</v>
      </c>
      <c r="AE7" s="61">
        <v>0</v>
      </c>
      <c r="AF7" s="61">
        <v>0</v>
      </c>
      <c r="AG7" s="61">
        <f>SUM($AE$7:$AF$7)</f>
        <v>0</v>
      </c>
      <c r="AH7" s="61">
        <f>'TR TUSD'!$AH$7*'TR TUSD'!$AH$63</f>
        <v>11.537030391601849</v>
      </c>
      <c r="AI7" s="61">
        <f>'TR TUSD'!$AI$7*'TR TUSD'!$AI$63</f>
        <v>0.11799169347642398</v>
      </c>
      <c r="AJ7" s="61">
        <f ca="1">'TR TUSD'!$AJ$7*'TR TUSD'!$AJ$63</f>
        <v>0.86018788470121665</v>
      </c>
      <c r="AK7" s="61">
        <f ca="1">'TR TUSD'!$AK$7*'TR TUSD'!$AK$63</f>
        <v>0.29705719837498867</v>
      </c>
      <c r="AL7" s="61">
        <f ca="1">SUM($AH$7:$AK$7)</f>
        <v>12.812267168154479</v>
      </c>
      <c r="AM7" s="61">
        <f ca="1">SUMIF($L$4:$AL$4,"SUBTOTAL",$L$7:$AL$7)</f>
        <v>106.4549483288624</v>
      </c>
      <c r="AP7" s="61">
        <v>1</v>
      </c>
    </row>
    <row r="8" spans="1:42" ht="11.25" customHeight="1" x14ac:dyDescent="0.3">
      <c r="A8" s="132"/>
      <c r="B8" s="132"/>
      <c r="C8" s="132"/>
      <c r="D8" s="132"/>
      <c r="E8" s="65" t="s">
        <v>87</v>
      </c>
      <c r="F8" s="65" t="s">
        <v>25</v>
      </c>
      <c r="G8" s="66" t="s">
        <v>81</v>
      </c>
      <c r="H8" s="66" t="s">
        <v>76</v>
      </c>
      <c r="I8" s="66">
        <f>'MERCADO TUSD'!$U$5</f>
        <v>0</v>
      </c>
      <c r="J8" s="15"/>
      <c r="L8" s="61">
        <f>'TR TUSD'!$L$8*'TR TUSD'!$L$63</f>
        <v>0</v>
      </c>
      <c r="M8" s="61">
        <f>'TR TUSD'!$M$8*'TR TUSD'!$M$63</f>
        <v>0.94464157591227127</v>
      </c>
      <c r="N8" s="61">
        <f ca="1">'TR TUSD'!$N$8*'TR TUSD'!$N$63</f>
        <v>0.36114378877843012</v>
      </c>
      <c r="O8" s="61">
        <f>'TR TUSD'!$O$8*'TR TUSD'!$O$63</f>
        <v>0</v>
      </c>
      <c r="P8" s="61">
        <f>'TR TUSD'!$P$8*'TR TUSD'!$P$63</f>
        <v>0</v>
      </c>
      <c r="Q8" s="61">
        <f>'TR TUSD'!$Q$8*'TR TUSD'!$Q$63</f>
        <v>0</v>
      </c>
      <c r="R8" s="61">
        <f>'TR TUSD'!$R$8*'TR TUSD'!$R$63</f>
        <v>0</v>
      </c>
      <c r="S8" s="61">
        <f>'TR TUSD'!$S$8*'TR TUSD'!$S$63</f>
        <v>0</v>
      </c>
      <c r="T8" s="61">
        <f ca="1">SUM($L$8:$S$8)</f>
        <v>1.3057853646907014</v>
      </c>
      <c r="U8" s="61">
        <f>'TR TUSD'!$U$8*'TR TUSD'!$U$63</f>
        <v>0</v>
      </c>
      <c r="V8" s="61">
        <f>'TR TUSD'!$V$8*'TR TUSD'!$V$63</f>
        <v>0</v>
      </c>
      <c r="W8" s="61">
        <f>'TR TUSD'!$W$8*'TR TUSD'!$W$63</f>
        <v>0</v>
      </c>
      <c r="X8" s="61">
        <f>'TR TUSD'!$X$8*'TR TUSD'!$X$63</f>
        <v>0</v>
      </c>
      <c r="Y8" s="61">
        <f>'TR TUSD'!$Y$8*'TR TUSD'!$Y$63</f>
        <v>0</v>
      </c>
      <c r="Z8" s="61">
        <f>'TR TUSD'!$Z$8</f>
        <v>0</v>
      </c>
      <c r="AA8" s="61">
        <f>'TR TUSD'!$AA$8</f>
        <v>0</v>
      </c>
      <c r="AB8" s="61">
        <f>SUM($U$8:$AA$8)</f>
        <v>0</v>
      </c>
      <c r="AC8" s="61">
        <f>'TR TUSD'!$AC$8*'TR TUSD'!$AC$63</f>
        <v>0</v>
      </c>
      <c r="AD8" s="61">
        <f>SUM($AC$8:$AC$8)</f>
        <v>0</v>
      </c>
      <c r="AE8" s="61">
        <v>0</v>
      </c>
      <c r="AF8" s="61">
        <v>0</v>
      </c>
      <c r="AG8" s="61">
        <f>SUM($AE$8:$AF$8)</f>
        <v>0</v>
      </c>
      <c r="AH8" s="61">
        <f>'TR TUSD'!$AH$8*'TR TUSD'!$AH$63</f>
        <v>11.537030391601849</v>
      </c>
      <c r="AI8" s="61">
        <f>'TR TUSD'!$AI$8*'TR TUSD'!$AI$63</f>
        <v>0.11799169347642398</v>
      </c>
      <c r="AJ8" s="61">
        <f ca="1">'TR TUSD'!$AJ$8*'TR TUSD'!$AJ$63</f>
        <v>0.86018788470121665</v>
      </c>
      <c r="AK8" s="61">
        <f ca="1">'TR TUSD'!$AK$8*'TR TUSD'!$AK$63</f>
        <v>0.29705719837498867</v>
      </c>
      <c r="AL8" s="61">
        <f ca="1">SUM($AH$8:$AK$8)</f>
        <v>12.812267168154479</v>
      </c>
      <c r="AM8" s="61">
        <f ca="1">SUMIF($L$4:$AL$4,"SUBTOTAL",$L$8:$AL$8)</f>
        <v>14.11805253284518</v>
      </c>
      <c r="AP8" s="61">
        <v>1</v>
      </c>
    </row>
    <row r="9" spans="1:42" ht="11.25" customHeight="1" x14ac:dyDescent="0.3">
      <c r="A9" s="132"/>
      <c r="B9" s="132" t="s">
        <v>56</v>
      </c>
      <c r="C9" s="132" t="s">
        <v>25</v>
      </c>
      <c r="D9" s="132" t="s">
        <v>25</v>
      </c>
      <c r="E9" s="132" t="s">
        <v>25</v>
      </c>
      <c r="F9" s="132" t="s">
        <v>58</v>
      </c>
      <c r="G9" s="66" t="s">
        <v>85</v>
      </c>
      <c r="H9" s="66" t="s">
        <v>84</v>
      </c>
      <c r="I9" s="66">
        <f>'MERCADO TUSD'!$U$6</f>
        <v>16540</v>
      </c>
      <c r="J9" s="15"/>
      <c r="L9" s="61">
        <f>'TR TUSD'!$L$9*'TR TUSD'!$L$63</f>
        <v>0</v>
      </c>
      <c r="M9" s="61">
        <f>'TR TUSD'!$M$9*'TR TUSD'!$M$63</f>
        <v>0</v>
      </c>
      <c r="N9" s="61">
        <f ca="1">'TR TUSD'!$N$9*'TR TUSD'!$N$63</f>
        <v>0</v>
      </c>
      <c r="O9" s="61">
        <f>'TR TUSD'!$O$9*'TR TUSD'!$O$63</f>
        <v>0</v>
      </c>
      <c r="P9" s="61">
        <f>'TR TUSD'!$P$9*'TR TUSD'!$P$63</f>
        <v>0</v>
      </c>
      <c r="Q9" s="61">
        <f>'TR TUSD'!$Q$9*'TR TUSD'!$Q$63</f>
        <v>0</v>
      </c>
      <c r="R9" s="61">
        <f>'TR TUSD'!$R$9*'TR TUSD'!$R$63</f>
        <v>0</v>
      </c>
      <c r="S9" s="61">
        <f>'TR TUSD'!$S$9*'TR TUSD'!$S$63</f>
        <v>0</v>
      </c>
      <c r="T9" s="61">
        <f ca="1">SUM($L$9:$S$9)</f>
        <v>0</v>
      </c>
      <c r="U9" s="61">
        <f>'TR TUSD'!$U$9*'TR TUSD'!$U$63</f>
        <v>0</v>
      </c>
      <c r="V9" s="61">
        <f>'TR TUSD'!$V$9*'TR TUSD'!$V$63</f>
        <v>0</v>
      </c>
      <c r="W9" s="61">
        <f>'TR TUSD'!$W$9*'TR TUSD'!$W$63</f>
        <v>0</v>
      </c>
      <c r="X9" s="61">
        <f>'TR TUSD'!$X$9*'TR TUSD'!$X$63</f>
        <v>0</v>
      </c>
      <c r="Y9" s="61">
        <f>'TR TUSD'!$Y$9*'TR TUSD'!$Y$63</f>
        <v>40.11657116414942</v>
      </c>
      <c r="Z9" s="61">
        <f>'TR TUSD'!$Z$9</f>
        <v>0</v>
      </c>
      <c r="AA9" s="61">
        <f>'TR TUSD'!$AA$9</f>
        <v>0</v>
      </c>
      <c r="AB9" s="61">
        <f>SUM($U$9:$AA$9)</f>
        <v>40.11657116414942</v>
      </c>
      <c r="AC9" s="61">
        <f>'TR TUSD'!$AC$9*'TR TUSD'!$AC$63</f>
        <v>8.2480597090089134</v>
      </c>
      <c r="AD9" s="61">
        <f>SUM($AC$9:$AC$9)</f>
        <v>8.2480597090089134</v>
      </c>
      <c r="AE9" s="61">
        <v>0</v>
      </c>
      <c r="AF9" s="61">
        <v>0</v>
      </c>
      <c r="AG9" s="61">
        <f>SUM($AE$9:$AF$9)</f>
        <v>0</v>
      </c>
      <c r="AH9" s="61">
        <f>'TR TUSD'!$AH$9*'TR TUSD'!$AH$63</f>
        <v>0</v>
      </c>
      <c r="AI9" s="61">
        <f>'TR TUSD'!$AI$9*'TR TUSD'!$AI$63</f>
        <v>0</v>
      </c>
      <c r="AJ9" s="61">
        <f ca="1">'TR TUSD'!$AJ$9*'TR TUSD'!$AJ$63</f>
        <v>0</v>
      </c>
      <c r="AK9" s="61">
        <f ca="1">'TR TUSD'!$AK$9*'TR TUSD'!$AK$63</f>
        <v>0</v>
      </c>
      <c r="AL9" s="61">
        <f ca="1">SUM($AH$9:$AK$9)</f>
        <v>0</v>
      </c>
      <c r="AM9" s="61">
        <f ca="1">SUMIF($L$4:$AL$4,"SUBTOTAL",$L$9:$AL$9)</f>
        <v>48.364630873158333</v>
      </c>
      <c r="AP9" s="61">
        <v>1</v>
      </c>
    </row>
    <row r="10" spans="1:42" ht="11.25" customHeight="1" x14ac:dyDescent="0.3">
      <c r="A10" s="132"/>
      <c r="B10" s="132"/>
      <c r="C10" s="132"/>
      <c r="D10" s="132"/>
      <c r="E10" s="132"/>
      <c r="F10" s="132"/>
      <c r="G10" s="66" t="s">
        <v>86</v>
      </c>
      <c r="H10" s="66" t="s">
        <v>84</v>
      </c>
      <c r="I10" s="66">
        <f>'MERCADO TUSD'!$U$7</f>
        <v>16454</v>
      </c>
      <c r="J10" s="15"/>
      <c r="L10" s="61">
        <f>'TR TUSD'!$L$10*'TR TUSD'!$L$63</f>
        <v>0</v>
      </c>
      <c r="M10" s="61">
        <f>'TR TUSD'!$M$10*'TR TUSD'!$M$63</f>
        <v>0</v>
      </c>
      <c r="N10" s="61">
        <f ca="1">'TR TUSD'!$N$10*'TR TUSD'!$N$63</f>
        <v>0</v>
      </c>
      <c r="O10" s="61">
        <f>'TR TUSD'!$O$10*'TR TUSD'!$O$63</f>
        <v>0</v>
      </c>
      <c r="P10" s="61">
        <f>'TR TUSD'!$P$10*'TR TUSD'!$P$63</f>
        <v>0</v>
      </c>
      <c r="Q10" s="61">
        <f>'TR TUSD'!$Q$10*'TR TUSD'!$Q$63</f>
        <v>0</v>
      </c>
      <c r="R10" s="61">
        <f>'TR TUSD'!$R$10*'TR TUSD'!$R$63</f>
        <v>0</v>
      </c>
      <c r="S10" s="61">
        <f>'TR TUSD'!$S$10*'TR TUSD'!$S$63</f>
        <v>0</v>
      </c>
      <c r="T10" s="61">
        <f ca="1">SUM($L$10:$S$10)</f>
        <v>0</v>
      </c>
      <c r="U10" s="61">
        <f>'TR TUSD'!$U$10*'TR TUSD'!$U$63</f>
        <v>0</v>
      </c>
      <c r="V10" s="61">
        <f>'TR TUSD'!$V$10*'TR TUSD'!$V$63</f>
        <v>0</v>
      </c>
      <c r="W10" s="61">
        <f>'TR TUSD'!$W$10*'TR TUSD'!$W$63</f>
        <v>0</v>
      </c>
      <c r="X10" s="61">
        <f>'TR TUSD'!$X$10*'TR TUSD'!$X$63</f>
        <v>0</v>
      </c>
      <c r="Y10" s="61">
        <f>'TR TUSD'!$Y$10*'TR TUSD'!$Y$63</f>
        <v>23.333883682947334</v>
      </c>
      <c r="Z10" s="61">
        <f>'TR TUSD'!$Z$10</f>
        <v>0</v>
      </c>
      <c r="AA10" s="61">
        <f>'TR TUSD'!$AA$10</f>
        <v>0</v>
      </c>
      <c r="AB10" s="61">
        <f>SUM($U$10:$AA$10)</f>
        <v>23.333883682947334</v>
      </c>
      <c r="AC10" s="61">
        <f>'TR TUSD'!$AC$10*'TR TUSD'!$AC$63</f>
        <v>4.1240298545044567</v>
      </c>
      <c r="AD10" s="61">
        <f>SUM($AC$10:$AC$10)</f>
        <v>4.1240298545044567</v>
      </c>
      <c r="AE10" s="61">
        <v>0</v>
      </c>
      <c r="AF10" s="61">
        <v>0</v>
      </c>
      <c r="AG10" s="61">
        <f>SUM($AE$10:$AF$10)</f>
        <v>0</v>
      </c>
      <c r="AH10" s="61">
        <f>'TR TUSD'!$AH$10*'TR TUSD'!$AH$63</f>
        <v>0</v>
      </c>
      <c r="AI10" s="61">
        <f>'TR TUSD'!$AI$10*'TR TUSD'!$AI$63</f>
        <v>0</v>
      </c>
      <c r="AJ10" s="61">
        <f ca="1">'TR TUSD'!$AJ$10*'TR TUSD'!$AJ$63</f>
        <v>0</v>
      </c>
      <c r="AK10" s="61">
        <f ca="1">'TR TUSD'!$AK$10*'TR TUSD'!$AK$63</f>
        <v>0</v>
      </c>
      <c r="AL10" s="61">
        <f ca="1">SUM($AH$10:$AK$10)</f>
        <v>0</v>
      </c>
      <c r="AM10" s="61">
        <f ca="1">SUMIF($L$4:$AL$4,"SUBTOTAL",$L$10:$AL$10)</f>
        <v>27.457913537451791</v>
      </c>
      <c r="AP10" s="61">
        <v>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66" t="s">
        <v>81</v>
      </c>
      <c r="H11" s="66" t="s">
        <v>76</v>
      </c>
      <c r="I11" s="66">
        <f>'MERCADO TUSD'!$U$8</f>
        <v>5489.0889999999999</v>
      </c>
      <c r="J11" s="15"/>
      <c r="L11" s="61">
        <f>'TR TUSD'!$L$11*'TR TUSD'!$L$63</f>
        <v>0</v>
      </c>
      <c r="M11" s="61">
        <f>'TR TUSD'!$M$11*'TR TUSD'!$M$63</f>
        <v>0</v>
      </c>
      <c r="N11" s="61">
        <f ca="1">'TR TUSD'!$N$11*'TR TUSD'!$N$63</f>
        <v>0</v>
      </c>
      <c r="O11" s="61">
        <f>'TR TUSD'!$O$11*'TR TUSD'!$O$63</f>
        <v>0</v>
      </c>
      <c r="P11" s="61">
        <f>'TR TUSD'!$P$11*'TR TUSD'!$P$63</f>
        <v>0</v>
      </c>
      <c r="Q11" s="61">
        <f>'TR TUSD'!$Q$11*'TR TUSD'!$Q$63</f>
        <v>0</v>
      </c>
      <c r="R11" s="61">
        <f>'TR TUSD'!$R$11*'TR TUSD'!$R$63</f>
        <v>0</v>
      </c>
      <c r="S11" s="61">
        <f>'TR TUSD'!$S$11*'TR TUSD'!$S$63</f>
        <v>0</v>
      </c>
      <c r="T11" s="61">
        <f ca="1">SUM($L$11:$S$11)</f>
        <v>0</v>
      </c>
      <c r="U11" s="61">
        <f>'TR TUSD'!$U$11*'TR TUSD'!$U$63</f>
        <v>0</v>
      </c>
      <c r="V11" s="61">
        <f>'TR TUSD'!$V$11*'TR TUSD'!$V$63</f>
        <v>0</v>
      </c>
      <c r="W11" s="61">
        <f>'TR TUSD'!$W$11*'TR TUSD'!$W$63</f>
        <v>0</v>
      </c>
      <c r="X11" s="61">
        <f>'TR TUSD'!$X$11*'TR TUSD'!$X$63</f>
        <v>0</v>
      </c>
      <c r="Y11" s="61">
        <f>'TR TUSD'!$Y$11*'TR TUSD'!$Y$63</f>
        <v>0</v>
      </c>
      <c r="Z11" s="61">
        <f>'TR TUSD'!$Z$11</f>
        <v>0</v>
      </c>
      <c r="AA11" s="61">
        <f>'TR TUSD'!$AA$11</f>
        <v>0</v>
      </c>
      <c r="AB11" s="61">
        <f>SUM($U$11:$AA$11)</f>
        <v>0</v>
      </c>
      <c r="AC11" s="61">
        <f>'TR TUSD'!$AC$11*'TR TUSD'!$AC$63</f>
        <v>0</v>
      </c>
      <c r="AD11" s="61">
        <f>SUM($AC$11:$AC$11)</f>
        <v>0</v>
      </c>
      <c r="AE11" s="61">
        <v>0</v>
      </c>
      <c r="AF11" s="61">
        <v>0</v>
      </c>
      <c r="AG11" s="61">
        <f>SUM($AE$11:$AF$11)</f>
        <v>0</v>
      </c>
      <c r="AH11" s="61">
        <f>'TR TUSD'!$AH$11*'TR TUSD'!$AH$63</f>
        <v>11.537030391601849</v>
      </c>
      <c r="AI11" s="61">
        <f>'TR TUSD'!$AI$11*'TR TUSD'!$AI$63</f>
        <v>0.11799169347642398</v>
      </c>
      <c r="AJ11" s="61">
        <f ca="1">'TR TUSD'!$AJ$11*'TR TUSD'!$AJ$63</f>
        <v>0</v>
      </c>
      <c r="AK11" s="61">
        <f ca="1">'TR TUSD'!$AK$11*'TR TUSD'!$AK$63</f>
        <v>0</v>
      </c>
      <c r="AL11" s="61">
        <f ca="1">SUM($AH$11:$AK$11)</f>
        <v>11.655022085078274</v>
      </c>
      <c r="AM11" s="61">
        <f ca="1">SUMIF($L$4:$AL$4,"SUBTOTAL",$L$11:$AL$11)</f>
        <v>11.655022085078274</v>
      </c>
      <c r="AP11" s="61">
        <v>1</v>
      </c>
    </row>
    <row r="12" spans="1:42" ht="11.25" customHeight="1" x14ac:dyDescent="0.3">
      <c r="A12" s="132"/>
      <c r="B12" s="65" t="s">
        <v>88</v>
      </c>
      <c r="C12" s="65" t="s">
        <v>25</v>
      </c>
      <c r="D12" s="65" t="s">
        <v>25</v>
      </c>
      <c r="E12" s="65" t="s">
        <v>25</v>
      </c>
      <c r="F12" s="65" t="s">
        <v>25</v>
      </c>
      <c r="G12" s="66" t="s">
        <v>9</v>
      </c>
      <c r="H12" s="66" t="s">
        <v>84</v>
      </c>
      <c r="I12" s="66">
        <f>'MERCADO TUSD'!$U$9</f>
        <v>0</v>
      </c>
      <c r="J12" s="15"/>
      <c r="L12" s="61">
        <f>'TR TUSD'!$L$12*'TR TUSD'!$L$63</f>
        <v>0</v>
      </c>
      <c r="M12" s="61">
        <f>'TR TUSD'!$M$12*'TR TUSD'!$M$63</f>
        <v>7.9939031141002592E-2</v>
      </c>
      <c r="N12" s="61">
        <f ca="1">'TR TUSD'!$N$12*'TR TUSD'!$N$63</f>
        <v>0.19567452910426661</v>
      </c>
      <c r="O12" s="61">
        <f>'TR TUSD'!$O$12*'TR TUSD'!$O$63</f>
        <v>0</v>
      </c>
      <c r="P12" s="61">
        <f>'TR TUSD'!$P$12*'TR TUSD'!$P$63</f>
        <v>0</v>
      </c>
      <c r="Q12" s="61">
        <f>'TR TUSD'!$Q$12*'TR TUSD'!$Q$63</f>
        <v>0</v>
      </c>
      <c r="R12" s="61">
        <f>'TR TUSD'!$R$12*'TR TUSD'!$R$63</f>
        <v>0</v>
      </c>
      <c r="S12" s="61">
        <f>'TR TUSD'!$S$12*'TR TUSD'!$S$63</f>
        <v>0</v>
      </c>
      <c r="T12" s="61">
        <f ca="1">SUM($L$12:$S$12)</f>
        <v>0.27561356024526917</v>
      </c>
      <c r="U12" s="61">
        <f>'TR TUSD'!$U$12*'TR TUSD'!$U$63</f>
        <v>0</v>
      </c>
      <c r="V12" s="61">
        <f>'TR TUSD'!$V$12*'TR TUSD'!$V$63</f>
        <v>0</v>
      </c>
      <c r="W12" s="61">
        <f>'TR TUSD'!$W$12*'TR TUSD'!$W$63</f>
        <v>0</v>
      </c>
      <c r="X12" s="61">
        <f>'TR TUSD'!$X$12*'TR TUSD'!$X$63</f>
        <v>0</v>
      </c>
      <c r="Y12" s="61">
        <f>'TR TUSD'!$Y$12*'TR TUSD'!$Y$63</f>
        <v>0</v>
      </c>
      <c r="Z12" s="61">
        <f>'TR TUSD'!$Z$12*'TR TUSD'!$Z$63</f>
        <v>0</v>
      </c>
      <c r="AA12" s="61">
        <f>'TR TUSD'!$AA$12*'TR TUSD'!$AA$63</f>
        <v>0</v>
      </c>
      <c r="AB12" s="61">
        <f>SUM($U$12:$AA$12)</f>
        <v>0</v>
      </c>
      <c r="AC12" s="61">
        <f>'TR TUSD'!$AC$12*'TR TUSD'!$AC$63</f>
        <v>21.146464163303186</v>
      </c>
      <c r="AD12" s="61">
        <f>SUM($AC$12:$AC$12)</f>
        <v>21.146464163303186</v>
      </c>
      <c r="AE12" s="61">
        <v>0</v>
      </c>
      <c r="AF12" s="61">
        <v>0</v>
      </c>
      <c r="AG12" s="61">
        <f>SUM($AE$12:$AF$12)</f>
        <v>0</v>
      </c>
      <c r="AH12" s="61">
        <f>'TR TUSD'!$AH$12*'TR TUSD'!$AH$63</f>
        <v>0</v>
      </c>
      <c r="AI12" s="61">
        <f>'TR TUSD'!$AI$12*'TR TUSD'!$AI$63</f>
        <v>0</v>
      </c>
      <c r="AJ12" s="61">
        <f ca="1">'TR TUSD'!$AJ$12*'TR TUSD'!$AJ$63</f>
        <v>0</v>
      </c>
      <c r="AK12" s="61">
        <f ca="1">'TR TUSD'!$AK$12*'TR TUSD'!$AK$63</f>
        <v>0</v>
      </c>
      <c r="AL12" s="61">
        <f ca="1">SUM($AH$12:$AK$12)</f>
        <v>0</v>
      </c>
      <c r="AM12" s="61">
        <f ca="1">SUMIF($L$4:$AL$4,"SUBTOTAL",$L$12:$AL$12)</f>
        <v>21.422077723548455</v>
      </c>
      <c r="AP12" s="61"/>
    </row>
    <row r="13" spans="1:42" ht="11.25" customHeight="1" x14ac:dyDescent="0.3">
      <c r="A13" s="132"/>
      <c r="B13" s="132" t="s">
        <v>40</v>
      </c>
      <c r="C13" s="132" t="s">
        <v>25</v>
      </c>
      <c r="D13" s="132" t="s">
        <v>25</v>
      </c>
      <c r="E13" s="132" t="s">
        <v>25</v>
      </c>
      <c r="F13" s="132" t="s">
        <v>25</v>
      </c>
      <c r="G13" s="66" t="s">
        <v>9</v>
      </c>
      <c r="H13" s="66" t="s">
        <v>84</v>
      </c>
      <c r="I13" s="66">
        <f>'MERCADO TUSD'!$U$10</f>
        <v>119147</v>
      </c>
      <c r="J13" s="15"/>
      <c r="L13" s="61">
        <f>'TR TUSD'!$L$13*'TR TUSD'!$L$63</f>
        <v>0</v>
      </c>
      <c r="M13" s="61">
        <f>'TR TUSD'!$M$13*'TR TUSD'!$M$63</f>
        <v>0</v>
      </c>
      <c r="N13" s="61">
        <f ca="1">'TR TUSD'!$N$13*'TR TUSD'!$N$63</f>
        <v>0</v>
      </c>
      <c r="O13" s="61">
        <f>'TR TUSD'!$O$13*'TR TUSD'!$O$63</f>
        <v>0</v>
      </c>
      <c r="P13" s="61">
        <f>'TR TUSD'!$P$13*'TR TUSD'!$P$63</f>
        <v>0</v>
      </c>
      <c r="Q13" s="61">
        <f>'TR TUSD'!$Q$13*'TR TUSD'!$Q$63</f>
        <v>0</v>
      </c>
      <c r="R13" s="61">
        <f>'TR TUSD'!$R$13*'TR TUSD'!$R$63</f>
        <v>0</v>
      </c>
      <c r="S13" s="61">
        <f>'TR TUSD'!$S$13*'TR TUSD'!$S$63</f>
        <v>0</v>
      </c>
      <c r="T13" s="61">
        <f ca="1">SUM($L$13:$S$13)</f>
        <v>0</v>
      </c>
      <c r="U13" s="61">
        <f>'TR TUSD'!$U$13*'TR TUSD'!$U$63</f>
        <v>0</v>
      </c>
      <c r="V13" s="61">
        <f>'TR TUSD'!$V$13*'TR TUSD'!$V$63</f>
        <v>0</v>
      </c>
      <c r="W13" s="61">
        <f>'TR TUSD'!$W$13*'TR TUSD'!$W$63</f>
        <v>0</v>
      </c>
      <c r="X13" s="61">
        <f>'TR TUSD'!$X$13*'TR TUSD'!$X$63</f>
        <v>0</v>
      </c>
      <c r="Y13" s="61">
        <f>'TR TUSD'!$Y$13*'TR TUSD'!$Y$63</f>
        <v>23.333883682947334</v>
      </c>
      <c r="Z13" s="61">
        <f>'TR TUSD'!$Z$13</f>
        <v>0</v>
      </c>
      <c r="AA13" s="61">
        <f>'TR TUSD'!$AA$13</f>
        <v>0</v>
      </c>
      <c r="AB13" s="61">
        <f>SUM($U$13:$AA$13)</f>
        <v>23.333883682947334</v>
      </c>
      <c r="AC13" s="61">
        <f>'TR TUSD'!$AC$13*'TR TUSD'!$AC$63</f>
        <v>23.348196703314262</v>
      </c>
      <c r="AD13" s="61">
        <f>SUM($AC$13:$AC$13)</f>
        <v>23.348196703314262</v>
      </c>
      <c r="AE13" s="61">
        <v>0</v>
      </c>
      <c r="AF13" s="61">
        <v>0</v>
      </c>
      <c r="AG13" s="61">
        <f>SUM($AE$13:$AF$13)</f>
        <v>0</v>
      </c>
      <c r="AH13" s="61">
        <f>'TR TUSD'!$AH$13*'TR TUSD'!$AH$63</f>
        <v>0</v>
      </c>
      <c r="AI13" s="61">
        <f>'TR TUSD'!$AI$13*'TR TUSD'!$AI$63</f>
        <v>0</v>
      </c>
      <c r="AJ13" s="61">
        <f ca="1">'TR TUSD'!$AJ$13*'TR TUSD'!$AJ$63</f>
        <v>0</v>
      </c>
      <c r="AK13" s="61">
        <f ca="1">'TR TUSD'!$AK$13*'TR TUSD'!$AK$63</f>
        <v>0</v>
      </c>
      <c r="AL13" s="61">
        <f ca="1">SUM($AH$13:$AK$13)</f>
        <v>0</v>
      </c>
      <c r="AM13" s="61">
        <f ca="1">SUMIF($L$4:$AL$4,"SUBTOTAL",$L$13:$AL$13)</f>
        <v>46.682080386261596</v>
      </c>
      <c r="AP13" s="61">
        <v>1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66" t="s">
        <v>77</v>
      </c>
      <c r="H14" s="66" t="s">
        <v>76</v>
      </c>
      <c r="I14" s="66">
        <f>'MERCADO TUSD'!$U$11</f>
        <v>964.50799999999992</v>
      </c>
      <c r="J14" s="15"/>
      <c r="L14" s="61">
        <f>'TR TUSD'!$L$14*'TR TUSD'!$L$63</f>
        <v>2.8483302753937796</v>
      </c>
      <c r="M14" s="61">
        <f>'TR TUSD'!$M$14*'TR TUSD'!$M$63</f>
        <v>0.94464157591227127</v>
      </c>
      <c r="N14" s="61">
        <f ca="1">'TR TUSD'!$N$14*'TR TUSD'!$N$63</f>
        <v>19.557748449406244</v>
      </c>
      <c r="O14" s="61">
        <f>'TR TUSD'!$O$14*'TR TUSD'!$O$63</f>
        <v>0</v>
      </c>
      <c r="P14" s="61">
        <f>'TR TUSD'!$P$14*'TR TUSD'!$P$63</f>
        <v>0</v>
      </c>
      <c r="Q14" s="61">
        <f>'TR TUSD'!$Q$14*'TR TUSD'!$Q$63</f>
        <v>75.29127871355621</v>
      </c>
      <c r="R14" s="61">
        <f>'TR TUSD'!$R$14*'TR TUSD'!$R$63</f>
        <v>14.187282996785822</v>
      </c>
      <c r="S14" s="61">
        <f>'TR TUSD'!$S$14*'TR TUSD'!$S$63</f>
        <v>0</v>
      </c>
      <c r="T14" s="61">
        <f ca="1">SUM($L$14:$S$14)</f>
        <v>112.82928201105433</v>
      </c>
      <c r="U14" s="61">
        <f>'TR TUSD'!$U$14*'TR TUSD'!$U$63</f>
        <v>0</v>
      </c>
      <c r="V14" s="61">
        <f>'TR TUSD'!$V$14*'TR TUSD'!$V$63</f>
        <v>0</v>
      </c>
      <c r="W14" s="61">
        <f>'TR TUSD'!$W$14*'TR TUSD'!$W$63</f>
        <v>0</v>
      </c>
      <c r="X14" s="61">
        <f>'TR TUSD'!$X$14*'TR TUSD'!$X$63</f>
        <v>0</v>
      </c>
      <c r="Y14" s="61">
        <f>'TR TUSD'!$Y$14*'TR TUSD'!$Y$63</f>
        <v>964.80371131290246</v>
      </c>
      <c r="Z14" s="61">
        <f>'TR TUSD'!$Z$14</f>
        <v>0</v>
      </c>
      <c r="AA14" s="61">
        <f>'TR TUSD'!$AA$14</f>
        <v>0</v>
      </c>
      <c r="AB14" s="61">
        <f>SUM($U$14:$AA$14)</f>
        <v>964.80371131290246</v>
      </c>
      <c r="AC14" s="61">
        <f>'TR TUSD'!$AC$14*'TR TUSD'!$AC$63</f>
        <v>1123.0475669107973</v>
      </c>
      <c r="AD14" s="61">
        <f>SUM($AC$14:$AC$14)</f>
        <v>1123.0475669107973</v>
      </c>
      <c r="AE14" s="61">
        <v>0</v>
      </c>
      <c r="AF14" s="61">
        <v>0</v>
      </c>
      <c r="AG14" s="61">
        <f>SUM($AE$14:$AF$14)</f>
        <v>0</v>
      </c>
      <c r="AH14" s="61">
        <f>'TR TUSD'!$AH$14*'TR TUSD'!$AH$63</f>
        <v>11.537030391601849</v>
      </c>
      <c r="AI14" s="61">
        <f>'TR TUSD'!$AI$14*'TR TUSD'!$AI$63</f>
        <v>0.11799169347642398</v>
      </c>
      <c r="AJ14" s="61">
        <f ca="1">'TR TUSD'!$AJ$14*'TR TUSD'!$AJ$63</f>
        <v>0.86018788470121665</v>
      </c>
      <c r="AK14" s="61">
        <f ca="1">'TR TUSD'!$AK$14*'TR TUSD'!$AK$63</f>
        <v>0.29705719837498867</v>
      </c>
      <c r="AL14" s="61">
        <f ca="1">SUM($AH$14:$AK$14)</f>
        <v>12.812267168154479</v>
      </c>
      <c r="AM14" s="61">
        <f ca="1">SUMIF($L$4:$AL$4,"SUBTOTAL",$L$14:$AL$14)</f>
        <v>2213.4928274029085</v>
      </c>
      <c r="AP14" s="61">
        <v>1</v>
      </c>
    </row>
    <row r="15" spans="1:42" ht="11.25" customHeight="1" x14ac:dyDescent="0.3">
      <c r="A15" s="132"/>
      <c r="B15" s="132"/>
      <c r="C15" s="132"/>
      <c r="D15" s="132"/>
      <c r="E15" s="132"/>
      <c r="F15" s="132"/>
      <c r="G15" s="66" t="s">
        <v>78</v>
      </c>
      <c r="H15" s="66" t="s">
        <v>76</v>
      </c>
      <c r="I15" s="66">
        <f>'MERCADO TUSD'!$U$12</f>
        <v>18843.148999999998</v>
      </c>
      <c r="J15" s="15"/>
      <c r="L15" s="61">
        <f>'TR TUSD'!$L$15*'TR TUSD'!$L$63</f>
        <v>2.8483302753937796</v>
      </c>
      <c r="M15" s="61">
        <f>'TR TUSD'!$M$15*'TR TUSD'!$M$63</f>
        <v>0.94464157591227127</v>
      </c>
      <c r="N15" s="61">
        <f ca="1">'TR TUSD'!$N$15*'TR TUSD'!$N$63</f>
        <v>0.37114759905983435</v>
      </c>
      <c r="O15" s="61">
        <f>'TR TUSD'!$O$15*'TR TUSD'!$O$63</f>
        <v>0</v>
      </c>
      <c r="P15" s="61">
        <f>'TR TUSD'!$P$15*'TR TUSD'!$P$63</f>
        <v>0</v>
      </c>
      <c r="Q15" s="61">
        <f>'TR TUSD'!$Q$15*'TR TUSD'!$Q$63</f>
        <v>75.29127871355621</v>
      </c>
      <c r="R15" s="61">
        <f>'TR TUSD'!$R$15*'TR TUSD'!$R$63</f>
        <v>14.187282996785822</v>
      </c>
      <c r="S15" s="61">
        <f>'TR TUSD'!$S$15*'TR TUSD'!$S$63</f>
        <v>0</v>
      </c>
      <c r="T15" s="61">
        <f ca="1">SUM($L$15:$S$15)</f>
        <v>93.642681160707923</v>
      </c>
      <c r="U15" s="61">
        <f>'TR TUSD'!$U$15*'TR TUSD'!$U$63</f>
        <v>0</v>
      </c>
      <c r="V15" s="61">
        <f>'TR TUSD'!$V$15*'TR TUSD'!$V$63</f>
        <v>0</v>
      </c>
      <c r="W15" s="61">
        <f>'TR TUSD'!$W$15*'TR TUSD'!$W$63</f>
        <v>0</v>
      </c>
      <c r="X15" s="61">
        <f>'TR TUSD'!$X$15*'TR TUSD'!$X$63</f>
        <v>0</v>
      </c>
      <c r="Y15" s="61">
        <f>'TR TUSD'!$Y$15*'TR TUSD'!$Y$63</f>
        <v>0</v>
      </c>
      <c r="Z15" s="61">
        <f>'TR TUSD'!$Z$15</f>
        <v>0</v>
      </c>
      <c r="AA15" s="61">
        <f>'TR TUSD'!$AA$15</f>
        <v>0</v>
      </c>
      <c r="AB15" s="61">
        <f>SUM($U$15:$AA$15)</f>
        <v>0</v>
      </c>
      <c r="AC15" s="61">
        <f>'TR TUSD'!$AC$15*'TR TUSD'!$AC$63</f>
        <v>0</v>
      </c>
      <c r="AD15" s="61">
        <f>SUM($AC$15:$AC$15)</f>
        <v>0</v>
      </c>
      <c r="AE15" s="61">
        <v>0</v>
      </c>
      <c r="AF15" s="61">
        <v>0</v>
      </c>
      <c r="AG15" s="61">
        <f>SUM($AE$15:$AF$15)</f>
        <v>0</v>
      </c>
      <c r="AH15" s="61">
        <f>'TR TUSD'!$AH$15*'TR TUSD'!$AH$63</f>
        <v>11.537030391601849</v>
      </c>
      <c r="AI15" s="61">
        <f>'TR TUSD'!$AI$15*'TR TUSD'!$AI$63</f>
        <v>0.11799169347642398</v>
      </c>
      <c r="AJ15" s="61">
        <f ca="1">'TR TUSD'!$AJ$15*'TR TUSD'!$AJ$63</f>
        <v>0.86018788470121665</v>
      </c>
      <c r="AK15" s="61">
        <f ca="1">'TR TUSD'!$AK$15*'TR TUSD'!$AK$63</f>
        <v>0.29705719837498867</v>
      </c>
      <c r="AL15" s="61">
        <f ca="1">SUM($AH$15:$AK$15)</f>
        <v>12.812267168154479</v>
      </c>
      <c r="AM15" s="61">
        <f ca="1">SUMIF($L$4:$AL$4,"SUBTOTAL",$L$15:$AL$15)</f>
        <v>106.4549483288624</v>
      </c>
      <c r="AP15" s="61">
        <v>1</v>
      </c>
    </row>
    <row r="16" spans="1:42" ht="11.25" customHeight="1" x14ac:dyDescent="0.3">
      <c r="A16" s="132"/>
      <c r="B16" s="132"/>
      <c r="C16" s="132"/>
      <c r="D16" s="132"/>
      <c r="E16" s="132" t="s">
        <v>87</v>
      </c>
      <c r="F16" s="132" t="s">
        <v>25</v>
      </c>
      <c r="G16" s="66" t="s">
        <v>77</v>
      </c>
      <c r="H16" s="66" t="s">
        <v>76</v>
      </c>
      <c r="I16" s="66">
        <f>'MERCADO TUSD'!$U$13</f>
        <v>0</v>
      </c>
      <c r="J16" s="15"/>
      <c r="L16" s="61">
        <f>'TR TUSD'!$L$16*'TR TUSD'!$L$63</f>
        <v>0</v>
      </c>
      <c r="M16" s="61">
        <f>'TR TUSD'!$M$16*'TR TUSD'!$M$63</f>
        <v>0.94464157591227127</v>
      </c>
      <c r="N16" s="61">
        <f ca="1">'TR TUSD'!$N$16*'TR TUSD'!$N$63</f>
        <v>19.54774463912484</v>
      </c>
      <c r="O16" s="61">
        <f>'TR TUSD'!$O$16*'TR TUSD'!$O$63</f>
        <v>0</v>
      </c>
      <c r="P16" s="61">
        <f>'TR TUSD'!$P$16*'TR TUSD'!$P$63</f>
        <v>0</v>
      </c>
      <c r="Q16" s="61">
        <f>'TR TUSD'!$Q$16*'TR TUSD'!$Q$63</f>
        <v>0</v>
      </c>
      <c r="R16" s="61">
        <f>'TR TUSD'!$R$16*'TR TUSD'!$R$63</f>
        <v>0</v>
      </c>
      <c r="S16" s="61">
        <f>'TR TUSD'!$S$16*'TR TUSD'!$S$63</f>
        <v>0</v>
      </c>
      <c r="T16" s="61">
        <f ca="1">SUM($L$16:$S$16)</f>
        <v>20.492386215037111</v>
      </c>
      <c r="U16" s="61">
        <f>'TR TUSD'!$U$16*'TR TUSD'!$U$63</f>
        <v>0</v>
      </c>
      <c r="V16" s="61">
        <f>'TR TUSD'!$V$16*'TR TUSD'!$V$63</f>
        <v>0</v>
      </c>
      <c r="W16" s="61">
        <f>'TR TUSD'!$W$16*'TR TUSD'!$W$63</f>
        <v>0</v>
      </c>
      <c r="X16" s="61">
        <f>'TR TUSD'!$X$16*'TR TUSD'!$X$63</f>
        <v>0</v>
      </c>
      <c r="Y16" s="61">
        <f>'TR TUSD'!$Y$16*'TR TUSD'!$Y$63</f>
        <v>964.80371131290246</v>
      </c>
      <c r="Z16" s="61">
        <f>'TR TUSD'!$Z$16</f>
        <v>0</v>
      </c>
      <c r="AA16" s="61">
        <f>'TR TUSD'!$AA$16</f>
        <v>0</v>
      </c>
      <c r="AB16" s="61">
        <f>SUM($U$16:$AA$16)</f>
        <v>964.80371131290246</v>
      </c>
      <c r="AC16" s="61">
        <f>'TR TUSD'!$AC$16*'TR TUSD'!$AC$63</f>
        <v>1123.0475669107973</v>
      </c>
      <c r="AD16" s="61">
        <f>SUM($AC$16:$AC$16)</f>
        <v>1123.0475669107973</v>
      </c>
      <c r="AE16" s="61">
        <v>0</v>
      </c>
      <c r="AF16" s="61">
        <v>0</v>
      </c>
      <c r="AG16" s="61">
        <f>SUM($AE$16:$AF$16)</f>
        <v>0</v>
      </c>
      <c r="AH16" s="61">
        <f>'TR TUSD'!$AH$16*'TR TUSD'!$AH$63</f>
        <v>11.537030391601849</v>
      </c>
      <c r="AI16" s="61">
        <f>'TR TUSD'!$AI$16*'TR TUSD'!$AI$63</f>
        <v>0.11799169347642398</v>
      </c>
      <c r="AJ16" s="61">
        <f ca="1">'TR TUSD'!$AJ$16*'TR TUSD'!$AJ$63</f>
        <v>0.86018788470121665</v>
      </c>
      <c r="AK16" s="61">
        <f ca="1">'TR TUSD'!$AK$16*'TR TUSD'!$AK$63</f>
        <v>0.29705719837498867</v>
      </c>
      <c r="AL16" s="61">
        <f ca="1">SUM($AH$16:$AK$16)</f>
        <v>12.812267168154479</v>
      </c>
      <c r="AM16" s="61">
        <f ca="1">SUMIF($L$4:$AL$4,"SUBTOTAL",$L$16:$AL$16)</f>
        <v>2121.155931606891</v>
      </c>
      <c r="AP16" s="61">
        <v>1</v>
      </c>
    </row>
    <row r="17" spans="1:42" ht="11.25" customHeight="1" x14ac:dyDescent="0.3">
      <c r="A17" s="132"/>
      <c r="B17" s="132"/>
      <c r="C17" s="132"/>
      <c r="D17" s="132"/>
      <c r="E17" s="132"/>
      <c r="F17" s="132"/>
      <c r="G17" s="66" t="s">
        <v>78</v>
      </c>
      <c r="H17" s="66" t="s">
        <v>76</v>
      </c>
      <c r="I17" s="66">
        <f>'MERCADO TUSD'!$U$14</f>
        <v>0</v>
      </c>
      <c r="J17" s="15"/>
      <c r="L17" s="61">
        <f>'TR TUSD'!$L$17*'TR TUSD'!$L$63</f>
        <v>0</v>
      </c>
      <c r="M17" s="61">
        <f>'TR TUSD'!$M$17*'TR TUSD'!$M$63</f>
        <v>0.94464157591227127</v>
      </c>
      <c r="N17" s="61">
        <f ca="1">'TR TUSD'!$N$17*'TR TUSD'!$N$63</f>
        <v>0.36114378877843012</v>
      </c>
      <c r="O17" s="61">
        <f>'TR TUSD'!$O$17*'TR TUSD'!$O$63</f>
        <v>0</v>
      </c>
      <c r="P17" s="61">
        <f>'TR TUSD'!$P$17*'TR TUSD'!$P$63</f>
        <v>0</v>
      </c>
      <c r="Q17" s="61">
        <f>'TR TUSD'!$Q$17*'TR TUSD'!$Q$63</f>
        <v>0</v>
      </c>
      <c r="R17" s="61">
        <f>'TR TUSD'!$R$17*'TR TUSD'!$R$63</f>
        <v>0</v>
      </c>
      <c r="S17" s="61">
        <f>'TR TUSD'!$S$17*'TR TUSD'!$S$63</f>
        <v>0</v>
      </c>
      <c r="T17" s="61">
        <f ca="1">SUM($L$17:$S$17)</f>
        <v>1.3057853646907014</v>
      </c>
      <c r="U17" s="61">
        <f>'TR TUSD'!$U$17*'TR TUSD'!$U$63</f>
        <v>0</v>
      </c>
      <c r="V17" s="61">
        <f>'TR TUSD'!$V$17*'TR TUSD'!$V$63</f>
        <v>0</v>
      </c>
      <c r="W17" s="61">
        <f>'TR TUSD'!$W$17*'TR TUSD'!$W$63</f>
        <v>0</v>
      </c>
      <c r="X17" s="61">
        <f>'TR TUSD'!$X$17*'TR TUSD'!$X$63</f>
        <v>0</v>
      </c>
      <c r="Y17" s="61">
        <f>'TR TUSD'!$Y$17*'TR TUSD'!$Y$63</f>
        <v>0</v>
      </c>
      <c r="Z17" s="61">
        <f>'TR TUSD'!$Z$17</f>
        <v>0</v>
      </c>
      <c r="AA17" s="61">
        <f>'TR TUSD'!$AA$17</f>
        <v>0</v>
      </c>
      <c r="AB17" s="61">
        <f>SUM($U$17:$AA$17)</f>
        <v>0</v>
      </c>
      <c r="AC17" s="61">
        <f>'TR TUSD'!$AC$17*'TR TUSD'!$AC$63</f>
        <v>0</v>
      </c>
      <c r="AD17" s="61">
        <f>SUM($AC$17:$AC$17)</f>
        <v>0</v>
      </c>
      <c r="AE17" s="61">
        <v>0</v>
      </c>
      <c r="AF17" s="61">
        <v>0</v>
      </c>
      <c r="AG17" s="61">
        <f>SUM($AE$17:$AF$17)</f>
        <v>0</v>
      </c>
      <c r="AH17" s="61">
        <f>'TR TUSD'!$AH$17*'TR TUSD'!$AH$63</f>
        <v>11.537030391601849</v>
      </c>
      <c r="AI17" s="61">
        <f>'TR TUSD'!$AI$17*'TR TUSD'!$AI$63</f>
        <v>0.11799169347642398</v>
      </c>
      <c r="AJ17" s="61">
        <f ca="1">'TR TUSD'!$AJ$17*'TR TUSD'!$AJ$63</f>
        <v>0.86018788470121665</v>
      </c>
      <c r="AK17" s="61">
        <f ca="1">'TR TUSD'!$AK$17*'TR TUSD'!$AK$63</f>
        <v>0.29705719837498867</v>
      </c>
      <c r="AL17" s="61">
        <f ca="1">SUM($AH$17:$AK$17)</f>
        <v>12.812267168154479</v>
      </c>
      <c r="AM17" s="61">
        <f ca="1">SUMIF($L$4:$AL$4,"SUBTOTAL",$L$17:$AL$17)</f>
        <v>14.11805253284518</v>
      </c>
      <c r="AP17" s="61">
        <v>1</v>
      </c>
    </row>
    <row r="18" spans="1:42" ht="11.25" customHeight="1" x14ac:dyDescent="0.3">
      <c r="A18" s="132" t="s">
        <v>90</v>
      </c>
      <c r="B18" s="132" t="s">
        <v>88</v>
      </c>
      <c r="C18" s="132" t="s">
        <v>25</v>
      </c>
      <c r="D18" s="132" t="s">
        <v>25</v>
      </c>
      <c r="E18" s="65" t="s">
        <v>91</v>
      </c>
      <c r="F18" s="65" t="s">
        <v>25</v>
      </c>
      <c r="G18" s="66" t="s">
        <v>9</v>
      </c>
      <c r="H18" s="66" t="s">
        <v>84</v>
      </c>
      <c r="I18" s="66">
        <f>'MERCADO TUSD'!$U$15+0.00000001</f>
        <v>1E-8</v>
      </c>
      <c r="J18" s="15"/>
      <c r="L18" s="61">
        <f>'TR TUSD'!$L$18*'TR TUSD'!$L$63</f>
        <v>0</v>
      </c>
      <c r="M18" s="61">
        <f>'TR TUSD'!$M$18*'TR TUSD'!$M$63</f>
        <v>2.3499407100500122E-2</v>
      </c>
      <c r="N18" s="61">
        <f ca="1">'TR TUSD'!$N$18*'TR TUSD'!$N$63</f>
        <v>5.7421871015260244E-2</v>
      </c>
      <c r="O18" s="61">
        <f>'TR TUSD'!$O$18*'TR TUSD'!$O$63</f>
        <v>0</v>
      </c>
      <c r="P18" s="61">
        <f>'TR TUSD'!$P$18*'TR TUSD'!$P$63</f>
        <v>0</v>
      </c>
      <c r="Q18" s="61">
        <f>'TR TUSD'!$Q$18*'TR TUSD'!$Q$63</f>
        <v>0</v>
      </c>
      <c r="R18" s="61">
        <f>'TR TUSD'!$R$18*'TR TUSD'!$R$63</f>
        <v>0</v>
      </c>
      <c r="S18" s="61">
        <f>'TR TUSD'!$S$18*'TR TUSD'!$S$63</f>
        <v>0</v>
      </c>
      <c r="T18" s="61">
        <f ca="1">SUM($L$18:$S$18)</f>
        <v>8.0921278115760359E-2</v>
      </c>
      <c r="U18" s="61">
        <f>'TR TUSD'!$U$18*'TR TUSD'!$U$63</f>
        <v>0</v>
      </c>
      <c r="V18" s="61">
        <f>'TR TUSD'!$V$18*'TR TUSD'!$V$63</f>
        <v>0</v>
      </c>
      <c r="W18" s="61">
        <f>'TR TUSD'!$W$18*'TR TUSD'!$W$63</f>
        <v>0</v>
      </c>
      <c r="X18" s="61">
        <f>'TR TUSD'!$X$18*'TR TUSD'!$X$63</f>
        <v>0</v>
      </c>
      <c r="Y18" s="61">
        <f>'TR TUSD'!$Y$18*'TR TUSD'!$Y$63</f>
        <v>0</v>
      </c>
      <c r="Z18" s="61">
        <f>'TR TUSD'!$Z$18*'TR TUSD'!$Z$63</f>
        <v>0</v>
      </c>
      <c r="AA18" s="61">
        <f>'TR TUSD'!$AA$18*'TR TUSD'!$AA$63</f>
        <v>0</v>
      </c>
      <c r="AB18" s="61">
        <f>SUM($U$18:$AA$18)</f>
        <v>0</v>
      </c>
      <c r="AC18" s="61">
        <f>'TR TUSD'!$AC$18*'TR TUSD'!$AC$63</f>
        <v>6.2084538590651919</v>
      </c>
      <c r="AD18" s="61">
        <f>SUM($AC$18:$AC$18)</f>
        <v>6.2084538590651919</v>
      </c>
      <c r="AE18" s="61">
        <v>0</v>
      </c>
      <c r="AF18" s="61">
        <v>0</v>
      </c>
      <c r="AG18" s="61">
        <f>SUM($AE$18:$AF$18)</f>
        <v>0</v>
      </c>
      <c r="AH18" s="61">
        <f>'TR TUSD'!$AH$18*'TR TUSD'!$AH$63</f>
        <v>0</v>
      </c>
      <c r="AI18" s="61">
        <f>'TR TUSD'!$AI$18*'TR TUSD'!$AI$63</f>
        <v>0</v>
      </c>
      <c r="AJ18" s="61">
        <f ca="1">'TR TUSD'!$AJ$18*'TR TUSD'!$AJ$63</f>
        <v>0</v>
      </c>
      <c r="AK18" s="61">
        <f ca="1">'TR TUSD'!$AK$18*'TR TUSD'!$AK$63</f>
        <v>0</v>
      </c>
      <c r="AL18" s="61">
        <f ca="1">SUM($AH$18:$AK$18)</f>
        <v>0</v>
      </c>
      <c r="AM18" s="61">
        <f ca="1">SUMIF($L$4:$AL$4,"SUBTOTAL",$L$18:$AL$18)</f>
        <v>6.2893751371809525</v>
      </c>
      <c r="AP18" s="61"/>
    </row>
    <row r="19" spans="1:42" ht="11.25" customHeight="1" x14ac:dyDescent="0.3">
      <c r="A19" s="132"/>
      <c r="B19" s="132"/>
      <c r="C19" s="132"/>
      <c r="D19" s="132"/>
      <c r="E19" s="65" t="s">
        <v>92</v>
      </c>
      <c r="F19" s="65" t="s">
        <v>25</v>
      </c>
      <c r="G19" s="66" t="s">
        <v>9</v>
      </c>
      <c r="H19" s="66" t="s">
        <v>84</v>
      </c>
      <c r="I19" s="66">
        <f>'MERCADO TUSD'!$U$16+0.00000001</f>
        <v>1E-8</v>
      </c>
      <c r="J19" s="15"/>
      <c r="L19" s="61">
        <f>'TR TUSD'!$L$19*'TR TUSD'!$L$63</f>
        <v>0</v>
      </c>
      <c r="M19" s="61">
        <f>'TR TUSD'!$M$19*'TR TUSD'!$M$63</f>
        <v>2.3499407100500122E-2</v>
      </c>
      <c r="N19" s="61">
        <f ca="1">'TR TUSD'!$N$19*'TR TUSD'!$N$63</f>
        <v>5.7421871015260244E-2</v>
      </c>
      <c r="O19" s="61">
        <f>'TR TUSD'!$O$19*'TR TUSD'!$O$63</f>
        <v>0</v>
      </c>
      <c r="P19" s="61">
        <f>'TR TUSD'!$P$19*'TR TUSD'!$P$63</f>
        <v>0</v>
      </c>
      <c r="Q19" s="61">
        <f>'TR TUSD'!$Q$19*'TR TUSD'!$Q$63</f>
        <v>0</v>
      </c>
      <c r="R19" s="61">
        <f>'TR TUSD'!$R$19*'TR TUSD'!$R$63</f>
        <v>0</v>
      </c>
      <c r="S19" s="61">
        <f>'TR TUSD'!$S$19*'TR TUSD'!$S$63</f>
        <v>0</v>
      </c>
      <c r="T19" s="61">
        <f ca="1">SUM($L$19:$S$19)</f>
        <v>8.0921278115760359E-2</v>
      </c>
      <c r="U19" s="61">
        <f>'TR TUSD'!$U$19*'TR TUSD'!$U$63</f>
        <v>0</v>
      </c>
      <c r="V19" s="61">
        <f>'TR TUSD'!$V$19*'TR TUSD'!$V$63</f>
        <v>0</v>
      </c>
      <c r="W19" s="61">
        <f>'TR TUSD'!$W$19*'TR TUSD'!$W$63</f>
        <v>0</v>
      </c>
      <c r="X19" s="61">
        <f>'TR TUSD'!$X$19*'TR TUSD'!$X$63</f>
        <v>0</v>
      </c>
      <c r="Y19" s="61">
        <f>'TR TUSD'!$Y$19*'TR TUSD'!$Y$63</f>
        <v>0</v>
      </c>
      <c r="Z19" s="61">
        <f>'TR TUSD'!$Z$19*'TR TUSD'!$Z$63</f>
        <v>0</v>
      </c>
      <c r="AA19" s="61">
        <f>'TR TUSD'!$AA$19*'TR TUSD'!$AA$63</f>
        <v>0</v>
      </c>
      <c r="AB19" s="61">
        <f>SUM($U$19:$AA$19)</f>
        <v>0</v>
      </c>
      <c r="AC19" s="61">
        <f>'TR TUSD'!$AC$19*'TR TUSD'!$AC$63</f>
        <v>16.040124537386621</v>
      </c>
      <c r="AD19" s="61">
        <f>SUM($AC$19:$AC$19)</f>
        <v>16.040124537386621</v>
      </c>
      <c r="AE19" s="61">
        <v>0</v>
      </c>
      <c r="AF19" s="61">
        <v>0</v>
      </c>
      <c r="AG19" s="61">
        <f>SUM($AE$19:$AF$19)</f>
        <v>0</v>
      </c>
      <c r="AH19" s="61">
        <f>'TR TUSD'!$AH$19*'TR TUSD'!$AH$63</f>
        <v>0</v>
      </c>
      <c r="AI19" s="61">
        <f>'TR TUSD'!$AI$19*'TR TUSD'!$AI$63</f>
        <v>0</v>
      </c>
      <c r="AJ19" s="61">
        <f ca="1">'TR TUSD'!$AJ$19*'TR TUSD'!$AJ$63</f>
        <v>0</v>
      </c>
      <c r="AK19" s="61">
        <f ca="1">'TR TUSD'!$AK$19*'TR TUSD'!$AK$63</f>
        <v>0</v>
      </c>
      <c r="AL19" s="61">
        <f ca="1">SUM($AH$19:$AK$19)</f>
        <v>0</v>
      </c>
      <c r="AM19" s="61">
        <f ca="1">SUMIF($L$4:$AL$4,"SUBTOTAL",$L$19:$AL$19)</f>
        <v>16.121045815502381</v>
      </c>
      <c r="AP19" s="61"/>
    </row>
    <row r="20" spans="1:42" ht="11.25" customHeight="1" x14ac:dyDescent="0.3">
      <c r="A20" s="132" t="s">
        <v>22</v>
      </c>
      <c r="B20" s="132" t="s">
        <v>33</v>
      </c>
      <c r="C20" s="132" t="s">
        <v>24</v>
      </c>
      <c r="D20" s="132" t="s">
        <v>24</v>
      </c>
      <c r="E20" s="132" t="s">
        <v>25</v>
      </c>
      <c r="F20" s="132" t="s">
        <v>25</v>
      </c>
      <c r="G20" s="66" t="s">
        <v>77</v>
      </c>
      <c r="H20" s="66" t="s">
        <v>76</v>
      </c>
      <c r="I20" s="66">
        <f>'MERCADO TUSD'!$U$17</f>
        <v>0.68800000000000017</v>
      </c>
      <c r="J20" s="15"/>
      <c r="L20" s="61">
        <f>'TR TUSD'!$L$20*'TR TUSD'!$L$63</f>
        <v>3.3908693754687853</v>
      </c>
      <c r="M20" s="61">
        <f>'TR TUSD'!$M$20*'TR TUSD'!$M$63</f>
        <v>0.97767197363932501</v>
      </c>
      <c r="N20" s="61">
        <f ca="1">'TR TUSD'!$N$20*'TR TUSD'!$N$63</f>
        <v>10.782130179656747</v>
      </c>
      <c r="O20" s="61">
        <f>'TR TUSD'!$O$20*'TR TUSD'!$O$63</f>
        <v>0</v>
      </c>
      <c r="P20" s="61">
        <f>'TR TUSD'!$P$20*'TR TUSD'!$P$63</f>
        <v>0</v>
      </c>
      <c r="Q20" s="61">
        <f>'TR TUSD'!$Q$20*'TR TUSD'!$Q$63</f>
        <v>89.632474658995491</v>
      </c>
      <c r="R20" s="61">
        <f>'TR TUSD'!$R$20*'TR TUSD'!$R$63</f>
        <v>14.187282996785822</v>
      </c>
      <c r="S20" s="61">
        <f>'TR TUSD'!$S$20*'TR TUSD'!$S$63</f>
        <v>0</v>
      </c>
      <c r="T20" s="61">
        <f ca="1">SUM($L$20:$S$20)</f>
        <v>118.97042918454618</v>
      </c>
      <c r="U20" s="61">
        <f>'TR TUSD'!$U$20*'TR TUSD'!$U$63</f>
        <v>0</v>
      </c>
      <c r="V20" s="61">
        <f>'TR TUSD'!$V$20*'TR TUSD'!$V$63</f>
        <v>0</v>
      </c>
      <c r="W20" s="61">
        <f>'TR TUSD'!$W$20*'TR TUSD'!$W$63</f>
        <v>0</v>
      </c>
      <c r="X20" s="61">
        <f>'TR TUSD'!$X$20*'TR TUSD'!$X$63</f>
        <v>0</v>
      </c>
      <c r="Y20" s="61">
        <f>'TR TUSD'!$Y$20*'TR TUSD'!$Y$63</f>
        <v>461.43824632975236</v>
      </c>
      <c r="Z20" s="61">
        <f>'TR TUSD'!$Z$20</f>
        <v>0</v>
      </c>
      <c r="AA20" s="61">
        <f>'TR TUSD'!$AA$20</f>
        <v>0</v>
      </c>
      <c r="AB20" s="61">
        <f>SUM($U$20:$AA$20)</f>
        <v>461.43824632975236</v>
      </c>
      <c r="AC20" s="61">
        <f>'TR TUSD'!$AC$20*'TR TUSD'!$AC$63</f>
        <v>637.63776092285286</v>
      </c>
      <c r="AD20" s="61">
        <f>SUM($AC$20:$AC$20)</f>
        <v>637.63776092285286</v>
      </c>
      <c r="AE20" s="61">
        <v>0</v>
      </c>
      <c r="AF20" s="61">
        <v>0</v>
      </c>
      <c r="AG20" s="61">
        <f>SUM($AE$20:$AF$20)</f>
        <v>0</v>
      </c>
      <c r="AH20" s="61">
        <f>'TR TUSD'!$AH$20*'TR TUSD'!$AH$63</f>
        <v>22.463683973020068</v>
      </c>
      <c r="AI20" s="61">
        <f>'TR TUSD'!$AI$20*'TR TUSD'!$AI$63</f>
        <v>0.22974093191478812</v>
      </c>
      <c r="AJ20" s="61">
        <f ca="1">'TR TUSD'!$AJ$20*'TR TUSD'!$AJ$63</f>
        <v>0.844458782316025</v>
      </c>
      <c r="AK20" s="61">
        <f ca="1">'TR TUSD'!$AK$20*'TR TUSD'!$AK$63</f>
        <v>0.29162531172487466</v>
      </c>
      <c r="AL20" s="61">
        <f ca="1">SUM($AH$20:$AK$20)</f>
        <v>23.829508998975754</v>
      </c>
      <c r="AM20" s="61">
        <f ca="1">SUMIF($L$4:$AL$4,"SUBTOTAL",$L$20:$AL$20)</f>
        <v>1241.8759454361273</v>
      </c>
      <c r="AP20" s="61">
        <v>1</v>
      </c>
    </row>
    <row r="21" spans="1:42" ht="11.25" customHeight="1" x14ac:dyDescent="0.3">
      <c r="A21" s="132"/>
      <c r="B21" s="132"/>
      <c r="C21" s="132"/>
      <c r="D21" s="132"/>
      <c r="E21" s="132"/>
      <c r="F21" s="132"/>
      <c r="G21" s="66" t="s">
        <v>93</v>
      </c>
      <c r="H21" s="66" t="s">
        <v>76</v>
      </c>
      <c r="I21" s="66">
        <f>'MERCADO TUSD'!$U$18</f>
        <v>0.46</v>
      </c>
      <c r="J21" s="15"/>
      <c r="L21" s="61">
        <f>'TR TUSD'!$L$21*'TR TUSD'!$L$63</f>
        <v>3.3908693754687853</v>
      </c>
      <c r="M21" s="61">
        <f>'TR TUSD'!$M$21*'TR TUSD'!$M$63</f>
        <v>0.97767197363932501</v>
      </c>
      <c r="N21" s="61">
        <f ca="1">'TR TUSD'!$N$21*'TR TUSD'!$N$63</f>
        <v>6.7409239528518121</v>
      </c>
      <c r="O21" s="61">
        <f>'TR TUSD'!$O$21*'TR TUSD'!$O$63</f>
        <v>0</v>
      </c>
      <c r="P21" s="61">
        <f>'TR TUSD'!$P$21*'TR TUSD'!$P$63</f>
        <v>0</v>
      </c>
      <c r="Q21" s="61">
        <f>'TR TUSD'!$Q$21*'TR TUSD'!$Q$63</f>
        <v>89.632474658995491</v>
      </c>
      <c r="R21" s="61">
        <f>'TR TUSD'!$R$21*'TR TUSD'!$R$63</f>
        <v>14.187282996785822</v>
      </c>
      <c r="S21" s="61">
        <f>'TR TUSD'!$S$21*'TR TUSD'!$S$63</f>
        <v>0</v>
      </c>
      <c r="T21" s="61">
        <f ca="1">SUM($L$21:$S$21)</f>
        <v>114.92922295774125</v>
      </c>
      <c r="U21" s="61">
        <f>'TR TUSD'!$U$21*'TR TUSD'!$U$63</f>
        <v>0</v>
      </c>
      <c r="V21" s="61">
        <f>'TR TUSD'!$V$21*'TR TUSD'!$V$63</f>
        <v>0</v>
      </c>
      <c r="W21" s="61">
        <f>'TR TUSD'!$W$21*'TR TUSD'!$W$63</f>
        <v>0</v>
      </c>
      <c r="X21" s="61">
        <f>'TR TUSD'!$X$21*'TR TUSD'!$X$63</f>
        <v>0</v>
      </c>
      <c r="Y21" s="61">
        <f>'TR TUSD'!$Y$21*'TR TUSD'!$Y$63</f>
        <v>276.86299150162858</v>
      </c>
      <c r="Z21" s="61">
        <f>'TR TUSD'!$Z$21</f>
        <v>0</v>
      </c>
      <c r="AA21" s="61">
        <f>'TR TUSD'!$AA$21</f>
        <v>0</v>
      </c>
      <c r="AB21" s="61">
        <f>SUM($U$21:$AA$21)</f>
        <v>276.86299150162858</v>
      </c>
      <c r="AC21" s="61">
        <f>'TR TUSD'!$AC$21*'TR TUSD'!$AC$63</f>
        <v>382.58263485000487</v>
      </c>
      <c r="AD21" s="61">
        <f>SUM($AC$21:$AC$21)</f>
        <v>382.58263485000487</v>
      </c>
      <c r="AE21" s="61">
        <v>0</v>
      </c>
      <c r="AF21" s="61">
        <v>0</v>
      </c>
      <c r="AG21" s="61">
        <f>SUM($AE$21:$AF$21)</f>
        <v>0</v>
      </c>
      <c r="AH21" s="61">
        <f>'TR TUSD'!$AH$21*'TR TUSD'!$AH$63</f>
        <v>22.463683973020068</v>
      </c>
      <c r="AI21" s="61">
        <f>'TR TUSD'!$AI$21*'TR TUSD'!$AI$63</f>
        <v>0.22974093191478812</v>
      </c>
      <c r="AJ21" s="61">
        <f ca="1">'TR TUSD'!$AJ$21*'TR TUSD'!$AJ$63</f>
        <v>0.844458782316025</v>
      </c>
      <c r="AK21" s="61">
        <f ca="1">'TR TUSD'!$AK$21*'TR TUSD'!$AK$63</f>
        <v>0.29162531172487466</v>
      </c>
      <c r="AL21" s="61">
        <f ca="1">SUM($AH$21:$AK$21)</f>
        <v>23.829508998975754</v>
      </c>
      <c r="AM21" s="61">
        <f ca="1">SUMIF($L$4:$AL$4,"SUBTOTAL",$L$21:$AL$21)</f>
        <v>798.20435830835038</v>
      </c>
      <c r="AP21" s="61">
        <v>1</v>
      </c>
    </row>
    <row r="22" spans="1:42" ht="11.25" customHeight="1" x14ac:dyDescent="0.3">
      <c r="A22" s="132"/>
      <c r="B22" s="132"/>
      <c r="C22" s="132"/>
      <c r="D22" s="132"/>
      <c r="E22" s="132"/>
      <c r="F22" s="132"/>
      <c r="G22" s="66" t="s">
        <v>78</v>
      </c>
      <c r="H22" s="66" t="s">
        <v>76</v>
      </c>
      <c r="I22" s="66">
        <f>'MERCADO TUSD'!$U$19</f>
        <v>5.6850000000000005</v>
      </c>
      <c r="J22" s="15"/>
      <c r="L22" s="61">
        <f>'TR TUSD'!$L$22*'TR TUSD'!$L$63</f>
        <v>3.3908693754687853</v>
      </c>
      <c r="M22" s="61">
        <f>'TR TUSD'!$M$22*'TR TUSD'!$M$63</f>
        <v>0.97767197363932501</v>
      </c>
      <c r="N22" s="61">
        <f ca="1">'TR TUSD'!$N$22*'TR TUSD'!$N$63</f>
        <v>2.6997167256658479</v>
      </c>
      <c r="O22" s="61">
        <f>'TR TUSD'!$O$22*'TR TUSD'!$O$63</f>
        <v>0</v>
      </c>
      <c r="P22" s="61">
        <f>'TR TUSD'!$P$22*'TR TUSD'!$P$63</f>
        <v>0</v>
      </c>
      <c r="Q22" s="61">
        <f>'TR TUSD'!$Q$22*'TR TUSD'!$Q$63</f>
        <v>89.632474658995491</v>
      </c>
      <c r="R22" s="61">
        <f>'TR TUSD'!$R$22*'TR TUSD'!$R$63</f>
        <v>14.187282996785822</v>
      </c>
      <c r="S22" s="61">
        <f>'TR TUSD'!$S$22*'TR TUSD'!$S$63</f>
        <v>0</v>
      </c>
      <c r="T22" s="61">
        <f ca="1">SUM($L$22:$S$22)</f>
        <v>110.88801573055528</v>
      </c>
      <c r="U22" s="61">
        <f>'TR TUSD'!$U$22*'TR TUSD'!$U$63</f>
        <v>0</v>
      </c>
      <c r="V22" s="61">
        <f>'TR TUSD'!$V$22*'TR TUSD'!$V$63</f>
        <v>0</v>
      </c>
      <c r="W22" s="61">
        <f>'TR TUSD'!$W$22*'TR TUSD'!$W$63</f>
        <v>0</v>
      </c>
      <c r="X22" s="61">
        <f>'TR TUSD'!$X$22*'TR TUSD'!$X$63</f>
        <v>0</v>
      </c>
      <c r="Y22" s="61">
        <f>'TR TUSD'!$Y$22*'TR TUSD'!$Y$63</f>
        <v>92.287627414061873</v>
      </c>
      <c r="Z22" s="61">
        <f>'TR TUSD'!$Z$22</f>
        <v>0</v>
      </c>
      <c r="AA22" s="61">
        <f>'TR TUSD'!$AA$22</f>
        <v>0</v>
      </c>
      <c r="AB22" s="61">
        <f>SUM($U$22:$AA$22)</f>
        <v>92.287627414061873</v>
      </c>
      <c r="AC22" s="61">
        <f>'TR TUSD'!$AC$22*'TR TUSD'!$AC$63</f>
        <v>127.52750877715691</v>
      </c>
      <c r="AD22" s="61">
        <f>SUM($AC$22:$AC$22)</f>
        <v>127.52750877715691</v>
      </c>
      <c r="AE22" s="61">
        <v>0</v>
      </c>
      <c r="AF22" s="61">
        <v>0</v>
      </c>
      <c r="AG22" s="61">
        <f>SUM($AE$22:$AF$22)</f>
        <v>0</v>
      </c>
      <c r="AH22" s="61">
        <f>'TR TUSD'!$AH$22*'TR TUSD'!$AH$63</f>
        <v>22.463683973020068</v>
      </c>
      <c r="AI22" s="61">
        <f>'TR TUSD'!$AI$22*'TR TUSD'!$AI$63</f>
        <v>0.22974093191478812</v>
      </c>
      <c r="AJ22" s="61">
        <f ca="1">'TR TUSD'!$AJ$22*'TR TUSD'!$AJ$63</f>
        <v>0.844458782316025</v>
      </c>
      <c r="AK22" s="61">
        <f ca="1">'TR TUSD'!$AK$22*'TR TUSD'!$AK$63</f>
        <v>0.29162531172487466</v>
      </c>
      <c r="AL22" s="61">
        <f ca="1">SUM($AH$22:$AK$22)</f>
        <v>23.829508998975754</v>
      </c>
      <c r="AM22" s="61">
        <f ca="1">SUMIF($L$4:$AL$4,"SUBTOTAL",$L$22:$AL$22)</f>
        <v>354.53266092074983</v>
      </c>
      <c r="AP22" s="61">
        <v>1</v>
      </c>
    </row>
    <row r="23" spans="1:42" ht="11.25" customHeight="1" x14ac:dyDescent="0.3">
      <c r="A23" s="132"/>
      <c r="B23" s="132" t="s">
        <v>23</v>
      </c>
      <c r="C23" s="132" t="s">
        <v>24</v>
      </c>
      <c r="D23" s="65" t="s">
        <v>24</v>
      </c>
      <c r="E23" s="65" t="s">
        <v>25</v>
      </c>
      <c r="F23" s="65" t="s">
        <v>25</v>
      </c>
      <c r="G23" s="66" t="s">
        <v>81</v>
      </c>
      <c r="H23" s="66" t="s">
        <v>76</v>
      </c>
      <c r="I23" s="66">
        <f>'MERCADO TUSD'!$U$20</f>
        <v>20470.671000000002</v>
      </c>
      <c r="J23" s="15"/>
      <c r="L23" s="61">
        <f>'TR TUSD'!$L$23*'TR TUSD'!$L$63</f>
        <v>3.3908693754687853</v>
      </c>
      <c r="M23" s="61">
        <f>'TR TUSD'!$M$23*'TR TUSD'!$M$63</f>
        <v>0.97767197363932501</v>
      </c>
      <c r="N23" s="61">
        <f ca="1">'TR TUSD'!$N$23*'TR TUSD'!$N$63</f>
        <v>4.0467858013945026</v>
      </c>
      <c r="O23" s="61">
        <f>'TR TUSD'!$O$23*'TR TUSD'!$O$63</f>
        <v>0</v>
      </c>
      <c r="P23" s="61">
        <f>'TR TUSD'!$P$23*'TR TUSD'!$P$63</f>
        <v>0</v>
      </c>
      <c r="Q23" s="61">
        <f>'TR TUSD'!$Q$23*'TR TUSD'!$Q$63</f>
        <v>89.632474658995491</v>
      </c>
      <c r="R23" s="61">
        <f>'TR TUSD'!$R$23*'TR TUSD'!$R$63</f>
        <v>14.187282996785822</v>
      </c>
      <c r="S23" s="61">
        <f>'TR TUSD'!$S$23*'TR TUSD'!$S$63</f>
        <v>0</v>
      </c>
      <c r="T23" s="61">
        <f ca="1">SUM($L$23:$S$23)</f>
        <v>112.23508480628394</v>
      </c>
      <c r="U23" s="61">
        <f>'TR TUSD'!$U$23*'TR TUSD'!$U$63</f>
        <v>0</v>
      </c>
      <c r="V23" s="61">
        <f>'TR TUSD'!$V$23*'TR TUSD'!$V$63</f>
        <v>0</v>
      </c>
      <c r="W23" s="61">
        <f>'TR TUSD'!$W$23*'TR TUSD'!$W$63</f>
        <v>0</v>
      </c>
      <c r="X23" s="61">
        <f>'TR TUSD'!$X$23*'TR TUSD'!$X$63</f>
        <v>0</v>
      </c>
      <c r="Y23" s="61">
        <f>'TR TUSD'!$Y$23*'TR TUSD'!$Y$63</f>
        <v>153.81271235676979</v>
      </c>
      <c r="Z23" s="61">
        <f>'TR TUSD'!$Z$23</f>
        <v>0</v>
      </c>
      <c r="AA23" s="61">
        <f>'TR TUSD'!$AA$23</f>
        <v>0</v>
      </c>
      <c r="AB23" s="61">
        <f>SUM($U$23:$AA$23)</f>
        <v>153.81271235676979</v>
      </c>
      <c r="AC23" s="61">
        <f>'TR TUSD'!$AC$23*'TR TUSD'!$AC$63</f>
        <v>212.54592030761762</v>
      </c>
      <c r="AD23" s="61">
        <f>SUM($AC$23:$AC$23)</f>
        <v>212.54592030761762</v>
      </c>
      <c r="AE23" s="61">
        <v>0</v>
      </c>
      <c r="AF23" s="61">
        <v>0</v>
      </c>
      <c r="AG23" s="61">
        <f>SUM($AE$23:$AF$23)</f>
        <v>0</v>
      </c>
      <c r="AH23" s="61">
        <f>'TR TUSD'!$AH$23*'TR TUSD'!$AH$63</f>
        <v>22.463683973020068</v>
      </c>
      <c r="AI23" s="61">
        <f>'TR TUSD'!$AI$23*'TR TUSD'!$AI$63</f>
        <v>0.22974093191478812</v>
      </c>
      <c r="AJ23" s="61">
        <f ca="1">'TR TUSD'!$AJ$23*'TR TUSD'!$AJ$63</f>
        <v>0.844458782316025</v>
      </c>
      <c r="AK23" s="61">
        <f ca="1">'TR TUSD'!$AK$23*'TR TUSD'!$AK$63</f>
        <v>0.29162531172487466</v>
      </c>
      <c r="AL23" s="61">
        <f ca="1">SUM($AH$23:$AK$23)</f>
        <v>23.829508998975754</v>
      </c>
      <c r="AM23" s="61">
        <f ca="1">SUMIF($L$4:$AL$4,"SUBTOTAL",$L$23:$AL$23)</f>
        <v>502.42322646964709</v>
      </c>
      <c r="AP23" s="61">
        <v>1</v>
      </c>
    </row>
    <row r="24" spans="1:42" ht="11.25" customHeight="1" x14ac:dyDescent="0.3">
      <c r="A24" s="132"/>
      <c r="B24" s="132"/>
      <c r="C24" s="132"/>
      <c r="D24" s="65" t="s">
        <v>29</v>
      </c>
      <c r="E24" s="65" t="s">
        <v>25</v>
      </c>
      <c r="F24" s="65" t="s">
        <v>25</v>
      </c>
      <c r="G24" s="66" t="s">
        <v>81</v>
      </c>
      <c r="H24" s="66" t="s">
        <v>76</v>
      </c>
      <c r="I24" s="66">
        <f>'MERCADO TUSD'!$U$21</f>
        <v>425.12200000000001</v>
      </c>
      <c r="J24" s="15"/>
      <c r="L24" s="61">
        <f>'TR TUSD'!$L$24*'TR TUSD'!$L$63</f>
        <v>0</v>
      </c>
      <c r="M24" s="61">
        <f>'TR TUSD'!$M$24*'TR TUSD'!$M$63</f>
        <v>0.97767197363932501</v>
      </c>
      <c r="N24" s="61">
        <f ca="1">'TR TUSD'!$N$24*'TR TUSD'!$N$63</f>
        <v>4.0367819911130978</v>
      </c>
      <c r="O24" s="61">
        <f>'TR TUSD'!$O$24*'TR TUSD'!$O$63</f>
        <v>0</v>
      </c>
      <c r="P24" s="61">
        <f>'TR TUSD'!$P$24*'TR TUSD'!$P$63</f>
        <v>0</v>
      </c>
      <c r="Q24" s="61">
        <f>'TR TUSD'!$Q$24*'TR TUSD'!$Q$63</f>
        <v>0</v>
      </c>
      <c r="R24" s="61">
        <f>'TR TUSD'!$R$24*'TR TUSD'!$R$63</f>
        <v>0</v>
      </c>
      <c r="S24" s="61">
        <f>'TR TUSD'!$S$24*'TR TUSD'!$S$63</f>
        <v>0</v>
      </c>
      <c r="T24" s="61">
        <f ca="1">SUM($L$24:$S$24)</f>
        <v>5.0144539647524224</v>
      </c>
      <c r="U24" s="61">
        <f>'TR TUSD'!$U$24*'TR TUSD'!$U$63</f>
        <v>0</v>
      </c>
      <c r="V24" s="61">
        <f>'TR TUSD'!$V$24*'TR TUSD'!$V$63</f>
        <v>0</v>
      </c>
      <c r="W24" s="61">
        <f>'TR TUSD'!$W$24*'TR TUSD'!$W$63</f>
        <v>0</v>
      </c>
      <c r="X24" s="61">
        <f>'TR TUSD'!$X$24*'TR TUSD'!$X$63</f>
        <v>0</v>
      </c>
      <c r="Y24" s="61">
        <f>'TR TUSD'!$Y$24*'TR TUSD'!$Y$63</f>
        <v>153.81271235676979</v>
      </c>
      <c r="Z24" s="61">
        <f>'TR TUSD'!$Z$24</f>
        <v>0</v>
      </c>
      <c r="AA24" s="61">
        <f>'TR TUSD'!$AA$24</f>
        <v>0</v>
      </c>
      <c r="AB24" s="61">
        <f>SUM($U$24:$AA$24)</f>
        <v>153.81271235676979</v>
      </c>
      <c r="AC24" s="61">
        <f>'TR TUSD'!$AC$24*'TR TUSD'!$AC$63</f>
        <v>212.54592030761762</v>
      </c>
      <c r="AD24" s="61">
        <f>SUM($AC$24:$AC$24)</f>
        <v>212.54592030761762</v>
      </c>
      <c r="AE24" s="61">
        <v>0</v>
      </c>
      <c r="AF24" s="61">
        <v>0</v>
      </c>
      <c r="AG24" s="61">
        <f>SUM($AE$24:$AF$24)</f>
        <v>0</v>
      </c>
      <c r="AH24" s="61">
        <f>'TR TUSD'!$AH$24*'TR TUSD'!$AH$63</f>
        <v>22.463683973020068</v>
      </c>
      <c r="AI24" s="61">
        <f>'TR TUSD'!$AI$24*'TR TUSD'!$AI$63</f>
        <v>0.22974093191478812</v>
      </c>
      <c r="AJ24" s="61">
        <f ca="1">'TR TUSD'!$AJ$24*'TR TUSD'!$AJ$63</f>
        <v>0.844458782316025</v>
      </c>
      <c r="AK24" s="61">
        <f ca="1">'TR TUSD'!$AK$24*'TR TUSD'!$AK$63</f>
        <v>0.29162531172487466</v>
      </c>
      <c r="AL24" s="61">
        <f ca="1">SUM($AH$24:$AK$24)</f>
        <v>23.829508998975754</v>
      </c>
      <c r="AM24" s="61">
        <f ca="1">SUMIF($L$4:$AL$4,"SUBTOTAL",$L$24:$AL$24)</f>
        <v>395.2025956281156</v>
      </c>
      <c r="AP24" s="61">
        <f>IF((1 - CUSTOS!$M$24)&lt;&gt;0,1/(1 - CUSTOS!$M$24),1)</f>
        <v>1</v>
      </c>
    </row>
    <row r="25" spans="1:42" ht="11.25" customHeight="1" x14ac:dyDescent="0.3">
      <c r="A25" s="132"/>
      <c r="B25" s="132"/>
      <c r="C25" s="132"/>
      <c r="D25" s="65" t="s">
        <v>30</v>
      </c>
      <c r="E25" s="65" t="s">
        <v>25</v>
      </c>
      <c r="F25" s="65" t="s">
        <v>25</v>
      </c>
      <c r="G25" s="66" t="s">
        <v>81</v>
      </c>
      <c r="H25" s="66" t="s">
        <v>76</v>
      </c>
      <c r="I25" s="66">
        <f>'MERCADO TUSD'!$U$22</f>
        <v>876.85199999999986</v>
      </c>
      <c r="J25" s="15"/>
      <c r="L25" s="61">
        <f>'TR TUSD'!$L$25*'TR TUSD'!$L$63</f>
        <v>0</v>
      </c>
      <c r="M25" s="61">
        <f>'TR TUSD'!$M$25*'TR TUSD'!$M$63</f>
        <v>0.97767197363932501</v>
      </c>
      <c r="N25" s="61">
        <f ca="1">'TR TUSD'!$N$25*'TR TUSD'!$N$63</f>
        <v>4.0367819911130978</v>
      </c>
      <c r="O25" s="61">
        <f>'TR TUSD'!$O$25*'TR TUSD'!$O$63</f>
        <v>0</v>
      </c>
      <c r="P25" s="61">
        <f>'TR TUSD'!$P$25*'TR TUSD'!$P$63</f>
        <v>0</v>
      </c>
      <c r="Q25" s="61">
        <f>'TR TUSD'!$Q$25*'TR TUSD'!$Q$63</f>
        <v>0</v>
      </c>
      <c r="R25" s="61">
        <f>'TR TUSD'!$R$25*'TR TUSD'!$R$63</f>
        <v>0</v>
      </c>
      <c r="S25" s="61">
        <f>'TR TUSD'!$S$25*'TR TUSD'!$S$63</f>
        <v>0</v>
      </c>
      <c r="T25" s="61">
        <f ca="1">SUM($L$25:$S$25)</f>
        <v>5.0144539647524224</v>
      </c>
      <c r="U25" s="61">
        <f>'TR TUSD'!$U$25*'TR TUSD'!$U$63</f>
        <v>0</v>
      </c>
      <c r="V25" s="61">
        <f>'TR TUSD'!$V$25*'TR TUSD'!$V$63</f>
        <v>0</v>
      </c>
      <c r="W25" s="61">
        <f>'TR TUSD'!$W$25*'TR TUSD'!$W$63</f>
        <v>0</v>
      </c>
      <c r="X25" s="61">
        <f>'TR TUSD'!$X$25*'TR TUSD'!$X$63</f>
        <v>0</v>
      </c>
      <c r="Y25" s="61">
        <f>'TR TUSD'!$Y$25*'TR TUSD'!$Y$63</f>
        <v>153.81271235676979</v>
      </c>
      <c r="Z25" s="61">
        <f>'TR TUSD'!$Z$25</f>
        <v>0</v>
      </c>
      <c r="AA25" s="61">
        <f>'TR TUSD'!$AA$25</f>
        <v>0</v>
      </c>
      <c r="AB25" s="61">
        <f>SUM($U$25:$AA$25)</f>
        <v>153.81271235676979</v>
      </c>
      <c r="AC25" s="61">
        <f>'TR TUSD'!$AC$25*'TR TUSD'!$AC$63</f>
        <v>212.54592030761762</v>
      </c>
      <c r="AD25" s="61">
        <f>SUM($AC$25:$AC$25)</f>
        <v>212.54592030761762</v>
      </c>
      <c r="AE25" s="61">
        <v>0</v>
      </c>
      <c r="AF25" s="61">
        <v>0</v>
      </c>
      <c r="AG25" s="61">
        <f>SUM($AE$25:$AF$25)</f>
        <v>0</v>
      </c>
      <c r="AH25" s="61">
        <f>'TR TUSD'!$AH$25*'TR TUSD'!$AH$63</f>
        <v>22.463683973020068</v>
      </c>
      <c r="AI25" s="61">
        <f>'TR TUSD'!$AI$25*'TR TUSD'!$AI$63</f>
        <v>0.22974093191478812</v>
      </c>
      <c r="AJ25" s="61">
        <f ca="1">'TR TUSD'!$AJ$25*'TR TUSD'!$AJ$63</f>
        <v>0.844458782316025</v>
      </c>
      <c r="AK25" s="61">
        <f ca="1">'TR TUSD'!$AK$25*'TR TUSD'!$AK$63</f>
        <v>0.29162531172487466</v>
      </c>
      <c r="AL25" s="61">
        <f ca="1">SUM($AH$25:$AK$25)</f>
        <v>23.829508998975754</v>
      </c>
      <c r="AM25" s="61">
        <f ca="1">SUMIF($L$4:$AL$4,"SUBTOTAL",$L$25:$AL$25)</f>
        <v>395.2025956281156</v>
      </c>
      <c r="AP25" s="61">
        <f>IF((1 - CUSTOS!$M$25)&lt;&gt;0,1/(1 - CUSTOS!$M$25),1)</f>
        <v>1</v>
      </c>
    </row>
    <row r="26" spans="1:42" ht="11.25" customHeight="1" x14ac:dyDescent="0.3">
      <c r="A26" s="132"/>
      <c r="B26" s="132"/>
      <c r="C26" s="132"/>
      <c r="D26" s="65" t="s">
        <v>31</v>
      </c>
      <c r="E26" s="65" t="s">
        <v>25</v>
      </c>
      <c r="F26" s="65" t="s">
        <v>25</v>
      </c>
      <c r="G26" s="66" t="s">
        <v>81</v>
      </c>
      <c r="H26" s="66" t="s">
        <v>76</v>
      </c>
      <c r="I26" s="66">
        <f>'MERCADO TUSD'!$U$23</f>
        <v>876.00100000000009</v>
      </c>
      <c r="J26" s="15"/>
      <c r="L26" s="61">
        <f>'TR TUSD'!$L$26*'TR TUSD'!$L$63</f>
        <v>0</v>
      </c>
      <c r="M26" s="61">
        <f>'TR TUSD'!$M$26*'TR TUSD'!$M$63</f>
        <v>0.97767197363932501</v>
      </c>
      <c r="N26" s="61">
        <f ca="1">'TR TUSD'!$N$26*'TR TUSD'!$N$63</f>
        <v>4.0367819911130978</v>
      </c>
      <c r="O26" s="61">
        <f>'TR TUSD'!$O$26*'TR TUSD'!$O$63</f>
        <v>0</v>
      </c>
      <c r="P26" s="61">
        <f>'TR TUSD'!$P$26*'TR TUSD'!$P$63</f>
        <v>0</v>
      </c>
      <c r="Q26" s="61">
        <f>'TR TUSD'!$Q$26*'TR TUSD'!$Q$63</f>
        <v>0</v>
      </c>
      <c r="R26" s="61">
        <f>'TR TUSD'!$R$26*'TR TUSD'!$R$63</f>
        <v>0</v>
      </c>
      <c r="S26" s="61">
        <f>'TR TUSD'!$S$26*'TR TUSD'!$S$63</f>
        <v>0</v>
      </c>
      <c r="T26" s="61">
        <f ca="1">SUM($L$26:$S$26)</f>
        <v>5.0144539647524224</v>
      </c>
      <c r="U26" s="61">
        <f>'TR TUSD'!$U$26*'TR TUSD'!$U$63</f>
        <v>0</v>
      </c>
      <c r="V26" s="61">
        <f>'TR TUSD'!$V$26*'TR TUSD'!$V$63</f>
        <v>0</v>
      </c>
      <c r="W26" s="61">
        <f>'TR TUSD'!$W$26*'TR TUSD'!$W$63</f>
        <v>0</v>
      </c>
      <c r="X26" s="61">
        <f>'TR TUSD'!$X$26*'TR TUSD'!$X$63</f>
        <v>0</v>
      </c>
      <c r="Y26" s="61">
        <f>'TR TUSD'!$Y$26*'TR TUSD'!$Y$63</f>
        <v>153.81271235676979</v>
      </c>
      <c r="Z26" s="61">
        <f>'TR TUSD'!$Z$26</f>
        <v>0</v>
      </c>
      <c r="AA26" s="61">
        <f>'TR TUSD'!$AA$26</f>
        <v>0</v>
      </c>
      <c r="AB26" s="61">
        <f>SUM($U$26:$AA$26)</f>
        <v>153.81271235676979</v>
      </c>
      <c r="AC26" s="61">
        <f>'TR TUSD'!$AC$26*'TR TUSD'!$AC$63</f>
        <v>212.54592030761762</v>
      </c>
      <c r="AD26" s="61">
        <f>SUM($AC$26:$AC$26)</f>
        <v>212.54592030761762</v>
      </c>
      <c r="AE26" s="61">
        <v>0</v>
      </c>
      <c r="AF26" s="61">
        <v>0</v>
      </c>
      <c r="AG26" s="61">
        <f>SUM($AE$26:$AF$26)</f>
        <v>0</v>
      </c>
      <c r="AH26" s="61">
        <f>'TR TUSD'!$AH$26*'TR TUSD'!$AH$63</f>
        <v>22.463683973020068</v>
      </c>
      <c r="AI26" s="61">
        <f>'TR TUSD'!$AI$26*'TR TUSD'!$AI$63</f>
        <v>0.22974093191478812</v>
      </c>
      <c r="AJ26" s="61">
        <f ca="1">'TR TUSD'!$AJ$26*'TR TUSD'!$AJ$63</f>
        <v>0.844458782316025</v>
      </c>
      <c r="AK26" s="61">
        <f ca="1">'TR TUSD'!$AK$26*'TR TUSD'!$AK$63</f>
        <v>0.29162531172487466</v>
      </c>
      <c r="AL26" s="61">
        <f ca="1">SUM($AH$26:$AK$26)</f>
        <v>23.829508998975754</v>
      </c>
      <c r="AM26" s="61">
        <f ca="1">SUMIF($L$4:$AL$4,"SUBTOTAL",$L$26:$AL$26)</f>
        <v>395.2025956281156</v>
      </c>
      <c r="AP26" s="61">
        <f>IF((1 - CUSTOS!$M$26)&lt;&gt;0,1/(1 - CUSTOS!$M$26),1)</f>
        <v>1</v>
      </c>
    </row>
    <row r="27" spans="1:42" ht="11.25" customHeight="1" x14ac:dyDescent="0.3">
      <c r="A27" s="132"/>
      <c r="B27" s="132"/>
      <c r="C27" s="132"/>
      <c r="D27" s="65" t="s">
        <v>32</v>
      </c>
      <c r="E27" s="65" t="s">
        <v>25</v>
      </c>
      <c r="F27" s="65" t="s">
        <v>25</v>
      </c>
      <c r="G27" s="66" t="s">
        <v>81</v>
      </c>
      <c r="H27" s="66" t="s">
        <v>76</v>
      </c>
      <c r="I27" s="66">
        <f>'MERCADO TUSD'!$U$24</f>
        <v>331.42999999999995</v>
      </c>
      <c r="J27" s="15"/>
      <c r="L27" s="61">
        <f>'TR TUSD'!$L$27*'TR TUSD'!$L$63</f>
        <v>0</v>
      </c>
      <c r="M27" s="61">
        <f>'TR TUSD'!$M$27*'TR TUSD'!$M$63</f>
        <v>0.97767197363932501</v>
      </c>
      <c r="N27" s="61">
        <f ca="1">'TR TUSD'!$N$27*'TR TUSD'!$N$63</f>
        <v>4.0367819911130978</v>
      </c>
      <c r="O27" s="61">
        <f>'TR TUSD'!$O$27*'TR TUSD'!$O$63</f>
        <v>0</v>
      </c>
      <c r="P27" s="61">
        <f>'TR TUSD'!$P$27*'TR TUSD'!$P$63</f>
        <v>0</v>
      </c>
      <c r="Q27" s="61">
        <f>'TR TUSD'!$Q$27*'TR TUSD'!$Q$63</f>
        <v>0</v>
      </c>
      <c r="R27" s="61">
        <f>'TR TUSD'!$R$27*'TR TUSD'!$R$63</f>
        <v>0</v>
      </c>
      <c r="S27" s="61">
        <f>'TR TUSD'!$S$27*'TR TUSD'!$S$63</f>
        <v>0</v>
      </c>
      <c r="T27" s="61">
        <f ca="1">SUM($L$27:$S$27)</f>
        <v>5.0144539647524224</v>
      </c>
      <c r="U27" s="61">
        <f>'TR TUSD'!$U$27*'TR TUSD'!$U$63</f>
        <v>0</v>
      </c>
      <c r="V27" s="61">
        <f>'TR TUSD'!$V$27*'TR TUSD'!$V$63</f>
        <v>0</v>
      </c>
      <c r="W27" s="61">
        <f>'TR TUSD'!$W$27*'TR TUSD'!$W$63</f>
        <v>0</v>
      </c>
      <c r="X27" s="61">
        <f>'TR TUSD'!$X$27*'TR TUSD'!$X$63</f>
        <v>0</v>
      </c>
      <c r="Y27" s="61">
        <f>'TR TUSD'!$Y$27*'TR TUSD'!$Y$63</f>
        <v>153.81271235676979</v>
      </c>
      <c r="Z27" s="61">
        <f>'TR TUSD'!$Z$27</f>
        <v>0</v>
      </c>
      <c r="AA27" s="61">
        <f>'TR TUSD'!$AA$27</f>
        <v>0</v>
      </c>
      <c r="AB27" s="61">
        <f>SUM($U$27:$AA$27)</f>
        <v>153.81271235676979</v>
      </c>
      <c r="AC27" s="61">
        <f>'TR TUSD'!$AC$27*'TR TUSD'!$AC$63</f>
        <v>212.54592030761762</v>
      </c>
      <c r="AD27" s="61">
        <f>SUM($AC$27:$AC$27)</f>
        <v>212.54592030761762</v>
      </c>
      <c r="AE27" s="61">
        <v>0</v>
      </c>
      <c r="AF27" s="61">
        <v>0</v>
      </c>
      <c r="AG27" s="61">
        <f>SUM($AE$27:$AF$27)</f>
        <v>0</v>
      </c>
      <c r="AH27" s="61">
        <f>'TR TUSD'!$AH$27*'TR TUSD'!$AH$63</f>
        <v>22.463683973020068</v>
      </c>
      <c r="AI27" s="61">
        <f>'TR TUSD'!$AI$27*'TR TUSD'!$AI$63</f>
        <v>0.22974093191478812</v>
      </c>
      <c r="AJ27" s="61">
        <f ca="1">'TR TUSD'!$AJ$27*'TR TUSD'!$AJ$63</f>
        <v>0.844458782316025</v>
      </c>
      <c r="AK27" s="61">
        <f ca="1">'TR TUSD'!$AK$27*'TR TUSD'!$AK$63</f>
        <v>0.29162531172487466</v>
      </c>
      <c r="AL27" s="61">
        <f ca="1">SUM($AH$27:$AK$27)</f>
        <v>23.829508998975754</v>
      </c>
      <c r="AM27" s="61">
        <f ca="1">SUMIF($L$4:$AL$4,"SUBTOTAL",$L$27:$AL$27)</f>
        <v>395.2025956281156</v>
      </c>
      <c r="AP27" s="61">
        <f>IF((1 - CUSTOS!$M$27)&lt;&gt;0,1/(1 - CUSTOS!$M$27),1)</f>
        <v>1</v>
      </c>
    </row>
    <row r="28" spans="1:42" ht="11.25" customHeight="1" x14ac:dyDescent="0.3">
      <c r="A28" s="132"/>
      <c r="B28" s="132" t="s">
        <v>95</v>
      </c>
      <c r="C28" s="132" t="s">
        <v>24</v>
      </c>
      <c r="D28" s="65" t="s">
        <v>24</v>
      </c>
      <c r="E28" s="65" t="s">
        <v>25</v>
      </c>
      <c r="F28" s="65" t="s">
        <v>25</v>
      </c>
      <c r="G28" s="66" t="s">
        <v>81</v>
      </c>
      <c r="H28" s="66" t="s">
        <v>76</v>
      </c>
      <c r="I28" s="66">
        <f>'MERCADO TUSD'!$U$25</f>
        <v>0</v>
      </c>
      <c r="J28" s="15"/>
      <c r="L28" s="61">
        <f>'TR TUSD'!$L$28*'TR TUSD'!$L$63</f>
        <v>3.3908693754687853</v>
      </c>
      <c r="M28" s="61">
        <f>'TR TUSD'!$M$28*'TR TUSD'!$M$63</f>
        <v>0.97767197363932501</v>
      </c>
      <c r="N28" s="61">
        <f ca="1">'TR TUSD'!$N$28*'TR TUSD'!$N$63</f>
        <v>4.0467858013945026</v>
      </c>
      <c r="O28" s="61">
        <f>'TR TUSD'!$O$28*'TR TUSD'!$O$63</f>
        <v>0</v>
      </c>
      <c r="P28" s="61">
        <f>'TR TUSD'!$P$28*'TR TUSD'!$P$63</f>
        <v>0</v>
      </c>
      <c r="Q28" s="61">
        <f>'TR TUSD'!$Q$28*'TR TUSD'!$Q$63</f>
        <v>89.632474658995491</v>
      </c>
      <c r="R28" s="61">
        <f>'TR TUSD'!$R$28*'TR TUSD'!$R$63</f>
        <v>14.187282996785822</v>
      </c>
      <c r="S28" s="61">
        <f>'TR TUSD'!$S$28*'TR TUSD'!$S$63</f>
        <v>0</v>
      </c>
      <c r="T28" s="61">
        <f ca="1">SUM($L$28:$S$28)</f>
        <v>112.23508480628394</v>
      </c>
      <c r="U28" s="61">
        <f>'TR TUSD'!$U$28*'TR TUSD'!$U$63</f>
        <v>0</v>
      </c>
      <c r="V28" s="61">
        <f>'TR TUSD'!$V$28*'TR TUSD'!$V$63</f>
        <v>0</v>
      </c>
      <c r="W28" s="61">
        <f>'TR TUSD'!$W$28*'TR TUSD'!$W$63</f>
        <v>0</v>
      </c>
      <c r="X28" s="61">
        <f>'TR TUSD'!$X$28*'TR TUSD'!$X$63</f>
        <v>0</v>
      </c>
      <c r="Y28" s="61">
        <f>'TR TUSD'!$Y$28*'TR TUSD'!$Y$63</f>
        <v>153.81271235676979</v>
      </c>
      <c r="Z28" s="61">
        <f>'TR TUSD'!$Z$28</f>
        <v>0</v>
      </c>
      <c r="AA28" s="61">
        <f>'TR TUSD'!$AA$28</f>
        <v>0</v>
      </c>
      <c r="AB28" s="61">
        <f>SUM($U$28:$AA$28)</f>
        <v>153.81271235676979</v>
      </c>
      <c r="AC28" s="61">
        <f>'TR TUSD'!$AC$28*'TR TUSD'!$AC$63</f>
        <v>212.54592030761762</v>
      </c>
      <c r="AD28" s="61">
        <f>SUM($AC$28:$AC$28)</f>
        <v>212.54592030761762</v>
      </c>
      <c r="AE28" s="61">
        <v>0</v>
      </c>
      <c r="AF28" s="61">
        <v>0</v>
      </c>
      <c r="AG28" s="61">
        <f>SUM($AE$28:$AF$28)</f>
        <v>0</v>
      </c>
      <c r="AH28" s="61">
        <f>'TR TUSD'!$AH$28*'TR TUSD'!$AH$63</f>
        <v>22.463683973020068</v>
      </c>
      <c r="AI28" s="61">
        <f>'TR TUSD'!$AI$28*'TR TUSD'!$AI$63</f>
        <v>0.22974093191478812</v>
      </c>
      <c r="AJ28" s="61">
        <f ca="1">'TR TUSD'!$AJ$28*'TR TUSD'!$AJ$63</f>
        <v>0.844458782316025</v>
      </c>
      <c r="AK28" s="61">
        <f ca="1">'TR TUSD'!$AK$28*'TR TUSD'!$AK$63</f>
        <v>0.29162531172487466</v>
      </c>
      <c r="AL28" s="61">
        <f ca="1">SUM($AH$28:$AK$28)</f>
        <v>23.829508998975754</v>
      </c>
      <c r="AM28" s="61">
        <f ca="1">SUMIF($L$4:$AL$4,"SUBTOTAL",$L$28:$AL$28)</f>
        <v>502.42322646964709</v>
      </c>
      <c r="AP28" s="61">
        <v>1</v>
      </c>
    </row>
    <row r="29" spans="1:42" ht="11.25" customHeight="1" x14ac:dyDescent="0.3">
      <c r="A29" s="132"/>
      <c r="B29" s="132"/>
      <c r="C29" s="132"/>
      <c r="D29" s="65" t="s">
        <v>29</v>
      </c>
      <c r="E29" s="65" t="s">
        <v>25</v>
      </c>
      <c r="F29" s="65" t="s">
        <v>25</v>
      </c>
      <c r="G29" s="66" t="s">
        <v>81</v>
      </c>
      <c r="H29" s="66" t="s">
        <v>76</v>
      </c>
      <c r="I29" s="66">
        <f>'MERCADO TUSD'!$U$26</f>
        <v>0</v>
      </c>
      <c r="J29" s="15"/>
      <c r="L29" s="61">
        <f>'TR TUSD'!$L$29*'TR TUSD'!$L$63</f>
        <v>0</v>
      </c>
      <c r="M29" s="61">
        <f>'TR TUSD'!$M$29*'TR TUSD'!$M$63</f>
        <v>0.97767197363932501</v>
      </c>
      <c r="N29" s="61">
        <f ca="1">'TR TUSD'!$N$29*'TR TUSD'!$N$63</f>
        <v>4.0367819911130978</v>
      </c>
      <c r="O29" s="61">
        <f>'TR TUSD'!$O$29*'TR TUSD'!$O$63</f>
        <v>0</v>
      </c>
      <c r="P29" s="61">
        <f>'TR TUSD'!$P$29*'TR TUSD'!$P$63</f>
        <v>0</v>
      </c>
      <c r="Q29" s="61">
        <f>'TR TUSD'!$Q$29*'TR TUSD'!$Q$63</f>
        <v>0</v>
      </c>
      <c r="R29" s="61">
        <f>'TR TUSD'!$R$29*'TR TUSD'!$R$63</f>
        <v>0</v>
      </c>
      <c r="S29" s="61">
        <f>'TR TUSD'!$S$29*'TR TUSD'!$S$63</f>
        <v>0</v>
      </c>
      <c r="T29" s="61">
        <f ca="1">SUM($L$29:$S$29)</f>
        <v>5.0144539647524224</v>
      </c>
      <c r="U29" s="61">
        <f>'TR TUSD'!$U$29*'TR TUSD'!$U$63</f>
        <v>0</v>
      </c>
      <c r="V29" s="61">
        <f>'TR TUSD'!$V$29*'TR TUSD'!$V$63</f>
        <v>0</v>
      </c>
      <c r="W29" s="61">
        <f>'TR TUSD'!$W$29*'TR TUSD'!$W$63</f>
        <v>0</v>
      </c>
      <c r="X29" s="61">
        <f>'TR TUSD'!$X$29*'TR TUSD'!$X$63</f>
        <v>0</v>
      </c>
      <c r="Y29" s="61">
        <f>'TR TUSD'!$Y$29*'TR TUSD'!$Y$63</f>
        <v>153.81271235676979</v>
      </c>
      <c r="Z29" s="61">
        <f>'TR TUSD'!$Z$29</f>
        <v>0</v>
      </c>
      <c r="AA29" s="61">
        <f>'TR TUSD'!$AA$29</f>
        <v>0</v>
      </c>
      <c r="AB29" s="61">
        <f>SUM($U$29:$AA$29)</f>
        <v>153.81271235676979</v>
      </c>
      <c r="AC29" s="61">
        <f>'TR TUSD'!$AC$29*'TR TUSD'!$AC$63</f>
        <v>212.54592030761762</v>
      </c>
      <c r="AD29" s="61">
        <f>SUM($AC$29:$AC$29)</f>
        <v>212.54592030761762</v>
      </c>
      <c r="AE29" s="61">
        <v>0</v>
      </c>
      <c r="AF29" s="61">
        <v>0</v>
      </c>
      <c r="AG29" s="61">
        <f>SUM($AE$29:$AF$29)</f>
        <v>0</v>
      </c>
      <c r="AH29" s="61">
        <f>'TR TUSD'!$AH$29*'TR TUSD'!$AH$63</f>
        <v>22.463683973020068</v>
      </c>
      <c r="AI29" s="61">
        <f>'TR TUSD'!$AI$29*'TR TUSD'!$AI$63</f>
        <v>0.22974093191478812</v>
      </c>
      <c r="AJ29" s="61">
        <f ca="1">'TR TUSD'!$AJ$29*'TR TUSD'!$AJ$63</f>
        <v>0.844458782316025</v>
      </c>
      <c r="AK29" s="61">
        <f ca="1">'TR TUSD'!$AK$29*'TR TUSD'!$AK$63</f>
        <v>0.29162531172487466</v>
      </c>
      <c r="AL29" s="61">
        <f ca="1">SUM($AH$29:$AK$29)</f>
        <v>23.829508998975754</v>
      </c>
      <c r="AM29" s="61">
        <f ca="1">SUMIF($L$4:$AL$4,"SUBTOTAL",$L$29:$AL$29)</f>
        <v>395.2025956281156</v>
      </c>
      <c r="AP29" s="61">
        <f>IF((1 - CUSTOS!$M$24)&lt;&gt;0,1/(1 - CUSTOS!$M$24),1)</f>
        <v>1</v>
      </c>
    </row>
    <row r="30" spans="1:42" ht="11.25" customHeight="1" x14ac:dyDescent="0.3">
      <c r="A30" s="132"/>
      <c r="B30" s="132"/>
      <c r="C30" s="132"/>
      <c r="D30" s="65" t="s">
        <v>30</v>
      </c>
      <c r="E30" s="65" t="s">
        <v>25</v>
      </c>
      <c r="F30" s="65" t="s">
        <v>25</v>
      </c>
      <c r="G30" s="66" t="s">
        <v>81</v>
      </c>
      <c r="H30" s="66" t="s">
        <v>76</v>
      </c>
      <c r="I30" s="66">
        <f>'MERCADO TUSD'!$U$27</f>
        <v>0</v>
      </c>
      <c r="J30" s="15"/>
      <c r="L30" s="61">
        <f>'TR TUSD'!$L$30*'TR TUSD'!$L$63</f>
        <v>0</v>
      </c>
      <c r="M30" s="61">
        <f>'TR TUSD'!$M$30*'TR TUSD'!$M$63</f>
        <v>0.97767197363932501</v>
      </c>
      <c r="N30" s="61">
        <f ca="1">'TR TUSD'!$N$30*'TR TUSD'!$N$63</f>
        <v>4.0367819911130978</v>
      </c>
      <c r="O30" s="61">
        <f>'TR TUSD'!$O$30*'TR TUSD'!$O$63</f>
        <v>0</v>
      </c>
      <c r="P30" s="61">
        <f>'TR TUSD'!$P$30*'TR TUSD'!$P$63</f>
        <v>0</v>
      </c>
      <c r="Q30" s="61">
        <f>'TR TUSD'!$Q$30*'TR TUSD'!$Q$63</f>
        <v>0</v>
      </c>
      <c r="R30" s="61">
        <f>'TR TUSD'!$R$30*'TR TUSD'!$R$63</f>
        <v>0</v>
      </c>
      <c r="S30" s="61">
        <f>'TR TUSD'!$S$30*'TR TUSD'!$S$63</f>
        <v>0</v>
      </c>
      <c r="T30" s="61">
        <f ca="1">SUM($L$30:$S$30)</f>
        <v>5.0144539647524224</v>
      </c>
      <c r="U30" s="61">
        <f>'TR TUSD'!$U$30*'TR TUSD'!$U$63</f>
        <v>0</v>
      </c>
      <c r="V30" s="61">
        <f>'TR TUSD'!$V$30*'TR TUSD'!$V$63</f>
        <v>0</v>
      </c>
      <c r="W30" s="61">
        <f>'TR TUSD'!$W$30*'TR TUSD'!$W$63</f>
        <v>0</v>
      </c>
      <c r="X30" s="61">
        <f>'TR TUSD'!$X$30*'TR TUSD'!$X$63</f>
        <v>0</v>
      </c>
      <c r="Y30" s="61">
        <f>'TR TUSD'!$Y$30*'TR TUSD'!$Y$63</f>
        <v>153.81271235676979</v>
      </c>
      <c r="Z30" s="61">
        <f>'TR TUSD'!$Z$30</f>
        <v>0</v>
      </c>
      <c r="AA30" s="61">
        <f>'TR TUSD'!$AA$30</f>
        <v>0</v>
      </c>
      <c r="AB30" s="61">
        <f>SUM($U$30:$AA$30)</f>
        <v>153.81271235676979</v>
      </c>
      <c r="AC30" s="61">
        <f>'TR TUSD'!$AC$30*'TR TUSD'!$AC$63</f>
        <v>212.54592030761762</v>
      </c>
      <c r="AD30" s="61">
        <f>SUM($AC$30:$AC$30)</f>
        <v>212.54592030761762</v>
      </c>
      <c r="AE30" s="61">
        <v>0</v>
      </c>
      <c r="AF30" s="61">
        <v>0</v>
      </c>
      <c r="AG30" s="61">
        <f>SUM($AE$30:$AF$30)</f>
        <v>0</v>
      </c>
      <c r="AH30" s="61">
        <f>'TR TUSD'!$AH$30*'TR TUSD'!$AH$63</f>
        <v>22.463683973020068</v>
      </c>
      <c r="AI30" s="61">
        <f>'TR TUSD'!$AI$30*'TR TUSD'!$AI$63</f>
        <v>0.22974093191478812</v>
      </c>
      <c r="AJ30" s="61">
        <f ca="1">'TR TUSD'!$AJ$30*'TR TUSD'!$AJ$63</f>
        <v>0.844458782316025</v>
      </c>
      <c r="AK30" s="61">
        <f ca="1">'TR TUSD'!$AK$30*'TR TUSD'!$AK$63</f>
        <v>0.29162531172487466</v>
      </c>
      <c r="AL30" s="61">
        <f ca="1">SUM($AH$30:$AK$30)</f>
        <v>23.829508998975754</v>
      </c>
      <c r="AM30" s="61">
        <f ca="1">SUMIF($L$4:$AL$4,"SUBTOTAL",$L$30:$AL$30)</f>
        <v>395.2025956281156</v>
      </c>
      <c r="AP30" s="61">
        <f>IF((1 - CUSTOS!$M$25)&lt;&gt;0,1/(1 - CUSTOS!$M$25),1)</f>
        <v>1</v>
      </c>
    </row>
    <row r="31" spans="1:42" ht="11.25" customHeight="1" x14ac:dyDescent="0.3">
      <c r="A31" s="132"/>
      <c r="B31" s="132"/>
      <c r="C31" s="132"/>
      <c r="D31" s="65" t="s">
        <v>31</v>
      </c>
      <c r="E31" s="65" t="s">
        <v>25</v>
      </c>
      <c r="F31" s="65" t="s">
        <v>25</v>
      </c>
      <c r="G31" s="66" t="s">
        <v>81</v>
      </c>
      <c r="H31" s="66" t="s">
        <v>76</v>
      </c>
      <c r="I31" s="66">
        <f>'MERCADO TUSD'!$U$28</f>
        <v>0</v>
      </c>
      <c r="J31" s="15"/>
      <c r="L31" s="61">
        <f>'TR TUSD'!$L$31*'TR TUSD'!$L$63</f>
        <v>0</v>
      </c>
      <c r="M31" s="61">
        <f>'TR TUSD'!$M$31*'TR TUSD'!$M$63</f>
        <v>0.97767197363932501</v>
      </c>
      <c r="N31" s="61">
        <f ca="1">'TR TUSD'!$N$31*'TR TUSD'!$N$63</f>
        <v>4.0367819911130978</v>
      </c>
      <c r="O31" s="61">
        <f>'TR TUSD'!$O$31*'TR TUSD'!$O$63</f>
        <v>0</v>
      </c>
      <c r="P31" s="61">
        <f>'TR TUSD'!$P$31*'TR TUSD'!$P$63</f>
        <v>0</v>
      </c>
      <c r="Q31" s="61">
        <f>'TR TUSD'!$Q$31*'TR TUSD'!$Q$63</f>
        <v>0</v>
      </c>
      <c r="R31" s="61">
        <f>'TR TUSD'!$R$31*'TR TUSD'!$R$63</f>
        <v>0</v>
      </c>
      <c r="S31" s="61">
        <f>'TR TUSD'!$S$31*'TR TUSD'!$S$63</f>
        <v>0</v>
      </c>
      <c r="T31" s="61">
        <f ca="1">SUM($L$31:$S$31)</f>
        <v>5.0144539647524224</v>
      </c>
      <c r="U31" s="61">
        <f>'TR TUSD'!$U$31*'TR TUSD'!$U$63</f>
        <v>0</v>
      </c>
      <c r="V31" s="61">
        <f>'TR TUSD'!$V$31*'TR TUSD'!$V$63</f>
        <v>0</v>
      </c>
      <c r="W31" s="61">
        <f>'TR TUSD'!$W$31*'TR TUSD'!$W$63</f>
        <v>0</v>
      </c>
      <c r="X31" s="61">
        <f>'TR TUSD'!$X$31*'TR TUSD'!$X$63</f>
        <v>0</v>
      </c>
      <c r="Y31" s="61">
        <f>'TR TUSD'!$Y$31*'TR TUSD'!$Y$63</f>
        <v>153.81271235676979</v>
      </c>
      <c r="Z31" s="61">
        <f>'TR TUSD'!$Z$31</f>
        <v>0</v>
      </c>
      <c r="AA31" s="61">
        <f>'TR TUSD'!$AA$31</f>
        <v>0</v>
      </c>
      <c r="AB31" s="61">
        <f>SUM($U$31:$AA$31)</f>
        <v>153.81271235676979</v>
      </c>
      <c r="AC31" s="61">
        <f>'TR TUSD'!$AC$31*'TR TUSD'!$AC$63</f>
        <v>212.54592030761762</v>
      </c>
      <c r="AD31" s="61">
        <f>SUM($AC$31:$AC$31)</f>
        <v>212.54592030761762</v>
      </c>
      <c r="AE31" s="61">
        <v>0</v>
      </c>
      <c r="AF31" s="61">
        <v>0</v>
      </c>
      <c r="AG31" s="61">
        <f>SUM($AE$31:$AF$31)</f>
        <v>0</v>
      </c>
      <c r="AH31" s="61">
        <f>'TR TUSD'!$AH$31*'TR TUSD'!$AH$63</f>
        <v>22.463683973020068</v>
      </c>
      <c r="AI31" s="61">
        <f>'TR TUSD'!$AI$31*'TR TUSD'!$AI$63</f>
        <v>0.22974093191478812</v>
      </c>
      <c r="AJ31" s="61">
        <f ca="1">'TR TUSD'!$AJ$31*'TR TUSD'!$AJ$63</f>
        <v>0.844458782316025</v>
      </c>
      <c r="AK31" s="61">
        <f ca="1">'TR TUSD'!$AK$31*'TR TUSD'!$AK$63</f>
        <v>0.29162531172487466</v>
      </c>
      <c r="AL31" s="61">
        <f ca="1">SUM($AH$31:$AK$31)</f>
        <v>23.829508998975754</v>
      </c>
      <c r="AM31" s="61">
        <f ca="1">SUMIF($L$4:$AL$4,"SUBTOTAL",$L$31:$AL$31)</f>
        <v>395.2025956281156</v>
      </c>
      <c r="AP31" s="61">
        <f>IF((1 - CUSTOS!$M$26)&lt;&gt;0,1/(1 - CUSTOS!$M$26),1)</f>
        <v>1</v>
      </c>
    </row>
    <row r="32" spans="1:42" ht="11.25" customHeight="1" x14ac:dyDescent="0.3">
      <c r="A32" s="132"/>
      <c r="B32" s="132"/>
      <c r="C32" s="132"/>
      <c r="D32" s="65" t="s">
        <v>32</v>
      </c>
      <c r="E32" s="65" t="s">
        <v>25</v>
      </c>
      <c r="F32" s="65" t="s">
        <v>25</v>
      </c>
      <c r="G32" s="66" t="s">
        <v>81</v>
      </c>
      <c r="H32" s="66" t="s">
        <v>76</v>
      </c>
      <c r="I32" s="66">
        <f>'MERCADO TUSD'!$U$29</f>
        <v>0</v>
      </c>
      <c r="J32" s="15"/>
      <c r="L32" s="61">
        <f>'TR TUSD'!$L$32*'TR TUSD'!$L$63</f>
        <v>0</v>
      </c>
      <c r="M32" s="61">
        <f>'TR TUSD'!$M$32*'TR TUSD'!$M$63</f>
        <v>0.97767197363932501</v>
      </c>
      <c r="N32" s="61">
        <f ca="1">'TR TUSD'!$N$32*'TR TUSD'!$N$63</f>
        <v>4.0367819911130978</v>
      </c>
      <c r="O32" s="61">
        <f>'TR TUSD'!$O$32*'TR TUSD'!$O$63</f>
        <v>0</v>
      </c>
      <c r="P32" s="61">
        <f>'TR TUSD'!$P$32*'TR TUSD'!$P$63</f>
        <v>0</v>
      </c>
      <c r="Q32" s="61">
        <f>'TR TUSD'!$Q$32*'TR TUSD'!$Q$63</f>
        <v>0</v>
      </c>
      <c r="R32" s="61">
        <f>'TR TUSD'!$R$32*'TR TUSD'!$R$63</f>
        <v>0</v>
      </c>
      <c r="S32" s="61">
        <f>'TR TUSD'!$S$32*'TR TUSD'!$S$63</f>
        <v>0</v>
      </c>
      <c r="T32" s="61">
        <f ca="1">SUM($L$32:$S$32)</f>
        <v>5.0144539647524224</v>
      </c>
      <c r="U32" s="61">
        <f>'TR TUSD'!$U$32*'TR TUSD'!$U$63</f>
        <v>0</v>
      </c>
      <c r="V32" s="61">
        <f>'TR TUSD'!$V$32*'TR TUSD'!$V$63</f>
        <v>0</v>
      </c>
      <c r="W32" s="61">
        <f>'TR TUSD'!$W$32*'TR TUSD'!$W$63</f>
        <v>0</v>
      </c>
      <c r="X32" s="61">
        <f>'TR TUSD'!$X$32*'TR TUSD'!$X$63</f>
        <v>0</v>
      </c>
      <c r="Y32" s="61">
        <f>'TR TUSD'!$Y$32*'TR TUSD'!$Y$63</f>
        <v>153.81271235676979</v>
      </c>
      <c r="Z32" s="61">
        <f>'TR TUSD'!$Z$32</f>
        <v>0</v>
      </c>
      <c r="AA32" s="61">
        <f>'TR TUSD'!$AA$32</f>
        <v>0</v>
      </c>
      <c r="AB32" s="61">
        <f>SUM($U$32:$AA$32)</f>
        <v>153.81271235676979</v>
      </c>
      <c r="AC32" s="61">
        <f>'TR TUSD'!$AC$32*'TR TUSD'!$AC$63</f>
        <v>212.54592030761762</v>
      </c>
      <c r="AD32" s="61">
        <f>SUM($AC$32:$AC$32)</f>
        <v>212.54592030761762</v>
      </c>
      <c r="AE32" s="61">
        <v>0</v>
      </c>
      <c r="AF32" s="61">
        <v>0</v>
      </c>
      <c r="AG32" s="61">
        <f>SUM($AE$32:$AF$32)</f>
        <v>0</v>
      </c>
      <c r="AH32" s="61">
        <f>'TR TUSD'!$AH$32*'TR TUSD'!$AH$63</f>
        <v>22.463683973020068</v>
      </c>
      <c r="AI32" s="61">
        <f>'TR TUSD'!$AI$32*'TR TUSD'!$AI$63</f>
        <v>0.22974093191478812</v>
      </c>
      <c r="AJ32" s="61">
        <f ca="1">'TR TUSD'!$AJ$32*'TR TUSD'!$AJ$63</f>
        <v>0.844458782316025</v>
      </c>
      <c r="AK32" s="61">
        <f ca="1">'TR TUSD'!$AK$32*'TR TUSD'!$AK$63</f>
        <v>0.29162531172487466</v>
      </c>
      <c r="AL32" s="61">
        <f ca="1">SUM($AH$32:$AK$32)</f>
        <v>23.829508998975754</v>
      </c>
      <c r="AM32" s="61">
        <f ca="1">SUMIF($L$4:$AL$4,"SUBTOTAL",$L$32:$AL$32)</f>
        <v>395.2025956281156</v>
      </c>
      <c r="AP32" s="61">
        <f>IF((1 - CUSTOS!$M$27)&lt;&gt;0,1/(1 - CUSTOS!$M$27),1)</f>
        <v>1</v>
      </c>
    </row>
    <row r="33" spans="1:42" ht="11.25" customHeight="1" x14ac:dyDescent="0.3">
      <c r="A33" s="132" t="s">
        <v>42</v>
      </c>
      <c r="B33" s="132" t="s">
        <v>33</v>
      </c>
      <c r="C33" s="132" t="s">
        <v>43</v>
      </c>
      <c r="D33" s="132" t="s">
        <v>25</v>
      </c>
      <c r="E33" s="132" t="s">
        <v>25</v>
      </c>
      <c r="F33" s="132" t="s">
        <v>25</v>
      </c>
      <c r="G33" s="66" t="s">
        <v>77</v>
      </c>
      <c r="H33" s="66" t="s">
        <v>76</v>
      </c>
      <c r="I33" s="66">
        <f>'MERCADO TUSD'!$U$30</f>
        <v>0.36099999999999999</v>
      </c>
      <c r="J33" s="15"/>
      <c r="L33" s="61">
        <f>'TR TUSD'!$L$33*'TR TUSD'!$L$63</f>
        <v>3.3908693754687853</v>
      </c>
      <c r="M33" s="61">
        <f>'TR TUSD'!$M$33*'TR TUSD'!$M$63</f>
        <v>0.97767197363932501</v>
      </c>
      <c r="N33" s="61">
        <f ca="1">'TR TUSD'!$N$33*'TR TUSD'!$N$63</f>
        <v>11.287280582864478</v>
      </c>
      <c r="O33" s="61">
        <f>'TR TUSD'!$O$33*'TR TUSD'!$O$63</f>
        <v>0</v>
      </c>
      <c r="P33" s="61">
        <f>'TR TUSD'!$P$33*'TR TUSD'!$P$63</f>
        <v>0</v>
      </c>
      <c r="Q33" s="61">
        <f>'TR TUSD'!$Q$33*'TR TUSD'!$Q$63</f>
        <v>89.632474658995491</v>
      </c>
      <c r="R33" s="61">
        <f>'TR TUSD'!$R$33*'TR TUSD'!$R$63</f>
        <v>14.187282996785822</v>
      </c>
      <c r="S33" s="61">
        <f>'TR TUSD'!$S$33*'TR TUSD'!$S$63</f>
        <v>0</v>
      </c>
      <c r="T33" s="61">
        <f ca="1">SUM($L$33:$S$33)</f>
        <v>119.4755795877539</v>
      </c>
      <c r="U33" s="61">
        <f>'TR TUSD'!$U$33*'TR TUSD'!$U$63</f>
        <v>0</v>
      </c>
      <c r="V33" s="61">
        <f>'TR TUSD'!$V$33*'TR TUSD'!$V$63</f>
        <v>0</v>
      </c>
      <c r="W33" s="61">
        <f>'TR TUSD'!$W$33*'TR TUSD'!$W$63</f>
        <v>0</v>
      </c>
      <c r="X33" s="61">
        <f>'TR TUSD'!$X$33*'TR TUSD'!$X$63</f>
        <v>0</v>
      </c>
      <c r="Y33" s="61">
        <f>'TR TUSD'!$Y$33*'TR TUSD'!$Y$63</f>
        <v>484.5101258684071</v>
      </c>
      <c r="Z33" s="61">
        <f>'TR TUSD'!$Z$33</f>
        <v>0</v>
      </c>
      <c r="AA33" s="61">
        <f>'TR TUSD'!$AA$33</f>
        <v>0</v>
      </c>
      <c r="AB33" s="61">
        <f>SUM($U$33:$AA$33)</f>
        <v>484.5101258684071</v>
      </c>
      <c r="AC33" s="61">
        <f>'TR TUSD'!$AC$33*'TR TUSD'!$AC$63</f>
        <v>669.51963811714211</v>
      </c>
      <c r="AD33" s="61">
        <f>SUM($AC$33:$AC$33)</f>
        <v>669.51963811714211</v>
      </c>
      <c r="AE33" s="61">
        <v>0</v>
      </c>
      <c r="AF33" s="61">
        <v>0</v>
      </c>
      <c r="AG33" s="61">
        <f>SUM($AE$33:$AF$33)</f>
        <v>0</v>
      </c>
      <c r="AH33" s="61">
        <f>'TR TUSD'!$AH$33*'TR TUSD'!$AH$63</f>
        <v>22.463683973020068</v>
      </c>
      <c r="AI33" s="61">
        <f>'TR TUSD'!$AI$33*'TR TUSD'!$AI$63</f>
        <v>0.22974093191478812</v>
      </c>
      <c r="AJ33" s="61">
        <f ca="1">'TR TUSD'!$AJ$33*'TR TUSD'!$AJ$63</f>
        <v>0.844458782316025</v>
      </c>
      <c r="AK33" s="61">
        <f ca="1">'TR TUSD'!$AK$33*'TR TUSD'!$AK$63</f>
        <v>0.29162531172487466</v>
      </c>
      <c r="AL33" s="61">
        <f ca="1">SUM($AH$33:$AK$33)</f>
        <v>23.829508998975754</v>
      </c>
      <c r="AM33" s="61">
        <f ca="1">SUMIF($L$4:$AL$4,"SUBTOTAL",$L$33:$AL$33)</f>
        <v>1297.3348525722788</v>
      </c>
      <c r="AP33" s="61">
        <f>IF((1 - CUSTOS!$M$28)&lt;&gt;0,1/(1 - CUSTOS!$M$28),1)</f>
        <v>1</v>
      </c>
    </row>
    <row r="34" spans="1:42" ht="11.25" customHeight="1" x14ac:dyDescent="0.3">
      <c r="A34" s="132"/>
      <c r="B34" s="132"/>
      <c r="C34" s="132"/>
      <c r="D34" s="132"/>
      <c r="E34" s="132"/>
      <c r="F34" s="132"/>
      <c r="G34" s="66" t="s">
        <v>93</v>
      </c>
      <c r="H34" s="66" t="s">
        <v>76</v>
      </c>
      <c r="I34" s="66">
        <f>'MERCADO TUSD'!$U$31</f>
        <v>0.21399999999999994</v>
      </c>
      <c r="J34" s="15"/>
      <c r="L34" s="61">
        <f>'TR TUSD'!$L$34*'TR TUSD'!$L$63</f>
        <v>3.3908693754687853</v>
      </c>
      <c r="M34" s="61">
        <f>'TR TUSD'!$M$34*'TR TUSD'!$M$63</f>
        <v>0.97767197363932501</v>
      </c>
      <c r="N34" s="61">
        <f ca="1">'TR TUSD'!$N$34*'TR TUSD'!$N$63</f>
        <v>7.0440133944716292</v>
      </c>
      <c r="O34" s="61">
        <f>'TR TUSD'!$O$34*'TR TUSD'!$O$63</f>
        <v>0</v>
      </c>
      <c r="P34" s="61">
        <f>'TR TUSD'!$P$34*'TR TUSD'!$P$63</f>
        <v>0</v>
      </c>
      <c r="Q34" s="61">
        <f>'TR TUSD'!$Q$34*'TR TUSD'!$Q$63</f>
        <v>89.632474658995491</v>
      </c>
      <c r="R34" s="61">
        <f>'TR TUSD'!$R$34*'TR TUSD'!$R$63</f>
        <v>14.187282996785822</v>
      </c>
      <c r="S34" s="61">
        <f>'TR TUSD'!$S$34*'TR TUSD'!$S$63</f>
        <v>0</v>
      </c>
      <c r="T34" s="61">
        <f ca="1">SUM($L$34:$S$34)</f>
        <v>115.23231239936106</v>
      </c>
      <c r="U34" s="61">
        <f>'TR TUSD'!$U$34*'TR TUSD'!$U$63</f>
        <v>0</v>
      </c>
      <c r="V34" s="61">
        <f>'TR TUSD'!$V$34*'TR TUSD'!$V$63</f>
        <v>0</v>
      </c>
      <c r="W34" s="61">
        <f>'TR TUSD'!$W$34*'TR TUSD'!$W$63</f>
        <v>0</v>
      </c>
      <c r="X34" s="61">
        <f>'TR TUSD'!$X$34*'TR TUSD'!$X$63</f>
        <v>0</v>
      </c>
      <c r="Y34" s="61">
        <f>'TR TUSD'!$Y$34*'TR TUSD'!$Y$63</f>
        <v>290.70605366915566</v>
      </c>
      <c r="Z34" s="61">
        <f>'TR TUSD'!$Z$34</f>
        <v>0</v>
      </c>
      <c r="AA34" s="61">
        <f>'TR TUSD'!$AA$34</f>
        <v>0</v>
      </c>
      <c r="AB34" s="61">
        <f>SUM($U$34:$AA$34)</f>
        <v>290.70605366915566</v>
      </c>
      <c r="AC34" s="61">
        <f>'TR TUSD'!$AC$34*'TR TUSD'!$AC$63</f>
        <v>401.71173946287161</v>
      </c>
      <c r="AD34" s="61">
        <f>SUM($AC$34:$AC$34)</f>
        <v>401.71173946287161</v>
      </c>
      <c r="AE34" s="61">
        <v>0</v>
      </c>
      <c r="AF34" s="61">
        <v>0</v>
      </c>
      <c r="AG34" s="61">
        <f>SUM($AE$34:$AF$34)</f>
        <v>0</v>
      </c>
      <c r="AH34" s="61">
        <f>'TR TUSD'!$AH$34*'TR TUSD'!$AH$63</f>
        <v>22.463683973020068</v>
      </c>
      <c r="AI34" s="61">
        <f>'TR TUSD'!$AI$34*'TR TUSD'!$AI$63</f>
        <v>0.22974093191478812</v>
      </c>
      <c r="AJ34" s="61">
        <f ca="1">'TR TUSD'!$AJ$34*'TR TUSD'!$AJ$63</f>
        <v>0.844458782316025</v>
      </c>
      <c r="AK34" s="61">
        <f ca="1">'TR TUSD'!$AK$34*'TR TUSD'!$AK$63</f>
        <v>0.29162531172487466</v>
      </c>
      <c r="AL34" s="61">
        <f ca="1">SUM($AH$34:$AK$34)</f>
        <v>23.829508998975754</v>
      </c>
      <c r="AM34" s="61">
        <f ca="1">SUMIF($L$4:$AL$4,"SUBTOTAL",$L$34:$AL$34)</f>
        <v>831.47961453036407</v>
      </c>
      <c r="AP34" s="61">
        <f>IF((1 - CUSTOS!$M$28)&lt;&gt;0,1/(1 - CUSTOS!$M$28),1)</f>
        <v>1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66" t="s">
        <v>78</v>
      </c>
      <c r="H35" s="66" t="s">
        <v>76</v>
      </c>
      <c r="I35" s="66">
        <f>'MERCADO TUSD'!$U$32</f>
        <v>2.4970000000000008</v>
      </c>
      <c r="J35" s="15"/>
      <c r="L35" s="61">
        <f>'TR TUSD'!$L$35*'TR TUSD'!$L$63</f>
        <v>3.3908693754687853</v>
      </c>
      <c r="M35" s="61">
        <f>'TR TUSD'!$M$35*'TR TUSD'!$M$63</f>
        <v>0.97767197363932501</v>
      </c>
      <c r="N35" s="61">
        <f ca="1">'TR TUSD'!$N$35*'TR TUSD'!$N$63</f>
        <v>2.8007472064598056</v>
      </c>
      <c r="O35" s="61">
        <f>'TR TUSD'!$O$35*'TR TUSD'!$O$63</f>
        <v>0</v>
      </c>
      <c r="P35" s="61">
        <f>'TR TUSD'!$P$35*'TR TUSD'!$P$63</f>
        <v>0</v>
      </c>
      <c r="Q35" s="61">
        <f>'TR TUSD'!$Q$35*'TR TUSD'!$Q$63</f>
        <v>89.632474658995491</v>
      </c>
      <c r="R35" s="61">
        <f>'TR TUSD'!$R$35*'TR TUSD'!$R$63</f>
        <v>14.187282996785822</v>
      </c>
      <c r="S35" s="61">
        <f>'TR TUSD'!$S$35*'TR TUSD'!$S$63</f>
        <v>0</v>
      </c>
      <c r="T35" s="61">
        <f ca="1">SUM($L$35:$S$35)</f>
        <v>110.98904621134923</v>
      </c>
      <c r="U35" s="61">
        <f>'TR TUSD'!$U$35*'TR TUSD'!$U$63</f>
        <v>0</v>
      </c>
      <c r="V35" s="61">
        <f>'TR TUSD'!$V$35*'TR TUSD'!$V$63</f>
        <v>0</v>
      </c>
      <c r="W35" s="61">
        <f>'TR TUSD'!$W$35*'TR TUSD'!$W$63</f>
        <v>0</v>
      </c>
      <c r="X35" s="61">
        <f>'TR TUSD'!$X$35*'TR TUSD'!$X$63</f>
        <v>0</v>
      </c>
      <c r="Y35" s="61">
        <f>'TR TUSD'!$Y$35*'TR TUSD'!$Y$63</f>
        <v>96.901981469904229</v>
      </c>
      <c r="Z35" s="61">
        <f>'TR TUSD'!$Z$35</f>
        <v>0</v>
      </c>
      <c r="AA35" s="61">
        <f>'TR TUSD'!$AA$35</f>
        <v>0</v>
      </c>
      <c r="AB35" s="61">
        <f>SUM($U$35:$AA$35)</f>
        <v>96.901981469904229</v>
      </c>
      <c r="AC35" s="61">
        <f>'TR TUSD'!$AC$35*'TR TUSD'!$AC$63</f>
        <v>133.90394932713525</v>
      </c>
      <c r="AD35" s="61">
        <f>SUM($AC$35:$AC$35)</f>
        <v>133.90394932713525</v>
      </c>
      <c r="AE35" s="61">
        <v>0</v>
      </c>
      <c r="AF35" s="61">
        <v>0</v>
      </c>
      <c r="AG35" s="61">
        <f>SUM($AE$35:$AF$35)</f>
        <v>0</v>
      </c>
      <c r="AH35" s="61">
        <f>'TR TUSD'!$AH$35*'TR TUSD'!$AH$63</f>
        <v>22.463683973020068</v>
      </c>
      <c r="AI35" s="61">
        <f>'TR TUSD'!$AI$35*'TR TUSD'!$AI$63</f>
        <v>0.22974093191478812</v>
      </c>
      <c r="AJ35" s="61">
        <f ca="1">'TR TUSD'!$AJ$35*'TR TUSD'!$AJ$63</f>
        <v>0.844458782316025</v>
      </c>
      <c r="AK35" s="61">
        <f ca="1">'TR TUSD'!$AK$35*'TR TUSD'!$AK$63</f>
        <v>0.29162531172487466</v>
      </c>
      <c r="AL35" s="61">
        <f ca="1">SUM($AH$35:$AK$35)</f>
        <v>23.829508998975754</v>
      </c>
      <c r="AM35" s="61">
        <f ca="1">SUMIF($L$4:$AL$4,"SUBTOTAL",$L$35:$AL$35)</f>
        <v>365.62448600736451</v>
      </c>
      <c r="AP35" s="61">
        <f>IF((1 - CUSTOS!$M$28)&lt;&gt;0,1/(1 - CUSTOS!$M$28),1)</f>
        <v>1</v>
      </c>
    </row>
    <row r="36" spans="1:42" ht="11.25" customHeight="1" x14ac:dyDescent="0.3">
      <c r="A36" s="132"/>
      <c r="B36" s="65" t="s">
        <v>23</v>
      </c>
      <c r="C36" s="65" t="s">
        <v>43</v>
      </c>
      <c r="D36" s="65" t="s">
        <v>25</v>
      </c>
      <c r="E36" s="65" t="s">
        <v>25</v>
      </c>
      <c r="F36" s="65" t="s">
        <v>25</v>
      </c>
      <c r="G36" s="66" t="s">
        <v>81</v>
      </c>
      <c r="H36" s="66" t="s">
        <v>76</v>
      </c>
      <c r="I36" s="66">
        <f>'MERCADO TUSD'!$U$33</f>
        <v>18691.718999999997</v>
      </c>
      <c r="J36" s="15"/>
      <c r="L36" s="61">
        <f>'TR TUSD'!$L$36*'TR TUSD'!$L$63</f>
        <v>3.3908693754687853</v>
      </c>
      <c r="M36" s="61">
        <f>'TR TUSD'!$M$36*'TR TUSD'!$M$63</f>
        <v>0.97767197363932501</v>
      </c>
      <c r="N36" s="61">
        <f ca="1">'TR TUSD'!$N$36*'TR TUSD'!$N$63</f>
        <v>4.0467858013945026</v>
      </c>
      <c r="O36" s="61">
        <f>'TR TUSD'!$O$36*'TR TUSD'!$O$63</f>
        <v>0</v>
      </c>
      <c r="P36" s="61">
        <f>'TR TUSD'!$P$36*'TR TUSD'!$P$63</f>
        <v>0</v>
      </c>
      <c r="Q36" s="61">
        <f>'TR TUSD'!$Q$36*'TR TUSD'!$Q$63</f>
        <v>89.632474658995491</v>
      </c>
      <c r="R36" s="61">
        <f>'TR TUSD'!$R$36*'TR TUSD'!$R$63</f>
        <v>14.187282996785822</v>
      </c>
      <c r="S36" s="61">
        <f>'TR TUSD'!$S$36*'TR TUSD'!$S$63</f>
        <v>0</v>
      </c>
      <c r="T36" s="61">
        <f ca="1">SUM($L$36:$S$36)</f>
        <v>112.23508480628394</v>
      </c>
      <c r="U36" s="61">
        <f>'TR TUSD'!$U$36*'TR TUSD'!$U$63</f>
        <v>0</v>
      </c>
      <c r="V36" s="61">
        <f>'TR TUSD'!$V$36*'TR TUSD'!$V$63</f>
        <v>0</v>
      </c>
      <c r="W36" s="61">
        <f>'TR TUSD'!$W$36*'TR TUSD'!$W$63</f>
        <v>0</v>
      </c>
      <c r="X36" s="61">
        <f>'TR TUSD'!$X$36*'TR TUSD'!$X$63</f>
        <v>0</v>
      </c>
      <c r="Y36" s="61">
        <f>'TR TUSD'!$Y$36*'TR TUSD'!$Y$63</f>
        <v>153.81271235676979</v>
      </c>
      <c r="Z36" s="61">
        <f>'TR TUSD'!$Z$36</f>
        <v>0</v>
      </c>
      <c r="AA36" s="61">
        <f>'TR TUSD'!$AA$36</f>
        <v>0</v>
      </c>
      <c r="AB36" s="61">
        <f>SUM($U$36:$AA$36)</f>
        <v>153.81271235676979</v>
      </c>
      <c r="AC36" s="61">
        <f>'TR TUSD'!$AC$36*'TR TUSD'!$AC$63</f>
        <v>212.54592030761762</v>
      </c>
      <c r="AD36" s="61">
        <f>SUM($AC$36:$AC$36)</f>
        <v>212.54592030761762</v>
      </c>
      <c r="AE36" s="61">
        <v>0</v>
      </c>
      <c r="AF36" s="61">
        <v>0</v>
      </c>
      <c r="AG36" s="61">
        <f>SUM($AE$36:$AF$36)</f>
        <v>0</v>
      </c>
      <c r="AH36" s="61">
        <f>'TR TUSD'!$AH$36*'TR TUSD'!$AH$63</f>
        <v>22.463683973020068</v>
      </c>
      <c r="AI36" s="61">
        <f>'TR TUSD'!$AI$36*'TR TUSD'!$AI$63</f>
        <v>0.22974093191478812</v>
      </c>
      <c r="AJ36" s="61">
        <f ca="1">'TR TUSD'!$AJ$36*'TR TUSD'!$AJ$63</f>
        <v>0.844458782316025</v>
      </c>
      <c r="AK36" s="61">
        <f ca="1">'TR TUSD'!$AK$36*'TR TUSD'!$AK$63</f>
        <v>0.29162531172487466</v>
      </c>
      <c r="AL36" s="61">
        <f ca="1">SUM($AH$36:$AK$36)</f>
        <v>23.829508998975754</v>
      </c>
      <c r="AM36" s="61">
        <f ca="1">SUMIF($L$4:$AL$4,"SUBTOTAL",$L$36:$AL$36)</f>
        <v>502.42322646964709</v>
      </c>
      <c r="AP36" s="61">
        <f>IF((1 - CUSTOS!$M$28)&lt;&gt;0,1/(1 - CUSTOS!$M$28),1)</f>
        <v>1</v>
      </c>
    </row>
    <row r="37" spans="1:42" ht="11.25" customHeight="1" x14ac:dyDescent="0.3">
      <c r="A37" s="132"/>
      <c r="B37" s="132" t="s">
        <v>33</v>
      </c>
      <c r="C37" s="132" t="s">
        <v>43</v>
      </c>
      <c r="D37" s="132" t="s">
        <v>96</v>
      </c>
      <c r="E37" s="132" t="s">
        <v>25</v>
      </c>
      <c r="F37" s="132" t="s">
        <v>25</v>
      </c>
      <c r="G37" s="66" t="s">
        <v>77</v>
      </c>
      <c r="H37" s="66" t="s">
        <v>76</v>
      </c>
      <c r="I37" s="66">
        <f>'MERCADO TUSD'!$U$34</f>
        <v>0</v>
      </c>
      <c r="J37" s="15"/>
      <c r="L37" s="61">
        <f>'TR TUSD'!$L$37*'TR TUSD'!$L$63</f>
        <v>3.3908693754687853</v>
      </c>
      <c r="M37" s="61">
        <f>'TR TUSD'!$M$37*'TR TUSD'!$M$63</f>
        <v>0.97767197363932501</v>
      </c>
      <c r="N37" s="61">
        <f ca="1">'TR TUSD'!$N$37*'TR TUSD'!$N$63</f>
        <v>11.287280582864478</v>
      </c>
      <c r="O37" s="61">
        <f>'TR TUSD'!$O$37*'TR TUSD'!$O$63</f>
        <v>0</v>
      </c>
      <c r="P37" s="61">
        <f>'TR TUSD'!$P$37*'TR TUSD'!$P$63</f>
        <v>0</v>
      </c>
      <c r="Q37" s="61">
        <f>'TR TUSD'!$Q$37*'TR TUSD'!$Q$63</f>
        <v>89.632474658995491</v>
      </c>
      <c r="R37" s="61">
        <f>'TR TUSD'!$R$37*'TR TUSD'!$R$63</f>
        <v>14.187282996785822</v>
      </c>
      <c r="S37" s="61">
        <f>'TR TUSD'!$S$37*'TR TUSD'!$S$63</f>
        <v>0</v>
      </c>
      <c r="T37" s="61">
        <f ca="1">SUM($L$37:$S$37)</f>
        <v>119.4755795877539</v>
      </c>
      <c r="U37" s="61">
        <f>'TR TUSD'!$U$37*'TR TUSD'!$U$63</f>
        <v>0</v>
      </c>
      <c r="V37" s="61">
        <f>'TR TUSD'!$V$37*'TR TUSD'!$V$63</f>
        <v>0</v>
      </c>
      <c r="W37" s="61">
        <f>'TR TUSD'!$W$37*'TR TUSD'!$W$63</f>
        <v>0</v>
      </c>
      <c r="X37" s="61">
        <f>'TR TUSD'!$X$37*'TR TUSD'!$X$63</f>
        <v>0</v>
      </c>
      <c r="Y37" s="61">
        <f>'TR TUSD'!$Y$37*'TR TUSD'!$Y$63</f>
        <v>484.5101258684071</v>
      </c>
      <c r="Z37" s="61">
        <f>'TR TUSD'!$Z$37</f>
        <v>0</v>
      </c>
      <c r="AA37" s="61">
        <f>'TR TUSD'!$AA$37</f>
        <v>0</v>
      </c>
      <c r="AB37" s="61">
        <f>SUM($U$37:$AA$37)</f>
        <v>484.5101258684071</v>
      </c>
      <c r="AC37" s="61">
        <f>'TR TUSD'!$AC$37*'TR TUSD'!$AC$63</f>
        <v>669.51963811714211</v>
      </c>
      <c r="AD37" s="61">
        <f>SUM($AC$37:$AC$37)</f>
        <v>669.51963811714211</v>
      </c>
      <c r="AE37" s="61">
        <v>0</v>
      </c>
      <c r="AF37" s="61">
        <v>0</v>
      </c>
      <c r="AG37" s="61">
        <f>SUM($AE$37:$AF$37)</f>
        <v>0</v>
      </c>
      <c r="AH37" s="61">
        <f>'TR TUSD'!$AH$37*'TR TUSD'!$AH$63</f>
        <v>22.463683973020068</v>
      </c>
      <c r="AI37" s="61">
        <f>'TR TUSD'!$AI$37*'TR TUSD'!$AI$63</f>
        <v>0.22974093191478812</v>
      </c>
      <c r="AJ37" s="61">
        <f ca="1">'TR TUSD'!$AJ$37*'TR TUSD'!$AJ$63</f>
        <v>0.844458782316025</v>
      </c>
      <c r="AK37" s="61">
        <f ca="1">'TR TUSD'!$AK$37*'TR TUSD'!$AK$63</f>
        <v>0.29162531172487466</v>
      </c>
      <c r="AL37" s="61">
        <f ca="1">SUM($AH$37:$AK$37)</f>
        <v>23.829508998975754</v>
      </c>
      <c r="AM37" s="61">
        <f ca="1">SUMIF($L$4:$AL$4,"SUBTOTAL",$L$37:$AL$37)</f>
        <v>1297.3348525722788</v>
      </c>
      <c r="AP37" s="61">
        <f>IF((1 - CUSTOS!$M$29)&lt;&gt;0,1/(1 - CUSTOS!$M$29),1)</f>
        <v>1</v>
      </c>
    </row>
    <row r="38" spans="1:42" ht="11.25" customHeight="1" x14ac:dyDescent="0.3">
      <c r="A38" s="132"/>
      <c r="B38" s="132"/>
      <c r="C38" s="132"/>
      <c r="D38" s="132"/>
      <c r="E38" s="132"/>
      <c r="F38" s="132"/>
      <c r="G38" s="66" t="s">
        <v>93</v>
      </c>
      <c r="H38" s="66" t="s">
        <v>76</v>
      </c>
      <c r="I38" s="66">
        <f>'MERCADO TUSD'!$U$35</f>
        <v>0</v>
      </c>
      <c r="J38" s="15"/>
      <c r="L38" s="61">
        <f>'TR TUSD'!$L$38*'TR TUSD'!$L$63</f>
        <v>3.3908693754687853</v>
      </c>
      <c r="M38" s="61">
        <f>'TR TUSD'!$M$38*'TR TUSD'!$M$63</f>
        <v>0.97767197363932501</v>
      </c>
      <c r="N38" s="61">
        <f ca="1">'TR TUSD'!$N$38*'TR TUSD'!$N$63</f>
        <v>7.0440133944716292</v>
      </c>
      <c r="O38" s="61">
        <f>'TR TUSD'!$O$38*'TR TUSD'!$O$63</f>
        <v>0</v>
      </c>
      <c r="P38" s="61">
        <f>'TR TUSD'!$P$38*'TR TUSD'!$P$63</f>
        <v>0</v>
      </c>
      <c r="Q38" s="61">
        <f>'TR TUSD'!$Q$38*'TR TUSD'!$Q$63</f>
        <v>89.632474658995491</v>
      </c>
      <c r="R38" s="61">
        <f>'TR TUSD'!$R$38*'TR TUSD'!$R$63</f>
        <v>14.187282996785822</v>
      </c>
      <c r="S38" s="61">
        <f>'TR TUSD'!$S$38*'TR TUSD'!$S$63</f>
        <v>0</v>
      </c>
      <c r="T38" s="61">
        <f ca="1">SUM($L$38:$S$38)</f>
        <v>115.23231239936106</v>
      </c>
      <c r="U38" s="61">
        <f>'TR TUSD'!$U$38*'TR TUSD'!$U$63</f>
        <v>0</v>
      </c>
      <c r="V38" s="61">
        <f>'TR TUSD'!$V$38*'TR TUSD'!$V$63</f>
        <v>0</v>
      </c>
      <c r="W38" s="61">
        <f>'TR TUSD'!$W$38*'TR TUSD'!$W$63</f>
        <v>0</v>
      </c>
      <c r="X38" s="61">
        <f>'TR TUSD'!$X$38*'TR TUSD'!$X$63</f>
        <v>0</v>
      </c>
      <c r="Y38" s="61">
        <f>'TR TUSD'!$Y$38*'TR TUSD'!$Y$63</f>
        <v>290.70605366915566</v>
      </c>
      <c r="Z38" s="61">
        <f>'TR TUSD'!$Z$38</f>
        <v>0</v>
      </c>
      <c r="AA38" s="61">
        <f>'TR TUSD'!$AA$38</f>
        <v>0</v>
      </c>
      <c r="AB38" s="61">
        <f>SUM($U$38:$AA$38)</f>
        <v>290.70605366915566</v>
      </c>
      <c r="AC38" s="61">
        <f>'TR TUSD'!$AC$38*'TR TUSD'!$AC$63</f>
        <v>401.71173946287161</v>
      </c>
      <c r="AD38" s="61">
        <f>SUM($AC$38:$AC$38)</f>
        <v>401.71173946287161</v>
      </c>
      <c r="AE38" s="61">
        <v>0</v>
      </c>
      <c r="AF38" s="61">
        <v>0</v>
      </c>
      <c r="AG38" s="61">
        <f>SUM($AE$38:$AF$38)</f>
        <v>0</v>
      </c>
      <c r="AH38" s="61">
        <f>'TR TUSD'!$AH$38*'TR TUSD'!$AH$63</f>
        <v>22.463683973020068</v>
      </c>
      <c r="AI38" s="61">
        <f>'TR TUSD'!$AI$38*'TR TUSD'!$AI$63</f>
        <v>0.22974093191478812</v>
      </c>
      <c r="AJ38" s="61">
        <f ca="1">'TR TUSD'!$AJ$38*'TR TUSD'!$AJ$63</f>
        <v>0.844458782316025</v>
      </c>
      <c r="AK38" s="61">
        <f ca="1">'TR TUSD'!$AK$38*'TR TUSD'!$AK$63</f>
        <v>0.29162531172487466</v>
      </c>
      <c r="AL38" s="61">
        <f ca="1">SUM($AH$38:$AK$38)</f>
        <v>23.829508998975754</v>
      </c>
      <c r="AM38" s="61">
        <f ca="1">SUMIF($L$4:$AL$4,"SUBTOTAL",$L$38:$AL$38)</f>
        <v>831.47961453036407</v>
      </c>
      <c r="AP38" s="61">
        <f>IF((1 - CUSTOS!$M$29)&lt;&gt;0,1/(1 - CUSTOS!$M$29),1)</f>
        <v>1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66" t="s">
        <v>78</v>
      </c>
      <c r="H39" s="66" t="s">
        <v>76</v>
      </c>
      <c r="I39" s="66">
        <f>'MERCADO TUSD'!$U$36</f>
        <v>0</v>
      </c>
      <c r="J39" s="15"/>
      <c r="L39" s="61">
        <f>'TR TUSD'!$L$39*'TR TUSD'!$L$63</f>
        <v>3.3908693754687853</v>
      </c>
      <c r="M39" s="61">
        <f>'TR TUSD'!$M$39*'TR TUSD'!$M$63</f>
        <v>0.97767197363932501</v>
      </c>
      <c r="N39" s="61">
        <f ca="1">'TR TUSD'!$N$39*'TR TUSD'!$N$63</f>
        <v>2.8007472064598056</v>
      </c>
      <c r="O39" s="61">
        <f>'TR TUSD'!$O$39*'TR TUSD'!$O$63</f>
        <v>0</v>
      </c>
      <c r="P39" s="61">
        <f>'TR TUSD'!$P$39*'TR TUSD'!$P$63</f>
        <v>0</v>
      </c>
      <c r="Q39" s="61">
        <f>'TR TUSD'!$Q$39*'TR TUSD'!$Q$63</f>
        <v>89.632474658995491</v>
      </c>
      <c r="R39" s="61">
        <f>'TR TUSD'!$R$39*'TR TUSD'!$R$63</f>
        <v>14.187282996785822</v>
      </c>
      <c r="S39" s="61">
        <f>'TR TUSD'!$S$39*'TR TUSD'!$S$63</f>
        <v>0</v>
      </c>
      <c r="T39" s="61">
        <f ca="1">SUM($L$39:$S$39)</f>
        <v>110.98904621134923</v>
      </c>
      <c r="U39" s="61">
        <f>'TR TUSD'!$U$39*'TR TUSD'!$U$63</f>
        <v>0</v>
      </c>
      <c r="V39" s="61">
        <f>'TR TUSD'!$V$39*'TR TUSD'!$V$63</f>
        <v>0</v>
      </c>
      <c r="W39" s="61">
        <f>'TR TUSD'!$W$39*'TR TUSD'!$W$63</f>
        <v>0</v>
      </c>
      <c r="X39" s="61">
        <f>'TR TUSD'!$X$39*'TR TUSD'!$X$63</f>
        <v>0</v>
      </c>
      <c r="Y39" s="61">
        <f>'TR TUSD'!$Y$39*'TR TUSD'!$Y$63</f>
        <v>96.901981469904229</v>
      </c>
      <c r="Z39" s="61">
        <f>'TR TUSD'!$Z$39</f>
        <v>0</v>
      </c>
      <c r="AA39" s="61">
        <f>'TR TUSD'!$AA$39</f>
        <v>0</v>
      </c>
      <c r="AB39" s="61">
        <f>SUM($U$39:$AA$39)</f>
        <v>96.901981469904229</v>
      </c>
      <c r="AC39" s="61">
        <f>'TR TUSD'!$AC$39*'TR TUSD'!$AC$63</f>
        <v>133.90394932713525</v>
      </c>
      <c r="AD39" s="61">
        <f>SUM($AC$39:$AC$39)</f>
        <v>133.90394932713525</v>
      </c>
      <c r="AE39" s="61">
        <v>0</v>
      </c>
      <c r="AF39" s="61">
        <v>0</v>
      </c>
      <c r="AG39" s="61">
        <f>SUM($AE$39:$AF$39)</f>
        <v>0</v>
      </c>
      <c r="AH39" s="61">
        <f>'TR TUSD'!$AH$39*'TR TUSD'!$AH$63</f>
        <v>22.463683973020068</v>
      </c>
      <c r="AI39" s="61">
        <f>'TR TUSD'!$AI$39*'TR TUSD'!$AI$63</f>
        <v>0.22974093191478812</v>
      </c>
      <c r="AJ39" s="61">
        <f ca="1">'TR TUSD'!$AJ$39*'TR TUSD'!$AJ$63</f>
        <v>0.844458782316025</v>
      </c>
      <c r="AK39" s="61">
        <f ca="1">'TR TUSD'!$AK$39*'TR TUSD'!$AK$63</f>
        <v>0.29162531172487466</v>
      </c>
      <c r="AL39" s="61">
        <f ca="1">SUM($AH$39:$AK$39)</f>
        <v>23.829508998975754</v>
      </c>
      <c r="AM39" s="61">
        <f ca="1">SUMIF($L$4:$AL$4,"SUBTOTAL",$L$39:$AL$39)</f>
        <v>365.62448600736451</v>
      </c>
      <c r="AP39" s="61">
        <f>IF((1 - CUSTOS!$M$29)&lt;&gt;0,1/(1 - CUSTOS!$M$29),1)</f>
        <v>1</v>
      </c>
    </row>
    <row r="40" spans="1:42" ht="11.25" customHeight="1" x14ac:dyDescent="0.3">
      <c r="A40" s="132"/>
      <c r="B40" s="65" t="s">
        <v>23</v>
      </c>
      <c r="C40" s="65" t="s">
        <v>43</v>
      </c>
      <c r="D40" s="65" t="s">
        <v>96</v>
      </c>
      <c r="E40" s="65" t="s">
        <v>25</v>
      </c>
      <c r="F40" s="65" t="s">
        <v>25</v>
      </c>
      <c r="G40" s="66" t="s">
        <v>81</v>
      </c>
      <c r="H40" s="66" t="s">
        <v>76</v>
      </c>
      <c r="I40" s="66">
        <f>'MERCADO TUSD'!$U$37</f>
        <v>0</v>
      </c>
      <c r="J40" s="15"/>
      <c r="L40" s="61">
        <f>'TR TUSD'!$L$40*'TR TUSD'!$L$63</f>
        <v>3.3908693754687853</v>
      </c>
      <c r="M40" s="61">
        <f>'TR TUSD'!$M$40*'TR TUSD'!$M$63</f>
        <v>0.97767197363932501</v>
      </c>
      <c r="N40" s="61">
        <f ca="1">'TR TUSD'!$N$40*'TR TUSD'!$N$63</f>
        <v>4.0467858013945026</v>
      </c>
      <c r="O40" s="61">
        <f>'TR TUSD'!$O$40*'TR TUSD'!$O$63</f>
        <v>0</v>
      </c>
      <c r="P40" s="61">
        <f>'TR TUSD'!$P$40*'TR TUSD'!$P$63</f>
        <v>0</v>
      </c>
      <c r="Q40" s="61">
        <f>'TR TUSD'!$Q$40*'TR TUSD'!$Q$63</f>
        <v>89.632474658995491</v>
      </c>
      <c r="R40" s="61">
        <f>'TR TUSD'!$R$40*'TR TUSD'!$R$63</f>
        <v>14.187282996785822</v>
      </c>
      <c r="S40" s="61">
        <f>'TR TUSD'!$S$40*'TR TUSD'!$S$63</f>
        <v>0</v>
      </c>
      <c r="T40" s="61">
        <f ca="1">SUM($L$40:$S$40)</f>
        <v>112.23508480628394</v>
      </c>
      <c r="U40" s="61">
        <f>'TR TUSD'!$U$40*'TR TUSD'!$U$63</f>
        <v>0</v>
      </c>
      <c r="V40" s="61">
        <f>'TR TUSD'!$V$40*'TR TUSD'!$V$63</f>
        <v>0</v>
      </c>
      <c r="W40" s="61">
        <f>'TR TUSD'!$W$40*'TR TUSD'!$W$63</f>
        <v>0</v>
      </c>
      <c r="X40" s="61">
        <f>'TR TUSD'!$X$40*'TR TUSD'!$X$63</f>
        <v>0</v>
      </c>
      <c r="Y40" s="61">
        <f>'TR TUSD'!$Y$40*'TR TUSD'!$Y$63</f>
        <v>153.81271235676979</v>
      </c>
      <c r="Z40" s="61">
        <f>'TR TUSD'!$Z$40</f>
        <v>0</v>
      </c>
      <c r="AA40" s="61">
        <f>'TR TUSD'!$AA$40</f>
        <v>0</v>
      </c>
      <c r="AB40" s="61">
        <f>SUM($U$40:$AA$40)</f>
        <v>153.81271235676979</v>
      </c>
      <c r="AC40" s="61">
        <f>'TR TUSD'!$AC$40*'TR TUSD'!$AC$63</f>
        <v>212.54592030761762</v>
      </c>
      <c r="AD40" s="61">
        <f>SUM($AC$40:$AC$40)</f>
        <v>212.54592030761762</v>
      </c>
      <c r="AE40" s="61">
        <v>0</v>
      </c>
      <c r="AF40" s="61">
        <v>0</v>
      </c>
      <c r="AG40" s="61">
        <f>SUM($AE$40:$AF$40)</f>
        <v>0</v>
      </c>
      <c r="AH40" s="61">
        <f>'TR TUSD'!$AH$40*'TR TUSD'!$AH$63</f>
        <v>22.463683973020068</v>
      </c>
      <c r="AI40" s="61">
        <f>'TR TUSD'!$AI$40*'TR TUSD'!$AI$63</f>
        <v>0.22974093191478812</v>
      </c>
      <c r="AJ40" s="61">
        <f ca="1">'TR TUSD'!$AJ$40*'TR TUSD'!$AJ$63</f>
        <v>0.844458782316025</v>
      </c>
      <c r="AK40" s="61">
        <f ca="1">'TR TUSD'!$AK$40*'TR TUSD'!$AK$63</f>
        <v>0.29162531172487466</v>
      </c>
      <c r="AL40" s="61">
        <f ca="1">SUM($AH$40:$AK$40)</f>
        <v>23.829508998975754</v>
      </c>
      <c r="AM40" s="61">
        <f ca="1">SUMIF($L$4:$AL$4,"SUBTOTAL",$L$40:$AL$40)</f>
        <v>502.42322646964709</v>
      </c>
      <c r="AP40" s="61">
        <f>IF((1 - CUSTOS!$M$29)&lt;&gt;0,1/(1 - CUSTOS!$M$29),1)</f>
        <v>1</v>
      </c>
    </row>
    <row r="41" spans="1:42" ht="11.25" customHeight="1" x14ac:dyDescent="0.3">
      <c r="A41" s="132"/>
      <c r="B41" s="132" t="s">
        <v>33</v>
      </c>
      <c r="C41" s="132" t="s">
        <v>43</v>
      </c>
      <c r="D41" s="132" t="s">
        <v>97</v>
      </c>
      <c r="E41" s="132" t="s">
        <v>25</v>
      </c>
      <c r="F41" s="132" t="s">
        <v>25</v>
      </c>
      <c r="G41" s="66" t="s">
        <v>77</v>
      </c>
      <c r="H41" s="66" t="s">
        <v>76</v>
      </c>
      <c r="I41" s="66">
        <f>'MERCADO TUSD'!$U$38</f>
        <v>0</v>
      </c>
      <c r="J41" s="15"/>
      <c r="L41" s="61">
        <f>'TR TUSD'!$L$41*'TR TUSD'!$L$63</f>
        <v>3.3908693754687853</v>
      </c>
      <c r="M41" s="61">
        <f>'TR TUSD'!$M$41*'TR TUSD'!$M$63</f>
        <v>0.97767197363932501</v>
      </c>
      <c r="N41" s="61">
        <f ca="1">'TR TUSD'!$N$41*'TR TUSD'!$N$63</f>
        <v>11.287280582864478</v>
      </c>
      <c r="O41" s="61">
        <f>'TR TUSD'!$O$41*'TR TUSD'!$O$63</f>
        <v>0</v>
      </c>
      <c r="P41" s="61">
        <f>'TR TUSD'!$P$41*'TR TUSD'!$P$63</f>
        <v>0</v>
      </c>
      <c r="Q41" s="61">
        <f>'TR TUSD'!$Q$41*'TR TUSD'!$Q$63</f>
        <v>89.632474658995491</v>
      </c>
      <c r="R41" s="61">
        <f>'TR TUSD'!$R$41*'TR TUSD'!$R$63</f>
        <v>14.187282996785822</v>
      </c>
      <c r="S41" s="61">
        <f>'TR TUSD'!$S$41*'TR TUSD'!$S$63</f>
        <v>0</v>
      </c>
      <c r="T41" s="61">
        <f ca="1">SUM($L$41:$S$41)</f>
        <v>119.4755795877539</v>
      </c>
      <c r="U41" s="61">
        <f>'TR TUSD'!$U$41*'TR TUSD'!$U$63</f>
        <v>0</v>
      </c>
      <c r="V41" s="61">
        <f>'TR TUSD'!$V$41*'TR TUSD'!$V$63</f>
        <v>0</v>
      </c>
      <c r="W41" s="61">
        <f>'TR TUSD'!$W$41*'TR TUSD'!$W$63</f>
        <v>0</v>
      </c>
      <c r="X41" s="61">
        <f>'TR TUSD'!$X$41*'TR TUSD'!$X$63</f>
        <v>0</v>
      </c>
      <c r="Y41" s="61">
        <f>'TR TUSD'!$Y$41*'TR TUSD'!$Y$63</f>
        <v>484.5101258684071</v>
      </c>
      <c r="Z41" s="61">
        <f>'TR TUSD'!$Z$41</f>
        <v>0</v>
      </c>
      <c r="AA41" s="61">
        <f>'TR TUSD'!$AA$41</f>
        <v>0</v>
      </c>
      <c r="AB41" s="61">
        <f>SUM($U$41:$AA$41)</f>
        <v>484.5101258684071</v>
      </c>
      <c r="AC41" s="61">
        <f>'TR TUSD'!$AC$41*'TR TUSD'!$AC$63</f>
        <v>669.51963811714211</v>
      </c>
      <c r="AD41" s="61">
        <f>SUM($AC$41:$AC$41)</f>
        <v>669.51963811714211</v>
      </c>
      <c r="AE41" s="61">
        <v>0</v>
      </c>
      <c r="AF41" s="61">
        <v>0</v>
      </c>
      <c r="AG41" s="61">
        <f>SUM($AE$41:$AF$41)</f>
        <v>0</v>
      </c>
      <c r="AH41" s="61">
        <f>'TR TUSD'!$AH$41*'TR TUSD'!$AH$63</f>
        <v>22.463683973020068</v>
      </c>
      <c r="AI41" s="61">
        <f>'TR TUSD'!$AI$41*'TR TUSD'!$AI$63</f>
        <v>0.22974093191478812</v>
      </c>
      <c r="AJ41" s="61">
        <f ca="1">'TR TUSD'!$AJ$41*'TR TUSD'!$AJ$63</f>
        <v>0.844458782316025</v>
      </c>
      <c r="AK41" s="61">
        <f ca="1">'TR TUSD'!$AK$41*'TR TUSD'!$AK$63</f>
        <v>0.29162531172487466</v>
      </c>
      <c r="AL41" s="61">
        <f ca="1">SUM($AH$41:$AK$41)</f>
        <v>23.829508998975754</v>
      </c>
      <c r="AM41" s="61">
        <f ca="1">SUMIF($L$4:$AL$4,"SUBTOTAL",$L$41:$AL$41)</f>
        <v>1297.3348525722788</v>
      </c>
      <c r="AP41" s="61">
        <f>IF((1 - CUSTOS!$M$30)&lt;&gt;0,1/(1 - CUSTOS!$M$30),1)</f>
        <v>1</v>
      </c>
    </row>
    <row r="42" spans="1:42" ht="11.25" customHeight="1" x14ac:dyDescent="0.3">
      <c r="A42" s="132"/>
      <c r="B42" s="132"/>
      <c r="C42" s="132"/>
      <c r="D42" s="132"/>
      <c r="E42" s="132"/>
      <c r="F42" s="132"/>
      <c r="G42" s="66" t="s">
        <v>93</v>
      </c>
      <c r="H42" s="66" t="s">
        <v>76</v>
      </c>
      <c r="I42" s="66">
        <f>'MERCADO TUSD'!$U$39</f>
        <v>0</v>
      </c>
      <c r="J42" s="15"/>
      <c r="L42" s="61">
        <f>'TR TUSD'!$L$42*'TR TUSD'!$L$63</f>
        <v>3.3908693754687853</v>
      </c>
      <c r="M42" s="61">
        <f>'TR TUSD'!$M$42*'TR TUSD'!$M$63</f>
        <v>0.97767197363932501</v>
      </c>
      <c r="N42" s="61">
        <f ca="1">'TR TUSD'!$N$42*'TR TUSD'!$N$63</f>
        <v>7.0440133944716292</v>
      </c>
      <c r="O42" s="61">
        <f>'TR TUSD'!$O$42*'TR TUSD'!$O$63</f>
        <v>0</v>
      </c>
      <c r="P42" s="61">
        <f>'TR TUSD'!$P$42*'TR TUSD'!$P$63</f>
        <v>0</v>
      </c>
      <c r="Q42" s="61">
        <f>'TR TUSD'!$Q$42*'TR TUSD'!$Q$63</f>
        <v>89.632474658995491</v>
      </c>
      <c r="R42" s="61">
        <f>'TR TUSD'!$R$42*'TR TUSD'!$R$63</f>
        <v>14.187282996785822</v>
      </c>
      <c r="S42" s="61">
        <f>'TR TUSD'!$S$42*'TR TUSD'!$S$63</f>
        <v>0</v>
      </c>
      <c r="T42" s="61">
        <f ca="1">SUM($L$42:$S$42)</f>
        <v>115.23231239936106</v>
      </c>
      <c r="U42" s="61">
        <f>'TR TUSD'!$U$42*'TR TUSD'!$U$63</f>
        <v>0</v>
      </c>
      <c r="V42" s="61">
        <f>'TR TUSD'!$V$42*'TR TUSD'!$V$63</f>
        <v>0</v>
      </c>
      <c r="W42" s="61">
        <f>'TR TUSD'!$W$42*'TR TUSD'!$W$63</f>
        <v>0</v>
      </c>
      <c r="X42" s="61">
        <f>'TR TUSD'!$X$42*'TR TUSD'!$X$63</f>
        <v>0</v>
      </c>
      <c r="Y42" s="61">
        <f>'TR TUSD'!$Y$42*'TR TUSD'!$Y$63</f>
        <v>290.70605366915566</v>
      </c>
      <c r="Z42" s="61">
        <f>'TR TUSD'!$Z$42</f>
        <v>0</v>
      </c>
      <c r="AA42" s="61">
        <f>'TR TUSD'!$AA$42</f>
        <v>0</v>
      </c>
      <c r="AB42" s="61">
        <f>SUM($U$42:$AA$42)</f>
        <v>290.70605366915566</v>
      </c>
      <c r="AC42" s="61">
        <f>'TR TUSD'!$AC$42*'TR TUSD'!$AC$63</f>
        <v>401.71173946287161</v>
      </c>
      <c r="AD42" s="61">
        <f>SUM($AC$42:$AC$42)</f>
        <v>401.71173946287161</v>
      </c>
      <c r="AE42" s="61">
        <v>0</v>
      </c>
      <c r="AF42" s="61">
        <v>0</v>
      </c>
      <c r="AG42" s="61">
        <f>SUM($AE$42:$AF$42)</f>
        <v>0</v>
      </c>
      <c r="AH42" s="61">
        <f>'TR TUSD'!$AH$42*'TR TUSD'!$AH$63</f>
        <v>22.463683973020068</v>
      </c>
      <c r="AI42" s="61">
        <f>'TR TUSD'!$AI$42*'TR TUSD'!$AI$63</f>
        <v>0.22974093191478812</v>
      </c>
      <c r="AJ42" s="61">
        <f ca="1">'TR TUSD'!$AJ$42*'TR TUSD'!$AJ$63</f>
        <v>0.844458782316025</v>
      </c>
      <c r="AK42" s="61">
        <f ca="1">'TR TUSD'!$AK$42*'TR TUSD'!$AK$63</f>
        <v>0.29162531172487466</v>
      </c>
      <c r="AL42" s="61">
        <f ca="1">SUM($AH$42:$AK$42)</f>
        <v>23.829508998975754</v>
      </c>
      <c r="AM42" s="61">
        <f ca="1">SUMIF($L$4:$AL$4,"SUBTOTAL",$L$42:$AL$42)</f>
        <v>831.47961453036407</v>
      </c>
      <c r="AP42" s="61">
        <f>IF((1 - CUSTOS!$M$30)&lt;&gt;0,1/(1 - CUSTOS!$M$30),1)</f>
        <v>1</v>
      </c>
    </row>
    <row r="43" spans="1:42" ht="11.25" customHeight="1" x14ac:dyDescent="0.3">
      <c r="A43" s="132"/>
      <c r="B43" s="132"/>
      <c r="C43" s="132"/>
      <c r="D43" s="132"/>
      <c r="E43" s="132"/>
      <c r="F43" s="132"/>
      <c r="G43" s="66" t="s">
        <v>78</v>
      </c>
      <c r="H43" s="66" t="s">
        <v>76</v>
      </c>
      <c r="I43" s="66">
        <f>'MERCADO TUSD'!$U$40</f>
        <v>0</v>
      </c>
      <c r="J43" s="15"/>
      <c r="L43" s="61">
        <f>'TR TUSD'!$L$43*'TR TUSD'!$L$63</f>
        <v>3.3908693754687853</v>
      </c>
      <c r="M43" s="61">
        <f>'TR TUSD'!$M$43*'TR TUSD'!$M$63</f>
        <v>0.97767197363932501</v>
      </c>
      <c r="N43" s="61">
        <f ca="1">'TR TUSD'!$N$43*'TR TUSD'!$N$63</f>
        <v>2.8007472064598056</v>
      </c>
      <c r="O43" s="61">
        <f>'TR TUSD'!$O$43*'TR TUSD'!$O$63</f>
        <v>0</v>
      </c>
      <c r="P43" s="61">
        <f>'TR TUSD'!$P$43*'TR TUSD'!$P$63</f>
        <v>0</v>
      </c>
      <c r="Q43" s="61">
        <f>'TR TUSD'!$Q$43*'TR TUSD'!$Q$63</f>
        <v>89.632474658995491</v>
      </c>
      <c r="R43" s="61">
        <f>'TR TUSD'!$R$43*'TR TUSD'!$R$63</f>
        <v>14.187282996785822</v>
      </c>
      <c r="S43" s="61">
        <f>'TR TUSD'!$S$43*'TR TUSD'!$S$63</f>
        <v>0</v>
      </c>
      <c r="T43" s="61">
        <f ca="1">SUM($L$43:$S$43)</f>
        <v>110.98904621134923</v>
      </c>
      <c r="U43" s="61">
        <f>'TR TUSD'!$U$43*'TR TUSD'!$U$63</f>
        <v>0</v>
      </c>
      <c r="V43" s="61">
        <f>'TR TUSD'!$V$43*'TR TUSD'!$V$63</f>
        <v>0</v>
      </c>
      <c r="W43" s="61">
        <f>'TR TUSD'!$W$43*'TR TUSD'!$W$63</f>
        <v>0</v>
      </c>
      <c r="X43" s="61">
        <f>'TR TUSD'!$X$43*'TR TUSD'!$X$63</f>
        <v>0</v>
      </c>
      <c r="Y43" s="61">
        <f>'TR TUSD'!$Y$43*'TR TUSD'!$Y$63</f>
        <v>96.901981469904229</v>
      </c>
      <c r="Z43" s="61">
        <f>'TR TUSD'!$Z$43</f>
        <v>0</v>
      </c>
      <c r="AA43" s="61">
        <f>'TR TUSD'!$AA$43</f>
        <v>0</v>
      </c>
      <c r="AB43" s="61">
        <f>SUM($U$43:$AA$43)</f>
        <v>96.901981469904229</v>
      </c>
      <c r="AC43" s="61">
        <f>'TR TUSD'!$AC$43*'TR TUSD'!$AC$63</f>
        <v>133.90394932713525</v>
      </c>
      <c r="AD43" s="61">
        <f>SUM($AC$43:$AC$43)</f>
        <v>133.90394932713525</v>
      </c>
      <c r="AE43" s="61">
        <v>0</v>
      </c>
      <c r="AF43" s="61">
        <v>0</v>
      </c>
      <c r="AG43" s="61">
        <f>SUM($AE$43:$AF$43)</f>
        <v>0</v>
      </c>
      <c r="AH43" s="61">
        <f>'TR TUSD'!$AH$43*'TR TUSD'!$AH$63</f>
        <v>22.463683973020068</v>
      </c>
      <c r="AI43" s="61">
        <f>'TR TUSD'!$AI$43*'TR TUSD'!$AI$63</f>
        <v>0.22974093191478812</v>
      </c>
      <c r="AJ43" s="61">
        <f ca="1">'TR TUSD'!$AJ$43*'TR TUSD'!$AJ$63</f>
        <v>0.844458782316025</v>
      </c>
      <c r="AK43" s="61">
        <f ca="1">'TR TUSD'!$AK$43*'TR TUSD'!$AK$63</f>
        <v>0.29162531172487466</v>
      </c>
      <c r="AL43" s="61">
        <f ca="1">SUM($AH$43:$AK$43)</f>
        <v>23.829508998975754</v>
      </c>
      <c r="AM43" s="61">
        <f ca="1">SUMIF($L$4:$AL$4,"SUBTOTAL",$L$43:$AL$43)</f>
        <v>365.62448600736451</v>
      </c>
      <c r="AP43" s="61">
        <f>IF((1 - CUSTOS!$M$30)&lt;&gt;0,1/(1 - CUSTOS!$M$30),1)</f>
        <v>1</v>
      </c>
    </row>
    <row r="44" spans="1:42" ht="11.25" customHeight="1" x14ac:dyDescent="0.3">
      <c r="A44" s="132"/>
      <c r="B44" s="65" t="s">
        <v>23</v>
      </c>
      <c r="C44" s="65" t="s">
        <v>43</v>
      </c>
      <c r="D44" s="65" t="s">
        <v>97</v>
      </c>
      <c r="E44" s="65" t="s">
        <v>25</v>
      </c>
      <c r="F44" s="65" t="s">
        <v>25</v>
      </c>
      <c r="G44" s="66" t="s">
        <v>81</v>
      </c>
      <c r="H44" s="66" t="s">
        <v>76</v>
      </c>
      <c r="I44" s="66">
        <f>'MERCADO TUSD'!$U$41</f>
        <v>0</v>
      </c>
      <c r="J44" s="15"/>
      <c r="L44" s="61">
        <f>'TR TUSD'!$L$44*'TR TUSD'!$L$63</f>
        <v>3.3908693754687853</v>
      </c>
      <c r="M44" s="61">
        <f>'TR TUSD'!$M$44*'TR TUSD'!$M$63</f>
        <v>0.97767197363932501</v>
      </c>
      <c r="N44" s="61">
        <f ca="1">'TR TUSD'!$N$44*'TR TUSD'!$N$63</f>
        <v>4.0467858013945026</v>
      </c>
      <c r="O44" s="61">
        <f>'TR TUSD'!$O$44*'TR TUSD'!$O$63</f>
        <v>0</v>
      </c>
      <c r="P44" s="61">
        <f>'TR TUSD'!$P$44*'TR TUSD'!$P$63</f>
        <v>0</v>
      </c>
      <c r="Q44" s="61">
        <f>'TR TUSD'!$Q$44*'TR TUSD'!$Q$63</f>
        <v>89.632474658995491</v>
      </c>
      <c r="R44" s="61">
        <f>'TR TUSD'!$R$44*'TR TUSD'!$R$63</f>
        <v>14.187282996785822</v>
      </c>
      <c r="S44" s="61">
        <f>'TR TUSD'!$S$44*'TR TUSD'!$S$63</f>
        <v>0</v>
      </c>
      <c r="T44" s="61">
        <f ca="1">SUM($L$44:$S$44)</f>
        <v>112.23508480628394</v>
      </c>
      <c r="U44" s="61">
        <f>'TR TUSD'!$U$44*'TR TUSD'!$U$63</f>
        <v>0</v>
      </c>
      <c r="V44" s="61">
        <f>'TR TUSD'!$V$44*'TR TUSD'!$V$63</f>
        <v>0</v>
      </c>
      <c r="W44" s="61">
        <f>'TR TUSD'!$W$44*'TR TUSD'!$W$63</f>
        <v>0</v>
      </c>
      <c r="X44" s="61">
        <f>'TR TUSD'!$X$44*'TR TUSD'!$X$63</f>
        <v>0</v>
      </c>
      <c r="Y44" s="61">
        <f>'TR TUSD'!$Y$44*'TR TUSD'!$Y$63</f>
        <v>153.81271235676979</v>
      </c>
      <c r="Z44" s="61">
        <f>'TR TUSD'!$Z$44</f>
        <v>0</v>
      </c>
      <c r="AA44" s="61">
        <f>'TR TUSD'!$AA$44</f>
        <v>0</v>
      </c>
      <c r="AB44" s="61">
        <f>SUM($U$44:$AA$44)</f>
        <v>153.81271235676979</v>
      </c>
      <c r="AC44" s="61">
        <f>'TR TUSD'!$AC$44*'TR TUSD'!$AC$63</f>
        <v>212.54592030761762</v>
      </c>
      <c r="AD44" s="61">
        <f>SUM($AC$44:$AC$44)</f>
        <v>212.54592030761762</v>
      </c>
      <c r="AE44" s="61">
        <v>0</v>
      </c>
      <c r="AF44" s="61">
        <v>0</v>
      </c>
      <c r="AG44" s="61">
        <f>SUM($AE$44:$AF$44)</f>
        <v>0</v>
      </c>
      <c r="AH44" s="61">
        <f>'TR TUSD'!$AH$44*'TR TUSD'!$AH$63</f>
        <v>22.463683973020068</v>
      </c>
      <c r="AI44" s="61">
        <f>'TR TUSD'!$AI$44*'TR TUSD'!$AI$63</f>
        <v>0.22974093191478812</v>
      </c>
      <c r="AJ44" s="61">
        <f ca="1">'TR TUSD'!$AJ$44*'TR TUSD'!$AJ$63</f>
        <v>0.844458782316025</v>
      </c>
      <c r="AK44" s="61">
        <f ca="1">'TR TUSD'!$AK$44*'TR TUSD'!$AK$63</f>
        <v>0.29162531172487466</v>
      </c>
      <c r="AL44" s="61">
        <f ca="1">SUM($AH$44:$AK$44)</f>
        <v>23.829508998975754</v>
      </c>
      <c r="AM44" s="61">
        <f ca="1">SUMIF($L$4:$AL$4,"SUBTOTAL",$L$44:$AL$44)</f>
        <v>502.42322646964709</v>
      </c>
      <c r="AP44" s="61">
        <f>IF((1 - CUSTOS!$M$30)&lt;&gt;0,1/(1 - CUSTOS!$M$30),1)</f>
        <v>1</v>
      </c>
    </row>
    <row r="45" spans="1:42" ht="11.25" customHeight="1" x14ac:dyDescent="0.3">
      <c r="A45" s="132"/>
      <c r="B45" s="132" t="s">
        <v>95</v>
      </c>
      <c r="C45" s="132" t="s">
        <v>43</v>
      </c>
      <c r="D45" s="65" t="s">
        <v>25</v>
      </c>
      <c r="E45" s="65" t="s">
        <v>25</v>
      </c>
      <c r="F45" s="65" t="s">
        <v>25</v>
      </c>
      <c r="G45" s="66" t="s">
        <v>81</v>
      </c>
      <c r="H45" s="66" t="s">
        <v>76</v>
      </c>
      <c r="I45" s="66">
        <f>'MERCADO TUSD'!$U$42</f>
        <v>0</v>
      </c>
      <c r="J45" s="15"/>
      <c r="L45" s="61">
        <f>'TR TUSD'!$L$45*'TR TUSD'!$L$63</f>
        <v>3.3908693754687853</v>
      </c>
      <c r="M45" s="61">
        <f>'TR TUSD'!$M$45*'TR TUSD'!$M$63</f>
        <v>0.97767197363932501</v>
      </c>
      <c r="N45" s="61">
        <f ca="1">'TR TUSD'!$N$45*'TR TUSD'!$N$63</f>
        <v>4.0467858013945026</v>
      </c>
      <c r="O45" s="61">
        <f>'TR TUSD'!$O$45*'TR TUSD'!$O$63</f>
        <v>0</v>
      </c>
      <c r="P45" s="61">
        <f>'TR TUSD'!$P$45*'TR TUSD'!$P$63</f>
        <v>0</v>
      </c>
      <c r="Q45" s="61">
        <f>'TR TUSD'!$Q$45*'TR TUSD'!$Q$63</f>
        <v>89.632474658995491</v>
      </c>
      <c r="R45" s="61">
        <f>'TR TUSD'!$R$45*'TR TUSD'!$R$63</f>
        <v>14.187282996785822</v>
      </c>
      <c r="S45" s="61">
        <f>'TR TUSD'!$S$45*'TR TUSD'!$S$63</f>
        <v>0</v>
      </c>
      <c r="T45" s="61">
        <f ca="1">SUM($L$45:$S$45)</f>
        <v>112.23508480628394</v>
      </c>
      <c r="U45" s="61">
        <f>'TR TUSD'!$U$45*'TR TUSD'!$U$63</f>
        <v>0</v>
      </c>
      <c r="V45" s="61">
        <f>'TR TUSD'!$V$45*'TR TUSD'!$V$63</f>
        <v>0</v>
      </c>
      <c r="W45" s="61">
        <f>'TR TUSD'!$W$45*'TR TUSD'!$W$63</f>
        <v>0</v>
      </c>
      <c r="X45" s="61">
        <f>'TR TUSD'!$X$45*'TR TUSD'!$X$63</f>
        <v>0</v>
      </c>
      <c r="Y45" s="61">
        <f>'TR TUSD'!$Y$45*'TR TUSD'!$Y$63</f>
        <v>153.81271235676979</v>
      </c>
      <c r="Z45" s="61">
        <f>'TR TUSD'!$Z$45</f>
        <v>0</v>
      </c>
      <c r="AA45" s="61">
        <f>'TR TUSD'!$AA$45</f>
        <v>0</v>
      </c>
      <c r="AB45" s="61">
        <f>SUM($U$45:$AA$45)</f>
        <v>153.81271235676979</v>
      </c>
      <c r="AC45" s="61">
        <f>'TR TUSD'!$AC$45*'TR TUSD'!$AC$63</f>
        <v>212.54592030761762</v>
      </c>
      <c r="AD45" s="61">
        <f>SUM($AC$45:$AC$45)</f>
        <v>212.54592030761762</v>
      </c>
      <c r="AE45" s="61">
        <v>0</v>
      </c>
      <c r="AF45" s="61">
        <v>0</v>
      </c>
      <c r="AG45" s="61">
        <f>SUM($AE$45:$AF$45)</f>
        <v>0</v>
      </c>
      <c r="AH45" s="61">
        <f>'TR TUSD'!$AH$45*'TR TUSD'!$AH$63</f>
        <v>22.463683973020068</v>
      </c>
      <c r="AI45" s="61">
        <f>'TR TUSD'!$AI$45*'TR TUSD'!$AI$63</f>
        <v>0.22974093191478812</v>
      </c>
      <c r="AJ45" s="61">
        <f ca="1">'TR TUSD'!$AJ$45*'TR TUSD'!$AJ$63</f>
        <v>0.844458782316025</v>
      </c>
      <c r="AK45" s="61">
        <f ca="1">'TR TUSD'!$AK$45*'TR TUSD'!$AK$63</f>
        <v>0.29162531172487466</v>
      </c>
      <c r="AL45" s="61">
        <f ca="1">SUM($AH$45:$AK$45)</f>
        <v>23.829508998975754</v>
      </c>
      <c r="AM45" s="61">
        <f ca="1">SUMIF($L$4:$AL$4,"SUBTOTAL",$L$45:$AL$45)</f>
        <v>502.42322646964709</v>
      </c>
      <c r="AP45" s="61">
        <f>IF((1 - CUSTOS!$M$28)&lt;&gt;0,1/(1 - CUSTOS!$M$28),1)</f>
        <v>1</v>
      </c>
    </row>
    <row r="46" spans="1:42" ht="11.25" customHeight="1" x14ac:dyDescent="0.3">
      <c r="A46" s="132"/>
      <c r="B46" s="132"/>
      <c r="C46" s="132"/>
      <c r="D46" s="65" t="s">
        <v>96</v>
      </c>
      <c r="E46" s="65" t="s">
        <v>25</v>
      </c>
      <c r="F46" s="65" t="s">
        <v>25</v>
      </c>
      <c r="G46" s="66" t="s">
        <v>81</v>
      </c>
      <c r="H46" s="66" t="s">
        <v>76</v>
      </c>
      <c r="I46" s="66">
        <f>'MERCADO TUSD'!$U$43</f>
        <v>0</v>
      </c>
      <c r="J46" s="15"/>
      <c r="L46" s="61">
        <f>'TR TUSD'!$L$46*'TR TUSD'!$L$63</f>
        <v>3.3908693754687853</v>
      </c>
      <c r="M46" s="61">
        <f>'TR TUSD'!$M$46*'TR TUSD'!$M$63</f>
        <v>0.97767197363932501</v>
      </c>
      <c r="N46" s="61">
        <f ca="1">'TR TUSD'!$N$46*'TR TUSD'!$N$63</f>
        <v>4.0467858013945026</v>
      </c>
      <c r="O46" s="61">
        <f>'TR TUSD'!$O$46*'TR TUSD'!$O$63</f>
        <v>0</v>
      </c>
      <c r="P46" s="61">
        <f>'TR TUSD'!$P$46*'TR TUSD'!$P$63</f>
        <v>0</v>
      </c>
      <c r="Q46" s="61">
        <f>'TR TUSD'!$Q$46*'TR TUSD'!$Q$63</f>
        <v>89.632474658995491</v>
      </c>
      <c r="R46" s="61">
        <f>'TR TUSD'!$R$46*'TR TUSD'!$R$63</f>
        <v>14.187282996785822</v>
      </c>
      <c r="S46" s="61">
        <f>'TR TUSD'!$S$46*'TR TUSD'!$S$63</f>
        <v>0</v>
      </c>
      <c r="T46" s="61">
        <f ca="1">SUM($L$46:$S$46)</f>
        <v>112.23508480628394</v>
      </c>
      <c r="U46" s="61">
        <f>'TR TUSD'!$U$46*'TR TUSD'!$U$63</f>
        <v>0</v>
      </c>
      <c r="V46" s="61">
        <f>'TR TUSD'!$V$46*'TR TUSD'!$V$63</f>
        <v>0</v>
      </c>
      <c r="W46" s="61">
        <f>'TR TUSD'!$W$46*'TR TUSD'!$W$63</f>
        <v>0</v>
      </c>
      <c r="X46" s="61">
        <f>'TR TUSD'!$X$46*'TR TUSD'!$X$63</f>
        <v>0</v>
      </c>
      <c r="Y46" s="61">
        <f>'TR TUSD'!$Y$46*'TR TUSD'!$Y$63</f>
        <v>153.81271235676979</v>
      </c>
      <c r="Z46" s="61">
        <f>'TR TUSD'!$Z$46</f>
        <v>0</v>
      </c>
      <c r="AA46" s="61">
        <f>'TR TUSD'!$AA$46</f>
        <v>0</v>
      </c>
      <c r="AB46" s="61">
        <f>SUM($U$46:$AA$46)</f>
        <v>153.81271235676979</v>
      </c>
      <c r="AC46" s="61">
        <f>'TR TUSD'!$AC$46*'TR TUSD'!$AC$63</f>
        <v>212.54592030761762</v>
      </c>
      <c r="AD46" s="61">
        <f>SUM($AC$46:$AC$46)</f>
        <v>212.54592030761762</v>
      </c>
      <c r="AE46" s="61">
        <v>0</v>
      </c>
      <c r="AF46" s="61">
        <v>0</v>
      </c>
      <c r="AG46" s="61">
        <f>SUM($AE$46:$AF$46)</f>
        <v>0</v>
      </c>
      <c r="AH46" s="61">
        <f>'TR TUSD'!$AH$46*'TR TUSD'!$AH$63</f>
        <v>22.463683973020068</v>
      </c>
      <c r="AI46" s="61">
        <f>'TR TUSD'!$AI$46*'TR TUSD'!$AI$63</f>
        <v>0.22974093191478812</v>
      </c>
      <c r="AJ46" s="61">
        <f ca="1">'TR TUSD'!$AJ$46*'TR TUSD'!$AJ$63</f>
        <v>0.844458782316025</v>
      </c>
      <c r="AK46" s="61">
        <f ca="1">'TR TUSD'!$AK$46*'TR TUSD'!$AK$63</f>
        <v>0.29162531172487466</v>
      </c>
      <c r="AL46" s="61">
        <f ca="1">SUM($AH$46:$AK$46)</f>
        <v>23.829508998975754</v>
      </c>
      <c r="AM46" s="61">
        <f ca="1">SUMIF($L$4:$AL$4,"SUBTOTAL",$L$46:$AL$46)</f>
        <v>502.42322646964709</v>
      </c>
      <c r="AP46" s="61">
        <f>IF((1 - CUSTOS!$M$29)&lt;&gt;0,1/(1 - CUSTOS!$M$29),1)</f>
        <v>1</v>
      </c>
    </row>
    <row r="47" spans="1:42" ht="11.25" customHeight="1" x14ac:dyDescent="0.3">
      <c r="A47" s="132"/>
      <c r="B47" s="132"/>
      <c r="C47" s="132"/>
      <c r="D47" s="65" t="s">
        <v>97</v>
      </c>
      <c r="E47" s="65" t="s">
        <v>25</v>
      </c>
      <c r="F47" s="65" t="s">
        <v>25</v>
      </c>
      <c r="G47" s="66" t="s">
        <v>81</v>
      </c>
      <c r="H47" s="66" t="s">
        <v>76</v>
      </c>
      <c r="I47" s="66">
        <f>'MERCADO TUSD'!$U$44</f>
        <v>0</v>
      </c>
      <c r="J47" s="15"/>
      <c r="L47" s="61">
        <f>'TR TUSD'!$L$47*'TR TUSD'!$L$63</f>
        <v>3.3908693754687853</v>
      </c>
      <c r="M47" s="61">
        <f>'TR TUSD'!$M$47*'TR TUSD'!$M$63</f>
        <v>0.97767197363932501</v>
      </c>
      <c r="N47" s="61">
        <f ca="1">'TR TUSD'!$N$47*'TR TUSD'!$N$63</f>
        <v>4.0467858013945026</v>
      </c>
      <c r="O47" s="61">
        <f>'TR TUSD'!$O$47*'TR TUSD'!$O$63</f>
        <v>0</v>
      </c>
      <c r="P47" s="61">
        <f>'TR TUSD'!$P$47*'TR TUSD'!$P$63</f>
        <v>0</v>
      </c>
      <c r="Q47" s="61">
        <f>'TR TUSD'!$Q$47*'TR TUSD'!$Q$63</f>
        <v>89.632474658995491</v>
      </c>
      <c r="R47" s="61">
        <f>'TR TUSD'!$R$47*'TR TUSD'!$R$63</f>
        <v>14.187282996785822</v>
      </c>
      <c r="S47" s="61">
        <f>'TR TUSD'!$S$47*'TR TUSD'!$S$63</f>
        <v>0</v>
      </c>
      <c r="T47" s="61">
        <f ca="1">SUM($L$47:$S$47)</f>
        <v>112.23508480628394</v>
      </c>
      <c r="U47" s="61">
        <f>'TR TUSD'!$U$47*'TR TUSD'!$U$63</f>
        <v>0</v>
      </c>
      <c r="V47" s="61">
        <f>'TR TUSD'!$V$47*'TR TUSD'!$V$63</f>
        <v>0</v>
      </c>
      <c r="W47" s="61">
        <f>'TR TUSD'!$W$47*'TR TUSD'!$W$63</f>
        <v>0</v>
      </c>
      <c r="X47" s="61">
        <f>'TR TUSD'!$X$47*'TR TUSD'!$X$63</f>
        <v>0</v>
      </c>
      <c r="Y47" s="61">
        <f>'TR TUSD'!$Y$47*'TR TUSD'!$Y$63</f>
        <v>153.81271235676979</v>
      </c>
      <c r="Z47" s="61">
        <f>'TR TUSD'!$Z$47</f>
        <v>0</v>
      </c>
      <c r="AA47" s="61">
        <f>'TR TUSD'!$AA$47</f>
        <v>0</v>
      </c>
      <c r="AB47" s="61">
        <f>SUM($U$47:$AA$47)</f>
        <v>153.81271235676979</v>
      </c>
      <c r="AC47" s="61">
        <f>'TR TUSD'!$AC$47*'TR TUSD'!$AC$63</f>
        <v>212.54592030761762</v>
      </c>
      <c r="AD47" s="61">
        <f>SUM($AC$47:$AC$47)</f>
        <v>212.54592030761762</v>
      </c>
      <c r="AE47" s="61">
        <v>0</v>
      </c>
      <c r="AF47" s="61">
        <v>0</v>
      </c>
      <c r="AG47" s="61">
        <f>SUM($AE$47:$AF$47)</f>
        <v>0</v>
      </c>
      <c r="AH47" s="61">
        <f>'TR TUSD'!$AH$47*'TR TUSD'!$AH$63</f>
        <v>22.463683973020068</v>
      </c>
      <c r="AI47" s="61">
        <f>'TR TUSD'!$AI$47*'TR TUSD'!$AI$63</f>
        <v>0.22974093191478812</v>
      </c>
      <c r="AJ47" s="61">
        <f ca="1">'TR TUSD'!$AJ$47*'TR TUSD'!$AJ$63</f>
        <v>0.844458782316025</v>
      </c>
      <c r="AK47" s="61">
        <f ca="1">'TR TUSD'!$AK$47*'TR TUSD'!$AK$63</f>
        <v>0.29162531172487466</v>
      </c>
      <c r="AL47" s="61">
        <f ca="1">SUM($AH$47:$AK$47)</f>
        <v>23.829508998975754</v>
      </c>
      <c r="AM47" s="61">
        <f ca="1">SUMIF($L$4:$AL$4,"SUBTOTAL",$L$47:$AL$47)</f>
        <v>502.42322646964709</v>
      </c>
      <c r="AP47" s="61">
        <f>IF((1 - CUSTOS!$M$30)&lt;&gt;0,1/(1 - CUSTOS!$M$30),1)</f>
        <v>1</v>
      </c>
    </row>
    <row r="48" spans="1:42" ht="11.25" customHeight="1" x14ac:dyDescent="0.3">
      <c r="A48" s="132" t="s">
        <v>37</v>
      </c>
      <c r="B48" s="132" t="s">
        <v>33</v>
      </c>
      <c r="C48" s="132" t="s">
        <v>25</v>
      </c>
      <c r="D48" s="132" t="s">
        <v>25</v>
      </c>
      <c r="E48" s="132" t="s">
        <v>25</v>
      </c>
      <c r="F48" s="132" t="s">
        <v>25</v>
      </c>
      <c r="G48" s="66" t="s">
        <v>77</v>
      </c>
      <c r="H48" s="66" t="s">
        <v>76</v>
      </c>
      <c r="I48" s="66">
        <f>'MERCADO TUSD'!$U$45</f>
        <v>9.1080000000000005</v>
      </c>
      <c r="J48" s="15"/>
      <c r="L48" s="61">
        <f>'TR TUSD'!$L$48*'TR TUSD'!$L$63</f>
        <v>3.3908693754687853</v>
      </c>
      <c r="M48" s="61">
        <f>'TR TUSD'!$M$48*'TR TUSD'!$M$63</f>
        <v>0.97767197363932501</v>
      </c>
      <c r="N48" s="61">
        <f ca="1">'TR TUSD'!$N$48*'TR TUSD'!$N$63</f>
        <v>12.802732792868701</v>
      </c>
      <c r="O48" s="61">
        <f>'TR TUSD'!$O$48*'TR TUSD'!$O$63</f>
        <v>0</v>
      </c>
      <c r="P48" s="61">
        <f>'TR TUSD'!$P$48*'TR TUSD'!$P$63</f>
        <v>0</v>
      </c>
      <c r="Q48" s="61">
        <f>'TR TUSD'!$Q$48*'TR TUSD'!$Q$63</f>
        <v>89.632474658995491</v>
      </c>
      <c r="R48" s="61">
        <f>'TR TUSD'!$R$48*'TR TUSD'!$R$63</f>
        <v>14.187282996785822</v>
      </c>
      <c r="S48" s="61">
        <f>'TR TUSD'!$S$48*'TR TUSD'!$S$63</f>
        <v>0</v>
      </c>
      <c r="T48" s="61">
        <f ca="1">SUM($L$48:$S$48)</f>
        <v>120.99103179775813</v>
      </c>
      <c r="U48" s="61">
        <f>'TR TUSD'!$U$48*'TR TUSD'!$U$63</f>
        <v>0</v>
      </c>
      <c r="V48" s="61">
        <f>'TR TUSD'!$V$48*'TR TUSD'!$V$63</f>
        <v>0</v>
      </c>
      <c r="W48" s="61">
        <f>'TR TUSD'!$W$48*'TR TUSD'!$W$63</f>
        <v>0</v>
      </c>
      <c r="X48" s="61">
        <f>'TR TUSD'!$X$48*'TR TUSD'!$X$63</f>
        <v>0</v>
      </c>
      <c r="Y48" s="61">
        <f>'TR TUSD'!$Y$48*'TR TUSD'!$Y$63</f>
        <v>553.7258737438143</v>
      </c>
      <c r="Z48" s="61">
        <f>'TR TUSD'!$Z$48</f>
        <v>0</v>
      </c>
      <c r="AA48" s="61">
        <f>'TR TUSD'!$AA$48</f>
        <v>0</v>
      </c>
      <c r="AB48" s="61">
        <f>SUM($U$48:$AA$48)</f>
        <v>553.7258737438143</v>
      </c>
      <c r="AC48" s="61">
        <f>'TR TUSD'!$AC$48*'TR TUSD'!$AC$63</f>
        <v>765.16526970000973</v>
      </c>
      <c r="AD48" s="61">
        <f>SUM($AC$48:$AC$48)</f>
        <v>765.16526970000973</v>
      </c>
      <c r="AE48" s="61">
        <v>0</v>
      </c>
      <c r="AF48" s="61">
        <v>0</v>
      </c>
      <c r="AG48" s="61">
        <f>SUM($AE$48:$AF$48)</f>
        <v>0</v>
      </c>
      <c r="AH48" s="61">
        <f>'TR TUSD'!$AH$48*'TR TUSD'!$AH$63</f>
        <v>22.463683973020068</v>
      </c>
      <c r="AI48" s="61">
        <f>'TR TUSD'!$AI$48*'TR TUSD'!$AI$63</f>
        <v>0.22974093191478812</v>
      </c>
      <c r="AJ48" s="61">
        <f ca="1">'TR TUSD'!$AJ$48*'TR TUSD'!$AJ$63</f>
        <v>0.844458782316025</v>
      </c>
      <c r="AK48" s="61">
        <f ca="1">'TR TUSD'!$AK$48*'TR TUSD'!$AK$63</f>
        <v>0.29162531172487466</v>
      </c>
      <c r="AL48" s="61">
        <f ca="1">SUM($AH$48:$AK$48)</f>
        <v>23.829508998975754</v>
      </c>
      <c r="AM48" s="61">
        <f ca="1">SUMIF($L$4:$AL$4,"SUBTOTAL",$L$48:$AL$48)</f>
        <v>1463.711684240558</v>
      </c>
      <c r="AP48" s="61">
        <f>IF((1 - CUSTOS!$M$31)&lt;&gt;0,1/(1 - CUSTOS!$M$31),1)</f>
        <v>1</v>
      </c>
    </row>
    <row r="49" spans="1:42" ht="11.25" customHeight="1" x14ac:dyDescent="0.3">
      <c r="A49" s="132"/>
      <c r="B49" s="132"/>
      <c r="C49" s="132"/>
      <c r="D49" s="132"/>
      <c r="E49" s="132"/>
      <c r="F49" s="132"/>
      <c r="G49" s="66" t="s">
        <v>93</v>
      </c>
      <c r="H49" s="66" t="s">
        <v>76</v>
      </c>
      <c r="I49" s="66">
        <f>'MERCADO TUSD'!$U$46</f>
        <v>0.627</v>
      </c>
      <c r="J49" s="15"/>
      <c r="L49" s="61">
        <f>'TR TUSD'!$L$49*'TR TUSD'!$L$63</f>
        <v>3.3908693754687853</v>
      </c>
      <c r="M49" s="61">
        <f>'TR TUSD'!$M$49*'TR TUSD'!$M$63</f>
        <v>0.97767197363932501</v>
      </c>
      <c r="N49" s="61">
        <f ca="1">'TR TUSD'!$N$49*'TR TUSD'!$N$63</f>
        <v>7.9532857208551908</v>
      </c>
      <c r="O49" s="61">
        <f>'TR TUSD'!$O$49*'TR TUSD'!$O$63</f>
        <v>0</v>
      </c>
      <c r="P49" s="61">
        <f>'TR TUSD'!$P$49*'TR TUSD'!$P$63</f>
        <v>0</v>
      </c>
      <c r="Q49" s="61">
        <f>'TR TUSD'!$Q$49*'TR TUSD'!$Q$63</f>
        <v>89.632474658995491</v>
      </c>
      <c r="R49" s="61">
        <f>'TR TUSD'!$R$49*'TR TUSD'!$R$63</f>
        <v>14.187282996785822</v>
      </c>
      <c r="S49" s="61">
        <f>'TR TUSD'!$S$49*'TR TUSD'!$S$63</f>
        <v>0</v>
      </c>
      <c r="T49" s="61">
        <f ca="1">SUM($L$49:$S$49)</f>
        <v>116.14158472574462</v>
      </c>
      <c r="U49" s="61">
        <f>'TR TUSD'!$U$49*'TR TUSD'!$U$63</f>
        <v>0</v>
      </c>
      <c r="V49" s="61">
        <f>'TR TUSD'!$V$49*'TR TUSD'!$V$63</f>
        <v>0</v>
      </c>
      <c r="W49" s="61">
        <f>'TR TUSD'!$W$49*'TR TUSD'!$W$63</f>
        <v>0</v>
      </c>
      <c r="X49" s="61">
        <f>'TR TUSD'!$X$49*'TR TUSD'!$X$63</f>
        <v>0</v>
      </c>
      <c r="Y49" s="61">
        <f>'TR TUSD'!$Y$49*'TR TUSD'!$Y$63</f>
        <v>332.23556795006573</v>
      </c>
      <c r="Z49" s="61">
        <f>'TR TUSD'!$Z$49</f>
        <v>0</v>
      </c>
      <c r="AA49" s="61">
        <f>'TR TUSD'!$AA$49</f>
        <v>0</v>
      </c>
      <c r="AB49" s="61">
        <f>SUM($U$49:$AA$49)</f>
        <v>332.23556795006573</v>
      </c>
      <c r="AC49" s="61">
        <f>'TR TUSD'!$AC$49*'TR TUSD'!$AC$63</f>
        <v>459.09916182000592</v>
      </c>
      <c r="AD49" s="61">
        <f>SUM($AC$49:$AC$49)</f>
        <v>459.09916182000592</v>
      </c>
      <c r="AE49" s="61">
        <v>0</v>
      </c>
      <c r="AF49" s="61">
        <v>0</v>
      </c>
      <c r="AG49" s="61">
        <f>SUM($AE$49:$AF$49)</f>
        <v>0</v>
      </c>
      <c r="AH49" s="61">
        <f>'TR TUSD'!$AH$49*'TR TUSD'!$AH$63</f>
        <v>22.463683973020068</v>
      </c>
      <c r="AI49" s="61">
        <f>'TR TUSD'!$AI$49*'TR TUSD'!$AI$63</f>
        <v>0.22974093191478812</v>
      </c>
      <c r="AJ49" s="61">
        <f ca="1">'TR TUSD'!$AJ$49*'TR TUSD'!$AJ$63</f>
        <v>0.844458782316025</v>
      </c>
      <c r="AK49" s="61">
        <f ca="1">'TR TUSD'!$AK$49*'TR TUSD'!$AK$63</f>
        <v>0.29162531172487466</v>
      </c>
      <c r="AL49" s="61">
        <f ca="1">SUM($AH$49:$AK$49)</f>
        <v>23.829508998975754</v>
      </c>
      <c r="AM49" s="61">
        <f ca="1">SUMIF($L$4:$AL$4,"SUBTOTAL",$L$49:$AL$49)</f>
        <v>931.30582349479198</v>
      </c>
      <c r="AP49" s="61">
        <f>IF((1 - CUSTOS!$M$31)&lt;&gt;0,1/(1 - CUSTOS!$M$31),1)</f>
        <v>1</v>
      </c>
    </row>
    <row r="50" spans="1:42" ht="11.25" customHeight="1" x14ac:dyDescent="0.3">
      <c r="A50" s="132"/>
      <c r="B50" s="132"/>
      <c r="C50" s="132"/>
      <c r="D50" s="132"/>
      <c r="E50" s="132"/>
      <c r="F50" s="132"/>
      <c r="G50" s="66" t="s">
        <v>78</v>
      </c>
      <c r="H50" s="66" t="s">
        <v>76</v>
      </c>
      <c r="I50" s="66">
        <f>'MERCADO TUSD'!$U$47</f>
        <v>7.484</v>
      </c>
      <c r="J50" s="15"/>
      <c r="L50" s="61">
        <f>'TR TUSD'!$L$50*'TR TUSD'!$L$63</f>
        <v>3.3908693754687853</v>
      </c>
      <c r="M50" s="61">
        <f>'TR TUSD'!$M$50*'TR TUSD'!$M$63</f>
        <v>0.97767197363932501</v>
      </c>
      <c r="N50" s="61">
        <f ca="1">'TR TUSD'!$N$50*'TR TUSD'!$N$63</f>
        <v>3.1038376484606491</v>
      </c>
      <c r="O50" s="61">
        <f>'TR TUSD'!$O$50*'TR TUSD'!$O$63</f>
        <v>0</v>
      </c>
      <c r="P50" s="61">
        <f>'TR TUSD'!$P$50*'TR TUSD'!$P$63</f>
        <v>0</v>
      </c>
      <c r="Q50" s="61">
        <f>'TR TUSD'!$Q$50*'TR TUSD'!$Q$63</f>
        <v>89.632474658995491</v>
      </c>
      <c r="R50" s="61">
        <f>'TR TUSD'!$R$50*'TR TUSD'!$R$63</f>
        <v>14.187282996785822</v>
      </c>
      <c r="S50" s="61">
        <f>'TR TUSD'!$S$50*'TR TUSD'!$S$63</f>
        <v>0</v>
      </c>
      <c r="T50" s="61">
        <f ca="1">SUM($L$50:$S$50)</f>
        <v>111.29213665335007</v>
      </c>
      <c r="U50" s="61">
        <f>'TR TUSD'!$U$50*'TR TUSD'!$U$63</f>
        <v>0</v>
      </c>
      <c r="V50" s="61">
        <f>'TR TUSD'!$V$50*'TR TUSD'!$V$63</f>
        <v>0</v>
      </c>
      <c r="W50" s="61">
        <f>'TR TUSD'!$W$50*'TR TUSD'!$W$63</f>
        <v>0</v>
      </c>
      <c r="X50" s="61">
        <f>'TR TUSD'!$X$50*'TR TUSD'!$X$63</f>
        <v>0</v>
      </c>
      <c r="Y50" s="61">
        <f>'TR TUSD'!$Y$50*'TR TUSD'!$Y$63</f>
        <v>110.74515289687426</v>
      </c>
      <c r="Z50" s="61">
        <f>'TR TUSD'!$Z$50</f>
        <v>0</v>
      </c>
      <c r="AA50" s="61">
        <f>'TR TUSD'!$AA$50</f>
        <v>0</v>
      </c>
      <c r="AB50" s="61">
        <f>SUM($U$50:$AA$50)</f>
        <v>110.74515289687426</v>
      </c>
      <c r="AC50" s="61">
        <f>'TR TUSD'!$AC$50*'TR TUSD'!$AC$63</f>
        <v>153.03305394000193</v>
      </c>
      <c r="AD50" s="61">
        <f>SUM($AC$50:$AC$50)</f>
        <v>153.03305394000193</v>
      </c>
      <c r="AE50" s="61">
        <v>0</v>
      </c>
      <c r="AF50" s="61">
        <v>0</v>
      </c>
      <c r="AG50" s="61">
        <f>SUM($AE$50:$AF$50)</f>
        <v>0</v>
      </c>
      <c r="AH50" s="61">
        <f>'TR TUSD'!$AH$50*'TR TUSD'!$AH$63</f>
        <v>22.463683973020068</v>
      </c>
      <c r="AI50" s="61">
        <f>'TR TUSD'!$AI$50*'TR TUSD'!$AI$63</f>
        <v>0.22974093191478812</v>
      </c>
      <c r="AJ50" s="61">
        <f ca="1">'TR TUSD'!$AJ$50*'TR TUSD'!$AJ$63</f>
        <v>0.844458782316025</v>
      </c>
      <c r="AK50" s="61">
        <f ca="1">'TR TUSD'!$AK$50*'TR TUSD'!$AK$63</f>
        <v>0.29162531172487466</v>
      </c>
      <c r="AL50" s="61">
        <f ca="1">SUM($AH$50:$AK$50)</f>
        <v>23.829508998975754</v>
      </c>
      <c r="AM50" s="61">
        <f ca="1">SUMIF($L$4:$AL$4,"SUBTOTAL",$L$50:$AL$50)</f>
        <v>398.89985248920203</v>
      </c>
      <c r="AP50" s="61">
        <f>IF((1 - CUSTOS!$M$31)&lt;&gt;0,1/(1 - CUSTOS!$M$31),1)</f>
        <v>1</v>
      </c>
    </row>
    <row r="51" spans="1:42" ht="11.25" customHeight="1" x14ac:dyDescent="0.3">
      <c r="A51" s="132"/>
      <c r="B51" s="65" t="s">
        <v>23</v>
      </c>
      <c r="C51" s="65" t="s">
        <v>25</v>
      </c>
      <c r="D51" s="65" t="s">
        <v>25</v>
      </c>
      <c r="E51" s="65" t="s">
        <v>25</v>
      </c>
      <c r="F51" s="65" t="s">
        <v>25</v>
      </c>
      <c r="G51" s="66" t="s">
        <v>81</v>
      </c>
      <c r="H51" s="66" t="s">
        <v>76</v>
      </c>
      <c r="I51" s="66">
        <f>'MERCADO TUSD'!$U$48</f>
        <v>11812.039999999999</v>
      </c>
      <c r="J51" s="15"/>
      <c r="L51" s="61">
        <f>'TR TUSD'!$L$51*'TR TUSD'!$L$63</f>
        <v>3.3908693754687853</v>
      </c>
      <c r="M51" s="61">
        <f>'TR TUSD'!$M$51*'TR TUSD'!$M$63</f>
        <v>0.97767197363932501</v>
      </c>
      <c r="N51" s="61">
        <f ca="1">'TR TUSD'!$N$51*'TR TUSD'!$N$63</f>
        <v>4.0467858013945026</v>
      </c>
      <c r="O51" s="61">
        <f>'TR TUSD'!$O$51*'TR TUSD'!$O$63</f>
        <v>0</v>
      </c>
      <c r="P51" s="61">
        <f>'TR TUSD'!$P$51*'TR TUSD'!$P$63</f>
        <v>0</v>
      </c>
      <c r="Q51" s="61">
        <f>'TR TUSD'!$Q$51*'TR TUSD'!$Q$63</f>
        <v>89.632474658995491</v>
      </c>
      <c r="R51" s="61">
        <f>'TR TUSD'!$R$51*'TR TUSD'!$R$63</f>
        <v>14.187282996785822</v>
      </c>
      <c r="S51" s="61">
        <f>'TR TUSD'!$S$51*'TR TUSD'!$S$63</f>
        <v>0</v>
      </c>
      <c r="T51" s="61">
        <f ca="1">SUM($L$51:$S$51)</f>
        <v>112.23508480628394</v>
      </c>
      <c r="U51" s="61">
        <f>'TR TUSD'!$U$51*'TR TUSD'!$U$63</f>
        <v>0</v>
      </c>
      <c r="V51" s="61">
        <f>'TR TUSD'!$V$51*'TR TUSD'!$V$63</f>
        <v>0</v>
      </c>
      <c r="W51" s="61">
        <f>'TR TUSD'!$W$51*'TR TUSD'!$W$63</f>
        <v>0</v>
      </c>
      <c r="X51" s="61">
        <f>'TR TUSD'!$X$51*'TR TUSD'!$X$63</f>
        <v>0</v>
      </c>
      <c r="Y51" s="61">
        <f>'TR TUSD'!$Y$51*'TR TUSD'!$Y$63</f>
        <v>153.81271235676979</v>
      </c>
      <c r="Z51" s="61">
        <f>'TR TUSD'!$Z$51</f>
        <v>0</v>
      </c>
      <c r="AA51" s="61">
        <f>'TR TUSD'!$AA$51</f>
        <v>0</v>
      </c>
      <c r="AB51" s="61">
        <f>SUM($U$51:$AA$51)</f>
        <v>153.81271235676979</v>
      </c>
      <c r="AC51" s="61">
        <f>'TR TUSD'!$AC$51*'TR TUSD'!$AC$63</f>
        <v>212.54592030761762</v>
      </c>
      <c r="AD51" s="61">
        <f>SUM($AC$51:$AC$51)</f>
        <v>212.54592030761762</v>
      </c>
      <c r="AE51" s="61">
        <v>0</v>
      </c>
      <c r="AF51" s="61">
        <v>0</v>
      </c>
      <c r="AG51" s="61">
        <f>SUM($AE$51:$AF$51)</f>
        <v>0</v>
      </c>
      <c r="AH51" s="61">
        <f>'TR TUSD'!$AH$51*'TR TUSD'!$AH$63</f>
        <v>22.463683973020068</v>
      </c>
      <c r="AI51" s="61">
        <f>'TR TUSD'!$AI$51*'TR TUSD'!$AI$63</f>
        <v>0.22974093191478812</v>
      </c>
      <c r="AJ51" s="61">
        <f ca="1">'TR TUSD'!$AJ$51*'TR TUSD'!$AJ$63</f>
        <v>0.844458782316025</v>
      </c>
      <c r="AK51" s="61">
        <f ca="1">'TR TUSD'!$AK$51*'TR TUSD'!$AK$63</f>
        <v>0.29162531172487466</v>
      </c>
      <c r="AL51" s="61">
        <f ca="1">SUM($AH$51:$AK$51)</f>
        <v>23.829508998975754</v>
      </c>
      <c r="AM51" s="61">
        <f ca="1">SUMIF($L$4:$AL$4,"SUBTOTAL",$L$51:$AL$51)</f>
        <v>502.42322646964709</v>
      </c>
      <c r="AP51" s="61">
        <f>IF((1 - CUSTOS!$M$31)&lt;&gt;0,1/(1 - CUSTOS!$M$31),1)</f>
        <v>1</v>
      </c>
    </row>
    <row r="52" spans="1:42" ht="11.25" customHeight="1" x14ac:dyDescent="0.3">
      <c r="A52" s="132"/>
      <c r="B52" s="65" t="s">
        <v>95</v>
      </c>
      <c r="C52" s="65" t="s">
        <v>25</v>
      </c>
      <c r="D52" s="65" t="s">
        <v>25</v>
      </c>
      <c r="E52" s="65" t="s">
        <v>25</v>
      </c>
      <c r="F52" s="65" t="s">
        <v>25</v>
      </c>
      <c r="G52" s="66" t="s">
        <v>81</v>
      </c>
      <c r="H52" s="66" t="s">
        <v>76</v>
      </c>
      <c r="I52" s="66">
        <f>'MERCADO TUSD'!$U$49</f>
        <v>0</v>
      </c>
      <c r="J52" s="15"/>
      <c r="L52" s="61">
        <f>'TR TUSD'!$L$52*'TR TUSD'!$L$63</f>
        <v>3.3908693754687853</v>
      </c>
      <c r="M52" s="61">
        <f>'TR TUSD'!$M$52*'TR TUSD'!$M$63</f>
        <v>0.97767197363932501</v>
      </c>
      <c r="N52" s="61">
        <f ca="1">'TR TUSD'!$N$52*'TR TUSD'!$N$63</f>
        <v>4.0467858013945026</v>
      </c>
      <c r="O52" s="61">
        <f>'TR TUSD'!$O$52*'TR TUSD'!$O$63</f>
        <v>0</v>
      </c>
      <c r="P52" s="61">
        <f>'TR TUSD'!$P$52*'TR TUSD'!$P$63</f>
        <v>0</v>
      </c>
      <c r="Q52" s="61">
        <f>'TR TUSD'!$Q$52*'TR TUSD'!$Q$63</f>
        <v>89.632474658995491</v>
      </c>
      <c r="R52" s="61">
        <f>'TR TUSD'!$R$52*'TR TUSD'!$R$63</f>
        <v>14.187282996785822</v>
      </c>
      <c r="S52" s="61">
        <f>'TR TUSD'!$S$52*'TR TUSD'!$S$63</f>
        <v>0</v>
      </c>
      <c r="T52" s="61">
        <f ca="1">SUM($L$52:$S$52)</f>
        <v>112.23508480628394</v>
      </c>
      <c r="U52" s="61">
        <f>'TR TUSD'!$U$52*'TR TUSD'!$U$63</f>
        <v>0</v>
      </c>
      <c r="V52" s="61">
        <f>'TR TUSD'!$V$52*'TR TUSD'!$V$63</f>
        <v>0</v>
      </c>
      <c r="W52" s="61">
        <f>'TR TUSD'!$W$52*'TR TUSD'!$W$63</f>
        <v>0</v>
      </c>
      <c r="X52" s="61">
        <f>'TR TUSD'!$X$52*'TR TUSD'!$X$63</f>
        <v>0</v>
      </c>
      <c r="Y52" s="61">
        <f>'TR TUSD'!$Y$52*'TR TUSD'!$Y$63</f>
        <v>153.81271235676979</v>
      </c>
      <c r="Z52" s="61">
        <f>'TR TUSD'!$Z$52</f>
        <v>0</v>
      </c>
      <c r="AA52" s="61">
        <f>'TR TUSD'!$AA$52</f>
        <v>0</v>
      </c>
      <c r="AB52" s="61">
        <f>SUM($U$52:$AA$52)</f>
        <v>153.81271235676979</v>
      </c>
      <c r="AC52" s="61">
        <f>'TR TUSD'!$AC$52*'TR TUSD'!$AC$63</f>
        <v>212.54592030761762</v>
      </c>
      <c r="AD52" s="61">
        <f>SUM($AC$52:$AC$52)</f>
        <v>212.54592030761762</v>
      </c>
      <c r="AE52" s="61">
        <v>0</v>
      </c>
      <c r="AF52" s="61">
        <v>0</v>
      </c>
      <c r="AG52" s="61">
        <f>SUM($AE$52:$AF$52)</f>
        <v>0</v>
      </c>
      <c r="AH52" s="61">
        <f>'TR TUSD'!$AH$52*'TR TUSD'!$AH$63</f>
        <v>22.463683973020068</v>
      </c>
      <c r="AI52" s="61">
        <f>'TR TUSD'!$AI$52*'TR TUSD'!$AI$63</f>
        <v>0.22974093191478812</v>
      </c>
      <c r="AJ52" s="61">
        <f ca="1">'TR TUSD'!$AJ$52*'TR TUSD'!$AJ$63</f>
        <v>0.844458782316025</v>
      </c>
      <c r="AK52" s="61">
        <f ca="1">'TR TUSD'!$AK$52*'TR TUSD'!$AK$63</f>
        <v>0.29162531172487466</v>
      </c>
      <c r="AL52" s="61">
        <f ca="1">SUM($AH$52:$AK$52)</f>
        <v>23.829508998975754</v>
      </c>
      <c r="AM52" s="61">
        <f ca="1">SUMIF($L$4:$AL$4,"SUBTOTAL",$L$52:$AL$52)</f>
        <v>502.42322646964709</v>
      </c>
      <c r="AP52" s="61">
        <f>IF((1 - CUSTOS!$M$31)&lt;&gt;0,1/(1 - CUSTOS!$M$31),1)</f>
        <v>1</v>
      </c>
    </row>
    <row r="53" spans="1:42" ht="11.25" customHeight="1" x14ac:dyDescent="0.3">
      <c r="A53" s="132" t="s">
        <v>45</v>
      </c>
      <c r="B53" s="132" t="s">
        <v>23</v>
      </c>
      <c r="C53" s="132" t="s">
        <v>46</v>
      </c>
      <c r="D53" s="65" t="s">
        <v>47</v>
      </c>
      <c r="E53" s="65" t="s">
        <v>25</v>
      </c>
      <c r="F53" s="65" t="s">
        <v>25</v>
      </c>
      <c r="G53" s="66" t="s">
        <v>81</v>
      </c>
      <c r="H53" s="66" t="s">
        <v>76</v>
      </c>
      <c r="I53" s="66">
        <f>'MERCADO TUSD'!$U$50</f>
        <v>4365.4290000000001</v>
      </c>
      <c r="J53" s="15"/>
      <c r="L53" s="61">
        <f>'TR TUSD'!$L$53*'TR TUSD'!$L$63</f>
        <v>1.8649781565078321</v>
      </c>
      <c r="M53" s="61">
        <f>'TR TUSD'!$M$53*'TR TUSD'!$M$63</f>
        <v>0.53771958550162868</v>
      </c>
      <c r="N53" s="61">
        <f ca="1">'TR TUSD'!$N$53*'TR TUSD'!$N$63</f>
        <v>2.2257321907669767</v>
      </c>
      <c r="O53" s="61">
        <f>'TR TUSD'!$O$53*'TR TUSD'!$O$63</f>
        <v>0</v>
      </c>
      <c r="P53" s="61">
        <f>'TR TUSD'!$P$53*'TR TUSD'!$P$63</f>
        <v>0</v>
      </c>
      <c r="Q53" s="61">
        <f>'TR TUSD'!$Q$53*'TR TUSD'!$Q$63</f>
        <v>49.297861062447524</v>
      </c>
      <c r="R53" s="61">
        <f>'TR TUSD'!$R$53*'TR TUSD'!$R$63</f>
        <v>7.8030056482322028</v>
      </c>
      <c r="S53" s="61">
        <f>'TR TUSD'!$S$53*'TR TUSD'!$S$63</f>
        <v>0</v>
      </c>
      <c r="T53" s="61">
        <f ca="1">SUM($L$53:$S$53)</f>
        <v>61.729296643456166</v>
      </c>
      <c r="U53" s="61">
        <f>'TR TUSD'!$U$53*'TR TUSD'!$U$63</f>
        <v>0</v>
      </c>
      <c r="V53" s="61">
        <f>'TR TUSD'!$V$53*'TR TUSD'!$V$63</f>
        <v>0</v>
      </c>
      <c r="W53" s="61">
        <f>'TR TUSD'!$W$53*'TR TUSD'!$W$63</f>
        <v>0</v>
      </c>
      <c r="X53" s="61">
        <f>'TR TUSD'!$X$53*'TR TUSD'!$X$63</f>
        <v>0</v>
      </c>
      <c r="Y53" s="61">
        <f>'TR TUSD'!$Y$53*'TR TUSD'!$Y$63</f>
        <v>84.596991796223392</v>
      </c>
      <c r="Z53" s="61">
        <f>'TR TUSD'!$Z$53</f>
        <v>0</v>
      </c>
      <c r="AA53" s="61">
        <f>'TR TUSD'!$AA$53</f>
        <v>0</v>
      </c>
      <c r="AB53" s="61">
        <f>SUM($U$53:$AA$53)</f>
        <v>84.596991796223392</v>
      </c>
      <c r="AC53" s="61">
        <f>'TR TUSD'!$AC$53*'TR TUSD'!$AC$63</f>
        <v>116.90025616918972</v>
      </c>
      <c r="AD53" s="61">
        <f>SUM($AC$53:$AC$53)</f>
        <v>116.90025616918972</v>
      </c>
      <c r="AE53" s="61">
        <v>0</v>
      </c>
      <c r="AF53" s="61">
        <v>0</v>
      </c>
      <c r="AG53" s="61">
        <f>SUM($AE$53:$AF$53)</f>
        <v>0</v>
      </c>
      <c r="AH53" s="61">
        <f>'TR TUSD'!$AH$53*'TR TUSD'!$AH$63</f>
        <v>12.355026185161039</v>
      </c>
      <c r="AI53" s="61">
        <f>'TR TUSD'!$AI$53*'TR TUSD'!$AI$63</f>
        <v>0.12635751255313349</v>
      </c>
      <c r="AJ53" s="61">
        <f ca="1">'TR TUSD'!$AJ$53*'TR TUSD'!$AJ$63</f>
        <v>0.46445233027381377</v>
      </c>
      <c r="AK53" s="61">
        <f ca="1">'TR TUSD'!$AK$53*'TR TUSD'!$AK$63</f>
        <v>0.16039392144868106</v>
      </c>
      <c r="AL53" s="61">
        <f ca="1">SUM($AH$53:$AK$53)</f>
        <v>13.106229949436667</v>
      </c>
      <c r="AM53" s="61">
        <f ca="1">SUMIF($L$4:$AL$4,"SUBTOTAL",$L$53:$AL$53)</f>
        <v>276.33277455830597</v>
      </c>
      <c r="AP53" s="61">
        <f>IF((1 - CUSTOS!$M$32)&lt;&gt;0,1/(1 - CUSTOS!$M$32),1)</f>
        <v>1.8181818181818181</v>
      </c>
    </row>
    <row r="54" spans="1:42" ht="11.25" customHeight="1" x14ac:dyDescent="0.3">
      <c r="A54" s="132"/>
      <c r="B54" s="132"/>
      <c r="C54" s="132"/>
      <c r="D54" s="66" t="s">
        <v>98</v>
      </c>
      <c r="E54" s="66" t="s">
        <v>25</v>
      </c>
      <c r="F54" s="66" t="s">
        <v>25</v>
      </c>
      <c r="G54" s="66" t="s">
        <v>81</v>
      </c>
      <c r="H54" s="66" t="s">
        <v>76</v>
      </c>
      <c r="I54" s="66">
        <f>'MERCADO TUSD'!$U$51</f>
        <v>0</v>
      </c>
      <c r="J54" s="15"/>
      <c r="L54" s="61">
        <f>'TR TUSD'!$L$54*'TR TUSD'!$L$63</f>
        <v>2.034521625281271</v>
      </c>
      <c r="M54" s="61">
        <f>'TR TUSD'!$M$54*'TR TUSD'!$M$63</f>
        <v>0.58660318418359492</v>
      </c>
      <c r="N54" s="61">
        <f ca="1">'TR TUSD'!$N$54*'TR TUSD'!$N$63</f>
        <v>2.4280714808367012</v>
      </c>
      <c r="O54" s="61">
        <f>'TR TUSD'!$O$54*'TR TUSD'!$O$63</f>
        <v>0</v>
      </c>
      <c r="P54" s="61">
        <f>'TR TUSD'!$P$54*'TR TUSD'!$P$63</f>
        <v>0</v>
      </c>
      <c r="Q54" s="61">
        <f>'TR TUSD'!$Q$54*'TR TUSD'!$Q$63</f>
        <v>53.779484795397295</v>
      </c>
      <c r="R54" s="61">
        <f>'TR TUSD'!$R$54*'TR TUSD'!$R$63</f>
        <v>8.512369798071493</v>
      </c>
      <c r="S54" s="61">
        <f>'TR TUSD'!$S$54*'TR TUSD'!$S$63</f>
        <v>0</v>
      </c>
      <c r="T54" s="61">
        <f ca="1">SUM($L$54:$S$54)</f>
        <v>67.34105088377035</v>
      </c>
      <c r="U54" s="61">
        <f>'TR TUSD'!$U$54*'TR TUSD'!$U$63</f>
        <v>0</v>
      </c>
      <c r="V54" s="61">
        <f>'TR TUSD'!$V$54*'TR TUSD'!$V$63</f>
        <v>0</v>
      </c>
      <c r="W54" s="61">
        <f>'TR TUSD'!$W$54*'TR TUSD'!$W$63</f>
        <v>0</v>
      </c>
      <c r="X54" s="61">
        <f>'TR TUSD'!$X$54*'TR TUSD'!$X$63</f>
        <v>0</v>
      </c>
      <c r="Y54" s="61">
        <f>'TR TUSD'!$Y$54*'TR TUSD'!$Y$63</f>
        <v>92.287627414061873</v>
      </c>
      <c r="Z54" s="61">
        <f>'TR TUSD'!$Z$54</f>
        <v>0</v>
      </c>
      <c r="AA54" s="61">
        <f>'TR TUSD'!$AA$54</f>
        <v>0</v>
      </c>
      <c r="AB54" s="61">
        <f>SUM($U$54:$AA$54)</f>
        <v>92.287627414061873</v>
      </c>
      <c r="AC54" s="61">
        <f>'TR TUSD'!$AC$54*'TR TUSD'!$AC$63</f>
        <v>127.52755218457058</v>
      </c>
      <c r="AD54" s="61">
        <f>SUM($AC$54:$AC$54)</f>
        <v>127.52755218457058</v>
      </c>
      <c r="AE54" s="61">
        <v>0</v>
      </c>
      <c r="AF54" s="61">
        <v>0</v>
      </c>
      <c r="AG54" s="61">
        <f>SUM($AE$54:$AF$54)</f>
        <v>0</v>
      </c>
      <c r="AH54" s="61">
        <f>'TR TUSD'!$AH$54*'TR TUSD'!$AH$63</f>
        <v>13.478210383812041</v>
      </c>
      <c r="AI54" s="61">
        <f>'TR TUSD'!$AI$54*'TR TUSD'!$AI$63</f>
        <v>0.13784455914887286</v>
      </c>
      <c r="AJ54" s="61">
        <f ca="1">'TR TUSD'!$AJ$54*'TR TUSD'!$AJ$63</f>
        <v>0.50667526938961494</v>
      </c>
      <c r="AK54" s="61">
        <f ca="1">'TR TUSD'!$AK$54*'TR TUSD'!$AK$63</f>
        <v>0.17497518703492479</v>
      </c>
      <c r="AL54" s="61">
        <f ca="1">SUM($AH$54:$AK$54)</f>
        <v>14.297705399385451</v>
      </c>
      <c r="AM54" s="61">
        <f ca="1">SUMIF($L$4:$AL$4,"SUBTOTAL",$L$54:$AL$54)</f>
        <v>301.45393588178825</v>
      </c>
      <c r="AP54" s="61">
        <f>IF((1 - CUSTOS!$M$33)&lt;&gt;0,1/(1 - CUSTOS!$M$33),1)</f>
        <v>1.6666666666666667</v>
      </c>
    </row>
    <row r="56" spans="1:42" ht="11.25" customHeight="1" x14ac:dyDescent="0.3">
      <c r="K56" s="60" t="s">
        <v>709</v>
      </c>
      <c r="L56" s="61">
        <f>SUMPRODUCT($I$5:$I54,$L$5:$L54)</f>
        <v>237499.7864064188</v>
      </c>
      <c r="M56" s="61">
        <f>SUMPRODUCT($I$5:$I54,$M$5:$M54)</f>
        <v>73374.677892889988</v>
      </c>
      <c r="N56" s="61">
        <f ca="1">SUMPRODUCT($I$5:$I54,$N$5:$N54)</f>
        <v>252169.25620839684</v>
      </c>
      <c r="O56" s="61">
        <f>SUMPRODUCT($I$5:$I54,$O$5:$O54)</f>
        <v>0</v>
      </c>
      <c r="P56" s="61">
        <f>SUMPRODUCT($I$5:$I54,$P$5:$P54)</f>
        <v>0</v>
      </c>
      <c r="Q56" s="61">
        <f>SUMPRODUCT($I$5:$I54,$Q$5:$Q54)</f>
        <v>6277945.6326438896</v>
      </c>
      <c r="R56" s="61">
        <f>SUMPRODUCT($I$5:$I54,$R$5:$R54)</f>
        <v>1038653.7823800762</v>
      </c>
      <c r="S56" s="61">
        <f>SUMPRODUCT($I$5:$I54,$S$5:$S54)</f>
        <v>0</v>
      </c>
      <c r="T56" s="61">
        <f ca="1">SUMPRODUCT($I$5:$I54,$T$5:$T54)</f>
        <v>7879643.1355316751</v>
      </c>
      <c r="U56" s="61">
        <f>SUMPRODUCT($I$5:$I54,$U$5:$U54)</f>
        <v>0</v>
      </c>
      <c r="V56" s="61">
        <f>SUMPRODUCT($I$5:$I54,$V$5:$V54)</f>
        <v>0</v>
      </c>
      <c r="W56" s="61">
        <f>SUMPRODUCT($I$5:$I54,$W$5:$W54)</f>
        <v>0</v>
      </c>
      <c r="X56" s="61">
        <f>SUMPRODUCT($I$5:$I54,$X$5:$X54)</f>
        <v>0</v>
      </c>
      <c r="Y56" s="61">
        <f>SUMPRODUCT($I$5:$I54,$Y$5:$Y54)</f>
        <v>13361511.865062803</v>
      </c>
      <c r="Z56" s="61">
        <f>SUMPRODUCT($I$5:$I54,$Z$5:$Z54)</f>
        <v>0</v>
      </c>
      <c r="AA56" s="61">
        <f>SUMPRODUCT($I$5:$I54,$AA$5:$AA54)</f>
        <v>0</v>
      </c>
      <c r="AB56" s="61">
        <f>SUMPRODUCT($I$5:$I54,$AB$5:$AB54)</f>
        <v>13361511.865062803</v>
      </c>
      <c r="AC56" s="61">
        <f>SUMPRODUCT($I$5:$I54,$AC$5:$AC54)</f>
        <v>15957830.327701803</v>
      </c>
      <c r="AD56" s="61">
        <f>SUMPRODUCT($I$5:$I54,$AD$5:$AD54)</f>
        <v>15957830.327701803</v>
      </c>
      <c r="AE56" s="61">
        <f>SUMPRODUCT($I$5:$I54,$AE$5:$AE54)</f>
        <v>0</v>
      </c>
      <c r="AF56" s="61">
        <f>SUMPRODUCT($I$5:$I54,$AF$5:$AF54)</f>
        <v>0</v>
      </c>
      <c r="AG56" s="61">
        <f>SUMPRODUCT($I$5:$I54,$AG$5:$AG54)</f>
        <v>0</v>
      </c>
      <c r="AH56" s="61">
        <f>SUMPRODUCT($I$5:$I54,$AH$5:$AH54)</f>
        <v>1547837.5890843277</v>
      </c>
      <c r="AI56" s="61">
        <f>SUMPRODUCT($I$5:$I54,$AI$5:$AI54)</f>
        <v>15830.068237964286</v>
      </c>
      <c r="AJ56" s="61">
        <f ca="1">SUMPRODUCT($I$5:$I54,$AJ$5:$AJ54)</f>
        <v>64253.639525114857</v>
      </c>
      <c r="AK56" s="61">
        <f ca="1">SUMPRODUCT($I$5:$I54,$AK$5:$AK54)</f>
        <v>22189.345469980512</v>
      </c>
      <c r="AL56" s="61">
        <f ca="1">SUMPRODUCT($I$5:$I54,$AL$5:$AL54)</f>
        <v>1650110.6423173873</v>
      </c>
      <c r="AM56" s="61">
        <f ca="1">SUMPRODUCT($I$5:$I54,$AM$5:$AM54)</f>
        <v>38849095.970613673</v>
      </c>
    </row>
    <row r="57" spans="1:42" ht="11.25" customHeight="1" x14ac:dyDescent="0.3">
      <c r="K57" s="60" t="s">
        <v>652</v>
      </c>
      <c r="L57" s="61">
        <f>'TR TUSD'!$L$59</f>
        <v>237499.78640641886</v>
      </c>
      <c r="M57" s="61">
        <f>'TR TUSD'!$M$59</f>
        <v>73374.677892889988</v>
      </c>
      <c r="N57" s="61">
        <f>'TR TUSD'!$N$59</f>
        <v>252169.25620839672</v>
      </c>
      <c r="O57" s="61">
        <f>'TR TUSD'!$O$59</f>
        <v>0</v>
      </c>
      <c r="P57" s="61">
        <f>'TR TUSD'!$P$59</f>
        <v>0</v>
      </c>
      <c r="Q57" s="61">
        <f>'TR TUSD'!$Q$59</f>
        <v>6277945.6326438915</v>
      </c>
      <c r="R57" s="61">
        <f>'TR TUSD'!$R$59</f>
        <v>1038653.7823800762</v>
      </c>
      <c r="S57" s="61">
        <f>'TR TUSD'!$S$59</f>
        <v>0</v>
      </c>
      <c r="T57" s="61">
        <f>'TR TUSD'!$T$59</f>
        <v>7879643.1355316732</v>
      </c>
      <c r="U57" s="61">
        <f>'TR TUSD'!$U$59</f>
        <v>0</v>
      </c>
      <c r="V57" s="61">
        <f>'TR TUSD'!$V$59</f>
        <v>0</v>
      </c>
      <c r="W57" s="61">
        <f>'TR TUSD'!$W$59</f>
        <v>0</v>
      </c>
      <c r="X57" s="61">
        <f>'TR TUSD'!$X$59</f>
        <v>0</v>
      </c>
      <c r="Y57" s="61">
        <f>'TR TUSD'!$Y$59</f>
        <v>13361511.865062799</v>
      </c>
      <c r="Z57" s="61">
        <f>'TR TUSD'!$Z$59</f>
        <v>0</v>
      </c>
      <c r="AA57" s="61">
        <f>'TR TUSD'!$AA$59</f>
        <v>0</v>
      </c>
      <c r="AB57" s="61">
        <f>'TR TUSD'!$AB$59</f>
        <v>13361511.865062799</v>
      </c>
      <c r="AC57" s="61">
        <f>'TR TUSD'!$AC$59</f>
        <v>15957830.327701807</v>
      </c>
      <c r="AD57" s="61">
        <f>'TR TUSD'!$AD$59</f>
        <v>15957830.327701807</v>
      </c>
      <c r="AE57" s="61">
        <f>'TR TUSD'!$AE$59</f>
        <v>0</v>
      </c>
      <c r="AF57" s="61">
        <f>'TR TUSD'!$AF$59</f>
        <v>0</v>
      </c>
      <c r="AG57" s="61">
        <f>'TR TUSD'!$AG$59</f>
        <v>0</v>
      </c>
      <c r="AH57" s="61">
        <f>'TR TUSD'!$AH$59</f>
        <v>1547837.5890843272</v>
      </c>
      <c r="AI57" s="61">
        <f>'TR TUSD'!$AI$59</f>
        <v>15830.06823796428</v>
      </c>
      <c r="AJ57" s="61">
        <f>'TR TUSD'!$AJ$59</f>
        <v>64253.639525114879</v>
      </c>
      <c r="AK57" s="61">
        <f>'TR TUSD'!$AK$59</f>
        <v>22189.345469980515</v>
      </c>
      <c r="AL57" s="61">
        <f>'TR TUSD'!$AL$59</f>
        <v>1650110.6423173868</v>
      </c>
      <c r="AM57" s="61">
        <f>CUSTOS!$D$29</f>
        <v>38849095.970613666</v>
      </c>
    </row>
    <row r="58" spans="1:42" ht="11.25" customHeight="1" x14ac:dyDescent="0.3">
      <c r="K58" s="60" t="s">
        <v>653</v>
      </c>
      <c r="L58" s="61">
        <f>CUSTOS!$E$2</f>
        <v>-6321.8271732228659</v>
      </c>
      <c r="M58" s="61">
        <f>CUSTOS!$E$3</f>
        <v>-1462.854310844883</v>
      </c>
      <c r="N58" s="61">
        <f>CUSTOS!$E$4</f>
        <v>-1.9727855092924103</v>
      </c>
      <c r="O58" s="61">
        <f>CUSTOS!$E$5</f>
        <v>0</v>
      </c>
      <c r="P58" s="61">
        <f>CUSTOS!$E$6</f>
        <v>0</v>
      </c>
      <c r="Q58" s="61">
        <f>CUSTOS!$E$7</f>
        <v>-66756.333714650362</v>
      </c>
      <c r="R58" s="61">
        <f>CUSTOS!$E$8</f>
        <v>-10513.389966282062</v>
      </c>
      <c r="S58" s="61">
        <f>CUSTOS!$E$9</f>
        <v>0</v>
      </c>
      <c r="T58" s="61">
        <f>CUSTOS!$E$10</f>
        <v>-85056.377950509472</v>
      </c>
      <c r="U58" s="61">
        <f>CUSTOS!$E$11</f>
        <v>0</v>
      </c>
      <c r="V58" s="61">
        <f>CUSTOS!$E$12</f>
        <v>0</v>
      </c>
      <c r="W58" s="61">
        <f>CUSTOS!$E$13</f>
        <v>0</v>
      </c>
      <c r="X58" s="61">
        <f>CUSTOS!$E$14</f>
        <v>0</v>
      </c>
      <c r="Y58" s="61">
        <f>CUSTOS!$E$15</f>
        <v>-2303426.1390031921</v>
      </c>
      <c r="Z58" s="61">
        <f>CUSTOS!$E$16</f>
        <v>0</v>
      </c>
      <c r="AA58" s="61">
        <f>CUSTOS!$E$17</f>
        <v>0</v>
      </c>
      <c r="AB58" s="61">
        <f>CUSTOS!$E$18</f>
        <v>-2303426.1390031921</v>
      </c>
      <c r="AC58" s="61">
        <f>CUSTOS!$E$19</f>
        <v>1487377.6100786317</v>
      </c>
      <c r="AD58" s="61">
        <f>CUSTOS!$E$20</f>
        <v>1487377.6100786317</v>
      </c>
      <c r="AE58" s="61">
        <f>CUSTOS!$E$21</f>
        <v>-4597767.3896910865</v>
      </c>
      <c r="AF58" s="61">
        <f>CUSTOS!$E$22</f>
        <v>0</v>
      </c>
      <c r="AG58" s="61">
        <f>CUSTOS!$E$23</f>
        <v>-4597767.3896910865</v>
      </c>
      <c r="AH58" s="61">
        <f>CUSTOS!$E$24</f>
        <v>-230757.57815953059</v>
      </c>
      <c r="AI58" s="61">
        <f>CUSTOS!$E$25</f>
        <v>-2360.0074287210841</v>
      </c>
      <c r="AJ58" s="61">
        <f>CUSTOS!$E$26</f>
        <v>-9579.1795917828786</v>
      </c>
      <c r="AK58" s="61">
        <f>CUSTOS!$E$27</f>
        <v>3373.324918591873</v>
      </c>
      <c r="AL58" s="61">
        <f>CUSTOS!$E$28</f>
        <v>-239323.44026144268</v>
      </c>
      <c r="AM58" s="61">
        <f>CUSTOS!$E$29</f>
        <v>-5738195.7368275989</v>
      </c>
    </row>
    <row r="59" spans="1:42" ht="11.25" customHeight="1" x14ac:dyDescent="0.3">
      <c r="K59" s="60" t="s">
        <v>654</v>
      </c>
      <c r="L59" s="61">
        <f>CUSTOS!$F$2</f>
        <v>15576.859586323053</v>
      </c>
      <c r="M59" s="61">
        <f>CUSTOS!$F$3</f>
        <v>0</v>
      </c>
      <c r="N59" s="61">
        <f>CUSTOS!$F$4</f>
        <v>0</v>
      </c>
      <c r="O59" s="61">
        <f>CUSTOS!$F$5</f>
        <v>0</v>
      </c>
      <c r="P59" s="61">
        <f>CUSTOS!$F$6</f>
        <v>0</v>
      </c>
      <c r="Q59" s="61">
        <f>CUSTOS!$F$7</f>
        <v>776055.91760000004</v>
      </c>
      <c r="R59" s="61">
        <f>CUSTOS!$F$8</f>
        <v>206711.2366</v>
      </c>
      <c r="S59" s="61">
        <f>CUSTOS!$F$9</f>
        <v>0</v>
      </c>
      <c r="T59" s="61">
        <f>CUSTOS!$F$10</f>
        <v>998344.01378632314</v>
      </c>
      <c r="U59" s="61">
        <f>CUSTOS!$F$11</f>
        <v>0</v>
      </c>
      <c r="V59" s="61">
        <f>CUSTOS!$F$12</f>
        <v>0</v>
      </c>
      <c r="W59" s="61">
        <f>CUSTOS!$F$13</f>
        <v>0</v>
      </c>
      <c r="X59" s="61">
        <f>CUSTOS!$F$14</f>
        <v>0</v>
      </c>
      <c r="Y59" s="61">
        <f>CUSTOS!$F$15</f>
        <v>0</v>
      </c>
      <c r="Z59" s="61">
        <f>CUSTOS!$F$16</f>
        <v>0</v>
      </c>
      <c r="AA59" s="61">
        <f>CUSTOS!$F$17</f>
        <v>0</v>
      </c>
      <c r="AB59" s="61">
        <f>CUSTOS!$F$18</f>
        <v>0</v>
      </c>
      <c r="AC59" s="61">
        <f>CUSTOS!$F$19</f>
        <v>0</v>
      </c>
      <c r="AD59" s="61">
        <f>CUSTOS!$F$20</f>
        <v>0</v>
      </c>
      <c r="AE59" s="61">
        <f>CUSTOS!$F$21</f>
        <v>0</v>
      </c>
      <c r="AF59" s="61">
        <f>CUSTOS!$F$22</f>
        <v>0</v>
      </c>
      <c r="AG59" s="61">
        <f>CUSTOS!$F$23</f>
        <v>0</v>
      </c>
      <c r="AH59" s="61">
        <f>CUSTOS!$F$24</f>
        <v>157569.77756582474</v>
      </c>
      <c r="AI59" s="61">
        <f>CUSTOS!$F$25</f>
        <v>1611.5000363723336</v>
      </c>
      <c r="AJ59" s="61">
        <f>CUSTOS!$F$26</f>
        <v>6541.0168089770114</v>
      </c>
      <c r="AK59" s="61">
        <f>CUSTOS!$F$27</f>
        <v>0</v>
      </c>
      <c r="AL59" s="61">
        <f>CUSTOS!$F$28</f>
        <v>165722.29441117408</v>
      </c>
      <c r="AM59" s="61">
        <f>CUSTOS!$F$29</f>
        <v>1164066.3081974972</v>
      </c>
    </row>
    <row r="60" spans="1:42" ht="11.25" customHeight="1" x14ac:dyDescent="0.3">
      <c r="K60" s="60" t="s">
        <v>706</v>
      </c>
      <c r="L60" s="61">
        <v>0</v>
      </c>
      <c r="M60" s="61">
        <v>0</v>
      </c>
      <c r="N60" s="61">
        <v>0</v>
      </c>
      <c r="O60" s="61">
        <v>0</v>
      </c>
      <c r="P60" s="61">
        <v>0</v>
      </c>
      <c r="Q60" s="61">
        <v>0</v>
      </c>
      <c r="R60" s="61">
        <v>0</v>
      </c>
      <c r="S60" s="61">
        <v>0</v>
      </c>
      <c r="T60" s="61">
        <f>SUM($L$60:$S$60)</f>
        <v>0</v>
      </c>
      <c r="U60" s="61">
        <v>0</v>
      </c>
      <c r="V60" s="61">
        <v>0</v>
      </c>
      <c r="W60" s="61">
        <v>0</v>
      </c>
      <c r="X60" s="61">
        <v>0</v>
      </c>
      <c r="Y60" s="61">
        <v>0</v>
      </c>
      <c r="Z60" s="61">
        <v>0</v>
      </c>
      <c r="AA60" s="61">
        <v>0</v>
      </c>
      <c r="AB60" s="61">
        <f>SUM($U$60:$AA$60)</f>
        <v>0</v>
      </c>
      <c r="AC60" s="61">
        <v>0</v>
      </c>
      <c r="AD60" s="61">
        <f>SUM($AC$60:$AC$60)</f>
        <v>0</v>
      </c>
      <c r="AE60" s="61">
        <v>0</v>
      </c>
      <c r="AF60" s="61">
        <v>0</v>
      </c>
      <c r="AG60" s="61">
        <f>SUM($AE$60:$AF$60)</f>
        <v>0</v>
      </c>
      <c r="AH60" s="61">
        <v>0</v>
      </c>
      <c r="AI60" s="61">
        <v>0</v>
      </c>
      <c r="AJ60" s="61">
        <v>0</v>
      </c>
      <c r="AK60" s="61">
        <v>0</v>
      </c>
      <c r="AL60" s="61">
        <f>SUM($AH$60:$AK$60)</f>
        <v>0</v>
      </c>
      <c r="AM60" s="61">
        <f>SUMIF($L$4:$AL$4,"SUBTOTAL",$L$60:$AL$60)</f>
        <v>0</v>
      </c>
    </row>
    <row r="61" spans="1:42" ht="11.25" customHeight="1" x14ac:dyDescent="0.3">
      <c r="K61" s="60" t="s">
        <v>710</v>
      </c>
      <c r="L61" s="61">
        <f t="shared" ref="L61:R61" si="0">IF((L56-(0))&lt;&gt;0,(L58)/(L56-(0)),0)</f>
        <v>-2.661824361561619E-2</v>
      </c>
      <c r="M61" s="61">
        <f t="shared" si="0"/>
        <v>-1.9936773187342792E-2</v>
      </c>
      <c r="N61" s="61">
        <f t="shared" ca="1" si="0"/>
        <v>-7.8232594208949402E-6</v>
      </c>
      <c r="O61" s="61">
        <f t="shared" si="0"/>
        <v>0</v>
      </c>
      <c r="P61" s="61">
        <f t="shared" si="0"/>
        <v>0</v>
      </c>
      <c r="Q61" s="61">
        <f t="shared" si="0"/>
        <v>-1.0633467956067125E-2</v>
      </c>
      <c r="R61" s="61">
        <f t="shared" si="0"/>
        <v>-1.0122131305573854E-2</v>
      </c>
      <c r="S61" s="61">
        <f>IF((R56-(0)&lt;&gt;0),(S58)/(R56-(0)),0)</f>
        <v>0</v>
      </c>
      <c r="T61" s="61"/>
      <c r="U61" s="61">
        <f t="shared" ref="U61:AA61" si="1">IF((U56-(0))&lt;&gt;0,(U58)/(U56-(0)),0)</f>
        <v>0</v>
      </c>
      <c r="V61" s="61">
        <f t="shared" si="1"/>
        <v>0</v>
      </c>
      <c r="W61" s="61">
        <f t="shared" si="1"/>
        <v>0</v>
      </c>
      <c r="X61" s="61">
        <f t="shared" si="1"/>
        <v>0</v>
      </c>
      <c r="Y61" s="61">
        <f t="shared" si="1"/>
        <v>-0.17239262759075247</v>
      </c>
      <c r="Z61" s="61">
        <f t="shared" si="1"/>
        <v>0</v>
      </c>
      <c r="AA61" s="61">
        <f t="shared" si="1"/>
        <v>0</v>
      </c>
      <c r="AB61" s="61"/>
      <c r="AC61" s="61">
        <f>IF((AC56-(0))&lt;&gt;0,(AC58)/(AC56-(0)),0)</f>
        <v>9.3206756779249403E-2</v>
      </c>
      <c r="AD61" s="61"/>
      <c r="AE61" s="61">
        <f ca="1">IF(($AM56-(0))&lt;&gt;0,(AE58)/($AM56-(0)),0)</f>
        <v>-0.11834940491714249</v>
      </c>
      <c r="AF61" s="61">
        <f ca="1">IF(($AM56-(0))&lt;&gt;0,(AF58)/($AM56-(0)),0)</f>
        <v>0</v>
      </c>
      <c r="AG61" s="61"/>
      <c r="AH61" s="61">
        <f>IF((AH56-(0))&lt;&gt;0,(AH58)/(AH56-(0)),0)</f>
        <v>-0.14908384431731145</v>
      </c>
      <c r="AI61" s="61">
        <f>IF((AI56-(0))&lt;&gt;0,(AI58)/(AI56-(0)),0)</f>
        <v>-0.14908384431731145</v>
      </c>
      <c r="AJ61" s="61">
        <f ca="1">IF((AJ56-(0))&lt;&gt;0,(AJ58)/(AJ56-(0)),0)</f>
        <v>-0.14908384431731153</v>
      </c>
      <c r="AK61" s="61">
        <f ca="1">IF((AK56-(0))&lt;&gt;0,(AK58)/(AK56-(0)),0)</f>
        <v>0.15202453461980533</v>
      </c>
      <c r="AL61" s="61"/>
      <c r="AM61" s="61"/>
    </row>
  </sheetData>
  <mergeCells count="78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AE3:AG3"/>
    <mergeCell ref="AH3:AL3"/>
    <mergeCell ref="AM3:AM4"/>
    <mergeCell ref="E5:E7"/>
    <mergeCell ref="B13:B17"/>
    <mergeCell ref="C13:C17"/>
    <mergeCell ref="D13:D17"/>
    <mergeCell ref="E13:E15"/>
    <mergeCell ref="J1:J4"/>
    <mergeCell ref="L1:AM1"/>
    <mergeCell ref="A1:A4"/>
    <mergeCell ref="C9:C11"/>
    <mergeCell ref="D9:D11"/>
    <mergeCell ref="E9:E11"/>
    <mergeCell ref="F9:F11"/>
    <mergeCell ref="F5:F7"/>
    <mergeCell ref="B9:B11"/>
    <mergeCell ref="G1:G4"/>
    <mergeCell ref="H1:H4"/>
    <mergeCell ref="I1:I4"/>
    <mergeCell ref="A5:A17"/>
    <mergeCell ref="B5:B8"/>
    <mergeCell ref="C5:C8"/>
    <mergeCell ref="D5:D8"/>
    <mergeCell ref="F13:F15"/>
    <mergeCell ref="E16:E17"/>
    <mergeCell ref="A20:A32"/>
    <mergeCell ref="B20:B22"/>
    <mergeCell ref="C20:C22"/>
    <mergeCell ref="D20:D22"/>
    <mergeCell ref="E20:E22"/>
    <mergeCell ref="F16:F17"/>
    <mergeCell ref="A18:A19"/>
    <mergeCell ref="B18:B19"/>
    <mergeCell ref="C18:C19"/>
    <mergeCell ref="D18:D19"/>
    <mergeCell ref="F20:F22"/>
    <mergeCell ref="B23:B27"/>
    <mergeCell ref="C23:C27"/>
    <mergeCell ref="B28:B32"/>
    <mergeCell ref="A33:A47"/>
    <mergeCell ref="B33:B35"/>
    <mergeCell ref="C33:C35"/>
    <mergeCell ref="D33:D35"/>
    <mergeCell ref="E33:E35"/>
    <mergeCell ref="C28:C32"/>
    <mergeCell ref="F33:F35"/>
    <mergeCell ref="B37:B39"/>
    <mergeCell ref="C37:C39"/>
    <mergeCell ref="D37:D39"/>
    <mergeCell ref="E37:E39"/>
    <mergeCell ref="F37:F39"/>
    <mergeCell ref="D48:D50"/>
    <mergeCell ref="E48:E50"/>
    <mergeCell ref="F48:F50"/>
    <mergeCell ref="B41:B43"/>
    <mergeCell ref="C41:C43"/>
    <mergeCell ref="D41:D43"/>
    <mergeCell ref="E41:E43"/>
    <mergeCell ref="F41:F43"/>
    <mergeCell ref="B45:B47"/>
    <mergeCell ref="C45:C47"/>
    <mergeCell ref="A53:A54"/>
    <mergeCell ref="B53:B54"/>
    <mergeCell ref="C53:C54"/>
    <mergeCell ref="A48:A52"/>
    <mergeCell ref="B48:B50"/>
    <mergeCell ref="C48:C50"/>
  </mergeCells>
  <conditionalFormatting sqref="L56">
    <cfRule type="cellIs" dxfId="3878" priority="56" operator="notEqual">
      <formula>$L$57-$L$60</formula>
    </cfRule>
    <cfRule type="cellIs" dxfId="3877" priority="57" operator="equal">
      <formula>$L$57-$L$60</formula>
    </cfRule>
  </conditionalFormatting>
  <conditionalFormatting sqref="M56">
    <cfRule type="cellIs" dxfId="3876" priority="54" operator="notEqual">
      <formula>$M$57-$M$60</formula>
    </cfRule>
    <cfRule type="cellIs" dxfId="3875" priority="55" operator="equal">
      <formula>$M$57-$M$60</formula>
    </cfRule>
  </conditionalFormatting>
  <conditionalFormatting sqref="N56">
    <cfRule type="cellIs" dxfId="3874" priority="52" operator="notEqual">
      <formula>$N$57-$N$60</formula>
    </cfRule>
    <cfRule type="cellIs" dxfId="3873" priority="53" operator="equal">
      <formula>$N$57-$N$60</formula>
    </cfRule>
  </conditionalFormatting>
  <conditionalFormatting sqref="O56">
    <cfRule type="cellIs" dxfId="3872" priority="50" operator="notEqual">
      <formula>$O$57-$O$60</formula>
    </cfRule>
    <cfRule type="cellIs" dxfId="3871" priority="51" operator="equal">
      <formula>$O$57-$O$60</formula>
    </cfRule>
  </conditionalFormatting>
  <conditionalFormatting sqref="P56">
    <cfRule type="cellIs" dxfId="3870" priority="48" operator="notEqual">
      <formula>$P$57-$P$60</formula>
    </cfRule>
    <cfRule type="cellIs" dxfId="3869" priority="49" operator="equal">
      <formula>$P$57-$P$60</formula>
    </cfRule>
  </conditionalFormatting>
  <conditionalFormatting sqref="Q56">
    <cfRule type="cellIs" dxfId="3868" priority="46" operator="notEqual">
      <formula>$Q$57-$Q$60</formula>
    </cfRule>
    <cfRule type="cellIs" dxfId="3867" priority="47" operator="equal">
      <formula>$Q$57-$Q$60</formula>
    </cfRule>
  </conditionalFormatting>
  <conditionalFormatting sqref="R56">
    <cfRule type="cellIs" dxfId="3866" priority="44" operator="notEqual">
      <formula>$R$57-$R$60</formula>
    </cfRule>
    <cfRule type="cellIs" dxfId="3865" priority="45" operator="equal">
      <formula>$R$57-$R$60</formula>
    </cfRule>
  </conditionalFormatting>
  <conditionalFormatting sqref="S56">
    <cfRule type="cellIs" dxfId="3864" priority="42" operator="notEqual">
      <formula>$S$57-$S$60</formula>
    </cfRule>
    <cfRule type="cellIs" dxfId="3863" priority="43" operator="equal">
      <formula>$S$57-$S$60</formula>
    </cfRule>
  </conditionalFormatting>
  <conditionalFormatting sqref="T56">
    <cfRule type="cellIs" dxfId="3862" priority="40" operator="notEqual">
      <formula>$T$57-$T$60</formula>
    </cfRule>
    <cfRule type="cellIs" dxfId="3861" priority="41" operator="equal">
      <formula>$T$57-$T$60</formula>
    </cfRule>
  </conditionalFormatting>
  <conditionalFormatting sqref="U56">
    <cfRule type="cellIs" dxfId="3860" priority="38" operator="notEqual">
      <formula>$U$57-$U$60</formula>
    </cfRule>
    <cfRule type="cellIs" dxfId="3859" priority="39" operator="equal">
      <formula>$U$57-$U$60</formula>
    </cfRule>
  </conditionalFormatting>
  <conditionalFormatting sqref="V56">
    <cfRule type="cellIs" dxfId="3858" priority="36" operator="notEqual">
      <formula>$V$57-$V$60</formula>
    </cfRule>
    <cfRule type="cellIs" dxfId="3857" priority="37" operator="equal">
      <formula>$V$57-$V$60</formula>
    </cfRule>
  </conditionalFormatting>
  <conditionalFormatting sqref="W56">
    <cfRule type="cellIs" dxfId="3856" priority="34" operator="notEqual">
      <formula>$W$57-$W$60</formula>
    </cfRule>
    <cfRule type="cellIs" dxfId="3855" priority="35" operator="equal">
      <formula>$W$57-$W$60</formula>
    </cfRule>
  </conditionalFormatting>
  <conditionalFormatting sqref="X56">
    <cfRule type="cellIs" dxfId="3854" priority="32" operator="notEqual">
      <formula>$X$57-$X$60</formula>
    </cfRule>
    <cfRule type="cellIs" dxfId="3853" priority="33" operator="equal">
      <formula>$X$57-$X$60</formula>
    </cfRule>
  </conditionalFormatting>
  <conditionalFormatting sqref="Y56">
    <cfRule type="cellIs" dxfId="3852" priority="30" operator="notEqual">
      <formula>$Y$57-$Y$60</formula>
    </cfRule>
    <cfRule type="cellIs" dxfId="3851" priority="31" operator="equal">
      <formula>$Y$57-$Y$60</formula>
    </cfRule>
  </conditionalFormatting>
  <conditionalFormatting sqref="Z56">
    <cfRule type="cellIs" dxfId="3850" priority="28" operator="notEqual">
      <formula>$Z$57-$Z$60</formula>
    </cfRule>
    <cfRule type="cellIs" dxfId="3849" priority="29" operator="equal">
      <formula>$Z$57-$Z$60</formula>
    </cfRule>
  </conditionalFormatting>
  <conditionalFormatting sqref="AA56">
    <cfRule type="cellIs" dxfId="3848" priority="26" operator="notEqual">
      <formula>$AA$57-$AA$60</formula>
    </cfRule>
    <cfRule type="cellIs" dxfId="3847" priority="27" operator="equal">
      <formula>$AA$57-$AA$60</formula>
    </cfRule>
  </conditionalFormatting>
  <conditionalFormatting sqref="AB56">
    <cfRule type="cellIs" dxfId="3846" priority="24" operator="notEqual">
      <formula>$AB$57-$AB$60</formula>
    </cfRule>
    <cfRule type="cellIs" dxfId="3845" priority="25" operator="equal">
      <formula>$AB$57-$AB$60</formula>
    </cfRule>
  </conditionalFormatting>
  <conditionalFormatting sqref="AC56">
    <cfRule type="cellIs" dxfId="3844" priority="22" operator="notEqual">
      <formula>$AC$57-$AC$60</formula>
    </cfRule>
    <cfRule type="cellIs" dxfId="3843" priority="23" operator="equal">
      <formula>$AC$57-$AC$60</formula>
    </cfRule>
  </conditionalFormatting>
  <conditionalFormatting sqref="AD56">
    <cfRule type="cellIs" dxfId="3842" priority="20" operator="notEqual">
      <formula>$AD$57-$AD$60</formula>
    </cfRule>
    <cfRule type="cellIs" dxfId="3841" priority="21" operator="equal">
      <formula>$AD$57-$AD$60</formula>
    </cfRule>
  </conditionalFormatting>
  <conditionalFormatting sqref="AE56">
    <cfRule type="cellIs" dxfId="3840" priority="18" operator="notEqual">
      <formula>$AE$57-$AE$60</formula>
    </cfRule>
    <cfRule type="cellIs" dxfId="3839" priority="19" operator="equal">
      <formula>$AE$57-$AE$60</formula>
    </cfRule>
  </conditionalFormatting>
  <conditionalFormatting sqref="AF56">
    <cfRule type="cellIs" dxfId="3838" priority="17" operator="equal">
      <formula>$AF$57-$AF$60</formula>
    </cfRule>
  </conditionalFormatting>
  <conditionalFormatting sqref="AF56">
    <cfRule type="cellIs" dxfId="3837" priority="16" operator="notEqual">
      <formula>$AF$57-$AF$60</formula>
    </cfRule>
  </conditionalFormatting>
  <conditionalFormatting sqref="AG56">
    <cfRule type="cellIs" dxfId="3836" priority="15" operator="equal">
      <formula>$AG$57-$AG$60</formula>
    </cfRule>
  </conditionalFormatting>
  <conditionalFormatting sqref="AG56">
    <cfRule type="cellIs" dxfId="3835" priority="14" operator="notEqual">
      <formula>$AG$57-$AG$60</formula>
    </cfRule>
  </conditionalFormatting>
  <conditionalFormatting sqref="AH56">
    <cfRule type="cellIs" dxfId="3834" priority="13" operator="equal">
      <formula>$AH$57-$AH$60</formula>
    </cfRule>
  </conditionalFormatting>
  <conditionalFormatting sqref="AH56">
    <cfRule type="cellIs" dxfId="3833" priority="12" operator="notEqual">
      <formula>$AH$57-$AH$60</formula>
    </cfRule>
  </conditionalFormatting>
  <conditionalFormatting sqref="AI56">
    <cfRule type="cellIs" dxfId="3832" priority="11" operator="equal">
      <formula>$AI$57-$AI$60</formula>
    </cfRule>
  </conditionalFormatting>
  <conditionalFormatting sqref="AI56">
    <cfRule type="cellIs" dxfId="3831" priority="10" operator="notEqual">
      <formula>$AI$57-$AI$60</formula>
    </cfRule>
  </conditionalFormatting>
  <conditionalFormatting sqref="AJ56">
    <cfRule type="cellIs" dxfId="3830" priority="9" operator="equal">
      <formula>$AJ$57-$AJ$60</formula>
    </cfRule>
  </conditionalFormatting>
  <conditionalFormatting sqref="AJ56">
    <cfRule type="cellIs" dxfId="3829" priority="8" operator="notEqual">
      <formula>$AJ$57-$AJ$60</formula>
    </cfRule>
  </conditionalFormatting>
  <conditionalFormatting sqref="AK56">
    <cfRule type="cellIs" dxfId="3828" priority="7" operator="equal">
      <formula>$AK$57-$AK$60</formula>
    </cfRule>
  </conditionalFormatting>
  <conditionalFormatting sqref="AK56">
    <cfRule type="cellIs" dxfId="3827" priority="6" operator="notEqual">
      <formula>$AK$57-$AK$60</formula>
    </cfRule>
  </conditionalFormatting>
  <conditionalFormatting sqref="AL56">
    <cfRule type="cellIs" dxfId="3826" priority="5" operator="equal">
      <formula>$AL$57-$AL$60</formula>
    </cfRule>
  </conditionalFormatting>
  <conditionalFormatting sqref="AL56">
    <cfRule type="cellIs" dxfId="3825" priority="4" operator="notEqual">
      <formula>$AL$57-$AL$60</formula>
    </cfRule>
  </conditionalFormatting>
  <conditionalFormatting sqref="AM56">
    <cfRule type="cellIs" dxfId="3824" priority="3" operator="equal">
      <formula>$AM$57-$AM$60</formula>
    </cfRule>
  </conditionalFormatting>
  <conditionalFormatting sqref="AM56">
    <cfRule type="cellIs" dxfId="3823" priority="2" operator="notEqual">
      <formula>$AM$57-$AM$60</formula>
    </cfRule>
  </conditionalFormatting>
  <conditionalFormatting sqref="AM5:AM54">
    <cfRule type="cellIs" dxfId="3822" priority="1" operator="equal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19E9-959B-458F-BACC-0C7B472A0760}">
  <sheetPr codeName="Planilha10"/>
  <dimension ref="A1:AP61"/>
  <sheetViews>
    <sheetView showGridLines="0" topLeftCell="X38" workbookViewId="0">
      <selection activeCell="AO56" sqref="AO56:AP58"/>
    </sheetView>
  </sheetViews>
  <sheetFormatPr defaultColWidth="9.1093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9.109375" style="9"/>
    <col min="11" max="11" width="14.33203125" style="9" bestFit="1" customWidth="1"/>
    <col min="12" max="12" width="13.44140625" style="9" bestFit="1" customWidth="1"/>
    <col min="13" max="13" width="7.88671875" style="9" bestFit="1" customWidth="1"/>
    <col min="14" max="14" width="8.6640625" style="9" bestFit="1" customWidth="1"/>
    <col min="15" max="15" width="4.109375" style="9" bestFit="1" customWidth="1"/>
    <col min="16" max="16" width="4.44140625" style="9" bestFit="1" customWidth="1"/>
    <col min="17" max="18" width="10" style="9" bestFit="1" customWidth="1"/>
    <col min="19" max="19" width="8.6640625" style="9" bestFit="1" customWidth="1"/>
    <col min="20" max="20" width="10" style="9" bestFit="1" customWidth="1"/>
    <col min="21" max="21" width="7.44140625" style="9" bestFit="1" customWidth="1"/>
    <col min="22" max="22" width="7.33203125" style="9" bestFit="1" customWidth="1"/>
    <col min="23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0.8867187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7.88671875" style="9" bestFit="1" customWidth="1"/>
    <col min="38" max="38" width="10" style="9" bestFit="1" customWidth="1"/>
    <col min="39" max="39" width="10.88671875" style="9" bestFit="1" customWidth="1"/>
    <col min="40" max="40" width="9.109375" style="9"/>
    <col min="41" max="41" width="11.109375" style="9" bestFit="1" customWidth="1"/>
    <col min="42" max="42" width="10.88671875" style="9" bestFit="1" customWidth="1"/>
    <col min="43" max="16384" width="9.109375" style="9"/>
  </cols>
  <sheetData>
    <row r="1" spans="1:42" ht="11.25" customHeight="1" x14ac:dyDescent="0.3">
      <c r="A1" s="134" t="s">
        <v>66</v>
      </c>
      <c r="B1" s="134" t="s">
        <v>67</v>
      </c>
      <c r="C1" s="134" t="s">
        <v>68</v>
      </c>
      <c r="D1" s="134" t="s">
        <v>69</v>
      </c>
      <c r="E1" s="134" t="s">
        <v>70</v>
      </c>
      <c r="F1" s="134" t="s">
        <v>15</v>
      </c>
      <c r="G1" s="134" t="s">
        <v>72</v>
      </c>
      <c r="H1" s="134" t="s">
        <v>73</v>
      </c>
      <c r="I1" s="134" t="s">
        <v>700</v>
      </c>
      <c r="J1" s="125"/>
      <c r="L1" s="133" t="s">
        <v>711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68"/>
      <c r="AP1" s="137" t="s">
        <v>702</v>
      </c>
    </row>
    <row r="2" spans="1:42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5"/>
      <c r="L2" s="133" t="s">
        <v>610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68"/>
      <c r="AP2" s="138"/>
    </row>
    <row r="3" spans="1:42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5"/>
      <c r="L3" s="133" t="s">
        <v>611</v>
      </c>
      <c r="M3" s="133"/>
      <c r="N3" s="133"/>
      <c r="O3" s="133"/>
      <c r="P3" s="133"/>
      <c r="Q3" s="133"/>
      <c r="R3" s="133"/>
      <c r="S3" s="133"/>
      <c r="T3" s="133"/>
      <c r="U3" s="133" t="s">
        <v>620</v>
      </c>
      <c r="V3" s="133"/>
      <c r="W3" s="133"/>
      <c r="X3" s="133"/>
      <c r="Y3" s="133"/>
      <c r="Z3" s="133"/>
      <c r="AA3" s="133"/>
      <c r="AB3" s="133"/>
      <c r="AC3" s="133" t="s">
        <v>628</v>
      </c>
      <c r="AD3" s="133"/>
      <c r="AE3" s="133" t="s">
        <v>630</v>
      </c>
      <c r="AF3" s="133"/>
      <c r="AG3" s="133"/>
      <c r="AH3" s="133" t="s">
        <v>633</v>
      </c>
      <c r="AI3" s="133"/>
      <c r="AJ3" s="133"/>
      <c r="AK3" s="133"/>
      <c r="AL3" s="133"/>
      <c r="AM3" s="133" t="s">
        <v>619</v>
      </c>
      <c r="AO3" s="68"/>
      <c r="AP3" s="138"/>
    </row>
    <row r="4" spans="1:42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5"/>
      <c r="L4" s="57" t="s">
        <v>696</v>
      </c>
      <c r="M4" s="57" t="s">
        <v>612</v>
      </c>
      <c r="N4" s="57" t="s">
        <v>613</v>
      </c>
      <c r="O4" s="57" t="s">
        <v>614</v>
      </c>
      <c r="P4" s="57" t="s">
        <v>615</v>
      </c>
      <c r="Q4" s="57" t="s">
        <v>616</v>
      </c>
      <c r="R4" s="57" t="s">
        <v>617</v>
      </c>
      <c r="S4" s="57" t="s">
        <v>618</v>
      </c>
      <c r="T4" s="57" t="s">
        <v>619</v>
      </c>
      <c r="U4" s="57" t="s">
        <v>621</v>
      </c>
      <c r="V4" s="57" t="s">
        <v>622</v>
      </c>
      <c r="W4" s="57" t="s">
        <v>623</v>
      </c>
      <c r="X4" s="57" t="s">
        <v>624</v>
      </c>
      <c r="Y4" s="57" t="s">
        <v>625</v>
      </c>
      <c r="Z4" s="57" t="s">
        <v>626</v>
      </c>
      <c r="AA4" s="57" t="s">
        <v>627</v>
      </c>
      <c r="AB4" s="57" t="s">
        <v>619</v>
      </c>
      <c r="AC4" s="57" t="s">
        <v>629</v>
      </c>
      <c r="AD4" s="57" t="s">
        <v>619</v>
      </c>
      <c r="AE4" s="57" t="s">
        <v>631</v>
      </c>
      <c r="AF4" s="57" t="s">
        <v>632</v>
      </c>
      <c r="AG4" s="57" t="s">
        <v>619</v>
      </c>
      <c r="AH4" s="57" t="s">
        <v>634</v>
      </c>
      <c r="AI4" s="57" t="s">
        <v>635</v>
      </c>
      <c r="AJ4" s="57" t="s">
        <v>636</v>
      </c>
      <c r="AK4" s="57" t="s">
        <v>637</v>
      </c>
      <c r="AL4" s="57" t="s">
        <v>619</v>
      </c>
      <c r="AM4" s="136"/>
      <c r="AO4" s="69" t="s">
        <v>713</v>
      </c>
      <c r="AP4" s="139"/>
    </row>
    <row r="5" spans="1:42" ht="11.25" customHeight="1" x14ac:dyDescent="0.3">
      <c r="A5" s="132" t="s">
        <v>39</v>
      </c>
      <c r="B5" s="132" t="s">
        <v>83</v>
      </c>
      <c r="C5" s="132" t="s">
        <v>25</v>
      </c>
      <c r="D5" s="132" t="s">
        <v>25</v>
      </c>
      <c r="E5" s="132" t="s">
        <v>25</v>
      </c>
      <c r="F5" s="132" t="s">
        <v>25</v>
      </c>
      <c r="G5" s="66" t="s">
        <v>85</v>
      </c>
      <c r="H5" s="66" t="s">
        <v>84</v>
      </c>
      <c r="I5" s="66">
        <f>'MERCADO TUSD'!$U$2</f>
        <v>0</v>
      </c>
      <c r="J5" s="15"/>
      <c r="L5" s="61">
        <f>'TUSD BE'!$L$5*'TUSD BE'!$L$61</f>
        <v>0</v>
      </c>
      <c r="M5" s="61">
        <f>'TUSD BE'!$M$5*'TUSD BE'!$M$61</f>
        <v>0</v>
      </c>
      <c r="N5" s="61">
        <f ca="1">'TUSD BE'!$N$5*'TUSD BE'!$N$61</f>
        <v>0</v>
      </c>
      <c r="O5" s="61">
        <f>'TUSD BE'!$O$5*'TUSD BE'!$O$61</f>
        <v>0</v>
      </c>
      <c r="P5" s="61">
        <f>'TUSD BE'!$P$5*'TUSD BE'!$P$61</f>
        <v>0</v>
      </c>
      <c r="Q5" s="61">
        <f>'TUSD BE'!$Q$5*'TUSD BE'!$Q$61</f>
        <v>0</v>
      </c>
      <c r="R5" s="61">
        <f>'TUSD BE'!$R$5*'TUSD BE'!$R$61</f>
        <v>0</v>
      </c>
      <c r="S5" s="61">
        <f>'TUSD BE'!$R$5*'TUSD BE'!$S$61</f>
        <v>0</v>
      </c>
      <c r="T5" s="61">
        <f ca="1">SUM($L$5:$S$5)</f>
        <v>0</v>
      </c>
      <c r="U5" s="61">
        <f>'TUSD BE'!$U$5*'TUSD BE'!$U$61</f>
        <v>0</v>
      </c>
      <c r="V5" s="61">
        <f>'TUSD BE'!$V$5*'TUSD BE'!$V$61</f>
        <v>0</v>
      </c>
      <c r="W5" s="61">
        <f>'TUSD BE'!$W$5*'TUSD BE'!$W$61</f>
        <v>0</v>
      </c>
      <c r="X5" s="61">
        <f>'TUSD BE'!$X$5*'TUSD BE'!$X$61</f>
        <v>0</v>
      </c>
      <c r="Y5" s="61">
        <f>'TUSD BE'!$Y$5*'TUSD BE'!$Y$61</f>
        <v>-6.9158011129191301</v>
      </c>
      <c r="Z5" s="61">
        <f>'TUSD BE'!$Z$5*'TUSD BE'!$Z$61</f>
        <v>0</v>
      </c>
      <c r="AA5" s="61">
        <f>'TUSD BE'!$AA$5*'TUSD BE'!$AA$61</f>
        <v>0</v>
      </c>
      <c r="AB5" s="61">
        <f>SUM($U$5:$AA$5)</f>
        <v>-6.9158011129191301</v>
      </c>
      <c r="AC5" s="61">
        <f>'TUSD BE'!$AC$5*'TUSD BE'!$AC$61</f>
        <v>4.3524092680591489</v>
      </c>
      <c r="AD5" s="61">
        <f>SUM($AC$5:$AC$5)</f>
        <v>4.3524092680591489</v>
      </c>
      <c r="AE5" s="61">
        <f ca="1">$AO$5*$AO$58</f>
        <v>-10.634409965924327</v>
      </c>
      <c r="AF5" s="61">
        <f ca="1">$AP$5*$AP$58</f>
        <v>0</v>
      </c>
      <c r="AG5" s="61">
        <f ca="1">SUM($AE$5:$AF$5)</f>
        <v>-10.634409965924327</v>
      </c>
      <c r="AH5" s="61">
        <f>'TUSD BE'!$AH$5*'TUSD BE'!$AH$61</f>
        <v>0</v>
      </c>
      <c r="AI5" s="61">
        <f>'TUSD BE'!$AI$5*'TUSD BE'!$AI$61</f>
        <v>0</v>
      </c>
      <c r="AJ5" s="61">
        <f ca="1">'TUSD BE'!$AJ$5*'TUSD BE'!$AJ$61</f>
        <v>0</v>
      </c>
      <c r="AK5" s="61">
        <f ca="1">'TUSD BE'!$AK$5*'TUSD BE'!$AK$61</f>
        <v>0</v>
      </c>
      <c r="AL5" s="61">
        <f ca="1">SUM($AH$5:$AK$5)</f>
        <v>0</v>
      </c>
      <c r="AM5" s="61">
        <f ca="1">SUMIF($L$4:$AL$4,"SUBTOTAL",$L$5:$AL$5)</f>
        <v>-13.197801810784309</v>
      </c>
      <c r="AO5" s="68">
        <f ca="1">+'TUSD BE'!$T$5+'TUSD BE'!$AB$5+'TUSD BE'!$AD$5+'TUSD BE'!$AL$5</f>
        <v>86.812856052243774</v>
      </c>
      <c r="AP5" s="68">
        <f ca="1">+'TUSD BE'!$T$5+'TUSD BE'!$AB$5+'TUSD BE'!$AD$5+'TUSD BE'!$AL$5</f>
        <v>86.812856052243774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66" t="s">
        <v>86</v>
      </c>
      <c r="H6" s="66" t="s">
        <v>84</v>
      </c>
      <c r="I6" s="66">
        <f>'MERCADO TUSD'!$U$3</f>
        <v>0</v>
      </c>
      <c r="J6" s="15"/>
      <c r="L6" s="61">
        <f>'TUSD BE'!$L$6*'TUSD BE'!$L$61</f>
        <v>0</v>
      </c>
      <c r="M6" s="61">
        <f>'TUSD BE'!$M$6*'TUSD BE'!$M$61</f>
        <v>0</v>
      </c>
      <c r="N6" s="61">
        <f ca="1">'TUSD BE'!$N$6*'TUSD BE'!$N$61</f>
        <v>0</v>
      </c>
      <c r="O6" s="61">
        <f>'TUSD BE'!$O$6*'TUSD BE'!$O$61</f>
        <v>0</v>
      </c>
      <c r="P6" s="61">
        <f>'TUSD BE'!$P$6*'TUSD BE'!$P$61</f>
        <v>0</v>
      </c>
      <c r="Q6" s="61">
        <f>'TUSD BE'!$Q$6*'TUSD BE'!$Q$61</f>
        <v>0</v>
      </c>
      <c r="R6" s="61">
        <f>'TUSD BE'!$R$6*'TUSD BE'!$R$61</f>
        <v>0</v>
      </c>
      <c r="S6" s="61">
        <f>'TUSD BE'!$R$6*'TUSD BE'!$S$61</f>
        <v>0</v>
      </c>
      <c r="T6" s="61">
        <f ca="1">SUM($L$6:$S$6)</f>
        <v>0</v>
      </c>
      <c r="U6" s="61">
        <f>'TUSD BE'!$U$6*'TUSD BE'!$U$61</f>
        <v>0</v>
      </c>
      <c r="V6" s="61">
        <f>'TUSD BE'!$V$6*'TUSD BE'!$V$61</f>
        <v>0</v>
      </c>
      <c r="W6" s="61">
        <f>'TUSD BE'!$W$6*'TUSD BE'!$W$61</f>
        <v>0</v>
      </c>
      <c r="X6" s="61">
        <f>'TUSD BE'!$X$6*'TUSD BE'!$X$61</f>
        <v>0</v>
      </c>
      <c r="Y6" s="61">
        <f>'TUSD BE'!$Y$6*'TUSD BE'!$Y$61</f>
        <v>-4.0225895200002757</v>
      </c>
      <c r="Z6" s="61">
        <f>'TUSD BE'!$Z$6*'TUSD BE'!$Z$61</f>
        <v>0</v>
      </c>
      <c r="AA6" s="61">
        <f>'TUSD BE'!$AA$6*'TUSD BE'!$AA$61</f>
        <v>0</v>
      </c>
      <c r="AB6" s="61">
        <f>SUM($U$6:$AA$6)</f>
        <v>-4.0225895200002757</v>
      </c>
      <c r="AC6" s="61">
        <f>'TUSD BE'!$AC$6*'TUSD BE'!$AC$61</f>
        <v>2.176209691359885</v>
      </c>
      <c r="AD6" s="61">
        <f>SUM($AC$6:$AC$6)</f>
        <v>2.176209691359885</v>
      </c>
      <c r="AE6" s="61">
        <f ca="1">$AO$6*$AO$58</f>
        <v>-5.7184661749981665</v>
      </c>
      <c r="AF6" s="61">
        <f ca="1">$AP$6*$AP$58</f>
        <v>0</v>
      </c>
      <c r="AG6" s="61">
        <f ca="1">SUM($AE$6:$AF$6)</f>
        <v>-5.7184661749981665</v>
      </c>
      <c r="AH6" s="61">
        <f>'TUSD BE'!$AH$6*'TUSD BE'!$AH$61</f>
        <v>0</v>
      </c>
      <c r="AI6" s="61">
        <f>'TUSD BE'!$AI$6*'TUSD BE'!$AI$61</f>
        <v>0</v>
      </c>
      <c r="AJ6" s="61">
        <f ca="1">'TUSD BE'!$AJ$6*'TUSD BE'!$AJ$61</f>
        <v>0</v>
      </c>
      <c r="AK6" s="61">
        <f ca="1">'TUSD BE'!$AK$6*'TUSD BE'!$AK$61</f>
        <v>0</v>
      </c>
      <c r="AL6" s="61">
        <f ca="1">SUM($AH$6:$AK$6)</f>
        <v>0</v>
      </c>
      <c r="AM6" s="61">
        <f ca="1">SUMIF($L$4:$AL$4,"SUBTOTAL",$L$6:$AL$6)</f>
        <v>-7.5648460036385572</v>
      </c>
      <c r="AO6" s="68">
        <f ca="1">+'TUSD BE'!$T$6+'TUSD BE'!$AB$6+'TUSD BE'!$AD$6+'TUSD BE'!$AL$6</f>
        <v>46.682080386261596</v>
      </c>
      <c r="AP6" s="68">
        <f ca="1">+'TUSD BE'!$T$6+'TUSD BE'!$AB$6+'TUSD BE'!$AD$6+'TUSD BE'!$AL$6</f>
        <v>46.682080386261596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66" t="s">
        <v>81</v>
      </c>
      <c r="H7" s="66" t="s">
        <v>76</v>
      </c>
      <c r="I7" s="66">
        <f>'MERCADO TUSD'!$U$4</f>
        <v>0</v>
      </c>
      <c r="J7" s="15"/>
      <c r="L7" s="61">
        <f>'TUSD BE'!$L$7*'TUSD BE'!$L$61</f>
        <v>-7.581754916816677E-2</v>
      </c>
      <c r="M7" s="61">
        <f>'TUSD BE'!$M$7*'TUSD BE'!$M$61</f>
        <v>-1.883310484229701E-2</v>
      </c>
      <c r="N7" s="61">
        <f ca="1">'TUSD BE'!$N$7*'TUSD BE'!$N$61</f>
        <v>-2.9035839508873873E-6</v>
      </c>
      <c r="O7" s="61">
        <f>'TUSD BE'!$O$7*'TUSD BE'!$O$61</f>
        <v>0</v>
      </c>
      <c r="P7" s="61">
        <f>'TUSD BE'!$P$7*'TUSD BE'!$P$61</f>
        <v>0</v>
      </c>
      <c r="Q7" s="61">
        <f>'TUSD BE'!$Q$7*'TUSD BE'!$Q$61</f>
        <v>-0.80060739957191884</v>
      </c>
      <c r="R7" s="61">
        <f>'TUSD BE'!$R$7*'TUSD BE'!$R$61</f>
        <v>-0.1436055413628014</v>
      </c>
      <c r="S7" s="61">
        <f>'TUSD BE'!$R$7*'TUSD BE'!$S$61</f>
        <v>0</v>
      </c>
      <c r="T7" s="61">
        <f ca="1">SUM($L$7:$S$7)</f>
        <v>-1.0388664985291349</v>
      </c>
      <c r="U7" s="61">
        <f>'TUSD BE'!$U$7*'TUSD BE'!$U$61</f>
        <v>0</v>
      </c>
      <c r="V7" s="61">
        <f>'TUSD BE'!$V$7*'TUSD BE'!$V$61</f>
        <v>0</v>
      </c>
      <c r="W7" s="61">
        <f>'TUSD BE'!$W$7*'TUSD BE'!$W$61</f>
        <v>0</v>
      </c>
      <c r="X7" s="61">
        <f>'TUSD BE'!$X$7*'TUSD BE'!$X$61</f>
        <v>0</v>
      </c>
      <c r="Y7" s="61">
        <f>'TUSD BE'!$Y$7*'TUSD BE'!$Y$61</f>
        <v>0</v>
      </c>
      <c r="Z7" s="61">
        <f>'TUSD BE'!$Z$7*'TUSD BE'!$Z$61</f>
        <v>0</v>
      </c>
      <c r="AA7" s="61">
        <f>'TUSD BE'!$AA$7*'TUSD BE'!$AA$61</f>
        <v>0</v>
      </c>
      <c r="AB7" s="61">
        <f>SUM($U$7:$AA$7)</f>
        <v>0</v>
      </c>
      <c r="AC7" s="61">
        <f>'TUSD BE'!$AC$7*'TUSD BE'!$AC$61</f>
        <v>0</v>
      </c>
      <c r="AD7" s="61">
        <f>SUM($AC$7:$AC$7)</f>
        <v>0</v>
      </c>
      <c r="AE7" s="61">
        <f ca="1">$AO$7*$AO$58</f>
        <v>-13.040528959779035</v>
      </c>
      <c r="AF7" s="61">
        <f ca="1">$AP$7*$AP$58</f>
        <v>0</v>
      </c>
      <c r="AG7" s="61">
        <f ca="1">SUM($AE$7:$AF$7)</f>
        <v>-13.040528959779035</v>
      </c>
      <c r="AH7" s="61">
        <f>'TUSD BE'!$AH$7*'TUSD BE'!$AH$61</f>
        <v>-1.7199848427856608</v>
      </c>
      <c r="AI7" s="61">
        <f>'TUSD BE'!$AI$7*'TUSD BE'!$AI$61</f>
        <v>-1.7590655260975124E-2</v>
      </c>
      <c r="AJ7" s="61">
        <f ca="1">'TUSD BE'!$AJ$7*'TUSD BE'!$AJ$61</f>
        <v>-0.1282401166864337</v>
      </c>
      <c r="AK7" s="61">
        <f ca="1">'TUSD BE'!$AK$7*'TUSD BE'!$AK$61</f>
        <v>4.5159982338420848E-2</v>
      </c>
      <c r="AL7" s="61">
        <f ca="1">SUM($AH$7:$AK$7)</f>
        <v>-1.8206556323946488</v>
      </c>
      <c r="AM7" s="61">
        <f ca="1">SUMIF($L$4:$AL$4,"SUBTOTAL",$L$7:$AL$7)</f>
        <v>-15.900051090702819</v>
      </c>
      <c r="AO7" s="68">
        <f ca="1">+'TUSD BE'!$T$7+'TUSD BE'!$AB$7+'TUSD BE'!$AD$7+'TUSD BE'!$AL$7</f>
        <v>106.4549483288624</v>
      </c>
      <c r="AP7" s="68">
        <f ca="1">+'TUSD BE'!$T$7+'TUSD BE'!$AB$7+'TUSD BE'!$AD$7+'TUSD BE'!$AL$7</f>
        <v>106.4549483288624</v>
      </c>
    </row>
    <row r="8" spans="1:42" ht="11.25" customHeight="1" x14ac:dyDescent="0.3">
      <c r="A8" s="132"/>
      <c r="B8" s="132"/>
      <c r="C8" s="132"/>
      <c r="D8" s="132"/>
      <c r="E8" s="65" t="s">
        <v>87</v>
      </c>
      <c r="F8" s="65" t="s">
        <v>25</v>
      </c>
      <c r="G8" s="66" t="s">
        <v>81</v>
      </c>
      <c r="H8" s="66" t="s">
        <v>76</v>
      </c>
      <c r="I8" s="66">
        <f>'MERCADO TUSD'!$U$5</f>
        <v>0</v>
      </c>
      <c r="J8" s="15"/>
      <c r="L8" s="61">
        <f>'TUSD BE'!$L$8*'TUSD BE'!$L$61</f>
        <v>0</v>
      </c>
      <c r="M8" s="61">
        <f>'TUSD BE'!$M$8*'TUSD BE'!$M$61</f>
        <v>-1.883310484229701E-2</v>
      </c>
      <c r="N8" s="61">
        <f ca="1">'TUSD BE'!$N$8*'TUSD BE'!$N$61</f>
        <v>-2.8253215478585456E-6</v>
      </c>
      <c r="O8" s="61">
        <f>'TUSD BE'!$O$8*'TUSD BE'!$O$61</f>
        <v>0</v>
      </c>
      <c r="P8" s="61">
        <f>'TUSD BE'!$P$8*'TUSD BE'!$P$61</f>
        <v>0</v>
      </c>
      <c r="Q8" s="61">
        <f>'TUSD BE'!$Q$8*'TUSD BE'!$Q$61</f>
        <v>0</v>
      </c>
      <c r="R8" s="61">
        <f>'TUSD BE'!$R$8*'TUSD BE'!$R$61</f>
        <v>0</v>
      </c>
      <c r="S8" s="61">
        <f>'TUSD BE'!$R$8*'TUSD BE'!$S$61</f>
        <v>0</v>
      </c>
      <c r="T8" s="61">
        <f ca="1">SUM($L$8:$S$8)</f>
        <v>-1.8835930163844869E-2</v>
      </c>
      <c r="U8" s="61">
        <f>'TUSD BE'!$U$8*'TUSD BE'!$U$61</f>
        <v>0</v>
      </c>
      <c r="V8" s="61">
        <f>'TUSD BE'!$V$8*'TUSD BE'!$V$61</f>
        <v>0</v>
      </c>
      <c r="W8" s="61">
        <f>'TUSD BE'!$W$8*'TUSD BE'!$W$61</f>
        <v>0</v>
      </c>
      <c r="X8" s="61">
        <f>'TUSD BE'!$X$8*'TUSD BE'!$X$61</f>
        <v>0</v>
      </c>
      <c r="Y8" s="61">
        <f>'TUSD BE'!$Y$8*'TUSD BE'!$Y$61</f>
        <v>0</v>
      </c>
      <c r="Z8" s="61">
        <f>'TUSD BE'!$Z$8*'TUSD BE'!$Z$61</f>
        <v>0</v>
      </c>
      <c r="AA8" s="61">
        <f>'TUSD BE'!$AA$8*'TUSD BE'!$AA$61</f>
        <v>0</v>
      </c>
      <c r="AB8" s="61">
        <f>SUM($U$8:$AA$8)</f>
        <v>0</v>
      </c>
      <c r="AC8" s="61">
        <f>'TUSD BE'!$AC$8*'TUSD BE'!$AC$61</f>
        <v>0</v>
      </c>
      <c r="AD8" s="61">
        <f>SUM($AC$8:$AC$8)</f>
        <v>0</v>
      </c>
      <c r="AE8" s="61">
        <f ca="1">$AO$8*$AO$58</f>
        <v>-1.7294346181213043</v>
      </c>
      <c r="AF8" s="61">
        <f ca="1">$AP$8*$AP$58</f>
        <v>0</v>
      </c>
      <c r="AG8" s="61">
        <f ca="1">SUM($AE$8:$AF$8)</f>
        <v>-1.7294346181213043</v>
      </c>
      <c r="AH8" s="61">
        <f>'TUSD BE'!$AH$8*'TUSD BE'!$AH$61</f>
        <v>-1.7199848427856608</v>
      </c>
      <c r="AI8" s="61">
        <f>'TUSD BE'!$AI$8*'TUSD BE'!$AI$61</f>
        <v>-1.7590655260975124E-2</v>
      </c>
      <c r="AJ8" s="61">
        <f ca="1">'TUSD BE'!$AJ$8*'TUSD BE'!$AJ$61</f>
        <v>-0.1282401166864337</v>
      </c>
      <c r="AK8" s="61">
        <f ca="1">'TUSD BE'!$AK$8*'TUSD BE'!$AK$61</f>
        <v>4.5159982338420848E-2</v>
      </c>
      <c r="AL8" s="61">
        <f ca="1">SUM($AH$8:$AK$8)</f>
        <v>-1.8206556323946488</v>
      </c>
      <c r="AM8" s="61">
        <f ca="1">SUMIF($L$4:$AL$4,"SUBTOTAL",$L$8:$AL$8)</f>
        <v>-3.5689261806797976</v>
      </c>
      <c r="AO8" s="68">
        <f ca="1">+'TUSD BE'!$T$8+'TUSD BE'!$AB$8+'TUSD BE'!$AD$8+'TUSD BE'!$AL$8</f>
        <v>14.11805253284518</v>
      </c>
      <c r="AP8" s="68">
        <f ca="1">+'TUSD BE'!$T$8+'TUSD BE'!$AB$8+'TUSD BE'!$AD$8+'TUSD BE'!$AL$8</f>
        <v>14.11805253284518</v>
      </c>
    </row>
    <row r="9" spans="1:42" ht="11.25" customHeight="1" x14ac:dyDescent="0.3">
      <c r="A9" s="132"/>
      <c r="B9" s="132" t="s">
        <v>56</v>
      </c>
      <c r="C9" s="132" t="s">
        <v>25</v>
      </c>
      <c r="D9" s="132" t="s">
        <v>25</v>
      </c>
      <c r="E9" s="132" t="s">
        <v>25</v>
      </c>
      <c r="F9" s="132" t="s">
        <v>58</v>
      </c>
      <c r="G9" s="66" t="s">
        <v>85</v>
      </c>
      <c r="H9" s="66" t="s">
        <v>84</v>
      </c>
      <c r="I9" s="66">
        <f>'MERCADO TUSD'!$U$6</f>
        <v>16540</v>
      </c>
      <c r="J9" s="15"/>
      <c r="L9" s="61">
        <f>'TUSD BE'!$L$9*'TUSD BE'!$L$61</f>
        <v>0</v>
      </c>
      <c r="M9" s="61">
        <f>'TUSD BE'!$M$9*'TUSD BE'!$M$61</f>
        <v>0</v>
      </c>
      <c r="N9" s="61">
        <f ca="1">'TUSD BE'!$N$9*'TUSD BE'!$N$61</f>
        <v>0</v>
      </c>
      <c r="O9" s="61">
        <f>'TUSD BE'!$O$9*'TUSD BE'!$O$61</f>
        <v>0</v>
      </c>
      <c r="P9" s="61">
        <f>'TUSD BE'!$P$9*'TUSD BE'!$P$61</f>
        <v>0</v>
      </c>
      <c r="Q9" s="61">
        <f>'TUSD BE'!$Q$9*'TUSD BE'!$Q$61</f>
        <v>0</v>
      </c>
      <c r="R9" s="61">
        <f>'TUSD BE'!$R$9*'TUSD BE'!$R$61</f>
        <v>0</v>
      </c>
      <c r="S9" s="61">
        <f>'TUSD BE'!$R$9*'TUSD BE'!$S$61</f>
        <v>0</v>
      </c>
      <c r="T9" s="61">
        <f ca="1">SUM($L$9:$S$9)</f>
        <v>0</v>
      </c>
      <c r="U9" s="61">
        <f>'TUSD BE'!$U$9*'TUSD BE'!$U$61</f>
        <v>0</v>
      </c>
      <c r="V9" s="61">
        <f>'TUSD BE'!$V$9*'TUSD BE'!$V$61</f>
        <v>0</v>
      </c>
      <c r="W9" s="61">
        <f>'TUSD BE'!$W$9*'TUSD BE'!$W$61</f>
        <v>0</v>
      </c>
      <c r="X9" s="61">
        <f>'TUSD BE'!$X$9*'TUSD BE'!$X$61</f>
        <v>0</v>
      </c>
      <c r="Y9" s="61">
        <f>'TUSD BE'!$Y$9*'TUSD BE'!$Y$61</f>
        <v>-6.9158011129191301</v>
      </c>
      <c r="Z9" s="61">
        <f>'TUSD BE'!$Z$9*'TUSD BE'!$Z$61</f>
        <v>0</v>
      </c>
      <c r="AA9" s="61">
        <f>'TUSD BE'!$AA$9*'TUSD BE'!$AA$61</f>
        <v>0</v>
      </c>
      <c r="AB9" s="61">
        <f>SUM($U$9:$AA$9)</f>
        <v>-6.9158011129191301</v>
      </c>
      <c r="AC9" s="61">
        <f>'TUSD BE'!$AC$9*'TUSD BE'!$AC$61</f>
        <v>0.76877489519832043</v>
      </c>
      <c r="AD9" s="61">
        <f>SUM($AC$9:$AC$9)</f>
        <v>0.76877489519832043</v>
      </c>
      <c r="AE9" s="61">
        <v>0</v>
      </c>
      <c r="AF9" s="61">
        <f ca="1">$AP$9*$AP$58</f>
        <v>0</v>
      </c>
      <c r="AG9" s="61">
        <f ca="1">SUM($AE$9:$AF$9)</f>
        <v>0</v>
      </c>
      <c r="AH9" s="61">
        <f>'TUSD BE'!$AH$9*'TUSD BE'!$AH$61</f>
        <v>0</v>
      </c>
      <c r="AI9" s="61">
        <f>'TUSD BE'!$AI$9*'TUSD BE'!$AI$61</f>
        <v>0</v>
      </c>
      <c r="AJ9" s="61">
        <f ca="1">'TUSD BE'!$AJ$9*'TUSD BE'!$AJ$61</f>
        <v>0</v>
      </c>
      <c r="AK9" s="61">
        <f ca="1">'TUSD BE'!$AK$9*'TUSD BE'!$AK$61</f>
        <v>0</v>
      </c>
      <c r="AL9" s="61">
        <f ca="1">SUM($AH$9:$AK$9)</f>
        <v>0</v>
      </c>
      <c r="AM9" s="61">
        <f ca="1">SUMIF($L$4:$AL$4,"SUBTOTAL",$L$9:$AL$9)</f>
        <v>-6.1470262177208097</v>
      </c>
      <c r="AO9" s="68"/>
      <c r="AP9" s="68">
        <f ca="1">+'TUSD BE'!$T$9+'TUSD BE'!$AB$9+'TUSD BE'!$AD$9+'TUSD BE'!$AL$9</f>
        <v>48.364630873158333</v>
      </c>
    </row>
    <row r="10" spans="1:42" ht="11.25" customHeight="1" x14ac:dyDescent="0.3">
      <c r="A10" s="132"/>
      <c r="B10" s="132"/>
      <c r="C10" s="132"/>
      <c r="D10" s="132"/>
      <c r="E10" s="132"/>
      <c r="F10" s="132"/>
      <c r="G10" s="66" t="s">
        <v>86</v>
      </c>
      <c r="H10" s="66" t="s">
        <v>84</v>
      </c>
      <c r="I10" s="66">
        <f>'MERCADO TUSD'!$U$7</f>
        <v>16454</v>
      </c>
      <c r="J10" s="15"/>
      <c r="L10" s="61">
        <f>'TUSD BE'!$L$10*'TUSD BE'!$L$61</f>
        <v>0</v>
      </c>
      <c r="M10" s="61">
        <f>'TUSD BE'!$M$10*'TUSD BE'!$M$61</f>
        <v>0</v>
      </c>
      <c r="N10" s="61">
        <f ca="1">'TUSD BE'!$N$10*'TUSD BE'!$N$61</f>
        <v>0</v>
      </c>
      <c r="O10" s="61">
        <f>'TUSD BE'!$O$10*'TUSD BE'!$O$61</f>
        <v>0</v>
      </c>
      <c r="P10" s="61">
        <f>'TUSD BE'!$P$10*'TUSD BE'!$P$61</f>
        <v>0</v>
      </c>
      <c r="Q10" s="61">
        <f>'TUSD BE'!$Q$10*'TUSD BE'!$Q$61</f>
        <v>0</v>
      </c>
      <c r="R10" s="61">
        <f>'TUSD BE'!$R$10*'TUSD BE'!$R$61</f>
        <v>0</v>
      </c>
      <c r="S10" s="61">
        <f>'TUSD BE'!$R$10*'TUSD BE'!$S$61</f>
        <v>0</v>
      </c>
      <c r="T10" s="61">
        <f ca="1">SUM($L$10:$S$10)</f>
        <v>0</v>
      </c>
      <c r="U10" s="61">
        <f>'TUSD BE'!$U$10*'TUSD BE'!$U$61</f>
        <v>0</v>
      </c>
      <c r="V10" s="61">
        <f>'TUSD BE'!$V$10*'TUSD BE'!$V$61</f>
        <v>0</v>
      </c>
      <c r="W10" s="61">
        <f>'TUSD BE'!$W$10*'TUSD BE'!$W$61</f>
        <v>0</v>
      </c>
      <c r="X10" s="61">
        <f>'TUSD BE'!$X$10*'TUSD BE'!$X$61</f>
        <v>0</v>
      </c>
      <c r="Y10" s="61">
        <f>'TUSD BE'!$Y$10*'TUSD BE'!$Y$61</f>
        <v>-4.0225895200002757</v>
      </c>
      <c r="Z10" s="61">
        <f>'TUSD BE'!$Z$10*'TUSD BE'!$Z$61</f>
        <v>0</v>
      </c>
      <c r="AA10" s="61">
        <f>'TUSD BE'!$AA$10*'TUSD BE'!$AA$61</f>
        <v>0</v>
      </c>
      <c r="AB10" s="61">
        <f>SUM($U$10:$AA$10)</f>
        <v>-4.0225895200002757</v>
      </c>
      <c r="AC10" s="61">
        <f>'TUSD BE'!$AC$10*'TUSD BE'!$AC$61</f>
        <v>0.38438744759916021</v>
      </c>
      <c r="AD10" s="61">
        <f>SUM($AC$10:$AC$10)</f>
        <v>0.38438744759916021</v>
      </c>
      <c r="AE10" s="61">
        <v>0</v>
      </c>
      <c r="AF10" s="61">
        <f ca="1">$AP$10*$AP$58</f>
        <v>0</v>
      </c>
      <c r="AG10" s="61">
        <f ca="1">SUM($AE$10:$AF$10)</f>
        <v>0</v>
      </c>
      <c r="AH10" s="61">
        <f>'TUSD BE'!$AH$10*'TUSD BE'!$AH$61</f>
        <v>0</v>
      </c>
      <c r="AI10" s="61">
        <f>'TUSD BE'!$AI$10*'TUSD BE'!$AI$61</f>
        <v>0</v>
      </c>
      <c r="AJ10" s="61">
        <f ca="1">'TUSD BE'!$AJ$10*'TUSD BE'!$AJ$61</f>
        <v>0</v>
      </c>
      <c r="AK10" s="61">
        <f ca="1">'TUSD BE'!$AK$10*'TUSD BE'!$AK$61</f>
        <v>0</v>
      </c>
      <c r="AL10" s="61">
        <f ca="1">SUM($AH$10:$AK$10)</f>
        <v>0</v>
      </c>
      <c r="AM10" s="61">
        <f ca="1">SUMIF($L$4:$AL$4,"SUBTOTAL",$L$10:$AL$10)</f>
        <v>-3.6382020724011155</v>
      </c>
      <c r="AO10" s="68"/>
      <c r="AP10" s="68">
        <f ca="1">+'TUSD BE'!$T$10+'TUSD BE'!$AB$10+'TUSD BE'!$AD$10+'TUSD BE'!$AL$10</f>
        <v>27.457913537451791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66" t="s">
        <v>81</v>
      </c>
      <c r="H11" s="66" t="s">
        <v>76</v>
      </c>
      <c r="I11" s="66">
        <f>'MERCADO TUSD'!$U$8</f>
        <v>5489.0889999999999</v>
      </c>
      <c r="J11" s="15"/>
      <c r="L11" s="61">
        <f>'TUSD BE'!$L$11*'TUSD BE'!$L$61</f>
        <v>0</v>
      </c>
      <c r="M11" s="61">
        <f>'TUSD BE'!$M$11*'TUSD BE'!$M$61</f>
        <v>0</v>
      </c>
      <c r="N11" s="61">
        <f ca="1">'TUSD BE'!$N$11*'TUSD BE'!$N$61</f>
        <v>0</v>
      </c>
      <c r="O11" s="61">
        <f>'TUSD BE'!$O$11*'TUSD BE'!$O$61</f>
        <v>0</v>
      </c>
      <c r="P11" s="61">
        <f>'TUSD BE'!$P$11*'TUSD BE'!$P$61</f>
        <v>0</v>
      </c>
      <c r="Q11" s="61">
        <f>'TUSD BE'!$Q$11*'TUSD BE'!$Q$61</f>
        <v>0</v>
      </c>
      <c r="R11" s="61">
        <f>'TUSD BE'!$R$11*'TUSD BE'!$R$61</f>
        <v>0</v>
      </c>
      <c r="S11" s="61">
        <f>'TUSD BE'!$R$11*'TUSD BE'!$S$61</f>
        <v>0</v>
      </c>
      <c r="T11" s="61">
        <f ca="1">SUM($L$11:$S$11)</f>
        <v>0</v>
      </c>
      <c r="U11" s="61">
        <f>'TUSD BE'!$U$11*'TUSD BE'!$U$61</f>
        <v>0</v>
      </c>
      <c r="V11" s="61">
        <f>'TUSD BE'!$V$11*'TUSD BE'!$V$61</f>
        <v>0</v>
      </c>
      <c r="W11" s="61">
        <f>'TUSD BE'!$W$11*'TUSD BE'!$W$61</f>
        <v>0</v>
      </c>
      <c r="X11" s="61">
        <f>'TUSD BE'!$X$11*'TUSD BE'!$X$61</f>
        <v>0</v>
      </c>
      <c r="Y11" s="61">
        <f>'TUSD BE'!$Y$11*'TUSD BE'!$Y$61</f>
        <v>0</v>
      </c>
      <c r="Z11" s="61">
        <f>'TUSD BE'!$Z$11*'TUSD BE'!$Z$61</f>
        <v>0</v>
      </c>
      <c r="AA11" s="61">
        <f>'TUSD BE'!$AA$11*'TUSD BE'!$AA$61</f>
        <v>0</v>
      </c>
      <c r="AB11" s="61">
        <f>SUM($U$11:$AA$11)</f>
        <v>0</v>
      </c>
      <c r="AC11" s="61">
        <f>'TUSD BE'!$AC$11*'TUSD BE'!$AC$61</f>
        <v>0</v>
      </c>
      <c r="AD11" s="61">
        <f>SUM($AC$11:$AC$11)</f>
        <v>0</v>
      </c>
      <c r="AE11" s="61">
        <v>0</v>
      </c>
      <c r="AF11" s="61">
        <f ca="1">$AP$11*$AP$58</f>
        <v>0</v>
      </c>
      <c r="AG11" s="61">
        <f ca="1">SUM($AE$11:$AF$11)</f>
        <v>0</v>
      </c>
      <c r="AH11" s="61">
        <f>'TUSD BE'!$AH$11*'TUSD BE'!$AH$61</f>
        <v>-1.7199848427856608</v>
      </c>
      <c r="AI11" s="61">
        <f>'TUSD BE'!$AI$11*'TUSD BE'!$AI$61</f>
        <v>-1.7590655260975124E-2</v>
      </c>
      <c r="AJ11" s="61">
        <f ca="1">'TUSD BE'!$AJ$11*'TUSD BE'!$AJ$61</f>
        <v>0</v>
      </c>
      <c r="AK11" s="61">
        <f ca="1">'TUSD BE'!$AK$11*'TUSD BE'!$AK$61</f>
        <v>0</v>
      </c>
      <c r="AL11" s="61">
        <f ca="1">SUM($AH$11:$AK$11)</f>
        <v>-1.7375754980466358</v>
      </c>
      <c r="AM11" s="61">
        <f ca="1">SUMIF($L$4:$AL$4,"SUBTOTAL",$L$11:$AL$11)</f>
        <v>-1.7375754980466358</v>
      </c>
      <c r="AO11" s="68"/>
      <c r="AP11" s="68">
        <f ca="1">+'TUSD BE'!$T$11+'TUSD BE'!$AB$11+'TUSD BE'!$AD$11+'TUSD BE'!$AL$11</f>
        <v>11.655022085078274</v>
      </c>
    </row>
    <row r="12" spans="1:42" ht="11.25" customHeight="1" x14ac:dyDescent="0.3">
      <c r="A12" s="132"/>
      <c r="B12" s="65" t="s">
        <v>88</v>
      </c>
      <c r="C12" s="65" t="s">
        <v>25</v>
      </c>
      <c r="D12" s="65" t="s">
        <v>25</v>
      </c>
      <c r="E12" s="65" t="s">
        <v>25</v>
      </c>
      <c r="F12" s="65" t="s">
        <v>25</v>
      </c>
      <c r="G12" s="66" t="s">
        <v>9</v>
      </c>
      <c r="H12" s="66" t="s">
        <v>84</v>
      </c>
      <c r="I12" s="66">
        <f>'MERCADO TUSD'!$U$9</f>
        <v>0</v>
      </c>
      <c r="J12" s="15"/>
      <c r="L12" s="61">
        <f>'TUSD BE'!$L$12*'TUSD BE'!$L$61</f>
        <v>0</v>
      </c>
      <c r="M12" s="61">
        <f>'TUSD BE'!$M$12*'TUSD BE'!$M$61</f>
        <v>-1.5937263326741009E-3</v>
      </c>
      <c r="N12" s="61">
        <f ca="1">'TUSD BE'!$N$12*'TUSD BE'!$N$61</f>
        <v>-1.5308126032441349E-6</v>
      </c>
      <c r="O12" s="61">
        <f>'TUSD BE'!$O$12*'TUSD BE'!$O$61</f>
        <v>0</v>
      </c>
      <c r="P12" s="61">
        <f>'TUSD BE'!$P$12*'TUSD BE'!$P$61</f>
        <v>0</v>
      </c>
      <c r="Q12" s="61">
        <f>'TUSD BE'!$Q$12*'TUSD BE'!$Q$61</f>
        <v>0</v>
      </c>
      <c r="R12" s="61">
        <f>'TUSD BE'!$R$12*'TUSD BE'!$R$61</f>
        <v>0</v>
      </c>
      <c r="S12" s="61">
        <f>'TUSD BE'!$R$12*'TUSD BE'!$S$61</f>
        <v>0</v>
      </c>
      <c r="T12" s="61">
        <f ca="1">SUM($L$12:$S$12)</f>
        <v>-1.5952571452773449E-3</v>
      </c>
      <c r="U12" s="61">
        <f>'TUSD BE'!$U$12*'TUSD BE'!$U$61</f>
        <v>0</v>
      </c>
      <c r="V12" s="61">
        <f>'TUSD BE'!$V$12*'TUSD BE'!$V$61</f>
        <v>0</v>
      </c>
      <c r="W12" s="61">
        <f>'TUSD BE'!$W$12*'TUSD BE'!$W$61</f>
        <v>0</v>
      </c>
      <c r="X12" s="61">
        <f>'TUSD BE'!$X$12*'TUSD BE'!$X$61</f>
        <v>0</v>
      </c>
      <c r="Y12" s="61">
        <f>'TUSD BE'!$Y$12*'TUSD BE'!$Y$61</f>
        <v>0</v>
      </c>
      <c r="Z12" s="61">
        <f>'TUSD BE'!$Z$12*'TUSD BE'!$Z$61</f>
        <v>0</v>
      </c>
      <c r="AA12" s="61">
        <f>'TUSD BE'!$AA$12*'TUSD BE'!$AA$61</f>
        <v>0</v>
      </c>
      <c r="AB12" s="61">
        <f>SUM($U$12:$AA$12)</f>
        <v>0</v>
      </c>
      <c r="AC12" s="61">
        <f>'TUSD BE'!$AC$12*'TUSD BE'!$AC$61</f>
        <v>1.9709933420101138</v>
      </c>
      <c r="AD12" s="61">
        <f>SUM($AC$12:$AC$12)</f>
        <v>1.9709933420101138</v>
      </c>
      <c r="AE12" s="61">
        <f ca="1">$AO$12*$AO$58</f>
        <v>-2.6241638300324204</v>
      </c>
      <c r="AF12" s="61">
        <f ca="1">$AP$12*$AP$58</f>
        <v>0</v>
      </c>
      <c r="AG12" s="61">
        <f ca="1">SUM($AE$12:$AF$12)</f>
        <v>-2.6241638300324204</v>
      </c>
      <c r="AH12" s="61">
        <f>'TUSD BE'!$AH$12*'TUSD BE'!$AH$61</f>
        <v>0</v>
      </c>
      <c r="AI12" s="61">
        <f>'TUSD BE'!$AI$12*'TUSD BE'!$AI$61</f>
        <v>0</v>
      </c>
      <c r="AJ12" s="61">
        <f ca="1">'TUSD BE'!$AJ$12*'TUSD BE'!$AJ$61</f>
        <v>0</v>
      </c>
      <c r="AK12" s="61">
        <f ca="1">'TUSD BE'!$AK$12*'TUSD BE'!$AK$61</f>
        <v>0</v>
      </c>
      <c r="AL12" s="61">
        <f ca="1">SUM($AH$12:$AK$12)</f>
        <v>0</v>
      </c>
      <c r="AM12" s="61">
        <f ca="1">SUMIF($L$4:$AL$4,"SUBTOTAL",$L$12:$AL$12)</f>
        <v>-0.6547657451675839</v>
      </c>
      <c r="AO12" s="68">
        <f ca="1">+'TUSD BE'!$T$12+'TUSD BE'!$AB$12+'TUSD BE'!$AD$12+'TUSD BE'!$AL$12</f>
        <v>21.422077723548455</v>
      </c>
      <c r="AP12" s="68">
        <f ca="1">+'TUSD BE'!$T$12+'TUSD BE'!$AB$12+'TUSD BE'!$AD$12+'TUSD BE'!$AL$12</f>
        <v>21.422077723548455</v>
      </c>
    </row>
    <row r="13" spans="1:42" ht="11.25" customHeight="1" x14ac:dyDescent="0.3">
      <c r="A13" s="132"/>
      <c r="B13" s="132" t="s">
        <v>40</v>
      </c>
      <c r="C13" s="132" t="s">
        <v>25</v>
      </c>
      <c r="D13" s="132" t="s">
        <v>25</v>
      </c>
      <c r="E13" s="132" t="s">
        <v>25</v>
      </c>
      <c r="F13" s="132" t="s">
        <v>25</v>
      </c>
      <c r="G13" s="66" t="s">
        <v>9</v>
      </c>
      <c r="H13" s="66" t="s">
        <v>84</v>
      </c>
      <c r="I13" s="66">
        <f>'MERCADO TUSD'!$U$10</f>
        <v>119147</v>
      </c>
      <c r="J13" s="15"/>
      <c r="L13" s="61">
        <f>'TUSD BE'!$L$13*'TUSD BE'!$L$61</f>
        <v>0</v>
      </c>
      <c r="M13" s="61">
        <f>'TUSD BE'!$M$13*'TUSD BE'!$M$61</f>
        <v>0</v>
      </c>
      <c r="N13" s="61">
        <f ca="1">'TUSD BE'!$N$13*'TUSD BE'!$N$61</f>
        <v>0</v>
      </c>
      <c r="O13" s="61">
        <f>'TUSD BE'!$O$13*'TUSD BE'!$O$61</f>
        <v>0</v>
      </c>
      <c r="P13" s="61">
        <f>'TUSD BE'!$P$13*'TUSD BE'!$P$61</f>
        <v>0</v>
      </c>
      <c r="Q13" s="61">
        <f>'TUSD BE'!$Q$13*'TUSD BE'!$Q$61</f>
        <v>0</v>
      </c>
      <c r="R13" s="61">
        <f>'TUSD BE'!$R$13*'TUSD BE'!$R$61</f>
        <v>0</v>
      </c>
      <c r="S13" s="61">
        <f>'TUSD BE'!$R$13*'TUSD BE'!$S$61</f>
        <v>0</v>
      </c>
      <c r="T13" s="61">
        <f ca="1">SUM($L$13:$S$13)</f>
        <v>0</v>
      </c>
      <c r="U13" s="61">
        <f>'TUSD BE'!$U$13*'TUSD BE'!$U$61</f>
        <v>0</v>
      </c>
      <c r="V13" s="61">
        <f>'TUSD BE'!$V$13*'TUSD BE'!$V$61</f>
        <v>0</v>
      </c>
      <c r="W13" s="61">
        <f>'TUSD BE'!$W$13*'TUSD BE'!$W$61</f>
        <v>0</v>
      </c>
      <c r="X13" s="61">
        <f>'TUSD BE'!$X$13*'TUSD BE'!$X$61</f>
        <v>0</v>
      </c>
      <c r="Y13" s="61">
        <f>'TUSD BE'!$Y$13*'TUSD BE'!$Y$61</f>
        <v>-4.0225895200002757</v>
      </c>
      <c r="Z13" s="61">
        <f>'TUSD BE'!$Z$13*'TUSD BE'!$Z$61</f>
        <v>0</v>
      </c>
      <c r="AA13" s="61">
        <f>'TUSD BE'!$AA$13*'TUSD BE'!$AA$61</f>
        <v>0</v>
      </c>
      <c r="AB13" s="61">
        <f>SUM($U$13:$AA$13)</f>
        <v>-4.0225895200002757</v>
      </c>
      <c r="AC13" s="61">
        <f>'TUSD BE'!$AC$13*'TUSD BE'!$AC$61</f>
        <v>2.176209691359885</v>
      </c>
      <c r="AD13" s="61">
        <f>SUM($AC$13:$AC$13)</f>
        <v>2.176209691359885</v>
      </c>
      <c r="AE13" s="61">
        <f ca="1">$AO$13*$AO$58</f>
        <v>-5.7184661749981665</v>
      </c>
      <c r="AF13" s="61">
        <f ca="1">$AP$13*$AP$58</f>
        <v>0</v>
      </c>
      <c r="AG13" s="61">
        <f ca="1">SUM($AE$13:$AF$13)</f>
        <v>-5.7184661749981665</v>
      </c>
      <c r="AH13" s="61">
        <f>'TUSD BE'!$AH$13*'TUSD BE'!$AH$61</f>
        <v>0</v>
      </c>
      <c r="AI13" s="61">
        <f>'TUSD BE'!$AI$13*'TUSD BE'!$AI$61</f>
        <v>0</v>
      </c>
      <c r="AJ13" s="61">
        <f ca="1">'TUSD BE'!$AJ$13*'TUSD BE'!$AJ$61</f>
        <v>0</v>
      </c>
      <c r="AK13" s="61">
        <f ca="1">'TUSD BE'!$AK$13*'TUSD BE'!$AK$61</f>
        <v>0</v>
      </c>
      <c r="AL13" s="61">
        <f ca="1">SUM($AH$13:$AK$13)</f>
        <v>0</v>
      </c>
      <c r="AM13" s="61">
        <f ca="1">SUMIF($L$4:$AL$4,"SUBTOTAL",$L$13:$AL$13)</f>
        <v>-7.5648460036385572</v>
      </c>
      <c r="AO13" s="68">
        <f ca="1">+'TUSD BE'!$T$13+'TUSD BE'!$AB$13+'TUSD BE'!$AD$13+'TUSD BE'!$AL$13</f>
        <v>46.682080386261596</v>
      </c>
      <c r="AP13" s="68">
        <f ca="1">+'TUSD BE'!$T$13+'TUSD BE'!$AB$13+'TUSD BE'!$AD$13+'TUSD BE'!$AL$13</f>
        <v>46.682080386261596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66" t="s">
        <v>77</v>
      </c>
      <c r="H14" s="66" t="s">
        <v>76</v>
      </c>
      <c r="I14" s="66">
        <f>'MERCADO TUSD'!$U$11</f>
        <v>964.50799999999992</v>
      </c>
      <c r="J14" s="15"/>
      <c r="L14" s="61">
        <f>'TUSD BE'!$L$14*'TUSD BE'!$L$61</f>
        <v>-7.581754916816677E-2</v>
      </c>
      <c r="M14" s="61">
        <f>'TUSD BE'!$M$14*'TUSD BE'!$M$61</f>
        <v>-1.883310484229701E-2</v>
      </c>
      <c r="N14" s="61">
        <f ca="1">'TUSD BE'!$N$14*'TUSD BE'!$N$61</f>
        <v>-1.5300533980831081E-4</v>
      </c>
      <c r="O14" s="61">
        <f>'TUSD BE'!$O$14*'TUSD BE'!$O$61</f>
        <v>0</v>
      </c>
      <c r="P14" s="61">
        <f>'TUSD BE'!$P$14*'TUSD BE'!$P$61</f>
        <v>0</v>
      </c>
      <c r="Q14" s="61">
        <f>'TUSD BE'!$Q$14*'TUSD BE'!$Q$61</f>
        <v>-0.80060739957191884</v>
      </c>
      <c r="R14" s="61">
        <f>'TUSD BE'!$R$14*'TUSD BE'!$R$61</f>
        <v>-0.1436055413628014</v>
      </c>
      <c r="S14" s="61">
        <f>'TUSD BE'!$R$14*'TUSD BE'!$S$61</f>
        <v>0</v>
      </c>
      <c r="T14" s="61">
        <f ca="1">SUM($L$14:$S$14)</f>
        <v>-1.0390166002849923</v>
      </c>
      <c r="U14" s="61">
        <f>'TUSD BE'!$U$14*'TUSD BE'!$U$61</f>
        <v>0</v>
      </c>
      <c r="V14" s="61">
        <f>'TUSD BE'!$V$14*'TUSD BE'!$V$61</f>
        <v>0</v>
      </c>
      <c r="W14" s="61">
        <f>'TUSD BE'!$W$14*'TUSD BE'!$W$61</f>
        <v>0</v>
      </c>
      <c r="X14" s="61">
        <f>'TUSD BE'!$X$14*'TUSD BE'!$X$61</f>
        <v>0</v>
      </c>
      <c r="Y14" s="61">
        <f>'TUSD BE'!$Y$14*'TUSD BE'!$Y$61</f>
        <v>-166.32504690254106</v>
      </c>
      <c r="Z14" s="61">
        <f>'TUSD BE'!$Z$14*'TUSD BE'!$Z$61</f>
        <v>0</v>
      </c>
      <c r="AA14" s="61">
        <f>'TUSD BE'!$AA$14*'TUSD BE'!$AA$61</f>
        <v>0</v>
      </c>
      <c r="AB14" s="61">
        <f>SUM($U$14:$AA$14)</f>
        <v>-166.32504690254106</v>
      </c>
      <c r="AC14" s="61">
        <f>'TUSD BE'!$AC$14*'TUSD BE'!$AC$61</f>
        <v>104.6756214205825</v>
      </c>
      <c r="AD14" s="61">
        <f>SUM($AC$14:$AC$14)</f>
        <v>104.6756214205825</v>
      </c>
      <c r="AE14" s="61">
        <f ca="1">$AO$14*$AO$58</f>
        <v>-271.14866684111485</v>
      </c>
      <c r="AF14" s="61">
        <f ca="1">$AP$14*$AP$58</f>
        <v>0</v>
      </c>
      <c r="AG14" s="61">
        <f ca="1">SUM($AE$14:$AF$14)</f>
        <v>-271.14866684111485</v>
      </c>
      <c r="AH14" s="61">
        <f>'TUSD BE'!$AH$14*'TUSD BE'!$AH$61</f>
        <v>-1.7199848427856608</v>
      </c>
      <c r="AI14" s="61">
        <f>'TUSD BE'!$AI$14*'TUSD BE'!$AI$61</f>
        <v>-1.7590655260975124E-2</v>
      </c>
      <c r="AJ14" s="61">
        <f ca="1">'TUSD BE'!$AJ$14*'TUSD BE'!$AJ$61</f>
        <v>-0.1282401166864337</v>
      </c>
      <c r="AK14" s="61">
        <f ca="1">'TUSD BE'!$AK$14*'TUSD BE'!$AK$61</f>
        <v>4.5159982338420848E-2</v>
      </c>
      <c r="AL14" s="61">
        <f ca="1">SUM($AH$14:$AK$14)</f>
        <v>-1.8206556323946488</v>
      </c>
      <c r="AM14" s="61">
        <f ca="1">SUMIF($L$4:$AL$4,"SUBTOTAL",$L$14:$AL$14)</f>
        <v>-335.65776455575309</v>
      </c>
      <c r="AO14" s="68">
        <f ca="1">+'TUSD BE'!$T$14+'TUSD BE'!$AB$14+'TUSD BE'!$AD$14+'TUSD BE'!$AL$14</f>
        <v>2213.4928274029085</v>
      </c>
      <c r="AP14" s="68">
        <f ca="1">+'TUSD BE'!$T$14+'TUSD BE'!$AB$14+'TUSD BE'!$AD$14+'TUSD BE'!$AL$14</f>
        <v>2213.4928274029085</v>
      </c>
    </row>
    <row r="15" spans="1:42" ht="11.25" customHeight="1" x14ac:dyDescent="0.3">
      <c r="A15" s="132"/>
      <c r="B15" s="132"/>
      <c r="C15" s="132"/>
      <c r="D15" s="132"/>
      <c r="E15" s="132"/>
      <c r="F15" s="132"/>
      <c r="G15" s="66" t="s">
        <v>78</v>
      </c>
      <c r="H15" s="66" t="s">
        <v>76</v>
      </c>
      <c r="I15" s="66">
        <f>'MERCADO TUSD'!$U$12</f>
        <v>18843.148999999998</v>
      </c>
      <c r="J15" s="15"/>
      <c r="L15" s="61">
        <f>'TUSD BE'!$L$15*'TUSD BE'!$L$61</f>
        <v>-7.581754916816677E-2</v>
      </c>
      <c r="M15" s="61">
        <f>'TUSD BE'!$M$15*'TUSD BE'!$M$61</f>
        <v>-1.883310484229701E-2</v>
      </c>
      <c r="N15" s="61">
        <f ca="1">'TUSD BE'!$N$15*'TUSD BE'!$N$61</f>
        <v>-2.9035839508873873E-6</v>
      </c>
      <c r="O15" s="61">
        <f>'TUSD BE'!$O$15*'TUSD BE'!$O$61</f>
        <v>0</v>
      </c>
      <c r="P15" s="61">
        <f>'TUSD BE'!$P$15*'TUSD BE'!$P$61</f>
        <v>0</v>
      </c>
      <c r="Q15" s="61">
        <f>'TUSD BE'!$Q$15*'TUSD BE'!$Q$61</f>
        <v>-0.80060739957191884</v>
      </c>
      <c r="R15" s="61">
        <f>'TUSD BE'!$R$15*'TUSD BE'!$R$61</f>
        <v>-0.1436055413628014</v>
      </c>
      <c r="S15" s="61">
        <f>'TUSD BE'!$R$15*'TUSD BE'!$S$61</f>
        <v>0</v>
      </c>
      <c r="T15" s="61">
        <f ca="1">SUM($L$15:$S$15)</f>
        <v>-1.0388664985291349</v>
      </c>
      <c r="U15" s="61">
        <f>'TUSD BE'!$U$15*'TUSD BE'!$U$61</f>
        <v>0</v>
      </c>
      <c r="V15" s="61">
        <f>'TUSD BE'!$V$15*'TUSD BE'!$V$61</f>
        <v>0</v>
      </c>
      <c r="W15" s="61">
        <f>'TUSD BE'!$W$15*'TUSD BE'!$W$61</f>
        <v>0</v>
      </c>
      <c r="X15" s="61">
        <f>'TUSD BE'!$X$15*'TUSD BE'!$X$61</f>
        <v>0</v>
      </c>
      <c r="Y15" s="61">
        <f>'TUSD BE'!$Y$15*'TUSD BE'!$Y$61</f>
        <v>0</v>
      </c>
      <c r="Z15" s="61">
        <f>'TUSD BE'!$Z$15*'TUSD BE'!$Z$61</f>
        <v>0</v>
      </c>
      <c r="AA15" s="61">
        <f>'TUSD BE'!$AA$15*'TUSD BE'!$AA$61</f>
        <v>0</v>
      </c>
      <c r="AB15" s="61">
        <f>SUM($U$15:$AA$15)</f>
        <v>0</v>
      </c>
      <c r="AC15" s="61">
        <f>'TUSD BE'!$AC$15*'TUSD BE'!$AC$61</f>
        <v>0</v>
      </c>
      <c r="AD15" s="61">
        <f>SUM($AC$15:$AC$15)</f>
        <v>0</v>
      </c>
      <c r="AE15" s="61">
        <f ca="1">$AO$15*$AO$58</f>
        <v>-13.040528959779035</v>
      </c>
      <c r="AF15" s="61">
        <f ca="1">$AP$15*$AP$58</f>
        <v>0</v>
      </c>
      <c r="AG15" s="61">
        <f ca="1">SUM($AE$15:$AF$15)</f>
        <v>-13.040528959779035</v>
      </c>
      <c r="AH15" s="61">
        <f>'TUSD BE'!$AH$15*'TUSD BE'!$AH$61</f>
        <v>-1.7199848427856608</v>
      </c>
      <c r="AI15" s="61">
        <f>'TUSD BE'!$AI$15*'TUSD BE'!$AI$61</f>
        <v>-1.7590655260975124E-2</v>
      </c>
      <c r="AJ15" s="61">
        <f ca="1">'TUSD BE'!$AJ$15*'TUSD BE'!$AJ$61</f>
        <v>-0.1282401166864337</v>
      </c>
      <c r="AK15" s="61">
        <f ca="1">'TUSD BE'!$AK$15*'TUSD BE'!$AK$61</f>
        <v>4.5159982338420848E-2</v>
      </c>
      <c r="AL15" s="61">
        <f ca="1">SUM($AH$15:$AK$15)</f>
        <v>-1.8206556323946488</v>
      </c>
      <c r="AM15" s="61">
        <f ca="1">SUMIF($L$4:$AL$4,"SUBTOTAL",$L$15:$AL$15)</f>
        <v>-15.900051090702819</v>
      </c>
      <c r="AO15" s="68">
        <f ca="1">+'TUSD BE'!$T$15+'TUSD BE'!$AB$15+'TUSD BE'!$AD$15+'TUSD BE'!$AL$15</f>
        <v>106.4549483288624</v>
      </c>
      <c r="AP15" s="68">
        <f ca="1">+'TUSD BE'!$T$15+'TUSD BE'!$AB$15+'TUSD BE'!$AD$15+'TUSD BE'!$AL$15</f>
        <v>106.4549483288624</v>
      </c>
    </row>
    <row r="16" spans="1:42" ht="11.25" customHeight="1" x14ac:dyDescent="0.3">
      <c r="A16" s="132"/>
      <c r="B16" s="132"/>
      <c r="C16" s="132"/>
      <c r="D16" s="132"/>
      <c r="E16" s="132" t="s">
        <v>87</v>
      </c>
      <c r="F16" s="132" t="s">
        <v>25</v>
      </c>
      <c r="G16" s="66" t="s">
        <v>77</v>
      </c>
      <c r="H16" s="66" t="s">
        <v>76</v>
      </c>
      <c r="I16" s="66">
        <f>'MERCADO TUSD'!$U$13</f>
        <v>0</v>
      </c>
      <c r="J16" s="15"/>
      <c r="L16" s="61">
        <f>'TUSD BE'!$L$16*'TUSD BE'!$L$61</f>
        <v>0</v>
      </c>
      <c r="M16" s="61">
        <f>'TUSD BE'!$M$16*'TUSD BE'!$M$61</f>
        <v>-1.883310484229701E-2</v>
      </c>
      <c r="N16" s="61">
        <f ca="1">'TUSD BE'!$N$16*'TUSD BE'!$N$61</f>
        <v>-1.5292707740528197E-4</v>
      </c>
      <c r="O16" s="61">
        <f>'TUSD BE'!$O$16*'TUSD BE'!$O$61</f>
        <v>0</v>
      </c>
      <c r="P16" s="61">
        <f>'TUSD BE'!$P$16*'TUSD BE'!$P$61</f>
        <v>0</v>
      </c>
      <c r="Q16" s="61">
        <f>'TUSD BE'!$Q$16*'TUSD BE'!$Q$61</f>
        <v>0</v>
      </c>
      <c r="R16" s="61">
        <f>'TUSD BE'!$R$16*'TUSD BE'!$R$61</f>
        <v>0</v>
      </c>
      <c r="S16" s="61">
        <f>'TUSD BE'!$R$16*'TUSD BE'!$S$61</f>
        <v>0</v>
      </c>
      <c r="T16" s="61">
        <f ca="1">SUM($L$16:$S$16)</f>
        <v>-1.898603191970229E-2</v>
      </c>
      <c r="U16" s="61">
        <f>'TUSD BE'!$U$16*'TUSD BE'!$U$61</f>
        <v>0</v>
      </c>
      <c r="V16" s="61">
        <f>'TUSD BE'!$V$16*'TUSD BE'!$V$61</f>
        <v>0</v>
      </c>
      <c r="W16" s="61">
        <f>'TUSD BE'!$W$16*'TUSD BE'!$W$61</f>
        <v>0</v>
      </c>
      <c r="X16" s="61">
        <f>'TUSD BE'!$X$16*'TUSD BE'!$X$61</f>
        <v>0</v>
      </c>
      <c r="Y16" s="61">
        <f>'TUSD BE'!$Y$16*'TUSD BE'!$Y$61</f>
        <v>-166.32504690254106</v>
      </c>
      <c r="Z16" s="61">
        <f>'TUSD BE'!$Z$16*'TUSD BE'!$Z$61</f>
        <v>0</v>
      </c>
      <c r="AA16" s="61">
        <f>'TUSD BE'!$AA$16*'TUSD BE'!$AA$61</f>
        <v>0</v>
      </c>
      <c r="AB16" s="61">
        <f>SUM($U$16:$AA$16)</f>
        <v>-166.32504690254106</v>
      </c>
      <c r="AC16" s="61">
        <f>'TUSD BE'!$AC$16*'TUSD BE'!$AC$61</f>
        <v>104.6756214205825</v>
      </c>
      <c r="AD16" s="61">
        <f>SUM($AC$16:$AC$16)</f>
        <v>104.6756214205825</v>
      </c>
      <c r="AE16" s="61">
        <f ca="1">$AO$16*$AO$58</f>
        <v>-259.83757249945705</v>
      </c>
      <c r="AF16" s="61">
        <f ca="1">$AP$16*$AP$58</f>
        <v>0</v>
      </c>
      <c r="AG16" s="61">
        <f ca="1">SUM($AE$16:$AF$16)</f>
        <v>-259.83757249945705</v>
      </c>
      <c r="AH16" s="61">
        <f>'TUSD BE'!$AH$16*'TUSD BE'!$AH$61</f>
        <v>-1.7199848427856608</v>
      </c>
      <c r="AI16" s="61">
        <f>'TUSD BE'!$AI$16*'TUSD BE'!$AI$61</f>
        <v>-1.7590655260975124E-2</v>
      </c>
      <c r="AJ16" s="61">
        <f ca="1">'TUSD BE'!$AJ$16*'TUSD BE'!$AJ$61</f>
        <v>-0.1282401166864337</v>
      </c>
      <c r="AK16" s="61">
        <f ca="1">'TUSD BE'!$AK$16*'TUSD BE'!$AK$61</f>
        <v>4.5159982338420848E-2</v>
      </c>
      <c r="AL16" s="61">
        <f ca="1">SUM($AH$16:$AK$16)</f>
        <v>-1.8206556323946488</v>
      </c>
      <c r="AM16" s="61">
        <f ca="1">SUMIF($L$4:$AL$4,"SUBTOTAL",$L$16:$AL$16)</f>
        <v>-323.32663964572998</v>
      </c>
      <c r="AO16" s="68">
        <f ca="1">+'TUSD BE'!$T$16+'TUSD BE'!$AB$16+'TUSD BE'!$AD$16+'TUSD BE'!$AL$16</f>
        <v>2121.155931606891</v>
      </c>
      <c r="AP16" s="68">
        <f ca="1">+'TUSD BE'!$T$16+'TUSD BE'!$AB$16+'TUSD BE'!$AD$16+'TUSD BE'!$AL$16</f>
        <v>2121.155931606891</v>
      </c>
    </row>
    <row r="17" spans="1:42" ht="11.25" customHeight="1" x14ac:dyDescent="0.3">
      <c r="A17" s="132"/>
      <c r="B17" s="132"/>
      <c r="C17" s="132"/>
      <c r="D17" s="132"/>
      <c r="E17" s="132"/>
      <c r="F17" s="132"/>
      <c r="G17" s="66" t="s">
        <v>78</v>
      </c>
      <c r="H17" s="66" t="s">
        <v>76</v>
      </c>
      <c r="I17" s="66">
        <f>'MERCADO TUSD'!$U$14</f>
        <v>0</v>
      </c>
      <c r="J17" s="15"/>
      <c r="L17" s="61">
        <f>'TUSD BE'!$L$17*'TUSD BE'!$L$61</f>
        <v>0</v>
      </c>
      <c r="M17" s="61">
        <f>'TUSD BE'!$M$17*'TUSD BE'!$M$61</f>
        <v>-1.883310484229701E-2</v>
      </c>
      <c r="N17" s="61">
        <f ca="1">'TUSD BE'!$N$17*'TUSD BE'!$N$61</f>
        <v>-2.8253215478585456E-6</v>
      </c>
      <c r="O17" s="61">
        <f>'TUSD BE'!$O$17*'TUSD BE'!$O$61</f>
        <v>0</v>
      </c>
      <c r="P17" s="61">
        <f>'TUSD BE'!$P$17*'TUSD BE'!$P$61</f>
        <v>0</v>
      </c>
      <c r="Q17" s="61">
        <f>'TUSD BE'!$Q$17*'TUSD BE'!$Q$61</f>
        <v>0</v>
      </c>
      <c r="R17" s="61">
        <f>'TUSD BE'!$R$17*'TUSD BE'!$R$61</f>
        <v>0</v>
      </c>
      <c r="S17" s="61">
        <f>'TUSD BE'!$R$17*'TUSD BE'!$S$61</f>
        <v>0</v>
      </c>
      <c r="T17" s="61">
        <f ca="1">SUM($L$17:$S$17)</f>
        <v>-1.8835930163844869E-2</v>
      </c>
      <c r="U17" s="61">
        <f>'TUSD BE'!$U$17*'TUSD BE'!$U$61</f>
        <v>0</v>
      </c>
      <c r="V17" s="61">
        <f>'TUSD BE'!$V$17*'TUSD BE'!$V$61</f>
        <v>0</v>
      </c>
      <c r="W17" s="61">
        <f>'TUSD BE'!$W$17*'TUSD BE'!$W$61</f>
        <v>0</v>
      </c>
      <c r="X17" s="61">
        <f>'TUSD BE'!$X$17*'TUSD BE'!$X$61</f>
        <v>0</v>
      </c>
      <c r="Y17" s="61">
        <f>'TUSD BE'!$Y$17*'TUSD BE'!$Y$61</f>
        <v>0</v>
      </c>
      <c r="Z17" s="61">
        <f>'TUSD BE'!$Z$17*'TUSD BE'!$Z$61</f>
        <v>0</v>
      </c>
      <c r="AA17" s="61">
        <f>'TUSD BE'!$AA$17*'TUSD BE'!$AA$61</f>
        <v>0</v>
      </c>
      <c r="AB17" s="61">
        <f>SUM($U$17:$AA$17)</f>
        <v>0</v>
      </c>
      <c r="AC17" s="61">
        <f>'TUSD BE'!$AC$17*'TUSD BE'!$AC$61</f>
        <v>0</v>
      </c>
      <c r="AD17" s="61">
        <f>SUM($AC$17:$AC$17)</f>
        <v>0</v>
      </c>
      <c r="AE17" s="61">
        <f ca="1">$AO$17*$AO$58</f>
        <v>-1.7294346181213043</v>
      </c>
      <c r="AF17" s="61">
        <f ca="1">$AP$17*$AP$58</f>
        <v>0</v>
      </c>
      <c r="AG17" s="61">
        <f ca="1">SUM($AE$17:$AF$17)</f>
        <v>-1.7294346181213043</v>
      </c>
      <c r="AH17" s="61">
        <f>'TUSD BE'!$AH$17*'TUSD BE'!$AH$61</f>
        <v>-1.7199848427856608</v>
      </c>
      <c r="AI17" s="61">
        <f>'TUSD BE'!$AI$17*'TUSD BE'!$AI$61</f>
        <v>-1.7590655260975124E-2</v>
      </c>
      <c r="AJ17" s="61">
        <f ca="1">'TUSD BE'!$AJ$17*'TUSD BE'!$AJ$61</f>
        <v>-0.1282401166864337</v>
      </c>
      <c r="AK17" s="61">
        <f ca="1">'TUSD BE'!$AK$17*'TUSD BE'!$AK$61</f>
        <v>4.5159982338420848E-2</v>
      </c>
      <c r="AL17" s="61">
        <f ca="1">SUM($AH$17:$AK$17)</f>
        <v>-1.8206556323946488</v>
      </c>
      <c r="AM17" s="61">
        <f ca="1">SUMIF($L$4:$AL$4,"SUBTOTAL",$L$17:$AL$17)</f>
        <v>-3.5689261806797976</v>
      </c>
      <c r="AO17" s="68">
        <f ca="1">+'TUSD BE'!$T$17+'TUSD BE'!$AB$17+'TUSD BE'!$AD$17+'TUSD BE'!$AL$17</f>
        <v>14.11805253284518</v>
      </c>
      <c r="AP17" s="68">
        <f ca="1">+'TUSD BE'!$T$17+'TUSD BE'!$AB$17+'TUSD BE'!$AD$17+'TUSD BE'!$AL$17</f>
        <v>14.11805253284518</v>
      </c>
    </row>
    <row r="18" spans="1:42" ht="11.25" customHeight="1" x14ac:dyDescent="0.3">
      <c r="A18" s="132" t="s">
        <v>90</v>
      </c>
      <c r="B18" s="132" t="s">
        <v>88</v>
      </c>
      <c r="C18" s="132" t="s">
        <v>25</v>
      </c>
      <c r="D18" s="132" t="s">
        <v>25</v>
      </c>
      <c r="E18" s="65" t="s">
        <v>91</v>
      </c>
      <c r="F18" s="65" t="s">
        <v>25</v>
      </c>
      <c r="G18" s="66" t="s">
        <v>9</v>
      </c>
      <c r="H18" s="66" t="s">
        <v>84</v>
      </c>
      <c r="I18" s="66">
        <f>'MERCADO TUSD'!$U$15+0.00000001</f>
        <v>1E-8</v>
      </c>
      <c r="J18" s="15"/>
      <c r="L18" s="61">
        <f>'TUSD BE'!$L$18*'TUSD BE'!$L$61</f>
        <v>0</v>
      </c>
      <c r="M18" s="61">
        <f>'TUSD BE'!$M$18*'TUSD BE'!$M$61</f>
        <v>-4.6850234939970365E-4</v>
      </c>
      <c r="N18" s="61">
        <f ca="1">'TUSD BE'!$N$18*'TUSD BE'!$N$61</f>
        <v>-4.4922619338554882E-7</v>
      </c>
      <c r="O18" s="61">
        <f>'TUSD BE'!$O$18*'TUSD BE'!$O$61</f>
        <v>0</v>
      </c>
      <c r="P18" s="61">
        <f>'TUSD BE'!$P$18*'TUSD BE'!$P$61</f>
        <v>0</v>
      </c>
      <c r="Q18" s="61">
        <f>'TUSD BE'!$Q$18*'TUSD BE'!$Q$61</f>
        <v>0</v>
      </c>
      <c r="R18" s="61">
        <f>'TUSD BE'!$R$18*'TUSD BE'!$R$61</f>
        <v>0</v>
      </c>
      <c r="S18" s="61">
        <f>'TUSD BE'!$R$18*'TUSD BE'!$S$61</f>
        <v>0</v>
      </c>
      <c r="T18" s="61">
        <f ca="1">SUM($L$18:$S$18)</f>
        <v>-4.689515755930892E-4</v>
      </c>
      <c r="U18" s="61">
        <f>'TUSD BE'!$U$18*'TUSD BE'!$U$61</f>
        <v>0</v>
      </c>
      <c r="V18" s="61">
        <f>'TUSD BE'!$V$18*'TUSD BE'!$V$61</f>
        <v>0</v>
      </c>
      <c r="W18" s="61">
        <f>'TUSD BE'!$W$18*'TUSD BE'!$W$61</f>
        <v>0</v>
      </c>
      <c r="X18" s="61">
        <f>'TUSD BE'!$X$18*'TUSD BE'!$X$61</f>
        <v>0</v>
      </c>
      <c r="Y18" s="61">
        <f>'TUSD BE'!$Y$18*'TUSD BE'!$Y$61</f>
        <v>0</v>
      </c>
      <c r="Z18" s="61">
        <f>'TUSD BE'!$Z$18*'TUSD BE'!$Z$61</f>
        <v>0</v>
      </c>
      <c r="AA18" s="61">
        <f>'TUSD BE'!$AA$18*'TUSD BE'!$AA$61</f>
        <v>0</v>
      </c>
      <c r="AB18" s="61">
        <f>SUM($U$18:$AA$18)</f>
        <v>0</v>
      </c>
      <c r="AC18" s="61">
        <f>'TUSD BE'!$AC$18*'TUSD BE'!$AC$61</f>
        <v>0.57866984881708172</v>
      </c>
      <c r="AD18" s="61">
        <f>SUM($AC$18:$AC$18)</f>
        <v>0.57866984881708172</v>
      </c>
      <c r="AE18" s="61">
        <f ca="1">$AO$18*$AO$58</f>
        <v>-0.77043650767604388</v>
      </c>
      <c r="AF18" s="61">
        <f ca="1">$AP$18*$AP$58</f>
        <v>0</v>
      </c>
      <c r="AG18" s="61">
        <f ca="1">SUM($AE$18:$AF$18)</f>
        <v>-0.77043650767604388</v>
      </c>
      <c r="AH18" s="61">
        <f>'TUSD BE'!$AH$18*'TUSD BE'!$AH$61</f>
        <v>0</v>
      </c>
      <c r="AI18" s="61">
        <f>'TUSD BE'!$AI$18*'TUSD BE'!$AI$61</f>
        <v>0</v>
      </c>
      <c r="AJ18" s="61">
        <f ca="1">'TUSD BE'!$AJ$18*'TUSD BE'!$AJ$61</f>
        <v>0</v>
      </c>
      <c r="AK18" s="61">
        <f ca="1">'TUSD BE'!$AK$18*'TUSD BE'!$AK$61</f>
        <v>0</v>
      </c>
      <c r="AL18" s="61">
        <f ca="1">SUM($AH$18:$AK$18)</f>
        <v>0</v>
      </c>
      <c r="AM18" s="61">
        <f ca="1">SUMIF($L$4:$AL$4,"SUBTOTAL",$L$18:$AL$18)</f>
        <v>-0.19223561043455528</v>
      </c>
      <c r="AO18" s="68">
        <f ca="1">+'TUSD BE'!$T$18+'TUSD BE'!$AB$18+'TUSD BE'!$AD$18+'TUSD BE'!$AL$18</f>
        <v>6.2893751371809525</v>
      </c>
      <c r="AP18" s="68">
        <f ca="1">+'TUSD BE'!$T$18+'TUSD BE'!$AB$18+'TUSD BE'!$AD$18+'TUSD BE'!$AL$18</f>
        <v>6.2893751371809525</v>
      </c>
    </row>
    <row r="19" spans="1:42" ht="11.25" customHeight="1" x14ac:dyDescent="0.3">
      <c r="A19" s="132"/>
      <c r="B19" s="132"/>
      <c r="C19" s="132"/>
      <c r="D19" s="132"/>
      <c r="E19" s="65" t="s">
        <v>92</v>
      </c>
      <c r="F19" s="65" t="s">
        <v>25</v>
      </c>
      <c r="G19" s="66" t="s">
        <v>9</v>
      </c>
      <c r="H19" s="66" t="s">
        <v>84</v>
      </c>
      <c r="I19" s="66">
        <f>'MERCADO TUSD'!$U$16+0.00000001</f>
        <v>1E-8</v>
      </c>
      <c r="J19" s="15"/>
      <c r="L19" s="61">
        <f>'TUSD BE'!$L$19*'TUSD BE'!$L$61</f>
        <v>0</v>
      </c>
      <c r="M19" s="61">
        <f>'TUSD BE'!$M$19*'TUSD BE'!$M$61</f>
        <v>-4.6850234939970365E-4</v>
      </c>
      <c r="N19" s="61">
        <f ca="1">'TUSD BE'!$N$19*'TUSD BE'!$N$61</f>
        <v>-4.4922619338554882E-7</v>
      </c>
      <c r="O19" s="61">
        <f>'TUSD BE'!$O$19*'TUSD BE'!$O$61</f>
        <v>0</v>
      </c>
      <c r="P19" s="61">
        <f>'TUSD BE'!$P$19*'TUSD BE'!$P$61</f>
        <v>0</v>
      </c>
      <c r="Q19" s="61">
        <f>'TUSD BE'!$Q$19*'TUSD BE'!$Q$61</f>
        <v>0</v>
      </c>
      <c r="R19" s="61">
        <f>'TUSD BE'!$R$19*'TUSD BE'!$R$61</f>
        <v>0</v>
      </c>
      <c r="S19" s="61">
        <f>'TUSD BE'!$R$19*'TUSD BE'!$S$61</f>
        <v>0</v>
      </c>
      <c r="T19" s="61">
        <f ca="1">SUM($L$19:$S$19)</f>
        <v>-4.689515755930892E-4</v>
      </c>
      <c r="U19" s="61">
        <f>'TUSD BE'!$U$19*'TUSD BE'!$U$61</f>
        <v>0</v>
      </c>
      <c r="V19" s="61">
        <f>'TUSD BE'!$V$19*'TUSD BE'!$V$61</f>
        <v>0</v>
      </c>
      <c r="W19" s="61">
        <f>'TUSD BE'!$W$19*'TUSD BE'!$W$61</f>
        <v>0</v>
      </c>
      <c r="X19" s="61">
        <f>'TUSD BE'!$X$19*'TUSD BE'!$X$61</f>
        <v>0</v>
      </c>
      <c r="Y19" s="61">
        <f>'TUSD BE'!$Y$19*'TUSD BE'!$Y$61</f>
        <v>0</v>
      </c>
      <c r="Z19" s="61">
        <f>'TUSD BE'!$Z$19*'TUSD BE'!$Z$61</f>
        <v>0</v>
      </c>
      <c r="AA19" s="61">
        <f>'TUSD BE'!$AA$19*'TUSD BE'!$AA$61</f>
        <v>0</v>
      </c>
      <c r="AB19" s="61">
        <f>SUM($U$19:$AA$19)</f>
        <v>0</v>
      </c>
      <c r="AC19" s="61">
        <f>'TUSD BE'!$AC$19*'TUSD BE'!$AC$61</f>
        <v>1.4950479864650652</v>
      </c>
      <c r="AD19" s="61">
        <f>SUM($AC$19:$AC$19)</f>
        <v>1.4950479864650652</v>
      </c>
      <c r="AE19" s="61">
        <f ca="1">$AO$19*$AO$58</f>
        <v>-1.9747974905736347</v>
      </c>
      <c r="AF19" s="61">
        <f ca="1">$AP$19*$AP$58</f>
        <v>0</v>
      </c>
      <c r="AG19" s="61">
        <f ca="1">SUM($AE$19:$AF$19)</f>
        <v>-1.9747974905736347</v>
      </c>
      <c r="AH19" s="61">
        <f>'TUSD BE'!$AH$19*'TUSD BE'!$AH$61</f>
        <v>0</v>
      </c>
      <c r="AI19" s="61">
        <f>'TUSD BE'!$AI$19*'TUSD BE'!$AI$61</f>
        <v>0</v>
      </c>
      <c r="AJ19" s="61">
        <f ca="1">'TUSD BE'!$AJ$19*'TUSD BE'!$AJ$61</f>
        <v>0</v>
      </c>
      <c r="AK19" s="61">
        <f ca="1">'TUSD BE'!$AK$19*'TUSD BE'!$AK$61</f>
        <v>0</v>
      </c>
      <c r="AL19" s="61">
        <f ca="1">SUM($AH$19:$AK$19)</f>
        <v>0</v>
      </c>
      <c r="AM19" s="61">
        <f ca="1">SUMIF($L$4:$AL$4,"SUBTOTAL",$L$19:$AL$19)</f>
        <v>-0.48021845568416266</v>
      </c>
      <c r="AO19" s="68">
        <f ca="1">+'TUSD BE'!$T$19+'TUSD BE'!$AB$19+'TUSD BE'!$AD$19+'TUSD BE'!$AL$19</f>
        <v>16.121045815502381</v>
      </c>
      <c r="AP19" s="68">
        <f ca="1">+'TUSD BE'!$T$19+'TUSD BE'!$AB$19+'TUSD BE'!$AD$19+'TUSD BE'!$AL$19</f>
        <v>16.121045815502381</v>
      </c>
    </row>
    <row r="20" spans="1:42" ht="11.25" customHeight="1" x14ac:dyDescent="0.3">
      <c r="A20" s="132" t="s">
        <v>22</v>
      </c>
      <c r="B20" s="132" t="s">
        <v>33</v>
      </c>
      <c r="C20" s="132" t="s">
        <v>24</v>
      </c>
      <c r="D20" s="132" t="s">
        <v>24</v>
      </c>
      <c r="E20" s="132" t="s">
        <v>25</v>
      </c>
      <c r="F20" s="132" t="s">
        <v>25</v>
      </c>
      <c r="G20" s="66" t="s">
        <v>77</v>
      </c>
      <c r="H20" s="66" t="s">
        <v>76</v>
      </c>
      <c r="I20" s="66">
        <f>'MERCADO TUSD'!$U$17</f>
        <v>0.68800000000000017</v>
      </c>
      <c r="J20" s="15"/>
      <c r="L20" s="61">
        <f>'TUSD BE'!$L$20*'TUSD BE'!$L$61</f>
        <v>-9.0258987104960456E-2</v>
      </c>
      <c r="M20" s="61">
        <f>'TUSD BE'!$M$20*'TUSD BE'!$M$61</f>
        <v>-1.9491624390069004E-2</v>
      </c>
      <c r="N20" s="61">
        <f ca="1">'TUSD BE'!$N$20*'TUSD BE'!$N$61</f>
        <v>-8.4351401505315302E-5</v>
      </c>
      <c r="O20" s="61">
        <f>'TUSD BE'!$O$20*'TUSD BE'!$O$61</f>
        <v>0</v>
      </c>
      <c r="P20" s="61">
        <f>'TUSD BE'!$P$20*'TUSD BE'!$P$61</f>
        <v>0</v>
      </c>
      <c r="Q20" s="61">
        <f>'TUSD BE'!$Q$20*'TUSD BE'!$Q$61</f>
        <v>-0.9531040471094272</v>
      </c>
      <c r="R20" s="61">
        <f>'TUSD BE'!$R$20*'TUSD BE'!$R$61</f>
        <v>-0.1436055413628014</v>
      </c>
      <c r="S20" s="61">
        <f>'TUSD BE'!$R$20*'TUSD BE'!$S$61</f>
        <v>0</v>
      </c>
      <c r="T20" s="61">
        <f ca="1">SUM($L$20:$S$20)</f>
        <v>-1.2065445513687634</v>
      </c>
      <c r="U20" s="61">
        <f>'TUSD BE'!$U$20*'TUSD BE'!$U$61</f>
        <v>0</v>
      </c>
      <c r="V20" s="61">
        <f>'TUSD BE'!$V$20*'TUSD BE'!$V$61</f>
        <v>0</v>
      </c>
      <c r="W20" s="61">
        <f>'TUSD BE'!$W$20*'TUSD BE'!$W$61</f>
        <v>0</v>
      </c>
      <c r="X20" s="61">
        <f>'TUSD BE'!$X$20*'TUSD BE'!$X$61</f>
        <v>0</v>
      </c>
      <c r="Y20" s="61">
        <f>'TUSD BE'!$Y$20*'TUSD BE'!$Y$61</f>
        <v>-79.548551755654898</v>
      </c>
      <c r="Z20" s="61">
        <f>'TUSD BE'!$Z$20*'TUSD BE'!$Z$61</f>
        <v>0</v>
      </c>
      <c r="AA20" s="61">
        <f>'TUSD BE'!$AA$20*'TUSD BE'!$AA$61</f>
        <v>0</v>
      </c>
      <c r="AB20" s="61">
        <f>SUM($U$20:$AA$20)</f>
        <v>-79.548551755654898</v>
      </c>
      <c r="AC20" s="61">
        <f>'TUSD BE'!$AC$20*'TUSD BE'!$AC$61</f>
        <v>59.432147695601529</v>
      </c>
      <c r="AD20" s="61">
        <f>SUM($AC$20:$AC$20)</f>
        <v>59.432147695601529</v>
      </c>
      <c r="AE20" s="61">
        <f ca="1">$AO$20*$AO$58</f>
        <v>-152.12744438035693</v>
      </c>
      <c r="AF20" s="61">
        <f ca="1">$AP$20*$AP$58</f>
        <v>0</v>
      </c>
      <c r="AG20" s="61">
        <f ca="1">SUM($AE$20:$AF$20)</f>
        <v>-152.12744438035693</v>
      </c>
      <c r="AH20" s="61">
        <f>'TUSD BE'!$AH$20*'TUSD BE'!$AH$61</f>
        <v>-3.3489723642270079</v>
      </c>
      <c r="AI20" s="61">
        <f>'TUSD BE'!$AI$20*'TUSD BE'!$AI$61</f>
        <v>-3.4250661326898323E-2</v>
      </c>
      <c r="AJ20" s="61">
        <f ca="1">'TUSD BE'!$AJ$20*'TUSD BE'!$AJ$61</f>
        <v>-0.12589516163518874</v>
      </c>
      <c r="AK20" s="61">
        <f ca="1">'TUSD BE'!$AK$20*'TUSD BE'!$AK$61</f>
        <v>4.4334202298329732E-2</v>
      </c>
      <c r="AL20" s="61">
        <f ca="1">SUM($AH$20:$AK$20)</f>
        <v>-3.4647839848907651</v>
      </c>
      <c r="AM20" s="61">
        <f ca="1">SUMIF($L$4:$AL$4,"SUBTOTAL",$L$20:$AL$20)</f>
        <v>-176.91517697666984</v>
      </c>
      <c r="AO20" s="68">
        <f ca="1">+'TUSD BE'!$T$20+'TUSD BE'!$AB$20+'TUSD BE'!$AD$20+'TUSD BE'!$AL$20</f>
        <v>1241.8759454361273</v>
      </c>
      <c r="AP20" s="68">
        <f ca="1">+'TUSD BE'!$T$20+'TUSD BE'!$AB$20+'TUSD BE'!$AD$20+'TUSD BE'!$AL$20</f>
        <v>1241.8759454361273</v>
      </c>
    </row>
    <row r="21" spans="1:42" ht="11.25" customHeight="1" x14ac:dyDescent="0.3">
      <c r="A21" s="132"/>
      <c r="B21" s="132"/>
      <c r="C21" s="132"/>
      <c r="D21" s="132"/>
      <c r="E21" s="132"/>
      <c r="F21" s="132"/>
      <c r="G21" s="66" t="s">
        <v>93</v>
      </c>
      <c r="H21" s="66" t="s">
        <v>76</v>
      </c>
      <c r="I21" s="66">
        <f>'MERCADO TUSD'!$U$18</f>
        <v>0.46</v>
      </c>
      <c r="J21" s="15"/>
      <c r="L21" s="61">
        <f>'TUSD BE'!$L$21*'TUSD BE'!$L$61</f>
        <v>-9.0258987104960456E-2</v>
      </c>
      <c r="M21" s="61">
        <f>'TUSD BE'!$M$21*'TUSD BE'!$M$61</f>
        <v>-1.9491624390069004E-2</v>
      </c>
      <c r="N21" s="61">
        <f ca="1">'TUSD BE'!$N$21*'TUSD BE'!$N$61</f>
        <v>-5.27359968196843E-5</v>
      </c>
      <c r="O21" s="61">
        <f>'TUSD BE'!$O$21*'TUSD BE'!$O$61</f>
        <v>0</v>
      </c>
      <c r="P21" s="61">
        <f>'TUSD BE'!$P$21*'TUSD BE'!$P$61</f>
        <v>0</v>
      </c>
      <c r="Q21" s="61">
        <f>'TUSD BE'!$Q$21*'TUSD BE'!$Q$61</f>
        <v>-0.9531040471094272</v>
      </c>
      <c r="R21" s="61">
        <f>'TUSD BE'!$R$21*'TUSD BE'!$R$61</f>
        <v>-0.1436055413628014</v>
      </c>
      <c r="S21" s="61">
        <f>'TUSD BE'!$R$21*'TUSD BE'!$S$61</f>
        <v>0</v>
      </c>
      <c r="T21" s="61">
        <f ca="1">SUM($L$21:$S$21)</f>
        <v>-1.2065129359640778</v>
      </c>
      <c r="U21" s="61">
        <f>'TUSD BE'!$U$21*'TUSD BE'!$U$61</f>
        <v>0</v>
      </c>
      <c r="V21" s="61">
        <f>'TUSD BE'!$V$21*'TUSD BE'!$V$61</f>
        <v>0</v>
      </c>
      <c r="W21" s="61">
        <f>'TUSD BE'!$W$21*'TUSD BE'!$W$61</f>
        <v>0</v>
      </c>
      <c r="X21" s="61">
        <f>'TUSD BE'!$X$21*'TUSD BE'!$X$61</f>
        <v>0</v>
      </c>
      <c r="Y21" s="61">
        <f>'TUSD BE'!$Y$21*'TUSD BE'!$Y$61</f>
        <v>-47.729138587601923</v>
      </c>
      <c r="Z21" s="61">
        <f>'TUSD BE'!$Z$21*'TUSD BE'!$Z$61</f>
        <v>0</v>
      </c>
      <c r="AA21" s="61">
        <f>'TUSD BE'!$AA$21*'TUSD BE'!$AA$61</f>
        <v>0</v>
      </c>
      <c r="AB21" s="61">
        <f>SUM($U$21:$AA$21)</f>
        <v>-47.729138587601923</v>
      </c>
      <c r="AC21" s="61">
        <f>'TUSD BE'!$AC$21*'TUSD BE'!$AC$61</f>
        <v>35.659286594428792</v>
      </c>
      <c r="AD21" s="61">
        <f>SUM($AC$21:$AC$21)</f>
        <v>35.659286594428792</v>
      </c>
      <c r="AE21" s="61">
        <f ca="1">$AO$21*$AO$58</f>
        <v>-97.778517708601072</v>
      </c>
      <c r="AF21" s="61">
        <f ca="1">$AP$21*$AP$58</f>
        <v>0</v>
      </c>
      <c r="AG21" s="61">
        <f ca="1">SUM($AE$21:$AF$21)</f>
        <v>-97.778517708601072</v>
      </c>
      <c r="AH21" s="61">
        <f>'TUSD BE'!$AH$21*'TUSD BE'!$AH$61</f>
        <v>-3.3489723642270079</v>
      </c>
      <c r="AI21" s="61">
        <f>'TUSD BE'!$AI$21*'TUSD BE'!$AI$61</f>
        <v>-3.4250661326898323E-2</v>
      </c>
      <c r="AJ21" s="61">
        <f ca="1">'TUSD BE'!$AJ$21*'TUSD BE'!$AJ$61</f>
        <v>-0.12589516163518874</v>
      </c>
      <c r="AK21" s="61">
        <f ca="1">'TUSD BE'!$AK$21*'TUSD BE'!$AK$61</f>
        <v>4.4334202298329732E-2</v>
      </c>
      <c r="AL21" s="61">
        <f ca="1">SUM($AH$21:$AK$21)</f>
        <v>-3.4647839848907651</v>
      </c>
      <c r="AM21" s="61">
        <f ca="1">SUMIF($L$4:$AL$4,"SUBTOTAL",$L$21:$AL$21)</f>
        <v>-114.51966662262905</v>
      </c>
      <c r="AO21" s="68">
        <f ca="1">+'TUSD BE'!$T$21+'TUSD BE'!$AB$21+'TUSD BE'!$AD$21+'TUSD BE'!$AL$21</f>
        <v>798.20435830835038</v>
      </c>
      <c r="AP21" s="68">
        <f ca="1">+'TUSD BE'!$T$21+'TUSD BE'!$AB$21+'TUSD BE'!$AD$21+'TUSD BE'!$AL$21</f>
        <v>798.20435830835038</v>
      </c>
    </row>
    <row r="22" spans="1:42" ht="11.25" customHeight="1" x14ac:dyDescent="0.3">
      <c r="A22" s="132"/>
      <c r="B22" s="132"/>
      <c r="C22" s="132"/>
      <c r="D22" s="132"/>
      <c r="E22" s="132"/>
      <c r="F22" s="132"/>
      <c r="G22" s="66" t="s">
        <v>78</v>
      </c>
      <c r="H22" s="66" t="s">
        <v>76</v>
      </c>
      <c r="I22" s="66">
        <f>'MERCADO TUSD'!$U$19</f>
        <v>5.6850000000000005</v>
      </c>
      <c r="J22" s="15"/>
      <c r="L22" s="61">
        <f>'TUSD BE'!$L$22*'TUSD BE'!$L$61</f>
        <v>-9.0258987104960456E-2</v>
      </c>
      <c r="M22" s="61">
        <f>'TUSD BE'!$M$22*'TUSD BE'!$M$61</f>
        <v>-1.9491624390069004E-2</v>
      </c>
      <c r="N22" s="61">
        <f ca="1">'TUSD BE'!$N$22*'TUSD BE'!$N$61</f>
        <v>-2.1120584307812985E-5</v>
      </c>
      <c r="O22" s="61">
        <f>'TUSD BE'!$O$22*'TUSD BE'!$O$61</f>
        <v>0</v>
      </c>
      <c r="P22" s="61">
        <f>'TUSD BE'!$P$22*'TUSD BE'!$P$61</f>
        <v>0</v>
      </c>
      <c r="Q22" s="61">
        <f>'TUSD BE'!$Q$22*'TUSD BE'!$Q$61</f>
        <v>-0.9531040471094272</v>
      </c>
      <c r="R22" s="61">
        <f>'TUSD BE'!$R$22*'TUSD BE'!$R$61</f>
        <v>-0.1436055413628014</v>
      </c>
      <c r="S22" s="61">
        <f>'TUSD BE'!$R$22*'TUSD BE'!$S$61</f>
        <v>0</v>
      </c>
      <c r="T22" s="61">
        <f ca="1">SUM($L$22:$S$22)</f>
        <v>-1.2064813205515659</v>
      </c>
      <c r="U22" s="61">
        <f>'TUSD BE'!$U$22*'TUSD BE'!$U$61</f>
        <v>0</v>
      </c>
      <c r="V22" s="61">
        <f>'TUSD BE'!$V$22*'TUSD BE'!$V$61</f>
        <v>0</v>
      </c>
      <c r="W22" s="61">
        <f>'TUSD BE'!$W$22*'TUSD BE'!$W$61</f>
        <v>0</v>
      </c>
      <c r="X22" s="61">
        <f>'TUSD BE'!$X$22*'TUSD BE'!$X$61</f>
        <v>0</v>
      </c>
      <c r="Y22" s="61">
        <f>'TUSD BE'!$Y$22*'TUSD BE'!$Y$61</f>
        <v>-15.909706584026488</v>
      </c>
      <c r="Z22" s="61">
        <f>'TUSD BE'!$Z$22*'TUSD BE'!$Z$61</f>
        <v>0</v>
      </c>
      <c r="AA22" s="61">
        <f>'TUSD BE'!$AA$22*'TUSD BE'!$AA$61</f>
        <v>0</v>
      </c>
      <c r="AB22" s="61">
        <f>SUM($U$22:$AA$22)</f>
        <v>-15.909706584026488</v>
      </c>
      <c r="AC22" s="61">
        <f>'TUSD BE'!$AC$22*'TUSD BE'!$AC$61</f>
        <v>11.886425493256057</v>
      </c>
      <c r="AD22" s="61">
        <f>SUM($AC$22:$AC$22)</f>
        <v>11.886425493256057</v>
      </c>
      <c r="AE22" s="61">
        <f ca="1">$AO$22*$AO$58</f>
        <v>-43.429577530226247</v>
      </c>
      <c r="AF22" s="61">
        <f ca="1">$AP$22*$AP$58</f>
        <v>0</v>
      </c>
      <c r="AG22" s="61">
        <f ca="1">SUM($AE$22:$AF$22)</f>
        <v>-43.429577530226247</v>
      </c>
      <c r="AH22" s="61">
        <f>'TUSD BE'!$AH$22*'TUSD BE'!$AH$61</f>
        <v>-3.3489723642270079</v>
      </c>
      <c r="AI22" s="61">
        <f>'TUSD BE'!$AI$22*'TUSD BE'!$AI$61</f>
        <v>-3.4250661326898323E-2</v>
      </c>
      <c r="AJ22" s="61">
        <f ca="1">'TUSD BE'!$AJ$22*'TUSD BE'!$AJ$61</f>
        <v>-0.12589516163518874</v>
      </c>
      <c r="AK22" s="61">
        <f ca="1">'TUSD BE'!$AK$22*'TUSD BE'!$AK$61</f>
        <v>4.4334202298329732E-2</v>
      </c>
      <c r="AL22" s="61">
        <f ca="1">SUM($AH$22:$AK$22)</f>
        <v>-3.4647839848907651</v>
      </c>
      <c r="AM22" s="61">
        <f ca="1">SUMIF($L$4:$AL$4,"SUBTOTAL",$L$22:$AL$22)</f>
        <v>-52.124123926439012</v>
      </c>
      <c r="AO22" s="68">
        <f ca="1">+'TUSD BE'!$T$22+'TUSD BE'!$AB$22+'TUSD BE'!$AD$22+'TUSD BE'!$AL$22</f>
        <v>354.53266092074983</v>
      </c>
      <c r="AP22" s="68">
        <f ca="1">+'TUSD BE'!$T$22+'TUSD BE'!$AB$22+'TUSD BE'!$AD$22+'TUSD BE'!$AL$22</f>
        <v>354.53266092074983</v>
      </c>
    </row>
    <row r="23" spans="1:42" ht="11.25" customHeight="1" x14ac:dyDescent="0.3">
      <c r="A23" s="132"/>
      <c r="B23" s="132" t="s">
        <v>23</v>
      </c>
      <c r="C23" s="132" t="s">
        <v>24</v>
      </c>
      <c r="D23" s="65" t="s">
        <v>24</v>
      </c>
      <c r="E23" s="65" t="s">
        <v>25</v>
      </c>
      <c r="F23" s="65" t="s">
        <v>25</v>
      </c>
      <c r="G23" s="66" t="s">
        <v>81</v>
      </c>
      <c r="H23" s="66" t="s">
        <v>76</v>
      </c>
      <c r="I23" s="66">
        <f>'MERCADO TUSD'!$U$20</f>
        <v>20470.671000000002</v>
      </c>
      <c r="J23" s="15"/>
      <c r="L23" s="61">
        <f>'TUSD BE'!$L$23*'TUSD BE'!$L$61</f>
        <v>-9.0258987104960456E-2</v>
      </c>
      <c r="M23" s="61">
        <f>'TUSD BE'!$M$23*'TUSD BE'!$M$61</f>
        <v>-1.9491624390069004E-2</v>
      </c>
      <c r="N23" s="61">
        <f ca="1">'TUSD BE'!$N$23*'TUSD BE'!$N$61</f>
        <v>-3.1659055145103425E-5</v>
      </c>
      <c r="O23" s="61">
        <f>'TUSD BE'!$O$23*'TUSD BE'!$O$61</f>
        <v>0</v>
      </c>
      <c r="P23" s="61">
        <f>'TUSD BE'!$P$23*'TUSD BE'!$P$61</f>
        <v>0</v>
      </c>
      <c r="Q23" s="61">
        <f>'TUSD BE'!$Q$23*'TUSD BE'!$Q$61</f>
        <v>-0.9531040471094272</v>
      </c>
      <c r="R23" s="61">
        <f>'TUSD BE'!$R$23*'TUSD BE'!$R$61</f>
        <v>-0.1436055413628014</v>
      </c>
      <c r="S23" s="61">
        <f>'TUSD BE'!$R$23*'TUSD BE'!$S$61</f>
        <v>0</v>
      </c>
      <c r="T23" s="61">
        <f ca="1">SUM($L$23:$S$23)</f>
        <v>-1.2064918590224032</v>
      </c>
      <c r="U23" s="61">
        <f>'TUSD BE'!$U$23*'TUSD BE'!$U$61</f>
        <v>0</v>
      </c>
      <c r="V23" s="61">
        <f>'TUSD BE'!$V$23*'TUSD BE'!$V$61</f>
        <v>0</v>
      </c>
      <c r="W23" s="61">
        <f>'TUSD BE'!$W$23*'TUSD BE'!$W$61</f>
        <v>0</v>
      </c>
      <c r="X23" s="61">
        <f>'TUSD BE'!$X$23*'TUSD BE'!$X$61</f>
        <v>0</v>
      </c>
      <c r="Y23" s="61">
        <f>'TUSD BE'!$Y$23*'TUSD BE'!$Y$61</f>
        <v>-26.516177640044145</v>
      </c>
      <c r="Z23" s="61">
        <f>'TUSD BE'!$Z$23*'TUSD BE'!$Z$61</f>
        <v>0</v>
      </c>
      <c r="AA23" s="61">
        <f>'TUSD BE'!$AA$23*'TUSD BE'!$AA$61</f>
        <v>0</v>
      </c>
      <c r="AB23" s="61">
        <f>SUM($U$23:$AA$23)</f>
        <v>-26.516177640044145</v>
      </c>
      <c r="AC23" s="61">
        <f>'TUSD BE'!$AC$23*'TUSD BE'!$AC$61</f>
        <v>19.810715898533843</v>
      </c>
      <c r="AD23" s="61">
        <f>SUM($AC$23:$AC$23)</f>
        <v>19.810715898533843</v>
      </c>
      <c r="AE23" s="61">
        <f ca="1">$AO$23*$AO$58</f>
        <v>-61.545890892764554</v>
      </c>
      <c r="AF23" s="61">
        <f ca="1">$AP$23*$AP$58</f>
        <v>0</v>
      </c>
      <c r="AG23" s="61">
        <f ca="1">SUM($AE$23:$AF$23)</f>
        <v>-61.545890892764554</v>
      </c>
      <c r="AH23" s="61">
        <f>'TUSD BE'!$AH$23*'TUSD BE'!$AH$61</f>
        <v>-3.3489723642270079</v>
      </c>
      <c r="AI23" s="61">
        <f>'TUSD BE'!$AI$23*'TUSD BE'!$AI$61</f>
        <v>-3.4250661326898323E-2</v>
      </c>
      <c r="AJ23" s="61">
        <f ca="1">'TUSD BE'!$AJ$23*'TUSD BE'!$AJ$61</f>
        <v>-0.12589516163518874</v>
      </c>
      <c r="AK23" s="61">
        <f ca="1">'TUSD BE'!$AK$23*'TUSD BE'!$AK$61</f>
        <v>4.4334202298329732E-2</v>
      </c>
      <c r="AL23" s="61">
        <f ca="1">SUM($AH$23:$AK$23)</f>
        <v>-3.4647839848907651</v>
      </c>
      <c r="AM23" s="61">
        <f ca="1">SUMIF($L$4:$AL$4,"SUBTOTAL",$L$23:$AL$23)</f>
        <v>-72.922628478188017</v>
      </c>
      <c r="AO23" s="68">
        <f ca="1">+'TUSD BE'!$T$23+'TUSD BE'!$AB$23+'TUSD BE'!$AD$23+'TUSD BE'!$AL$23</f>
        <v>502.42322646964709</v>
      </c>
      <c r="AP23" s="68">
        <f ca="1">+'TUSD BE'!$T$23+'TUSD BE'!$AB$23+'TUSD BE'!$AD$23+'TUSD BE'!$AL$23</f>
        <v>502.42322646964709</v>
      </c>
    </row>
    <row r="24" spans="1:42" ht="11.25" customHeight="1" x14ac:dyDescent="0.3">
      <c r="A24" s="132"/>
      <c r="B24" s="132"/>
      <c r="C24" s="132"/>
      <c r="D24" s="65" t="s">
        <v>29</v>
      </c>
      <c r="E24" s="65" t="s">
        <v>25</v>
      </c>
      <c r="F24" s="65" t="s">
        <v>25</v>
      </c>
      <c r="G24" s="66" t="s">
        <v>81</v>
      </c>
      <c r="H24" s="66" t="s">
        <v>76</v>
      </c>
      <c r="I24" s="66">
        <f>'MERCADO TUSD'!$U$21</f>
        <v>425.12200000000001</v>
      </c>
      <c r="J24" s="15"/>
      <c r="L24" s="61">
        <f>'TUSD BE'!$L$24*'TUSD BE'!$L$61</f>
        <v>0</v>
      </c>
      <c r="M24" s="61">
        <f>'TUSD BE'!$M$24*'TUSD BE'!$M$61</f>
        <v>-1.9491624390069004E-2</v>
      </c>
      <c r="N24" s="61">
        <f ca="1">'TUSD BE'!$N$24*'TUSD BE'!$N$61</f>
        <v>-3.158079274207458E-5</v>
      </c>
      <c r="O24" s="61">
        <f>'TUSD BE'!$O$24*'TUSD BE'!$O$61</f>
        <v>0</v>
      </c>
      <c r="P24" s="61">
        <f>'TUSD BE'!$P$24*'TUSD BE'!$P$61</f>
        <v>0</v>
      </c>
      <c r="Q24" s="61">
        <f>'TUSD BE'!$Q$24*'TUSD BE'!$Q$61</f>
        <v>0</v>
      </c>
      <c r="R24" s="61">
        <f>'TUSD BE'!$R$24*'TUSD BE'!$R$61</f>
        <v>0</v>
      </c>
      <c r="S24" s="61">
        <f>'TUSD BE'!$R$24*'TUSD BE'!$S$61</f>
        <v>0</v>
      </c>
      <c r="T24" s="61">
        <f ca="1">SUM($L$24:$S$24)</f>
        <v>-1.9523205182811077E-2</v>
      </c>
      <c r="U24" s="61">
        <f>'TUSD BE'!$U$24*'TUSD BE'!$U$61</f>
        <v>0</v>
      </c>
      <c r="V24" s="61">
        <f>'TUSD BE'!$V$24*'TUSD BE'!$V$61</f>
        <v>0</v>
      </c>
      <c r="W24" s="61">
        <f>'TUSD BE'!$W$24*'TUSD BE'!$W$61</f>
        <v>0</v>
      </c>
      <c r="X24" s="61">
        <f>'TUSD BE'!$X$24*'TUSD BE'!$X$61</f>
        <v>0</v>
      </c>
      <c r="Y24" s="61">
        <f>'TUSD BE'!$Y$24*'TUSD BE'!$Y$61</f>
        <v>-26.516177640044145</v>
      </c>
      <c r="Z24" s="61">
        <f>'TUSD BE'!$Z$24*'TUSD BE'!$Z$61</f>
        <v>0</v>
      </c>
      <c r="AA24" s="61">
        <f>'TUSD BE'!$AA$24*'TUSD BE'!$AA$61</f>
        <v>0</v>
      </c>
      <c r="AB24" s="61">
        <f>SUM($U$24:$AA$24)</f>
        <v>-26.516177640044145</v>
      </c>
      <c r="AC24" s="61">
        <f>'TUSD BE'!$AC$24*'TUSD BE'!$AC$61</f>
        <v>19.810715898533843</v>
      </c>
      <c r="AD24" s="61">
        <f>SUM($AC$24:$AC$24)</f>
        <v>19.810715898533843</v>
      </c>
      <c r="AE24" s="61">
        <f ca="1">$AO$24*$AO$58</f>
        <v>-48.411567279592681</v>
      </c>
      <c r="AF24" s="61">
        <f ca="1">$AP$24*$AP$58</f>
        <v>0</v>
      </c>
      <c r="AG24" s="61">
        <f ca="1">SUM($AE$24:$AF$24)</f>
        <v>-48.411567279592681</v>
      </c>
      <c r="AH24" s="61">
        <f>'TUSD BE'!$AH$24*'TUSD BE'!$AH$61</f>
        <v>-3.3489723642270079</v>
      </c>
      <c r="AI24" s="61">
        <f>'TUSD BE'!$AI$24*'TUSD BE'!$AI$61</f>
        <v>-3.4250661326898323E-2</v>
      </c>
      <c r="AJ24" s="61">
        <f ca="1">'TUSD BE'!$AJ$24*'TUSD BE'!$AJ$61</f>
        <v>-0.12589516163518874</v>
      </c>
      <c r="AK24" s="61">
        <f ca="1">'TUSD BE'!$AK$24*'TUSD BE'!$AK$61</f>
        <v>4.4334202298329732E-2</v>
      </c>
      <c r="AL24" s="61">
        <f ca="1">SUM($AH$24:$AK$24)</f>
        <v>-3.4647839848907651</v>
      </c>
      <c r="AM24" s="61">
        <f ca="1">SUMIF($L$4:$AL$4,"SUBTOTAL",$L$24:$AL$24)</f>
        <v>-58.601336211176559</v>
      </c>
      <c r="AO24" s="68">
        <f ca="1">+'TUSD BE'!$T$24+'TUSD BE'!$AB$24+'TUSD BE'!$AD$24+'TUSD BE'!$AL$24</f>
        <v>395.2025956281156</v>
      </c>
      <c r="AP24" s="68">
        <f ca="1">+'TUSD BE'!$T$24+'TUSD BE'!$AB$24+'TUSD BE'!$AD$24+'TUSD BE'!$AL$24</f>
        <v>395.2025956281156</v>
      </c>
    </row>
    <row r="25" spans="1:42" ht="11.25" customHeight="1" x14ac:dyDescent="0.3">
      <c r="A25" s="132"/>
      <c r="B25" s="132"/>
      <c r="C25" s="132"/>
      <c r="D25" s="65" t="s">
        <v>30</v>
      </c>
      <c r="E25" s="65" t="s">
        <v>25</v>
      </c>
      <c r="F25" s="65" t="s">
        <v>25</v>
      </c>
      <c r="G25" s="66" t="s">
        <v>81</v>
      </c>
      <c r="H25" s="66" t="s">
        <v>76</v>
      </c>
      <c r="I25" s="66">
        <f>'MERCADO TUSD'!$U$22</f>
        <v>876.85199999999986</v>
      </c>
      <c r="J25" s="15"/>
      <c r="L25" s="61">
        <f>'TUSD BE'!$L$25*'TUSD BE'!$L$61</f>
        <v>0</v>
      </c>
      <c r="M25" s="61">
        <f>'TUSD BE'!$M$25*'TUSD BE'!$M$61</f>
        <v>-1.9491624390069004E-2</v>
      </c>
      <c r="N25" s="61">
        <f ca="1">'TUSD BE'!$N$25*'TUSD BE'!$N$61</f>
        <v>-3.158079274207458E-5</v>
      </c>
      <c r="O25" s="61">
        <f>'TUSD BE'!$O$25*'TUSD BE'!$O$61</f>
        <v>0</v>
      </c>
      <c r="P25" s="61">
        <f>'TUSD BE'!$P$25*'TUSD BE'!$P$61</f>
        <v>0</v>
      </c>
      <c r="Q25" s="61">
        <f>'TUSD BE'!$Q$25*'TUSD BE'!$Q$61</f>
        <v>0</v>
      </c>
      <c r="R25" s="61">
        <f>'TUSD BE'!$R$25*'TUSD BE'!$R$61</f>
        <v>0</v>
      </c>
      <c r="S25" s="61">
        <f>'TUSD BE'!$R$25*'TUSD BE'!$S$61</f>
        <v>0</v>
      </c>
      <c r="T25" s="61">
        <f ca="1">SUM($L$25:$S$25)</f>
        <v>-1.9523205182811077E-2</v>
      </c>
      <c r="U25" s="61">
        <f>'TUSD BE'!$U$25*'TUSD BE'!$U$61</f>
        <v>0</v>
      </c>
      <c r="V25" s="61">
        <f>'TUSD BE'!$V$25*'TUSD BE'!$V$61</f>
        <v>0</v>
      </c>
      <c r="W25" s="61">
        <f>'TUSD BE'!$W$25*'TUSD BE'!$W$61</f>
        <v>0</v>
      </c>
      <c r="X25" s="61">
        <f>'TUSD BE'!$X$25*'TUSD BE'!$X$61</f>
        <v>0</v>
      </c>
      <c r="Y25" s="61">
        <f>'TUSD BE'!$Y$25*'TUSD BE'!$Y$61</f>
        <v>-26.516177640044145</v>
      </c>
      <c r="Z25" s="61">
        <f>'TUSD BE'!$Z$25*'TUSD BE'!$Z$61</f>
        <v>0</v>
      </c>
      <c r="AA25" s="61">
        <f>'TUSD BE'!$AA$25*'TUSD BE'!$AA$61</f>
        <v>0</v>
      </c>
      <c r="AB25" s="61">
        <f>SUM($U$25:$AA$25)</f>
        <v>-26.516177640044145</v>
      </c>
      <c r="AC25" s="61">
        <f>'TUSD BE'!$AC$25*'TUSD BE'!$AC$61</f>
        <v>19.810715898533843</v>
      </c>
      <c r="AD25" s="61">
        <f>SUM($AC$25:$AC$25)</f>
        <v>19.810715898533843</v>
      </c>
      <c r="AE25" s="61">
        <f ca="1">$AO$25*$AO$58</f>
        <v>-48.411567279592681</v>
      </c>
      <c r="AF25" s="61">
        <f ca="1">$AP$25*$AP$58</f>
        <v>0</v>
      </c>
      <c r="AG25" s="61">
        <f ca="1">SUM($AE$25:$AF$25)</f>
        <v>-48.411567279592681</v>
      </c>
      <c r="AH25" s="61">
        <f>'TUSD BE'!$AH$25*'TUSD BE'!$AH$61</f>
        <v>-3.3489723642270079</v>
      </c>
      <c r="AI25" s="61">
        <f>'TUSD BE'!$AI$25*'TUSD BE'!$AI$61</f>
        <v>-3.4250661326898323E-2</v>
      </c>
      <c r="AJ25" s="61">
        <f ca="1">'TUSD BE'!$AJ$25*'TUSD BE'!$AJ$61</f>
        <v>-0.12589516163518874</v>
      </c>
      <c r="AK25" s="61">
        <f ca="1">'TUSD BE'!$AK$25*'TUSD BE'!$AK$61</f>
        <v>4.4334202298329732E-2</v>
      </c>
      <c r="AL25" s="61">
        <f ca="1">SUM($AH$25:$AK$25)</f>
        <v>-3.4647839848907651</v>
      </c>
      <c r="AM25" s="61">
        <f ca="1">SUMIF($L$4:$AL$4,"SUBTOTAL",$L$25:$AL$25)</f>
        <v>-58.601336211176559</v>
      </c>
      <c r="AO25" s="68">
        <f ca="1">+'TUSD BE'!$T$25+'TUSD BE'!$AB$25+'TUSD BE'!$AD$25+'TUSD BE'!$AL$25</f>
        <v>395.2025956281156</v>
      </c>
      <c r="AP25" s="68">
        <f ca="1">+'TUSD BE'!$T$25+'TUSD BE'!$AB$25+'TUSD BE'!$AD$25+'TUSD BE'!$AL$25</f>
        <v>395.2025956281156</v>
      </c>
    </row>
    <row r="26" spans="1:42" ht="11.25" customHeight="1" x14ac:dyDescent="0.3">
      <c r="A26" s="132"/>
      <c r="B26" s="132"/>
      <c r="C26" s="132"/>
      <c r="D26" s="65" t="s">
        <v>31</v>
      </c>
      <c r="E26" s="65" t="s">
        <v>25</v>
      </c>
      <c r="F26" s="65" t="s">
        <v>25</v>
      </c>
      <c r="G26" s="66" t="s">
        <v>81</v>
      </c>
      <c r="H26" s="66" t="s">
        <v>76</v>
      </c>
      <c r="I26" s="66">
        <f>'MERCADO TUSD'!$U$23</f>
        <v>876.00100000000009</v>
      </c>
      <c r="J26" s="15"/>
      <c r="L26" s="61">
        <f>'TUSD BE'!$L$26*'TUSD BE'!$L$61</f>
        <v>0</v>
      </c>
      <c r="M26" s="61">
        <f>'TUSD BE'!$M$26*'TUSD BE'!$M$61</f>
        <v>-1.9491624390069004E-2</v>
      </c>
      <c r="N26" s="61">
        <f ca="1">'TUSD BE'!$N$26*'TUSD BE'!$N$61</f>
        <v>-3.158079274207458E-5</v>
      </c>
      <c r="O26" s="61">
        <f>'TUSD BE'!$O$26*'TUSD BE'!$O$61</f>
        <v>0</v>
      </c>
      <c r="P26" s="61">
        <f>'TUSD BE'!$P$26*'TUSD BE'!$P$61</f>
        <v>0</v>
      </c>
      <c r="Q26" s="61">
        <f>'TUSD BE'!$Q$26*'TUSD BE'!$Q$61</f>
        <v>0</v>
      </c>
      <c r="R26" s="61">
        <f>'TUSD BE'!$R$26*'TUSD BE'!$R$61</f>
        <v>0</v>
      </c>
      <c r="S26" s="61">
        <f>'TUSD BE'!$R$26*'TUSD BE'!$S$61</f>
        <v>0</v>
      </c>
      <c r="T26" s="61">
        <f ca="1">SUM($L$26:$S$26)</f>
        <v>-1.9523205182811077E-2</v>
      </c>
      <c r="U26" s="61">
        <f>'TUSD BE'!$U$26*'TUSD BE'!$U$61</f>
        <v>0</v>
      </c>
      <c r="V26" s="61">
        <f>'TUSD BE'!$V$26*'TUSD BE'!$V$61</f>
        <v>0</v>
      </c>
      <c r="W26" s="61">
        <f>'TUSD BE'!$W$26*'TUSD BE'!$W$61</f>
        <v>0</v>
      </c>
      <c r="X26" s="61">
        <f>'TUSD BE'!$X$26*'TUSD BE'!$X$61</f>
        <v>0</v>
      </c>
      <c r="Y26" s="61">
        <f>'TUSD BE'!$Y$26*'TUSD BE'!$Y$61</f>
        <v>-26.516177640044145</v>
      </c>
      <c r="Z26" s="61">
        <f>'TUSD BE'!$Z$26*'TUSD BE'!$Z$61</f>
        <v>0</v>
      </c>
      <c r="AA26" s="61">
        <f>'TUSD BE'!$AA$26*'TUSD BE'!$AA$61</f>
        <v>0</v>
      </c>
      <c r="AB26" s="61">
        <f>SUM($U$26:$AA$26)</f>
        <v>-26.516177640044145</v>
      </c>
      <c r="AC26" s="61">
        <f>'TUSD BE'!$AC$26*'TUSD BE'!$AC$61</f>
        <v>19.810715898533843</v>
      </c>
      <c r="AD26" s="61">
        <f>SUM($AC$26:$AC$26)</f>
        <v>19.810715898533843</v>
      </c>
      <c r="AE26" s="61">
        <f ca="1">$AO$26*$AO$58</f>
        <v>-48.411567279592681</v>
      </c>
      <c r="AF26" s="61">
        <f ca="1">$AP$26*$AP$58</f>
        <v>0</v>
      </c>
      <c r="AG26" s="61">
        <f ca="1">SUM($AE$26:$AF$26)</f>
        <v>-48.411567279592681</v>
      </c>
      <c r="AH26" s="61">
        <f>'TUSD BE'!$AH$26*'TUSD BE'!$AH$61</f>
        <v>-3.3489723642270079</v>
      </c>
      <c r="AI26" s="61">
        <f>'TUSD BE'!$AI$26*'TUSD BE'!$AI$61</f>
        <v>-3.4250661326898323E-2</v>
      </c>
      <c r="AJ26" s="61">
        <f ca="1">'TUSD BE'!$AJ$26*'TUSD BE'!$AJ$61</f>
        <v>-0.12589516163518874</v>
      </c>
      <c r="AK26" s="61">
        <f ca="1">'TUSD BE'!$AK$26*'TUSD BE'!$AK$61</f>
        <v>4.4334202298329732E-2</v>
      </c>
      <c r="AL26" s="61">
        <f ca="1">SUM($AH$26:$AK$26)</f>
        <v>-3.4647839848907651</v>
      </c>
      <c r="AM26" s="61">
        <f ca="1">SUMIF($L$4:$AL$4,"SUBTOTAL",$L$26:$AL$26)</f>
        <v>-58.601336211176559</v>
      </c>
      <c r="AO26" s="68">
        <f ca="1">+'TUSD BE'!$T$26+'TUSD BE'!$AB$26+'TUSD BE'!$AD$26+'TUSD BE'!$AL$26</f>
        <v>395.2025956281156</v>
      </c>
      <c r="AP26" s="68">
        <f ca="1">+'TUSD BE'!$T$26+'TUSD BE'!$AB$26+'TUSD BE'!$AD$26+'TUSD BE'!$AL$26</f>
        <v>395.2025956281156</v>
      </c>
    </row>
    <row r="27" spans="1:42" ht="11.25" customHeight="1" x14ac:dyDescent="0.3">
      <c r="A27" s="132"/>
      <c r="B27" s="132"/>
      <c r="C27" s="132"/>
      <c r="D27" s="65" t="s">
        <v>32</v>
      </c>
      <c r="E27" s="65" t="s">
        <v>25</v>
      </c>
      <c r="F27" s="65" t="s">
        <v>25</v>
      </c>
      <c r="G27" s="66" t="s">
        <v>81</v>
      </c>
      <c r="H27" s="66" t="s">
        <v>76</v>
      </c>
      <c r="I27" s="66">
        <f>'MERCADO TUSD'!$U$24</f>
        <v>331.42999999999995</v>
      </c>
      <c r="J27" s="15"/>
      <c r="L27" s="61">
        <f>'TUSD BE'!$L$27*'TUSD BE'!$L$61</f>
        <v>0</v>
      </c>
      <c r="M27" s="61">
        <f>'TUSD BE'!$M$27*'TUSD BE'!$M$61</f>
        <v>-1.9491624390069004E-2</v>
      </c>
      <c r="N27" s="61">
        <f ca="1">'TUSD BE'!$N$27*'TUSD BE'!$N$61</f>
        <v>-3.158079274207458E-5</v>
      </c>
      <c r="O27" s="61">
        <f>'TUSD BE'!$O$27*'TUSD BE'!$O$61</f>
        <v>0</v>
      </c>
      <c r="P27" s="61">
        <f>'TUSD BE'!$P$27*'TUSD BE'!$P$61</f>
        <v>0</v>
      </c>
      <c r="Q27" s="61">
        <f>'TUSD BE'!$Q$27*'TUSD BE'!$Q$61</f>
        <v>0</v>
      </c>
      <c r="R27" s="61">
        <f>'TUSD BE'!$R$27*'TUSD BE'!$R$61</f>
        <v>0</v>
      </c>
      <c r="S27" s="61">
        <f>'TUSD BE'!$R$27*'TUSD BE'!$S$61</f>
        <v>0</v>
      </c>
      <c r="T27" s="61">
        <f ca="1">SUM($L$27:$S$27)</f>
        <v>-1.9523205182811077E-2</v>
      </c>
      <c r="U27" s="61">
        <f>'TUSD BE'!$U$27*'TUSD BE'!$U$61</f>
        <v>0</v>
      </c>
      <c r="V27" s="61">
        <f>'TUSD BE'!$V$27*'TUSD BE'!$V$61</f>
        <v>0</v>
      </c>
      <c r="W27" s="61">
        <f>'TUSD BE'!$W$27*'TUSD BE'!$W$61</f>
        <v>0</v>
      </c>
      <c r="X27" s="61">
        <f>'TUSD BE'!$X$27*'TUSD BE'!$X$61</f>
        <v>0</v>
      </c>
      <c r="Y27" s="61">
        <f>'TUSD BE'!$Y$27*'TUSD BE'!$Y$61</f>
        <v>-26.516177640044145</v>
      </c>
      <c r="Z27" s="61">
        <f>'TUSD BE'!$Z$27*'TUSD BE'!$Z$61</f>
        <v>0</v>
      </c>
      <c r="AA27" s="61">
        <f>'TUSD BE'!$AA$27*'TUSD BE'!$AA$61</f>
        <v>0</v>
      </c>
      <c r="AB27" s="61">
        <f>SUM($U$27:$AA$27)</f>
        <v>-26.516177640044145</v>
      </c>
      <c r="AC27" s="61">
        <f>'TUSD BE'!$AC$27*'TUSD BE'!$AC$61</f>
        <v>19.810715898533843</v>
      </c>
      <c r="AD27" s="61">
        <f>SUM($AC$27:$AC$27)</f>
        <v>19.810715898533843</v>
      </c>
      <c r="AE27" s="61">
        <f ca="1">$AO$27*$AO$58</f>
        <v>-48.411567279592681</v>
      </c>
      <c r="AF27" s="61">
        <f ca="1">$AP$27*$AP$58</f>
        <v>0</v>
      </c>
      <c r="AG27" s="61">
        <f ca="1">SUM($AE$27:$AF$27)</f>
        <v>-48.411567279592681</v>
      </c>
      <c r="AH27" s="61">
        <f>'TUSD BE'!$AH$27*'TUSD BE'!$AH$61</f>
        <v>-3.3489723642270079</v>
      </c>
      <c r="AI27" s="61">
        <f>'TUSD BE'!$AI$27*'TUSD BE'!$AI$61</f>
        <v>-3.4250661326898323E-2</v>
      </c>
      <c r="AJ27" s="61">
        <f ca="1">'TUSD BE'!$AJ$27*'TUSD BE'!$AJ$61</f>
        <v>-0.12589516163518874</v>
      </c>
      <c r="AK27" s="61">
        <f ca="1">'TUSD BE'!$AK$27*'TUSD BE'!$AK$61</f>
        <v>4.4334202298329732E-2</v>
      </c>
      <c r="AL27" s="61">
        <f ca="1">SUM($AH$27:$AK$27)</f>
        <v>-3.4647839848907651</v>
      </c>
      <c r="AM27" s="61">
        <f ca="1">SUMIF($L$4:$AL$4,"SUBTOTAL",$L$27:$AL$27)</f>
        <v>-58.601336211176559</v>
      </c>
      <c r="AO27" s="68">
        <f ca="1">+'TUSD BE'!$T$27+'TUSD BE'!$AB$27+'TUSD BE'!$AD$27+'TUSD BE'!$AL$27</f>
        <v>395.2025956281156</v>
      </c>
      <c r="AP27" s="68">
        <f ca="1">+'TUSD BE'!$T$27+'TUSD BE'!$AB$27+'TUSD BE'!$AD$27+'TUSD BE'!$AL$27</f>
        <v>395.2025956281156</v>
      </c>
    </row>
    <row r="28" spans="1:42" ht="11.25" customHeight="1" x14ac:dyDescent="0.3">
      <c r="A28" s="132"/>
      <c r="B28" s="132" t="s">
        <v>95</v>
      </c>
      <c r="C28" s="132" t="s">
        <v>24</v>
      </c>
      <c r="D28" s="65" t="s">
        <v>24</v>
      </c>
      <c r="E28" s="65" t="s">
        <v>25</v>
      </c>
      <c r="F28" s="65" t="s">
        <v>25</v>
      </c>
      <c r="G28" s="66" t="s">
        <v>81</v>
      </c>
      <c r="H28" s="66" t="s">
        <v>76</v>
      </c>
      <c r="I28" s="66">
        <f>'MERCADO TUSD'!$U$25</f>
        <v>0</v>
      </c>
      <c r="J28" s="15"/>
      <c r="L28" s="61">
        <f>'TUSD BE'!$L$28*'TUSD BE'!$L$61</f>
        <v>-9.0258987104960456E-2</v>
      </c>
      <c r="M28" s="61">
        <f>'TUSD BE'!$M$28*'TUSD BE'!$M$61</f>
        <v>-1.9491624390069004E-2</v>
      </c>
      <c r="N28" s="61">
        <f ca="1">'TUSD BE'!$N$28*'TUSD BE'!$N$61</f>
        <v>-3.1659055145103425E-5</v>
      </c>
      <c r="O28" s="61">
        <f>'TUSD BE'!$O$28*'TUSD BE'!$O$61</f>
        <v>0</v>
      </c>
      <c r="P28" s="61">
        <f>'TUSD BE'!$P$28*'TUSD BE'!$P$61</f>
        <v>0</v>
      </c>
      <c r="Q28" s="61">
        <f>'TUSD BE'!$Q$28*'TUSD BE'!$Q$61</f>
        <v>-0.9531040471094272</v>
      </c>
      <c r="R28" s="61">
        <f>'TUSD BE'!$R$28*'TUSD BE'!$R$61</f>
        <v>-0.1436055413628014</v>
      </c>
      <c r="S28" s="61">
        <f>'TUSD BE'!$R$28*'TUSD BE'!$S$61</f>
        <v>0</v>
      </c>
      <c r="T28" s="61">
        <f ca="1">SUM($L$28:$S$28)</f>
        <v>-1.2064918590224032</v>
      </c>
      <c r="U28" s="61">
        <f>'TUSD BE'!$U$28*'TUSD BE'!$U$61</f>
        <v>0</v>
      </c>
      <c r="V28" s="61">
        <f>'TUSD BE'!$V$28*'TUSD BE'!$V$61</f>
        <v>0</v>
      </c>
      <c r="W28" s="61">
        <f>'TUSD BE'!$W$28*'TUSD BE'!$W$61</f>
        <v>0</v>
      </c>
      <c r="X28" s="61">
        <f>'TUSD BE'!$X$28*'TUSD BE'!$X$61</f>
        <v>0</v>
      </c>
      <c r="Y28" s="61">
        <f>'TUSD BE'!$Y$28*'TUSD BE'!$Y$61</f>
        <v>-26.516177640044145</v>
      </c>
      <c r="Z28" s="61">
        <f>'TUSD BE'!$Z$28*'TUSD BE'!$Z$61</f>
        <v>0</v>
      </c>
      <c r="AA28" s="61">
        <f>'TUSD BE'!$AA$28*'TUSD BE'!$AA$61</f>
        <v>0</v>
      </c>
      <c r="AB28" s="61">
        <f>SUM($U$28:$AA$28)</f>
        <v>-26.516177640044145</v>
      </c>
      <c r="AC28" s="61">
        <f>'TUSD BE'!$AC$28*'TUSD BE'!$AC$61</f>
        <v>19.810715898533843</v>
      </c>
      <c r="AD28" s="61">
        <f>SUM($AC$28:$AC$28)</f>
        <v>19.810715898533843</v>
      </c>
      <c r="AE28" s="61">
        <f ca="1">$AO$28*$AO$58</f>
        <v>-61.545890892764554</v>
      </c>
      <c r="AF28" s="61">
        <f ca="1">$AP$28*$AP$58</f>
        <v>0</v>
      </c>
      <c r="AG28" s="61">
        <f ca="1">SUM($AE$28:$AF$28)</f>
        <v>-61.545890892764554</v>
      </c>
      <c r="AH28" s="61">
        <f>'TUSD BE'!$AH$28*'TUSD BE'!$AH$61</f>
        <v>-3.3489723642270079</v>
      </c>
      <c r="AI28" s="61">
        <f>'TUSD BE'!$AI$28*'TUSD BE'!$AI$61</f>
        <v>-3.4250661326898323E-2</v>
      </c>
      <c r="AJ28" s="61">
        <f ca="1">'TUSD BE'!$AJ$28*'TUSD BE'!$AJ$61</f>
        <v>-0.12589516163518874</v>
      </c>
      <c r="AK28" s="61">
        <f ca="1">'TUSD BE'!$AK$28*'TUSD BE'!$AK$61</f>
        <v>4.4334202298329732E-2</v>
      </c>
      <c r="AL28" s="61">
        <f ca="1">SUM($AH$28:$AK$28)</f>
        <v>-3.4647839848907651</v>
      </c>
      <c r="AM28" s="61">
        <f ca="1">SUMIF($L$4:$AL$4,"SUBTOTAL",$L$28:$AL$28)</f>
        <v>-72.922628478188017</v>
      </c>
      <c r="AO28" s="68">
        <f ca="1">+'TUSD BE'!$T$28+'TUSD BE'!$AB$28+'TUSD BE'!$AD$28+'TUSD BE'!$AL$28</f>
        <v>502.42322646964709</v>
      </c>
      <c r="AP28" s="68">
        <f ca="1">+'TUSD BE'!$T$28+'TUSD BE'!$AB$28+'TUSD BE'!$AD$28+'TUSD BE'!$AL$28</f>
        <v>502.42322646964709</v>
      </c>
    </row>
    <row r="29" spans="1:42" ht="11.25" customHeight="1" x14ac:dyDescent="0.3">
      <c r="A29" s="132"/>
      <c r="B29" s="132"/>
      <c r="C29" s="132"/>
      <c r="D29" s="65" t="s">
        <v>29</v>
      </c>
      <c r="E29" s="65" t="s">
        <v>25</v>
      </c>
      <c r="F29" s="65" t="s">
        <v>25</v>
      </c>
      <c r="G29" s="66" t="s">
        <v>81</v>
      </c>
      <c r="H29" s="66" t="s">
        <v>76</v>
      </c>
      <c r="I29" s="66">
        <f>'MERCADO TUSD'!$U$26</f>
        <v>0</v>
      </c>
      <c r="J29" s="15"/>
      <c r="L29" s="61">
        <f>'TUSD BE'!$L$29*'TUSD BE'!$L$61</f>
        <v>0</v>
      </c>
      <c r="M29" s="61">
        <f>'TUSD BE'!$M$29*'TUSD BE'!$M$61</f>
        <v>-1.9491624390069004E-2</v>
      </c>
      <c r="N29" s="61">
        <f ca="1">'TUSD BE'!$N$29*'TUSD BE'!$N$61</f>
        <v>-3.158079274207458E-5</v>
      </c>
      <c r="O29" s="61">
        <f>'TUSD BE'!$O$29*'TUSD BE'!$O$61</f>
        <v>0</v>
      </c>
      <c r="P29" s="61">
        <f>'TUSD BE'!$P$29*'TUSD BE'!$P$61</f>
        <v>0</v>
      </c>
      <c r="Q29" s="61">
        <f>'TUSD BE'!$Q$29*'TUSD BE'!$Q$61</f>
        <v>0</v>
      </c>
      <c r="R29" s="61">
        <f>'TUSD BE'!$R$29*'TUSD BE'!$R$61</f>
        <v>0</v>
      </c>
      <c r="S29" s="61">
        <f>'TUSD BE'!$R$29*'TUSD BE'!$S$61</f>
        <v>0</v>
      </c>
      <c r="T29" s="61">
        <f ca="1">SUM($L$29:$S$29)</f>
        <v>-1.9523205182811077E-2</v>
      </c>
      <c r="U29" s="61">
        <f>'TUSD BE'!$U$29*'TUSD BE'!$U$61</f>
        <v>0</v>
      </c>
      <c r="V29" s="61">
        <f>'TUSD BE'!$V$29*'TUSD BE'!$V$61</f>
        <v>0</v>
      </c>
      <c r="W29" s="61">
        <f>'TUSD BE'!$W$29*'TUSD BE'!$W$61</f>
        <v>0</v>
      </c>
      <c r="X29" s="61">
        <f>'TUSD BE'!$X$29*'TUSD BE'!$X$61</f>
        <v>0</v>
      </c>
      <c r="Y29" s="61">
        <f>'TUSD BE'!$Y$29*'TUSD BE'!$Y$61</f>
        <v>-26.516177640044145</v>
      </c>
      <c r="Z29" s="61">
        <f>'TUSD BE'!$Z$29*'TUSD BE'!$Z$61</f>
        <v>0</v>
      </c>
      <c r="AA29" s="61">
        <f>'TUSD BE'!$AA$29*'TUSD BE'!$AA$61</f>
        <v>0</v>
      </c>
      <c r="AB29" s="61">
        <f>SUM($U$29:$AA$29)</f>
        <v>-26.516177640044145</v>
      </c>
      <c r="AC29" s="61">
        <f>'TUSD BE'!$AC$29*'TUSD BE'!$AC$61</f>
        <v>19.810715898533843</v>
      </c>
      <c r="AD29" s="61">
        <f>SUM($AC$29:$AC$29)</f>
        <v>19.810715898533843</v>
      </c>
      <c r="AE29" s="61">
        <f ca="1">$AO$29*$AO$58</f>
        <v>-48.411567279592681</v>
      </c>
      <c r="AF29" s="61">
        <f ca="1">$AP$29*$AP$58</f>
        <v>0</v>
      </c>
      <c r="AG29" s="61">
        <f ca="1">SUM($AE$29:$AF$29)</f>
        <v>-48.411567279592681</v>
      </c>
      <c r="AH29" s="61">
        <f>'TUSD BE'!$AH$29*'TUSD BE'!$AH$61</f>
        <v>-3.3489723642270079</v>
      </c>
      <c r="AI29" s="61">
        <f>'TUSD BE'!$AI$29*'TUSD BE'!$AI$61</f>
        <v>-3.4250661326898323E-2</v>
      </c>
      <c r="AJ29" s="61">
        <f ca="1">'TUSD BE'!$AJ$29*'TUSD BE'!$AJ$61</f>
        <v>-0.12589516163518874</v>
      </c>
      <c r="AK29" s="61">
        <f ca="1">'TUSD BE'!$AK$29*'TUSD BE'!$AK$61</f>
        <v>4.4334202298329732E-2</v>
      </c>
      <c r="AL29" s="61">
        <f ca="1">SUM($AH$29:$AK$29)</f>
        <v>-3.4647839848907651</v>
      </c>
      <c r="AM29" s="61">
        <f ca="1">SUMIF($L$4:$AL$4,"SUBTOTAL",$L$29:$AL$29)</f>
        <v>-58.601336211176559</v>
      </c>
      <c r="AO29" s="68">
        <f ca="1">+'TUSD BE'!$T$29+'TUSD BE'!$AB$29+'TUSD BE'!$AD$29+'TUSD BE'!$AL$29</f>
        <v>395.2025956281156</v>
      </c>
      <c r="AP29" s="68">
        <f ca="1">+'TUSD BE'!$T$29+'TUSD BE'!$AB$29+'TUSD BE'!$AD$29+'TUSD BE'!$AL$29</f>
        <v>395.2025956281156</v>
      </c>
    </row>
    <row r="30" spans="1:42" ht="11.25" customHeight="1" x14ac:dyDescent="0.3">
      <c r="A30" s="132"/>
      <c r="B30" s="132"/>
      <c r="C30" s="132"/>
      <c r="D30" s="65" t="s">
        <v>30</v>
      </c>
      <c r="E30" s="65" t="s">
        <v>25</v>
      </c>
      <c r="F30" s="65" t="s">
        <v>25</v>
      </c>
      <c r="G30" s="66" t="s">
        <v>81</v>
      </c>
      <c r="H30" s="66" t="s">
        <v>76</v>
      </c>
      <c r="I30" s="66">
        <f>'MERCADO TUSD'!$U$27</f>
        <v>0</v>
      </c>
      <c r="J30" s="15"/>
      <c r="L30" s="61">
        <f>'TUSD BE'!$L$30*'TUSD BE'!$L$61</f>
        <v>0</v>
      </c>
      <c r="M30" s="61">
        <f>'TUSD BE'!$M$30*'TUSD BE'!$M$61</f>
        <v>-1.9491624390069004E-2</v>
      </c>
      <c r="N30" s="61">
        <f ca="1">'TUSD BE'!$N$30*'TUSD BE'!$N$61</f>
        <v>-3.158079274207458E-5</v>
      </c>
      <c r="O30" s="61">
        <f>'TUSD BE'!$O$30*'TUSD BE'!$O$61</f>
        <v>0</v>
      </c>
      <c r="P30" s="61">
        <f>'TUSD BE'!$P$30*'TUSD BE'!$P$61</f>
        <v>0</v>
      </c>
      <c r="Q30" s="61">
        <f>'TUSD BE'!$Q$30*'TUSD BE'!$Q$61</f>
        <v>0</v>
      </c>
      <c r="R30" s="61">
        <f>'TUSD BE'!$R$30*'TUSD BE'!$R$61</f>
        <v>0</v>
      </c>
      <c r="S30" s="61">
        <f>'TUSD BE'!$R$30*'TUSD BE'!$S$61</f>
        <v>0</v>
      </c>
      <c r="T30" s="61">
        <f ca="1">SUM($L$30:$S$30)</f>
        <v>-1.9523205182811077E-2</v>
      </c>
      <c r="U30" s="61">
        <f>'TUSD BE'!$U$30*'TUSD BE'!$U$61</f>
        <v>0</v>
      </c>
      <c r="V30" s="61">
        <f>'TUSD BE'!$V$30*'TUSD BE'!$V$61</f>
        <v>0</v>
      </c>
      <c r="W30" s="61">
        <f>'TUSD BE'!$W$30*'TUSD BE'!$W$61</f>
        <v>0</v>
      </c>
      <c r="X30" s="61">
        <f>'TUSD BE'!$X$30*'TUSD BE'!$X$61</f>
        <v>0</v>
      </c>
      <c r="Y30" s="61">
        <f>'TUSD BE'!$Y$30*'TUSD BE'!$Y$61</f>
        <v>-26.516177640044145</v>
      </c>
      <c r="Z30" s="61">
        <f>'TUSD BE'!$Z$30*'TUSD BE'!$Z$61</f>
        <v>0</v>
      </c>
      <c r="AA30" s="61">
        <f>'TUSD BE'!$AA$30*'TUSD BE'!$AA$61</f>
        <v>0</v>
      </c>
      <c r="AB30" s="61">
        <f>SUM($U$30:$AA$30)</f>
        <v>-26.516177640044145</v>
      </c>
      <c r="AC30" s="61">
        <f>'TUSD BE'!$AC$30*'TUSD BE'!$AC$61</f>
        <v>19.810715898533843</v>
      </c>
      <c r="AD30" s="61">
        <f>SUM($AC$30:$AC$30)</f>
        <v>19.810715898533843</v>
      </c>
      <c r="AE30" s="61">
        <f ca="1">$AO$30*$AO$58</f>
        <v>-48.411567279592681</v>
      </c>
      <c r="AF30" s="61">
        <f ca="1">$AP$30*$AP$58</f>
        <v>0</v>
      </c>
      <c r="AG30" s="61">
        <f ca="1">SUM($AE$30:$AF$30)</f>
        <v>-48.411567279592681</v>
      </c>
      <c r="AH30" s="61">
        <f>'TUSD BE'!$AH$30*'TUSD BE'!$AH$61</f>
        <v>-3.3489723642270079</v>
      </c>
      <c r="AI30" s="61">
        <f>'TUSD BE'!$AI$30*'TUSD BE'!$AI$61</f>
        <v>-3.4250661326898323E-2</v>
      </c>
      <c r="AJ30" s="61">
        <f ca="1">'TUSD BE'!$AJ$30*'TUSD BE'!$AJ$61</f>
        <v>-0.12589516163518874</v>
      </c>
      <c r="AK30" s="61">
        <f ca="1">'TUSD BE'!$AK$30*'TUSD BE'!$AK$61</f>
        <v>4.4334202298329732E-2</v>
      </c>
      <c r="AL30" s="61">
        <f ca="1">SUM($AH$30:$AK$30)</f>
        <v>-3.4647839848907651</v>
      </c>
      <c r="AM30" s="61">
        <f ca="1">SUMIF($L$4:$AL$4,"SUBTOTAL",$L$30:$AL$30)</f>
        <v>-58.601336211176559</v>
      </c>
      <c r="AO30" s="68">
        <f ca="1">+'TUSD BE'!$T$30+'TUSD BE'!$AB$30+'TUSD BE'!$AD$30+'TUSD BE'!$AL$30</f>
        <v>395.2025956281156</v>
      </c>
      <c r="AP30" s="68">
        <f ca="1">+'TUSD BE'!$T$30+'TUSD BE'!$AB$30+'TUSD BE'!$AD$30+'TUSD BE'!$AL$30</f>
        <v>395.2025956281156</v>
      </c>
    </row>
    <row r="31" spans="1:42" ht="11.25" customHeight="1" x14ac:dyDescent="0.3">
      <c r="A31" s="132"/>
      <c r="B31" s="132"/>
      <c r="C31" s="132"/>
      <c r="D31" s="65" t="s">
        <v>31</v>
      </c>
      <c r="E31" s="65" t="s">
        <v>25</v>
      </c>
      <c r="F31" s="65" t="s">
        <v>25</v>
      </c>
      <c r="G31" s="66" t="s">
        <v>81</v>
      </c>
      <c r="H31" s="66" t="s">
        <v>76</v>
      </c>
      <c r="I31" s="66">
        <f>'MERCADO TUSD'!$U$28</f>
        <v>0</v>
      </c>
      <c r="J31" s="15"/>
      <c r="L31" s="61">
        <f>'TUSD BE'!$L$31*'TUSD BE'!$L$61</f>
        <v>0</v>
      </c>
      <c r="M31" s="61">
        <f>'TUSD BE'!$M$31*'TUSD BE'!$M$61</f>
        <v>-1.9491624390069004E-2</v>
      </c>
      <c r="N31" s="61">
        <f ca="1">'TUSD BE'!$N$31*'TUSD BE'!$N$61</f>
        <v>-3.158079274207458E-5</v>
      </c>
      <c r="O31" s="61">
        <f>'TUSD BE'!$O$31*'TUSD BE'!$O$61</f>
        <v>0</v>
      </c>
      <c r="P31" s="61">
        <f>'TUSD BE'!$P$31*'TUSD BE'!$P$61</f>
        <v>0</v>
      </c>
      <c r="Q31" s="61">
        <f>'TUSD BE'!$Q$31*'TUSD BE'!$Q$61</f>
        <v>0</v>
      </c>
      <c r="R31" s="61">
        <f>'TUSD BE'!$R$31*'TUSD BE'!$R$61</f>
        <v>0</v>
      </c>
      <c r="S31" s="61">
        <f>'TUSD BE'!$R$31*'TUSD BE'!$S$61</f>
        <v>0</v>
      </c>
      <c r="T31" s="61">
        <f ca="1">SUM($L$31:$S$31)</f>
        <v>-1.9523205182811077E-2</v>
      </c>
      <c r="U31" s="61">
        <f>'TUSD BE'!$U$31*'TUSD BE'!$U$61</f>
        <v>0</v>
      </c>
      <c r="V31" s="61">
        <f>'TUSD BE'!$V$31*'TUSD BE'!$V$61</f>
        <v>0</v>
      </c>
      <c r="W31" s="61">
        <f>'TUSD BE'!$W$31*'TUSD BE'!$W$61</f>
        <v>0</v>
      </c>
      <c r="X31" s="61">
        <f>'TUSD BE'!$X$31*'TUSD BE'!$X$61</f>
        <v>0</v>
      </c>
      <c r="Y31" s="61">
        <f>'TUSD BE'!$Y$31*'TUSD BE'!$Y$61</f>
        <v>-26.516177640044145</v>
      </c>
      <c r="Z31" s="61">
        <f>'TUSD BE'!$Z$31*'TUSD BE'!$Z$61</f>
        <v>0</v>
      </c>
      <c r="AA31" s="61">
        <f>'TUSD BE'!$AA$31*'TUSD BE'!$AA$61</f>
        <v>0</v>
      </c>
      <c r="AB31" s="61">
        <f>SUM($U$31:$AA$31)</f>
        <v>-26.516177640044145</v>
      </c>
      <c r="AC31" s="61">
        <f>'TUSD BE'!$AC$31*'TUSD BE'!$AC$61</f>
        <v>19.810715898533843</v>
      </c>
      <c r="AD31" s="61">
        <f>SUM($AC$31:$AC$31)</f>
        <v>19.810715898533843</v>
      </c>
      <c r="AE31" s="61">
        <f ca="1">$AO$31*$AO$58</f>
        <v>-48.411567279592681</v>
      </c>
      <c r="AF31" s="61">
        <f ca="1">$AP$31*$AP$58</f>
        <v>0</v>
      </c>
      <c r="AG31" s="61">
        <f ca="1">SUM($AE$31:$AF$31)</f>
        <v>-48.411567279592681</v>
      </c>
      <c r="AH31" s="61">
        <f>'TUSD BE'!$AH$31*'TUSD BE'!$AH$61</f>
        <v>-3.3489723642270079</v>
      </c>
      <c r="AI31" s="61">
        <f>'TUSD BE'!$AI$31*'TUSD BE'!$AI$61</f>
        <v>-3.4250661326898323E-2</v>
      </c>
      <c r="AJ31" s="61">
        <f ca="1">'TUSD BE'!$AJ$31*'TUSD BE'!$AJ$61</f>
        <v>-0.12589516163518874</v>
      </c>
      <c r="AK31" s="61">
        <f ca="1">'TUSD BE'!$AK$31*'TUSD BE'!$AK$61</f>
        <v>4.4334202298329732E-2</v>
      </c>
      <c r="AL31" s="61">
        <f ca="1">SUM($AH$31:$AK$31)</f>
        <v>-3.4647839848907651</v>
      </c>
      <c r="AM31" s="61">
        <f ca="1">SUMIF($L$4:$AL$4,"SUBTOTAL",$L$31:$AL$31)</f>
        <v>-58.601336211176559</v>
      </c>
      <c r="AO31" s="68">
        <f ca="1">+'TUSD BE'!$T$31+'TUSD BE'!$AB$31+'TUSD BE'!$AD$31+'TUSD BE'!$AL$31</f>
        <v>395.2025956281156</v>
      </c>
      <c r="AP31" s="68">
        <f ca="1">+'TUSD BE'!$T$31+'TUSD BE'!$AB$31+'TUSD BE'!$AD$31+'TUSD BE'!$AL$31</f>
        <v>395.2025956281156</v>
      </c>
    </row>
    <row r="32" spans="1:42" ht="11.25" customHeight="1" x14ac:dyDescent="0.3">
      <c r="A32" s="132"/>
      <c r="B32" s="132"/>
      <c r="C32" s="132"/>
      <c r="D32" s="65" t="s">
        <v>32</v>
      </c>
      <c r="E32" s="65" t="s">
        <v>25</v>
      </c>
      <c r="F32" s="65" t="s">
        <v>25</v>
      </c>
      <c r="G32" s="66" t="s">
        <v>81</v>
      </c>
      <c r="H32" s="66" t="s">
        <v>76</v>
      </c>
      <c r="I32" s="66">
        <f>'MERCADO TUSD'!$U$29</f>
        <v>0</v>
      </c>
      <c r="J32" s="15"/>
      <c r="L32" s="61">
        <f>'TUSD BE'!$L$32*'TUSD BE'!$L$61</f>
        <v>0</v>
      </c>
      <c r="M32" s="61">
        <f>'TUSD BE'!$M$32*'TUSD BE'!$M$61</f>
        <v>-1.9491624390069004E-2</v>
      </c>
      <c r="N32" s="61">
        <f ca="1">'TUSD BE'!$N$32*'TUSD BE'!$N$61</f>
        <v>-3.158079274207458E-5</v>
      </c>
      <c r="O32" s="61">
        <f>'TUSD BE'!$O$32*'TUSD BE'!$O$61</f>
        <v>0</v>
      </c>
      <c r="P32" s="61">
        <f>'TUSD BE'!$P$32*'TUSD BE'!$P$61</f>
        <v>0</v>
      </c>
      <c r="Q32" s="61">
        <f>'TUSD BE'!$Q$32*'TUSD BE'!$Q$61</f>
        <v>0</v>
      </c>
      <c r="R32" s="61">
        <f>'TUSD BE'!$R$32*'TUSD BE'!$R$61</f>
        <v>0</v>
      </c>
      <c r="S32" s="61">
        <f>'TUSD BE'!$R$32*'TUSD BE'!$S$61</f>
        <v>0</v>
      </c>
      <c r="T32" s="61">
        <f ca="1">SUM($L$32:$S$32)</f>
        <v>-1.9523205182811077E-2</v>
      </c>
      <c r="U32" s="61">
        <f>'TUSD BE'!$U$32*'TUSD BE'!$U$61</f>
        <v>0</v>
      </c>
      <c r="V32" s="61">
        <f>'TUSD BE'!$V$32*'TUSD BE'!$V$61</f>
        <v>0</v>
      </c>
      <c r="W32" s="61">
        <f>'TUSD BE'!$W$32*'TUSD BE'!$W$61</f>
        <v>0</v>
      </c>
      <c r="X32" s="61">
        <f>'TUSD BE'!$X$32*'TUSD BE'!$X$61</f>
        <v>0</v>
      </c>
      <c r="Y32" s="61">
        <f>'TUSD BE'!$Y$32*'TUSD BE'!$Y$61</f>
        <v>-26.516177640044145</v>
      </c>
      <c r="Z32" s="61">
        <f>'TUSD BE'!$Z$32*'TUSD BE'!$Z$61</f>
        <v>0</v>
      </c>
      <c r="AA32" s="61">
        <f>'TUSD BE'!$AA$32*'TUSD BE'!$AA$61</f>
        <v>0</v>
      </c>
      <c r="AB32" s="61">
        <f>SUM($U$32:$AA$32)</f>
        <v>-26.516177640044145</v>
      </c>
      <c r="AC32" s="61">
        <f>'TUSD BE'!$AC$32*'TUSD BE'!$AC$61</f>
        <v>19.810715898533843</v>
      </c>
      <c r="AD32" s="61">
        <f>SUM($AC$32:$AC$32)</f>
        <v>19.810715898533843</v>
      </c>
      <c r="AE32" s="61">
        <f ca="1">$AO$32*$AO$58</f>
        <v>-48.411567279592681</v>
      </c>
      <c r="AF32" s="61">
        <f ca="1">$AP$32*$AP$58</f>
        <v>0</v>
      </c>
      <c r="AG32" s="61">
        <f ca="1">SUM($AE$32:$AF$32)</f>
        <v>-48.411567279592681</v>
      </c>
      <c r="AH32" s="61">
        <f>'TUSD BE'!$AH$32*'TUSD BE'!$AH$61</f>
        <v>-3.3489723642270079</v>
      </c>
      <c r="AI32" s="61">
        <f>'TUSD BE'!$AI$32*'TUSD BE'!$AI$61</f>
        <v>-3.4250661326898323E-2</v>
      </c>
      <c r="AJ32" s="61">
        <f ca="1">'TUSD BE'!$AJ$32*'TUSD BE'!$AJ$61</f>
        <v>-0.12589516163518874</v>
      </c>
      <c r="AK32" s="61">
        <f ca="1">'TUSD BE'!$AK$32*'TUSD BE'!$AK$61</f>
        <v>4.4334202298329732E-2</v>
      </c>
      <c r="AL32" s="61">
        <f ca="1">SUM($AH$32:$AK$32)</f>
        <v>-3.4647839848907651</v>
      </c>
      <c r="AM32" s="61">
        <f ca="1">SUMIF($L$4:$AL$4,"SUBTOTAL",$L$32:$AL$32)</f>
        <v>-58.601336211176559</v>
      </c>
      <c r="AO32" s="68">
        <f ca="1">+'TUSD BE'!$T$32+'TUSD BE'!$AB$32+'TUSD BE'!$AD$32+'TUSD BE'!$AL$32</f>
        <v>395.2025956281156</v>
      </c>
      <c r="AP32" s="68">
        <f ca="1">+'TUSD BE'!$T$32+'TUSD BE'!$AB$32+'TUSD BE'!$AD$32+'TUSD BE'!$AL$32</f>
        <v>395.2025956281156</v>
      </c>
    </row>
    <row r="33" spans="1:42" ht="11.25" customHeight="1" x14ac:dyDescent="0.3">
      <c r="A33" s="132" t="s">
        <v>42</v>
      </c>
      <c r="B33" s="132" t="s">
        <v>33</v>
      </c>
      <c r="C33" s="132" t="s">
        <v>43</v>
      </c>
      <c r="D33" s="132" t="s">
        <v>25</v>
      </c>
      <c r="E33" s="132" t="s">
        <v>25</v>
      </c>
      <c r="F33" s="132" t="s">
        <v>25</v>
      </c>
      <c r="G33" s="66" t="s">
        <v>77</v>
      </c>
      <c r="H33" s="66" t="s">
        <v>76</v>
      </c>
      <c r="I33" s="66">
        <f>'MERCADO TUSD'!$U$30</f>
        <v>0.36099999999999999</v>
      </c>
      <c r="J33" s="15"/>
      <c r="L33" s="61">
        <f>'TUSD BE'!$L$33*'TUSD BE'!$L$61</f>
        <v>-9.0258987104960456E-2</v>
      </c>
      <c r="M33" s="61">
        <f>'TUSD BE'!$M$33*'TUSD BE'!$M$61</f>
        <v>-1.9491624390069004E-2</v>
      </c>
      <c r="N33" s="61">
        <f ca="1">'TUSD BE'!$N$33*'TUSD BE'!$N$61</f>
        <v>-8.8303324156179056E-5</v>
      </c>
      <c r="O33" s="61">
        <f>'TUSD BE'!$O$33*'TUSD BE'!$O$61</f>
        <v>0</v>
      </c>
      <c r="P33" s="61">
        <f>'TUSD BE'!$P$33*'TUSD BE'!$P$61</f>
        <v>0</v>
      </c>
      <c r="Q33" s="61">
        <f>'TUSD BE'!$Q$33*'TUSD BE'!$Q$61</f>
        <v>-0.9531040471094272</v>
      </c>
      <c r="R33" s="61">
        <f>'TUSD BE'!$R$33*'TUSD BE'!$R$61</f>
        <v>-0.1436055413628014</v>
      </c>
      <c r="S33" s="61">
        <f>'TUSD BE'!$R$33*'TUSD BE'!$S$61</f>
        <v>0</v>
      </c>
      <c r="T33" s="61">
        <f ca="1">SUM($L$33:$S$33)</f>
        <v>-1.2065485032914143</v>
      </c>
      <c r="U33" s="61">
        <f>'TUSD BE'!$U$33*'TUSD BE'!$U$61</f>
        <v>0</v>
      </c>
      <c r="V33" s="61">
        <f>'TUSD BE'!$V$33*'TUSD BE'!$V$61</f>
        <v>0</v>
      </c>
      <c r="W33" s="61">
        <f>'TUSD BE'!$W$33*'TUSD BE'!$W$61</f>
        <v>0</v>
      </c>
      <c r="X33" s="61">
        <f>'TUSD BE'!$X$33*'TUSD BE'!$X$61</f>
        <v>0</v>
      </c>
      <c r="Y33" s="61">
        <f>'TUSD BE'!$Y$33*'TUSD BE'!$Y$61</f>
        <v>-83.525973692780909</v>
      </c>
      <c r="Z33" s="61">
        <f>'TUSD BE'!$Z$33*'TUSD BE'!$Z$61</f>
        <v>0</v>
      </c>
      <c r="AA33" s="61">
        <f>'TUSD BE'!$AA$33*'TUSD BE'!$AA$61</f>
        <v>0</v>
      </c>
      <c r="AB33" s="61">
        <f>SUM($U$33:$AA$33)</f>
        <v>-83.525973692780909</v>
      </c>
      <c r="AC33" s="61">
        <f>'TUSD BE'!$AC$33*'TUSD BE'!$AC$61</f>
        <v>62.403754068915539</v>
      </c>
      <c r="AD33" s="61">
        <f>SUM($AC$33:$AC$33)</f>
        <v>62.403754068915539</v>
      </c>
      <c r="AE33" s="61">
        <f ca="1">$AO$33*$AO$58</f>
        <v>-158.92105516068926</v>
      </c>
      <c r="AF33" s="61">
        <f ca="1">$AP$33*$AP$58</f>
        <v>0</v>
      </c>
      <c r="AG33" s="61">
        <f ca="1">SUM($AE$33:$AF$33)</f>
        <v>-158.92105516068926</v>
      </c>
      <c r="AH33" s="61">
        <f>'TUSD BE'!$AH$33*'TUSD BE'!$AH$61</f>
        <v>-3.3489723642270079</v>
      </c>
      <c r="AI33" s="61">
        <f>'TUSD BE'!$AI$33*'TUSD BE'!$AI$61</f>
        <v>-3.4250661326898323E-2</v>
      </c>
      <c r="AJ33" s="61">
        <f ca="1">'TUSD BE'!$AJ$33*'TUSD BE'!$AJ$61</f>
        <v>-0.12589516163518874</v>
      </c>
      <c r="AK33" s="61">
        <f ca="1">'TUSD BE'!$AK$33*'TUSD BE'!$AK$61</f>
        <v>4.4334202298329732E-2</v>
      </c>
      <c r="AL33" s="61">
        <f ca="1">SUM($AH$33:$AK$33)</f>
        <v>-3.4647839848907651</v>
      </c>
      <c r="AM33" s="61">
        <f ca="1">SUMIF($L$4:$AL$4,"SUBTOTAL",$L$33:$AL$33)</f>
        <v>-184.71460727273683</v>
      </c>
      <c r="AO33" s="68">
        <f ca="1">+'TUSD BE'!$T$33+'TUSD BE'!$AB$33+'TUSD BE'!$AD$33+'TUSD BE'!$AL$33</f>
        <v>1297.3348525722788</v>
      </c>
      <c r="AP33" s="68">
        <f ca="1">+'TUSD BE'!$T$33+'TUSD BE'!$AB$33+'TUSD BE'!$AD$33+'TUSD BE'!$AL$33</f>
        <v>1297.3348525722788</v>
      </c>
    </row>
    <row r="34" spans="1:42" ht="11.25" customHeight="1" x14ac:dyDescent="0.3">
      <c r="A34" s="132"/>
      <c r="B34" s="132"/>
      <c r="C34" s="132"/>
      <c r="D34" s="132"/>
      <c r="E34" s="132"/>
      <c r="F34" s="132"/>
      <c r="G34" s="66" t="s">
        <v>93</v>
      </c>
      <c r="H34" s="66" t="s">
        <v>76</v>
      </c>
      <c r="I34" s="66">
        <f>'MERCADO TUSD'!$U$31</f>
        <v>0.21399999999999994</v>
      </c>
      <c r="J34" s="15"/>
      <c r="L34" s="61">
        <f>'TUSD BE'!$L$34*'TUSD BE'!$L$61</f>
        <v>-9.0258987104960456E-2</v>
      </c>
      <c r="M34" s="61">
        <f>'TUSD BE'!$M$34*'TUSD BE'!$M$61</f>
        <v>-1.9491624390069004E-2</v>
      </c>
      <c r="N34" s="61">
        <f ca="1">'TUSD BE'!$N$34*'TUSD BE'!$N$61</f>
        <v>-5.5107144149210322E-5</v>
      </c>
      <c r="O34" s="61">
        <f>'TUSD BE'!$O$34*'TUSD BE'!$O$61</f>
        <v>0</v>
      </c>
      <c r="P34" s="61">
        <f>'TUSD BE'!$P$34*'TUSD BE'!$P$61</f>
        <v>0</v>
      </c>
      <c r="Q34" s="61">
        <f>'TUSD BE'!$Q$34*'TUSD BE'!$Q$61</f>
        <v>-0.9531040471094272</v>
      </c>
      <c r="R34" s="61">
        <f>'TUSD BE'!$R$34*'TUSD BE'!$R$61</f>
        <v>-0.1436055413628014</v>
      </c>
      <c r="S34" s="61">
        <f>'TUSD BE'!$R$34*'TUSD BE'!$S$61</f>
        <v>0</v>
      </c>
      <c r="T34" s="61">
        <f ca="1">SUM($L$34:$S$34)</f>
        <v>-1.2065153071114074</v>
      </c>
      <c r="U34" s="61">
        <f>'TUSD BE'!$U$34*'TUSD BE'!$U$61</f>
        <v>0</v>
      </c>
      <c r="V34" s="61">
        <f>'TUSD BE'!$V$34*'TUSD BE'!$V$61</f>
        <v>0</v>
      </c>
      <c r="W34" s="61">
        <f>'TUSD BE'!$W$34*'TUSD BE'!$W$61</f>
        <v>0</v>
      </c>
      <c r="X34" s="61">
        <f>'TUSD BE'!$X$34*'TUSD BE'!$X$61</f>
        <v>0</v>
      </c>
      <c r="Y34" s="61">
        <f>'TUSD BE'!$Y$34*'TUSD BE'!$Y$61</f>
        <v>-50.115580448564053</v>
      </c>
      <c r="Z34" s="61">
        <f>'TUSD BE'!$Z$34*'TUSD BE'!$Z$61</f>
        <v>0</v>
      </c>
      <c r="AA34" s="61">
        <f>'TUSD BE'!$AA$34*'TUSD BE'!$AA$61</f>
        <v>0</v>
      </c>
      <c r="AB34" s="61">
        <f>SUM($U$34:$AA$34)</f>
        <v>-50.115580448564053</v>
      </c>
      <c r="AC34" s="61">
        <f>'TUSD BE'!$AC$34*'TUSD BE'!$AC$61</f>
        <v>37.44224839548508</v>
      </c>
      <c r="AD34" s="61">
        <f>SUM($AC$34:$AC$34)</f>
        <v>37.44224839548508</v>
      </c>
      <c r="AE34" s="61">
        <f ca="1">$AO$34*$AO$58</f>
        <v>-101.85467338965728</v>
      </c>
      <c r="AF34" s="61">
        <f ca="1">$AP$34*$AP$58</f>
        <v>0</v>
      </c>
      <c r="AG34" s="61">
        <f ca="1">SUM($AE$34:$AF$34)</f>
        <v>-101.85467338965728</v>
      </c>
      <c r="AH34" s="61">
        <f>'TUSD BE'!$AH$34*'TUSD BE'!$AH$61</f>
        <v>-3.3489723642270079</v>
      </c>
      <c r="AI34" s="61">
        <f>'TUSD BE'!$AI$34*'TUSD BE'!$AI$61</f>
        <v>-3.4250661326898323E-2</v>
      </c>
      <c r="AJ34" s="61">
        <f ca="1">'TUSD BE'!$AJ$34*'TUSD BE'!$AJ$61</f>
        <v>-0.12589516163518874</v>
      </c>
      <c r="AK34" s="61">
        <f ca="1">'TUSD BE'!$AK$34*'TUSD BE'!$AK$61</f>
        <v>4.4334202298329732E-2</v>
      </c>
      <c r="AL34" s="61">
        <f ca="1">SUM($AH$34:$AK$34)</f>
        <v>-3.4647839848907651</v>
      </c>
      <c r="AM34" s="61">
        <f ca="1">SUMIF($L$4:$AL$4,"SUBTOTAL",$L$34:$AL$34)</f>
        <v>-119.19930473473843</v>
      </c>
      <c r="AO34" s="68">
        <f ca="1">+'TUSD BE'!$T$34+'TUSD BE'!$AB$34+'TUSD BE'!$AD$34+'TUSD BE'!$AL$34</f>
        <v>831.47961453036407</v>
      </c>
      <c r="AP34" s="68">
        <f ca="1">+'TUSD BE'!$T$34+'TUSD BE'!$AB$34+'TUSD BE'!$AD$34+'TUSD BE'!$AL$34</f>
        <v>831.47961453036407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66" t="s">
        <v>78</v>
      </c>
      <c r="H35" s="66" t="s">
        <v>76</v>
      </c>
      <c r="I35" s="66">
        <f>'MERCADO TUSD'!$U$32</f>
        <v>2.4970000000000008</v>
      </c>
      <c r="J35" s="15"/>
      <c r="L35" s="61">
        <f>'TUSD BE'!$L$35*'TUSD BE'!$L$61</f>
        <v>-9.0258987104960456E-2</v>
      </c>
      <c r="M35" s="61">
        <f>'TUSD BE'!$M$35*'TUSD BE'!$M$61</f>
        <v>-1.9491624390069004E-2</v>
      </c>
      <c r="N35" s="61">
        <f ca="1">'TUSD BE'!$N$35*'TUSD BE'!$N$61</f>
        <v>-2.1910971968481861E-5</v>
      </c>
      <c r="O35" s="61">
        <f>'TUSD BE'!$O$35*'TUSD BE'!$O$61</f>
        <v>0</v>
      </c>
      <c r="P35" s="61">
        <f>'TUSD BE'!$P$35*'TUSD BE'!$P$61</f>
        <v>0</v>
      </c>
      <c r="Q35" s="61">
        <f>'TUSD BE'!$Q$35*'TUSD BE'!$Q$61</f>
        <v>-0.9531040471094272</v>
      </c>
      <c r="R35" s="61">
        <f>'TUSD BE'!$R$35*'TUSD BE'!$R$61</f>
        <v>-0.1436055413628014</v>
      </c>
      <c r="S35" s="61">
        <f>'TUSD BE'!$R$35*'TUSD BE'!$S$61</f>
        <v>0</v>
      </c>
      <c r="T35" s="61">
        <f ca="1">SUM($L$35:$S$35)</f>
        <v>-1.2064821109392265</v>
      </c>
      <c r="U35" s="61">
        <f>'TUSD BE'!$U$35*'TUSD BE'!$U$61</f>
        <v>0</v>
      </c>
      <c r="V35" s="61">
        <f>'TUSD BE'!$V$35*'TUSD BE'!$V$61</f>
        <v>0</v>
      </c>
      <c r="W35" s="61">
        <f>'TUSD BE'!$W$35*'TUSD BE'!$W$61</f>
        <v>0</v>
      </c>
      <c r="X35" s="61">
        <f>'TUSD BE'!$X$35*'TUSD BE'!$X$61</f>
        <v>0</v>
      </c>
      <c r="Y35" s="61">
        <f>'TUSD BE'!$Y$35*'TUSD BE'!$Y$61</f>
        <v>-16.705187204347197</v>
      </c>
      <c r="Z35" s="61">
        <f>'TUSD BE'!$Z$35*'TUSD BE'!$Z$61</f>
        <v>0</v>
      </c>
      <c r="AA35" s="61">
        <f>'TUSD BE'!$AA$35*'TUSD BE'!$AA$61</f>
        <v>0</v>
      </c>
      <c r="AB35" s="61">
        <f>SUM($U$35:$AA$35)</f>
        <v>-16.705187204347197</v>
      </c>
      <c r="AC35" s="61">
        <f>'TUSD BE'!$AC$35*'TUSD BE'!$AC$61</f>
        <v>12.480752836715233</v>
      </c>
      <c r="AD35" s="61">
        <f>SUM($AC$35:$AC$35)</f>
        <v>12.480752836715233</v>
      </c>
      <c r="AE35" s="61">
        <f ca="1">$AO$35*$AO$58</f>
        <v>-44.788305034484367</v>
      </c>
      <c r="AF35" s="61">
        <f ca="1">$AP$35*$AP$58</f>
        <v>0</v>
      </c>
      <c r="AG35" s="61">
        <f ca="1">SUM($AE$35:$AF$35)</f>
        <v>-44.788305034484367</v>
      </c>
      <c r="AH35" s="61">
        <f>'TUSD BE'!$AH$35*'TUSD BE'!$AH$61</f>
        <v>-3.3489723642270079</v>
      </c>
      <c r="AI35" s="61">
        <f>'TUSD BE'!$AI$35*'TUSD BE'!$AI$61</f>
        <v>-3.4250661326898323E-2</v>
      </c>
      <c r="AJ35" s="61">
        <f ca="1">'TUSD BE'!$AJ$35*'TUSD BE'!$AJ$61</f>
        <v>-0.12589516163518874</v>
      </c>
      <c r="AK35" s="61">
        <f ca="1">'TUSD BE'!$AK$35*'TUSD BE'!$AK$61</f>
        <v>4.4334202298329732E-2</v>
      </c>
      <c r="AL35" s="61">
        <f ca="1">SUM($AH$35:$AK$35)</f>
        <v>-3.4647839848907651</v>
      </c>
      <c r="AM35" s="61">
        <f ca="1">SUMIF($L$4:$AL$4,"SUBTOTAL",$L$35:$AL$35)</f>
        <v>-53.684005497946323</v>
      </c>
      <c r="AO35" s="68">
        <f ca="1">+'TUSD BE'!$T$35+'TUSD BE'!$AB$35+'TUSD BE'!$AD$35+'TUSD BE'!$AL$35</f>
        <v>365.62448600736451</v>
      </c>
      <c r="AP35" s="68">
        <f ca="1">+'TUSD BE'!$T$35+'TUSD BE'!$AB$35+'TUSD BE'!$AD$35+'TUSD BE'!$AL$35</f>
        <v>365.62448600736451</v>
      </c>
    </row>
    <row r="36" spans="1:42" ht="11.25" customHeight="1" x14ac:dyDescent="0.3">
      <c r="A36" s="132"/>
      <c r="B36" s="65" t="s">
        <v>23</v>
      </c>
      <c r="C36" s="65" t="s">
        <v>43</v>
      </c>
      <c r="D36" s="65" t="s">
        <v>25</v>
      </c>
      <c r="E36" s="65" t="s">
        <v>25</v>
      </c>
      <c r="F36" s="65" t="s">
        <v>25</v>
      </c>
      <c r="G36" s="66" t="s">
        <v>81</v>
      </c>
      <c r="H36" s="66" t="s">
        <v>76</v>
      </c>
      <c r="I36" s="66">
        <f>'MERCADO TUSD'!$U$33</f>
        <v>18691.718999999997</v>
      </c>
      <c r="J36" s="15"/>
      <c r="L36" s="61">
        <f>'TUSD BE'!$L$36*'TUSD BE'!$L$61</f>
        <v>-9.0258987104960456E-2</v>
      </c>
      <c r="M36" s="61">
        <f>'TUSD BE'!$M$36*'TUSD BE'!$M$61</f>
        <v>-1.9491624390069004E-2</v>
      </c>
      <c r="N36" s="61">
        <f ca="1">'TUSD BE'!$N$36*'TUSD BE'!$N$61</f>
        <v>-3.1659055145103425E-5</v>
      </c>
      <c r="O36" s="61">
        <f>'TUSD BE'!$O$36*'TUSD BE'!$O$61</f>
        <v>0</v>
      </c>
      <c r="P36" s="61">
        <f>'TUSD BE'!$P$36*'TUSD BE'!$P$61</f>
        <v>0</v>
      </c>
      <c r="Q36" s="61">
        <f>'TUSD BE'!$Q$36*'TUSD BE'!$Q$61</f>
        <v>-0.9531040471094272</v>
      </c>
      <c r="R36" s="61">
        <f>'TUSD BE'!$R$36*'TUSD BE'!$R$61</f>
        <v>-0.1436055413628014</v>
      </c>
      <c r="S36" s="61">
        <f>'TUSD BE'!$R$36*'TUSD BE'!$S$61</f>
        <v>0</v>
      </c>
      <c r="T36" s="61">
        <f ca="1">SUM($L$36:$S$36)</f>
        <v>-1.2064918590224032</v>
      </c>
      <c r="U36" s="61">
        <f>'TUSD BE'!$U$36*'TUSD BE'!$U$61</f>
        <v>0</v>
      </c>
      <c r="V36" s="61">
        <f>'TUSD BE'!$V$36*'TUSD BE'!$V$61</f>
        <v>0</v>
      </c>
      <c r="W36" s="61">
        <f>'TUSD BE'!$W$36*'TUSD BE'!$W$61</f>
        <v>0</v>
      </c>
      <c r="X36" s="61">
        <f>'TUSD BE'!$X$36*'TUSD BE'!$X$61</f>
        <v>0</v>
      </c>
      <c r="Y36" s="61">
        <f>'TUSD BE'!$Y$36*'TUSD BE'!$Y$61</f>
        <v>-26.516177640044145</v>
      </c>
      <c r="Z36" s="61">
        <f>'TUSD BE'!$Z$36*'TUSD BE'!$Z$61</f>
        <v>0</v>
      </c>
      <c r="AA36" s="61">
        <f>'TUSD BE'!$AA$36*'TUSD BE'!$AA$61</f>
        <v>0</v>
      </c>
      <c r="AB36" s="61">
        <f>SUM($U$36:$AA$36)</f>
        <v>-26.516177640044145</v>
      </c>
      <c r="AC36" s="61">
        <f>'TUSD BE'!$AC$36*'TUSD BE'!$AC$61</f>
        <v>19.810715898533843</v>
      </c>
      <c r="AD36" s="61">
        <f>SUM($AC$36:$AC$36)</f>
        <v>19.810715898533843</v>
      </c>
      <c r="AE36" s="61">
        <f ca="1">$AO$36*$AO$58</f>
        <v>-61.545890892764554</v>
      </c>
      <c r="AF36" s="61">
        <f ca="1">$AP$36*$AP$58</f>
        <v>0</v>
      </c>
      <c r="AG36" s="61">
        <f ca="1">SUM($AE$36:$AF$36)</f>
        <v>-61.545890892764554</v>
      </c>
      <c r="AH36" s="61">
        <f>'TUSD BE'!$AH$36*'TUSD BE'!$AH$61</f>
        <v>-3.3489723642270079</v>
      </c>
      <c r="AI36" s="61">
        <f>'TUSD BE'!$AI$36*'TUSD BE'!$AI$61</f>
        <v>-3.4250661326898323E-2</v>
      </c>
      <c r="AJ36" s="61">
        <f ca="1">'TUSD BE'!$AJ$36*'TUSD BE'!$AJ$61</f>
        <v>-0.12589516163518874</v>
      </c>
      <c r="AK36" s="61">
        <f ca="1">'TUSD BE'!$AK$36*'TUSD BE'!$AK$61</f>
        <v>4.4334202298329732E-2</v>
      </c>
      <c r="AL36" s="61">
        <f ca="1">SUM($AH$36:$AK$36)</f>
        <v>-3.4647839848907651</v>
      </c>
      <c r="AM36" s="61">
        <f ca="1">SUMIF($L$4:$AL$4,"SUBTOTAL",$L$36:$AL$36)</f>
        <v>-72.922628478188017</v>
      </c>
      <c r="AO36" s="68">
        <f ca="1">+'TUSD BE'!$T$36+'TUSD BE'!$AB$36+'TUSD BE'!$AD$36+'TUSD BE'!$AL$36</f>
        <v>502.42322646964709</v>
      </c>
      <c r="AP36" s="68">
        <f ca="1">+'TUSD BE'!$T$36+'TUSD BE'!$AB$36+'TUSD BE'!$AD$36+'TUSD BE'!$AL$36</f>
        <v>502.42322646964709</v>
      </c>
    </row>
    <row r="37" spans="1:42" ht="11.25" customHeight="1" x14ac:dyDescent="0.3">
      <c r="A37" s="132"/>
      <c r="B37" s="132" t="s">
        <v>33</v>
      </c>
      <c r="C37" s="132" t="s">
        <v>43</v>
      </c>
      <c r="D37" s="132" t="s">
        <v>96</v>
      </c>
      <c r="E37" s="132" t="s">
        <v>25</v>
      </c>
      <c r="F37" s="132" t="s">
        <v>25</v>
      </c>
      <c r="G37" s="66" t="s">
        <v>77</v>
      </c>
      <c r="H37" s="66" t="s">
        <v>76</v>
      </c>
      <c r="I37" s="66">
        <f>'MERCADO TUSD'!$U$34</f>
        <v>0</v>
      </c>
      <c r="J37" s="15"/>
      <c r="L37" s="61">
        <f>'TUSD BE'!$L$37*'TUSD BE'!$L$61</f>
        <v>-9.0258987104960456E-2</v>
      </c>
      <c r="M37" s="61">
        <f>'TUSD BE'!$M$37*'TUSD BE'!$M$61</f>
        <v>-1.9491624390069004E-2</v>
      </c>
      <c r="N37" s="61">
        <f ca="1">'TUSD BE'!$N$37*'TUSD BE'!$N$61</f>
        <v>-8.8303324156179056E-5</v>
      </c>
      <c r="O37" s="61">
        <f>'TUSD BE'!$O$37*'TUSD BE'!$O$61</f>
        <v>0</v>
      </c>
      <c r="P37" s="61">
        <f>'TUSD BE'!$P$37*'TUSD BE'!$P$61</f>
        <v>0</v>
      </c>
      <c r="Q37" s="61">
        <f>'TUSD BE'!$Q$37*'TUSD BE'!$Q$61</f>
        <v>-0.9531040471094272</v>
      </c>
      <c r="R37" s="61">
        <f>'TUSD BE'!$R$37*'TUSD BE'!$R$61</f>
        <v>-0.1436055413628014</v>
      </c>
      <c r="S37" s="61">
        <f>'TUSD BE'!$R$37*'TUSD BE'!$S$61</f>
        <v>0</v>
      </c>
      <c r="T37" s="61">
        <f ca="1">SUM($L$37:$S$37)</f>
        <v>-1.2065485032914143</v>
      </c>
      <c r="U37" s="61">
        <f>'TUSD BE'!$U$37*'TUSD BE'!$U$61</f>
        <v>0</v>
      </c>
      <c r="V37" s="61">
        <f>'TUSD BE'!$V$37*'TUSD BE'!$V$61</f>
        <v>0</v>
      </c>
      <c r="W37" s="61">
        <f>'TUSD BE'!$W$37*'TUSD BE'!$W$61</f>
        <v>0</v>
      </c>
      <c r="X37" s="61">
        <f>'TUSD BE'!$X$37*'TUSD BE'!$X$61</f>
        <v>0</v>
      </c>
      <c r="Y37" s="61">
        <f>'TUSD BE'!$Y$37*'TUSD BE'!$Y$61</f>
        <v>-83.525973692780909</v>
      </c>
      <c r="Z37" s="61">
        <f>'TUSD BE'!$Z$37*'TUSD BE'!$Z$61</f>
        <v>0</v>
      </c>
      <c r="AA37" s="61">
        <f>'TUSD BE'!$AA$37*'TUSD BE'!$AA$61</f>
        <v>0</v>
      </c>
      <c r="AB37" s="61">
        <f>SUM($U$37:$AA$37)</f>
        <v>-83.525973692780909</v>
      </c>
      <c r="AC37" s="61">
        <f>'TUSD BE'!$AC$37*'TUSD BE'!$AC$61</f>
        <v>62.403754068915539</v>
      </c>
      <c r="AD37" s="61">
        <f>SUM($AC$37:$AC$37)</f>
        <v>62.403754068915539</v>
      </c>
      <c r="AE37" s="61">
        <f ca="1">$AO$37*$AO$58</f>
        <v>-158.92105516068926</v>
      </c>
      <c r="AF37" s="61">
        <f ca="1">$AP$37*$AP$58</f>
        <v>0</v>
      </c>
      <c r="AG37" s="61">
        <f ca="1">SUM($AE$37:$AF$37)</f>
        <v>-158.92105516068926</v>
      </c>
      <c r="AH37" s="61">
        <f>'TUSD BE'!$AH$37*'TUSD BE'!$AH$61</f>
        <v>-3.3489723642270079</v>
      </c>
      <c r="AI37" s="61">
        <f>'TUSD BE'!$AI$37*'TUSD BE'!$AI$61</f>
        <v>-3.4250661326898323E-2</v>
      </c>
      <c r="AJ37" s="61">
        <f ca="1">'TUSD BE'!$AJ$37*'TUSD BE'!$AJ$61</f>
        <v>-0.12589516163518874</v>
      </c>
      <c r="AK37" s="61">
        <f ca="1">'TUSD BE'!$AK$37*'TUSD BE'!$AK$61</f>
        <v>4.4334202298329732E-2</v>
      </c>
      <c r="AL37" s="61">
        <f ca="1">SUM($AH$37:$AK$37)</f>
        <v>-3.4647839848907651</v>
      </c>
      <c r="AM37" s="61">
        <f ca="1">SUMIF($L$4:$AL$4,"SUBTOTAL",$L$37:$AL$37)</f>
        <v>-184.71460727273683</v>
      </c>
      <c r="AO37" s="68">
        <f ca="1">+'TUSD BE'!$T$37+'TUSD BE'!$AB$37+'TUSD BE'!$AD$37+'TUSD BE'!$AL$37</f>
        <v>1297.3348525722788</v>
      </c>
      <c r="AP37" s="68">
        <f ca="1">+'TUSD BE'!$T$37+'TUSD BE'!$AB$37+'TUSD BE'!$AD$37+'TUSD BE'!$AL$37</f>
        <v>1297.3348525722788</v>
      </c>
    </row>
    <row r="38" spans="1:42" ht="11.25" customHeight="1" x14ac:dyDescent="0.3">
      <c r="A38" s="132"/>
      <c r="B38" s="132"/>
      <c r="C38" s="132"/>
      <c r="D38" s="132"/>
      <c r="E38" s="132"/>
      <c r="F38" s="132"/>
      <c r="G38" s="66" t="s">
        <v>93</v>
      </c>
      <c r="H38" s="66" t="s">
        <v>76</v>
      </c>
      <c r="I38" s="66">
        <f>'MERCADO TUSD'!$U$35</f>
        <v>0</v>
      </c>
      <c r="J38" s="15"/>
      <c r="L38" s="61">
        <f>'TUSD BE'!$L$38*'TUSD BE'!$L$61</f>
        <v>-9.0258987104960456E-2</v>
      </c>
      <c r="M38" s="61">
        <f>'TUSD BE'!$M$38*'TUSD BE'!$M$61</f>
        <v>-1.9491624390069004E-2</v>
      </c>
      <c r="N38" s="61">
        <f ca="1">'TUSD BE'!$N$38*'TUSD BE'!$N$61</f>
        <v>-5.5107144149210322E-5</v>
      </c>
      <c r="O38" s="61">
        <f>'TUSD BE'!$O$38*'TUSD BE'!$O$61</f>
        <v>0</v>
      </c>
      <c r="P38" s="61">
        <f>'TUSD BE'!$P$38*'TUSD BE'!$P$61</f>
        <v>0</v>
      </c>
      <c r="Q38" s="61">
        <f>'TUSD BE'!$Q$38*'TUSD BE'!$Q$61</f>
        <v>-0.9531040471094272</v>
      </c>
      <c r="R38" s="61">
        <f>'TUSD BE'!$R$38*'TUSD BE'!$R$61</f>
        <v>-0.1436055413628014</v>
      </c>
      <c r="S38" s="61">
        <f>'TUSD BE'!$R$38*'TUSD BE'!$S$61</f>
        <v>0</v>
      </c>
      <c r="T38" s="61">
        <f ca="1">SUM($L$38:$S$38)</f>
        <v>-1.2065153071114074</v>
      </c>
      <c r="U38" s="61">
        <f>'TUSD BE'!$U$38*'TUSD BE'!$U$61</f>
        <v>0</v>
      </c>
      <c r="V38" s="61">
        <f>'TUSD BE'!$V$38*'TUSD BE'!$V$61</f>
        <v>0</v>
      </c>
      <c r="W38" s="61">
        <f>'TUSD BE'!$W$38*'TUSD BE'!$W$61</f>
        <v>0</v>
      </c>
      <c r="X38" s="61">
        <f>'TUSD BE'!$X$38*'TUSD BE'!$X$61</f>
        <v>0</v>
      </c>
      <c r="Y38" s="61">
        <f>'TUSD BE'!$Y$38*'TUSD BE'!$Y$61</f>
        <v>-50.115580448564053</v>
      </c>
      <c r="Z38" s="61">
        <f>'TUSD BE'!$Z$38*'TUSD BE'!$Z$61</f>
        <v>0</v>
      </c>
      <c r="AA38" s="61">
        <f>'TUSD BE'!$AA$38*'TUSD BE'!$AA$61</f>
        <v>0</v>
      </c>
      <c r="AB38" s="61">
        <f>SUM($U$38:$AA$38)</f>
        <v>-50.115580448564053</v>
      </c>
      <c r="AC38" s="61">
        <f>'TUSD BE'!$AC$38*'TUSD BE'!$AC$61</f>
        <v>37.44224839548508</v>
      </c>
      <c r="AD38" s="61">
        <f>SUM($AC$38:$AC$38)</f>
        <v>37.44224839548508</v>
      </c>
      <c r="AE38" s="61">
        <f ca="1">$AO$38*$AO$58</f>
        <v>-101.85467338965728</v>
      </c>
      <c r="AF38" s="61">
        <f ca="1">$AP$38*$AP$58</f>
        <v>0</v>
      </c>
      <c r="AG38" s="61">
        <f ca="1">SUM($AE$38:$AF$38)</f>
        <v>-101.85467338965728</v>
      </c>
      <c r="AH38" s="61">
        <f>'TUSD BE'!$AH$38*'TUSD BE'!$AH$61</f>
        <v>-3.3489723642270079</v>
      </c>
      <c r="AI38" s="61">
        <f>'TUSD BE'!$AI$38*'TUSD BE'!$AI$61</f>
        <v>-3.4250661326898323E-2</v>
      </c>
      <c r="AJ38" s="61">
        <f ca="1">'TUSD BE'!$AJ$38*'TUSD BE'!$AJ$61</f>
        <v>-0.12589516163518874</v>
      </c>
      <c r="AK38" s="61">
        <f ca="1">'TUSD BE'!$AK$38*'TUSD BE'!$AK$61</f>
        <v>4.4334202298329732E-2</v>
      </c>
      <c r="AL38" s="61">
        <f ca="1">SUM($AH$38:$AK$38)</f>
        <v>-3.4647839848907651</v>
      </c>
      <c r="AM38" s="61">
        <f ca="1">SUMIF($L$4:$AL$4,"SUBTOTAL",$L$38:$AL$38)</f>
        <v>-119.19930473473843</v>
      </c>
      <c r="AO38" s="68">
        <f ca="1">+'TUSD BE'!$T$38+'TUSD BE'!$AB$38+'TUSD BE'!$AD$38+'TUSD BE'!$AL$38</f>
        <v>831.47961453036407</v>
      </c>
      <c r="AP38" s="68">
        <f ca="1">+'TUSD BE'!$T$38+'TUSD BE'!$AB$38+'TUSD BE'!$AD$38+'TUSD BE'!$AL$38</f>
        <v>831.47961453036407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66" t="s">
        <v>78</v>
      </c>
      <c r="H39" s="66" t="s">
        <v>76</v>
      </c>
      <c r="I39" s="66">
        <f>'MERCADO TUSD'!$U$36</f>
        <v>0</v>
      </c>
      <c r="J39" s="15"/>
      <c r="L39" s="61">
        <f>'TUSD BE'!$L$39*'TUSD BE'!$L$61</f>
        <v>-9.0258987104960456E-2</v>
      </c>
      <c r="M39" s="61">
        <f>'TUSD BE'!$M$39*'TUSD BE'!$M$61</f>
        <v>-1.9491624390069004E-2</v>
      </c>
      <c r="N39" s="61">
        <f ca="1">'TUSD BE'!$N$39*'TUSD BE'!$N$61</f>
        <v>-2.1910971968481861E-5</v>
      </c>
      <c r="O39" s="61">
        <f>'TUSD BE'!$O$39*'TUSD BE'!$O$61</f>
        <v>0</v>
      </c>
      <c r="P39" s="61">
        <f>'TUSD BE'!$P$39*'TUSD BE'!$P$61</f>
        <v>0</v>
      </c>
      <c r="Q39" s="61">
        <f>'TUSD BE'!$Q$39*'TUSD BE'!$Q$61</f>
        <v>-0.9531040471094272</v>
      </c>
      <c r="R39" s="61">
        <f>'TUSD BE'!$R$39*'TUSD BE'!$R$61</f>
        <v>-0.1436055413628014</v>
      </c>
      <c r="S39" s="61">
        <f>'TUSD BE'!$R$39*'TUSD BE'!$S$61</f>
        <v>0</v>
      </c>
      <c r="T39" s="61">
        <f ca="1">SUM($L$39:$S$39)</f>
        <v>-1.2064821109392265</v>
      </c>
      <c r="U39" s="61">
        <f>'TUSD BE'!$U$39*'TUSD BE'!$U$61</f>
        <v>0</v>
      </c>
      <c r="V39" s="61">
        <f>'TUSD BE'!$V$39*'TUSD BE'!$V$61</f>
        <v>0</v>
      </c>
      <c r="W39" s="61">
        <f>'TUSD BE'!$W$39*'TUSD BE'!$W$61</f>
        <v>0</v>
      </c>
      <c r="X39" s="61">
        <f>'TUSD BE'!$X$39*'TUSD BE'!$X$61</f>
        <v>0</v>
      </c>
      <c r="Y39" s="61">
        <f>'TUSD BE'!$Y$39*'TUSD BE'!$Y$61</f>
        <v>-16.705187204347197</v>
      </c>
      <c r="Z39" s="61">
        <f>'TUSD BE'!$Z$39*'TUSD BE'!$Z$61</f>
        <v>0</v>
      </c>
      <c r="AA39" s="61">
        <f>'TUSD BE'!$AA$39*'TUSD BE'!$AA$61</f>
        <v>0</v>
      </c>
      <c r="AB39" s="61">
        <f>SUM($U$39:$AA$39)</f>
        <v>-16.705187204347197</v>
      </c>
      <c r="AC39" s="61">
        <f>'TUSD BE'!$AC$39*'TUSD BE'!$AC$61</f>
        <v>12.480752836715233</v>
      </c>
      <c r="AD39" s="61">
        <f>SUM($AC$39:$AC$39)</f>
        <v>12.480752836715233</v>
      </c>
      <c r="AE39" s="61">
        <f ca="1">$AO$39*$AO$58</f>
        <v>-44.788305034484367</v>
      </c>
      <c r="AF39" s="61">
        <f ca="1">$AP$39*$AP$58</f>
        <v>0</v>
      </c>
      <c r="AG39" s="61">
        <f ca="1">SUM($AE$39:$AF$39)</f>
        <v>-44.788305034484367</v>
      </c>
      <c r="AH39" s="61">
        <f>'TUSD BE'!$AH$39*'TUSD BE'!$AH$61</f>
        <v>-3.3489723642270079</v>
      </c>
      <c r="AI39" s="61">
        <f>'TUSD BE'!$AI$39*'TUSD BE'!$AI$61</f>
        <v>-3.4250661326898323E-2</v>
      </c>
      <c r="AJ39" s="61">
        <f ca="1">'TUSD BE'!$AJ$39*'TUSD BE'!$AJ$61</f>
        <v>-0.12589516163518874</v>
      </c>
      <c r="AK39" s="61">
        <f ca="1">'TUSD BE'!$AK$39*'TUSD BE'!$AK$61</f>
        <v>4.4334202298329732E-2</v>
      </c>
      <c r="AL39" s="61">
        <f ca="1">SUM($AH$39:$AK$39)</f>
        <v>-3.4647839848907651</v>
      </c>
      <c r="AM39" s="61">
        <f ca="1">SUMIF($L$4:$AL$4,"SUBTOTAL",$L$39:$AL$39)</f>
        <v>-53.684005497946323</v>
      </c>
      <c r="AO39" s="68">
        <f ca="1">+'TUSD BE'!$T$39+'TUSD BE'!$AB$39+'TUSD BE'!$AD$39+'TUSD BE'!$AL$39</f>
        <v>365.62448600736451</v>
      </c>
      <c r="AP39" s="68">
        <f ca="1">+'TUSD BE'!$T$39+'TUSD BE'!$AB$39+'TUSD BE'!$AD$39+'TUSD BE'!$AL$39</f>
        <v>365.62448600736451</v>
      </c>
    </row>
    <row r="40" spans="1:42" ht="11.25" customHeight="1" x14ac:dyDescent="0.3">
      <c r="A40" s="132"/>
      <c r="B40" s="65" t="s">
        <v>23</v>
      </c>
      <c r="C40" s="65" t="s">
        <v>43</v>
      </c>
      <c r="D40" s="65" t="s">
        <v>96</v>
      </c>
      <c r="E40" s="65" t="s">
        <v>25</v>
      </c>
      <c r="F40" s="65" t="s">
        <v>25</v>
      </c>
      <c r="G40" s="66" t="s">
        <v>81</v>
      </c>
      <c r="H40" s="66" t="s">
        <v>76</v>
      </c>
      <c r="I40" s="66">
        <f>'MERCADO TUSD'!$U$37</f>
        <v>0</v>
      </c>
      <c r="J40" s="15"/>
      <c r="L40" s="61">
        <f>'TUSD BE'!$L$40*'TUSD BE'!$L$61</f>
        <v>-9.0258987104960456E-2</v>
      </c>
      <c r="M40" s="61">
        <f>'TUSD BE'!$M$40*'TUSD BE'!$M$61</f>
        <v>-1.9491624390069004E-2</v>
      </c>
      <c r="N40" s="61">
        <f ca="1">'TUSD BE'!$N$40*'TUSD BE'!$N$61</f>
        <v>-3.1659055145103425E-5</v>
      </c>
      <c r="O40" s="61">
        <f>'TUSD BE'!$O$40*'TUSD BE'!$O$61</f>
        <v>0</v>
      </c>
      <c r="P40" s="61">
        <f>'TUSD BE'!$P$40*'TUSD BE'!$P$61</f>
        <v>0</v>
      </c>
      <c r="Q40" s="61">
        <f>'TUSD BE'!$Q$40*'TUSD BE'!$Q$61</f>
        <v>-0.9531040471094272</v>
      </c>
      <c r="R40" s="61">
        <f>'TUSD BE'!$R$40*'TUSD BE'!$R$61</f>
        <v>-0.1436055413628014</v>
      </c>
      <c r="S40" s="61">
        <f>'TUSD BE'!$R$40*'TUSD BE'!$S$61</f>
        <v>0</v>
      </c>
      <c r="T40" s="61">
        <f ca="1">SUM($L$40:$S$40)</f>
        <v>-1.2064918590224032</v>
      </c>
      <c r="U40" s="61">
        <f>'TUSD BE'!$U$40*'TUSD BE'!$U$61</f>
        <v>0</v>
      </c>
      <c r="V40" s="61">
        <f>'TUSD BE'!$V$40*'TUSD BE'!$V$61</f>
        <v>0</v>
      </c>
      <c r="W40" s="61">
        <f>'TUSD BE'!$W$40*'TUSD BE'!$W$61</f>
        <v>0</v>
      </c>
      <c r="X40" s="61">
        <f>'TUSD BE'!$X$40*'TUSD BE'!$X$61</f>
        <v>0</v>
      </c>
      <c r="Y40" s="61">
        <f>'TUSD BE'!$Y$40*'TUSD BE'!$Y$61</f>
        <v>-26.516177640044145</v>
      </c>
      <c r="Z40" s="61">
        <f>'TUSD BE'!$Z$40*'TUSD BE'!$Z$61</f>
        <v>0</v>
      </c>
      <c r="AA40" s="61">
        <f>'TUSD BE'!$AA$40*'TUSD BE'!$AA$61</f>
        <v>0</v>
      </c>
      <c r="AB40" s="61">
        <f>SUM($U$40:$AA$40)</f>
        <v>-26.516177640044145</v>
      </c>
      <c r="AC40" s="61">
        <f>'TUSD BE'!$AC$40*'TUSD BE'!$AC$61</f>
        <v>19.810715898533843</v>
      </c>
      <c r="AD40" s="61">
        <f>SUM($AC$40:$AC$40)</f>
        <v>19.810715898533843</v>
      </c>
      <c r="AE40" s="61">
        <f ca="1">$AO$40*$AO$58</f>
        <v>-61.545890892764554</v>
      </c>
      <c r="AF40" s="61">
        <f ca="1">$AP$40*$AP$58</f>
        <v>0</v>
      </c>
      <c r="AG40" s="61">
        <f ca="1">SUM($AE$40:$AF$40)</f>
        <v>-61.545890892764554</v>
      </c>
      <c r="AH40" s="61">
        <f>'TUSD BE'!$AH$40*'TUSD BE'!$AH$61</f>
        <v>-3.3489723642270079</v>
      </c>
      <c r="AI40" s="61">
        <f>'TUSD BE'!$AI$40*'TUSD BE'!$AI$61</f>
        <v>-3.4250661326898323E-2</v>
      </c>
      <c r="AJ40" s="61">
        <f ca="1">'TUSD BE'!$AJ$40*'TUSD BE'!$AJ$61</f>
        <v>-0.12589516163518874</v>
      </c>
      <c r="AK40" s="61">
        <f ca="1">'TUSD BE'!$AK$40*'TUSD BE'!$AK$61</f>
        <v>4.4334202298329732E-2</v>
      </c>
      <c r="AL40" s="61">
        <f ca="1">SUM($AH$40:$AK$40)</f>
        <v>-3.4647839848907651</v>
      </c>
      <c r="AM40" s="61">
        <f ca="1">SUMIF($L$4:$AL$4,"SUBTOTAL",$L$40:$AL$40)</f>
        <v>-72.922628478188017</v>
      </c>
      <c r="AO40" s="68">
        <f ca="1">+'TUSD BE'!$T$40+'TUSD BE'!$AB$40+'TUSD BE'!$AD$40+'TUSD BE'!$AL$40</f>
        <v>502.42322646964709</v>
      </c>
      <c r="AP40" s="68">
        <f ca="1">+'TUSD BE'!$T$40+'TUSD BE'!$AB$40+'TUSD BE'!$AD$40+'TUSD BE'!$AL$40</f>
        <v>502.42322646964709</v>
      </c>
    </row>
    <row r="41" spans="1:42" ht="11.25" customHeight="1" x14ac:dyDescent="0.3">
      <c r="A41" s="132"/>
      <c r="B41" s="132" t="s">
        <v>33</v>
      </c>
      <c r="C41" s="132" t="s">
        <v>43</v>
      </c>
      <c r="D41" s="132" t="s">
        <v>97</v>
      </c>
      <c r="E41" s="132" t="s">
        <v>25</v>
      </c>
      <c r="F41" s="132" t="s">
        <v>25</v>
      </c>
      <c r="G41" s="66" t="s">
        <v>77</v>
      </c>
      <c r="H41" s="66" t="s">
        <v>76</v>
      </c>
      <c r="I41" s="66">
        <f>'MERCADO TUSD'!$U$38</f>
        <v>0</v>
      </c>
      <c r="J41" s="15"/>
      <c r="L41" s="61">
        <f>'TUSD BE'!$L$41*'TUSD BE'!$L$61</f>
        <v>-9.0258987104960456E-2</v>
      </c>
      <c r="M41" s="61">
        <f>'TUSD BE'!$M$41*'TUSD BE'!$M$61</f>
        <v>-1.9491624390069004E-2</v>
      </c>
      <c r="N41" s="61">
        <f ca="1">'TUSD BE'!$N$41*'TUSD BE'!$N$61</f>
        <v>-8.8303324156179056E-5</v>
      </c>
      <c r="O41" s="61">
        <f>'TUSD BE'!$O$41*'TUSD BE'!$O$61</f>
        <v>0</v>
      </c>
      <c r="P41" s="61">
        <f>'TUSD BE'!$P$41*'TUSD BE'!$P$61</f>
        <v>0</v>
      </c>
      <c r="Q41" s="61">
        <f>'TUSD BE'!$Q$41*'TUSD BE'!$Q$61</f>
        <v>-0.9531040471094272</v>
      </c>
      <c r="R41" s="61">
        <f>'TUSD BE'!$R$41*'TUSD BE'!$R$61</f>
        <v>-0.1436055413628014</v>
      </c>
      <c r="S41" s="61">
        <f>'TUSD BE'!$R$41*'TUSD BE'!$S$61</f>
        <v>0</v>
      </c>
      <c r="T41" s="61">
        <f ca="1">SUM($L$41:$S$41)</f>
        <v>-1.2065485032914143</v>
      </c>
      <c r="U41" s="61">
        <f>'TUSD BE'!$U$41*'TUSD BE'!$U$61</f>
        <v>0</v>
      </c>
      <c r="V41" s="61">
        <f>'TUSD BE'!$V$41*'TUSD BE'!$V$61</f>
        <v>0</v>
      </c>
      <c r="W41" s="61">
        <f>'TUSD BE'!$W$41*'TUSD BE'!$W$61</f>
        <v>0</v>
      </c>
      <c r="X41" s="61">
        <f>'TUSD BE'!$X$41*'TUSD BE'!$X$61</f>
        <v>0</v>
      </c>
      <c r="Y41" s="61">
        <f>'TUSD BE'!$Y$41*'TUSD BE'!$Y$61</f>
        <v>-83.525973692780909</v>
      </c>
      <c r="Z41" s="61">
        <f>'TUSD BE'!$Z$41*'TUSD BE'!$Z$61</f>
        <v>0</v>
      </c>
      <c r="AA41" s="61">
        <f>'TUSD BE'!$AA$41*'TUSD BE'!$AA$61</f>
        <v>0</v>
      </c>
      <c r="AB41" s="61">
        <f>SUM($U$41:$AA$41)</f>
        <v>-83.525973692780909</v>
      </c>
      <c r="AC41" s="61">
        <f>'TUSD BE'!$AC$41*'TUSD BE'!$AC$61</f>
        <v>62.403754068915539</v>
      </c>
      <c r="AD41" s="61">
        <f>SUM($AC$41:$AC$41)</f>
        <v>62.403754068915539</v>
      </c>
      <c r="AE41" s="61">
        <f ca="1">$AO$41*$AO$58</f>
        <v>-158.92105516068926</v>
      </c>
      <c r="AF41" s="61">
        <f ca="1">$AP$41*$AP$58</f>
        <v>0</v>
      </c>
      <c r="AG41" s="61">
        <f ca="1">SUM($AE$41:$AF$41)</f>
        <v>-158.92105516068926</v>
      </c>
      <c r="AH41" s="61">
        <f>'TUSD BE'!$AH$41*'TUSD BE'!$AH$61</f>
        <v>-3.3489723642270079</v>
      </c>
      <c r="AI41" s="61">
        <f>'TUSD BE'!$AI$41*'TUSD BE'!$AI$61</f>
        <v>-3.4250661326898323E-2</v>
      </c>
      <c r="AJ41" s="61">
        <f ca="1">'TUSD BE'!$AJ$41*'TUSD BE'!$AJ$61</f>
        <v>-0.12589516163518874</v>
      </c>
      <c r="AK41" s="61">
        <f ca="1">'TUSD BE'!$AK$41*'TUSD BE'!$AK$61</f>
        <v>4.4334202298329732E-2</v>
      </c>
      <c r="AL41" s="61">
        <f ca="1">SUM($AH$41:$AK$41)</f>
        <v>-3.4647839848907651</v>
      </c>
      <c r="AM41" s="61">
        <f ca="1">SUMIF($L$4:$AL$4,"SUBTOTAL",$L$41:$AL$41)</f>
        <v>-184.71460727273683</v>
      </c>
      <c r="AO41" s="68">
        <f ca="1">+'TUSD BE'!$T$41+'TUSD BE'!$AB$41+'TUSD BE'!$AD$41+'TUSD BE'!$AL$41</f>
        <v>1297.3348525722788</v>
      </c>
      <c r="AP41" s="68">
        <f ca="1">+'TUSD BE'!$T$41+'TUSD BE'!$AB$41+'TUSD BE'!$AD$41+'TUSD BE'!$AL$41</f>
        <v>1297.3348525722788</v>
      </c>
    </row>
    <row r="42" spans="1:42" ht="11.25" customHeight="1" x14ac:dyDescent="0.3">
      <c r="A42" s="132"/>
      <c r="B42" s="132"/>
      <c r="C42" s="132"/>
      <c r="D42" s="132"/>
      <c r="E42" s="132"/>
      <c r="F42" s="132"/>
      <c r="G42" s="66" t="s">
        <v>93</v>
      </c>
      <c r="H42" s="66" t="s">
        <v>76</v>
      </c>
      <c r="I42" s="66">
        <f>'MERCADO TUSD'!$U$39</f>
        <v>0</v>
      </c>
      <c r="J42" s="15"/>
      <c r="L42" s="61">
        <f>'TUSD BE'!$L$42*'TUSD BE'!$L$61</f>
        <v>-9.0258987104960456E-2</v>
      </c>
      <c r="M42" s="61">
        <f>'TUSD BE'!$M$42*'TUSD BE'!$M$61</f>
        <v>-1.9491624390069004E-2</v>
      </c>
      <c r="N42" s="61">
        <f ca="1">'TUSD BE'!$N$42*'TUSD BE'!$N$61</f>
        <v>-5.5107144149210322E-5</v>
      </c>
      <c r="O42" s="61">
        <f>'TUSD BE'!$O$42*'TUSD BE'!$O$61</f>
        <v>0</v>
      </c>
      <c r="P42" s="61">
        <f>'TUSD BE'!$P$42*'TUSD BE'!$P$61</f>
        <v>0</v>
      </c>
      <c r="Q42" s="61">
        <f>'TUSD BE'!$Q$42*'TUSD BE'!$Q$61</f>
        <v>-0.9531040471094272</v>
      </c>
      <c r="R42" s="61">
        <f>'TUSD BE'!$R$42*'TUSD BE'!$R$61</f>
        <v>-0.1436055413628014</v>
      </c>
      <c r="S42" s="61">
        <f>'TUSD BE'!$R$42*'TUSD BE'!$S$61</f>
        <v>0</v>
      </c>
      <c r="T42" s="61">
        <f ca="1">SUM($L$42:$S$42)</f>
        <v>-1.2065153071114074</v>
      </c>
      <c r="U42" s="61">
        <f>'TUSD BE'!$U$42*'TUSD BE'!$U$61</f>
        <v>0</v>
      </c>
      <c r="V42" s="61">
        <f>'TUSD BE'!$V$42*'TUSD BE'!$V$61</f>
        <v>0</v>
      </c>
      <c r="W42" s="61">
        <f>'TUSD BE'!$W$42*'TUSD BE'!$W$61</f>
        <v>0</v>
      </c>
      <c r="X42" s="61">
        <f>'TUSD BE'!$X$42*'TUSD BE'!$X$61</f>
        <v>0</v>
      </c>
      <c r="Y42" s="61">
        <f>'TUSD BE'!$Y$42*'TUSD BE'!$Y$61</f>
        <v>-50.115580448564053</v>
      </c>
      <c r="Z42" s="61">
        <f>'TUSD BE'!$Z$42*'TUSD BE'!$Z$61</f>
        <v>0</v>
      </c>
      <c r="AA42" s="61">
        <f>'TUSD BE'!$AA$42*'TUSD BE'!$AA$61</f>
        <v>0</v>
      </c>
      <c r="AB42" s="61">
        <f>SUM($U$42:$AA$42)</f>
        <v>-50.115580448564053</v>
      </c>
      <c r="AC42" s="61">
        <f>'TUSD BE'!$AC$42*'TUSD BE'!$AC$61</f>
        <v>37.44224839548508</v>
      </c>
      <c r="AD42" s="61">
        <f>SUM($AC$42:$AC$42)</f>
        <v>37.44224839548508</v>
      </c>
      <c r="AE42" s="61">
        <f ca="1">$AO$42*$AO$58</f>
        <v>-101.85467338965728</v>
      </c>
      <c r="AF42" s="61">
        <f ca="1">$AP$42*$AP$58</f>
        <v>0</v>
      </c>
      <c r="AG42" s="61">
        <f ca="1">SUM($AE$42:$AF$42)</f>
        <v>-101.85467338965728</v>
      </c>
      <c r="AH42" s="61">
        <f>'TUSD BE'!$AH$42*'TUSD BE'!$AH$61</f>
        <v>-3.3489723642270079</v>
      </c>
      <c r="AI42" s="61">
        <f>'TUSD BE'!$AI$42*'TUSD BE'!$AI$61</f>
        <v>-3.4250661326898323E-2</v>
      </c>
      <c r="AJ42" s="61">
        <f ca="1">'TUSD BE'!$AJ$42*'TUSD BE'!$AJ$61</f>
        <v>-0.12589516163518874</v>
      </c>
      <c r="AK42" s="61">
        <f ca="1">'TUSD BE'!$AK$42*'TUSD BE'!$AK$61</f>
        <v>4.4334202298329732E-2</v>
      </c>
      <c r="AL42" s="61">
        <f ca="1">SUM($AH$42:$AK$42)</f>
        <v>-3.4647839848907651</v>
      </c>
      <c r="AM42" s="61">
        <f ca="1">SUMIF($L$4:$AL$4,"SUBTOTAL",$L$42:$AL$42)</f>
        <v>-119.19930473473843</v>
      </c>
      <c r="AO42" s="68">
        <f ca="1">+'TUSD BE'!$T$42+'TUSD BE'!$AB$42+'TUSD BE'!$AD$42+'TUSD BE'!$AL$42</f>
        <v>831.47961453036407</v>
      </c>
      <c r="AP42" s="68">
        <f ca="1">+'TUSD BE'!$T$42+'TUSD BE'!$AB$42+'TUSD BE'!$AD$42+'TUSD BE'!$AL$42</f>
        <v>831.47961453036407</v>
      </c>
    </row>
    <row r="43" spans="1:42" ht="11.25" customHeight="1" x14ac:dyDescent="0.3">
      <c r="A43" s="132"/>
      <c r="B43" s="132"/>
      <c r="C43" s="132"/>
      <c r="D43" s="132"/>
      <c r="E43" s="132"/>
      <c r="F43" s="132"/>
      <c r="G43" s="66" t="s">
        <v>78</v>
      </c>
      <c r="H43" s="66" t="s">
        <v>76</v>
      </c>
      <c r="I43" s="66">
        <f>'MERCADO TUSD'!$U$40</f>
        <v>0</v>
      </c>
      <c r="J43" s="15"/>
      <c r="L43" s="61">
        <f>'TUSD BE'!$L$43*'TUSD BE'!$L$61</f>
        <v>-9.0258987104960456E-2</v>
      </c>
      <c r="M43" s="61">
        <f>'TUSD BE'!$M$43*'TUSD BE'!$M$61</f>
        <v>-1.9491624390069004E-2</v>
      </c>
      <c r="N43" s="61">
        <f ca="1">'TUSD BE'!$N$43*'TUSD BE'!$N$61</f>
        <v>-2.1910971968481861E-5</v>
      </c>
      <c r="O43" s="61">
        <f>'TUSD BE'!$O$43*'TUSD BE'!$O$61</f>
        <v>0</v>
      </c>
      <c r="P43" s="61">
        <f>'TUSD BE'!$P$43*'TUSD BE'!$P$61</f>
        <v>0</v>
      </c>
      <c r="Q43" s="61">
        <f>'TUSD BE'!$Q$43*'TUSD BE'!$Q$61</f>
        <v>-0.9531040471094272</v>
      </c>
      <c r="R43" s="61">
        <f>'TUSD BE'!$R$43*'TUSD BE'!$R$61</f>
        <v>-0.1436055413628014</v>
      </c>
      <c r="S43" s="61">
        <f>'TUSD BE'!$R$43*'TUSD BE'!$S$61</f>
        <v>0</v>
      </c>
      <c r="T43" s="61">
        <f ca="1">SUM($L$43:$S$43)</f>
        <v>-1.2064821109392265</v>
      </c>
      <c r="U43" s="61">
        <f>'TUSD BE'!$U$43*'TUSD BE'!$U$61</f>
        <v>0</v>
      </c>
      <c r="V43" s="61">
        <f>'TUSD BE'!$V$43*'TUSD BE'!$V$61</f>
        <v>0</v>
      </c>
      <c r="W43" s="61">
        <f>'TUSD BE'!$W$43*'TUSD BE'!$W$61</f>
        <v>0</v>
      </c>
      <c r="X43" s="61">
        <f>'TUSD BE'!$X$43*'TUSD BE'!$X$61</f>
        <v>0</v>
      </c>
      <c r="Y43" s="61">
        <f>'TUSD BE'!$Y$43*'TUSD BE'!$Y$61</f>
        <v>-16.705187204347197</v>
      </c>
      <c r="Z43" s="61">
        <f>'TUSD BE'!$Z$43*'TUSD BE'!$Z$61</f>
        <v>0</v>
      </c>
      <c r="AA43" s="61">
        <f>'TUSD BE'!$AA$43*'TUSD BE'!$AA$61</f>
        <v>0</v>
      </c>
      <c r="AB43" s="61">
        <f>SUM($U$43:$AA$43)</f>
        <v>-16.705187204347197</v>
      </c>
      <c r="AC43" s="61">
        <f>'TUSD BE'!$AC$43*'TUSD BE'!$AC$61</f>
        <v>12.480752836715233</v>
      </c>
      <c r="AD43" s="61">
        <f>SUM($AC$43:$AC$43)</f>
        <v>12.480752836715233</v>
      </c>
      <c r="AE43" s="61">
        <f ca="1">$AO$43*$AO$58</f>
        <v>-44.788305034484367</v>
      </c>
      <c r="AF43" s="61">
        <f ca="1">$AP$43*$AP$58</f>
        <v>0</v>
      </c>
      <c r="AG43" s="61">
        <f ca="1">SUM($AE$43:$AF$43)</f>
        <v>-44.788305034484367</v>
      </c>
      <c r="AH43" s="61">
        <f>'TUSD BE'!$AH$43*'TUSD BE'!$AH$61</f>
        <v>-3.3489723642270079</v>
      </c>
      <c r="AI43" s="61">
        <f>'TUSD BE'!$AI$43*'TUSD BE'!$AI$61</f>
        <v>-3.4250661326898323E-2</v>
      </c>
      <c r="AJ43" s="61">
        <f ca="1">'TUSD BE'!$AJ$43*'TUSD BE'!$AJ$61</f>
        <v>-0.12589516163518874</v>
      </c>
      <c r="AK43" s="61">
        <f ca="1">'TUSD BE'!$AK$43*'TUSD BE'!$AK$61</f>
        <v>4.4334202298329732E-2</v>
      </c>
      <c r="AL43" s="61">
        <f ca="1">SUM($AH$43:$AK$43)</f>
        <v>-3.4647839848907651</v>
      </c>
      <c r="AM43" s="61">
        <f ca="1">SUMIF($L$4:$AL$4,"SUBTOTAL",$L$43:$AL$43)</f>
        <v>-53.684005497946323</v>
      </c>
      <c r="AO43" s="68">
        <f ca="1">+'TUSD BE'!$T$43+'TUSD BE'!$AB$43+'TUSD BE'!$AD$43+'TUSD BE'!$AL$43</f>
        <v>365.62448600736451</v>
      </c>
      <c r="AP43" s="68">
        <f ca="1">+'TUSD BE'!$T$43+'TUSD BE'!$AB$43+'TUSD BE'!$AD$43+'TUSD BE'!$AL$43</f>
        <v>365.62448600736451</v>
      </c>
    </row>
    <row r="44" spans="1:42" ht="11.25" customHeight="1" x14ac:dyDescent="0.3">
      <c r="A44" s="132"/>
      <c r="B44" s="65" t="s">
        <v>23</v>
      </c>
      <c r="C44" s="65" t="s">
        <v>43</v>
      </c>
      <c r="D44" s="65" t="s">
        <v>97</v>
      </c>
      <c r="E44" s="65" t="s">
        <v>25</v>
      </c>
      <c r="F44" s="65" t="s">
        <v>25</v>
      </c>
      <c r="G44" s="66" t="s">
        <v>81</v>
      </c>
      <c r="H44" s="66" t="s">
        <v>76</v>
      </c>
      <c r="I44" s="66">
        <f>'MERCADO TUSD'!$U$41</f>
        <v>0</v>
      </c>
      <c r="J44" s="15"/>
      <c r="L44" s="61">
        <f>'TUSD BE'!$L$44*'TUSD BE'!$L$61</f>
        <v>-9.0258987104960456E-2</v>
      </c>
      <c r="M44" s="61">
        <f>'TUSD BE'!$M$44*'TUSD BE'!$M$61</f>
        <v>-1.9491624390069004E-2</v>
      </c>
      <c r="N44" s="61">
        <f ca="1">'TUSD BE'!$N$44*'TUSD BE'!$N$61</f>
        <v>-3.1659055145103425E-5</v>
      </c>
      <c r="O44" s="61">
        <f>'TUSD BE'!$O$44*'TUSD BE'!$O$61</f>
        <v>0</v>
      </c>
      <c r="P44" s="61">
        <f>'TUSD BE'!$P$44*'TUSD BE'!$P$61</f>
        <v>0</v>
      </c>
      <c r="Q44" s="61">
        <f>'TUSD BE'!$Q$44*'TUSD BE'!$Q$61</f>
        <v>-0.9531040471094272</v>
      </c>
      <c r="R44" s="61">
        <f>'TUSD BE'!$R$44*'TUSD BE'!$R$61</f>
        <v>-0.1436055413628014</v>
      </c>
      <c r="S44" s="61">
        <f>'TUSD BE'!$R$44*'TUSD BE'!$S$61</f>
        <v>0</v>
      </c>
      <c r="T44" s="61">
        <f ca="1">SUM($L$44:$S$44)</f>
        <v>-1.2064918590224032</v>
      </c>
      <c r="U44" s="61">
        <f>'TUSD BE'!$U$44*'TUSD BE'!$U$61</f>
        <v>0</v>
      </c>
      <c r="V44" s="61">
        <f>'TUSD BE'!$V$44*'TUSD BE'!$V$61</f>
        <v>0</v>
      </c>
      <c r="W44" s="61">
        <f>'TUSD BE'!$W$44*'TUSD BE'!$W$61</f>
        <v>0</v>
      </c>
      <c r="X44" s="61">
        <f>'TUSD BE'!$X$44*'TUSD BE'!$X$61</f>
        <v>0</v>
      </c>
      <c r="Y44" s="61">
        <f>'TUSD BE'!$Y$44*'TUSD BE'!$Y$61</f>
        <v>-26.516177640044145</v>
      </c>
      <c r="Z44" s="61">
        <f>'TUSD BE'!$Z$44*'TUSD BE'!$Z$61</f>
        <v>0</v>
      </c>
      <c r="AA44" s="61">
        <f>'TUSD BE'!$AA$44*'TUSD BE'!$AA$61</f>
        <v>0</v>
      </c>
      <c r="AB44" s="61">
        <f>SUM($U$44:$AA$44)</f>
        <v>-26.516177640044145</v>
      </c>
      <c r="AC44" s="61">
        <f>'TUSD BE'!$AC$44*'TUSD BE'!$AC$61</f>
        <v>19.810715898533843</v>
      </c>
      <c r="AD44" s="61">
        <f>SUM($AC$44:$AC$44)</f>
        <v>19.810715898533843</v>
      </c>
      <c r="AE44" s="61">
        <f ca="1">$AO$44*$AO$58</f>
        <v>-61.545890892764554</v>
      </c>
      <c r="AF44" s="61">
        <f ca="1">$AP$44*$AP$58</f>
        <v>0</v>
      </c>
      <c r="AG44" s="61">
        <f ca="1">SUM($AE$44:$AF$44)</f>
        <v>-61.545890892764554</v>
      </c>
      <c r="AH44" s="61">
        <f>'TUSD BE'!$AH$44*'TUSD BE'!$AH$61</f>
        <v>-3.3489723642270079</v>
      </c>
      <c r="AI44" s="61">
        <f>'TUSD BE'!$AI$44*'TUSD BE'!$AI$61</f>
        <v>-3.4250661326898323E-2</v>
      </c>
      <c r="AJ44" s="61">
        <f ca="1">'TUSD BE'!$AJ$44*'TUSD BE'!$AJ$61</f>
        <v>-0.12589516163518874</v>
      </c>
      <c r="AK44" s="61">
        <f ca="1">'TUSD BE'!$AK$44*'TUSD BE'!$AK$61</f>
        <v>4.4334202298329732E-2</v>
      </c>
      <c r="AL44" s="61">
        <f ca="1">SUM($AH$44:$AK$44)</f>
        <v>-3.4647839848907651</v>
      </c>
      <c r="AM44" s="61">
        <f ca="1">SUMIF($L$4:$AL$4,"SUBTOTAL",$L$44:$AL$44)</f>
        <v>-72.922628478188017</v>
      </c>
      <c r="AO44" s="68">
        <f ca="1">+'TUSD BE'!$T$44+'TUSD BE'!$AB$44+'TUSD BE'!$AD$44+'TUSD BE'!$AL$44</f>
        <v>502.42322646964709</v>
      </c>
      <c r="AP44" s="68">
        <f ca="1">+'TUSD BE'!$T$44+'TUSD BE'!$AB$44+'TUSD BE'!$AD$44+'TUSD BE'!$AL$44</f>
        <v>502.42322646964709</v>
      </c>
    </row>
    <row r="45" spans="1:42" ht="11.25" customHeight="1" x14ac:dyDescent="0.3">
      <c r="A45" s="132"/>
      <c r="B45" s="132" t="s">
        <v>95</v>
      </c>
      <c r="C45" s="132" t="s">
        <v>43</v>
      </c>
      <c r="D45" s="65" t="s">
        <v>25</v>
      </c>
      <c r="E45" s="65" t="s">
        <v>25</v>
      </c>
      <c r="F45" s="65" t="s">
        <v>25</v>
      </c>
      <c r="G45" s="66" t="s">
        <v>81</v>
      </c>
      <c r="H45" s="66" t="s">
        <v>76</v>
      </c>
      <c r="I45" s="66">
        <f>'MERCADO TUSD'!$U$42</f>
        <v>0</v>
      </c>
      <c r="J45" s="15"/>
      <c r="L45" s="61">
        <f>'TUSD BE'!$L$45*'TUSD BE'!$L$61</f>
        <v>-9.0258987104960456E-2</v>
      </c>
      <c r="M45" s="61">
        <f>'TUSD BE'!$M$45*'TUSD BE'!$M$61</f>
        <v>-1.9491624390069004E-2</v>
      </c>
      <c r="N45" s="61">
        <f ca="1">'TUSD BE'!$N$45*'TUSD BE'!$N$61</f>
        <v>-3.1659055145103425E-5</v>
      </c>
      <c r="O45" s="61">
        <f>'TUSD BE'!$O$45*'TUSD BE'!$O$61</f>
        <v>0</v>
      </c>
      <c r="P45" s="61">
        <f>'TUSD BE'!$P$45*'TUSD BE'!$P$61</f>
        <v>0</v>
      </c>
      <c r="Q45" s="61">
        <f>'TUSD BE'!$Q$45*'TUSD BE'!$Q$61</f>
        <v>-0.9531040471094272</v>
      </c>
      <c r="R45" s="61">
        <f>'TUSD BE'!$R$45*'TUSD BE'!$R$61</f>
        <v>-0.1436055413628014</v>
      </c>
      <c r="S45" s="61">
        <f>'TUSD BE'!$R$45*'TUSD BE'!$S$61</f>
        <v>0</v>
      </c>
      <c r="T45" s="61">
        <f ca="1">SUM($L$45:$S$45)</f>
        <v>-1.2064918590224032</v>
      </c>
      <c r="U45" s="61">
        <f>'TUSD BE'!$U$45*'TUSD BE'!$U$61</f>
        <v>0</v>
      </c>
      <c r="V45" s="61">
        <f>'TUSD BE'!$V$45*'TUSD BE'!$V$61</f>
        <v>0</v>
      </c>
      <c r="W45" s="61">
        <f>'TUSD BE'!$W$45*'TUSD BE'!$W$61</f>
        <v>0</v>
      </c>
      <c r="X45" s="61">
        <f>'TUSD BE'!$X$45*'TUSD BE'!$X$61</f>
        <v>0</v>
      </c>
      <c r="Y45" s="61">
        <f>'TUSD BE'!$Y$45*'TUSD BE'!$Y$61</f>
        <v>-26.516177640044145</v>
      </c>
      <c r="Z45" s="61">
        <f>'TUSD BE'!$Z$45*'TUSD BE'!$Z$61</f>
        <v>0</v>
      </c>
      <c r="AA45" s="61">
        <f>'TUSD BE'!$AA$45*'TUSD BE'!$AA$61</f>
        <v>0</v>
      </c>
      <c r="AB45" s="61">
        <f>SUM($U$45:$AA$45)</f>
        <v>-26.516177640044145</v>
      </c>
      <c r="AC45" s="61">
        <f>'TUSD BE'!$AC$45*'TUSD BE'!$AC$61</f>
        <v>19.810715898533843</v>
      </c>
      <c r="AD45" s="61">
        <f>SUM($AC$45:$AC$45)</f>
        <v>19.810715898533843</v>
      </c>
      <c r="AE45" s="61">
        <f ca="1">$AO$45*$AO$58</f>
        <v>-61.545890892764554</v>
      </c>
      <c r="AF45" s="61">
        <f ca="1">$AP$45*$AP$58</f>
        <v>0</v>
      </c>
      <c r="AG45" s="61">
        <f ca="1">SUM($AE$45:$AF$45)</f>
        <v>-61.545890892764554</v>
      </c>
      <c r="AH45" s="61">
        <f>'TUSD BE'!$AH$45*'TUSD BE'!$AH$61</f>
        <v>-3.3489723642270079</v>
      </c>
      <c r="AI45" s="61">
        <f>'TUSD BE'!$AI$45*'TUSD BE'!$AI$61</f>
        <v>-3.4250661326898323E-2</v>
      </c>
      <c r="AJ45" s="61">
        <f ca="1">'TUSD BE'!$AJ$45*'TUSD BE'!$AJ$61</f>
        <v>-0.12589516163518874</v>
      </c>
      <c r="AK45" s="61">
        <f ca="1">'TUSD BE'!$AK$45*'TUSD BE'!$AK$61</f>
        <v>4.4334202298329732E-2</v>
      </c>
      <c r="AL45" s="61">
        <f ca="1">SUM($AH$45:$AK$45)</f>
        <v>-3.4647839848907651</v>
      </c>
      <c r="AM45" s="61">
        <f ca="1">SUMIF($L$4:$AL$4,"SUBTOTAL",$L$45:$AL$45)</f>
        <v>-72.922628478188017</v>
      </c>
      <c r="AO45" s="68">
        <f ca="1">+'TUSD BE'!$T$45+'TUSD BE'!$AB$45+'TUSD BE'!$AD$45+'TUSD BE'!$AL$45</f>
        <v>502.42322646964709</v>
      </c>
      <c r="AP45" s="68">
        <f ca="1">+'TUSD BE'!$T$45+'TUSD BE'!$AB$45+'TUSD BE'!$AD$45+'TUSD BE'!$AL$45</f>
        <v>502.42322646964709</v>
      </c>
    </row>
    <row r="46" spans="1:42" ht="11.25" customHeight="1" x14ac:dyDescent="0.3">
      <c r="A46" s="132"/>
      <c r="B46" s="132"/>
      <c r="C46" s="132"/>
      <c r="D46" s="65" t="s">
        <v>96</v>
      </c>
      <c r="E46" s="65" t="s">
        <v>25</v>
      </c>
      <c r="F46" s="65" t="s">
        <v>25</v>
      </c>
      <c r="G46" s="66" t="s">
        <v>81</v>
      </c>
      <c r="H46" s="66" t="s">
        <v>76</v>
      </c>
      <c r="I46" s="66">
        <f>'MERCADO TUSD'!$U$43</f>
        <v>0</v>
      </c>
      <c r="J46" s="15"/>
      <c r="L46" s="61">
        <f>'TUSD BE'!$L$46*'TUSD BE'!$L$61</f>
        <v>-9.0258987104960456E-2</v>
      </c>
      <c r="M46" s="61">
        <f>'TUSD BE'!$M$46*'TUSD BE'!$M$61</f>
        <v>-1.9491624390069004E-2</v>
      </c>
      <c r="N46" s="61">
        <f ca="1">'TUSD BE'!$N$46*'TUSD BE'!$N$61</f>
        <v>-3.1659055145103425E-5</v>
      </c>
      <c r="O46" s="61">
        <f>'TUSD BE'!$O$46*'TUSD BE'!$O$61</f>
        <v>0</v>
      </c>
      <c r="P46" s="61">
        <f>'TUSD BE'!$P$46*'TUSD BE'!$P$61</f>
        <v>0</v>
      </c>
      <c r="Q46" s="61">
        <f>'TUSD BE'!$Q$46*'TUSD BE'!$Q$61</f>
        <v>-0.9531040471094272</v>
      </c>
      <c r="R46" s="61">
        <f>'TUSD BE'!$R$46*'TUSD BE'!$R$61</f>
        <v>-0.1436055413628014</v>
      </c>
      <c r="S46" s="61">
        <f>'TUSD BE'!$R$46*'TUSD BE'!$S$61</f>
        <v>0</v>
      </c>
      <c r="T46" s="61">
        <f ca="1">SUM($L$46:$S$46)</f>
        <v>-1.2064918590224032</v>
      </c>
      <c r="U46" s="61">
        <f>'TUSD BE'!$U$46*'TUSD BE'!$U$61</f>
        <v>0</v>
      </c>
      <c r="V46" s="61">
        <f>'TUSD BE'!$V$46*'TUSD BE'!$V$61</f>
        <v>0</v>
      </c>
      <c r="W46" s="61">
        <f>'TUSD BE'!$W$46*'TUSD BE'!$W$61</f>
        <v>0</v>
      </c>
      <c r="X46" s="61">
        <f>'TUSD BE'!$X$46*'TUSD BE'!$X$61</f>
        <v>0</v>
      </c>
      <c r="Y46" s="61">
        <f>'TUSD BE'!$Y$46*'TUSD BE'!$Y$61</f>
        <v>-26.516177640044145</v>
      </c>
      <c r="Z46" s="61">
        <f>'TUSD BE'!$Z$46*'TUSD BE'!$Z$61</f>
        <v>0</v>
      </c>
      <c r="AA46" s="61">
        <f>'TUSD BE'!$AA$46*'TUSD BE'!$AA$61</f>
        <v>0</v>
      </c>
      <c r="AB46" s="61">
        <f>SUM($U$46:$AA$46)</f>
        <v>-26.516177640044145</v>
      </c>
      <c r="AC46" s="61">
        <f>'TUSD BE'!$AC$46*'TUSD BE'!$AC$61</f>
        <v>19.810715898533843</v>
      </c>
      <c r="AD46" s="61">
        <f>SUM($AC$46:$AC$46)</f>
        <v>19.810715898533843</v>
      </c>
      <c r="AE46" s="61">
        <f ca="1">$AO$46*$AO$58</f>
        <v>-61.545890892764554</v>
      </c>
      <c r="AF46" s="61">
        <f ca="1">$AP$46*$AP$58</f>
        <v>0</v>
      </c>
      <c r="AG46" s="61">
        <f ca="1">SUM($AE$46:$AF$46)</f>
        <v>-61.545890892764554</v>
      </c>
      <c r="AH46" s="61">
        <f>'TUSD BE'!$AH$46*'TUSD BE'!$AH$61</f>
        <v>-3.3489723642270079</v>
      </c>
      <c r="AI46" s="61">
        <f>'TUSD BE'!$AI$46*'TUSD BE'!$AI$61</f>
        <v>-3.4250661326898323E-2</v>
      </c>
      <c r="AJ46" s="61">
        <f ca="1">'TUSD BE'!$AJ$46*'TUSD BE'!$AJ$61</f>
        <v>-0.12589516163518874</v>
      </c>
      <c r="AK46" s="61">
        <f ca="1">'TUSD BE'!$AK$46*'TUSD BE'!$AK$61</f>
        <v>4.4334202298329732E-2</v>
      </c>
      <c r="AL46" s="61">
        <f ca="1">SUM($AH$46:$AK$46)</f>
        <v>-3.4647839848907651</v>
      </c>
      <c r="AM46" s="61">
        <f ca="1">SUMIF($L$4:$AL$4,"SUBTOTAL",$L$46:$AL$46)</f>
        <v>-72.922628478188017</v>
      </c>
      <c r="AO46" s="68">
        <f ca="1">+'TUSD BE'!$T$46+'TUSD BE'!$AB$46+'TUSD BE'!$AD$46+'TUSD BE'!$AL$46</f>
        <v>502.42322646964709</v>
      </c>
      <c r="AP46" s="68">
        <f ca="1">+'TUSD BE'!$T$46+'TUSD BE'!$AB$46+'TUSD BE'!$AD$46+'TUSD BE'!$AL$46</f>
        <v>502.42322646964709</v>
      </c>
    </row>
    <row r="47" spans="1:42" ht="11.25" customHeight="1" x14ac:dyDescent="0.3">
      <c r="A47" s="132"/>
      <c r="B47" s="132"/>
      <c r="C47" s="132"/>
      <c r="D47" s="65" t="s">
        <v>97</v>
      </c>
      <c r="E47" s="65" t="s">
        <v>25</v>
      </c>
      <c r="F47" s="65" t="s">
        <v>25</v>
      </c>
      <c r="G47" s="66" t="s">
        <v>81</v>
      </c>
      <c r="H47" s="66" t="s">
        <v>76</v>
      </c>
      <c r="I47" s="66">
        <f>'MERCADO TUSD'!$U$44</f>
        <v>0</v>
      </c>
      <c r="J47" s="15"/>
      <c r="L47" s="61">
        <f>'TUSD BE'!$L$47*'TUSD BE'!$L$61</f>
        <v>-9.0258987104960456E-2</v>
      </c>
      <c r="M47" s="61">
        <f>'TUSD BE'!$M$47*'TUSD BE'!$M$61</f>
        <v>-1.9491624390069004E-2</v>
      </c>
      <c r="N47" s="61">
        <f ca="1">'TUSD BE'!$N$47*'TUSD BE'!$N$61</f>
        <v>-3.1659055145103425E-5</v>
      </c>
      <c r="O47" s="61">
        <f>'TUSD BE'!$O$47*'TUSD BE'!$O$61</f>
        <v>0</v>
      </c>
      <c r="P47" s="61">
        <f>'TUSD BE'!$P$47*'TUSD BE'!$P$61</f>
        <v>0</v>
      </c>
      <c r="Q47" s="61">
        <f>'TUSD BE'!$Q$47*'TUSD BE'!$Q$61</f>
        <v>-0.9531040471094272</v>
      </c>
      <c r="R47" s="61">
        <f>'TUSD BE'!$R$47*'TUSD BE'!$R$61</f>
        <v>-0.1436055413628014</v>
      </c>
      <c r="S47" s="61">
        <f>'TUSD BE'!$R$47*'TUSD BE'!$S$61</f>
        <v>0</v>
      </c>
      <c r="T47" s="61">
        <f ca="1">SUM($L$47:$S$47)</f>
        <v>-1.2064918590224032</v>
      </c>
      <c r="U47" s="61">
        <f>'TUSD BE'!$U$47*'TUSD BE'!$U$61</f>
        <v>0</v>
      </c>
      <c r="V47" s="61">
        <f>'TUSD BE'!$V$47*'TUSD BE'!$V$61</f>
        <v>0</v>
      </c>
      <c r="W47" s="61">
        <f>'TUSD BE'!$W$47*'TUSD BE'!$W$61</f>
        <v>0</v>
      </c>
      <c r="X47" s="61">
        <f>'TUSD BE'!$X$47*'TUSD BE'!$X$61</f>
        <v>0</v>
      </c>
      <c r="Y47" s="61">
        <f>'TUSD BE'!$Y$47*'TUSD BE'!$Y$61</f>
        <v>-26.516177640044145</v>
      </c>
      <c r="Z47" s="61">
        <f>'TUSD BE'!$Z$47*'TUSD BE'!$Z$61</f>
        <v>0</v>
      </c>
      <c r="AA47" s="61">
        <f>'TUSD BE'!$AA$47*'TUSD BE'!$AA$61</f>
        <v>0</v>
      </c>
      <c r="AB47" s="61">
        <f>SUM($U$47:$AA$47)</f>
        <v>-26.516177640044145</v>
      </c>
      <c r="AC47" s="61">
        <f>'TUSD BE'!$AC$47*'TUSD BE'!$AC$61</f>
        <v>19.810715898533843</v>
      </c>
      <c r="AD47" s="61">
        <f>SUM($AC$47:$AC$47)</f>
        <v>19.810715898533843</v>
      </c>
      <c r="AE47" s="61">
        <f ca="1">$AO$47*$AO$58</f>
        <v>-61.545890892764554</v>
      </c>
      <c r="AF47" s="61">
        <f ca="1">$AP$47*$AP$58</f>
        <v>0</v>
      </c>
      <c r="AG47" s="61">
        <f ca="1">SUM($AE$47:$AF$47)</f>
        <v>-61.545890892764554</v>
      </c>
      <c r="AH47" s="61">
        <f>'TUSD BE'!$AH$47*'TUSD BE'!$AH$61</f>
        <v>-3.3489723642270079</v>
      </c>
      <c r="AI47" s="61">
        <f>'TUSD BE'!$AI$47*'TUSD BE'!$AI$61</f>
        <v>-3.4250661326898323E-2</v>
      </c>
      <c r="AJ47" s="61">
        <f ca="1">'TUSD BE'!$AJ$47*'TUSD BE'!$AJ$61</f>
        <v>-0.12589516163518874</v>
      </c>
      <c r="AK47" s="61">
        <f ca="1">'TUSD BE'!$AK$47*'TUSD BE'!$AK$61</f>
        <v>4.4334202298329732E-2</v>
      </c>
      <c r="AL47" s="61">
        <f ca="1">SUM($AH$47:$AK$47)</f>
        <v>-3.4647839848907651</v>
      </c>
      <c r="AM47" s="61">
        <f ca="1">SUMIF($L$4:$AL$4,"SUBTOTAL",$L$47:$AL$47)</f>
        <v>-72.922628478188017</v>
      </c>
      <c r="AO47" s="68">
        <f ca="1">+'TUSD BE'!$T$47+'TUSD BE'!$AB$47+'TUSD BE'!$AD$47+'TUSD BE'!$AL$47</f>
        <v>502.42322646964709</v>
      </c>
      <c r="AP47" s="68">
        <f ca="1">+'TUSD BE'!$T$47+'TUSD BE'!$AB$47+'TUSD BE'!$AD$47+'TUSD BE'!$AL$47</f>
        <v>502.42322646964709</v>
      </c>
    </row>
    <row r="48" spans="1:42" ht="11.25" customHeight="1" x14ac:dyDescent="0.3">
      <c r="A48" s="132" t="s">
        <v>37</v>
      </c>
      <c r="B48" s="132" t="s">
        <v>33</v>
      </c>
      <c r="C48" s="132" t="s">
        <v>25</v>
      </c>
      <c r="D48" s="132" t="s">
        <v>25</v>
      </c>
      <c r="E48" s="132" t="s">
        <v>25</v>
      </c>
      <c r="F48" s="132" t="s">
        <v>25</v>
      </c>
      <c r="G48" s="66" t="s">
        <v>77</v>
      </c>
      <c r="H48" s="66" t="s">
        <v>76</v>
      </c>
      <c r="I48" s="66">
        <f>'MERCADO TUSD'!$U$45</f>
        <v>9.1080000000000005</v>
      </c>
      <c r="J48" s="15"/>
      <c r="L48" s="61">
        <f>'TUSD BE'!$L$48*'TUSD BE'!$L$61</f>
        <v>-9.0258987104960456E-2</v>
      </c>
      <c r="M48" s="61">
        <f>'TUSD BE'!$M$48*'TUSD BE'!$M$61</f>
        <v>-1.9491624390069004E-2</v>
      </c>
      <c r="N48" s="61">
        <f ca="1">'TUSD BE'!$N$48*'TUSD BE'!$N$61</f>
        <v>-1.0015909993501065E-4</v>
      </c>
      <c r="O48" s="61">
        <f>'TUSD BE'!$O$48*'TUSD BE'!$O$61</f>
        <v>0</v>
      </c>
      <c r="P48" s="61">
        <f>'TUSD BE'!$P$48*'TUSD BE'!$P$61</f>
        <v>0</v>
      </c>
      <c r="Q48" s="61">
        <f>'TUSD BE'!$Q$48*'TUSD BE'!$Q$61</f>
        <v>-0.9531040471094272</v>
      </c>
      <c r="R48" s="61">
        <f>'TUSD BE'!$R$48*'TUSD BE'!$R$61</f>
        <v>-0.1436055413628014</v>
      </c>
      <c r="S48" s="61">
        <f>'TUSD BE'!$R$48*'TUSD BE'!$S$61</f>
        <v>0</v>
      </c>
      <c r="T48" s="61">
        <f ca="1">SUM($L$48:$S$48)</f>
        <v>-1.2065603590671932</v>
      </c>
      <c r="U48" s="61">
        <f>'TUSD BE'!$U$48*'TUSD BE'!$U$61</f>
        <v>0</v>
      </c>
      <c r="V48" s="61">
        <f>'TUSD BE'!$V$48*'TUSD BE'!$V$61</f>
        <v>0</v>
      </c>
      <c r="W48" s="61">
        <f>'TUSD BE'!$W$48*'TUSD BE'!$W$61</f>
        <v>0</v>
      </c>
      <c r="X48" s="61">
        <f>'TUSD BE'!$X$48*'TUSD BE'!$X$61</f>
        <v>0</v>
      </c>
      <c r="Y48" s="61">
        <f>'TUSD BE'!$Y$48*'TUSD BE'!$Y$61</f>
        <v>-95.458258339681393</v>
      </c>
      <c r="Z48" s="61">
        <f>'TUSD BE'!$Z$48*'TUSD BE'!$Z$61</f>
        <v>0</v>
      </c>
      <c r="AA48" s="61">
        <f>'TUSD BE'!$AA$48*'TUSD BE'!$AA$61</f>
        <v>0</v>
      </c>
      <c r="AB48" s="61">
        <f>SUM($U$48:$AA$48)</f>
        <v>-95.458258339681393</v>
      </c>
      <c r="AC48" s="61">
        <f>'TUSD BE'!$AC$48*'TUSD BE'!$AC$61</f>
        <v>71.318573188857584</v>
      </c>
      <c r="AD48" s="61">
        <f>SUM($AC$48:$AC$48)</f>
        <v>71.318573188857584</v>
      </c>
      <c r="AE48" s="61">
        <f ca="1">$AO$48*$AO$58</f>
        <v>-179.30190100830532</v>
      </c>
      <c r="AF48" s="61">
        <f ca="1">$AP$48*$AP$58</f>
        <v>0</v>
      </c>
      <c r="AG48" s="61">
        <f ca="1">SUM($AE$48:$AF$48)</f>
        <v>-179.30190100830532</v>
      </c>
      <c r="AH48" s="61">
        <f>'TUSD BE'!$AH$48*'TUSD BE'!$AH$61</f>
        <v>-3.3489723642270079</v>
      </c>
      <c r="AI48" s="61">
        <f>'TUSD BE'!$AI$48*'TUSD BE'!$AI$61</f>
        <v>-3.4250661326898323E-2</v>
      </c>
      <c r="AJ48" s="61">
        <f ca="1">'TUSD BE'!$AJ$48*'TUSD BE'!$AJ$61</f>
        <v>-0.12589516163518874</v>
      </c>
      <c r="AK48" s="61">
        <f ca="1">'TUSD BE'!$AK$48*'TUSD BE'!$AK$61</f>
        <v>4.4334202298329732E-2</v>
      </c>
      <c r="AL48" s="61">
        <f ca="1">SUM($AH$48:$AK$48)</f>
        <v>-3.4647839848907651</v>
      </c>
      <c r="AM48" s="61">
        <f ca="1">SUMIF($L$4:$AL$4,"SUBTOTAL",$L$48:$AL$48)</f>
        <v>-208.11293050308709</v>
      </c>
      <c r="AO48" s="68">
        <f ca="1">+'TUSD BE'!$T$48+'TUSD BE'!$AB$48+'TUSD BE'!$AD$48+'TUSD BE'!$AL$48</f>
        <v>1463.711684240558</v>
      </c>
      <c r="AP48" s="68">
        <f ca="1">+'TUSD BE'!$T$48+'TUSD BE'!$AB$48+'TUSD BE'!$AD$48+'TUSD BE'!$AL$48</f>
        <v>1463.711684240558</v>
      </c>
    </row>
    <row r="49" spans="1:42" ht="11.25" customHeight="1" x14ac:dyDescent="0.3">
      <c r="A49" s="132"/>
      <c r="B49" s="132"/>
      <c r="C49" s="132"/>
      <c r="D49" s="132"/>
      <c r="E49" s="132"/>
      <c r="F49" s="132"/>
      <c r="G49" s="66" t="s">
        <v>93</v>
      </c>
      <c r="H49" s="66" t="s">
        <v>76</v>
      </c>
      <c r="I49" s="66">
        <f>'MERCADO TUSD'!$U$46</f>
        <v>0.627</v>
      </c>
      <c r="J49" s="15"/>
      <c r="L49" s="61">
        <f>'TUSD BE'!$L$49*'TUSD BE'!$L$61</f>
        <v>-9.0258987104960456E-2</v>
      </c>
      <c r="M49" s="61">
        <f>'TUSD BE'!$M$49*'TUSD BE'!$M$61</f>
        <v>-1.9491624390069004E-2</v>
      </c>
      <c r="N49" s="61">
        <f ca="1">'TUSD BE'!$N$49*'TUSD BE'!$N$61</f>
        <v>-6.2220617442749582E-5</v>
      </c>
      <c r="O49" s="61">
        <f>'TUSD BE'!$O$49*'TUSD BE'!$O$61</f>
        <v>0</v>
      </c>
      <c r="P49" s="61">
        <f>'TUSD BE'!$P$49*'TUSD BE'!$P$61</f>
        <v>0</v>
      </c>
      <c r="Q49" s="61">
        <f>'TUSD BE'!$Q$49*'TUSD BE'!$Q$61</f>
        <v>-0.9531040471094272</v>
      </c>
      <c r="R49" s="61">
        <f>'TUSD BE'!$R$49*'TUSD BE'!$R$61</f>
        <v>-0.1436055413628014</v>
      </c>
      <c r="S49" s="61">
        <f>'TUSD BE'!$R$49*'TUSD BE'!$S$61</f>
        <v>0</v>
      </c>
      <c r="T49" s="61">
        <f ca="1">SUM($L$49:$S$49)</f>
        <v>-1.2065224205847009</v>
      </c>
      <c r="U49" s="61">
        <f>'TUSD BE'!$U$49*'TUSD BE'!$U$61</f>
        <v>0</v>
      </c>
      <c r="V49" s="61">
        <f>'TUSD BE'!$V$49*'TUSD BE'!$V$61</f>
        <v>0</v>
      </c>
      <c r="W49" s="61">
        <f>'TUSD BE'!$W$49*'TUSD BE'!$W$61</f>
        <v>0</v>
      </c>
      <c r="X49" s="61">
        <f>'TUSD BE'!$X$49*'TUSD BE'!$X$61</f>
        <v>0</v>
      </c>
      <c r="Y49" s="61">
        <f>'TUSD BE'!$Y$49*'TUSD BE'!$Y$61</f>
        <v>-57.274962538017817</v>
      </c>
      <c r="Z49" s="61">
        <f>'TUSD BE'!$Z$49*'TUSD BE'!$Z$61</f>
        <v>0</v>
      </c>
      <c r="AA49" s="61">
        <f>'TUSD BE'!$AA$49*'TUSD BE'!$AA$61</f>
        <v>0</v>
      </c>
      <c r="AB49" s="61">
        <f>SUM($U$49:$AA$49)</f>
        <v>-57.274962538017817</v>
      </c>
      <c r="AC49" s="61">
        <f>'TUSD BE'!$AC$49*'TUSD BE'!$AC$61</f>
        <v>42.791143913314556</v>
      </c>
      <c r="AD49" s="61">
        <f>SUM($AC$49:$AC$49)</f>
        <v>42.791143913314556</v>
      </c>
      <c r="AE49" s="61">
        <f ca="1">$AO$49*$AO$58</f>
        <v>-114.08319436854192</v>
      </c>
      <c r="AF49" s="61">
        <f ca="1">$AP$49*$AP$58</f>
        <v>0</v>
      </c>
      <c r="AG49" s="61">
        <f ca="1">SUM($AE$49:$AF$49)</f>
        <v>-114.08319436854192</v>
      </c>
      <c r="AH49" s="61">
        <f>'TUSD BE'!$AH$49*'TUSD BE'!$AH$61</f>
        <v>-3.3489723642270079</v>
      </c>
      <c r="AI49" s="61">
        <f>'TUSD BE'!$AI$49*'TUSD BE'!$AI$61</f>
        <v>-3.4250661326898323E-2</v>
      </c>
      <c r="AJ49" s="61">
        <f ca="1">'TUSD BE'!$AJ$49*'TUSD BE'!$AJ$61</f>
        <v>-0.12589516163518874</v>
      </c>
      <c r="AK49" s="61">
        <f ca="1">'TUSD BE'!$AK$49*'TUSD BE'!$AK$61</f>
        <v>4.4334202298329732E-2</v>
      </c>
      <c r="AL49" s="61">
        <f ca="1">SUM($AH$49:$AK$49)</f>
        <v>-3.4647839848907651</v>
      </c>
      <c r="AM49" s="61">
        <f ca="1">SUMIF($L$4:$AL$4,"SUBTOTAL",$L$49:$AL$49)</f>
        <v>-133.23831939872068</v>
      </c>
      <c r="AO49" s="68">
        <f ca="1">+'TUSD BE'!$T$49+'TUSD BE'!$AB$49+'TUSD BE'!$AD$49+'TUSD BE'!$AL$49</f>
        <v>931.30582349479198</v>
      </c>
      <c r="AP49" s="68">
        <f ca="1">+'TUSD BE'!$T$49+'TUSD BE'!$AB$49+'TUSD BE'!$AD$49+'TUSD BE'!$AL$49</f>
        <v>931.30582349479198</v>
      </c>
    </row>
    <row r="50" spans="1:42" ht="11.25" customHeight="1" x14ac:dyDescent="0.3">
      <c r="A50" s="132"/>
      <c r="B50" s="132"/>
      <c r="C50" s="132"/>
      <c r="D50" s="132"/>
      <c r="E50" s="132"/>
      <c r="F50" s="132"/>
      <c r="G50" s="66" t="s">
        <v>78</v>
      </c>
      <c r="H50" s="66" t="s">
        <v>76</v>
      </c>
      <c r="I50" s="66">
        <f>'MERCADO TUSD'!$U$47</f>
        <v>7.484</v>
      </c>
      <c r="J50" s="15"/>
      <c r="L50" s="61">
        <f>'TUSD BE'!$L$50*'TUSD BE'!$L$61</f>
        <v>-9.0258987104960456E-2</v>
      </c>
      <c r="M50" s="61">
        <f>'TUSD BE'!$M$50*'TUSD BE'!$M$61</f>
        <v>-1.9491624390069004E-2</v>
      </c>
      <c r="N50" s="61">
        <f ca="1">'TUSD BE'!$N$50*'TUSD BE'!$N$61</f>
        <v>-2.4282127124248169E-5</v>
      </c>
      <c r="O50" s="61">
        <f>'TUSD BE'!$O$50*'TUSD BE'!$O$61</f>
        <v>0</v>
      </c>
      <c r="P50" s="61">
        <f>'TUSD BE'!$P$50*'TUSD BE'!$P$61</f>
        <v>0</v>
      </c>
      <c r="Q50" s="61">
        <f>'TUSD BE'!$Q$50*'TUSD BE'!$Q$61</f>
        <v>-0.9531040471094272</v>
      </c>
      <c r="R50" s="61">
        <f>'TUSD BE'!$R$50*'TUSD BE'!$R$61</f>
        <v>-0.1436055413628014</v>
      </c>
      <c r="S50" s="61">
        <f>'TUSD BE'!$R$50*'TUSD BE'!$S$61</f>
        <v>0</v>
      </c>
      <c r="T50" s="61">
        <f ca="1">SUM($L$50:$S$50)</f>
        <v>-1.2064844820943823</v>
      </c>
      <c r="U50" s="61">
        <f>'TUSD BE'!$U$50*'TUSD BE'!$U$61</f>
        <v>0</v>
      </c>
      <c r="V50" s="61">
        <f>'TUSD BE'!$V$50*'TUSD BE'!$V$61</f>
        <v>0</v>
      </c>
      <c r="W50" s="61">
        <f>'TUSD BE'!$W$50*'TUSD BE'!$W$61</f>
        <v>0</v>
      </c>
      <c r="X50" s="61">
        <f>'TUSD BE'!$X$50*'TUSD BE'!$X$61</f>
        <v>0</v>
      </c>
      <c r="Y50" s="61">
        <f>'TUSD BE'!$Y$50*'TUSD BE'!$Y$61</f>
        <v>-19.091647900831784</v>
      </c>
      <c r="Z50" s="61">
        <f>'TUSD BE'!$Z$50*'TUSD BE'!$Z$61</f>
        <v>0</v>
      </c>
      <c r="AA50" s="61">
        <f>'TUSD BE'!$AA$50*'TUSD BE'!$AA$61</f>
        <v>0</v>
      </c>
      <c r="AB50" s="61">
        <f>SUM($U$50:$AA$50)</f>
        <v>-19.091647900831784</v>
      </c>
      <c r="AC50" s="61">
        <f>'TUSD BE'!$AC$50*'TUSD BE'!$AC$61</f>
        <v>14.263714637771514</v>
      </c>
      <c r="AD50" s="61">
        <f>SUM($AC$50:$AC$50)</f>
        <v>14.263714637771514</v>
      </c>
      <c r="AE50" s="61">
        <f ca="1">$AO$50*$AO$58</f>
        <v>-48.864474222159551</v>
      </c>
      <c r="AF50" s="61">
        <f ca="1">$AP$50*$AP$58</f>
        <v>0</v>
      </c>
      <c r="AG50" s="61">
        <f ca="1">SUM($AE$50:$AF$50)</f>
        <v>-48.864474222159551</v>
      </c>
      <c r="AH50" s="61">
        <f>'TUSD BE'!$AH$50*'TUSD BE'!$AH$61</f>
        <v>-3.3489723642270079</v>
      </c>
      <c r="AI50" s="61">
        <f>'TUSD BE'!$AI$50*'TUSD BE'!$AI$61</f>
        <v>-3.4250661326898323E-2</v>
      </c>
      <c r="AJ50" s="61">
        <f ca="1">'TUSD BE'!$AJ$50*'TUSD BE'!$AJ$61</f>
        <v>-0.12589516163518874</v>
      </c>
      <c r="AK50" s="61">
        <f ca="1">'TUSD BE'!$AK$50*'TUSD BE'!$AK$61</f>
        <v>4.4334202298329732E-2</v>
      </c>
      <c r="AL50" s="61">
        <f ca="1">SUM($AH$50:$AK$50)</f>
        <v>-3.4647839848907651</v>
      </c>
      <c r="AM50" s="61">
        <f ca="1">SUMIF($L$4:$AL$4,"SUBTOTAL",$L$50:$AL$50)</f>
        <v>-58.363675952204964</v>
      </c>
      <c r="AO50" s="68">
        <f ca="1">+'TUSD BE'!$T$50+'TUSD BE'!$AB$50+'TUSD BE'!$AD$50+'TUSD BE'!$AL$50</f>
        <v>398.89985248920203</v>
      </c>
      <c r="AP50" s="68">
        <f ca="1">+'TUSD BE'!$T$50+'TUSD BE'!$AB$50+'TUSD BE'!$AD$50+'TUSD BE'!$AL$50</f>
        <v>398.89985248920203</v>
      </c>
    </row>
    <row r="51" spans="1:42" ht="11.25" customHeight="1" x14ac:dyDescent="0.3">
      <c r="A51" s="132"/>
      <c r="B51" s="65" t="s">
        <v>23</v>
      </c>
      <c r="C51" s="65" t="s">
        <v>25</v>
      </c>
      <c r="D51" s="65" t="s">
        <v>25</v>
      </c>
      <c r="E51" s="65" t="s">
        <v>25</v>
      </c>
      <c r="F51" s="65" t="s">
        <v>25</v>
      </c>
      <c r="G51" s="66" t="s">
        <v>81</v>
      </c>
      <c r="H51" s="66" t="s">
        <v>76</v>
      </c>
      <c r="I51" s="66">
        <f>'MERCADO TUSD'!$U$48</f>
        <v>11812.039999999999</v>
      </c>
      <c r="J51" s="15"/>
      <c r="L51" s="61">
        <f>'TUSD BE'!$L$51*'TUSD BE'!$L$61</f>
        <v>-9.0258987104960456E-2</v>
      </c>
      <c r="M51" s="61">
        <f>'TUSD BE'!$M$51*'TUSD BE'!$M$61</f>
        <v>-1.9491624390069004E-2</v>
      </c>
      <c r="N51" s="61">
        <f ca="1">'TUSD BE'!$N$51*'TUSD BE'!$N$61</f>
        <v>-3.1659055145103425E-5</v>
      </c>
      <c r="O51" s="61">
        <f>'TUSD BE'!$O$51*'TUSD BE'!$O$61</f>
        <v>0</v>
      </c>
      <c r="P51" s="61">
        <f>'TUSD BE'!$P$51*'TUSD BE'!$P$61</f>
        <v>0</v>
      </c>
      <c r="Q51" s="61">
        <f>'TUSD BE'!$Q$51*'TUSD BE'!$Q$61</f>
        <v>-0.9531040471094272</v>
      </c>
      <c r="R51" s="61">
        <f>'TUSD BE'!$R$51*'TUSD BE'!$R$61</f>
        <v>-0.1436055413628014</v>
      </c>
      <c r="S51" s="61">
        <f>'TUSD BE'!$R$51*'TUSD BE'!$S$61</f>
        <v>0</v>
      </c>
      <c r="T51" s="61">
        <f ca="1">SUM($L$51:$S$51)</f>
        <v>-1.2064918590224032</v>
      </c>
      <c r="U51" s="61">
        <f>'TUSD BE'!$U$51*'TUSD BE'!$U$61</f>
        <v>0</v>
      </c>
      <c r="V51" s="61">
        <f>'TUSD BE'!$V$51*'TUSD BE'!$V$61</f>
        <v>0</v>
      </c>
      <c r="W51" s="61">
        <f>'TUSD BE'!$W$51*'TUSD BE'!$W$61</f>
        <v>0</v>
      </c>
      <c r="X51" s="61">
        <f>'TUSD BE'!$X$51*'TUSD BE'!$X$61</f>
        <v>0</v>
      </c>
      <c r="Y51" s="61">
        <f>'TUSD BE'!$Y$51*'TUSD BE'!$Y$61</f>
        <v>-26.516177640044145</v>
      </c>
      <c r="Z51" s="61">
        <f>'TUSD BE'!$Z$51*'TUSD BE'!$Z$61</f>
        <v>0</v>
      </c>
      <c r="AA51" s="61">
        <f>'TUSD BE'!$AA$51*'TUSD BE'!$AA$61</f>
        <v>0</v>
      </c>
      <c r="AB51" s="61">
        <f>SUM($U$51:$AA$51)</f>
        <v>-26.516177640044145</v>
      </c>
      <c r="AC51" s="61">
        <f>'TUSD BE'!$AC$51*'TUSD BE'!$AC$61</f>
        <v>19.810715898533843</v>
      </c>
      <c r="AD51" s="61">
        <f>SUM($AC$51:$AC$51)</f>
        <v>19.810715898533843</v>
      </c>
      <c r="AE51" s="61">
        <f ca="1">$AO$51*$AO$58</f>
        <v>-61.545890892764554</v>
      </c>
      <c r="AF51" s="61">
        <f ca="1">$AP$51*$AP$58</f>
        <v>0</v>
      </c>
      <c r="AG51" s="61">
        <f ca="1">SUM($AE$51:$AF$51)</f>
        <v>-61.545890892764554</v>
      </c>
      <c r="AH51" s="61">
        <f>'TUSD BE'!$AH$51*'TUSD BE'!$AH$61</f>
        <v>-3.3489723642270079</v>
      </c>
      <c r="AI51" s="61">
        <f>'TUSD BE'!$AI$51*'TUSD BE'!$AI$61</f>
        <v>-3.4250661326898323E-2</v>
      </c>
      <c r="AJ51" s="61">
        <f ca="1">'TUSD BE'!$AJ$51*'TUSD BE'!$AJ$61</f>
        <v>-0.12589516163518874</v>
      </c>
      <c r="AK51" s="61">
        <f ca="1">'TUSD BE'!$AK$51*'TUSD BE'!$AK$61</f>
        <v>4.4334202298329732E-2</v>
      </c>
      <c r="AL51" s="61">
        <f ca="1">SUM($AH$51:$AK$51)</f>
        <v>-3.4647839848907651</v>
      </c>
      <c r="AM51" s="61">
        <f ca="1">SUMIF($L$4:$AL$4,"SUBTOTAL",$L$51:$AL$51)</f>
        <v>-72.922628478188017</v>
      </c>
      <c r="AO51" s="68">
        <f ca="1">+'TUSD BE'!$T$51+'TUSD BE'!$AB$51+'TUSD BE'!$AD$51+'TUSD BE'!$AL$51</f>
        <v>502.42322646964709</v>
      </c>
      <c r="AP51" s="68">
        <f ca="1">+'TUSD BE'!$T$51+'TUSD BE'!$AB$51+'TUSD BE'!$AD$51+'TUSD BE'!$AL$51</f>
        <v>502.42322646964709</v>
      </c>
    </row>
    <row r="52" spans="1:42" ht="11.25" customHeight="1" x14ac:dyDescent="0.3">
      <c r="A52" s="132"/>
      <c r="B52" s="65" t="s">
        <v>95</v>
      </c>
      <c r="C52" s="65" t="s">
        <v>25</v>
      </c>
      <c r="D52" s="65" t="s">
        <v>25</v>
      </c>
      <c r="E52" s="65" t="s">
        <v>25</v>
      </c>
      <c r="F52" s="65" t="s">
        <v>25</v>
      </c>
      <c r="G52" s="66" t="s">
        <v>81</v>
      </c>
      <c r="H52" s="66" t="s">
        <v>76</v>
      </c>
      <c r="I52" s="66">
        <f>'MERCADO TUSD'!$U$49</f>
        <v>0</v>
      </c>
      <c r="J52" s="15"/>
      <c r="L52" s="61">
        <f>'TUSD BE'!$L$52*'TUSD BE'!$L$61</f>
        <v>-9.0258987104960456E-2</v>
      </c>
      <c r="M52" s="61">
        <f>'TUSD BE'!$M$52*'TUSD BE'!$M$61</f>
        <v>-1.9491624390069004E-2</v>
      </c>
      <c r="N52" s="61">
        <f ca="1">'TUSD BE'!$N$52*'TUSD BE'!$N$61</f>
        <v>-3.1659055145103425E-5</v>
      </c>
      <c r="O52" s="61">
        <f>'TUSD BE'!$O$52*'TUSD BE'!$O$61</f>
        <v>0</v>
      </c>
      <c r="P52" s="61">
        <f>'TUSD BE'!$P$52*'TUSD BE'!$P$61</f>
        <v>0</v>
      </c>
      <c r="Q52" s="61">
        <f>'TUSD BE'!$Q$52*'TUSD BE'!$Q$61</f>
        <v>-0.9531040471094272</v>
      </c>
      <c r="R52" s="61">
        <f>'TUSD BE'!$R$52*'TUSD BE'!$R$61</f>
        <v>-0.1436055413628014</v>
      </c>
      <c r="S52" s="61">
        <f>'TUSD BE'!$R$52*'TUSD BE'!$S$61</f>
        <v>0</v>
      </c>
      <c r="T52" s="61">
        <f ca="1">SUM($L$52:$S$52)</f>
        <v>-1.2064918590224032</v>
      </c>
      <c r="U52" s="61">
        <f>'TUSD BE'!$U$52*'TUSD BE'!$U$61</f>
        <v>0</v>
      </c>
      <c r="V52" s="61">
        <f>'TUSD BE'!$V$52*'TUSD BE'!$V$61</f>
        <v>0</v>
      </c>
      <c r="W52" s="61">
        <f>'TUSD BE'!$W$52*'TUSD BE'!$W$61</f>
        <v>0</v>
      </c>
      <c r="X52" s="61">
        <f>'TUSD BE'!$X$52*'TUSD BE'!$X$61</f>
        <v>0</v>
      </c>
      <c r="Y52" s="61">
        <f>'TUSD BE'!$Y$52*'TUSD BE'!$Y$61</f>
        <v>-26.516177640044145</v>
      </c>
      <c r="Z52" s="61">
        <f>'TUSD BE'!$Z$52*'TUSD BE'!$Z$61</f>
        <v>0</v>
      </c>
      <c r="AA52" s="61">
        <f>'TUSD BE'!$AA$52*'TUSD BE'!$AA$61</f>
        <v>0</v>
      </c>
      <c r="AB52" s="61">
        <f>SUM($U$52:$AA$52)</f>
        <v>-26.516177640044145</v>
      </c>
      <c r="AC52" s="61">
        <f>'TUSD BE'!$AC$52*'TUSD BE'!$AC$61</f>
        <v>19.810715898533843</v>
      </c>
      <c r="AD52" s="61">
        <f>SUM($AC$52:$AC$52)</f>
        <v>19.810715898533843</v>
      </c>
      <c r="AE52" s="61">
        <f ca="1">$AO$52*$AO$58</f>
        <v>-61.545890892764554</v>
      </c>
      <c r="AF52" s="61">
        <f ca="1">$AP$52*$AP$58</f>
        <v>0</v>
      </c>
      <c r="AG52" s="61">
        <f ca="1">SUM($AE$52:$AF$52)</f>
        <v>-61.545890892764554</v>
      </c>
      <c r="AH52" s="61">
        <f>'TUSD BE'!$AH$52*'TUSD BE'!$AH$61</f>
        <v>-3.3489723642270079</v>
      </c>
      <c r="AI52" s="61">
        <f>'TUSD BE'!$AI$52*'TUSD BE'!$AI$61</f>
        <v>-3.4250661326898323E-2</v>
      </c>
      <c r="AJ52" s="61">
        <f ca="1">'TUSD BE'!$AJ$52*'TUSD BE'!$AJ$61</f>
        <v>-0.12589516163518874</v>
      </c>
      <c r="AK52" s="61">
        <f ca="1">'TUSD BE'!$AK$52*'TUSD BE'!$AK$61</f>
        <v>4.4334202298329732E-2</v>
      </c>
      <c r="AL52" s="61">
        <f ca="1">SUM($AH$52:$AK$52)</f>
        <v>-3.4647839848907651</v>
      </c>
      <c r="AM52" s="61">
        <f ca="1">SUMIF($L$4:$AL$4,"SUBTOTAL",$L$52:$AL$52)</f>
        <v>-72.922628478188017</v>
      </c>
      <c r="AO52" s="68">
        <f ca="1">+'TUSD BE'!$T$52+'TUSD BE'!$AB$52+'TUSD BE'!$AD$52+'TUSD BE'!$AL$52</f>
        <v>502.42322646964709</v>
      </c>
      <c r="AP52" s="68">
        <f ca="1">+'TUSD BE'!$T$52+'TUSD BE'!$AB$52+'TUSD BE'!$AD$52+'TUSD BE'!$AL$52</f>
        <v>502.42322646964709</v>
      </c>
    </row>
    <row r="53" spans="1:42" ht="11.25" customHeight="1" x14ac:dyDescent="0.3">
      <c r="A53" s="132" t="s">
        <v>45</v>
      </c>
      <c r="B53" s="132" t="s">
        <v>23</v>
      </c>
      <c r="C53" s="132" t="s">
        <v>46</v>
      </c>
      <c r="D53" s="65" t="s">
        <v>47</v>
      </c>
      <c r="E53" s="65" t="s">
        <v>25</v>
      </c>
      <c r="F53" s="65" t="s">
        <v>25</v>
      </c>
      <c r="G53" s="66" t="s">
        <v>81</v>
      </c>
      <c r="H53" s="66" t="s">
        <v>76</v>
      </c>
      <c r="I53" s="66">
        <f>'MERCADO TUSD'!$U$50</f>
        <v>4365.4290000000001</v>
      </c>
      <c r="J53" s="15"/>
      <c r="L53" s="61">
        <f>'TUSD BE'!$L$53*'TUSD BE'!$L$61</f>
        <v>-4.9642442907728249E-2</v>
      </c>
      <c r="M53" s="61">
        <f>'TUSD BE'!$M$53*'TUSD BE'!$M$61</f>
        <v>-1.0720393414537951E-2</v>
      </c>
      <c r="N53" s="61">
        <f ca="1">'TUSD BE'!$N$53*'TUSD BE'!$N$61</f>
        <v>-1.7412480329806886E-5</v>
      </c>
      <c r="O53" s="61">
        <f>'TUSD BE'!$O$53*'TUSD BE'!$O$61</f>
        <v>0</v>
      </c>
      <c r="P53" s="61">
        <f>'TUSD BE'!$P$53*'TUSD BE'!$P$61</f>
        <v>0</v>
      </c>
      <c r="Q53" s="61">
        <f>'TUSD BE'!$Q$53*'TUSD BE'!$Q$61</f>
        <v>-0.52420722591018498</v>
      </c>
      <c r="R53" s="61">
        <f>'TUSD BE'!$R$53*'TUSD BE'!$R$61</f>
        <v>-7.8983047749540777E-2</v>
      </c>
      <c r="S53" s="61">
        <f>'TUSD BE'!$R$53*'TUSD BE'!$S$61</f>
        <v>0</v>
      </c>
      <c r="T53" s="61">
        <f ca="1">SUM($L$53:$S$53)</f>
        <v>-0.66357052246232173</v>
      </c>
      <c r="U53" s="61">
        <f>'TUSD BE'!$U$53*'TUSD BE'!$U$61</f>
        <v>0</v>
      </c>
      <c r="V53" s="61">
        <f>'TUSD BE'!$V$53*'TUSD BE'!$V$61</f>
        <v>0</v>
      </c>
      <c r="W53" s="61">
        <f>'TUSD BE'!$W$53*'TUSD BE'!$W$61</f>
        <v>0</v>
      </c>
      <c r="X53" s="61">
        <f>'TUSD BE'!$X$53*'TUSD BE'!$X$61</f>
        <v>0</v>
      </c>
      <c r="Y53" s="61">
        <f>'TUSD BE'!$Y$53*'TUSD BE'!$Y$61</f>
        <v>-14.583897702024281</v>
      </c>
      <c r="Z53" s="61">
        <f>'TUSD BE'!$Z$53*'TUSD BE'!$Z$61</f>
        <v>0</v>
      </c>
      <c r="AA53" s="61">
        <f>'TUSD BE'!$AA$53*'TUSD BE'!$AA$61</f>
        <v>0</v>
      </c>
      <c r="AB53" s="61">
        <f>SUM($U$53:$AA$53)</f>
        <v>-14.583897702024281</v>
      </c>
      <c r="AC53" s="61">
        <f>'TUSD BE'!$AC$53*'TUSD BE'!$AC$61</f>
        <v>10.895893744193616</v>
      </c>
      <c r="AD53" s="61">
        <f>SUM($AC$53:$AC$53)</f>
        <v>10.895893744193616</v>
      </c>
      <c r="AE53" s="61">
        <f ca="1">$AO$53*$AO$58</f>
        <v>-33.850239991020509</v>
      </c>
      <c r="AF53" s="61">
        <f ca="1">$AP$53*$AP$58</f>
        <v>0</v>
      </c>
      <c r="AG53" s="61">
        <f ca="1">SUM($AE$53:$AF$53)</f>
        <v>-33.850239991020509</v>
      </c>
      <c r="AH53" s="61">
        <f>'TUSD BE'!$AH$53*'TUSD BE'!$AH$61</f>
        <v>-1.8419348003248548</v>
      </c>
      <c r="AI53" s="61">
        <f>'TUSD BE'!$AI$53*'TUSD BE'!$AI$61</f>
        <v>-1.8837863729794079E-2</v>
      </c>
      <c r="AJ53" s="61">
        <f ca="1">'TUSD BE'!$AJ$53*'TUSD BE'!$AJ$61</f>
        <v>-6.9242338899353814E-2</v>
      </c>
      <c r="AK53" s="61">
        <f ca="1">'TUSD BE'!$AK$53*'TUSD BE'!$AK$61</f>
        <v>2.4383811264081352E-2</v>
      </c>
      <c r="AL53" s="61">
        <f ca="1">SUM($AH$53:$AK$53)</f>
        <v>-1.9056311916899213</v>
      </c>
      <c r="AM53" s="61">
        <f ca="1">SUMIF($L$4:$AL$4,"SUBTOTAL",$L$53:$AL$53)</f>
        <v>-40.107445663003418</v>
      </c>
      <c r="AO53" s="68">
        <f ca="1">+'TUSD BE'!$T$53+'TUSD BE'!$AB$53+'TUSD BE'!$AD$53+'TUSD BE'!$AL$53</f>
        <v>276.33277455830597</v>
      </c>
      <c r="AP53" s="68">
        <f ca="1">+'TUSD BE'!$T$53+'TUSD BE'!$AB$53+'TUSD BE'!$AD$53+'TUSD BE'!$AL$53</f>
        <v>276.33277455830597</v>
      </c>
    </row>
    <row r="54" spans="1:42" ht="11.25" customHeight="1" x14ac:dyDescent="0.3">
      <c r="A54" s="132"/>
      <c r="B54" s="132"/>
      <c r="C54" s="132"/>
      <c r="D54" s="66" t="s">
        <v>98</v>
      </c>
      <c r="E54" s="66" t="s">
        <v>25</v>
      </c>
      <c r="F54" s="66" t="s">
        <v>25</v>
      </c>
      <c r="G54" s="66" t="s">
        <v>81</v>
      </c>
      <c r="H54" s="66" t="s">
        <v>76</v>
      </c>
      <c r="I54" s="66">
        <f>'MERCADO TUSD'!$U$51</f>
        <v>0</v>
      </c>
      <c r="J54" s="15"/>
      <c r="L54" s="61">
        <f>'TUSD BE'!$L$54*'TUSD BE'!$L$61</f>
        <v>-5.4155392262976269E-2</v>
      </c>
      <c r="M54" s="61">
        <f>'TUSD BE'!$M$54*'TUSD BE'!$M$61</f>
        <v>-1.1694974634041401E-2</v>
      </c>
      <c r="N54" s="61">
        <f ca="1">'TUSD BE'!$N$54*'TUSD BE'!$N$61</f>
        <v>-1.8995433087062052E-5</v>
      </c>
      <c r="O54" s="61">
        <f>'TUSD BE'!$O$54*'TUSD BE'!$O$61</f>
        <v>0</v>
      </c>
      <c r="P54" s="61">
        <f>'TUSD BE'!$P$54*'TUSD BE'!$P$61</f>
        <v>0</v>
      </c>
      <c r="Q54" s="61">
        <f>'TUSD BE'!$Q$54*'TUSD BE'!$Q$61</f>
        <v>-0.57186242826565636</v>
      </c>
      <c r="R54" s="61">
        <f>'TUSD BE'!$R$54*'TUSD BE'!$R$61</f>
        <v>-8.6163324817680839E-2</v>
      </c>
      <c r="S54" s="61">
        <f>'TUSD BE'!$R$54*'TUSD BE'!$S$61</f>
        <v>0</v>
      </c>
      <c r="T54" s="61">
        <f ca="1">SUM($L$54:$S$54)</f>
        <v>-0.72389511541344198</v>
      </c>
      <c r="U54" s="61">
        <f>'TUSD BE'!$U$54*'TUSD BE'!$U$61</f>
        <v>0</v>
      </c>
      <c r="V54" s="61">
        <f>'TUSD BE'!$V$54*'TUSD BE'!$V$61</f>
        <v>0</v>
      </c>
      <c r="W54" s="61">
        <f>'TUSD BE'!$W$54*'TUSD BE'!$W$61</f>
        <v>0</v>
      </c>
      <c r="X54" s="61">
        <f>'TUSD BE'!$X$54*'TUSD BE'!$X$61</f>
        <v>0</v>
      </c>
      <c r="Y54" s="61">
        <f>'TUSD BE'!$Y$54*'TUSD BE'!$Y$61</f>
        <v>-15.909706584026488</v>
      </c>
      <c r="Z54" s="61">
        <f>'TUSD BE'!$Z$54*'TUSD BE'!$Z$61</f>
        <v>0</v>
      </c>
      <c r="AA54" s="61">
        <f>'TUSD BE'!$AA$54*'TUSD BE'!$AA$61</f>
        <v>0</v>
      </c>
      <c r="AB54" s="61">
        <f>SUM($U$54:$AA$54)</f>
        <v>-15.909706584026488</v>
      </c>
      <c r="AC54" s="61">
        <f>'TUSD BE'!$AC$54*'TUSD BE'!$AC$61</f>
        <v>11.886429539120305</v>
      </c>
      <c r="AD54" s="61">
        <f>SUM($AC$54:$AC$54)</f>
        <v>11.886429539120305</v>
      </c>
      <c r="AE54" s="61">
        <f ca="1">$AO$54*$AO$58</f>
        <v>-36.927534535658729</v>
      </c>
      <c r="AF54" s="61">
        <f ca="1">$AP$54*$AP$58</f>
        <v>0</v>
      </c>
      <c r="AG54" s="61">
        <f ca="1">SUM($AE$54:$AF$54)</f>
        <v>-36.927534535658729</v>
      </c>
      <c r="AH54" s="61">
        <f>'TUSD BE'!$AH$54*'TUSD BE'!$AH$61</f>
        <v>-2.0093834185362049</v>
      </c>
      <c r="AI54" s="61">
        <f>'TUSD BE'!$AI$54*'TUSD BE'!$AI$61</f>
        <v>-2.055039679613899E-2</v>
      </c>
      <c r="AJ54" s="61">
        <f ca="1">'TUSD BE'!$AJ$54*'TUSD BE'!$AJ$61</f>
        <v>-7.553709698111323E-2</v>
      </c>
      <c r="AK54" s="61">
        <f ca="1">'TUSD BE'!$AK$54*'TUSD BE'!$AK$61</f>
        <v>2.6600521378997839E-2</v>
      </c>
      <c r="AL54" s="61">
        <f ca="1">SUM($AH$54:$AK$54)</f>
        <v>-2.0788703909344592</v>
      </c>
      <c r="AM54" s="61">
        <f ca="1">SUMIF($L$4:$AL$4,"SUBTOTAL",$L$54:$AL$54)</f>
        <v>-43.753577086912813</v>
      </c>
      <c r="AO54" s="68">
        <f ca="1">+'TUSD BE'!$T$54+'TUSD BE'!$AB$54+'TUSD BE'!$AD$54+'TUSD BE'!$AL$54</f>
        <v>301.45393588178825</v>
      </c>
      <c r="AP54" s="68">
        <f ca="1">+'TUSD BE'!$T$54+'TUSD BE'!$AB$54+'TUSD BE'!$AD$54+'TUSD BE'!$AL$54</f>
        <v>301.45393588178825</v>
      </c>
    </row>
    <row r="56" spans="1:42" ht="11.25" customHeight="1" x14ac:dyDescent="0.3">
      <c r="K56" s="60" t="s">
        <v>709</v>
      </c>
      <c r="L56" s="61">
        <f>SUMPRODUCT($I$5:$I54,$L$5:$L54)</f>
        <v>-6321.8271732228695</v>
      </c>
      <c r="M56" s="61">
        <f>SUMPRODUCT($I$5:$I54,$M$5:$M54)</f>
        <v>-1462.854310844883</v>
      </c>
      <c r="N56" s="61">
        <f ca="1">SUMPRODUCT($I$5:$I54,$N$5:$N54)</f>
        <v>-1.97278550929241</v>
      </c>
      <c r="O56" s="61">
        <f>SUMPRODUCT($I$5:$I54,$O$5:$O54)</f>
        <v>0</v>
      </c>
      <c r="P56" s="61">
        <f>SUMPRODUCT($I$5:$I54,$P$5:$P54)</f>
        <v>0</v>
      </c>
      <c r="Q56" s="61">
        <f>SUMPRODUCT($I$5:$I54,$Q$5:$Q54)</f>
        <v>-66756.333714650376</v>
      </c>
      <c r="R56" s="61">
        <f>SUMPRODUCT($I$5:$I54,$R$5:$R54)</f>
        <v>-10513.389966282062</v>
      </c>
      <c r="S56" s="61">
        <f>SUMPRODUCT($I$5:$I54,$S$5:$S54)</f>
        <v>0</v>
      </c>
      <c r="T56" s="61">
        <f ca="1">SUMPRODUCT($I$5:$I54,$T$5:$T54)</f>
        <v>-85056.377950509486</v>
      </c>
      <c r="U56" s="61">
        <f>SUMPRODUCT($I$5:$I54,$U$5:$U54)</f>
        <v>0</v>
      </c>
      <c r="V56" s="61">
        <f>SUMPRODUCT($I$5:$I54,$V$5:$V54)</f>
        <v>0</v>
      </c>
      <c r="W56" s="61">
        <f>SUMPRODUCT($I$5:$I54,$W$5:$W54)</f>
        <v>0</v>
      </c>
      <c r="X56" s="61">
        <f>SUMPRODUCT($I$5:$I54,$X$5:$X54)</f>
        <v>0</v>
      </c>
      <c r="Y56" s="61">
        <f>SUMPRODUCT($I$5:$I54,$Y$5:$Y54)</f>
        <v>-2303426.1390031916</v>
      </c>
      <c r="Z56" s="61">
        <f>SUMPRODUCT($I$5:$I54,$Z$5:$Z54)</f>
        <v>0</v>
      </c>
      <c r="AA56" s="61">
        <f>SUMPRODUCT($I$5:$I54,$AA$5:$AA54)</f>
        <v>0</v>
      </c>
      <c r="AB56" s="61">
        <f>SUMPRODUCT($I$5:$I54,$AB$5:$AB54)</f>
        <v>-2303426.1390031916</v>
      </c>
      <c r="AC56" s="61">
        <f>SUMPRODUCT($I$5:$I54,$AC$5:$AC54)</f>
        <v>1487377.6100786324</v>
      </c>
      <c r="AD56" s="61">
        <f>SUMPRODUCT($I$5:$I54,$AD$5:$AD54)</f>
        <v>1487377.6100786324</v>
      </c>
      <c r="AE56" s="61">
        <f ca="1">SUMPRODUCT($I$5:$I54,$AE$5:$AE54)</f>
        <v>-4597767.3896910865</v>
      </c>
      <c r="AF56" s="61">
        <f ca="1">SUMPRODUCT($I$5:$I54,$AF$5:$AF54)</f>
        <v>0</v>
      </c>
      <c r="AG56" s="61">
        <f ca="1">SUMPRODUCT($I$5:$I54,$AG$5:$AG54)</f>
        <v>-4597767.3896910865</v>
      </c>
      <c r="AH56" s="61">
        <f>SUMPRODUCT($I$5:$I54,$AH$5:$AH54)</f>
        <v>-230757.57815953059</v>
      </c>
      <c r="AI56" s="61">
        <f>SUMPRODUCT($I$5:$I54,$AI$5:$AI54)</f>
        <v>-2360.0074287210841</v>
      </c>
      <c r="AJ56" s="61">
        <f ca="1">SUMPRODUCT($I$5:$I54,$AJ$5:$AJ54)</f>
        <v>-9579.1795917828804</v>
      </c>
      <c r="AK56" s="61">
        <f ca="1">SUMPRODUCT($I$5:$I54,$AK$5:$AK54)</f>
        <v>3373.3249185918735</v>
      </c>
      <c r="AL56" s="61">
        <f ca="1">SUMPRODUCT($I$5:$I54,$AL$5:$AL54)</f>
        <v>-239323.44026144265</v>
      </c>
      <c r="AM56" s="61">
        <f ca="1">SUMPRODUCT($I$5:$I54,$AM$5:$AM54)</f>
        <v>-5738195.736827598</v>
      </c>
      <c r="AO56" s="66">
        <f ca="1">SUMPRODUCT($I$5:$I54,$AO$5:$AO54)</f>
        <v>37533377.013104439</v>
      </c>
      <c r="AP56" s="66">
        <f ca="1">SUMPRODUCT($I$5:$I54,$AP$5:$AP54)</f>
        <v>38849095.970613673</v>
      </c>
    </row>
    <row r="57" spans="1:42" ht="11.25" customHeight="1" x14ac:dyDescent="0.3">
      <c r="K57" s="60" t="s">
        <v>652</v>
      </c>
      <c r="L57" s="61">
        <f>'TR TUSD'!$L$59</f>
        <v>237499.78640641886</v>
      </c>
      <c r="M57" s="61">
        <f>'TR TUSD'!$M$59</f>
        <v>73374.677892889988</v>
      </c>
      <c r="N57" s="61">
        <f>'TR TUSD'!$N$59</f>
        <v>252169.25620839672</v>
      </c>
      <c r="O57" s="61">
        <f>'TR TUSD'!$O$59</f>
        <v>0</v>
      </c>
      <c r="P57" s="61">
        <f>'TR TUSD'!$P$59</f>
        <v>0</v>
      </c>
      <c r="Q57" s="61">
        <f>'TR TUSD'!$Q$59</f>
        <v>6277945.6326438915</v>
      </c>
      <c r="R57" s="61">
        <f>'TR TUSD'!$R$59</f>
        <v>1038653.7823800762</v>
      </c>
      <c r="S57" s="61">
        <f>'TR TUSD'!$S$59</f>
        <v>0</v>
      </c>
      <c r="T57" s="61">
        <f>'TR TUSD'!$T$59</f>
        <v>7879643.1355316732</v>
      </c>
      <c r="U57" s="61">
        <f>'TR TUSD'!$U$59</f>
        <v>0</v>
      </c>
      <c r="V57" s="61">
        <f>'TR TUSD'!$V$59</f>
        <v>0</v>
      </c>
      <c r="W57" s="61">
        <f>'TR TUSD'!$W$59</f>
        <v>0</v>
      </c>
      <c r="X57" s="61">
        <f>'TR TUSD'!$X$59</f>
        <v>0</v>
      </c>
      <c r="Y57" s="61">
        <f>'TR TUSD'!$Y$59</f>
        <v>13361511.865062799</v>
      </c>
      <c r="Z57" s="61">
        <f>'TR TUSD'!$Z$59</f>
        <v>0</v>
      </c>
      <c r="AA57" s="61">
        <f>'TR TUSD'!$AA$59</f>
        <v>0</v>
      </c>
      <c r="AB57" s="61">
        <f>'TR TUSD'!$AB$59</f>
        <v>13361511.865062799</v>
      </c>
      <c r="AC57" s="61">
        <f>'TR TUSD'!$AC$59</f>
        <v>15957830.327701807</v>
      </c>
      <c r="AD57" s="61">
        <f>'TR TUSD'!$AD$59</f>
        <v>15957830.327701807</v>
      </c>
      <c r="AE57" s="61">
        <f>'TR TUSD'!$AE$59</f>
        <v>0</v>
      </c>
      <c r="AF57" s="61">
        <f>'TR TUSD'!$AF$59</f>
        <v>0</v>
      </c>
      <c r="AG57" s="61">
        <f>'TR TUSD'!$AG$59</f>
        <v>0</v>
      </c>
      <c r="AH57" s="61">
        <f>'TR TUSD'!$AH$59</f>
        <v>1547837.5890843272</v>
      </c>
      <c r="AI57" s="61">
        <f>'TR TUSD'!$AI$59</f>
        <v>15830.06823796428</v>
      </c>
      <c r="AJ57" s="61">
        <f>'TR TUSD'!$AJ$59</f>
        <v>64253.639525114879</v>
      </c>
      <c r="AK57" s="61">
        <f>'TR TUSD'!$AK$59</f>
        <v>22189.345469980515</v>
      </c>
      <c r="AL57" s="61">
        <f>'TR TUSD'!$AL$59</f>
        <v>1650110.6423173868</v>
      </c>
      <c r="AM57" s="61">
        <f>'TUSD BE'!$AM$57</f>
        <v>38849095.970613666</v>
      </c>
      <c r="AO57" s="66">
        <f>$AE$58</f>
        <v>-4597767.3896910865</v>
      </c>
      <c r="AP57" s="66">
        <f>$AF$58</f>
        <v>0</v>
      </c>
    </row>
    <row r="58" spans="1:42" ht="11.25" customHeight="1" x14ac:dyDescent="0.3">
      <c r="K58" s="60" t="s">
        <v>653</v>
      </c>
      <c r="L58" s="61">
        <f>CUSTOS!$E$2</f>
        <v>-6321.8271732228659</v>
      </c>
      <c r="M58" s="61">
        <f>CUSTOS!$E$3</f>
        <v>-1462.854310844883</v>
      </c>
      <c r="N58" s="61">
        <f>CUSTOS!$E$4</f>
        <v>-1.9727855092924103</v>
      </c>
      <c r="O58" s="61">
        <f>CUSTOS!$E$5</f>
        <v>0</v>
      </c>
      <c r="P58" s="61">
        <f>CUSTOS!$E$6</f>
        <v>0</v>
      </c>
      <c r="Q58" s="61">
        <f>CUSTOS!$E$7</f>
        <v>-66756.333714650362</v>
      </c>
      <c r="R58" s="61">
        <f>CUSTOS!$E$8</f>
        <v>-10513.389966282062</v>
      </c>
      <c r="S58" s="61">
        <f>CUSTOS!$E$9</f>
        <v>0</v>
      </c>
      <c r="T58" s="61">
        <f>CUSTOS!$E$10</f>
        <v>-85056.377950509472</v>
      </c>
      <c r="U58" s="61">
        <f>CUSTOS!$E$11</f>
        <v>0</v>
      </c>
      <c r="V58" s="61">
        <f>CUSTOS!$E$12</f>
        <v>0</v>
      </c>
      <c r="W58" s="61">
        <f>CUSTOS!$E$13</f>
        <v>0</v>
      </c>
      <c r="X58" s="61">
        <f>CUSTOS!$E$14</f>
        <v>0</v>
      </c>
      <c r="Y58" s="61">
        <f>CUSTOS!$E$15</f>
        <v>-2303426.1390031921</v>
      </c>
      <c r="Z58" s="61">
        <f>CUSTOS!$E$16</f>
        <v>0</v>
      </c>
      <c r="AA58" s="61">
        <f>CUSTOS!$E$17</f>
        <v>0</v>
      </c>
      <c r="AB58" s="61">
        <f>CUSTOS!$E$18</f>
        <v>-2303426.1390031921</v>
      </c>
      <c r="AC58" s="61">
        <f>CUSTOS!$E$19</f>
        <v>1487377.6100786317</v>
      </c>
      <c r="AD58" s="61">
        <f>CUSTOS!$E$20</f>
        <v>1487377.6100786317</v>
      </c>
      <c r="AE58" s="61">
        <f>CUSTOS!$E$21</f>
        <v>-4597767.3896910865</v>
      </c>
      <c r="AF58" s="61">
        <f>CUSTOS!$E$22</f>
        <v>0</v>
      </c>
      <c r="AG58" s="61">
        <f>CUSTOS!$E$23</f>
        <v>-4597767.3896910865</v>
      </c>
      <c r="AH58" s="61">
        <f>CUSTOS!$E$24</f>
        <v>-230757.57815953059</v>
      </c>
      <c r="AI58" s="61">
        <f>CUSTOS!$E$25</f>
        <v>-2360.0074287210841</v>
      </c>
      <c r="AJ58" s="61">
        <f>CUSTOS!$E$26</f>
        <v>-9579.1795917828786</v>
      </c>
      <c r="AK58" s="61">
        <f>CUSTOS!$E$27</f>
        <v>3373.324918591873</v>
      </c>
      <c r="AL58" s="61">
        <f>CUSTOS!$E$28</f>
        <v>-239323.44026144268</v>
      </c>
      <c r="AM58" s="61">
        <f>CUSTOS!$E$29</f>
        <v>-5738195.7368275989</v>
      </c>
      <c r="AO58" s="66">
        <f ca="1">IF(AO56&lt;&gt;0,AO57/AO56,0)</f>
        <v>-0.12249810050627252</v>
      </c>
      <c r="AP58" s="66">
        <f ca="1">IF(AP56&lt;&gt;0,AP57/AP56,0)</f>
        <v>0</v>
      </c>
    </row>
    <row r="59" spans="1:42" ht="11.25" customHeight="1" x14ac:dyDescent="0.3">
      <c r="K59" s="60" t="s">
        <v>654</v>
      </c>
      <c r="L59" s="61">
        <f>CUSTOS!$F$2</f>
        <v>15576.859586323053</v>
      </c>
      <c r="M59" s="61">
        <f>CUSTOS!$F$3</f>
        <v>0</v>
      </c>
      <c r="N59" s="61">
        <f>CUSTOS!$F$4</f>
        <v>0</v>
      </c>
      <c r="O59" s="61">
        <f>CUSTOS!$F$5</f>
        <v>0</v>
      </c>
      <c r="P59" s="61">
        <f>CUSTOS!$F$6</f>
        <v>0</v>
      </c>
      <c r="Q59" s="61">
        <f>CUSTOS!$F$7</f>
        <v>776055.91760000004</v>
      </c>
      <c r="R59" s="61">
        <f>CUSTOS!$F$8</f>
        <v>206711.2366</v>
      </c>
      <c r="S59" s="61">
        <f>CUSTOS!$F$9</f>
        <v>0</v>
      </c>
      <c r="T59" s="61">
        <f>CUSTOS!$F$10</f>
        <v>998344.01378632314</v>
      </c>
      <c r="U59" s="61">
        <f>CUSTOS!$F$11</f>
        <v>0</v>
      </c>
      <c r="V59" s="61">
        <f>CUSTOS!$F$12</f>
        <v>0</v>
      </c>
      <c r="W59" s="61">
        <f>CUSTOS!$F$13</f>
        <v>0</v>
      </c>
      <c r="X59" s="61">
        <f>CUSTOS!$F$14</f>
        <v>0</v>
      </c>
      <c r="Y59" s="61">
        <f>CUSTOS!$F$15</f>
        <v>0</v>
      </c>
      <c r="Z59" s="61">
        <f>CUSTOS!$F$16</f>
        <v>0</v>
      </c>
      <c r="AA59" s="61">
        <f>CUSTOS!$F$17</f>
        <v>0</v>
      </c>
      <c r="AB59" s="61">
        <f>CUSTOS!$F$18</f>
        <v>0</v>
      </c>
      <c r="AC59" s="61">
        <f>CUSTOS!$F$19</f>
        <v>0</v>
      </c>
      <c r="AD59" s="61">
        <f>CUSTOS!$F$20</f>
        <v>0</v>
      </c>
      <c r="AE59" s="61">
        <f>CUSTOS!$F$21</f>
        <v>0</v>
      </c>
      <c r="AF59" s="61">
        <f>CUSTOS!$F$22</f>
        <v>0</v>
      </c>
      <c r="AG59" s="61">
        <f>CUSTOS!$F$23</f>
        <v>0</v>
      </c>
      <c r="AH59" s="61">
        <f>CUSTOS!$F$24</f>
        <v>157569.77756582474</v>
      </c>
      <c r="AI59" s="61">
        <f>CUSTOS!$F$25</f>
        <v>1611.5000363723336</v>
      </c>
      <c r="AJ59" s="61">
        <f>CUSTOS!$F$26</f>
        <v>6541.0168089770114</v>
      </c>
      <c r="AK59" s="61">
        <f>CUSTOS!$F$27</f>
        <v>0</v>
      </c>
      <c r="AL59" s="61">
        <f>CUSTOS!$F$28</f>
        <v>165722.29441117408</v>
      </c>
      <c r="AM59" s="61">
        <f>CUSTOS!$F$29</f>
        <v>1164066.3081974972</v>
      </c>
    </row>
    <row r="60" spans="1:42" ht="11.25" customHeight="1" x14ac:dyDescent="0.3">
      <c r="K60" s="60" t="s">
        <v>706</v>
      </c>
      <c r="L60" s="61">
        <v>0</v>
      </c>
      <c r="M60" s="61">
        <v>0</v>
      </c>
      <c r="N60" s="61">
        <v>0</v>
      </c>
      <c r="O60" s="61">
        <v>0</v>
      </c>
      <c r="P60" s="61">
        <v>0</v>
      </c>
      <c r="Q60" s="61">
        <v>0</v>
      </c>
      <c r="R60" s="61">
        <v>0</v>
      </c>
      <c r="S60" s="61">
        <v>0</v>
      </c>
      <c r="T60" s="61">
        <f>SUM($L$60:$S$60)</f>
        <v>0</v>
      </c>
      <c r="U60" s="61">
        <v>0</v>
      </c>
      <c r="V60" s="61">
        <v>0</v>
      </c>
      <c r="W60" s="61">
        <v>0</v>
      </c>
      <c r="X60" s="61">
        <v>0</v>
      </c>
      <c r="Y60" s="61">
        <v>0</v>
      </c>
      <c r="Z60" s="61">
        <v>0</v>
      </c>
      <c r="AA60" s="61">
        <v>0</v>
      </c>
      <c r="AB60" s="61">
        <f>SUM($U$60:$AA$60)</f>
        <v>0</v>
      </c>
      <c r="AC60" s="61">
        <v>0</v>
      </c>
      <c r="AD60" s="61">
        <f>SUM($AC$60:$AC$60)</f>
        <v>0</v>
      </c>
      <c r="AE60" s="61">
        <v>0</v>
      </c>
      <c r="AF60" s="61">
        <v>0</v>
      </c>
      <c r="AG60" s="61">
        <f>SUM($AE$60:$AF$60)</f>
        <v>0</v>
      </c>
      <c r="AH60" s="61">
        <v>0</v>
      </c>
      <c r="AI60" s="61">
        <v>0</v>
      </c>
      <c r="AJ60" s="61">
        <v>0</v>
      </c>
      <c r="AK60" s="61">
        <v>0</v>
      </c>
      <c r="AL60" s="61">
        <f>SUM($AH$60:$AK$60)</f>
        <v>0</v>
      </c>
      <c r="AM60" s="61"/>
    </row>
    <row r="61" spans="1:42" ht="11.25" customHeight="1" x14ac:dyDescent="0.3">
      <c r="K61" s="60" t="s">
        <v>712</v>
      </c>
      <c r="L61" s="61">
        <f t="shared" ref="L61:R61" si="0">IF((L57-(0))&lt;&gt;0,(L59)/(L57-(0)),0)</f>
        <v>6.5586836190527451E-2</v>
      </c>
      <c r="M61" s="61">
        <f t="shared" si="0"/>
        <v>0</v>
      </c>
      <c r="N61" s="61">
        <f t="shared" si="0"/>
        <v>0</v>
      </c>
      <c r="O61" s="61">
        <f t="shared" si="0"/>
        <v>0</v>
      </c>
      <c r="P61" s="61">
        <f t="shared" si="0"/>
        <v>0</v>
      </c>
      <c r="Q61" s="61">
        <f t="shared" si="0"/>
        <v>0.12361622145382807</v>
      </c>
      <c r="R61" s="61">
        <f t="shared" si="0"/>
        <v>0.19901842183284693</v>
      </c>
      <c r="S61" s="61">
        <f>IF((R56-(0)&lt;&gt;0),(S58)/(R56-(0)),0)</f>
        <v>0</v>
      </c>
      <c r="T61" s="61"/>
      <c r="U61" s="61">
        <f t="shared" ref="U61:AA61" si="1">IF((U57-(0))&lt;&gt;0,(U59)/(U57-(0)),0)</f>
        <v>0</v>
      </c>
      <c r="V61" s="61">
        <f t="shared" si="1"/>
        <v>0</v>
      </c>
      <c r="W61" s="61">
        <f t="shared" si="1"/>
        <v>0</v>
      </c>
      <c r="X61" s="61">
        <f t="shared" si="1"/>
        <v>0</v>
      </c>
      <c r="Y61" s="61">
        <f t="shared" si="1"/>
        <v>0</v>
      </c>
      <c r="Z61" s="61">
        <f t="shared" si="1"/>
        <v>0</v>
      </c>
      <c r="AA61" s="61">
        <f t="shared" si="1"/>
        <v>0</v>
      </c>
      <c r="AB61" s="61"/>
      <c r="AC61" s="61">
        <f>IF((AC57-(0))&lt;&gt;0,(AC59)/(AC57-(0)),0)</f>
        <v>0</v>
      </c>
      <c r="AD61" s="61"/>
      <c r="AE61" s="61">
        <f ca="1">IF(($AM56-(0))&lt;&gt;0,(AE58)/($AM56-(0)),0)</f>
        <v>0.80125663197278707</v>
      </c>
      <c r="AF61" s="61">
        <f ca="1">IF(($AM56-(0))&lt;&gt;0,(AF58)/($AM56-(0)),0)</f>
        <v>0</v>
      </c>
      <c r="AG61" s="61"/>
      <c r="AH61" s="61">
        <f>IF((AH57-(0))&lt;&gt;0,(AH59)/(AH57-(0)),0)</f>
        <v>0.10179994249851509</v>
      </c>
      <c r="AI61" s="61">
        <f>IF((AI57-(0))&lt;&gt;0,(AI59)/(AI57-(0)),0)</f>
        <v>0.10179994249851508</v>
      </c>
      <c r="AJ61" s="61">
        <f>IF((AJ57-(0))&lt;&gt;0,(AJ59)/(AJ57-(0)),0)</f>
        <v>0.10179994249851509</v>
      </c>
      <c r="AK61" s="61">
        <f>IF((AK57-(0))&lt;&gt;0,(AK59)/(AK57-(0)),0)</f>
        <v>0</v>
      </c>
      <c r="AL61" s="61"/>
      <c r="AM61" s="61"/>
    </row>
  </sheetData>
  <mergeCells count="78">
    <mergeCell ref="A53:A54"/>
    <mergeCell ref="B53:B54"/>
    <mergeCell ref="C53:C54"/>
    <mergeCell ref="A48:A52"/>
    <mergeCell ref="B48:B50"/>
    <mergeCell ref="C48:C50"/>
    <mergeCell ref="D48:D50"/>
    <mergeCell ref="E48:E50"/>
    <mergeCell ref="F48:F50"/>
    <mergeCell ref="B41:B43"/>
    <mergeCell ref="C41:C43"/>
    <mergeCell ref="D41:D43"/>
    <mergeCell ref="E41:E43"/>
    <mergeCell ref="F41:F43"/>
    <mergeCell ref="B45:B47"/>
    <mergeCell ref="C45:C47"/>
    <mergeCell ref="C28:C32"/>
    <mergeCell ref="F33:F35"/>
    <mergeCell ref="B37:B39"/>
    <mergeCell ref="C37:C39"/>
    <mergeCell ref="D37:D39"/>
    <mergeCell ref="E37:E39"/>
    <mergeCell ref="F37:F39"/>
    <mergeCell ref="A33:A47"/>
    <mergeCell ref="B33:B35"/>
    <mergeCell ref="C33:C35"/>
    <mergeCell ref="D33:D35"/>
    <mergeCell ref="E33:E35"/>
    <mergeCell ref="F13:F15"/>
    <mergeCell ref="E16:E17"/>
    <mergeCell ref="A20:A32"/>
    <mergeCell ref="B20:B22"/>
    <mergeCell ref="C20:C22"/>
    <mergeCell ref="D20:D22"/>
    <mergeCell ref="E20:E22"/>
    <mergeCell ref="F16:F17"/>
    <mergeCell ref="A18:A19"/>
    <mergeCell ref="B18:B19"/>
    <mergeCell ref="C18:C19"/>
    <mergeCell ref="D18:D19"/>
    <mergeCell ref="F20:F22"/>
    <mergeCell ref="B23:B27"/>
    <mergeCell ref="C23:C27"/>
    <mergeCell ref="B28:B32"/>
    <mergeCell ref="J1:J4"/>
    <mergeCell ref="L1:AM1"/>
    <mergeCell ref="A1:A4"/>
    <mergeCell ref="C9:C11"/>
    <mergeCell ref="D9:D11"/>
    <mergeCell ref="E9:E11"/>
    <mergeCell ref="F9:F11"/>
    <mergeCell ref="F5:F7"/>
    <mergeCell ref="B9:B11"/>
    <mergeCell ref="G1:G4"/>
    <mergeCell ref="H1:H4"/>
    <mergeCell ref="I1:I4"/>
    <mergeCell ref="A5:A17"/>
    <mergeCell ref="B5:B8"/>
    <mergeCell ref="C5:C8"/>
    <mergeCell ref="D5:D8"/>
    <mergeCell ref="E5:E7"/>
    <mergeCell ref="B13:B17"/>
    <mergeCell ref="C13:C17"/>
    <mergeCell ref="D13:D17"/>
    <mergeCell ref="E13:E15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56">
    <cfRule type="cellIs" dxfId="3821" priority="55" operator="notEqual">
      <formula>$L$58</formula>
    </cfRule>
    <cfRule type="cellIs" dxfId="3820" priority="56" operator="equal">
      <formula>$L$58</formula>
    </cfRule>
  </conditionalFormatting>
  <conditionalFormatting sqref="M56">
    <cfRule type="cellIs" dxfId="3819" priority="53" operator="notEqual">
      <formula>$M$58</formula>
    </cfRule>
    <cfRule type="cellIs" dxfId="3818" priority="54" operator="equal">
      <formula>$M$58</formula>
    </cfRule>
  </conditionalFormatting>
  <conditionalFormatting sqref="N56">
    <cfRule type="cellIs" dxfId="3817" priority="51" operator="notEqual">
      <formula>$N$58</formula>
    </cfRule>
    <cfRule type="cellIs" dxfId="3816" priority="52" operator="equal">
      <formula>$N$58</formula>
    </cfRule>
  </conditionalFormatting>
  <conditionalFormatting sqref="O56">
    <cfRule type="cellIs" dxfId="3815" priority="49" operator="notEqual">
      <formula>$O$58</formula>
    </cfRule>
    <cfRule type="cellIs" dxfId="3814" priority="50" operator="equal">
      <formula>$O$58</formula>
    </cfRule>
  </conditionalFormatting>
  <conditionalFormatting sqref="P56">
    <cfRule type="cellIs" dxfId="3813" priority="47" operator="notEqual">
      <formula>$P$58</formula>
    </cfRule>
    <cfRule type="cellIs" dxfId="3812" priority="48" operator="equal">
      <formula>$P$58</formula>
    </cfRule>
  </conditionalFormatting>
  <conditionalFormatting sqref="Q56">
    <cfRule type="cellIs" dxfId="3811" priority="45" operator="notEqual">
      <formula>$Q$58</formula>
    </cfRule>
    <cfRule type="cellIs" dxfId="3810" priority="46" operator="equal">
      <formula>$Q$58</formula>
    </cfRule>
  </conditionalFormatting>
  <conditionalFormatting sqref="R56">
    <cfRule type="cellIs" dxfId="3809" priority="43" operator="notEqual">
      <formula>$R$58</formula>
    </cfRule>
    <cfRule type="cellIs" dxfId="3808" priority="44" operator="equal">
      <formula>$R$58</formula>
    </cfRule>
  </conditionalFormatting>
  <conditionalFormatting sqref="S56">
    <cfRule type="cellIs" dxfId="3807" priority="41" operator="notEqual">
      <formula>$S$58</formula>
    </cfRule>
    <cfRule type="cellIs" dxfId="3806" priority="42" operator="equal">
      <formula>$S$58</formula>
    </cfRule>
  </conditionalFormatting>
  <conditionalFormatting sqref="T56">
    <cfRule type="cellIs" dxfId="3805" priority="39" operator="notEqual">
      <formula>$T$58</formula>
    </cfRule>
    <cfRule type="cellIs" dxfId="3804" priority="40" operator="equal">
      <formula>$T$58</formula>
    </cfRule>
  </conditionalFormatting>
  <conditionalFormatting sqref="U56">
    <cfRule type="cellIs" dxfId="3803" priority="37" operator="notEqual">
      <formula>$U$58</formula>
    </cfRule>
    <cfRule type="cellIs" dxfId="3802" priority="38" operator="equal">
      <formula>$U$58</formula>
    </cfRule>
  </conditionalFormatting>
  <conditionalFormatting sqref="V56">
    <cfRule type="cellIs" dxfId="3801" priority="35" operator="notEqual">
      <formula>$V$58</formula>
    </cfRule>
    <cfRule type="cellIs" dxfId="3800" priority="36" operator="equal">
      <formula>$V$58</formula>
    </cfRule>
  </conditionalFormatting>
  <conditionalFormatting sqref="W56">
    <cfRule type="cellIs" dxfId="3799" priority="33" operator="notEqual">
      <formula>$W$58</formula>
    </cfRule>
    <cfRule type="cellIs" dxfId="3798" priority="34" operator="equal">
      <formula>$W$58</formula>
    </cfRule>
  </conditionalFormatting>
  <conditionalFormatting sqref="X56">
    <cfRule type="cellIs" dxfId="3797" priority="31" operator="notEqual">
      <formula>$X$58</formula>
    </cfRule>
    <cfRule type="cellIs" dxfId="3796" priority="32" operator="equal">
      <formula>$X$58</formula>
    </cfRule>
  </conditionalFormatting>
  <conditionalFormatting sqref="Y56">
    <cfRule type="cellIs" dxfId="3795" priority="29" operator="notEqual">
      <formula>$Y$58</formula>
    </cfRule>
    <cfRule type="cellIs" dxfId="3794" priority="30" operator="equal">
      <formula>$Y$58</formula>
    </cfRule>
  </conditionalFormatting>
  <conditionalFormatting sqref="Z56">
    <cfRule type="cellIs" dxfId="3793" priority="27" operator="notEqual">
      <formula>$Z$58</formula>
    </cfRule>
    <cfRule type="cellIs" dxfId="3792" priority="28" operator="equal">
      <formula>$Z$58</formula>
    </cfRule>
  </conditionalFormatting>
  <conditionalFormatting sqref="AA56">
    <cfRule type="cellIs" dxfId="3791" priority="25" operator="notEqual">
      <formula>$AA$58</formula>
    </cfRule>
    <cfRule type="cellIs" dxfId="3790" priority="26" operator="equal">
      <formula>$AA$58</formula>
    </cfRule>
  </conditionalFormatting>
  <conditionalFormatting sqref="AB56">
    <cfRule type="cellIs" dxfId="3789" priority="23" operator="notEqual">
      <formula>$AB$58</formula>
    </cfRule>
    <cfRule type="cellIs" dxfId="3788" priority="24" operator="equal">
      <formula>$AB$58</formula>
    </cfRule>
  </conditionalFormatting>
  <conditionalFormatting sqref="AC56">
    <cfRule type="cellIs" dxfId="3787" priority="21" operator="notEqual">
      <formula>$AC$58</formula>
    </cfRule>
    <cfRule type="cellIs" dxfId="3786" priority="22" operator="equal">
      <formula>$AC$58</formula>
    </cfRule>
  </conditionalFormatting>
  <conditionalFormatting sqref="AD56">
    <cfRule type="cellIs" dxfId="3785" priority="19" operator="notEqual">
      <formula>$AD$58</formula>
    </cfRule>
    <cfRule type="cellIs" dxfId="3784" priority="20" operator="equal">
      <formula>$AD$58</formula>
    </cfRule>
  </conditionalFormatting>
  <conditionalFormatting sqref="AE56">
    <cfRule type="cellIs" dxfId="3783" priority="17" operator="notEqual">
      <formula>$AE$58</formula>
    </cfRule>
    <cfRule type="cellIs" dxfId="3782" priority="18" operator="equal">
      <formula>$AE$58</formula>
    </cfRule>
  </conditionalFormatting>
  <conditionalFormatting sqref="AF56">
    <cfRule type="cellIs" dxfId="3781" priority="16" operator="equal">
      <formula>$AF$58</formula>
    </cfRule>
  </conditionalFormatting>
  <conditionalFormatting sqref="AF56">
    <cfRule type="cellIs" dxfId="3780" priority="15" operator="notEqual">
      <formula>$AF$58</formula>
    </cfRule>
  </conditionalFormatting>
  <conditionalFormatting sqref="AG56">
    <cfRule type="cellIs" dxfId="3779" priority="14" operator="equal">
      <formula>$AG$58</formula>
    </cfRule>
  </conditionalFormatting>
  <conditionalFormatting sqref="AG56">
    <cfRule type="cellIs" dxfId="3778" priority="13" operator="notEqual">
      <formula>$AG$58</formula>
    </cfRule>
  </conditionalFormatting>
  <conditionalFormatting sqref="AH56">
    <cfRule type="cellIs" dxfId="3777" priority="12" operator="equal">
      <formula>$AH$58</formula>
    </cfRule>
  </conditionalFormatting>
  <conditionalFormatting sqref="AH56">
    <cfRule type="cellIs" dxfId="3776" priority="11" operator="notEqual">
      <formula>$AH$58</formula>
    </cfRule>
  </conditionalFormatting>
  <conditionalFormatting sqref="AI56">
    <cfRule type="cellIs" dxfId="3775" priority="10" operator="equal">
      <formula>$AI$58</formula>
    </cfRule>
  </conditionalFormatting>
  <conditionalFormatting sqref="AI56">
    <cfRule type="cellIs" dxfId="3774" priority="9" operator="notEqual">
      <formula>$AI$58</formula>
    </cfRule>
  </conditionalFormatting>
  <conditionalFormatting sqref="AJ56">
    <cfRule type="cellIs" dxfId="3773" priority="8" operator="equal">
      <formula>$AJ$58</formula>
    </cfRule>
  </conditionalFormatting>
  <conditionalFormatting sqref="AJ56">
    <cfRule type="cellIs" dxfId="3772" priority="7" operator="notEqual">
      <formula>$AJ$58</formula>
    </cfRule>
  </conditionalFormatting>
  <conditionalFormatting sqref="AK56">
    <cfRule type="cellIs" dxfId="3771" priority="6" operator="equal">
      <formula>$AK$58</formula>
    </cfRule>
  </conditionalFormatting>
  <conditionalFormatting sqref="AK56">
    <cfRule type="cellIs" dxfId="3770" priority="5" operator="notEqual">
      <formula>$AK$58</formula>
    </cfRule>
  </conditionalFormatting>
  <conditionalFormatting sqref="AL56">
    <cfRule type="cellIs" dxfId="3769" priority="4" operator="equal">
      <formula>$AL$58</formula>
    </cfRule>
  </conditionalFormatting>
  <conditionalFormatting sqref="AL56">
    <cfRule type="cellIs" dxfId="3768" priority="3" operator="notEqual">
      <formula>$AL$58</formula>
    </cfRule>
  </conditionalFormatting>
  <conditionalFormatting sqref="AM56">
    <cfRule type="cellIs" dxfId="3767" priority="2" operator="equal">
      <formula>$AM$58</formula>
    </cfRule>
  </conditionalFormatting>
  <conditionalFormatting sqref="AM56">
    <cfRule type="cellIs" dxfId="3766" priority="1" operator="notEqual">
      <formula>$AM$58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CDC0E-B48C-4906-8E7C-0D3D69CEBFD2}">
  <sheetPr codeName="Planilha11"/>
  <dimension ref="A1:AP60"/>
  <sheetViews>
    <sheetView showGridLines="0" topLeftCell="X38" workbookViewId="0">
      <selection activeCell="AO56" sqref="AO56:AP58"/>
    </sheetView>
  </sheetViews>
  <sheetFormatPr defaultColWidth="9.1093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9.109375" style="9"/>
    <col min="11" max="11" width="14.33203125" style="9" bestFit="1" customWidth="1"/>
    <col min="12" max="12" width="13.44140625" style="9" bestFit="1" customWidth="1"/>
    <col min="13" max="13" width="7.88671875" style="9" bestFit="1" customWidth="1"/>
    <col min="14" max="14" width="8.6640625" style="9" bestFit="1" customWidth="1"/>
    <col min="15" max="16" width="4.88671875" style="9" bestFit="1" customWidth="1"/>
    <col min="17" max="18" width="10" style="9" bestFit="1" customWidth="1"/>
    <col min="19" max="19" width="8.6640625" style="9" bestFit="1" customWidth="1"/>
    <col min="20" max="20" width="10" style="9" bestFit="1" customWidth="1"/>
    <col min="21" max="21" width="7.44140625" style="9" bestFit="1" customWidth="1"/>
    <col min="22" max="22" width="7.33203125" style="9" bestFit="1" customWidth="1"/>
    <col min="23" max="24" width="9.88671875" style="9" bestFit="1" customWidth="1"/>
    <col min="25" max="25" width="10.5546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0.8867187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7.88671875" style="9" bestFit="1" customWidth="1"/>
    <col min="38" max="38" width="10" style="9" bestFit="1" customWidth="1"/>
    <col min="39" max="39" width="10.88671875" style="9" bestFit="1" customWidth="1"/>
    <col min="40" max="40" width="9.109375" style="9"/>
    <col min="41" max="42" width="10.88671875" style="9" bestFit="1" customWidth="1"/>
    <col min="43" max="16384" width="9.109375" style="9"/>
  </cols>
  <sheetData>
    <row r="1" spans="1:42" ht="11.25" customHeight="1" x14ac:dyDescent="0.3">
      <c r="A1" s="134" t="s">
        <v>66</v>
      </c>
      <c r="B1" s="134" t="s">
        <v>67</v>
      </c>
      <c r="C1" s="134" t="s">
        <v>68</v>
      </c>
      <c r="D1" s="134" t="s">
        <v>69</v>
      </c>
      <c r="E1" s="134" t="s">
        <v>70</v>
      </c>
      <c r="F1" s="134" t="s">
        <v>15</v>
      </c>
      <c r="G1" s="134" t="s">
        <v>72</v>
      </c>
      <c r="H1" s="134" t="s">
        <v>73</v>
      </c>
      <c r="I1" s="134" t="s">
        <v>700</v>
      </c>
      <c r="J1" s="125"/>
      <c r="L1" s="133" t="s">
        <v>714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68"/>
      <c r="AP1" s="137" t="s">
        <v>702</v>
      </c>
    </row>
    <row r="2" spans="1:42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5"/>
      <c r="L2" s="133" t="s">
        <v>610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68"/>
      <c r="AP2" s="138"/>
    </row>
    <row r="3" spans="1:42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5"/>
      <c r="L3" s="133" t="s">
        <v>611</v>
      </c>
      <c r="M3" s="133"/>
      <c r="N3" s="133"/>
      <c r="O3" s="133"/>
      <c r="P3" s="133"/>
      <c r="Q3" s="133"/>
      <c r="R3" s="133"/>
      <c r="S3" s="133"/>
      <c r="T3" s="133"/>
      <c r="U3" s="133" t="s">
        <v>620</v>
      </c>
      <c r="V3" s="133"/>
      <c r="W3" s="133"/>
      <c r="X3" s="133"/>
      <c r="Y3" s="133"/>
      <c r="Z3" s="133"/>
      <c r="AA3" s="133"/>
      <c r="AB3" s="133"/>
      <c r="AC3" s="133" t="s">
        <v>628</v>
      </c>
      <c r="AD3" s="133"/>
      <c r="AE3" s="133" t="s">
        <v>630</v>
      </c>
      <c r="AF3" s="133"/>
      <c r="AG3" s="133"/>
      <c r="AH3" s="133" t="s">
        <v>633</v>
      </c>
      <c r="AI3" s="133"/>
      <c r="AJ3" s="133"/>
      <c r="AK3" s="133"/>
      <c r="AL3" s="133"/>
      <c r="AM3" s="133" t="s">
        <v>619</v>
      </c>
      <c r="AO3" s="68"/>
      <c r="AP3" s="138"/>
    </row>
    <row r="4" spans="1:42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5"/>
      <c r="L4" s="57" t="s">
        <v>696</v>
      </c>
      <c r="M4" s="57" t="s">
        <v>612</v>
      </c>
      <c r="N4" s="57" t="s">
        <v>613</v>
      </c>
      <c r="O4" s="57" t="s">
        <v>614</v>
      </c>
      <c r="P4" s="57" t="s">
        <v>615</v>
      </c>
      <c r="Q4" s="57" t="s">
        <v>616</v>
      </c>
      <c r="R4" s="57" t="s">
        <v>617</v>
      </c>
      <c r="S4" s="57" t="s">
        <v>618</v>
      </c>
      <c r="T4" s="57" t="s">
        <v>619</v>
      </c>
      <c r="U4" s="57" t="s">
        <v>621</v>
      </c>
      <c r="V4" s="57" t="s">
        <v>622</v>
      </c>
      <c r="W4" s="57" t="s">
        <v>623</v>
      </c>
      <c r="X4" s="57" t="s">
        <v>624</v>
      </c>
      <c r="Y4" s="57" t="s">
        <v>625</v>
      </c>
      <c r="Z4" s="57" t="s">
        <v>626</v>
      </c>
      <c r="AA4" s="57" t="s">
        <v>627</v>
      </c>
      <c r="AB4" s="57" t="s">
        <v>619</v>
      </c>
      <c r="AC4" s="57" t="s">
        <v>629</v>
      </c>
      <c r="AD4" s="57" t="s">
        <v>619</v>
      </c>
      <c r="AE4" s="57" t="s">
        <v>631</v>
      </c>
      <c r="AF4" s="57" t="s">
        <v>632</v>
      </c>
      <c r="AG4" s="57" t="s">
        <v>619</v>
      </c>
      <c r="AH4" s="57" t="s">
        <v>634</v>
      </c>
      <c r="AI4" s="57" t="s">
        <v>635</v>
      </c>
      <c r="AJ4" s="57" t="s">
        <v>636</v>
      </c>
      <c r="AK4" s="57" t="s">
        <v>637</v>
      </c>
      <c r="AL4" s="57" t="s">
        <v>619</v>
      </c>
      <c r="AM4" s="136"/>
      <c r="AO4" s="69" t="s">
        <v>713</v>
      </c>
      <c r="AP4" s="139"/>
    </row>
    <row r="5" spans="1:42" ht="11.25" customHeight="1" x14ac:dyDescent="0.3">
      <c r="A5" s="132" t="s">
        <v>39</v>
      </c>
      <c r="B5" s="132" t="s">
        <v>83</v>
      </c>
      <c r="C5" s="132" t="s">
        <v>25</v>
      </c>
      <c r="D5" s="132" t="s">
        <v>25</v>
      </c>
      <c r="E5" s="132" t="s">
        <v>25</v>
      </c>
      <c r="F5" s="132" t="s">
        <v>25</v>
      </c>
      <c r="G5" s="66" t="s">
        <v>85</v>
      </c>
      <c r="H5" s="66" t="s">
        <v>84</v>
      </c>
      <c r="I5" s="66">
        <f>'MERCADO TUSD'!$U$2</f>
        <v>0</v>
      </c>
      <c r="J5" s="15"/>
      <c r="L5" s="61">
        <f>'TUSD BE'!$L$5*'TUSD BF'!$L$61</f>
        <v>0</v>
      </c>
      <c r="M5" s="61">
        <f>'TUSD BE'!$M$5*'TUSD BF'!$M$61</f>
        <v>0</v>
      </c>
      <c r="N5" s="61">
        <f ca="1">'TUSD BE'!$N$5*'TUSD BF'!$N$61</f>
        <v>0</v>
      </c>
      <c r="O5" s="61">
        <f>'TUSD BE'!$O$5*'TUSD BF'!$O$61</f>
        <v>0</v>
      </c>
      <c r="P5" s="61">
        <f>'TUSD BE'!$P$5*'TUSD BF'!$P$61</f>
        <v>0</v>
      </c>
      <c r="Q5" s="61">
        <f>'TUSD BE'!$Q$5*'TUSD BF'!$Q$61</f>
        <v>0</v>
      </c>
      <c r="R5" s="61">
        <f>'TUSD BE'!$R$5*'TUSD BF'!$R$61</f>
        <v>0</v>
      </c>
      <c r="S5" s="61">
        <f>'TUSD BE'!$R$5*'TUSD BF'!$S$61</f>
        <v>0</v>
      </c>
      <c r="T5" s="61">
        <f ca="1">SUM($L$5:$S$5)</f>
        <v>0</v>
      </c>
      <c r="U5" s="61">
        <f>'TUSD BE'!$U$5*'TUSD BF'!$U$61</f>
        <v>0</v>
      </c>
      <c r="V5" s="61">
        <f>'TUSD BE'!$V$5*'TUSD BF'!$V$61</f>
        <v>0</v>
      </c>
      <c r="W5" s="61">
        <f>'TUSD BE'!$W$5*'TUSD BF'!$W$61</f>
        <v>0</v>
      </c>
      <c r="X5" s="61">
        <f>'TUSD BE'!$X$5*'TUSD BF'!$X$61</f>
        <v>0</v>
      </c>
      <c r="Y5" s="61">
        <f>'TUSD BE'!$Y$5*'TUSD BF'!$Y$61</f>
        <v>0</v>
      </c>
      <c r="Z5" s="61">
        <f>'TUSD BE'!$Z$5*'TUSD BF'!$Z$61</f>
        <v>0</v>
      </c>
      <c r="AA5" s="61">
        <f>'TUSD BE'!$AA$5*'TUSD BF'!$AA$61</f>
        <v>0</v>
      </c>
      <c r="AB5" s="61">
        <f>SUM($U$5:$AA$5)</f>
        <v>0</v>
      </c>
      <c r="AC5" s="61">
        <f>'TUSD BE'!$AC$5*'TUSD BF'!$AC$61</f>
        <v>0</v>
      </c>
      <c r="AD5" s="61">
        <f>SUM($AC$5:$AC$5)</f>
        <v>0</v>
      </c>
      <c r="AE5" s="61">
        <f ca="1">$AO$5*$AO$58</f>
        <v>0</v>
      </c>
      <c r="AF5" s="61">
        <f ca="1">$AP$5*$AP$58</f>
        <v>0</v>
      </c>
      <c r="AG5" s="61">
        <f ca="1">SUM($AE$5:$AF$5)</f>
        <v>0</v>
      </c>
      <c r="AH5" s="61">
        <f>'TUSD BE'!$AH$5*'TUSD BF'!$AH$61</f>
        <v>0</v>
      </c>
      <c r="AI5" s="61">
        <f>'TUSD BE'!$AI$5*'TUSD BF'!$AI$61</f>
        <v>0</v>
      </c>
      <c r="AJ5" s="61">
        <f ca="1">'TUSD BE'!$AJ$5*'TUSD BF'!$AJ$61</f>
        <v>0</v>
      </c>
      <c r="AK5" s="61">
        <f ca="1">'TUSD BE'!$AK$5*'TUSD BF'!$AK$61</f>
        <v>0</v>
      </c>
      <c r="AL5" s="61">
        <f ca="1">SUM($AH$5:$AK$5)</f>
        <v>0</v>
      </c>
      <c r="AM5" s="61">
        <f ca="1">SUMIF($L$4:$AL$4,"SUBTOTAL",$L$5:$AL$5)</f>
        <v>0</v>
      </c>
      <c r="AO5" s="68">
        <f ca="1">+'TUSD BE'!$T$5+'TUSD BE'!$AB$5+'TUSD BE'!$AD$5+'TUSD BE'!$AL$5</f>
        <v>86.812856052243774</v>
      </c>
      <c r="AP5" s="68">
        <f ca="1">+'TUSD BE'!$T$5+'TUSD BE'!$AB$5+'TUSD BE'!$AD$5+'TUSD BE'!$AL$5</f>
        <v>86.812856052243774</v>
      </c>
    </row>
    <row r="6" spans="1:42" ht="11.25" customHeight="1" x14ac:dyDescent="0.3">
      <c r="A6" s="132"/>
      <c r="B6" s="132"/>
      <c r="C6" s="132"/>
      <c r="D6" s="132"/>
      <c r="E6" s="132"/>
      <c r="F6" s="132"/>
      <c r="G6" s="66" t="s">
        <v>86</v>
      </c>
      <c r="H6" s="66" t="s">
        <v>84</v>
      </c>
      <c r="I6" s="66">
        <f>'MERCADO TUSD'!$U$3</f>
        <v>0</v>
      </c>
      <c r="J6" s="15"/>
      <c r="L6" s="61">
        <f>'TUSD BE'!$L$6*'TUSD BF'!$L$61</f>
        <v>0</v>
      </c>
      <c r="M6" s="61">
        <f>'TUSD BE'!$M$6*'TUSD BF'!$M$61</f>
        <v>0</v>
      </c>
      <c r="N6" s="61">
        <f ca="1">'TUSD BE'!$N$6*'TUSD BF'!$N$61</f>
        <v>0</v>
      </c>
      <c r="O6" s="61">
        <f>'TUSD BE'!$O$6*'TUSD BF'!$O$61</f>
        <v>0</v>
      </c>
      <c r="P6" s="61">
        <f>'TUSD BE'!$P$6*'TUSD BF'!$P$61</f>
        <v>0</v>
      </c>
      <c r="Q6" s="61">
        <f>'TUSD BE'!$Q$6*'TUSD BF'!$Q$61</f>
        <v>0</v>
      </c>
      <c r="R6" s="61">
        <f>'TUSD BE'!$R$6*'TUSD BF'!$R$61</f>
        <v>0</v>
      </c>
      <c r="S6" s="61">
        <f>'TUSD BE'!$R$6*'TUSD BF'!$S$61</f>
        <v>0</v>
      </c>
      <c r="T6" s="61">
        <f ca="1">SUM($L$6:$S$6)</f>
        <v>0</v>
      </c>
      <c r="U6" s="61">
        <f>'TUSD BE'!$U$6*'TUSD BF'!$U$61</f>
        <v>0</v>
      </c>
      <c r="V6" s="61">
        <f>'TUSD BE'!$V$6*'TUSD BF'!$V$61</f>
        <v>0</v>
      </c>
      <c r="W6" s="61">
        <f>'TUSD BE'!$W$6*'TUSD BF'!$W$61</f>
        <v>0</v>
      </c>
      <c r="X6" s="61">
        <f>'TUSD BE'!$X$6*'TUSD BF'!$X$61</f>
        <v>0</v>
      </c>
      <c r="Y6" s="61">
        <f>'TUSD BE'!$Y$6*'TUSD BF'!$Y$61</f>
        <v>0</v>
      </c>
      <c r="Z6" s="61">
        <f>'TUSD BE'!$Z$6*'TUSD BF'!$Z$61</f>
        <v>0</v>
      </c>
      <c r="AA6" s="61">
        <f>'TUSD BE'!$AA$6*'TUSD BF'!$AA$61</f>
        <v>0</v>
      </c>
      <c r="AB6" s="61">
        <f>SUM($U$6:$AA$6)</f>
        <v>0</v>
      </c>
      <c r="AC6" s="61">
        <f>'TUSD BE'!$AC$6*'TUSD BF'!$AC$61</f>
        <v>0</v>
      </c>
      <c r="AD6" s="61">
        <f>SUM($AC$6:$AC$6)</f>
        <v>0</v>
      </c>
      <c r="AE6" s="61">
        <f ca="1">$AO$6*$AO$58</f>
        <v>0</v>
      </c>
      <c r="AF6" s="61">
        <f ca="1">$AP$6*$AP$58</f>
        <v>0</v>
      </c>
      <c r="AG6" s="61">
        <f ca="1">SUM($AE$6:$AF$6)</f>
        <v>0</v>
      </c>
      <c r="AH6" s="61">
        <f>'TUSD BE'!$AH$6*'TUSD BF'!$AH$61</f>
        <v>0</v>
      </c>
      <c r="AI6" s="61">
        <f>'TUSD BE'!$AI$6*'TUSD BF'!$AI$61</f>
        <v>0</v>
      </c>
      <c r="AJ6" s="61">
        <f ca="1">'TUSD BE'!$AJ$6*'TUSD BF'!$AJ$61</f>
        <v>0</v>
      </c>
      <c r="AK6" s="61">
        <f ca="1">'TUSD BE'!$AK$6*'TUSD BF'!$AK$61</f>
        <v>0</v>
      </c>
      <c r="AL6" s="61">
        <f ca="1">SUM($AH$6:$AK$6)</f>
        <v>0</v>
      </c>
      <c r="AM6" s="61">
        <f ca="1">SUMIF($L$4:$AL$4,"SUBTOTAL",$L$6:$AL$6)</f>
        <v>0</v>
      </c>
      <c r="AO6" s="68">
        <f ca="1">+'TUSD BE'!$T$6+'TUSD BE'!$AB$6+'TUSD BE'!$AD$6+'TUSD BE'!$AL$6</f>
        <v>46.682080386261596</v>
      </c>
      <c r="AP6" s="68">
        <f ca="1">+'TUSD BE'!$T$6+'TUSD BE'!$AB$6+'TUSD BE'!$AD$6+'TUSD BE'!$AL$6</f>
        <v>46.682080386261596</v>
      </c>
    </row>
    <row r="7" spans="1:42" ht="11.25" customHeight="1" x14ac:dyDescent="0.3">
      <c r="A7" s="132"/>
      <c r="B7" s="132"/>
      <c r="C7" s="132"/>
      <c r="D7" s="132"/>
      <c r="E7" s="132"/>
      <c r="F7" s="132"/>
      <c r="G7" s="66" t="s">
        <v>81</v>
      </c>
      <c r="H7" s="66" t="s">
        <v>76</v>
      </c>
      <c r="I7" s="66">
        <f>'MERCADO TUSD'!$U$4</f>
        <v>0</v>
      </c>
      <c r="J7" s="15"/>
      <c r="L7" s="61">
        <f>'TUSD BE'!$L$7*'TUSD BF'!$L$61</f>
        <v>0.18681297118877177</v>
      </c>
      <c r="M7" s="61">
        <f>'TUSD BE'!$M$7*'TUSD BF'!$M$61</f>
        <v>0</v>
      </c>
      <c r="N7" s="61">
        <f ca="1">'TUSD BE'!$N$7*'TUSD BF'!$N$61</f>
        <v>0</v>
      </c>
      <c r="O7" s="61">
        <f>'TUSD BE'!$O$7*'TUSD BF'!$O$61</f>
        <v>0</v>
      </c>
      <c r="P7" s="61">
        <f>'TUSD BE'!$P$7*'TUSD BF'!$P$61</f>
        <v>0</v>
      </c>
      <c r="Q7" s="61">
        <f>'TUSD BE'!$Q$7*'TUSD BF'!$Q$61</f>
        <v>9.307223382996856</v>
      </c>
      <c r="R7" s="61">
        <f>'TUSD BE'!$R$7*'TUSD BF'!$R$61</f>
        <v>2.8235306721162976</v>
      </c>
      <c r="S7" s="61">
        <f>'TUSD BE'!$R$7*'TUSD BF'!$S$61</f>
        <v>0</v>
      </c>
      <c r="T7" s="61">
        <f ca="1">SUM($L$7:$S$7)</f>
        <v>12.317567026301926</v>
      </c>
      <c r="U7" s="61">
        <f>'TUSD BE'!$U$7*'TUSD BF'!$U$61</f>
        <v>0</v>
      </c>
      <c r="V7" s="61">
        <f>'TUSD BE'!$V$7*'TUSD BF'!$V$61</f>
        <v>0</v>
      </c>
      <c r="W7" s="61">
        <f>'TUSD BE'!$W$7*'TUSD BF'!$W$61</f>
        <v>0</v>
      </c>
      <c r="X7" s="61">
        <f>'TUSD BE'!$X$7*'TUSD BF'!$X$61</f>
        <v>0</v>
      </c>
      <c r="Y7" s="61">
        <f>'TUSD BE'!$Y$7*'TUSD BF'!$Y$61</f>
        <v>0</v>
      </c>
      <c r="Z7" s="61">
        <f>'TUSD BE'!$Z$7*'TUSD BF'!$Z$61</f>
        <v>0</v>
      </c>
      <c r="AA7" s="61">
        <f>'TUSD BE'!$AA$7*'TUSD BF'!$AA$61</f>
        <v>0</v>
      </c>
      <c r="AB7" s="61">
        <f>SUM($U$7:$AA$7)</f>
        <v>0</v>
      </c>
      <c r="AC7" s="61">
        <f>'TUSD BE'!$AC$7*'TUSD BF'!$AC$61</f>
        <v>0</v>
      </c>
      <c r="AD7" s="61">
        <f>SUM($AC$7:$AC$7)</f>
        <v>0</v>
      </c>
      <c r="AE7" s="61">
        <f ca="1">$AO$7*$AO$58</f>
        <v>0</v>
      </c>
      <c r="AF7" s="61">
        <f ca="1">$AP$7*$AP$58</f>
        <v>0</v>
      </c>
      <c r="AG7" s="61">
        <f ca="1">SUM($AE$7:$AF$7)</f>
        <v>0</v>
      </c>
      <c r="AH7" s="61">
        <f>'TUSD BE'!$AH$7*'TUSD BF'!$AH$61</f>
        <v>1.1744690304686893</v>
      </c>
      <c r="AI7" s="61">
        <f>'TUSD BE'!$AI$7*'TUSD BF'!$AI$61</f>
        <v>1.2011547611202378E-2</v>
      </c>
      <c r="AJ7" s="61">
        <f ca="1">'TUSD BE'!$AJ$7*'TUSD BF'!$AJ$61</f>
        <v>8.7567077200503191E-2</v>
      </c>
      <c r="AK7" s="61">
        <f ca="1">'TUSD BE'!$AK$7*'TUSD BF'!$AK$61</f>
        <v>0</v>
      </c>
      <c r="AL7" s="61">
        <f ca="1">SUM($AH$7:$AK$7)</f>
        <v>1.274047655280395</v>
      </c>
      <c r="AM7" s="61">
        <f ca="1">SUMIF($L$4:$AL$4,"SUBTOTAL",$L$7:$AL$7)</f>
        <v>13.591614681582321</v>
      </c>
      <c r="AO7" s="68">
        <f ca="1">+'TUSD BE'!$T$7+'TUSD BE'!$AB$7+'TUSD BE'!$AD$7+'TUSD BE'!$AL$7</f>
        <v>106.4549483288624</v>
      </c>
      <c r="AP7" s="68">
        <f ca="1">+'TUSD BE'!$T$7+'TUSD BE'!$AB$7+'TUSD BE'!$AD$7+'TUSD BE'!$AL$7</f>
        <v>106.4549483288624</v>
      </c>
    </row>
    <row r="8" spans="1:42" ht="11.25" customHeight="1" x14ac:dyDescent="0.3">
      <c r="A8" s="132"/>
      <c r="B8" s="132"/>
      <c r="C8" s="132"/>
      <c r="D8" s="132"/>
      <c r="E8" s="65" t="s">
        <v>87</v>
      </c>
      <c r="F8" s="65" t="s">
        <v>25</v>
      </c>
      <c r="G8" s="66" t="s">
        <v>81</v>
      </c>
      <c r="H8" s="66" t="s">
        <v>76</v>
      </c>
      <c r="I8" s="66">
        <f>'MERCADO TUSD'!$U$5</f>
        <v>0</v>
      </c>
      <c r="J8" s="15"/>
      <c r="L8" s="61">
        <f>'TUSD BE'!$L$8*'TUSD BF'!$L$61</f>
        <v>0</v>
      </c>
      <c r="M8" s="61">
        <f>'TUSD BE'!$M$8*'TUSD BF'!$M$61</f>
        <v>0</v>
      </c>
      <c r="N8" s="61">
        <f ca="1">'TUSD BE'!$N$8*'TUSD BF'!$N$61</f>
        <v>0</v>
      </c>
      <c r="O8" s="61">
        <f>'TUSD BE'!$O$8*'TUSD BF'!$O$61</f>
        <v>0</v>
      </c>
      <c r="P8" s="61">
        <f>'TUSD BE'!$P$8*'TUSD BF'!$P$61</f>
        <v>0</v>
      </c>
      <c r="Q8" s="61">
        <f>'TUSD BE'!$Q$8*'TUSD BF'!$Q$61</f>
        <v>0</v>
      </c>
      <c r="R8" s="61">
        <f>'TUSD BE'!$R$8*'TUSD BF'!$R$61</f>
        <v>0</v>
      </c>
      <c r="S8" s="61">
        <f>'TUSD BE'!$R$8*'TUSD BF'!$S$61</f>
        <v>0</v>
      </c>
      <c r="T8" s="61">
        <f ca="1">SUM($L$8:$S$8)</f>
        <v>0</v>
      </c>
      <c r="U8" s="61">
        <f>'TUSD BE'!$U$8*'TUSD BF'!$U$61</f>
        <v>0</v>
      </c>
      <c r="V8" s="61">
        <f>'TUSD BE'!$V$8*'TUSD BF'!$V$61</f>
        <v>0</v>
      </c>
      <c r="W8" s="61">
        <f>'TUSD BE'!$W$8*'TUSD BF'!$W$61</f>
        <v>0</v>
      </c>
      <c r="X8" s="61">
        <f>'TUSD BE'!$X$8*'TUSD BF'!$X$61</f>
        <v>0</v>
      </c>
      <c r="Y8" s="61">
        <f>'TUSD BE'!$Y$8*'TUSD BF'!$Y$61</f>
        <v>0</v>
      </c>
      <c r="Z8" s="61">
        <f>'TUSD BE'!$Z$8*'TUSD BF'!$Z$61</f>
        <v>0</v>
      </c>
      <c r="AA8" s="61">
        <f>'TUSD BE'!$AA$8*'TUSD BF'!$AA$61</f>
        <v>0</v>
      </c>
      <c r="AB8" s="61">
        <f>SUM($U$8:$AA$8)</f>
        <v>0</v>
      </c>
      <c r="AC8" s="61">
        <f>'TUSD BE'!$AC$8*'TUSD BF'!$AC$61</f>
        <v>0</v>
      </c>
      <c r="AD8" s="61">
        <f>SUM($AC$8:$AC$8)</f>
        <v>0</v>
      </c>
      <c r="AE8" s="61">
        <f ca="1">$AO$8*$AO$58</f>
        <v>0</v>
      </c>
      <c r="AF8" s="61">
        <f ca="1">$AP$8*$AP$58</f>
        <v>0</v>
      </c>
      <c r="AG8" s="61">
        <f ca="1">SUM($AE$8:$AF$8)</f>
        <v>0</v>
      </c>
      <c r="AH8" s="61">
        <f>'TUSD BE'!$AH$8*'TUSD BF'!$AH$61</f>
        <v>1.1744690304686893</v>
      </c>
      <c r="AI8" s="61">
        <f>'TUSD BE'!$AI$8*'TUSD BF'!$AI$61</f>
        <v>1.2011547611202378E-2</v>
      </c>
      <c r="AJ8" s="61">
        <f ca="1">'TUSD BE'!$AJ$8*'TUSD BF'!$AJ$61</f>
        <v>8.7567077200503191E-2</v>
      </c>
      <c r="AK8" s="61">
        <f ca="1">'TUSD BE'!$AK$8*'TUSD BF'!$AK$61</f>
        <v>0</v>
      </c>
      <c r="AL8" s="61">
        <f ca="1">SUM($AH$8:$AK$8)</f>
        <v>1.274047655280395</v>
      </c>
      <c r="AM8" s="61">
        <f ca="1">SUMIF($L$4:$AL$4,"SUBTOTAL",$L$8:$AL$8)</f>
        <v>1.274047655280395</v>
      </c>
      <c r="AO8" s="68">
        <f ca="1">+'TUSD BE'!$T$8+'TUSD BE'!$AB$8+'TUSD BE'!$AD$8+'TUSD BE'!$AL$8</f>
        <v>14.11805253284518</v>
      </c>
      <c r="AP8" s="68">
        <f ca="1">+'TUSD BE'!$T$8+'TUSD BE'!$AB$8+'TUSD BE'!$AD$8+'TUSD BE'!$AL$8</f>
        <v>14.11805253284518</v>
      </c>
    </row>
    <row r="9" spans="1:42" ht="11.25" customHeight="1" x14ac:dyDescent="0.3">
      <c r="A9" s="132"/>
      <c r="B9" s="132" t="s">
        <v>56</v>
      </c>
      <c r="C9" s="132" t="s">
        <v>25</v>
      </c>
      <c r="D9" s="132" t="s">
        <v>25</v>
      </c>
      <c r="E9" s="132" t="s">
        <v>25</v>
      </c>
      <c r="F9" s="132" t="s">
        <v>58</v>
      </c>
      <c r="G9" s="66" t="s">
        <v>85</v>
      </c>
      <c r="H9" s="66" t="s">
        <v>84</v>
      </c>
      <c r="I9" s="66">
        <f>'MERCADO TUSD'!$U$6</f>
        <v>16540</v>
      </c>
      <c r="J9" s="15"/>
      <c r="L9" s="61">
        <f>'TUSD BE'!$L$9*'TUSD BF'!$L$61</f>
        <v>0</v>
      </c>
      <c r="M9" s="61">
        <f>'TUSD BE'!$M$9*'TUSD BF'!$M$61</f>
        <v>0</v>
      </c>
      <c r="N9" s="61">
        <f ca="1">'TUSD BE'!$N$9*'TUSD BF'!$N$61</f>
        <v>0</v>
      </c>
      <c r="O9" s="61">
        <f>'TUSD BE'!$O$9*'TUSD BF'!$O$61</f>
        <v>0</v>
      </c>
      <c r="P9" s="61">
        <f>'TUSD BE'!$P$9*'TUSD BF'!$P$61</f>
        <v>0</v>
      </c>
      <c r="Q9" s="61">
        <f>'TUSD BE'!$Q$9*'TUSD BF'!$Q$61</f>
        <v>0</v>
      </c>
      <c r="R9" s="61">
        <f>'TUSD BE'!$R$9*'TUSD BF'!$R$61</f>
        <v>0</v>
      </c>
      <c r="S9" s="61">
        <f>'TUSD BE'!$R$9*'TUSD BF'!$S$61</f>
        <v>0</v>
      </c>
      <c r="T9" s="61">
        <f ca="1">SUM($L$9:$S$9)</f>
        <v>0</v>
      </c>
      <c r="U9" s="61">
        <f>'TUSD BE'!$U$9*'TUSD BF'!$U$61</f>
        <v>0</v>
      </c>
      <c r="V9" s="61">
        <f>'TUSD BE'!$V$9*'TUSD BF'!$V$61</f>
        <v>0</v>
      </c>
      <c r="W9" s="61">
        <f>'TUSD BE'!$W$9*'TUSD BF'!$W$61</f>
        <v>0</v>
      </c>
      <c r="X9" s="61">
        <f>'TUSD BE'!$X$9*'TUSD BF'!$X$61</f>
        <v>0</v>
      </c>
      <c r="Y9" s="61">
        <f>'TUSD BE'!$Y$9*'TUSD BF'!$Y$61</f>
        <v>0</v>
      </c>
      <c r="Z9" s="61">
        <f>'TUSD BE'!$Z$9*'TUSD BF'!$Z$61</f>
        <v>0</v>
      </c>
      <c r="AA9" s="61">
        <f>'TUSD BE'!$AA$9*'TUSD BF'!$AA$61</f>
        <v>0</v>
      </c>
      <c r="AB9" s="61">
        <f>SUM($U$9:$AA$9)</f>
        <v>0</v>
      </c>
      <c r="AC9" s="61">
        <f>'TUSD BE'!$AC$9*'TUSD BF'!$AC$61</f>
        <v>0</v>
      </c>
      <c r="AD9" s="61">
        <f>SUM($AC$9:$AC$9)</f>
        <v>0</v>
      </c>
      <c r="AE9" s="61">
        <v>0</v>
      </c>
      <c r="AF9" s="61">
        <f ca="1">$AP$9*$AP$58</f>
        <v>0</v>
      </c>
      <c r="AG9" s="61">
        <f ca="1">SUM($AE$9:$AF$9)</f>
        <v>0</v>
      </c>
      <c r="AH9" s="61">
        <f>'TUSD BE'!$AH$9*'TUSD BF'!$AH$61</f>
        <v>0</v>
      </c>
      <c r="AI9" s="61">
        <f>'TUSD BE'!$AI$9*'TUSD BF'!$AI$61</f>
        <v>0</v>
      </c>
      <c r="AJ9" s="61">
        <f ca="1">'TUSD BE'!$AJ$9*'TUSD BF'!$AJ$61</f>
        <v>0</v>
      </c>
      <c r="AK9" s="61">
        <f ca="1">'TUSD BE'!$AK$9*'TUSD BF'!$AK$61</f>
        <v>0</v>
      </c>
      <c r="AL9" s="61">
        <f ca="1">SUM($AH$9:$AK$9)</f>
        <v>0</v>
      </c>
      <c r="AM9" s="61">
        <f ca="1">SUMIF($L$4:$AL$4,"SUBTOTAL",$L$9:$AL$9)</f>
        <v>0</v>
      </c>
      <c r="AO9" s="68"/>
      <c r="AP9" s="68">
        <f ca="1">+'TUSD BE'!$T$9+'TUSD BE'!$AB$9+'TUSD BE'!$AD$9+'TUSD BE'!$AL$9</f>
        <v>48.364630873158333</v>
      </c>
    </row>
    <row r="10" spans="1:42" ht="11.25" customHeight="1" x14ac:dyDescent="0.3">
      <c r="A10" s="132"/>
      <c r="B10" s="132"/>
      <c r="C10" s="132"/>
      <c r="D10" s="132"/>
      <c r="E10" s="132"/>
      <c r="F10" s="132"/>
      <c r="G10" s="66" t="s">
        <v>86</v>
      </c>
      <c r="H10" s="66" t="s">
        <v>84</v>
      </c>
      <c r="I10" s="66">
        <f>'MERCADO TUSD'!$U$7</f>
        <v>16454</v>
      </c>
      <c r="J10" s="15"/>
      <c r="L10" s="61">
        <f>'TUSD BE'!$L$10*'TUSD BF'!$L$61</f>
        <v>0</v>
      </c>
      <c r="M10" s="61">
        <f>'TUSD BE'!$M$10*'TUSD BF'!$M$61</f>
        <v>0</v>
      </c>
      <c r="N10" s="61">
        <f ca="1">'TUSD BE'!$N$10*'TUSD BF'!$N$61</f>
        <v>0</v>
      </c>
      <c r="O10" s="61">
        <f>'TUSD BE'!$O$10*'TUSD BF'!$O$61</f>
        <v>0</v>
      </c>
      <c r="P10" s="61">
        <f>'TUSD BE'!$P$10*'TUSD BF'!$P$61</f>
        <v>0</v>
      </c>
      <c r="Q10" s="61">
        <f>'TUSD BE'!$Q$10*'TUSD BF'!$Q$61</f>
        <v>0</v>
      </c>
      <c r="R10" s="61">
        <f>'TUSD BE'!$R$10*'TUSD BF'!$R$61</f>
        <v>0</v>
      </c>
      <c r="S10" s="61">
        <f>'TUSD BE'!$R$10*'TUSD BF'!$S$61</f>
        <v>0</v>
      </c>
      <c r="T10" s="61">
        <f ca="1">SUM($L$10:$S$10)</f>
        <v>0</v>
      </c>
      <c r="U10" s="61">
        <f>'TUSD BE'!$U$10*'TUSD BF'!$U$61</f>
        <v>0</v>
      </c>
      <c r="V10" s="61">
        <f>'TUSD BE'!$V$10*'TUSD BF'!$V$61</f>
        <v>0</v>
      </c>
      <c r="W10" s="61">
        <f>'TUSD BE'!$W$10*'TUSD BF'!$W$61</f>
        <v>0</v>
      </c>
      <c r="X10" s="61">
        <f>'TUSD BE'!$X$10*'TUSD BF'!$X$61</f>
        <v>0</v>
      </c>
      <c r="Y10" s="61">
        <f>'TUSD BE'!$Y$10*'TUSD BF'!$Y$61</f>
        <v>0</v>
      </c>
      <c r="Z10" s="61">
        <f>'TUSD BE'!$Z$10*'TUSD BF'!$Z$61</f>
        <v>0</v>
      </c>
      <c r="AA10" s="61">
        <f>'TUSD BE'!$AA$10*'TUSD BF'!$AA$61</f>
        <v>0</v>
      </c>
      <c r="AB10" s="61">
        <f>SUM($U$10:$AA$10)</f>
        <v>0</v>
      </c>
      <c r="AC10" s="61">
        <f>'TUSD BE'!$AC$10*'TUSD BF'!$AC$61</f>
        <v>0</v>
      </c>
      <c r="AD10" s="61">
        <f>SUM($AC$10:$AC$10)</f>
        <v>0</v>
      </c>
      <c r="AE10" s="61">
        <v>0</v>
      </c>
      <c r="AF10" s="61">
        <f ca="1">$AP$10*$AP$58</f>
        <v>0</v>
      </c>
      <c r="AG10" s="61">
        <f ca="1">SUM($AE$10:$AF$10)</f>
        <v>0</v>
      </c>
      <c r="AH10" s="61">
        <f>'TUSD BE'!$AH$10*'TUSD BF'!$AH$61</f>
        <v>0</v>
      </c>
      <c r="AI10" s="61">
        <f>'TUSD BE'!$AI$10*'TUSD BF'!$AI$61</f>
        <v>0</v>
      </c>
      <c r="AJ10" s="61">
        <f ca="1">'TUSD BE'!$AJ$10*'TUSD BF'!$AJ$61</f>
        <v>0</v>
      </c>
      <c r="AK10" s="61">
        <f ca="1">'TUSD BE'!$AK$10*'TUSD BF'!$AK$61</f>
        <v>0</v>
      </c>
      <c r="AL10" s="61">
        <f ca="1">SUM($AH$10:$AK$10)</f>
        <v>0</v>
      </c>
      <c r="AM10" s="61">
        <f ca="1">SUMIF($L$4:$AL$4,"SUBTOTAL",$L$10:$AL$10)</f>
        <v>0</v>
      </c>
      <c r="AO10" s="68"/>
      <c r="AP10" s="68">
        <f ca="1">+'TUSD BE'!$T$10+'TUSD BE'!$AB$10+'TUSD BE'!$AD$10+'TUSD BE'!$AL$10</f>
        <v>27.457913537451791</v>
      </c>
    </row>
    <row r="11" spans="1:42" ht="11.25" customHeight="1" x14ac:dyDescent="0.3">
      <c r="A11" s="132"/>
      <c r="B11" s="132"/>
      <c r="C11" s="132"/>
      <c r="D11" s="132"/>
      <c r="E11" s="132"/>
      <c r="F11" s="132"/>
      <c r="G11" s="66" t="s">
        <v>81</v>
      </c>
      <c r="H11" s="66" t="s">
        <v>76</v>
      </c>
      <c r="I11" s="66">
        <f>'MERCADO TUSD'!$U$8</f>
        <v>5489.0889999999999</v>
      </c>
      <c r="J11" s="15"/>
      <c r="L11" s="61">
        <f>'TUSD BE'!$L$11*'TUSD BF'!$L$61</f>
        <v>0</v>
      </c>
      <c r="M11" s="61">
        <f>'TUSD BE'!$M$11*'TUSD BF'!$M$61</f>
        <v>0</v>
      </c>
      <c r="N11" s="61">
        <f ca="1">'TUSD BE'!$N$11*'TUSD BF'!$N$61</f>
        <v>0</v>
      </c>
      <c r="O11" s="61">
        <f>'TUSD BE'!$O$11*'TUSD BF'!$O$61</f>
        <v>0</v>
      </c>
      <c r="P11" s="61">
        <f>'TUSD BE'!$P$11*'TUSD BF'!$P$61</f>
        <v>0</v>
      </c>
      <c r="Q11" s="61">
        <f>'TUSD BE'!$Q$11*'TUSD BF'!$Q$61</f>
        <v>0</v>
      </c>
      <c r="R11" s="61">
        <f>'TUSD BE'!$R$11*'TUSD BF'!$R$61</f>
        <v>0</v>
      </c>
      <c r="S11" s="61">
        <f>'TUSD BE'!$R$11*'TUSD BF'!$S$61</f>
        <v>0</v>
      </c>
      <c r="T11" s="61">
        <f ca="1">SUM($L$11:$S$11)</f>
        <v>0</v>
      </c>
      <c r="U11" s="61">
        <f>'TUSD BE'!$U$11*'TUSD BF'!$U$61</f>
        <v>0</v>
      </c>
      <c r="V11" s="61">
        <f>'TUSD BE'!$V$11*'TUSD BF'!$V$61</f>
        <v>0</v>
      </c>
      <c r="W11" s="61">
        <f>'TUSD BE'!$W$11*'TUSD BF'!$W$61</f>
        <v>0</v>
      </c>
      <c r="X11" s="61">
        <f>'TUSD BE'!$X$11*'TUSD BF'!$X$61</f>
        <v>0</v>
      </c>
      <c r="Y11" s="61">
        <f>'TUSD BE'!$Y$11*'TUSD BF'!$Y$61</f>
        <v>0</v>
      </c>
      <c r="Z11" s="61">
        <f>'TUSD BE'!$Z$11*'TUSD BF'!$Z$61</f>
        <v>0</v>
      </c>
      <c r="AA11" s="61">
        <f>'TUSD BE'!$AA$11*'TUSD BF'!$AA$61</f>
        <v>0</v>
      </c>
      <c r="AB11" s="61">
        <f>SUM($U$11:$AA$11)</f>
        <v>0</v>
      </c>
      <c r="AC11" s="61">
        <f>'TUSD BE'!$AC$11*'TUSD BF'!$AC$61</f>
        <v>0</v>
      </c>
      <c r="AD11" s="61">
        <f>SUM($AC$11:$AC$11)</f>
        <v>0</v>
      </c>
      <c r="AE11" s="61">
        <v>0</v>
      </c>
      <c r="AF11" s="61">
        <f ca="1">$AP$11*$AP$58</f>
        <v>0</v>
      </c>
      <c r="AG11" s="61">
        <f ca="1">SUM($AE$11:$AF$11)</f>
        <v>0</v>
      </c>
      <c r="AH11" s="61">
        <f>'TUSD BE'!$AH$11*'TUSD BF'!$AH$61</f>
        <v>1.1744690304686893</v>
      </c>
      <c r="AI11" s="61">
        <f>'TUSD BE'!$AI$11*'TUSD BF'!$AI$61</f>
        <v>1.2011547611202378E-2</v>
      </c>
      <c r="AJ11" s="61">
        <f ca="1">'TUSD BE'!$AJ$11*'TUSD BF'!$AJ$61</f>
        <v>0</v>
      </c>
      <c r="AK11" s="61">
        <f ca="1">'TUSD BE'!$AK$11*'TUSD BF'!$AK$61</f>
        <v>0</v>
      </c>
      <c r="AL11" s="61">
        <f ca="1">SUM($AH$11:$AK$11)</f>
        <v>1.1864805780798917</v>
      </c>
      <c r="AM11" s="61">
        <f ca="1">SUMIF($L$4:$AL$4,"SUBTOTAL",$L$11:$AL$11)</f>
        <v>1.1864805780798917</v>
      </c>
      <c r="AO11" s="68"/>
      <c r="AP11" s="68">
        <f ca="1">+'TUSD BE'!$T$11+'TUSD BE'!$AB$11+'TUSD BE'!$AD$11+'TUSD BE'!$AL$11</f>
        <v>11.655022085078274</v>
      </c>
    </row>
    <row r="12" spans="1:42" ht="11.25" customHeight="1" x14ac:dyDescent="0.3">
      <c r="A12" s="132"/>
      <c r="B12" s="65" t="s">
        <v>88</v>
      </c>
      <c r="C12" s="65" t="s">
        <v>25</v>
      </c>
      <c r="D12" s="65" t="s">
        <v>25</v>
      </c>
      <c r="E12" s="65" t="s">
        <v>25</v>
      </c>
      <c r="F12" s="65" t="s">
        <v>25</v>
      </c>
      <c r="G12" s="66" t="s">
        <v>9</v>
      </c>
      <c r="H12" s="66" t="s">
        <v>84</v>
      </c>
      <c r="I12" s="66">
        <f>'MERCADO TUSD'!$U$9</f>
        <v>0</v>
      </c>
      <c r="J12" s="15"/>
      <c r="L12" s="61">
        <f>'TUSD BE'!$L$12*'TUSD BF'!$L$61</f>
        <v>0</v>
      </c>
      <c r="M12" s="61">
        <f>'TUSD BE'!$M$12*'TUSD BF'!$M$61</f>
        <v>0</v>
      </c>
      <c r="N12" s="61">
        <f ca="1">'TUSD BE'!$N$12*'TUSD BF'!$N$61</f>
        <v>0</v>
      </c>
      <c r="O12" s="61">
        <f>'TUSD BE'!$O$12*'TUSD BF'!$O$61</f>
        <v>0</v>
      </c>
      <c r="P12" s="61">
        <f>'TUSD BE'!$P$12*'TUSD BF'!$P$61</f>
        <v>0</v>
      </c>
      <c r="Q12" s="61">
        <f>'TUSD BE'!$Q$12*'TUSD BF'!$Q$61</f>
        <v>0</v>
      </c>
      <c r="R12" s="61">
        <f>'TUSD BE'!$R$12*'TUSD BF'!$R$61</f>
        <v>0</v>
      </c>
      <c r="S12" s="61">
        <f>'TUSD BE'!$R$12*'TUSD BF'!$S$61</f>
        <v>0</v>
      </c>
      <c r="T12" s="61">
        <f ca="1">SUM($L$12:$S$12)</f>
        <v>0</v>
      </c>
      <c r="U12" s="61">
        <f>'TUSD BE'!$U$12*'TUSD BF'!$U$61</f>
        <v>0</v>
      </c>
      <c r="V12" s="61">
        <f>'TUSD BE'!$V$12*'TUSD BF'!$V$61</f>
        <v>0</v>
      </c>
      <c r="W12" s="61">
        <f>'TUSD BE'!$W$12*'TUSD BF'!$W$61</f>
        <v>0</v>
      </c>
      <c r="X12" s="61">
        <f>'TUSD BE'!$X$12*'TUSD BF'!$X$61</f>
        <v>0</v>
      </c>
      <c r="Y12" s="61">
        <f>'TUSD BE'!$Y$12*'TUSD BF'!$Y$61</f>
        <v>0</v>
      </c>
      <c r="Z12" s="61">
        <f>'TUSD BE'!$Z$12*'TUSD BF'!$Z$61</f>
        <v>0</v>
      </c>
      <c r="AA12" s="61">
        <f>'TUSD BE'!$AA$12*'TUSD BF'!$AA$61</f>
        <v>0</v>
      </c>
      <c r="AB12" s="61">
        <f>SUM($U$12:$AA$12)</f>
        <v>0</v>
      </c>
      <c r="AC12" s="61">
        <f>'TUSD BE'!$AC$12*'TUSD BF'!$AC$61</f>
        <v>0</v>
      </c>
      <c r="AD12" s="61">
        <f>SUM($AC$12:$AC$12)</f>
        <v>0</v>
      </c>
      <c r="AE12" s="61">
        <f ca="1">$AO$12*$AO$58</f>
        <v>0</v>
      </c>
      <c r="AF12" s="61">
        <f ca="1">$AP$12*$AP$58</f>
        <v>0</v>
      </c>
      <c r="AG12" s="61">
        <f ca="1">SUM($AE$12:$AF$12)</f>
        <v>0</v>
      </c>
      <c r="AH12" s="61">
        <f>'TUSD BE'!$AH$12*'TUSD BF'!$AH$61</f>
        <v>0</v>
      </c>
      <c r="AI12" s="61">
        <f>'TUSD BE'!$AI$12*'TUSD BF'!$AI$61</f>
        <v>0</v>
      </c>
      <c r="AJ12" s="61">
        <f ca="1">'TUSD BE'!$AJ$12*'TUSD BF'!$AJ$61</f>
        <v>0</v>
      </c>
      <c r="AK12" s="61">
        <f ca="1">'TUSD BE'!$AK$12*'TUSD BF'!$AK$61</f>
        <v>0</v>
      </c>
      <c r="AL12" s="61">
        <f ca="1">SUM($AH$12:$AK$12)</f>
        <v>0</v>
      </c>
      <c r="AM12" s="61">
        <f ca="1">SUMIF($L$4:$AL$4,"SUBTOTAL",$L$12:$AL$12)</f>
        <v>0</v>
      </c>
      <c r="AO12" s="68">
        <f ca="1">+'TUSD BE'!$T$12+'TUSD BE'!$AB$12+'TUSD BE'!$AD$12+'TUSD BE'!$AL$12</f>
        <v>21.422077723548455</v>
      </c>
      <c r="AP12" s="68">
        <f ca="1">+'TUSD BE'!$T$12+'TUSD BE'!$AB$12+'TUSD BE'!$AD$12+'TUSD BE'!$AL$12</f>
        <v>21.422077723548455</v>
      </c>
    </row>
    <row r="13" spans="1:42" ht="11.25" customHeight="1" x14ac:dyDescent="0.3">
      <c r="A13" s="132"/>
      <c r="B13" s="132" t="s">
        <v>40</v>
      </c>
      <c r="C13" s="132" t="s">
        <v>25</v>
      </c>
      <c r="D13" s="132" t="s">
        <v>25</v>
      </c>
      <c r="E13" s="132" t="s">
        <v>25</v>
      </c>
      <c r="F13" s="132" t="s">
        <v>25</v>
      </c>
      <c r="G13" s="66" t="s">
        <v>9</v>
      </c>
      <c r="H13" s="66" t="s">
        <v>84</v>
      </c>
      <c r="I13" s="66">
        <f>'MERCADO TUSD'!$U$10</f>
        <v>119147</v>
      </c>
      <c r="J13" s="15"/>
      <c r="L13" s="61">
        <f>'TUSD BE'!$L$13*'TUSD BF'!$L$61</f>
        <v>0</v>
      </c>
      <c r="M13" s="61">
        <f>'TUSD BE'!$M$13*'TUSD BF'!$M$61</f>
        <v>0</v>
      </c>
      <c r="N13" s="61">
        <f ca="1">'TUSD BE'!$N$13*'TUSD BF'!$N$61</f>
        <v>0</v>
      </c>
      <c r="O13" s="61">
        <f>'TUSD BE'!$O$13*'TUSD BF'!$O$61</f>
        <v>0</v>
      </c>
      <c r="P13" s="61">
        <f>'TUSD BE'!$P$13*'TUSD BF'!$P$61</f>
        <v>0</v>
      </c>
      <c r="Q13" s="61">
        <f>'TUSD BE'!$Q$13*'TUSD BF'!$Q$61</f>
        <v>0</v>
      </c>
      <c r="R13" s="61">
        <f>'TUSD BE'!$R$13*'TUSD BF'!$R$61</f>
        <v>0</v>
      </c>
      <c r="S13" s="61">
        <f>'TUSD BE'!$R$13*'TUSD BF'!$S$61</f>
        <v>0</v>
      </c>
      <c r="T13" s="61">
        <f ca="1">SUM($L$13:$S$13)</f>
        <v>0</v>
      </c>
      <c r="U13" s="61">
        <f>'TUSD BE'!$U$13*'TUSD BF'!$U$61</f>
        <v>0</v>
      </c>
      <c r="V13" s="61">
        <f>'TUSD BE'!$V$13*'TUSD BF'!$V$61</f>
        <v>0</v>
      </c>
      <c r="W13" s="61">
        <f>'TUSD BE'!$W$13*'TUSD BF'!$W$61</f>
        <v>0</v>
      </c>
      <c r="X13" s="61">
        <f>'TUSD BE'!$X$13*'TUSD BF'!$X$61</f>
        <v>0</v>
      </c>
      <c r="Y13" s="61">
        <f>'TUSD BE'!$Y$13*'TUSD BF'!$Y$61</f>
        <v>0</v>
      </c>
      <c r="Z13" s="61">
        <f>'TUSD BE'!$Z$13*'TUSD BF'!$Z$61</f>
        <v>0</v>
      </c>
      <c r="AA13" s="61">
        <f>'TUSD BE'!$AA$13*'TUSD BF'!$AA$61</f>
        <v>0</v>
      </c>
      <c r="AB13" s="61">
        <f>SUM($U$13:$AA$13)</f>
        <v>0</v>
      </c>
      <c r="AC13" s="61">
        <f>'TUSD BE'!$AC$13*'TUSD BF'!$AC$61</f>
        <v>0</v>
      </c>
      <c r="AD13" s="61">
        <f>SUM($AC$13:$AC$13)</f>
        <v>0</v>
      </c>
      <c r="AE13" s="61">
        <f ca="1">$AO$13*$AO$58</f>
        <v>0</v>
      </c>
      <c r="AF13" s="61">
        <f ca="1">$AP$13*$AP$58</f>
        <v>0</v>
      </c>
      <c r="AG13" s="61">
        <f ca="1">SUM($AE$13:$AF$13)</f>
        <v>0</v>
      </c>
      <c r="AH13" s="61">
        <f>'TUSD BE'!$AH$13*'TUSD BF'!$AH$61</f>
        <v>0</v>
      </c>
      <c r="AI13" s="61">
        <f>'TUSD BE'!$AI$13*'TUSD BF'!$AI$61</f>
        <v>0</v>
      </c>
      <c r="AJ13" s="61">
        <f ca="1">'TUSD BE'!$AJ$13*'TUSD BF'!$AJ$61</f>
        <v>0</v>
      </c>
      <c r="AK13" s="61">
        <f ca="1">'TUSD BE'!$AK$13*'TUSD BF'!$AK$61</f>
        <v>0</v>
      </c>
      <c r="AL13" s="61">
        <f ca="1">SUM($AH$13:$AK$13)</f>
        <v>0</v>
      </c>
      <c r="AM13" s="61">
        <f ca="1">SUMIF($L$4:$AL$4,"SUBTOTAL",$L$13:$AL$13)</f>
        <v>0</v>
      </c>
      <c r="AO13" s="68">
        <f ca="1">+'TUSD BE'!$T$13+'TUSD BE'!$AB$13+'TUSD BE'!$AD$13+'TUSD BE'!$AL$13</f>
        <v>46.682080386261596</v>
      </c>
      <c r="AP13" s="68">
        <f ca="1">+'TUSD BE'!$T$13+'TUSD BE'!$AB$13+'TUSD BE'!$AD$13+'TUSD BE'!$AL$13</f>
        <v>46.682080386261596</v>
      </c>
    </row>
    <row r="14" spans="1:42" ht="11.25" customHeight="1" x14ac:dyDescent="0.3">
      <c r="A14" s="132"/>
      <c r="B14" s="132"/>
      <c r="C14" s="132"/>
      <c r="D14" s="132"/>
      <c r="E14" s="132"/>
      <c r="F14" s="132"/>
      <c r="G14" s="66" t="s">
        <v>77</v>
      </c>
      <c r="H14" s="66" t="s">
        <v>76</v>
      </c>
      <c r="I14" s="66">
        <f>'MERCADO TUSD'!$U$11</f>
        <v>964.50799999999992</v>
      </c>
      <c r="J14" s="15"/>
      <c r="L14" s="61">
        <f>'TUSD BE'!$L$14*'TUSD BF'!$L$61</f>
        <v>0.18681297118877177</v>
      </c>
      <c r="M14" s="61">
        <f>'TUSD BE'!$M$14*'TUSD BF'!$M$61</f>
        <v>0</v>
      </c>
      <c r="N14" s="61">
        <f ca="1">'TUSD BE'!$N$14*'TUSD BF'!$N$61</f>
        <v>0</v>
      </c>
      <c r="O14" s="61">
        <f>'TUSD BE'!$O$14*'TUSD BF'!$O$61</f>
        <v>0</v>
      </c>
      <c r="P14" s="61">
        <f>'TUSD BE'!$P$14*'TUSD BF'!$P$61</f>
        <v>0</v>
      </c>
      <c r="Q14" s="61">
        <f>'TUSD BE'!$Q$14*'TUSD BF'!$Q$61</f>
        <v>9.307223382996856</v>
      </c>
      <c r="R14" s="61">
        <f>'TUSD BE'!$R$14*'TUSD BF'!$R$61</f>
        <v>2.8235306721162976</v>
      </c>
      <c r="S14" s="61">
        <f>'TUSD BE'!$R$14*'TUSD BF'!$S$61</f>
        <v>0</v>
      </c>
      <c r="T14" s="61">
        <f ca="1">SUM($L$14:$S$14)</f>
        <v>12.317567026301926</v>
      </c>
      <c r="U14" s="61">
        <f>'TUSD BE'!$U$14*'TUSD BF'!$U$61</f>
        <v>0</v>
      </c>
      <c r="V14" s="61">
        <f>'TUSD BE'!$V$14*'TUSD BF'!$V$61</f>
        <v>0</v>
      </c>
      <c r="W14" s="61">
        <f>'TUSD BE'!$W$14*'TUSD BF'!$W$61</f>
        <v>0</v>
      </c>
      <c r="X14" s="61">
        <f>'TUSD BE'!$X$14*'TUSD BF'!$X$61</f>
        <v>0</v>
      </c>
      <c r="Y14" s="61">
        <f>'TUSD BE'!$Y$14*'TUSD BF'!$Y$61</f>
        <v>0</v>
      </c>
      <c r="Z14" s="61">
        <f>'TUSD BE'!$Z$14*'TUSD BF'!$Z$61</f>
        <v>0</v>
      </c>
      <c r="AA14" s="61">
        <f>'TUSD BE'!$AA$14*'TUSD BF'!$AA$61</f>
        <v>0</v>
      </c>
      <c r="AB14" s="61">
        <f>SUM($U$14:$AA$14)</f>
        <v>0</v>
      </c>
      <c r="AC14" s="61">
        <f>'TUSD BE'!$AC$14*'TUSD BF'!$AC$61</f>
        <v>0</v>
      </c>
      <c r="AD14" s="61">
        <f>SUM($AC$14:$AC$14)</f>
        <v>0</v>
      </c>
      <c r="AE14" s="61">
        <f ca="1">$AO$14*$AO$58</f>
        <v>0</v>
      </c>
      <c r="AF14" s="61">
        <f ca="1">$AP$14*$AP$58</f>
        <v>0</v>
      </c>
      <c r="AG14" s="61">
        <f ca="1">SUM($AE$14:$AF$14)</f>
        <v>0</v>
      </c>
      <c r="AH14" s="61">
        <f>'TUSD BE'!$AH$14*'TUSD BF'!$AH$61</f>
        <v>1.1744690304686893</v>
      </c>
      <c r="AI14" s="61">
        <f>'TUSD BE'!$AI$14*'TUSD BF'!$AI$61</f>
        <v>1.2011547611202378E-2</v>
      </c>
      <c r="AJ14" s="61">
        <f ca="1">'TUSD BE'!$AJ$14*'TUSD BF'!$AJ$61</f>
        <v>8.7567077200503191E-2</v>
      </c>
      <c r="AK14" s="61">
        <f ca="1">'TUSD BE'!$AK$14*'TUSD BF'!$AK$61</f>
        <v>0</v>
      </c>
      <c r="AL14" s="61">
        <f ca="1">SUM($AH$14:$AK$14)</f>
        <v>1.274047655280395</v>
      </c>
      <c r="AM14" s="61">
        <f ca="1">SUMIF($L$4:$AL$4,"SUBTOTAL",$L$14:$AL$14)</f>
        <v>13.591614681582321</v>
      </c>
      <c r="AO14" s="68">
        <f ca="1">+'TUSD BE'!$T$14+'TUSD BE'!$AB$14+'TUSD BE'!$AD$14+'TUSD BE'!$AL$14</f>
        <v>2213.4928274029085</v>
      </c>
      <c r="AP14" s="68">
        <f ca="1">+'TUSD BE'!$T$14+'TUSD BE'!$AB$14+'TUSD BE'!$AD$14+'TUSD BE'!$AL$14</f>
        <v>2213.4928274029085</v>
      </c>
    </row>
    <row r="15" spans="1:42" ht="11.25" customHeight="1" x14ac:dyDescent="0.3">
      <c r="A15" s="132"/>
      <c r="B15" s="132"/>
      <c r="C15" s="132"/>
      <c r="D15" s="132"/>
      <c r="E15" s="132"/>
      <c r="F15" s="132"/>
      <c r="G15" s="66" t="s">
        <v>78</v>
      </c>
      <c r="H15" s="66" t="s">
        <v>76</v>
      </c>
      <c r="I15" s="66">
        <f>'MERCADO TUSD'!$U$12</f>
        <v>18843.148999999998</v>
      </c>
      <c r="J15" s="15"/>
      <c r="L15" s="61">
        <f>'TUSD BE'!$L$15*'TUSD BF'!$L$61</f>
        <v>0.18681297118877177</v>
      </c>
      <c r="M15" s="61">
        <f>'TUSD BE'!$M$15*'TUSD BF'!$M$61</f>
        <v>0</v>
      </c>
      <c r="N15" s="61">
        <f ca="1">'TUSD BE'!$N$15*'TUSD BF'!$N$61</f>
        <v>0</v>
      </c>
      <c r="O15" s="61">
        <f>'TUSD BE'!$O$15*'TUSD BF'!$O$61</f>
        <v>0</v>
      </c>
      <c r="P15" s="61">
        <f>'TUSD BE'!$P$15*'TUSD BF'!$P$61</f>
        <v>0</v>
      </c>
      <c r="Q15" s="61">
        <f>'TUSD BE'!$Q$15*'TUSD BF'!$Q$61</f>
        <v>9.307223382996856</v>
      </c>
      <c r="R15" s="61">
        <f>'TUSD BE'!$R$15*'TUSD BF'!$R$61</f>
        <v>2.8235306721162976</v>
      </c>
      <c r="S15" s="61">
        <f>'TUSD BE'!$R$15*'TUSD BF'!$S$61</f>
        <v>0</v>
      </c>
      <c r="T15" s="61">
        <f ca="1">SUM($L$15:$S$15)</f>
        <v>12.317567026301926</v>
      </c>
      <c r="U15" s="61">
        <f>'TUSD BE'!$U$15*'TUSD BF'!$U$61</f>
        <v>0</v>
      </c>
      <c r="V15" s="61">
        <f>'TUSD BE'!$V$15*'TUSD BF'!$V$61</f>
        <v>0</v>
      </c>
      <c r="W15" s="61">
        <f>'TUSD BE'!$W$15*'TUSD BF'!$W$61</f>
        <v>0</v>
      </c>
      <c r="X15" s="61">
        <f>'TUSD BE'!$X$15*'TUSD BF'!$X$61</f>
        <v>0</v>
      </c>
      <c r="Y15" s="61">
        <f>'TUSD BE'!$Y$15*'TUSD BF'!$Y$61</f>
        <v>0</v>
      </c>
      <c r="Z15" s="61">
        <f>'TUSD BE'!$Z$15*'TUSD BF'!$Z$61</f>
        <v>0</v>
      </c>
      <c r="AA15" s="61">
        <f>'TUSD BE'!$AA$15*'TUSD BF'!$AA$61</f>
        <v>0</v>
      </c>
      <c r="AB15" s="61">
        <f>SUM($U$15:$AA$15)</f>
        <v>0</v>
      </c>
      <c r="AC15" s="61">
        <f>'TUSD BE'!$AC$15*'TUSD BF'!$AC$61</f>
        <v>0</v>
      </c>
      <c r="AD15" s="61">
        <f>SUM($AC$15:$AC$15)</f>
        <v>0</v>
      </c>
      <c r="AE15" s="61">
        <f ca="1">$AO$15*$AO$58</f>
        <v>0</v>
      </c>
      <c r="AF15" s="61">
        <f ca="1">$AP$15*$AP$58</f>
        <v>0</v>
      </c>
      <c r="AG15" s="61">
        <f ca="1">SUM($AE$15:$AF$15)</f>
        <v>0</v>
      </c>
      <c r="AH15" s="61">
        <f>'TUSD BE'!$AH$15*'TUSD BF'!$AH$61</f>
        <v>1.1744690304686893</v>
      </c>
      <c r="AI15" s="61">
        <f>'TUSD BE'!$AI$15*'TUSD BF'!$AI$61</f>
        <v>1.2011547611202378E-2</v>
      </c>
      <c r="AJ15" s="61">
        <f ca="1">'TUSD BE'!$AJ$15*'TUSD BF'!$AJ$61</f>
        <v>8.7567077200503191E-2</v>
      </c>
      <c r="AK15" s="61">
        <f ca="1">'TUSD BE'!$AK$15*'TUSD BF'!$AK$61</f>
        <v>0</v>
      </c>
      <c r="AL15" s="61">
        <f ca="1">SUM($AH$15:$AK$15)</f>
        <v>1.274047655280395</v>
      </c>
      <c r="AM15" s="61">
        <f ca="1">SUMIF($L$4:$AL$4,"SUBTOTAL",$L$15:$AL$15)</f>
        <v>13.591614681582321</v>
      </c>
      <c r="AO15" s="68">
        <f ca="1">+'TUSD BE'!$T$15+'TUSD BE'!$AB$15+'TUSD BE'!$AD$15+'TUSD BE'!$AL$15</f>
        <v>106.4549483288624</v>
      </c>
      <c r="AP15" s="68">
        <f ca="1">+'TUSD BE'!$T$15+'TUSD BE'!$AB$15+'TUSD BE'!$AD$15+'TUSD BE'!$AL$15</f>
        <v>106.4549483288624</v>
      </c>
    </row>
    <row r="16" spans="1:42" ht="11.25" customHeight="1" x14ac:dyDescent="0.3">
      <c r="A16" s="132"/>
      <c r="B16" s="132"/>
      <c r="C16" s="132"/>
      <c r="D16" s="132"/>
      <c r="E16" s="132" t="s">
        <v>87</v>
      </c>
      <c r="F16" s="132" t="s">
        <v>25</v>
      </c>
      <c r="G16" s="66" t="s">
        <v>77</v>
      </c>
      <c r="H16" s="66" t="s">
        <v>76</v>
      </c>
      <c r="I16" s="66">
        <f>'MERCADO TUSD'!$U$13</f>
        <v>0</v>
      </c>
      <c r="J16" s="15"/>
      <c r="L16" s="61">
        <f>'TUSD BE'!$L$16*'TUSD BF'!$L$61</f>
        <v>0</v>
      </c>
      <c r="M16" s="61">
        <f>'TUSD BE'!$M$16*'TUSD BF'!$M$61</f>
        <v>0</v>
      </c>
      <c r="N16" s="61">
        <f ca="1">'TUSD BE'!$N$16*'TUSD BF'!$N$61</f>
        <v>0</v>
      </c>
      <c r="O16" s="61">
        <f>'TUSD BE'!$O$16*'TUSD BF'!$O$61</f>
        <v>0</v>
      </c>
      <c r="P16" s="61">
        <f>'TUSD BE'!$P$16*'TUSD BF'!$P$61</f>
        <v>0</v>
      </c>
      <c r="Q16" s="61">
        <f>'TUSD BE'!$Q$16*'TUSD BF'!$Q$61</f>
        <v>0</v>
      </c>
      <c r="R16" s="61">
        <f>'TUSD BE'!$R$16*'TUSD BF'!$R$61</f>
        <v>0</v>
      </c>
      <c r="S16" s="61">
        <f>'TUSD BE'!$R$16*'TUSD BF'!$S$61</f>
        <v>0</v>
      </c>
      <c r="T16" s="61">
        <f ca="1">SUM($L$16:$S$16)</f>
        <v>0</v>
      </c>
      <c r="U16" s="61">
        <f>'TUSD BE'!$U$16*'TUSD BF'!$U$61</f>
        <v>0</v>
      </c>
      <c r="V16" s="61">
        <f>'TUSD BE'!$V$16*'TUSD BF'!$V$61</f>
        <v>0</v>
      </c>
      <c r="W16" s="61">
        <f>'TUSD BE'!$W$16*'TUSD BF'!$W$61</f>
        <v>0</v>
      </c>
      <c r="X16" s="61">
        <f>'TUSD BE'!$X$16*'TUSD BF'!$X$61</f>
        <v>0</v>
      </c>
      <c r="Y16" s="61">
        <f>'TUSD BE'!$Y$16*'TUSD BF'!$Y$61</f>
        <v>0</v>
      </c>
      <c r="Z16" s="61">
        <f>'TUSD BE'!$Z$16*'TUSD BF'!$Z$61</f>
        <v>0</v>
      </c>
      <c r="AA16" s="61">
        <f>'TUSD BE'!$AA$16*'TUSD BF'!$AA$61</f>
        <v>0</v>
      </c>
      <c r="AB16" s="61">
        <f>SUM($U$16:$AA$16)</f>
        <v>0</v>
      </c>
      <c r="AC16" s="61">
        <f>'TUSD BE'!$AC$16*'TUSD BF'!$AC$61</f>
        <v>0</v>
      </c>
      <c r="AD16" s="61">
        <f>SUM($AC$16:$AC$16)</f>
        <v>0</v>
      </c>
      <c r="AE16" s="61">
        <f ca="1">$AO$16*$AO$58</f>
        <v>0</v>
      </c>
      <c r="AF16" s="61">
        <f ca="1">$AP$16*$AP$58</f>
        <v>0</v>
      </c>
      <c r="AG16" s="61">
        <f ca="1">SUM($AE$16:$AF$16)</f>
        <v>0</v>
      </c>
      <c r="AH16" s="61">
        <f>'TUSD BE'!$AH$16*'TUSD BF'!$AH$61</f>
        <v>1.1744690304686893</v>
      </c>
      <c r="AI16" s="61">
        <f>'TUSD BE'!$AI$16*'TUSD BF'!$AI$61</f>
        <v>1.2011547611202378E-2</v>
      </c>
      <c r="AJ16" s="61">
        <f ca="1">'TUSD BE'!$AJ$16*'TUSD BF'!$AJ$61</f>
        <v>8.7567077200503191E-2</v>
      </c>
      <c r="AK16" s="61">
        <f ca="1">'TUSD BE'!$AK$16*'TUSD BF'!$AK$61</f>
        <v>0</v>
      </c>
      <c r="AL16" s="61">
        <f ca="1">SUM($AH$16:$AK$16)</f>
        <v>1.274047655280395</v>
      </c>
      <c r="AM16" s="61">
        <f ca="1">SUMIF($L$4:$AL$4,"SUBTOTAL",$L$16:$AL$16)</f>
        <v>1.274047655280395</v>
      </c>
      <c r="AO16" s="68">
        <f ca="1">+'TUSD BE'!$T$16+'TUSD BE'!$AB$16+'TUSD BE'!$AD$16+'TUSD BE'!$AL$16</f>
        <v>2121.155931606891</v>
      </c>
      <c r="AP16" s="68">
        <f ca="1">+'TUSD BE'!$T$16+'TUSD BE'!$AB$16+'TUSD BE'!$AD$16+'TUSD BE'!$AL$16</f>
        <v>2121.155931606891</v>
      </c>
    </row>
    <row r="17" spans="1:42" ht="11.25" customHeight="1" x14ac:dyDescent="0.3">
      <c r="A17" s="132"/>
      <c r="B17" s="132"/>
      <c r="C17" s="132"/>
      <c r="D17" s="132"/>
      <c r="E17" s="132"/>
      <c r="F17" s="132"/>
      <c r="G17" s="66" t="s">
        <v>78</v>
      </c>
      <c r="H17" s="66" t="s">
        <v>76</v>
      </c>
      <c r="I17" s="66">
        <f>'MERCADO TUSD'!$U$14</f>
        <v>0</v>
      </c>
      <c r="J17" s="15"/>
      <c r="L17" s="61">
        <f>'TUSD BE'!$L$17*'TUSD BF'!$L$61</f>
        <v>0</v>
      </c>
      <c r="M17" s="61">
        <f>'TUSD BE'!$M$17*'TUSD BF'!$M$61</f>
        <v>0</v>
      </c>
      <c r="N17" s="61">
        <f ca="1">'TUSD BE'!$N$17*'TUSD BF'!$N$61</f>
        <v>0</v>
      </c>
      <c r="O17" s="61">
        <f>'TUSD BE'!$O$17*'TUSD BF'!$O$61</f>
        <v>0</v>
      </c>
      <c r="P17" s="61">
        <f>'TUSD BE'!$P$17*'TUSD BF'!$P$61</f>
        <v>0</v>
      </c>
      <c r="Q17" s="61">
        <f>'TUSD BE'!$Q$17*'TUSD BF'!$Q$61</f>
        <v>0</v>
      </c>
      <c r="R17" s="61">
        <f>'TUSD BE'!$R$17*'TUSD BF'!$R$61</f>
        <v>0</v>
      </c>
      <c r="S17" s="61">
        <f>'TUSD BE'!$R$17*'TUSD BF'!$S$61</f>
        <v>0</v>
      </c>
      <c r="T17" s="61">
        <f ca="1">SUM($L$17:$S$17)</f>
        <v>0</v>
      </c>
      <c r="U17" s="61">
        <f>'TUSD BE'!$U$17*'TUSD BF'!$U$61</f>
        <v>0</v>
      </c>
      <c r="V17" s="61">
        <f>'TUSD BE'!$V$17*'TUSD BF'!$V$61</f>
        <v>0</v>
      </c>
      <c r="W17" s="61">
        <f>'TUSD BE'!$W$17*'TUSD BF'!$W$61</f>
        <v>0</v>
      </c>
      <c r="X17" s="61">
        <f>'TUSD BE'!$X$17*'TUSD BF'!$X$61</f>
        <v>0</v>
      </c>
      <c r="Y17" s="61">
        <f>'TUSD BE'!$Y$17*'TUSD BF'!$Y$61</f>
        <v>0</v>
      </c>
      <c r="Z17" s="61">
        <f>'TUSD BE'!$Z$17*'TUSD BF'!$Z$61</f>
        <v>0</v>
      </c>
      <c r="AA17" s="61">
        <f>'TUSD BE'!$AA$17*'TUSD BF'!$AA$61</f>
        <v>0</v>
      </c>
      <c r="AB17" s="61">
        <f>SUM($U$17:$AA$17)</f>
        <v>0</v>
      </c>
      <c r="AC17" s="61">
        <f>'TUSD BE'!$AC$17*'TUSD BF'!$AC$61</f>
        <v>0</v>
      </c>
      <c r="AD17" s="61">
        <f>SUM($AC$17:$AC$17)</f>
        <v>0</v>
      </c>
      <c r="AE17" s="61">
        <f ca="1">$AO$17*$AO$58</f>
        <v>0</v>
      </c>
      <c r="AF17" s="61">
        <f ca="1">$AP$17*$AP$58</f>
        <v>0</v>
      </c>
      <c r="AG17" s="61">
        <f ca="1">SUM($AE$17:$AF$17)</f>
        <v>0</v>
      </c>
      <c r="AH17" s="61">
        <f>'TUSD BE'!$AH$17*'TUSD BF'!$AH$61</f>
        <v>1.1744690304686893</v>
      </c>
      <c r="AI17" s="61">
        <f>'TUSD BE'!$AI$17*'TUSD BF'!$AI$61</f>
        <v>1.2011547611202378E-2</v>
      </c>
      <c r="AJ17" s="61">
        <f ca="1">'TUSD BE'!$AJ$17*'TUSD BF'!$AJ$61</f>
        <v>8.7567077200503191E-2</v>
      </c>
      <c r="AK17" s="61">
        <f ca="1">'TUSD BE'!$AK$17*'TUSD BF'!$AK$61</f>
        <v>0</v>
      </c>
      <c r="AL17" s="61">
        <f ca="1">SUM($AH$17:$AK$17)</f>
        <v>1.274047655280395</v>
      </c>
      <c r="AM17" s="61">
        <f ca="1">SUMIF($L$4:$AL$4,"SUBTOTAL",$L$17:$AL$17)</f>
        <v>1.274047655280395</v>
      </c>
      <c r="AO17" s="68">
        <f ca="1">+'TUSD BE'!$T$17+'TUSD BE'!$AB$17+'TUSD BE'!$AD$17+'TUSD BE'!$AL$17</f>
        <v>14.11805253284518</v>
      </c>
      <c r="AP17" s="68">
        <f ca="1">+'TUSD BE'!$T$17+'TUSD BE'!$AB$17+'TUSD BE'!$AD$17+'TUSD BE'!$AL$17</f>
        <v>14.11805253284518</v>
      </c>
    </row>
    <row r="18" spans="1:42" ht="11.25" customHeight="1" x14ac:dyDescent="0.3">
      <c r="A18" s="132" t="s">
        <v>90</v>
      </c>
      <c r="B18" s="132" t="s">
        <v>88</v>
      </c>
      <c r="C18" s="132" t="s">
        <v>25</v>
      </c>
      <c r="D18" s="132" t="s">
        <v>25</v>
      </c>
      <c r="E18" s="65" t="s">
        <v>91</v>
      </c>
      <c r="F18" s="65" t="s">
        <v>25</v>
      </c>
      <c r="G18" s="66" t="s">
        <v>9</v>
      </c>
      <c r="H18" s="66" t="s">
        <v>84</v>
      </c>
      <c r="I18" s="66">
        <f>'MERCADO TUSD'!$U$15+0.00000001</f>
        <v>1E-8</v>
      </c>
      <c r="J18" s="15"/>
      <c r="L18" s="61">
        <f>'TUSD BE'!$L$18*'TUSD BF'!$L$61</f>
        <v>0</v>
      </c>
      <c r="M18" s="61">
        <f>'TUSD BE'!$M$18*'TUSD BF'!$M$61</f>
        <v>0</v>
      </c>
      <c r="N18" s="61">
        <f ca="1">'TUSD BE'!$N$18*'TUSD BF'!$N$61</f>
        <v>0</v>
      </c>
      <c r="O18" s="61">
        <f>'TUSD BE'!$O$18*'TUSD BF'!$O$61</f>
        <v>0</v>
      </c>
      <c r="P18" s="61">
        <f>'TUSD BE'!$P$18*'TUSD BF'!$P$61</f>
        <v>0</v>
      </c>
      <c r="Q18" s="61">
        <f>'TUSD BE'!$Q$18*'TUSD BF'!$Q$61</f>
        <v>0</v>
      </c>
      <c r="R18" s="61">
        <f>'TUSD BE'!$R$18*'TUSD BF'!$R$61</f>
        <v>0</v>
      </c>
      <c r="S18" s="61">
        <f>'TUSD BE'!$R$18*'TUSD BF'!$S$61</f>
        <v>0</v>
      </c>
      <c r="T18" s="61">
        <f ca="1">SUM($L$18:$S$18)</f>
        <v>0</v>
      </c>
      <c r="U18" s="61">
        <f>'TUSD BE'!$U$18*'TUSD BF'!$U$61</f>
        <v>0</v>
      </c>
      <c r="V18" s="61">
        <f>'TUSD BE'!$V$18*'TUSD BF'!$V$61</f>
        <v>0</v>
      </c>
      <c r="W18" s="61">
        <f>'TUSD BE'!$W$18*'TUSD BF'!$W$61</f>
        <v>0</v>
      </c>
      <c r="X18" s="61">
        <f>'TUSD BE'!$X$18*'TUSD BF'!$X$61</f>
        <v>0</v>
      </c>
      <c r="Y18" s="61">
        <f>'TUSD BE'!$Y$18*'TUSD BF'!$Y$61</f>
        <v>0</v>
      </c>
      <c r="Z18" s="61">
        <f>'TUSD BE'!$Z$18*'TUSD BF'!$Z$61</f>
        <v>0</v>
      </c>
      <c r="AA18" s="61">
        <f>'TUSD BE'!$AA$18*'TUSD BF'!$AA$61</f>
        <v>0</v>
      </c>
      <c r="AB18" s="61">
        <f>SUM($U$18:$AA$18)</f>
        <v>0</v>
      </c>
      <c r="AC18" s="61">
        <f>'TUSD BE'!$AC$18*'TUSD BF'!$AC$61</f>
        <v>0</v>
      </c>
      <c r="AD18" s="61">
        <f>SUM($AC$18:$AC$18)</f>
        <v>0</v>
      </c>
      <c r="AE18" s="61">
        <f ca="1">$AO$18*$AO$58</f>
        <v>0</v>
      </c>
      <c r="AF18" s="61">
        <f ca="1">$AP$18*$AP$58</f>
        <v>0</v>
      </c>
      <c r="AG18" s="61">
        <f ca="1">SUM($AE$18:$AF$18)</f>
        <v>0</v>
      </c>
      <c r="AH18" s="61">
        <f>'TUSD BE'!$AH$18*'TUSD BF'!$AH$61</f>
        <v>0</v>
      </c>
      <c r="AI18" s="61">
        <f>'TUSD BE'!$AI$18*'TUSD BF'!$AI$61</f>
        <v>0</v>
      </c>
      <c r="AJ18" s="61">
        <f ca="1">'TUSD BE'!$AJ$18*'TUSD BF'!$AJ$61</f>
        <v>0</v>
      </c>
      <c r="AK18" s="61">
        <f ca="1">'TUSD BE'!$AK$18*'TUSD BF'!$AK$61</f>
        <v>0</v>
      </c>
      <c r="AL18" s="61">
        <f ca="1">SUM($AH$18:$AK$18)</f>
        <v>0</v>
      </c>
      <c r="AM18" s="61">
        <f ca="1">SUMIF($L$4:$AL$4,"SUBTOTAL",$L$18:$AL$18)</f>
        <v>0</v>
      </c>
      <c r="AO18" s="68">
        <f ca="1">+'TUSD BE'!$T$18+'TUSD BE'!$AB$18+'TUSD BE'!$AD$18+'TUSD BE'!$AL$18</f>
        <v>6.2893751371809525</v>
      </c>
      <c r="AP18" s="68">
        <f ca="1">+'TUSD BE'!$T$18+'TUSD BE'!$AB$18+'TUSD BE'!$AD$18+'TUSD BE'!$AL$18</f>
        <v>6.2893751371809525</v>
      </c>
    </row>
    <row r="19" spans="1:42" ht="11.25" customHeight="1" x14ac:dyDescent="0.3">
      <c r="A19" s="132"/>
      <c r="B19" s="132"/>
      <c r="C19" s="132"/>
      <c r="D19" s="132"/>
      <c r="E19" s="65" t="s">
        <v>92</v>
      </c>
      <c r="F19" s="65" t="s">
        <v>25</v>
      </c>
      <c r="G19" s="66" t="s">
        <v>9</v>
      </c>
      <c r="H19" s="66" t="s">
        <v>84</v>
      </c>
      <c r="I19" s="66">
        <f>'MERCADO TUSD'!$U$16+0.00000001</f>
        <v>1E-8</v>
      </c>
      <c r="J19" s="15"/>
      <c r="L19" s="61">
        <f>'TUSD BE'!$L$19*'TUSD BF'!$L$61</f>
        <v>0</v>
      </c>
      <c r="M19" s="61">
        <f>'TUSD BE'!$M$19*'TUSD BF'!$M$61</f>
        <v>0</v>
      </c>
      <c r="N19" s="61">
        <f ca="1">'TUSD BE'!$N$19*'TUSD BF'!$N$61</f>
        <v>0</v>
      </c>
      <c r="O19" s="61">
        <f>'TUSD BE'!$O$19*'TUSD BF'!$O$61</f>
        <v>0</v>
      </c>
      <c r="P19" s="61">
        <f>'TUSD BE'!$P$19*'TUSD BF'!$P$61</f>
        <v>0</v>
      </c>
      <c r="Q19" s="61">
        <f>'TUSD BE'!$Q$19*'TUSD BF'!$Q$61</f>
        <v>0</v>
      </c>
      <c r="R19" s="61">
        <f>'TUSD BE'!$R$19*'TUSD BF'!$R$61</f>
        <v>0</v>
      </c>
      <c r="S19" s="61">
        <f>'TUSD BE'!$R$19*'TUSD BF'!$S$61</f>
        <v>0</v>
      </c>
      <c r="T19" s="61">
        <f ca="1">SUM($L$19:$S$19)</f>
        <v>0</v>
      </c>
      <c r="U19" s="61">
        <f>'TUSD BE'!$U$19*'TUSD BF'!$U$61</f>
        <v>0</v>
      </c>
      <c r="V19" s="61">
        <f>'TUSD BE'!$V$19*'TUSD BF'!$V$61</f>
        <v>0</v>
      </c>
      <c r="W19" s="61">
        <f>'TUSD BE'!$W$19*'TUSD BF'!$W$61</f>
        <v>0</v>
      </c>
      <c r="X19" s="61">
        <f>'TUSD BE'!$X$19*'TUSD BF'!$X$61</f>
        <v>0</v>
      </c>
      <c r="Y19" s="61">
        <f>'TUSD BE'!$Y$19*'TUSD BF'!$Y$61</f>
        <v>0</v>
      </c>
      <c r="Z19" s="61">
        <f>'TUSD BE'!$Z$19*'TUSD BF'!$Z$61</f>
        <v>0</v>
      </c>
      <c r="AA19" s="61">
        <f>'TUSD BE'!$AA$19*'TUSD BF'!$AA$61</f>
        <v>0</v>
      </c>
      <c r="AB19" s="61">
        <f>SUM($U$19:$AA$19)</f>
        <v>0</v>
      </c>
      <c r="AC19" s="61">
        <f>'TUSD BE'!$AC$19*'TUSD BF'!$AC$61</f>
        <v>0</v>
      </c>
      <c r="AD19" s="61">
        <f>SUM($AC$19:$AC$19)</f>
        <v>0</v>
      </c>
      <c r="AE19" s="61">
        <f ca="1">$AO$19*$AO$58</f>
        <v>0</v>
      </c>
      <c r="AF19" s="61">
        <f ca="1">$AP$19*$AP$58</f>
        <v>0</v>
      </c>
      <c r="AG19" s="61">
        <f ca="1">SUM($AE$19:$AF$19)</f>
        <v>0</v>
      </c>
      <c r="AH19" s="61">
        <f>'TUSD BE'!$AH$19*'TUSD BF'!$AH$61</f>
        <v>0</v>
      </c>
      <c r="AI19" s="61">
        <f>'TUSD BE'!$AI$19*'TUSD BF'!$AI$61</f>
        <v>0</v>
      </c>
      <c r="AJ19" s="61">
        <f ca="1">'TUSD BE'!$AJ$19*'TUSD BF'!$AJ$61</f>
        <v>0</v>
      </c>
      <c r="AK19" s="61">
        <f ca="1">'TUSD BE'!$AK$19*'TUSD BF'!$AK$61</f>
        <v>0</v>
      </c>
      <c r="AL19" s="61">
        <f ca="1">SUM($AH$19:$AK$19)</f>
        <v>0</v>
      </c>
      <c r="AM19" s="61">
        <f ca="1">SUMIF($L$4:$AL$4,"SUBTOTAL",$L$19:$AL$19)</f>
        <v>0</v>
      </c>
      <c r="AO19" s="68">
        <f ca="1">+'TUSD BE'!$T$19+'TUSD BE'!$AB$19+'TUSD BE'!$AD$19+'TUSD BE'!$AL$19</f>
        <v>16.121045815502381</v>
      </c>
      <c r="AP19" s="68">
        <f ca="1">+'TUSD BE'!$T$19+'TUSD BE'!$AB$19+'TUSD BE'!$AD$19+'TUSD BE'!$AL$19</f>
        <v>16.121045815502381</v>
      </c>
    </row>
    <row r="20" spans="1:42" ht="11.25" customHeight="1" x14ac:dyDescent="0.3">
      <c r="A20" s="132" t="s">
        <v>22</v>
      </c>
      <c r="B20" s="132" t="s">
        <v>33</v>
      </c>
      <c r="C20" s="132" t="s">
        <v>24</v>
      </c>
      <c r="D20" s="132" t="s">
        <v>24</v>
      </c>
      <c r="E20" s="132" t="s">
        <v>25</v>
      </c>
      <c r="F20" s="132" t="s">
        <v>25</v>
      </c>
      <c r="G20" s="66" t="s">
        <v>77</v>
      </c>
      <c r="H20" s="66" t="s">
        <v>76</v>
      </c>
      <c r="I20" s="66">
        <f>'MERCADO TUSD'!$U$17</f>
        <v>0.68800000000000017</v>
      </c>
      <c r="J20" s="15"/>
      <c r="L20" s="61">
        <f>'TUSD BE'!$L$20*'TUSD BF'!$L$61</f>
        <v>0.22239639427234734</v>
      </c>
      <c r="M20" s="61">
        <f>'TUSD BE'!$M$20*'TUSD BF'!$M$61</f>
        <v>0</v>
      </c>
      <c r="N20" s="61">
        <f ca="1">'TUSD BE'!$N$20*'TUSD BF'!$N$61</f>
        <v>0</v>
      </c>
      <c r="O20" s="61">
        <f>'TUSD BE'!$O$20*'TUSD BF'!$O$61</f>
        <v>0</v>
      </c>
      <c r="P20" s="61">
        <f>'TUSD BE'!$P$20*'TUSD BF'!$P$61</f>
        <v>0</v>
      </c>
      <c r="Q20" s="61">
        <f>'TUSD BE'!$Q$20*'TUSD BF'!$Q$61</f>
        <v>11.080027836901019</v>
      </c>
      <c r="R20" s="61">
        <f>'TUSD BE'!$R$20*'TUSD BF'!$R$61</f>
        <v>2.8235306721162976</v>
      </c>
      <c r="S20" s="61">
        <f>'TUSD BE'!$R$20*'TUSD BF'!$S$61</f>
        <v>0</v>
      </c>
      <c r="T20" s="61">
        <f ca="1">SUM($L$20:$S$20)</f>
        <v>14.125954903289664</v>
      </c>
      <c r="U20" s="61">
        <f>'TUSD BE'!$U$20*'TUSD BF'!$U$61</f>
        <v>0</v>
      </c>
      <c r="V20" s="61">
        <f>'TUSD BE'!$V$20*'TUSD BF'!$V$61</f>
        <v>0</v>
      </c>
      <c r="W20" s="61">
        <f>'TUSD BE'!$W$20*'TUSD BF'!$W$61</f>
        <v>0</v>
      </c>
      <c r="X20" s="61">
        <f>'TUSD BE'!$X$20*'TUSD BF'!$X$61</f>
        <v>0</v>
      </c>
      <c r="Y20" s="61">
        <f>'TUSD BE'!$Y$20*'TUSD BF'!$Y$61</f>
        <v>0</v>
      </c>
      <c r="Z20" s="61">
        <f>'TUSD BE'!$Z$20*'TUSD BF'!$Z$61</f>
        <v>0</v>
      </c>
      <c r="AA20" s="61">
        <f>'TUSD BE'!$AA$20*'TUSD BF'!$AA$61</f>
        <v>0</v>
      </c>
      <c r="AB20" s="61">
        <f>SUM($U$20:$AA$20)</f>
        <v>0</v>
      </c>
      <c r="AC20" s="61">
        <f>'TUSD BE'!$AC$20*'TUSD BF'!$AC$61</f>
        <v>0</v>
      </c>
      <c r="AD20" s="61">
        <f>SUM($AC$20:$AC$20)</f>
        <v>0</v>
      </c>
      <c r="AE20" s="61">
        <f ca="1">$AO$20*$AO$58</f>
        <v>0</v>
      </c>
      <c r="AF20" s="61">
        <f ca="1">$AP$20*$AP$58</f>
        <v>0</v>
      </c>
      <c r="AG20" s="61">
        <f ca="1">SUM($AE$20:$AF$20)</f>
        <v>0</v>
      </c>
      <c r="AH20" s="61">
        <f>'TUSD BE'!$AH$20*'TUSD BF'!$AH$61</f>
        <v>2.286801736758258</v>
      </c>
      <c r="AI20" s="61">
        <f>'TUSD BE'!$AI$20*'TUSD BF'!$AI$61</f>
        <v>2.3387613658480699E-2</v>
      </c>
      <c r="AJ20" s="61">
        <f ca="1">'TUSD BE'!$AJ$20*'TUSD BF'!$AJ$61</f>
        <v>8.5965855482137421E-2</v>
      </c>
      <c r="AK20" s="61">
        <f ca="1">'TUSD BE'!$AK$20*'TUSD BF'!$AK$61</f>
        <v>0</v>
      </c>
      <c r="AL20" s="61">
        <f ca="1">SUM($AH$20:$AK$20)</f>
        <v>2.396155205898876</v>
      </c>
      <c r="AM20" s="61">
        <f ca="1">SUMIF($L$4:$AL$4,"SUBTOTAL",$L$20:$AL$20)</f>
        <v>16.522110109188539</v>
      </c>
      <c r="AO20" s="68">
        <f ca="1">+'TUSD BE'!$T$20+'TUSD BE'!$AB$20+'TUSD BE'!$AD$20+'TUSD BE'!$AL$20</f>
        <v>1241.8759454361273</v>
      </c>
      <c r="AP20" s="68">
        <f ca="1">+'TUSD BE'!$T$20+'TUSD BE'!$AB$20+'TUSD BE'!$AD$20+'TUSD BE'!$AL$20</f>
        <v>1241.8759454361273</v>
      </c>
    </row>
    <row r="21" spans="1:42" ht="11.25" customHeight="1" x14ac:dyDescent="0.3">
      <c r="A21" s="132"/>
      <c r="B21" s="132"/>
      <c r="C21" s="132"/>
      <c r="D21" s="132"/>
      <c r="E21" s="132"/>
      <c r="F21" s="132"/>
      <c r="G21" s="66" t="s">
        <v>93</v>
      </c>
      <c r="H21" s="66" t="s">
        <v>76</v>
      </c>
      <c r="I21" s="66">
        <f>'MERCADO TUSD'!$U$18</f>
        <v>0.46</v>
      </c>
      <c r="J21" s="15"/>
      <c r="L21" s="61">
        <f>'TUSD BE'!$L$21*'TUSD BF'!$L$61</f>
        <v>0.22239639427234734</v>
      </c>
      <c r="M21" s="61">
        <f>'TUSD BE'!$M$21*'TUSD BF'!$M$61</f>
        <v>0</v>
      </c>
      <c r="N21" s="61">
        <f ca="1">'TUSD BE'!$N$21*'TUSD BF'!$N$61</f>
        <v>0</v>
      </c>
      <c r="O21" s="61">
        <f>'TUSD BE'!$O$21*'TUSD BF'!$O$61</f>
        <v>0</v>
      </c>
      <c r="P21" s="61">
        <f>'TUSD BE'!$P$21*'TUSD BF'!$P$61</f>
        <v>0</v>
      </c>
      <c r="Q21" s="61">
        <f>'TUSD BE'!$Q$21*'TUSD BF'!$Q$61</f>
        <v>11.080027836901019</v>
      </c>
      <c r="R21" s="61">
        <f>'TUSD BE'!$R$21*'TUSD BF'!$R$61</f>
        <v>2.8235306721162976</v>
      </c>
      <c r="S21" s="61">
        <f>'TUSD BE'!$R$21*'TUSD BF'!$S$61</f>
        <v>0</v>
      </c>
      <c r="T21" s="61">
        <f ca="1">SUM($L$21:$S$21)</f>
        <v>14.125954903289664</v>
      </c>
      <c r="U21" s="61">
        <f>'TUSD BE'!$U$21*'TUSD BF'!$U$61</f>
        <v>0</v>
      </c>
      <c r="V21" s="61">
        <f>'TUSD BE'!$V$21*'TUSD BF'!$V$61</f>
        <v>0</v>
      </c>
      <c r="W21" s="61">
        <f>'TUSD BE'!$W$21*'TUSD BF'!$W$61</f>
        <v>0</v>
      </c>
      <c r="X21" s="61">
        <f>'TUSD BE'!$X$21*'TUSD BF'!$X$61</f>
        <v>0</v>
      </c>
      <c r="Y21" s="61">
        <f>'TUSD BE'!$Y$21*'TUSD BF'!$Y$61</f>
        <v>0</v>
      </c>
      <c r="Z21" s="61">
        <f>'TUSD BE'!$Z$21*'TUSD BF'!$Z$61</f>
        <v>0</v>
      </c>
      <c r="AA21" s="61">
        <f>'TUSD BE'!$AA$21*'TUSD BF'!$AA$61</f>
        <v>0</v>
      </c>
      <c r="AB21" s="61">
        <f>SUM($U$21:$AA$21)</f>
        <v>0</v>
      </c>
      <c r="AC21" s="61">
        <f>'TUSD BE'!$AC$21*'TUSD BF'!$AC$61</f>
        <v>0</v>
      </c>
      <c r="AD21" s="61">
        <f>SUM($AC$21:$AC$21)</f>
        <v>0</v>
      </c>
      <c r="AE21" s="61">
        <f ca="1">$AO$21*$AO$58</f>
        <v>0</v>
      </c>
      <c r="AF21" s="61">
        <f ca="1">$AP$21*$AP$58</f>
        <v>0</v>
      </c>
      <c r="AG21" s="61">
        <f ca="1">SUM($AE$21:$AF$21)</f>
        <v>0</v>
      </c>
      <c r="AH21" s="61">
        <f>'TUSD BE'!$AH$21*'TUSD BF'!$AH$61</f>
        <v>2.286801736758258</v>
      </c>
      <c r="AI21" s="61">
        <f>'TUSD BE'!$AI$21*'TUSD BF'!$AI$61</f>
        <v>2.3387613658480699E-2</v>
      </c>
      <c r="AJ21" s="61">
        <f ca="1">'TUSD BE'!$AJ$21*'TUSD BF'!$AJ$61</f>
        <v>8.5965855482137421E-2</v>
      </c>
      <c r="AK21" s="61">
        <f ca="1">'TUSD BE'!$AK$21*'TUSD BF'!$AK$61</f>
        <v>0</v>
      </c>
      <c r="AL21" s="61">
        <f ca="1">SUM($AH$21:$AK$21)</f>
        <v>2.396155205898876</v>
      </c>
      <c r="AM21" s="61">
        <f ca="1">SUMIF($L$4:$AL$4,"SUBTOTAL",$L$21:$AL$21)</f>
        <v>16.522110109188539</v>
      </c>
      <c r="AO21" s="68">
        <f ca="1">+'TUSD BE'!$T$21+'TUSD BE'!$AB$21+'TUSD BE'!$AD$21+'TUSD BE'!$AL$21</f>
        <v>798.20435830835038</v>
      </c>
      <c r="AP21" s="68">
        <f ca="1">+'TUSD BE'!$T$21+'TUSD BE'!$AB$21+'TUSD BE'!$AD$21+'TUSD BE'!$AL$21</f>
        <v>798.20435830835038</v>
      </c>
    </row>
    <row r="22" spans="1:42" ht="11.25" customHeight="1" x14ac:dyDescent="0.3">
      <c r="A22" s="132"/>
      <c r="B22" s="132"/>
      <c r="C22" s="132"/>
      <c r="D22" s="132"/>
      <c r="E22" s="132"/>
      <c r="F22" s="132"/>
      <c r="G22" s="66" t="s">
        <v>78</v>
      </c>
      <c r="H22" s="66" t="s">
        <v>76</v>
      </c>
      <c r="I22" s="66">
        <f>'MERCADO TUSD'!$U$19</f>
        <v>5.6850000000000005</v>
      </c>
      <c r="J22" s="15"/>
      <c r="L22" s="61">
        <f>'TUSD BE'!$L$22*'TUSD BF'!$L$61</f>
        <v>0.22239639427234734</v>
      </c>
      <c r="M22" s="61">
        <f>'TUSD BE'!$M$22*'TUSD BF'!$M$61</f>
        <v>0</v>
      </c>
      <c r="N22" s="61">
        <f ca="1">'TUSD BE'!$N$22*'TUSD BF'!$N$61</f>
        <v>0</v>
      </c>
      <c r="O22" s="61">
        <f>'TUSD BE'!$O$22*'TUSD BF'!$O$61</f>
        <v>0</v>
      </c>
      <c r="P22" s="61">
        <f>'TUSD BE'!$P$22*'TUSD BF'!$P$61</f>
        <v>0</v>
      </c>
      <c r="Q22" s="61">
        <f>'TUSD BE'!$Q$22*'TUSD BF'!$Q$61</f>
        <v>11.080027836901019</v>
      </c>
      <c r="R22" s="61">
        <f>'TUSD BE'!$R$22*'TUSD BF'!$R$61</f>
        <v>2.8235306721162976</v>
      </c>
      <c r="S22" s="61">
        <f>'TUSD BE'!$R$22*'TUSD BF'!$S$61</f>
        <v>0</v>
      </c>
      <c r="T22" s="61">
        <f ca="1">SUM($L$22:$S$22)</f>
        <v>14.125954903289664</v>
      </c>
      <c r="U22" s="61">
        <f>'TUSD BE'!$U$22*'TUSD BF'!$U$61</f>
        <v>0</v>
      </c>
      <c r="V22" s="61">
        <f>'TUSD BE'!$V$22*'TUSD BF'!$V$61</f>
        <v>0</v>
      </c>
      <c r="W22" s="61">
        <f>'TUSD BE'!$W$22*'TUSD BF'!$W$61</f>
        <v>0</v>
      </c>
      <c r="X22" s="61">
        <f>'TUSD BE'!$X$22*'TUSD BF'!$X$61</f>
        <v>0</v>
      </c>
      <c r="Y22" s="61">
        <f>'TUSD BE'!$Y$22*'TUSD BF'!$Y$61</f>
        <v>0</v>
      </c>
      <c r="Z22" s="61">
        <f>'TUSD BE'!$Z$22*'TUSD BF'!$Z$61</f>
        <v>0</v>
      </c>
      <c r="AA22" s="61">
        <f>'TUSD BE'!$AA$22*'TUSD BF'!$AA$61</f>
        <v>0</v>
      </c>
      <c r="AB22" s="61">
        <f>SUM($U$22:$AA$22)</f>
        <v>0</v>
      </c>
      <c r="AC22" s="61">
        <f>'TUSD BE'!$AC$22*'TUSD BF'!$AC$61</f>
        <v>0</v>
      </c>
      <c r="AD22" s="61">
        <f>SUM($AC$22:$AC$22)</f>
        <v>0</v>
      </c>
      <c r="AE22" s="61">
        <f ca="1">$AO$22*$AO$58</f>
        <v>0</v>
      </c>
      <c r="AF22" s="61">
        <f ca="1">$AP$22*$AP$58</f>
        <v>0</v>
      </c>
      <c r="AG22" s="61">
        <f ca="1">SUM($AE$22:$AF$22)</f>
        <v>0</v>
      </c>
      <c r="AH22" s="61">
        <f>'TUSD BE'!$AH$22*'TUSD BF'!$AH$61</f>
        <v>2.286801736758258</v>
      </c>
      <c r="AI22" s="61">
        <f>'TUSD BE'!$AI$22*'TUSD BF'!$AI$61</f>
        <v>2.3387613658480699E-2</v>
      </c>
      <c r="AJ22" s="61">
        <f ca="1">'TUSD BE'!$AJ$22*'TUSD BF'!$AJ$61</f>
        <v>8.5965855482137421E-2</v>
      </c>
      <c r="AK22" s="61">
        <f ca="1">'TUSD BE'!$AK$22*'TUSD BF'!$AK$61</f>
        <v>0</v>
      </c>
      <c r="AL22" s="61">
        <f ca="1">SUM($AH$22:$AK$22)</f>
        <v>2.396155205898876</v>
      </c>
      <c r="AM22" s="61">
        <f ca="1">SUMIF($L$4:$AL$4,"SUBTOTAL",$L$22:$AL$22)</f>
        <v>16.522110109188539</v>
      </c>
      <c r="AO22" s="68">
        <f ca="1">+'TUSD BE'!$T$22+'TUSD BE'!$AB$22+'TUSD BE'!$AD$22+'TUSD BE'!$AL$22</f>
        <v>354.53266092074983</v>
      </c>
      <c r="AP22" s="68">
        <f ca="1">+'TUSD BE'!$T$22+'TUSD BE'!$AB$22+'TUSD BE'!$AD$22+'TUSD BE'!$AL$22</f>
        <v>354.53266092074983</v>
      </c>
    </row>
    <row r="23" spans="1:42" ht="11.25" customHeight="1" x14ac:dyDescent="0.3">
      <c r="A23" s="132"/>
      <c r="B23" s="132" t="s">
        <v>23</v>
      </c>
      <c r="C23" s="132" t="s">
        <v>24</v>
      </c>
      <c r="D23" s="65" t="s">
        <v>24</v>
      </c>
      <c r="E23" s="65" t="s">
        <v>25</v>
      </c>
      <c r="F23" s="65" t="s">
        <v>25</v>
      </c>
      <c r="G23" s="66" t="s">
        <v>81</v>
      </c>
      <c r="H23" s="66" t="s">
        <v>76</v>
      </c>
      <c r="I23" s="66">
        <f>'MERCADO TUSD'!$U$20</f>
        <v>20470.671000000002</v>
      </c>
      <c r="J23" s="15"/>
      <c r="L23" s="61">
        <f>'TUSD BE'!$L$23*'TUSD BF'!$L$61</f>
        <v>0.22239639427234734</v>
      </c>
      <c r="M23" s="61">
        <f>'TUSD BE'!$M$23*'TUSD BF'!$M$61</f>
        <v>0</v>
      </c>
      <c r="N23" s="61">
        <f ca="1">'TUSD BE'!$N$23*'TUSD BF'!$N$61</f>
        <v>0</v>
      </c>
      <c r="O23" s="61">
        <f>'TUSD BE'!$O$23*'TUSD BF'!$O$61</f>
        <v>0</v>
      </c>
      <c r="P23" s="61">
        <f>'TUSD BE'!$P$23*'TUSD BF'!$P$61</f>
        <v>0</v>
      </c>
      <c r="Q23" s="61">
        <f>'TUSD BE'!$Q$23*'TUSD BF'!$Q$61</f>
        <v>11.080027836901019</v>
      </c>
      <c r="R23" s="61">
        <f>'TUSD BE'!$R$23*'TUSD BF'!$R$61</f>
        <v>2.8235306721162976</v>
      </c>
      <c r="S23" s="61">
        <f>'TUSD BE'!$R$23*'TUSD BF'!$S$61</f>
        <v>0</v>
      </c>
      <c r="T23" s="61">
        <f ca="1">SUM($L$23:$S$23)</f>
        <v>14.125954903289664</v>
      </c>
      <c r="U23" s="61">
        <f>'TUSD BE'!$U$23*'TUSD BF'!$U$61</f>
        <v>0</v>
      </c>
      <c r="V23" s="61">
        <f>'TUSD BE'!$V$23*'TUSD BF'!$V$61</f>
        <v>0</v>
      </c>
      <c r="W23" s="61">
        <f>'TUSD BE'!$W$23*'TUSD BF'!$W$61</f>
        <v>0</v>
      </c>
      <c r="X23" s="61">
        <f>'TUSD BE'!$X$23*'TUSD BF'!$X$61</f>
        <v>0</v>
      </c>
      <c r="Y23" s="61">
        <f>'TUSD BE'!$Y$23*'TUSD BF'!$Y$61</f>
        <v>0</v>
      </c>
      <c r="Z23" s="61">
        <f>'TUSD BE'!$Z$23*'TUSD BF'!$Z$61</f>
        <v>0</v>
      </c>
      <c r="AA23" s="61">
        <f>'TUSD BE'!$AA$23*'TUSD BF'!$AA$61</f>
        <v>0</v>
      </c>
      <c r="AB23" s="61">
        <f>SUM($U$23:$AA$23)</f>
        <v>0</v>
      </c>
      <c r="AC23" s="61">
        <f>'TUSD BE'!$AC$23*'TUSD BF'!$AC$61</f>
        <v>0</v>
      </c>
      <c r="AD23" s="61">
        <f>SUM($AC$23:$AC$23)</f>
        <v>0</v>
      </c>
      <c r="AE23" s="61">
        <f ca="1">$AO$23*$AO$58</f>
        <v>0</v>
      </c>
      <c r="AF23" s="61">
        <f ca="1">$AP$23*$AP$58</f>
        <v>0</v>
      </c>
      <c r="AG23" s="61">
        <f ca="1">SUM($AE$23:$AF$23)</f>
        <v>0</v>
      </c>
      <c r="AH23" s="61">
        <f>'TUSD BE'!$AH$23*'TUSD BF'!$AH$61</f>
        <v>2.286801736758258</v>
      </c>
      <c r="AI23" s="61">
        <f>'TUSD BE'!$AI$23*'TUSD BF'!$AI$61</f>
        <v>2.3387613658480699E-2</v>
      </c>
      <c r="AJ23" s="61">
        <f ca="1">'TUSD BE'!$AJ$23*'TUSD BF'!$AJ$61</f>
        <v>8.5965855482137421E-2</v>
      </c>
      <c r="AK23" s="61">
        <f ca="1">'TUSD BE'!$AK$23*'TUSD BF'!$AK$61</f>
        <v>0</v>
      </c>
      <c r="AL23" s="61">
        <f ca="1">SUM($AH$23:$AK$23)</f>
        <v>2.396155205898876</v>
      </c>
      <c r="AM23" s="61">
        <f ca="1">SUMIF($L$4:$AL$4,"SUBTOTAL",$L$23:$AL$23)</f>
        <v>16.522110109188539</v>
      </c>
      <c r="AO23" s="68">
        <f ca="1">+'TUSD BE'!$T$23+'TUSD BE'!$AB$23+'TUSD BE'!$AD$23+'TUSD BE'!$AL$23</f>
        <v>502.42322646964709</v>
      </c>
      <c r="AP23" s="68">
        <f ca="1">+'TUSD BE'!$T$23+'TUSD BE'!$AB$23+'TUSD BE'!$AD$23+'TUSD BE'!$AL$23</f>
        <v>502.42322646964709</v>
      </c>
    </row>
    <row r="24" spans="1:42" ht="11.25" customHeight="1" x14ac:dyDescent="0.3">
      <c r="A24" s="132"/>
      <c r="B24" s="132"/>
      <c r="C24" s="132"/>
      <c r="D24" s="65" t="s">
        <v>29</v>
      </c>
      <c r="E24" s="65" t="s">
        <v>25</v>
      </c>
      <c r="F24" s="65" t="s">
        <v>25</v>
      </c>
      <c r="G24" s="66" t="s">
        <v>81</v>
      </c>
      <c r="H24" s="66" t="s">
        <v>76</v>
      </c>
      <c r="I24" s="66">
        <f>'MERCADO TUSD'!$U$21</f>
        <v>425.12200000000001</v>
      </c>
      <c r="J24" s="15"/>
      <c r="L24" s="61">
        <f>'TUSD BE'!$L$24*'TUSD BF'!$L$61</f>
        <v>0</v>
      </c>
      <c r="M24" s="61">
        <f>'TUSD BE'!$M$24*'TUSD BF'!$M$61</f>
        <v>0</v>
      </c>
      <c r="N24" s="61">
        <f ca="1">'TUSD BE'!$N$24*'TUSD BF'!$N$61</f>
        <v>0</v>
      </c>
      <c r="O24" s="61">
        <f>'TUSD BE'!$O$24*'TUSD BF'!$O$61</f>
        <v>0</v>
      </c>
      <c r="P24" s="61">
        <f>'TUSD BE'!$P$24*'TUSD BF'!$P$61</f>
        <v>0</v>
      </c>
      <c r="Q24" s="61">
        <f>'TUSD BE'!$Q$24*'TUSD BF'!$Q$61</f>
        <v>0</v>
      </c>
      <c r="R24" s="61">
        <f>'TUSD BE'!$R$24*'TUSD BF'!$R$61</f>
        <v>0</v>
      </c>
      <c r="S24" s="61">
        <f>'TUSD BE'!$R$24*'TUSD BF'!$S$61</f>
        <v>0</v>
      </c>
      <c r="T24" s="61">
        <f ca="1">SUM($L$24:$S$24)</f>
        <v>0</v>
      </c>
      <c r="U24" s="61">
        <f>'TUSD BE'!$U$24*'TUSD BF'!$U$61</f>
        <v>0</v>
      </c>
      <c r="V24" s="61">
        <f>'TUSD BE'!$V$24*'TUSD BF'!$V$61</f>
        <v>0</v>
      </c>
      <c r="W24" s="61">
        <f>'TUSD BE'!$W$24*'TUSD BF'!$W$61</f>
        <v>0</v>
      </c>
      <c r="X24" s="61">
        <f>'TUSD BE'!$X$24*'TUSD BF'!$X$61</f>
        <v>0</v>
      </c>
      <c r="Y24" s="61">
        <f>'TUSD BE'!$Y$24*'TUSD BF'!$Y$61</f>
        <v>0</v>
      </c>
      <c r="Z24" s="61">
        <f>'TUSD BE'!$Z$24*'TUSD BF'!$Z$61</f>
        <v>0</v>
      </c>
      <c r="AA24" s="61">
        <f>'TUSD BE'!$AA$24*'TUSD BF'!$AA$61</f>
        <v>0</v>
      </c>
      <c r="AB24" s="61">
        <f>SUM($U$24:$AA$24)</f>
        <v>0</v>
      </c>
      <c r="AC24" s="61">
        <f>'TUSD BE'!$AC$24*'TUSD BF'!$AC$61</f>
        <v>0</v>
      </c>
      <c r="AD24" s="61">
        <f>SUM($AC$24:$AC$24)</f>
        <v>0</v>
      </c>
      <c r="AE24" s="61">
        <f ca="1">$AO$24*$AO$58</f>
        <v>0</v>
      </c>
      <c r="AF24" s="61">
        <f ca="1">$AP$24*$AP$58</f>
        <v>0</v>
      </c>
      <c r="AG24" s="61">
        <f ca="1">SUM($AE$24:$AF$24)</f>
        <v>0</v>
      </c>
      <c r="AH24" s="61">
        <f>'TUSD BE'!$AH$24*'TUSD BF'!$AH$61</f>
        <v>2.286801736758258</v>
      </c>
      <c r="AI24" s="61">
        <f>'TUSD BE'!$AI$24*'TUSD BF'!$AI$61</f>
        <v>2.3387613658480699E-2</v>
      </c>
      <c r="AJ24" s="61">
        <f ca="1">'TUSD BE'!$AJ$24*'TUSD BF'!$AJ$61</f>
        <v>8.5965855482137421E-2</v>
      </c>
      <c r="AK24" s="61">
        <f ca="1">'TUSD BE'!$AK$24*'TUSD BF'!$AK$61</f>
        <v>0</v>
      </c>
      <c r="AL24" s="61">
        <f ca="1">SUM($AH$24:$AK$24)</f>
        <v>2.396155205898876</v>
      </c>
      <c r="AM24" s="61">
        <f ca="1">SUMIF($L$4:$AL$4,"SUBTOTAL",$L$24:$AL$24)</f>
        <v>2.396155205898876</v>
      </c>
      <c r="AO24" s="68">
        <f ca="1">+'TUSD BE'!$T$24+'TUSD BE'!$AB$24+'TUSD BE'!$AD$24+'TUSD BE'!$AL$24</f>
        <v>395.2025956281156</v>
      </c>
      <c r="AP24" s="68">
        <f ca="1">+'TUSD BE'!$T$24+'TUSD BE'!$AB$24+'TUSD BE'!$AD$24+'TUSD BE'!$AL$24</f>
        <v>395.2025956281156</v>
      </c>
    </row>
    <row r="25" spans="1:42" ht="11.25" customHeight="1" x14ac:dyDescent="0.3">
      <c r="A25" s="132"/>
      <c r="B25" s="132"/>
      <c r="C25" s="132"/>
      <c r="D25" s="65" t="s">
        <v>30</v>
      </c>
      <c r="E25" s="65" t="s">
        <v>25</v>
      </c>
      <c r="F25" s="65" t="s">
        <v>25</v>
      </c>
      <c r="G25" s="66" t="s">
        <v>81</v>
      </c>
      <c r="H25" s="66" t="s">
        <v>76</v>
      </c>
      <c r="I25" s="66">
        <f>'MERCADO TUSD'!$U$22</f>
        <v>876.85199999999986</v>
      </c>
      <c r="J25" s="15"/>
      <c r="L25" s="61">
        <f>'TUSD BE'!$L$25*'TUSD BF'!$L$61</f>
        <v>0</v>
      </c>
      <c r="M25" s="61">
        <f>'TUSD BE'!$M$25*'TUSD BF'!$M$61</f>
        <v>0</v>
      </c>
      <c r="N25" s="61">
        <f ca="1">'TUSD BE'!$N$25*'TUSD BF'!$N$61</f>
        <v>0</v>
      </c>
      <c r="O25" s="61">
        <f>'TUSD BE'!$O$25*'TUSD BF'!$O$61</f>
        <v>0</v>
      </c>
      <c r="P25" s="61">
        <f>'TUSD BE'!$P$25*'TUSD BF'!$P$61</f>
        <v>0</v>
      </c>
      <c r="Q25" s="61">
        <f>'TUSD BE'!$Q$25*'TUSD BF'!$Q$61</f>
        <v>0</v>
      </c>
      <c r="R25" s="61">
        <f>'TUSD BE'!$R$25*'TUSD BF'!$R$61</f>
        <v>0</v>
      </c>
      <c r="S25" s="61">
        <f>'TUSD BE'!$R$25*'TUSD BF'!$S$61</f>
        <v>0</v>
      </c>
      <c r="T25" s="61">
        <f ca="1">SUM($L$25:$S$25)</f>
        <v>0</v>
      </c>
      <c r="U25" s="61">
        <f>'TUSD BE'!$U$25*'TUSD BF'!$U$61</f>
        <v>0</v>
      </c>
      <c r="V25" s="61">
        <f>'TUSD BE'!$V$25*'TUSD BF'!$V$61</f>
        <v>0</v>
      </c>
      <c r="W25" s="61">
        <f>'TUSD BE'!$W$25*'TUSD BF'!$W$61</f>
        <v>0</v>
      </c>
      <c r="X25" s="61">
        <f>'TUSD BE'!$X$25*'TUSD BF'!$X$61</f>
        <v>0</v>
      </c>
      <c r="Y25" s="61">
        <f>'TUSD BE'!$Y$25*'TUSD BF'!$Y$61</f>
        <v>0</v>
      </c>
      <c r="Z25" s="61">
        <f>'TUSD BE'!$Z$25*'TUSD BF'!$Z$61</f>
        <v>0</v>
      </c>
      <c r="AA25" s="61">
        <f>'TUSD BE'!$AA$25*'TUSD BF'!$AA$61</f>
        <v>0</v>
      </c>
      <c r="AB25" s="61">
        <f>SUM($U$25:$AA$25)</f>
        <v>0</v>
      </c>
      <c r="AC25" s="61">
        <f>'TUSD BE'!$AC$25*'TUSD BF'!$AC$61</f>
        <v>0</v>
      </c>
      <c r="AD25" s="61">
        <f>SUM($AC$25:$AC$25)</f>
        <v>0</v>
      </c>
      <c r="AE25" s="61">
        <f ca="1">$AO$25*$AO$58</f>
        <v>0</v>
      </c>
      <c r="AF25" s="61">
        <f ca="1">$AP$25*$AP$58</f>
        <v>0</v>
      </c>
      <c r="AG25" s="61">
        <f ca="1">SUM($AE$25:$AF$25)</f>
        <v>0</v>
      </c>
      <c r="AH25" s="61">
        <f>'TUSD BE'!$AH$25*'TUSD BF'!$AH$61</f>
        <v>2.286801736758258</v>
      </c>
      <c r="AI25" s="61">
        <f>'TUSD BE'!$AI$25*'TUSD BF'!$AI$61</f>
        <v>2.3387613658480699E-2</v>
      </c>
      <c r="AJ25" s="61">
        <f ca="1">'TUSD BE'!$AJ$25*'TUSD BF'!$AJ$61</f>
        <v>8.5965855482137421E-2</v>
      </c>
      <c r="AK25" s="61">
        <f ca="1">'TUSD BE'!$AK$25*'TUSD BF'!$AK$61</f>
        <v>0</v>
      </c>
      <c r="AL25" s="61">
        <f ca="1">SUM($AH$25:$AK$25)</f>
        <v>2.396155205898876</v>
      </c>
      <c r="AM25" s="61">
        <f ca="1">SUMIF($L$4:$AL$4,"SUBTOTAL",$L$25:$AL$25)</f>
        <v>2.396155205898876</v>
      </c>
      <c r="AO25" s="68">
        <f ca="1">+'TUSD BE'!$T$25+'TUSD BE'!$AB$25+'TUSD BE'!$AD$25+'TUSD BE'!$AL$25</f>
        <v>395.2025956281156</v>
      </c>
      <c r="AP25" s="68">
        <f ca="1">+'TUSD BE'!$T$25+'TUSD BE'!$AB$25+'TUSD BE'!$AD$25+'TUSD BE'!$AL$25</f>
        <v>395.2025956281156</v>
      </c>
    </row>
    <row r="26" spans="1:42" ht="11.25" customHeight="1" x14ac:dyDescent="0.3">
      <c r="A26" s="132"/>
      <c r="B26" s="132"/>
      <c r="C26" s="132"/>
      <c r="D26" s="65" t="s">
        <v>31</v>
      </c>
      <c r="E26" s="65" t="s">
        <v>25</v>
      </c>
      <c r="F26" s="65" t="s">
        <v>25</v>
      </c>
      <c r="G26" s="66" t="s">
        <v>81</v>
      </c>
      <c r="H26" s="66" t="s">
        <v>76</v>
      </c>
      <c r="I26" s="66">
        <f>'MERCADO TUSD'!$U$23</f>
        <v>876.00100000000009</v>
      </c>
      <c r="J26" s="15"/>
      <c r="L26" s="61">
        <f>'TUSD BE'!$L$26*'TUSD BF'!$L$61</f>
        <v>0</v>
      </c>
      <c r="M26" s="61">
        <f>'TUSD BE'!$M$26*'TUSD BF'!$M$61</f>
        <v>0</v>
      </c>
      <c r="N26" s="61">
        <f ca="1">'TUSD BE'!$N$26*'TUSD BF'!$N$61</f>
        <v>0</v>
      </c>
      <c r="O26" s="61">
        <f>'TUSD BE'!$O$26*'TUSD BF'!$O$61</f>
        <v>0</v>
      </c>
      <c r="P26" s="61">
        <f>'TUSD BE'!$P$26*'TUSD BF'!$P$61</f>
        <v>0</v>
      </c>
      <c r="Q26" s="61">
        <f>'TUSD BE'!$Q$26*'TUSD BF'!$Q$61</f>
        <v>0</v>
      </c>
      <c r="R26" s="61">
        <f>'TUSD BE'!$R$26*'TUSD BF'!$R$61</f>
        <v>0</v>
      </c>
      <c r="S26" s="61">
        <f>'TUSD BE'!$R$26*'TUSD BF'!$S$61</f>
        <v>0</v>
      </c>
      <c r="T26" s="61">
        <f ca="1">SUM($L$26:$S$26)</f>
        <v>0</v>
      </c>
      <c r="U26" s="61">
        <f>'TUSD BE'!$U$26*'TUSD BF'!$U$61</f>
        <v>0</v>
      </c>
      <c r="V26" s="61">
        <f>'TUSD BE'!$V$26*'TUSD BF'!$V$61</f>
        <v>0</v>
      </c>
      <c r="W26" s="61">
        <f>'TUSD BE'!$W$26*'TUSD BF'!$W$61</f>
        <v>0</v>
      </c>
      <c r="X26" s="61">
        <f>'TUSD BE'!$X$26*'TUSD BF'!$X$61</f>
        <v>0</v>
      </c>
      <c r="Y26" s="61">
        <f>'TUSD BE'!$Y$26*'TUSD BF'!$Y$61</f>
        <v>0</v>
      </c>
      <c r="Z26" s="61">
        <f>'TUSD BE'!$Z$26*'TUSD BF'!$Z$61</f>
        <v>0</v>
      </c>
      <c r="AA26" s="61">
        <f>'TUSD BE'!$AA$26*'TUSD BF'!$AA$61</f>
        <v>0</v>
      </c>
      <c r="AB26" s="61">
        <f>SUM($U$26:$AA$26)</f>
        <v>0</v>
      </c>
      <c r="AC26" s="61">
        <f>'TUSD BE'!$AC$26*'TUSD BF'!$AC$61</f>
        <v>0</v>
      </c>
      <c r="AD26" s="61">
        <f>SUM($AC$26:$AC$26)</f>
        <v>0</v>
      </c>
      <c r="AE26" s="61">
        <f ca="1">$AO$26*$AO$58</f>
        <v>0</v>
      </c>
      <c r="AF26" s="61">
        <f ca="1">$AP$26*$AP$58</f>
        <v>0</v>
      </c>
      <c r="AG26" s="61">
        <f ca="1">SUM($AE$26:$AF$26)</f>
        <v>0</v>
      </c>
      <c r="AH26" s="61">
        <f>'TUSD BE'!$AH$26*'TUSD BF'!$AH$61</f>
        <v>2.286801736758258</v>
      </c>
      <c r="AI26" s="61">
        <f>'TUSD BE'!$AI$26*'TUSD BF'!$AI$61</f>
        <v>2.3387613658480699E-2</v>
      </c>
      <c r="AJ26" s="61">
        <f ca="1">'TUSD BE'!$AJ$26*'TUSD BF'!$AJ$61</f>
        <v>8.5965855482137421E-2</v>
      </c>
      <c r="AK26" s="61">
        <f ca="1">'TUSD BE'!$AK$26*'TUSD BF'!$AK$61</f>
        <v>0</v>
      </c>
      <c r="AL26" s="61">
        <f ca="1">SUM($AH$26:$AK$26)</f>
        <v>2.396155205898876</v>
      </c>
      <c r="AM26" s="61">
        <f ca="1">SUMIF($L$4:$AL$4,"SUBTOTAL",$L$26:$AL$26)</f>
        <v>2.396155205898876</v>
      </c>
      <c r="AO26" s="68">
        <f ca="1">+'TUSD BE'!$T$26+'TUSD BE'!$AB$26+'TUSD BE'!$AD$26+'TUSD BE'!$AL$26</f>
        <v>395.2025956281156</v>
      </c>
      <c r="AP26" s="68">
        <f ca="1">+'TUSD BE'!$T$26+'TUSD BE'!$AB$26+'TUSD BE'!$AD$26+'TUSD BE'!$AL$26</f>
        <v>395.2025956281156</v>
      </c>
    </row>
    <row r="27" spans="1:42" ht="11.25" customHeight="1" x14ac:dyDescent="0.3">
      <c r="A27" s="132"/>
      <c r="B27" s="132"/>
      <c r="C27" s="132"/>
      <c r="D27" s="65" t="s">
        <v>32</v>
      </c>
      <c r="E27" s="65" t="s">
        <v>25</v>
      </c>
      <c r="F27" s="65" t="s">
        <v>25</v>
      </c>
      <c r="G27" s="66" t="s">
        <v>81</v>
      </c>
      <c r="H27" s="66" t="s">
        <v>76</v>
      </c>
      <c r="I27" s="66">
        <f>'MERCADO TUSD'!$U$24</f>
        <v>331.42999999999995</v>
      </c>
      <c r="J27" s="15"/>
      <c r="L27" s="61">
        <f>'TUSD BE'!$L$27*'TUSD BF'!$L$61</f>
        <v>0</v>
      </c>
      <c r="M27" s="61">
        <f>'TUSD BE'!$M$27*'TUSD BF'!$M$61</f>
        <v>0</v>
      </c>
      <c r="N27" s="61">
        <f ca="1">'TUSD BE'!$N$27*'TUSD BF'!$N$61</f>
        <v>0</v>
      </c>
      <c r="O27" s="61">
        <f>'TUSD BE'!$O$27*'TUSD BF'!$O$61</f>
        <v>0</v>
      </c>
      <c r="P27" s="61">
        <f>'TUSD BE'!$P$27*'TUSD BF'!$P$61</f>
        <v>0</v>
      </c>
      <c r="Q27" s="61">
        <f>'TUSD BE'!$Q$27*'TUSD BF'!$Q$61</f>
        <v>0</v>
      </c>
      <c r="R27" s="61">
        <f>'TUSD BE'!$R$27*'TUSD BF'!$R$61</f>
        <v>0</v>
      </c>
      <c r="S27" s="61">
        <f>'TUSD BE'!$R$27*'TUSD BF'!$S$61</f>
        <v>0</v>
      </c>
      <c r="T27" s="61">
        <f ca="1">SUM($L$27:$S$27)</f>
        <v>0</v>
      </c>
      <c r="U27" s="61">
        <f>'TUSD BE'!$U$27*'TUSD BF'!$U$61</f>
        <v>0</v>
      </c>
      <c r="V27" s="61">
        <f>'TUSD BE'!$V$27*'TUSD BF'!$V$61</f>
        <v>0</v>
      </c>
      <c r="W27" s="61">
        <f>'TUSD BE'!$W$27*'TUSD BF'!$W$61</f>
        <v>0</v>
      </c>
      <c r="X27" s="61">
        <f>'TUSD BE'!$X$27*'TUSD BF'!$X$61</f>
        <v>0</v>
      </c>
      <c r="Y27" s="61">
        <f>'TUSD BE'!$Y$27*'TUSD BF'!$Y$61</f>
        <v>0</v>
      </c>
      <c r="Z27" s="61">
        <f>'TUSD BE'!$Z$27*'TUSD BF'!$Z$61</f>
        <v>0</v>
      </c>
      <c r="AA27" s="61">
        <f>'TUSD BE'!$AA$27*'TUSD BF'!$AA$61</f>
        <v>0</v>
      </c>
      <c r="AB27" s="61">
        <f>SUM($U$27:$AA$27)</f>
        <v>0</v>
      </c>
      <c r="AC27" s="61">
        <f>'TUSD BE'!$AC$27*'TUSD BF'!$AC$61</f>
        <v>0</v>
      </c>
      <c r="AD27" s="61">
        <f>SUM($AC$27:$AC$27)</f>
        <v>0</v>
      </c>
      <c r="AE27" s="61">
        <f ca="1">$AO$27*$AO$58</f>
        <v>0</v>
      </c>
      <c r="AF27" s="61">
        <f ca="1">$AP$27*$AP$58</f>
        <v>0</v>
      </c>
      <c r="AG27" s="61">
        <f ca="1">SUM($AE$27:$AF$27)</f>
        <v>0</v>
      </c>
      <c r="AH27" s="61">
        <f>'TUSD BE'!$AH$27*'TUSD BF'!$AH$61</f>
        <v>2.286801736758258</v>
      </c>
      <c r="AI27" s="61">
        <f>'TUSD BE'!$AI$27*'TUSD BF'!$AI$61</f>
        <v>2.3387613658480699E-2</v>
      </c>
      <c r="AJ27" s="61">
        <f ca="1">'TUSD BE'!$AJ$27*'TUSD BF'!$AJ$61</f>
        <v>8.5965855482137421E-2</v>
      </c>
      <c r="AK27" s="61">
        <f ca="1">'TUSD BE'!$AK$27*'TUSD BF'!$AK$61</f>
        <v>0</v>
      </c>
      <c r="AL27" s="61">
        <f ca="1">SUM($AH$27:$AK$27)</f>
        <v>2.396155205898876</v>
      </c>
      <c r="AM27" s="61">
        <f ca="1">SUMIF($L$4:$AL$4,"SUBTOTAL",$L$27:$AL$27)</f>
        <v>2.396155205898876</v>
      </c>
      <c r="AO27" s="68">
        <f ca="1">+'TUSD BE'!$T$27+'TUSD BE'!$AB$27+'TUSD BE'!$AD$27+'TUSD BE'!$AL$27</f>
        <v>395.2025956281156</v>
      </c>
      <c r="AP27" s="68">
        <f ca="1">+'TUSD BE'!$T$27+'TUSD BE'!$AB$27+'TUSD BE'!$AD$27+'TUSD BE'!$AL$27</f>
        <v>395.2025956281156</v>
      </c>
    </row>
    <row r="28" spans="1:42" ht="11.25" customHeight="1" x14ac:dyDescent="0.3">
      <c r="A28" s="132"/>
      <c r="B28" s="132" t="s">
        <v>95</v>
      </c>
      <c r="C28" s="132" t="s">
        <v>24</v>
      </c>
      <c r="D28" s="65" t="s">
        <v>24</v>
      </c>
      <c r="E28" s="65" t="s">
        <v>25</v>
      </c>
      <c r="F28" s="65" t="s">
        <v>25</v>
      </c>
      <c r="G28" s="66" t="s">
        <v>81</v>
      </c>
      <c r="H28" s="66" t="s">
        <v>76</v>
      </c>
      <c r="I28" s="66">
        <f>'MERCADO TUSD'!$U$25</f>
        <v>0</v>
      </c>
      <c r="J28" s="15"/>
      <c r="L28" s="61">
        <f>'TUSD BE'!$L$28*'TUSD BF'!$L$61</f>
        <v>0.22239639427234734</v>
      </c>
      <c r="M28" s="61">
        <f>'TUSD BE'!$M$28*'TUSD BF'!$M$61</f>
        <v>0</v>
      </c>
      <c r="N28" s="61">
        <f ca="1">'TUSD BE'!$N$28*'TUSD BF'!$N$61</f>
        <v>0</v>
      </c>
      <c r="O28" s="61">
        <f>'TUSD BE'!$O$28*'TUSD BF'!$O$61</f>
        <v>0</v>
      </c>
      <c r="P28" s="61">
        <f>'TUSD BE'!$P$28*'TUSD BF'!$P$61</f>
        <v>0</v>
      </c>
      <c r="Q28" s="61">
        <f>'TUSD BE'!$Q$28*'TUSD BF'!$Q$61</f>
        <v>11.080027836901019</v>
      </c>
      <c r="R28" s="61">
        <f>'TUSD BE'!$R$28*'TUSD BF'!$R$61</f>
        <v>2.8235306721162976</v>
      </c>
      <c r="S28" s="61">
        <f>'TUSD BE'!$R$28*'TUSD BF'!$S$61</f>
        <v>0</v>
      </c>
      <c r="T28" s="61">
        <f ca="1">SUM($L$28:$S$28)</f>
        <v>14.125954903289664</v>
      </c>
      <c r="U28" s="61">
        <f>'TUSD BE'!$U$28*'TUSD BF'!$U$61</f>
        <v>0</v>
      </c>
      <c r="V28" s="61">
        <f>'TUSD BE'!$V$28*'TUSD BF'!$V$61</f>
        <v>0</v>
      </c>
      <c r="W28" s="61">
        <f>'TUSD BE'!$W$28*'TUSD BF'!$W$61</f>
        <v>0</v>
      </c>
      <c r="X28" s="61">
        <f>'TUSD BE'!$X$28*'TUSD BF'!$X$61</f>
        <v>0</v>
      </c>
      <c r="Y28" s="61">
        <f>'TUSD BE'!$Y$28*'TUSD BF'!$Y$61</f>
        <v>0</v>
      </c>
      <c r="Z28" s="61">
        <f>'TUSD BE'!$Z$28*'TUSD BF'!$Z$61</f>
        <v>0</v>
      </c>
      <c r="AA28" s="61">
        <f>'TUSD BE'!$AA$28*'TUSD BF'!$AA$61</f>
        <v>0</v>
      </c>
      <c r="AB28" s="61">
        <f>SUM($U$28:$AA$28)</f>
        <v>0</v>
      </c>
      <c r="AC28" s="61">
        <f>'TUSD BE'!$AC$28*'TUSD BF'!$AC$61</f>
        <v>0</v>
      </c>
      <c r="AD28" s="61">
        <f>SUM($AC$28:$AC$28)</f>
        <v>0</v>
      </c>
      <c r="AE28" s="61">
        <f ca="1">$AO$28*$AO$58</f>
        <v>0</v>
      </c>
      <c r="AF28" s="61">
        <f ca="1">$AP$28*$AP$58</f>
        <v>0</v>
      </c>
      <c r="AG28" s="61">
        <f ca="1">SUM($AE$28:$AF$28)</f>
        <v>0</v>
      </c>
      <c r="AH28" s="61">
        <f>'TUSD BE'!$AH$28*'TUSD BF'!$AH$61</f>
        <v>2.286801736758258</v>
      </c>
      <c r="AI28" s="61">
        <f>'TUSD BE'!$AI$28*'TUSD BF'!$AI$61</f>
        <v>2.3387613658480699E-2</v>
      </c>
      <c r="AJ28" s="61">
        <f ca="1">'TUSD BE'!$AJ$28*'TUSD BF'!$AJ$61</f>
        <v>8.5965855482137421E-2</v>
      </c>
      <c r="AK28" s="61">
        <f ca="1">'TUSD BE'!$AK$28*'TUSD BF'!$AK$61</f>
        <v>0</v>
      </c>
      <c r="AL28" s="61">
        <f ca="1">SUM($AH$28:$AK$28)</f>
        <v>2.396155205898876</v>
      </c>
      <c r="AM28" s="61">
        <f ca="1">SUMIF($L$4:$AL$4,"SUBTOTAL",$L$28:$AL$28)</f>
        <v>16.522110109188539</v>
      </c>
      <c r="AO28" s="68">
        <f ca="1">+'TUSD BE'!$T$28+'TUSD BE'!$AB$28+'TUSD BE'!$AD$28+'TUSD BE'!$AL$28</f>
        <v>502.42322646964709</v>
      </c>
      <c r="AP28" s="68">
        <f ca="1">+'TUSD BE'!$T$28+'TUSD BE'!$AB$28+'TUSD BE'!$AD$28+'TUSD BE'!$AL$28</f>
        <v>502.42322646964709</v>
      </c>
    </row>
    <row r="29" spans="1:42" ht="11.25" customHeight="1" x14ac:dyDescent="0.3">
      <c r="A29" s="132"/>
      <c r="B29" s="132"/>
      <c r="C29" s="132"/>
      <c r="D29" s="65" t="s">
        <v>29</v>
      </c>
      <c r="E29" s="65" t="s">
        <v>25</v>
      </c>
      <c r="F29" s="65" t="s">
        <v>25</v>
      </c>
      <c r="G29" s="66" t="s">
        <v>81</v>
      </c>
      <c r="H29" s="66" t="s">
        <v>76</v>
      </c>
      <c r="I29" s="66">
        <f>'MERCADO TUSD'!$U$26</f>
        <v>0</v>
      </c>
      <c r="J29" s="15"/>
      <c r="L29" s="61">
        <f>'TUSD BE'!$L$29*'TUSD BF'!$L$61</f>
        <v>0</v>
      </c>
      <c r="M29" s="61">
        <f>'TUSD BE'!$M$29*'TUSD BF'!$M$61</f>
        <v>0</v>
      </c>
      <c r="N29" s="61">
        <f ca="1">'TUSD BE'!$N$29*'TUSD BF'!$N$61</f>
        <v>0</v>
      </c>
      <c r="O29" s="61">
        <f>'TUSD BE'!$O$29*'TUSD BF'!$O$61</f>
        <v>0</v>
      </c>
      <c r="P29" s="61">
        <f>'TUSD BE'!$P$29*'TUSD BF'!$P$61</f>
        <v>0</v>
      </c>
      <c r="Q29" s="61">
        <f>'TUSD BE'!$Q$29*'TUSD BF'!$Q$61</f>
        <v>0</v>
      </c>
      <c r="R29" s="61">
        <f>'TUSD BE'!$R$29*'TUSD BF'!$R$61</f>
        <v>0</v>
      </c>
      <c r="S29" s="61">
        <f>'TUSD BE'!$R$29*'TUSD BF'!$S$61</f>
        <v>0</v>
      </c>
      <c r="T29" s="61">
        <f ca="1">SUM($L$29:$S$29)</f>
        <v>0</v>
      </c>
      <c r="U29" s="61">
        <f>'TUSD BE'!$U$29*'TUSD BF'!$U$61</f>
        <v>0</v>
      </c>
      <c r="V29" s="61">
        <f>'TUSD BE'!$V$29*'TUSD BF'!$V$61</f>
        <v>0</v>
      </c>
      <c r="W29" s="61">
        <f>'TUSD BE'!$W$29*'TUSD BF'!$W$61</f>
        <v>0</v>
      </c>
      <c r="X29" s="61">
        <f>'TUSD BE'!$X$29*'TUSD BF'!$X$61</f>
        <v>0</v>
      </c>
      <c r="Y29" s="61">
        <f>'TUSD BE'!$Y$29*'TUSD BF'!$Y$61</f>
        <v>0</v>
      </c>
      <c r="Z29" s="61">
        <f>'TUSD BE'!$Z$29*'TUSD BF'!$Z$61</f>
        <v>0</v>
      </c>
      <c r="AA29" s="61">
        <f>'TUSD BE'!$AA$29*'TUSD BF'!$AA$61</f>
        <v>0</v>
      </c>
      <c r="AB29" s="61">
        <f>SUM($U$29:$AA$29)</f>
        <v>0</v>
      </c>
      <c r="AC29" s="61">
        <f>'TUSD BE'!$AC$29*'TUSD BF'!$AC$61</f>
        <v>0</v>
      </c>
      <c r="AD29" s="61">
        <f>SUM($AC$29:$AC$29)</f>
        <v>0</v>
      </c>
      <c r="AE29" s="61">
        <f ca="1">$AO$29*$AO$58</f>
        <v>0</v>
      </c>
      <c r="AF29" s="61">
        <f ca="1">$AP$29*$AP$58</f>
        <v>0</v>
      </c>
      <c r="AG29" s="61">
        <f ca="1">SUM($AE$29:$AF$29)</f>
        <v>0</v>
      </c>
      <c r="AH29" s="61">
        <f>'TUSD BE'!$AH$29*'TUSD BF'!$AH$61</f>
        <v>2.286801736758258</v>
      </c>
      <c r="AI29" s="61">
        <f>'TUSD BE'!$AI$29*'TUSD BF'!$AI$61</f>
        <v>2.3387613658480699E-2</v>
      </c>
      <c r="AJ29" s="61">
        <f ca="1">'TUSD BE'!$AJ$29*'TUSD BF'!$AJ$61</f>
        <v>8.5965855482137421E-2</v>
      </c>
      <c r="AK29" s="61">
        <f ca="1">'TUSD BE'!$AK$29*'TUSD BF'!$AK$61</f>
        <v>0</v>
      </c>
      <c r="AL29" s="61">
        <f ca="1">SUM($AH$29:$AK$29)</f>
        <v>2.396155205898876</v>
      </c>
      <c r="AM29" s="61">
        <f ca="1">SUMIF($L$4:$AL$4,"SUBTOTAL",$L$29:$AL$29)</f>
        <v>2.396155205898876</v>
      </c>
      <c r="AO29" s="68">
        <f ca="1">+'TUSD BE'!$T$29+'TUSD BE'!$AB$29+'TUSD BE'!$AD$29+'TUSD BE'!$AL$29</f>
        <v>395.2025956281156</v>
      </c>
      <c r="AP29" s="68">
        <f ca="1">+'TUSD BE'!$T$29+'TUSD BE'!$AB$29+'TUSD BE'!$AD$29+'TUSD BE'!$AL$29</f>
        <v>395.2025956281156</v>
      </c>
    </row>
    <row r="30" spans="1:42" ht="11.25" customHeight="1" x14ac:dyDescent="0.3">
      <c r="A30" s="132"/>
      <c r="B30" s="132"/>
      <c r="C30" s="132"/>
      <c r="D30" s="65" t="s">
        <v>30</v>
      </c>
      <c r="E30" s="65" t="s">
        <v>25</v>
      </c>
      <c r="F30" s="65" t="s">
        <v>25</v>
      </c>
      <c r="G30" s="66" t="s">
        <v>81</v>
      </c>
      <c r="H30" s="66" t="s">
        <v>76</v>
      </c>
      <c r="I30" s="66">
        <f>'MERCADO TUSD'!$U$27</f>
        <v>0</v>
      </c>
      <c r="J30" s="15"/>
      <c r="L30" s="61">
        <f>'TUSD BE'!$L$30*'TUSD BF'!$L$61</f>
        <v>0</v>
      </c>
      <c r="M30" s="61">
        <f>'TUSD BE'!$M$30*'TUSD BF'!$M$61</f>
        <v>0</v>
      </c>
      <c r="N30" s="61">
        <f ca="1">'TUSD BE'!$N$30*'TUSD BF'!$N$61</f>
        <v>0</v>
      </c>
      <c r="O30" s="61">
        <f>'TUSD BE'!$O$30*'TUSD BF'!$O$61</f>
        <v>0</v>
      </c>
      <c r="P30" s="61">
        <f>'TUSD BE'!$P$30*'TUSD BF'!$P$61</f>
        <v>0</v>
      </c>
      <c r="Q30" s="61">
        <f>'TUSD BE'!$Q$30*'TUSD BF'!$Q$61</f>
        <v>0</v>
      </c>
      <c r="R30" s="61">
        <f>'TUSD BE'!$R$30*'TUSD BF'!$R$61</f>
        <v>0</v>
      </c>
      <c r="S30" s="61">
        <f>'TUSD BE'!$R$30*'TUSD BF'!$S$61</f>
        <v>0</v>
      </c>
      <c r="T30" s="61">
        <f ca="1">SUM($L$30:$S$30)</f>
        <v>0</v>
      </c>
      <c r="U30" s="61">
        <f>'TUSD BE'!$U$30*'TUSD BF'!$U$61</f>
        <v>0</v>
      </c>
      <c r="V30" s="61">
        <f>'TUSD BE'!$V$30*'TUSD BF'!$V$61</f>
        <v>0</v>
      </c>
      <c r="W30" s="61">
        <f>'TUSD BE'!$W$30*'TUSD BF'!$W$61</f>
        <v>0</v>
      </c>
      <c r="X30" s="61">
        <f>'TUSD BE'!$X$30*'TUSD BF'!$X$61</f>
        <v>0</v>
      </c>
      <c r="Y30" s="61">
        <f>'TUSD BE'!$Y$30*'TUSD BF'!$Y$61</f>
        <v>0</v>
      </c>
      <c r="Z30" s="61">
        <f>'TUSD BE'!$Z$30*'TUSD BF'!$Z$61</f>
        <v>0</v>
      </c>
      <c r="AA30" s="61">
        <f>'TUSD BE'!$AA$30*'TUSD BF'!$AA$61</f>
        <v>0</v>
      </c>
      <c r="AB30" s="61">
        <f>SUM($U$30:$AA$30)</f>
        <v>0</v>
      </c>
      <c r="AC30" s="61">
        <f>'TUSD BE'!$AC$30*'TUSD BF'!$AC$61</f>
        <v>0</v>
      </c>
      <c r="AD30" s="61">
        <f>SUM($AC$30:$AC$30)</f>
        <v>0</v>
      </c>
      <c r="AE30" s="61">
        <f ca="1">$AO$30*$AO$58</f>
        <v>0</v>
      </c>
      <c r="AF30" s="61">
        <f ca="1">$AP$30*$AP$58</f>
        <v>0</v>
      </c>
      <c r="AG30" s="61">
        <f ca="1">SUM($AE$30:$AF$30)</f>
        <v>0</v>
      </c>
      <c r="AH30" s="61">
        <f>'TUSD BE'!$AH$30*'TUSD BF'!$AH$61</f>
        <v>2.286801736758258</v>
      </c>
      <c r="AI30" s="61">
        <f>'TUSD BE'!$AI$30*'TUSD BF'!$AI$61</f>
        <v>2.3387613658480699E-2</v>
      </c>
      <c r="AJ30" s="61">
        <f ca="1">'TUSD BE'!$AJ$30*'TUSD BF'!$AJ$61</f>
        <v>8.5965855482137421E-2</v>
      </c>
      <c r="AK30" s="61">
        <f ca="1">'TUSD BE'!$AK$30*'TUSD BF'!$AK$61</f>
        <v>0</v>
      </c>
      <c r="AL30" s="61">
        <f ca="1">SUM($AH$30:$AK$30)</f>
        <v>2.396155205898876</v>
      </c>
      <c r="AM30" s="61">
        <f ca="1">SUMIF($L$4:$AL$4,"SUBTOTAL",$L$30:$AL$30)</f>
        <v>2.396155205898876</v>
      </c>
      <c r="AO30" s="68">
        <f ca="1">+'TUSD BE'!$T$30+'TUSD BE'!$AB$30+'TUSD BE'!$AD$30+'TUSD BE'!$AL$30</f>
        <v>395.2025956281156</v>
      </c>
      <c r="AP30" s="68">
        <f ca="1">+'TUSD BE'!$T$30+'TUSD BE'!$AB$30+'TUSD BE'!$AD$30+'TUSD BE'!$AL$30</f>
        <v>395.2025956281156</v>
      </c>
    </row>
    <row r="31" spans="1:42" ht="11.25" customHeight="1" x14ac:dyDescent="0.3">
      <c r="A31" s="132"/>
      <c r="B31" s="132"/>
      <c r="C31" s="132"/>
      <c r="D31" s="65" t="s">
        <v>31</v>
      </c>
      <c r="E31" s="65" t="s">
        <v>25</v>
      </c>
      <c r="F31" s="65" t="s">
        <v>25</v>
      </c>
      <c r="G31" s="66" t="s">
        <v>81</v>
      </c>
      <c r="H31" s="66" t="s">
        <v>76</v>
      </c>
      <c r="I31" s="66">
        <f>'MERCADO TUSD'!$U$28</f>
        <v>0</v>
      </c>
      <c r="J31" s="15"/>
      <c r="L31" s="61">
        <f>'TUSD BE'!$L$31*'TUSD BF'!$L$61</f>
        <v>0</v>
      </c>
      <c r="M31" s="61">
        <f>'TUSD BE'!$M$31*'TUSD BF'!$M$61</f>
        <v>0</v>
      </c>
      <c r="N31" s="61">
        <f ca="1">'TUSD BE'!$N$31*'TUSD BF'!$N$61</f>
        <v>0</v>
      </c>
      <c r="O31" s="61">
        <f>'TUSD BE'!$O$31*'TUSD BF'!$O$61</f>
        <v>0</v>
      </c>
      <c r="P31" s="61">
        <f>'TUSD BE'!$P$31*'TUSD BF'!$P$61</f>
        <v>0</v>
      </c>
      <c r="Q31" s="61">
        <f>'TUSD BE'!$Q$31*'TUSD BF'!$Q$61</f>
        <v>0</v>
      </c>
      <c r="R31" s="61">
        <f>'TUSD BE'!$R$31*'TUSD BF'!$R$61</f>
        <v>0</v>
      </c>
      <c r="S31" s="61">
        <f>'TUSD BE'!$R$31*'TUSD BF'!$S$61</f>
        <v>0</v>
      </c>
      <c r="T31" s="61">
        <f ca="1">SUM($L$31:$S$31)</f>
        <v>0</v>
      </c>
      <c r="U31" s="61">
        <f>'TUSD BE'!$U$31*'TUSD BF'!$U$61</f>
        <v>0</v>
      </c>
      <c r="V31" s="61">
        <f>'TUSD BE'!$V$31*'TUSD BF'!$V$61</f>
        <v>0</v>
      </c>
      <c r="W31" s="61">
        <f>'TUSD BE'!$W$31*'TUSD BF'!$W$61</f>
        <v>0</v>
      </c>
      <c r="X31" s="61">
        <f>'TUSD BE'!$X$31*'TUSD BF'!$X$61</f>
        <v>0</v>
      </c>
      <c r="Y31" s="61">
        <f>'TUSD BE'!$Y$31*'TUSD BF'!$Y$61</f>
        <v>0</v>
      </c>
      <c r="Z31" s="61">
        <f>'TUSD BE'!$Z$31*'TUSD BF'!$Z$61</f>
        <v>0</v>
      </c>
      <c r="AA31" s="61">
        <f>'TUSD BE'!$AA$31*'TUSD BF'!$AA$61</f>
        <v>0</v>
      </c>
      <c r="AB31" s="61">
        <f>SUM($U$31:$AA$31)</f>
        <v>0</v>
      </c>
      <c r="AC31" s="61">
        <f>'TUSD BE'!$AC$31*'TUSD BF'!$AC$61</f>
        <v>0</v>
      </c>
      <c r="AD31" s="61">
        <f>SUM($AC$31:$AC$31)</f>
        <v>0</v>
      </c>
      <c r="AE31" s="61">
        <f ca="1">$AO$31*$AO$58</f>
        <v>0</v>
      </c>
      <c r="AF31" s="61">
        <f ca="1">$AP$31*$AP$58</f>
        <v>0</v>
      </c>
      <c r="AG31" s="61">
        <f ca="1">SUM($AE$31:$AF$31)</f>
        <v>0</v>
      </c>
      <c r="AH31" s="61">
        <f>'TUSD BE'!$AH$31*'TUSD BF'!$AH$61</f>
        <v>2.286801736758258</v>
      </c>
      <c r="AI31" s="61">
        <f>'TUSD BE'!$AI$31*'TUSD BF'!$AI$61</f>
        <v>2.3387613658480699E-2</v>
      </c>
      <c r="AJ31" s="61">
        <f ca="1">'TUSD BE'!$AJ$31*'TUSD BF'!$AJ$61</f>
        <v>8.5965855482137421E-2</v>
      </c>
      <c r="AK31" s="61">
        <f ca="1">'TUSD BE'!$AK$31*'TUSD BF'!$AK$61</f>
        <v>0</v>
      </c>
      <c r="AL31" s="61">
        <f ca="1">SUM($AH$31:$AK$31)</f>
        <v>2.396155205898876</v>
      </c>
      <c r="AM31" s="61">
        <f ca="1">SUMIF($L$4:$AL$4,"SUBTOTAL",$L$31:$AL$31)</f>
        <v>2.396155205898876</v>
      </c>
      <c r="AO31" s="68">
        <f ca="1">+'TUSD BE'!$T$31+'TUSD BE'!$AB$31+'TUSD BE'!$AD$31+'TUSD BE'!$AL$31</f>
        <v>395.2025956281156</v>
      </c>
      <c r="AP31" s="68">
        <f ca="1">+'TUSD BE'!$T$31+'TUSD BE'!$AB$31+'TUSD BE'!$AD$31+'TUSD BE'!$AL$31</f>
        <v>395.2025956281156</v>
      </c>
    </row>
    <row r="32" spans="1:42" ht="11.25" customHeight="1" x14ac:dyDescent="0.3">
      <c r="A32" s="132"/>
      <c r="B32" s="132"/>
      <c r="C32" s="132"/>
      <c r="D32" s="65" t="s">
        <v>32</v>
      </c>
      <c r="E32" s="65" t="s">
        <v>25</v>
      </c>
      <c r="F32" s="65" t="s">
        <v>25</v>
      </c>
      <c r="G32" s="66" t="s">
        <v>81</v>
      </c>
      <c r="H32" s="66" t="s">
        <v>76</v>
      </c>
      <c r="I32" s="66">
        <f>'MERCADO TUSD'!$U$29</f>
        <v>0</v>
      </c>
      <c r="J32" s="15"/>
      <c r="L32" s="61">
        <f>'TUSD BE'!$L$32*'TUSD BF'!$L$61</f>
        <v>0</v>
      </c>
      <c r="M32" s="61">
        <f>'TUSD BE'!$M$32*'TUSD BF'!$M$61</f>
        <v>0</v>
      </c>
      <c r="N32" s="61">
        <f ca="1">'TUSD BE'!$N$32*'TUSD BF'!$N$61</f>
        <v>0</v>
      </c>
      <c r="O32" s="61">
        <f>'TUSD BE'!$O$32*'TUSD BF'!$O$61</f>
        <v>0</v>
      </c>
      <c r="P32" s="61">
        <f>'TUSD BE'!$P$32*'TUSD BF'!$P$61</f>
        <v>0</v>
      </c>
      <c r="Q32" s="61">
        <f>'TUSD BE'!$Q$32*'TUSD BF'!$Q$61</f>
        <v>0</v>
      </c>
      <c r="R32" s="61">
        <f>'TUSD BE'!$R$32*'TUSD BF'!$R$61</f>
        <v>0</v>
      </c>
      <c r="S32" s="61">
        <f>'TUSD BE'!$R$32*'TUSD BF'!$S$61</f>
        <v>0</v>
      </c>
      <c r="T32" s="61">
        <f ca="1">SUM($L$32:$S$32)</f>
        <v>0</v>
      </c>
      <c r="U32" s="61">
        <f>'TUSD BE'!$U$32*'TUSD BF'!$U$61</f>
        <v>0</v>
      </c>
      <c r="V32" s="61">
        <f>'TUSD BE'!$V$32*'TUSD BF'!$V$61</f>
        <v>0</v>
      </c>
      <c r="W32" s="61">
        <f>'TUSD BE'!$W$32*'TUSD BF'!$W$61</f>
        <v>0</v>
      </c>
      <c r="X32" s="61">
        <f>'TUSD BE'!$X$32*'TUSD BF'!$X$61</f>
        <v>0</v>
      </c>
      <c r="Y32" s="61">
        <f>'TUSD BE'!$Y$32*'TUSD BF'!$Y$61</f>
        <v>0</v>
      </c>
      <c r="Z32" s="61">
        <f>'TUSD BE'!$Z$32*'TUSD BF'!$Z$61</f>
        <v>0</v>
      </c>
      <c r="AA32" s="61">
        <f>'TUSD BE'!$AA$32*'TUSD BF'!$AA$61</f>
        <v>0</v>
      </c>
      <c r="AB32" s="61">
        <f>SUM($U$32:$AA$32)</f>
        <v>0</v>
      </c>
      <c r="AC32" s="61">
        <f>'TUSD BE'!$AC$32*'TUSD BF'!$AC$61</f>
        <v>0</v>
      </c>
      <c r="AD32" s="61">
        <f>SUM($AC$32:$AC$32)</f>
        <v>0</v>
      </c>
      <c r="AE32" s="61">
        <f ca="1">$AO$32*$AO$58</f>
        <v>0</v>
      </c>
      <c r="AF32" s="61">
        <f ca="1">$AP$32*$AP$58</f>
        <v>0</v>
      </c>
      <c r="AG32" s="61">
        <f ca="1">SUM($AE$32:$AF$32)</f>
        <v>0</v>
      </c>
      <c r="AH32" s="61">
        <f>'TUSD BE'!$AH$32*'TUSD BF'!$AH$61</f>
        <v>2.286801736758258</v>
      </c>
      <c r="AI32" s="61">
        <f>'TUSD BE'!$AI$32*'TUSD BF'!$AI$61</f>
        <v>2.3387613658480699E-2</v>
      </c>
      <c r="AJ32" s="61">
        <f ca="1">'TUSD BE'!$AJ$32*'TUSD BF'!$AJ$61</f>
        <v>8.5965855482137421E-2</v>
      </c>
      <c r="AK32" s="61">
        <f ca="1">'TUSD BE'!$AK$32*'TUSD BF'!$AK$61</f>
        <v>0</v>
      </c>
      <c r="AL32" s="61">
        <f ca="1">SUM($AH$32:$AK$32)</f>
        <v>2.396155205898876</v>
      </c>
      <c r="AM32" s="61">
        <f ca="1">SUMIF($L$4:$AL$4,"SUBTOTAL",$L$32:$AL$32)</f>
        <v>2.396155205898876</v>
      </c>
      <c r="AO32" s="68">
        <f ca="1">+'TUSD BE'!$T$32+'TUSD BE'!$AB$32+'TUSD BE'!$AD$32+'TUSD BE'!$AL$32</f>
        <v>395.2025956281156</v>
      </c>
      <c r="AP32" s="68">
        <f ca="1">+'TUSD BE'!$T$32+'TUSD BE'!$AB$32+'TUSD BE'!$AD$32+'TUSD BE'!$AL$32</f>
        <v>395.2025956281156</v>
      </c>
    </row>
    <row r="33" spans="1:42" ht="11.25" customHeight="1" x14ac:dyDescent="0.3">
      <c r="A33" s="132" t="s">
        <v>42</v>
      </c>
      <c r="B33" s="132" t="s">
        <v>33</v>
      </c>
      <c r="C33" s="132" t="s">
        <v>43</v>
      </c>
      <c r="D33" s="132" t="s">
        <v>25</v>
      </c>
      <c r="E33" s="132" t="s">
        <v>25</v>
      </c>
      <c r="F33" s="132" t="s">
        <v>25</v>
      </c>
      <c r="G33" s="66" t="s">
        <v>77</v>
      </c>
      <c r="H33" s="66" t="s">
        <v>76</v>
      </c>
      <c r="I33" s="66">
        <f>'MERCADO TUSD'!$U$30</f>
        <v>0.36099999999999999</v>
      </c>
      <c r="J33" s="15"/>
      <c r="L33" s="61">
        <f>'TUSD BE'!$L$33*'TUSD BF'!$L$61</f>
        <v>0.22239639427234734</v>
      </c>
      <c r="M33" s="61">
        <f>'TUSD BE'!$M$33*'TUSD BF'!$M$61</f>
        <v>0</v>
      </c>
      <c r="N33" s="61">
        <f ca="1">'TUSD BE'!$N$33*'TUSD BF'!$N$61</f>
        <v>0</v>
      </c>
      <c r="O33" s="61">
        <f>'TUSD BE'!$O$33*'TUSD BF'!$O$61</f>
        <v>0</v>
      </c>
      <c r="P33" s="61">
        <f>'TUSD BE'!$P$33*'TUSD BF'!$P$61</f>
        <v>0</v>
      </c>
      <c r="Q33" s="61">
        <f>'TUSD BE'!$Q$33*'TUSD BF'!$Q$61</f>
        <v>11.080027836901019</v>
      </c>
      <c r="R33" s="61">
        <f>'TUSD BE'!$R$33*'TUSD BF'!$R$61</f>
        <v>2.8235306721162976</v>
      </c>
      <c r="S33" s="61">
        <f>'TUSD BE'!$R$33*'TUSD BF'!$S$61</f>
        <v>0</v>
      </c>
      <c r="T33" s="61">
        <f ca="1">SUM($L$33:$S$33)</f>
        <v>14.125954903289664</v>
      </c>
      <c r="U33" s="61">
        <f>'TUSD BE'!$U$33*'TUSD BF'!$U$61</f>
        <v>0</v>
      </c>
      <c r="V33" s="61">
        <f>'TUSD BE'!$V$33*'TUSD BF'!$V$61</f>
        <v>0</v>
      </c>
      <c r="W33" s="61">
        <f>'TUSD BE'!$W$33*'TUSD BF'!$W$61</f>
        <v>0</v>
      </c>
      <c r="X33" s="61">
        <f>'TUSD BE'!$X$33*'TUSD BF'!$X$61</f>
        <v>0</v>
      </c>
      <c r="Y33" s="61">
        <f>'TUSD BE'!$Y$33*'TUSD BF'!$Y$61</f>
        <v>0</v>
      </c>
      <c r="Z33" s="61">
        <f>'TUSD BE'!$Z$33*'TUSD BF'!$Z$61</f>
        <v>0</v>
      </c>
      <c r="AA33" s="61">
        <f>'TUSD BE'!$AA$33*'TUSD BF'!$AA$61</f>
        <v>0</v>
      </c>
      <c r="AB33" s="61">
        <f>SUM($U$33:$AA$33)</f>
        <v>0</v>
      </c>
      <c r="AC33" s="61">
        <f>'TUSD BE'!$AC$33*'TUSD BF'!$AC$61</f>
        <v>0</v>
      </c>
      <c r="AD33" s="61">
        <f>SUM($AC$33:$AC$33)</f>
        <v>0</v>
      </c>
      <c r="AE33" s="61">
        <f ca="1">$AO$33*$AO$58</f>
        <v>0</v>
      </c>
      <c r="AF33" s="61">
        <f ca="1">$AP$33*$AP$58</f>
        <v>0</v>
      </c>
      <c r="AG33" s="61">
        <f ca="1">SUM($AE$33:$AF$33)</f>
        <v>0</v>
      </c>
      <c r="AH33" s="61">
        <f>'TUSD BE'!$AH$33*'TUSD BF'!$AH$61</f>
        <v>2.286801736758258</v>
      </c>
      <c r="AI33" s="61">
        <f>'TUSD BE'!$AI$33*'TUSD BF'!$AI$61</f>
        <v>2.3387613658480699E-2</v>
      </c>
      <c r="AJ33" s="61">
        <f ca="1">'TUSD BE'!$AJ$33*'TUSD BF'!$AJ$61</f>
        <v>8.5965855482137421E-2</v>
      </c>
      <c r="AK33" s="61">
        <f ca="1">'TUSD BE'!$AK$33*'TUSD BF'!$AK$61</f>
        <v>0</v>
      </c>
      <c r="AL33" s="61">
        <f ca="1">SUM($AH$33:$AK$33)</f>
        <v>2.396155205898876</v>
      </c>
      <c r="AM33" s="61">
        <f ca="1">SUMIF($L$4:$AL$4,"SUBTOTAL",$L$33:$AL$33)</f>
        <v>16.522110109188539</v>
      </c>
      <c r="AO33" s="68">
        <f ca="1">+'TUSD BE'!$T$33+'TUSD BE'!$AB$33+'TUSD BE'!$AD$33+'TUSD BE'!$AL$33</f>
        <v>1297.3348525722788</v>
      </c>
      <c r="AP33" s="68">
        <f ca="1">+'TUSD BE'!$T$33+'TUSD BE'!$AB$33+'TUSD BE'!$AD$33+'TUSD BE'!$AL$33</f>
        <v>1297.3348525722788</v>
      </c>
    </row>
    <row r="34" spans="1:42" ht="11.25" customHeight="1" x14ac:dyDescent="0.3">
      <c r="A34" s="132"/>
      <c r="B34" s="132"/>
      <c r="C34" s="132"/>
      <c r="D34" s="132"/>
      <c r="E34" s="132"/>
      <c r="F34" s="132"/>
      <c r="G34" s="66" t="s">
        <v>93</v>
      </c>
      <c r="H34" s="66" t="s">
        <v>76</v>
      </c>
      <c r="I34" s="66">
        <f>'MERCADO TUSD'!$U$31</f>
        <v>0.21399999999999994</v>
      </c>
      <c r="J34" s="15"/>
      <c r="L34" s="61">
        <f>'TUSD BE'!$L$34*'TUSD BF'!$L$61</f>
        <v>0.22239639427234734</v>
      </c>
      <c r="M34" s="61">
        <f>'TUSD BE'!$M$34*'TUSD BF'!$M$61</f>
        <v>0</v>
      </c>
      <c r="N34" s="61">
        <f ca="1">'TUSD BE'!$N$34*'TUSD BF'!$N$61</f>
        <v>0</v>
      </c>
      <c r="O34" s="61">
        <f>'TUSD BE'!$O$34*'TUSD BF'!$O$61</f>
        <v>0</v>
      </c>
      <c r="P34" s="61">
        <f>'TUSD BE'!$P$34*'TUSD BF'!$P$61</f>
        <v>0</v>
      </c>
      <c r="Q34" s="61">
        <f>'TUSD BE'!$Q$34*'TUSD BF'!$Q$61</f>
        <v>11.080027836901019</v>
      </c>
      <c r="R34" s="61">
        <f>'TUSD BE'!$R$34*'TUSD BF'!$R$61</f>
        <v>2.8235306721162976</v>
      </c>
      <c r="S34" s="61">
        <f>'TUSD BE'!$R$34*'TUSD BF'!$S$61</f>
        <v>0</v>
      </c>
      <c r="T34" s="61">
        <f ca="1">SUM($L$34:$S$34)</f>
        <v>14.125954903289664</v>
      </c>
      <c r="U34" s="61">
        <f>'TUSD BE'!$U$34*'TUSD BF'!$U$61</f>
        <v>0</v>
      </c>
      <c r="V34" s="61">
        <f>'TUSD BE'!$V$34*'TUSD BF'!$V$61</f>
        <v>0</v>
      </c>
      <c r="W34" s="61">
        <f>'TUSD BE'!$W$34*'TUSD BF'!$W$61</f>
        <v>0</v>
      </c>
      <c r="X34" s="61">
        <f>'TUSD BE'!$X$34*'TUSD BF'!$X$61</f>
        <v>0</v>
      </c>
      <c r="Y34" s="61">
        <f>'TUSD BE'!$Y$34*'TUSD BF'!$Y$61</f>
        <v>0</v>
      </c>
      <c r="Z34" s="61">
        <f>'TUSD BE'!$Z$34*'TUSD BF'!$Z$61</f>
        <v>0</v>
      </c>
      <c r="AA34" s="61">
        <f>'TUSD BE'!$AA$34*'TUSD BF'!$AA$61</f>
        <v>0</v>
      </c>
      <c r="AB34" s="61">
        <f>SUM($U$34:$AA$34)</f>
        <v>0</v>
      </c>
      <c r="AC34" s="61">
        <f>'TUSD BE'!$AC$34*'TUSD BF'!$AC$61</f>
        <v>0</v>
      </c>
      <c r="AD34" s="61">
        <f>SUM($AC$34:$AC$34)</f>
        <v>0</v>
      </c>
      <c r="AE34" s="61">
        <f ca="1">$AO$34*$AO$58</f>
        <v>0</v>
      </c>
      <c r="AF34" s="61">
        <f ca="1">$AP$34*$AP$58</f>
        <v>0</v>
      </c>
      <c r="AG34" s="61">
        <f ca="1">SUM($AE$34:$AF$34)</f>
        <v>0</v>
      </c>
      <c r="AH34" s="61">
        <f>'TUSD BE'!$AH$34*'TUSD BF'!$AH$61</f>
        <v>2.286801736758258</v>
      </c>
      <c r="AI34" s="61">
        <f>'TUSD BE'!$AI$34*'TUSD BF'!$AI$61</f>
        <v>2.3387613658480699E-2</v>
      </c>
      <c r="AJ34" s="61">
        <f ca="1">'TUSD BE'!$AJ$34*'TUSD BF'!$AJ$61</f>
        <v>8.5965855482137421E-2</v>
      </c>
      <c r="AK34" s="61">
        <f ca="1">'TUSD BE'!$AK$34*'TUSD BF'!$AK$61</f>
        <v>0</v>
      </c>
      <c r="AL34" s="61">
        <f ca="1">SUM($AH$34:$AK$34)</f>
        <v>2.396155205898876</v>
      </c>
      <c r="AM34" s="61">
        <f ca="1">SUMIF($L$4:$AL$4,"SUBTOTAL",$L$34:$AL$34)</f>
        <v>16.522110109188539</v>
      </c>
      <c r="AO34" s="68">
        <f ca="1">+'TUSD BE'!$T$34+'TUSD BE'!$AB$34+'TUSD BE'!$AD$34+'TUSD BE'!$AL$34</f>
        <v>831.47961453036407</v>
      </c>
      <c r="AP34" s="68">
        <f ca="1">+'TUSD BE'!$T$34+'TUSD BE'!$AB$34+'TUSD BE'!$AD$34+'TUSD BE'!$AL$34</f>
        <v>831.47961453036407</v>
      </c>
    </row>
    <row r="35" spans="1:42" ht="11.25" customHeight="1" x14ac:dyDescent="0.3">
      <c r="A35" s="132"/>
      <c r="B35" s="132"/>
      <c r="C35" s="132"/>
      <c r="D35" s="132"/>
      <c r="E35" s="132"/>
      <c r="F35" s="132"/>
      <c r="G35" s="66" t="s">
        <v>78</v>
      </c>
      <c r="H35" s="66" t="s">
        <v>76</v>
      </c>
      <c r="I35" s="66">
        <f>'MERCADO TUSD'!$U$32</f>
        <v>2.4970000000000008</v>
      </c>
      <c r="J35" s="15"/>
      <c r="L35" s="61">
        <f>'TUSD BE'!$L$35*'TUSD BF'!$L$61</f>
        <v>0.22239639427234734</v>
      </c>
      <c r="M35" s="61">
        <f>'TUSD BE'!$M$35*'TUSD BF'!$M$61</f>
        <v>0</v>
      </c>
      <c r="N35" s="61">
        <f ca="1">'TUSD BE'!$N$35*'TUSD BF'!$N$61</f>
        <v>0</v>
      </c>
      <c r="O35" s="61">
        <f>'TUSD BE'!$O$35*'TUSD BF'!$O$61</f>
        <v>0</v>
      </c>
      <c r="P35" s="61">
        <f>'TUSD BE'!$P$35*'TUSD BF'!$P$61</f>
        <v>0</v>
      </c>
      <c r="Q35" s="61">
        <f>'TUSD BE'!$Q$35*'TUSD BF'!$Q$61</f>
        <v>11.080027836901019</v>
      </c>
      <c r="R35" s="61">
        <f>'TUSD BE'!$R$35*'TUSD BF'!$R$61</f>
        <v>2.8235306721162976</v>
      </c>
      <c r="S35" s="61">
        <f>'TUSD BE'!$R$35*'TUSD BF'!$S$61</f>
        <v>0</v>
      </c>
      <c r="T35" s="61">
        <f ca="1">SUM($L$35:$S$35)</f>
        <v>14.125954903289664</v>
      </c>
      <c r="U35" s="61">
        <f>'TUSD BE'!$U$35*'TUSD BF'!$U$61</f>
        <v>0</v>
      </c>
      <c r="V35" s="61">
        <f>'TUSD BE'!$V$35*'TUSD BF'!$V$61</f>
        <v>0</v>
      </c>
      <c r="W35" s="61">
        <f>'TUSD BE'!$W$35*'TUSD BF'!$W$61</f>
        <v>0</v>
      </c>
      <c r="X35" s="61">
        <f>'TUSD BE'!$X$35*'TUSD BF'!$X$61</f>
        <v>0</v>
      </c>
      <c r="Y35" s="61">
        <f>'TUSD BE'!$Y$35*'TUSD BF'!$Y$61</f>
        <v>0</v>
      </c>
      <c r="Z35" s="61">
        <f>'TUSD BE'!$Z$35*'TUSD BF'!$Z$61</f>
        <v>0</v>
      </c>
      <c r="AA35" s="61">
        <f>'TUSD BE'!$AA$35*'TUSD BF'!$AA$61</f>
        <v>0</v>
      </c>
      <c r="AB35" s="61">
        <f>SUM($U$35:$AA$35)</f>
        <v>0</v>
      </c>
      <c r="AC35" s="61">
        <f>'TUSD BE'!$AC$35*'TUSD BF'!$AC$61</f>
        <v>0</v>
      </c>
      <c r="AD35" s="61">
        <f>SUM($AC$35:$AC$35)</f>
        <v>0</v>
      </c>
      <c r="AE35" s="61">
        <f ca="1">$AO$35*$AO$58</f>
        <v>0</v>
      </c>
      <c r="AF35" s="61">
        <f ca="1">$AP$35*$AP$58</f>
        <v>0</v>
      </c>
      <c r="AG35" s="61">
        <f ca="1">SUM($AE$35:$AF$35)</f>
        <v>0</v>
      </c>
      <c r="AH35" s="61">
        <f>'TUSD BE'!$AH$35*'TUSD BF'!$AH$61</f>
        <v>2.286801736758258</v>
      </c>
      <c r="AI35" s="61">
        <f>'TUSD BE'!$AI$35*'TUSD BF'!$AI$61</f>
        <v>2.3387613658480699E-2</v>
      </c>
      <c r="AJ35" s="61">
        <f ca="1">'TUSD BE'!$AJ$35*'TUSD BF'!$AJ$61</f>
        <v>8.5965855482137421E-2</v>
      </c>
      <c r="AK35" s="61">
        <f ca="1">'TUSD BE'!$AK$35*'TUSD BF'!$AK$61</f>
        <v>0</v>
      </c>
      <c r="AL35" s="61">
        <f ca="1">SUM($AH$35:$AK$35)</f>
        <v>2.396155205898876</v>
      </c>
      <c r="AM35" s="61">
        <f ca="1">SUMIF($L$4:$AL$4,"SUBTOTAL",$L$35:$AL$35)</f>
        <v>16.522110109188539</v>
      </c>
      <c r="AO35" s="68">
        <f ca="1">+'TUSD BE'!$T$35+'TUSD BE'!$AB$35+'TUSD BE'!$AD$35+'TUSD BE'!$AL$35</f>
        <v>365.62448600736451</v>
      </c>
      <c r="AP35" s="68">
        <f ca="1">+'TUSD BE'!$T$35+'TUSD BE'!$AB$35+'TUSD BE'!$AD$35+'TUSD BE'!$AL$35</f>
        <v>365.62448600736451</v>
      </c>
    </row>
    <row r="36" spans="1:42" ht="11.25" customHeight="1" x14ac:dyDescent="0.3">
      <c r="A36" s="132"/>
      <c r="B36" s="65" t="s">
        <v>23</v>
      </c>
      <c r="C36" s="65" t="s">
        <v>43</v>
      </c>
      <c r="D36" s="65" t="s">
        <v>25</v>
      </c>
      <c r="E36" s="65" t="s">
        <v>25</v>
      </c>
      <c r="F36" s="65" t="s">
        <v>25</v>
      </c>
      <c r="G36" s="66" t="s">
        <v>81</v>
      </c>
      <c r="H36" s="66" t="s">
        <v>76</v>
      </c>
      <c r="I36" s="66">
        <f>'MERCADO TUSD'!$U$33</f>
        <v>18691.718999999997</v>
      </c>
      <c r="J36" s="15"/>
      <c r="L36" s="61">
        <f>'TUSD BE'!$L$36*'TUSD BF'!$L$61</f>
        <v>0.22239639427234734</v>
      </c>
      <c r="M36" s="61">
        <f>'TUSD BE'!$M$36*'TUSD BF'!$M$61</f>
        <v>0</v>
      </c>
      <c r="N36" s="61">
        <f ca="1">'TUSD BE'!$N$36*'TUSD BF'!$N$61</f>
        <v>0</v>
      </c>
      <c r="O36" s="61">
        <f>'TUSD BE'!$O$36*'TUSD BF'!$O$61</f>
        <v>0</v>
      </c>
      <c r="P36" s="61">
        <f>'TUSD BE'!$P$36*'TUSD BF'!$P$61</f>
        <v>0</v>
      </c>
      <c r="Q36" s="61">
        <f>'TUSD BE'!$Q$36*'TUSD BF'!$Q$61</f>
        <v>11.080027836901019</v>
      </c>
      <c r="R36" s="61">
        <f>'TUSD BE'!$R$36*'TUSD BF'!$R$61</f>
        <v>2.8235306721162976</v>
      </c>
      <c r="S36" s="61">
        <f>'TUSD BE'!$R$36*'TUSD BF'!$S$61</f>
        <v>0</v>
      </c>
      <c r="T36" s="61">
        <f ca="1">SUM($L$36:$S$36)</f>
        <v>14.125954903289664</v>
      </c>
      <c r="U36" s="61">
        <f>'TUSD BE'!$U$36*'TUSD BF'!$U$61</f>
        <v>0</v>
      </c>
      <c r="V36" s="61">
        <f>'TUSD BE'!$V$36*'TUSD BF'!$V$61</f>
        <v>0</v>
      </c>
      <c r="W36" s="61">
        <f>'TUSD BE'!$W$36*'TUSD BF'!$W$61</f>
        <v>0</v>
      </c>
      <c r="X36" s="61">
        <f>'TUSD BE'!$X$36*'TUSD BF'!$X$61</f>
        <v>0</v>
      </c>
      <c r="Y36" s="61">
        <f>'TUSD BE'!$Y$36*'TUSD BF'!$Y$61</f>
        <v>0</v>
      </c>
      <c r="Z36" s="61">
        <f>'TUSD BE'!$Z$36*'TUSD BF'!$Z$61</f>
        <v>0</v>
      </c>
      <c r="AA36" s="61">
        <f>'TUSD BE'!$AA$36*'TUSD BF'!$AA$61</f>
        <v>0</v>
      </c>
      <c r="AB36" s="61">
        <f>SUM($U$36:$AA$36)</f>
        <v>0</v>
      </c>
      <c r="AC36" s="61">
        <f>'TUSD BE'!$AC$36*'TUSD BF'!$AC$61</f>
        <v>0</v>
      </c>
      <c r="AD36" s="61">
        <f>SUM($AC$36:$AC$36)</f>
        <v>0</v>
      </c>
      <c r="AE36" s="61">
        <f ca="1">$AO$36*$AO$58</f>
        <v>0</v>
      </c>
      <c r="AF36" s="61">
        <f ca="1">$AP$36*$AP$58</f>
        <v>0</v>
      </c>
      <c r="AG36" s="61">
        <f ca="1">SUM($AE$36:$AF$36)</f>
        <v>0</v>
      </c>
      <c r="AH36" s="61">
        <f>'TUSD BE'!$AH$36*'TUSD BF'!$AH$61</f>
        <v>2.286801736758258</v>
      </c>
      <c r="AI36" s="61">
        <f>'TUSD BE'!$AI$36*'TUSD BF'!$AI$61</f>
        <v>2.3387613658480699E-2</v>
      </c>
      <c r="AJ36" s="61">
        <f ca="1">'TUSD BE'!$AJ$36*'TUSD BF'!$AJ$61</f>
        <v>8.5965855482137421E-2</v>
      </c>
      <c r="AK36" s="61">
        <f ca="1">'TUSD BE'!$AK$36*'TUSD BF'!$AK$61</f>
        <v>0</v>
      </c>
      <c r="AL36" s="61">
        <f ca="1">SUM($AH$36:$AK$36)</f>
        <v>2.396155205898876</v>
      </c>
      <c r="AM36" s="61">
        <f ca="1">SUMIF($L$4:$AL$4,"SUBTOTAL",$L$36:$AL$36)</f>
        <v>16.522110109188539</v>
      </c>
      <c r="AO36" s="68">
        <f ca="1">+'TUSD BE'!$T$36+'TUSD BE'!$AB$36+'TUSD BE'!$AD$36+'TUSD BE'!$AL$36</f>
        <v>502.42322646964709</v>
      </c>
      <c r="AP36" s="68">
        <f ca="1">+'TUSD BE'!$T$36+'TUSD BE'!$AB$36+'TUSD BE'!$AD$36+'TUSD BE'!$AL$36</f>
        <v>502.42322646964709</v>
      </c>
    </row>
    <row r="37" spans="1:42" ht="11.25" customHeight="1" x14ac:dyDescent="0.3">
      <c r="A37" s="132"/>
      <c r="B37" s="132" t="s">
        <v>33</v>
      </c>
      <c r="C37" s="132" t="s">
        <v>43</v>
      </c>
      <c r="D37" s="132" t="s">
        <v>96</v>
      </c>
      <c r="E37" s="132" t="s">
        <v>25</v>
      </c>
      <c r="F37" s="132" t="s">
        <v>25</v>
      </c>
      <c r="G37" s="66" t="s">
        <v>77</v>
      </c>
      <c r="H37" s="66" t="s">
        <v>76</v>
      </c>
      <c r="I37" s="66">
        <f>'MERCADO TUSD'!$U$34</f>
        <v>0</v>
      </c>
      <c r="J37" s="15"/>
      <c r="L37" s="61">
        <f>'TUSD BE'!$L$37*'TUSD BF'!$L$61</f>
        <v>0.22239639427234734</v>
      </c>
      <c r="M37" s="61">
        <f>'TUSD BE'!$M$37*'TUSD BF'!$M$61</f>
        <v>0</v>
      </c>
      <c r="N37" s="61">
        <f ca="1">'TUSD BE'!$N$37*'TUSD BF'!$N$61</f>
        <v>0</v>
      </c>
      <c r="O37" s="61">
        <f>'TUSD BE'!$O$37*'TUSD BF'!$O$61</f>
        <v>0</v>
      </c>
      <c r="P37" s="61">
        <f>'TUSD BE'!$P$37*'TUSD BF'!$P$61</f>
        <v>0</v>
      </c>
      <c r="Q37" s="61">
        <f>'TUSD BE'!$Q$37*'TUSD BF'!$Q$61</f>
        <v>11.080027836901019</v>
      </c>
      <c r="R37" s="61">
        <f>'TUSD BE'!$R$37*'TUSD BF'!$R$61</f>
        <v>2.8235306721162976</v>
      </c>
      <c r="S37" s="61">
        <f>'TUSD BE'!$R$37*'TUSD BF'!$S$61</f>
        <v>0</v>
      </c>
      <c r="T37" s="61">
        <f ca="1">SUM($L$37:$S$37)</f>
        <v>14.125954903289664</v>
      </c>
      <c r="U37" s="61">
        <f>'TUSD BE'!$U$37*'TUSD BF'!$U$61</f>
        <v>0</v>
      </c>
      <c r="V37" s="61">
        <f>'TUSD BE'!$V$37*'TUSD BF'!$V$61</f>
        <v>0</v>
      </c>
      <c r="W37" s="61">
        <f>'TUSD BE'!$W$37*'TUSD BF'!$W$61</f>
        <v>0</v>
      </c>
      <c r="X37" s="61">
        <f>'TUSD BE'!$X$37*'TUSD BF'!$X$61</f>
        <v>0</v>
      </c>
      <c r="Y37" s="61">
        <f>'TUSD BE'!$Y$37*'TUSD BF'!$Y$61</f>
        <v>0</v>
      </c>
      <c r="Z37" s="61">
        <f>'TUSD BE'!$Z$37*'TUSD BF'!$Z$61</f>
        <v>0</v>
      </c>
      <c r="AA37" s="61">
        <f>'TUSD BE'!$AA$37*'TUSD BF'!$AA$61</f>
        <v>0</v>
      </c>
      <c r="AB37" s="61">
        <f>SUM($U$37:$AA$37)</f>
        <v>0</v>
      </c>
      <c r="AC37" s="61">
        <f>'TUSD BE'!$AC$37*'TUSD BF'!$AC$61</f>
        <v>0</v>
      </c>
      <c r="AD37" s="61">
        <f>SUM($AC$37:$AC$37)</f>
        <v>0</v>
      </c>
      <c r="AE37" s="61">
        <f ca="1">$AO$37*$AO$58</f>
        <v>0</v>
      </c>
      <c r="AF37" s="61">
        <f ca="1">$AP$37*$AP$58</f>
        <v>0</v>
      </c>
      <c r="AG37" s="61">
        <f ca="1">SUM($AE$37:$AF$37)</f>
        <v>0</v>
      </c>
      <c r="AH37" s="61">
        <f>'TUSD BE'!$AH$37*'TUSD BF'!$AH$61</f>
        <v>2.286801736758258</v>
      </c>
      <c r="AI37" s="61">
        <f>'TUSD BE'!$AI$37*'TUSD BF'!$AI$61</f>
        <v>2.3387613658480699E-2</v>
      </c>
      <c r="AJ37" s="61">
        <f ca="1">'TUSD BE'!$AJ$37*'TUSD BF'!$AJ$61</f>
        <v>8.5965855482137421E-2</v>
      </c>
      <c r="AK37" s="61">
        <f ca="1">'TUSD BE'!$AK$37*'TUSD BF'!$AK$61</f>
        <v>0</v>
      </c>
      <c r="AL37" s="61">
        <f ca="1">SUM($AH$37:$AK$37)</f>
        <v>2.396155205898876</v>
      </c>
      <c r="AM37" s="61">
        <f ca="1">SUMIF($L$4:$AL$4,"SUBTOTAL",$L$37:$AL$37)</f>
        <v>16.522110109188539</v>
      </c>
      <c r="AO37" s="68">
        <f ca="1">+'TUSD BE'!$T$37+'TUSD BE'!$AB$37+'TUSD BE'!$AD$37+'TUSD BE'!$AL$37</f>
        <v>1297.3348525722788</v>
      </c>
      <c r="AP37" s="68">
        <f ca="1">+'TUSD BE'!$T$37+'TUSD BE'!$AB$37+'TUSD BE'!$AD$37+'TUSD BE'!$AL$37</f>
        <v>1297.3348525722788</v>
      </c>
    </row>
    <row r="38" spans="1:42" ht="11.25" customHeight="1" x14ac:dyDescent="0.3">
      <c r="A38" s="132"/>
      <c r="B38" s="132"/>
      <c r="C38" s="132"/>
      <c r="D38" s="132"/>
      <c r="E38" s="132"/>
      <c r="F38" s="132"/>
      <c r="G38" s="66" t="s">
        <v>93</v>
      </c>
      <c r="H38" s="66" t="s">
        <v>76</v>
      </c>
      <c r="I38" s="66">
        <f>'MERCADO TUSD'!$U$35</f>
        <v>0</v>
      </c>
      <c r="J38" s="15"/>
      <c r="L38" s="61">
        <f>'TUSD BE'!$L$38*'TUSD BF'!$L$61</f>
        <v>0.22239639427234734</v>
      </c>
      <c r="M38" s="61">
        <f>'TUSD BE'!$M$38*'TUSD BF'!$M$61</f>
        <v>0</v>
      </c>
      <c r="N38" s="61">
        <f ca="1">'TUSD BE'!$N$38*'TUSD BF'!$N$61</f>
        <v>0</v>
      </c>
      <c r="O38" s="61">
        <f>'TUSD BE'!$O$38*'TUSD BF'!$O$61</f>
        <v>0</v>
      </c>
      <c r="P38" s="61">
        <f>'TUSD BE'!$P$38*'TUSD BF'!$P$61</f>
        <v>0</v>
      </c>
      <c r="Q38" s="61">
        <f>'TUSD BE'!$Q$38*'TUSD BF'!$Q$61</f>
        <v>11.080027836901019</v>
      </c>
      <c r="R38" s="61">
        <f>'TUSD BE'!$R$38*'TUSD BF'!$R$61</f>
        <v>2.8235306721162976</v>
      </c>
      <c r="S38" s="61">
        <f>'TUSD BE'!$R$38*'TUSD BF'!$S$61</f>
        <v>0</v>
      </c>
      <c r="T38" s="61">
        <f ca="1">SUM($L$38:$S$38)</f>
        <v>14.125954903289664</v>
      </c>
      <c r="U38" s="61">
        <f>'TUSD BE'!$U$38*'TUSD BF'!$U$61</f>
        <v>0</v>
      </c>
      <c r="V38" s="61">
        <f>'TUSD BE'!$V$38*'TUSD BF'!$V$61</f>
        <v>0</v>
      </c>
      <c r="W38" s="61">
        <f>'TUSD BE'!$W$38*'TUSD BF'!$W$61</f>
        <v>0</v>
      </c>
      <c r="X38" s="61">
        <f>'TUSD BE'!$X$38*'TUSD BF'!$X$61</f>
        <v>0</v>
      </c>
      <c r="Y38" s="61">
        <f>'TUSD BE'!$Y$38*'TUSD BF'!$Y$61</f>
        <v>0</v>
      </c>
      <c r="Z38" s="61">
        <f>'TUSD BE'!$Z$38*'TUSD BF'!$Z$61</f>
        <v>0</v>
      </c>
      <c r="AA38" s="61">
        <f>'TUSD BE'!$AA$38*'TUSD BF'!$AA$61</f>
        <v>0</v>
      </c>
      <c r="AB38" s="61">
        <f>SUM($U$38:$AA$38)</f>
        <v>0</v>
      </c>
      <c r="AC38" s="61">
        <f>'TUSD BE'!$AC$38*'TUSD BF'!$AC$61</f>
        <v>0</v>
      </c>
      <c r="AD38" s="61">
        <f>SUM($AC$38:$AC$38)</f>
        <v>0</v>
      </c>
      <c r="AE38" s="61">
        <f ca="1">$AO$38*$AO$58</f>
        <v>0</v>
      </c>
      <c r="AF38" s="61">
        <f ca="1">$AP$38*$AP$58</f>
        <v>0</v>
      </c>
      <c r="AG38" s="61">
        <f ca="1">SUM($AE$38:$AF$38)</f>
        <v>0</v>
      </c>
      <c r="AH38" s="61">
        <f>'TUSD BE'!$AH$38*'TUSD BF'!$AH$61</f>
        <v>2.286801736758258</v>
      </c>
      <c r="AI38" s="61">
        <f>'TUSD BE'!$AI$38*'TUSD BF'!$AI$61</f>
        <v>2.3387613658480699E-2</v>
      </c>
      <c r="AJ38" s="61">
        <f ca="1">'TUSD BE'!$AJ$38*'TUSD BF'!$AJ$61</f>
        <v>8.5965855482137421E-2</v>
      </c>
      <c r="AK38" s="61">
        <f ca="1">'TUSD BE'!$AK$38*'TUSD BF'!$AK$61</f>
        <v>0</v>
      </c>
      <c r="AL38" s="61">
        <f ca="1">SUM($AH$38:$AK$38)</f>
        <v>2.396155205898876</v>
      </c>
      <c r="AM38" s="61">
        <f ca="1">SUMIF($L$4:$AL$4,"SUBTOTAL",$L$38:$AL$38)</f>
        <v>16.522110109188539</v>
      </c>
      <c r="AO38" s="68">
        <f ca="1">+'TUSD BE'!$T$38+'TUSD BE'!$AB$38+'TUSD BE'!$AD$38+'TUSD BE'!$AL$38</f>
        <v>831.47961453036407</v>
      </c>
      <c r="AP38" s="68">
        <f ca="1">+'TUSD BE'!$T$38+'TUSD BE'!$AB$38+'TUSD BE'!$AD$38+'TUSD BE'!$AL$38</f>
        <v>831.47961453036407</v>
      </c>
    </row>
    <row r="39" spans="1:42" ht="11.25" customHeight="1" x14ac:dyDescent="0.3">
      <c r="A39" s="132"/>
      <c r="B39" s="132"/>
      <c r="C39" s="132"/>
      <c r="D39" s="132"/>
      <c r="E39" s="132"/>
      <c r="F39" s="132"/>
      <c r="G39" s="66" t="s">
        <v>78</v>
      </c>
      <c r="H39" s="66" t="s">
        <v>76</v>
      </c>
      <c r="I39" s="66">
        <f>'MERCADO TUSD'!$U$36</f>
        <v>0</v>
      </c>
      <c r="J39" s="15"/>
      <c r="L39" s="61">
        <f>'TUSD BE'!$L$39*'TUSD BF'!$L$61</f>
        <v>0.22239639427234734</v>
      </c>
      <c r="M39" s="61">
        <f>'TUSD BE'!$M$39*'TUSD BF'!$M$61</f>
        <v>0</v>
      </c>
      <c r="N39" s="61">
        <f ca="1">'TUSD BE'!$N$39*'TUSD BF'!$N$61</f>
        <v>0</v>
      </c>
      <c r="O39" s="61">
        <f>'TUSD BE'!$O$39*'TUSD BF'!$O$61</f>
        <v>0</v>
      </c>
      <c r="P39" s="61">
        <f>'TUSD BE'!$P$39*'TUSD BF'!$P$61</f>
        <v>0</v>
      </c>
      <c r="Q39" s="61">
        <f>'TUSD BE'!$Q$39*'TUSD BF'!$Q$61</f>
        <v>11.080027836901019</v>
      </c>
      <c r="R39" s="61">
        <f>'TUSD BE'!$R$39*'TUSD BF'!$R$61</f>
        <v>2.8235306721162976</v>
      </c>
      <c r="S39" s="61">
        <f>'TUSD BE'!$R$39*'TUSD BF'!$S$61</f>
        <v>0</v>
      </c>
      <c r="T39" s="61">
        <f ca="1">SUM($L$39:$S$39)</f>
        <v>14.125954903289664</v>
      </c>
      <c r="U39" s="61">
        <f>'TUSD BE'!$U$39*'TUSD BF'!$U$61</f>
        <v>0</v>
      </c>
      <c r="V39" s="61">
        <f>'TUSD BE'!$V$39*'TUSD BF'!$V$61</f>
        <v>0</v>
      </c>
      <c r="W39" s="61">
        <f>'TUSD BE'!$W$39*'TUSD BF'!$W$61</f>
        <v>0</v>
      </c>
      <c r="X39" s="61">
        <f>'TUSD BE'!$X$39*'TUSD BF'!$X$61</f>
        <v>0</v>
      </c>
      <c r="Y39" s="61">
        <f>'TUSD BE'!$Y$39*'TUSD BF'!$Y$61</f>
        <v>0</v>
      </c>
      <c r="Z39" s="61">
        <f>'TUSD BE'!$Z$39*'TUSD BF'!$Z$61</f>
        <v>0</v>
      </c>
      <c r="AA39" s="61">
        <f>'TUSD BE'!$AA$39*'TUSD BF'!$AA$61</f>
        <v>0</v>
      </c>
      <c r="AB39" s="61">
        <f>SUM($U$39:$AA$39)</f>
        <v>0</v>
      </c>
      <c r="AC39" s="61">
        <f>'TUSD BE'!$AC$39*'TUSD BF'!$AC$61</f>
        <v>0</v>
      </c>
      <c r="AD39" s="61">
        <f>SUM($AC$39:$AC$39)</f>
        <v>0</v>
      </c>
      <c r="AE39" s="61">
        <f ca="1">$AO$39*$AO$58</f>
        <v>0</v>
      </c>
      <c r="AF39" s="61">
        <f ca="1">$AP$39*$AP$58</f>
        <v>0</v>
      </c>
      <c r="AG39" s="61">
        <f ca="1">SUM($AE$39:$AF$39)</f>
        <v>0</v>
      </c>
      <c r="AH39" s="61">
        <f>'TUSD BE'!$AH$39*'TUSD BF'!$AH$61</f>
        <v>2.286801736758258</v>
      </c>
      <c r="AI39" s="61">
        <f>'TUSD BE'!$AI$39*'TUSD BF'!$AI$61</f>
        <v>2.3387613658480699E-2</v>
      </c>
      <c r="AJ39" s="61">
        <f ca="1">'TUSD BE'!$AJ$39*'TUSD BF'!$AJ$61</f>
        <v>8.5965855482137421E-2</v>
      </c>
      <c r="AK39" s="61">
        <f ca="1">'TUSD BE'!$AK$39*'TUSD BF'!$AK$61</f>
        <v>0</v>
      </c>
      <c r="AL39" s="61">
        <f ca="1">SUM($AH$39:$AK$39)</f>
        <v>2.396155205898876</v>
      </c>
      <c r="AM39" s="61">
        <f ca="1">SUMIF($L$4:$AL$4,"SUBTOTAL",$L$39:$AL$39)</f>
        <v>16.522110109188539</v>
      </c>
      <c r="AO39" s="68">
        <f ca="1">+'TUSD BE'!$T$39+'TUSD BE'!$AB$39+'TUSD BE'!$AD$39+'TUSD BE'!$AL$39</f>
        <v>365.62448600736451</v>
      </c>
      <c r="AP39" s="68">
        <f ca="1">+'TUSD BE'!$T$39+'TUSD BE'!$AB$39+'TUSD BE'!$AD$39+'TUSD BE'!$AL$39</f>
        <v>365.62448600736451</v>
      </c>
    </row>
    <row r="40" spans="1:42" ht="11.25" customHeight="1" x14ac:dyDescent="0.3">
      <c r="A40" s="132"/>
      <c r="B40" s="65" t="s">
        <v>23</v>
      </c>
      <c r="C40" s="65" t="s">
        <v>43</v>
      </c>
      <c r="D40" s="65" t="s">
        <v>96</v>
      </c>
      <c r="E40" s="65" t="s">
        <v>25</v>
      </c>
      <c r="F40" s="65" t="s">
        <v>25</v>
      </c>
      <c r="G40" s="66" t="s">
        <v>81</v>
      </c>
      <c r="H40" s="66" t="s">
        <v>76</v>
      </c>
      <c r="I40" s="66">
        <f>'MERCADO TUSD'!$U$37</f>
        <v>0</v>
      </c>
      <c r="J40" s="15"/>
      <c r="L40" s="61">
        <f>'TUSD BE'!$L$40*'TUSD BF'!$L$61</f>
        <v>0.22239639427234734</v>
      </c>
      <c r="M40" s="61">
        <f>'TUSD BE'!$M$40*'TUSD BF'!$M$61</f>
        <v>0</v>
      </c>
      <c r="N40" s="61">
        <f ca="1">'TUSD BE'!$N$40*'TUSD BF'!$N$61</f>
        <v>0</v>
      </c>
      <c r="O40" s="61">
        <f>'TUSD BE'!$O$40*'TUSD BF'!$O$61</f>
        <v>0</v>
      </c>
      <c r="P40" s="61">
        <f>'TUSD BE'!$P$40*'TUSD BF'!$P$61</f>
        <v>0</v>
      </c>
      <c r="Q40" s="61">
        <f>'TUSD BE'!$Q$40*'TUSD BF'!$Q$61</f>
        <v>11.080027836901019</v>
      </c>
      <c r="R40" s="61">
        <f>'TUSD BE'!$R$40*'TUSD BF'!$R$61</f>
        <v>2.8235306721162976</v>
      </c>
      <c r="S40" s="61">
        <f>'TUSD BE'!$R$40*'TUSD BF'!$S$61</f>
        <v>0</v>
      </c>
      <c r="T40" s="61">
        <f ca="1">SUM($L$40:$S$40)</f>
        <v>14.125954903289664</v>
      </c>
      <c r="U40" s="61">
        <f>'TUSD BE'!$U$40*'TUSD BF'!$U$61</f>
        <v>0</v>
      </c>
      <c r="V40" s="61">
        <f>'TUSD BE'!$V$40*'TUSD BF'!$V$61</f>
        <v>0</v>
      </c>
      <c r="W40" s="61">
        <f>'TUSD BE'!$W$40*'TUSD BF'!$W$61</f>
        <v>0</v>
      </c>
      <c r="X40" s="61">
        <f>'TUSD BE'!$X$40*'TUSD BF'!$X$61</f>
        <v>0</v>
      </c>
      <c r="Y40" s="61">
        <f>'TUSD BE'!$Y$40*'TUSD BF'!$Y$61</f>
        <v>0</v>
      </c>
      <c r="Z40" s="61">
        <f>'TUSD BE'!$Z$40*'TUSD BF'!$Z$61</f>
        <v>0</v>
      </c>
      <c r="AA40" s="61">
        <f>'TUSD BE'!$AA$40*'TUSD BF'!$AA$61</f>
        <v>0</v>
      </c>
      <c r="AB40" s="61">
        <f>SUM($U$40:$AA$40)</f>
        <v>0</v>
      </c>
      <c r="AC40" s="61">
        <f>'TUSD BE'!$AC$40*'TUSD BF'!$AC$61</f>
        <v>0</v>
      </c>
      <c r="AD40" s="61">
        <f>SUM($AC$40:$AC$40)</f>
        <v>0</v>
      </c>
      <c r="AE40" s="61">
        <f ca="1">$AO$40*$AO$58</f>
        <v>0</v>
      </c>
      <c r="AF40" s="61">
        <f ca="1">$AP$40*$AP$58</f>
        <v>0</v>
      </c>
      <c r="AG40" s="61">
        <f ca="1">SUM($AE$40:$AF$40)</f>
        <v>0</v>
      </c>
      <c r="AH40" s="61">
        <f>'TUSD BE'!$AH$40*'TUSD BF'!$AH$61</f>
        <v>2.286801736758258</v>
      </c>
      <c r="AI40" s="61">
        <f>'TUSD BE'!$AI$40*'TUSD BF'!$AI$61</f>
        <v>2.3387613658480699E-2</v>
      </c>
      <c r="AJ40" s="61">
        <f ca="1">'TUSD BE'!$AJ$40*'TUSD BF'!$AJ$61</f>
        <v>8.5965855482137421E-2</v>
      </c>
      <c r="AK40" s="61">
        <f ca="1">'TUSD BE'!$AK$40*'TUSD BF'!$AK$61</f>
        <v>0</v>
      </c>
      <c r="AL40" s="61">
        <f ca="1">SUM($AH$40:$AK$40)</f>
        <v>2.396155205898876</v>
      </c>
      <c r="AM40" s="61">
        <f ca="1">SUMIF($L$4:$AL$4,"SUBTOTAL",$L$40:$AL$40)</f>
        <v>16.522110109188539</v>
      </c>
      <c r="AO40" s="68">
        <f ca="1">+'TUSD BE'!$T$40+'TUSD BE'!$AB$40+'TUSD BE'!$AD$40+'TUSD BE'!$AL$40</f>
        <v>502.42322646964709</v>
      </c>
      <c r="AP40" s="68">
        <f ca="1">+'TUSD BE'!$T$40+'TUSD BE'!$AB$40+'TUSD BE'!$AD$40+'TUSD BE'!$AL$40</f>
        <v>502.42322646964709</v>
      </c>
    </row>
    <row r="41" spans="1:42" ht="11.25" customHeight="1" x14ac:dyDescent="0.3">
      <c r="A41" s="132"/>
      <c r="B41" s="132" t="s">
        <v>33</v>
      </c>
      <c r="C41" s="132" t="s">
        <v>43</v>
      </c>
      <c r="D41" s="132" t="s">
        <v>97</v>
      </c>
      <c r="E41" s="132" t="s">
        <v>25</v>
      </c>
      <c r="F41" s="132" t="s">
        <v>25</v>
      </c>
      <c r="G41" s="66" t="s">
        <v>77</v>
      </c>
      <c r="H41" s="66" t="s">
        <v>76</v>
      </c>
      <c r="I41" s="66">
        <f>'MERCADO TUSD'!$U$38</f>
        <v>0</v>
      </c>
      <c r="J41" s="15"/>
      <c r="L41" s="61">
        <f>'TUSD BE'!$L$41*'TUSD BF'!$L$61</f>
        <v>0.22239639427234734</v>
      </c>
      <c r="M41" s="61">
        <f>'TUSD BE'!$M$41*'TUSD BF'!$M$61</f>
        <v>0</v>
      </c>
      <c r="N41" s="61">
        <f ca="1">'TUSD BE'!$N$41*'TUSD BF'!$N$61</f>
        <v>0</v>
      </c>
      <c r="O41" s="61">
        <f>'TUSD BE'!$O$41*'TUSD BF'!$O$61</f>
        <v>0</v>
      </c>
      <c r="P41" s="61">
        <f>'TUSD BE'!$P$41*'TUSD BF'!$P$61</f>
        <v>0</v>
      </c>
      <c r="Q41" s="61">
        <f>'TUSD BE'!$Q$41*'TUSD BF'!$Q$61</f>
        <v>11.080027836901019</v>
      </c>
      <c r="R41" s="61">
        <f>'TUSD BE'!$R$41*'TUSD BF'!$R$61</f>
        <v>2.8235306721162976</v>
      </c>
      <c r="S41" s="61">
        <f>'TUSD BE'!$R$41*'TUSD BF'!$S$61</f>
        <v>0</v>
      </c>
      <c r="T41" s="61">
        <f ca="1">SUM($L$41:$S$41)</f>
        <v>14.125954903289664</v>
      </c>
      <c r="U41" s="61">
        <f>'TUSD BE'!$U$41*'TUSD BF'!$U$61</f>
        <v>0</v>
      </c>
      <c r="V41" s="61">
        <f>'TUSD BE'!$V$41*'TUSD BF'!$V$61</f>
        <v>0</v>
      </c>
      <c r="W41" s="61">
        <f>'TUSD BE'!$W$41*'TUSD BF'!$W$61</f>
        <v>0</v>
      </c>
      <c r="X41" s="61">
        <f>'TUSD BE'!$X$41*'TUSD BF'!$X$61</f>
        <v>0</v>
      </c>
      <c r="Y41" s="61">
        <f>'TUSD BE'!$Y$41*'TUSD BF'!$Y$61</f>
        <v>0</v>
      </c>
      <c r="Z41" s="61">
        <f>'TUSD BE'!$Z$41*'TUSD BF'!$Z$61</f>
        <v>0</v>
      </c>
      <c r="AA41" s="61">
        <f>'TUSD BE'!$AA$41*'TUSD BF'!$AA$61</f>
        <v>0</v>
      </c>
      <c r="AB41" s="61">
        <f>SUM($U$41:$AA$41)</f>
        <v>0</v>
      </c>
      <c r="AC41" s="61">
        <f>'TUSD BE'!$AC$41*'TUSD BF'!$AC$61</f>
        <v>0</v>
      </c>
      <c r="AD41" s="61">
        <f>SUM($AC$41:$AC$41)</f>
        <v>0</v>
      </c>
      <c r="AE41" s="61">
        <f ca="1">$AO$41*$AO$58</f>
        <v>0</v>
      </c>
      <c r="AF41" s="61">
        <f ca="1">$AP$41*$AP$58</f>
        <v>0</v>
      </c>
      <c r="AG41" s="61">
        <f ca="1">SUM($AE$41:$AF$41)</f>
        <v>0</v>
      </c>
      <c r="AH41" s="61">
        <f>'TUSD BE'!$AH$41*'TUSD BF'!$AH$61</f>
        <v>2.286801736758258</v>
      </c>
      <c r="AI41" s="61">
        <f>'TUSD BE'!$AI$41*'TUSD BF'!$AI$61</f>
        <v>2.3387613658480699E-2</v>
      </c>
      <c r="AJ41" s="61">
        <f ca="1">'TUSD BE'!$AJ$41*'TUSD BF'!$AJ$61</f>
        <v>8.5965855482137421E-2</v>
      </c>
      <c r="AK41" s="61">
        <f ca="1">'TUSD BE'!$AK$41*'TUSD BF'!$AK$61</f>
        <v>0</v>
      </c>
      <c r="AL41" s="61">
        <f ca="1">SUM($AH$41:$AK$41)</f>
        <v>2.396155205898876</v>
      </c>
      <c r="AM41" s="61">
        <f ca="1">SUMIF($L$4:$AL$4,"SUBTOTAL",$L$41:$AL$41)</f>
        <v>16.522110109188539</v>
      </c>
      <c r="AO41" s="68">
        <f ca="1">+'TUSD BE'!$T$41+'TUSD BE'!$AB$41+'TUSD BE'!$AD$41+'TUSD BE'!$AL$41</f>
        <v>1297.3348525722788</v>
      </c>
      <c r="AP41" s="68">
        <f ca="1">+'TUSD BE'!$T$41+'TUSD BE'!$AB$41+'TUSD BE'!$AD$41+'TUSD BE'!$AL$41</f>
        <v>1297.3348525722788</v>
      </c>
    </row>
    <row r="42" spans="1:42" ht="11.25" customHeight="1" x14ac:dyDescent="0.3">
      <c r="A42" s="132"/>
      <c r="B42" s="132"/>
      <c r="C42" s="132"/>
      <c r="D42" s="132"/>
      <c r="E42" s="132"/>
      <c r="F42" s="132"/>
      <c r="G42" s="66" t="s">
        <v>93</v>
      </c>
      <c r="H42" s="66" t="s">
        <v>76</v>
      </c>
      <c r="I42" s="66">
        <f>'MERCADO TUSD'!$U$39</f>
        <v>0</v>
      </c>
      <c r="J42" s="15"/>
      <c r="L42" s="61">
        <f>'TUSD BE'!$L$42*'TUSD BF'!$L$61</f>
        <v>0.22239639427234734</v>
      </c>
      <c r="M42" s="61">
        <f>'TUSD BE'!$M$42*'TUSD BF'!$M$61</f>
        <v>0</v>
      </c>
      <c r="N42" s="61">
        <f ca="1">'TUSD BE'!$N$42*'TUSD BF'!$N$61</f>
        <v>0</v>
      </c>
      <c r="O42" s="61">
        <f>'TUSD BE'!$O$42*'TUSD BF'!$O$61</f>
        <v>0</v>
      </c>
      <c r="P42" s="61">
        <f>'TUSD BE'!$P$42*'TUSD BF'!$P$61</f>
        <v>0</v>
      </c>
      <c r="Q42" s="61">
        <f>'TUSD BE'!$Q$42*'TUSD BF'!$Q$61</f>
        <v>11.080027836901019</v>
      </c>
      <c r="R42" s="61">
        <f>'TUSD BE'!$R$42*'TUSD BF'!$R$61</f>
        <v>2.8235306721162976</v>
      </c>
      <c r="S42" s="61">
        <f>'TUSD BE'!$R$42*'TUSD BF'!$S$61</f>
        <v>0</v>
      </c>
      <c r="T42" s="61">
        <f ca="1">SUM($L$42:$S$42)</f>
        <v>14.125954903289664</v>
      </c>
      <c r="U42" s="61">
        <f>'TUSD BE'!$U$42*'TUSD BF'!$U$61</f>
        <v>0</v>
      </c>
      <c r="V42" s="61">
        <f>'TUSD BE'!$V$42*'TUSD BF'!$V$61</f>
        <v>0</v>
      </c>
      <c r="W42" s="61">
        <f>'TUSD BE'!$W$42*'TUSD BF'!$W$61</f>
        <v>0</v>
      </c>
      <c r="X42" s="61">
        <f>'TUSD BE'!$X$42*'TUSD BF'!$X$61</f>
        <v>0</v>
      </c>
      <c r="Y42" s="61">
        <f>'TUSD BE'!$Y$42*'TUSD BF'!$Y$61</f>
        <v>0</v>
      </c>
      <c r="Z42" s="61">
        <f>'TUSD BE'!$Z$42*'TUSD BF'!$Z$61</f>
        <v>0</v>
      </c>
      <c r="AA42" s="61">
        <f>'TUSD BE'!$AA$42*'TUSD BF'!$AA$61</f>
        <v>0</v>
      </c>
      <c r="AB42" s="61">
        <f>SUM($U$42:$AA$42)</f>
        <v>0</v>
      </c>
      <c r="AC42" s="61">
        <f>'TUSD BE'!$AC$42*'TUSD BF'!$AC$61</f>
        <v>0</v>
      </c>
      <c r="AD42" s="61">
        <f>SUM($AC$42:$AC$42)</f>
        <v>0</v>
      </c>
      <c r="AE42" s="61">
        <f ca="1">$AO$42*$AO$58</f>
        <v>0</v>
      </c>
      <c r="AF42" s="61">
        <f ca="1">$AP$42*$AP$58</f>
        <v>0</v>
      </c>
      <c r="AG42" s="61">
        <f ca="1">SUM($AE$42:$AF$42)</f>
        <v>0</v>
      </c>
      <c r="AH42" s="61">
        <f>'TUSD BE'!$AH$42*'TUSD BF'!$AH$61</f>
        <v>2.286801736758258</v>
      </c>
      <c r="AI42" s="61">
        <f>'TUSD BE'!$AI$42*'TUSD BF'!$AI$61</f>
        <v>2.3387613658480699E-2</v>
      </c>
      <c r="AJ42" s="61">
        <f ca="1">'TUSD BE'!$AJ$42*'TUSD BF'!$AJ$61</f>
        <v>8.5965855482137421E-2</v>
      </c>
      <c r="AK42" s="61">
        <f ca="1">'TUSD BE'!$AK$42*'TUSD BF'!$AK$61</f>
        <v>0</v>
      </c>
      <c r="AL42" s="61">
        <f ca="1">SUM($AH$42:$AK$42)</f>
        <v>2.396155205898876</v>
      </c>
      <c r="AM42" s="61">
        <f ca="1">SUMIF($L$4:$AL$4,"SUBTOTAL",$L$42:$AL$42)</f>
        <v>16.522110109188539</v>
      </c>
      <c r="AO42" s="68">
        <f ca="1">+'TUSD BE'!$T$42+'TUSD BE'!$AB$42+'TUSD BE'!$AD$42+'TUSD BE'!$AL$42</f>
        <v>831.47961453036407</v>
      </c>
      <c r="AP42" s="68">
        <f ca="1">+'TUSD BE'!$T$42+'TUSD BE'!$AB$42+'TUSD BE'!$AD$42+'TUSD BE'!$AL$42</f>
        <v>831.47961453036407</v>
      </c>
    </row>
    <row r="43" spans="1:42" ht="11.25" customHeight="1" x14ac:dyDescent="0.3">
      <c r="A43" s="132"/>
      <c r="B43" s="132"/>
      <c r="C43" s="132"/>
      <c r="D43" s="132"/>
      <c r="E43" s="132"/>
      <c r="F43" s="132"/>
      <c r="G43" s="66" t="s">
        <v>78</v>
      </c>
      <c r="H43" s="66" t="s">
        <v>76</v>
      </c>
      <c r="I43" s="66">
        <f>'MERCADO TUSD'!$U$40</f>
        <v>0</v>
      </c>
      <c r="J43" s="15"/>
      <c r="L43" s="61">
        <f>'TUSD BE'!$L$43*'TUSD BF'!$L$61</f>
        <v>0.22239639427234734</v>
      </c>
      <c r="M43" s="61">
        <f>'TUSD BE'!$M$43*'TUSD BF'!$M$61</f>
        <v>0</v>
      </c>
      <c r="N43" s="61">
        <f ca="1">'TUSD BE'!$N$43*'TUSD BF'!$N$61</f>
        <v>0</v>
      </c>
      <c r="O43" s="61">
        <f>'TUSD BE'!$O$43*'TUSD BF'!$O$61</f>
        <v>0</v>
      </c>
      <c r="P43" s="61">
        <f>'TUSD BE'!$P$43*'TUSD BF'!$P$61</f>
        <v>0</v>
      </c>
      <c r="Q43" s="61">
        <f>'TUSD BE'!$Q$43*'TUSD BF'!$Q$61</f>
        <v>11.080027836901019</v>
      </c>
      <c r="R43" s="61">
        <f>'TUSD BE'!$R$43*'TUSD BF'!$R$61</f>
        <v>2.8235306721162976</v>
      </c>
      <c r="S43" s="61">
        <f>'TUSD BE'!$R$43*'TUSD BF'!$S$61</f>
        <v>0</v>
      </c>
      <c r="T43" s="61">
        <f ca="1">SUM($L$43:$S$43)</f>
        <v>14.125954903289664</v>
      </c>
      <c r="U43" s="61">
        <f>'TUSD BE'!$U$43*'TUSD BF'!$U$61</f>
        <v>0</v>
      </c>
      <c r="V43" s="61">
        <f>'TUSD BE'!$V$43*'TUSD BF'!$V$61</f>
        <v>0</v>
      </c>
      <c r="W43" s="61">
        <f>'TUSD BE'!$W$43*'TUSD BF'!$W$61</f>
        <v>0</v>
      </c>
      <c r="X43" s="61">
        <f>'TUSD BE'!$X$43*'TUSD BF'!$X$61</f>
        <v>0</v>
      </c>
      <c r="Y43" s="61">
        <f>'TUSD BE'!$Y$43*'TUSD BF'!$Y$61</f>
        <v>0</v>
      </c>
      <c r="Z43" s="61">
        <f>'TUSD BE'!$Z$43*'TUSD BF'!$Z$61</f>
        <v>0</v>
      </c>
      <c r="AA43" s="61">
        <f>'TUSD BE'!$AA$43*'TUSD BF'!$AA$61</f>
        <v>0</v>
      </c>
      <c r="AB43" s="61">
        <f>SUM($U$43:$AA$43)</f>
        <v>0</v>
      </c>
      <c r="AC43" s="61">
        <f>'TUSD BE'!$AC$43*'TUSD BF'!$AC$61</f>
        <v>0</v>
      </c>
      <c r="AD43" s="61">
        <f>SUM($AC$43:$AC$43)</f>
        <v>0</v>
      </c>
      <c r="AE43" s="61">
        <f ca="1">$AO$43*$AO$58</f>
        <v>0</v>
      </c>
      <c r="AF43" s="61">
        <f ca="1">$AP$43*$AP$58</f>
        <v>0</v>
      </c>
      <c r="AG43" s="61">
        <f ca="1">SUM($AE$43:$AF$43)</f>
        <v>0</v>
      </c>
      <c r="AH43" s="61">
        <f>'TUSD BE'!$AH$43*'TUSD BF'!$AH$61</f>
        <v>2.286801736758258</v>
      </c>
      <c r="AI43" s="61">
        <f>'TUSD BE'!$AI$43*'TUSD BF'!$AI$61</f>
        <v>2.3387613658480699E-2</v>
      </c>
      <c r="AJ43" s="61">
        <f ca="1">'TUSD BE'!$AJ$43*'TUSD BF'!$AJ$61</f>
        <v>8.5965855482137421E-2</v>
      </c>
      <c r="AK43" s="61">
        <f ca="1">'TUSD BE'!$AK$43*'TUSD BF'!$AK$61</f>
        <v>0</v>
      </c>
      <c r="AL43" s="61">
        <f ca="1">SUM($AH$43:$AK$43)</f>
        <v>2.396155205898876</v>
      </c>
      <c r="AM43" s="61">
        <f ca="1">SUMIF($L$4:$AL$4,"SUBTOTAL",$L$43:$AL$43)</f>
        <v>16.522110109188539</v>
      </c>
      <c r="AO43" s="68">
        <f ca="1">+'TUSD BE'!$T$43+'TUSD BE'!$AB$43+'TUSD BE'!$AD$43+'TUSD BE'!$AL$43</f>
        <v>365.62448600736451</v>
      </c>
      <c r="AP43" s="68">
        <f ca="1">+'TUSD BE'!$T$43+'TUSD BE'!$AB$43+'TUSD BE'!$AD$43+'TUSD BE'!$AL$43</f>
        <v>365.62448600736451</v>
      </c>
    </row>
    <row r="44" spans="1:42" ht="11.25" customHeight="1" x14ac:dyDescent="0.3">
      <c r="A44" s="132"/>
      <c r="B44" s="65" t="s">
        <v>23</v>
      </c>
      <c r="C44" s="65" t="s">
        <v>43</v>
      </c>
      <c r="D44" s="65" t="s">
        <v>97</v>
      </c>
      <c r="E44" s="65" t="s">
        <v>25</v>
      </c>
      <c r="F44" s="65" t="s">
        <v>25</v>
      </c>
      <c r="G44" s="66" t="s">
        <v>81</v>
      </c>
      <c r="H44" s="66" t="s">
        <v>76</v>
      </c>
      <c r="I44" s="66">
        <f>'MERCADO TUSD'!$U$41</f>
        <v>0</v>
      </c>
      <c r="J44" s="15"/>
      <c r="L44" s="61">
        <f>'TUSD BE'!$L$44*'TUSD BF'!$L$61</f>
        <v>0.22239639427234734</v>
      </c>
      <c r="M44" s="61">
        <f>'TUSD BE'!$M$44*'TUSD BF'!$M$61</f>
        <v>0</v>
      </c>
      <c r="N44" s="61">
        <f ca="1">'TUSD BE'!$N$44*'TUSD BF'!$N$61</f>
        <v>0</v>
      </c>
      <c r="O44" s="61">
        <f>'TUSD BE'!$O$44*'TUSD BF'!$O$61</f>
        <v>0</v>
      </c>
      <c r="P44" s="61">
        <f>'TUSD BE'!$P$44*'TUSD BF'!$P$61</f>
        <v>0</v>
      </c>
      <c r="Q44" s="61">
        <f>'TUSD BE'!$Q$44*'TUSD BF'!$Q$61</f>
        <v>11.080027836901019</v>
      </c>
      <c r="R44" s="61">
        <f>'TUSD BE'!$R$44*'TUSD BF'!$R$61</f>
        <v>2.8235306721162976</v>
      </c>
      <c r="S44" s="61">
        <f>'TUSD BE'!$R$44*'TUSD BF'!$S$61</f>
        <v>0</v>
      </c>
      <c r="T44" s="61">
        <f ca="1">SUM($L$44:$S$44)</f>
        <v>14.125954903289664</v>
      </c>
      <c r="U44" s="61">
        <f>'TUSD BE'!$U$44*'TUSD BF'!$U$61</f>
        <v>0</v>
      </c>
      <c r="V44" s="61">
        <f>'TUSD BE'!$V$44*'TUSD BF'!$V$61</f>
        <v>0</v>
      </c>
      <c r="W44" s="61">
        <f>'TUSD BE'!$W$44*'TUSD BF'!$W$61</f>
        <v>0</v>
      </c>
      <c r="X44" s="61">
        <f>'TUSD BE'!$X$44*'TUSD BF'!$X$61</f>
        <v>0</v>
      </c>
      <c r="Y44" s="61">
        <f>'TUSD BE'!$Y$44*'TUSD BF'!$Y$61</f>
        <v>0</v>
      </c>
      <c r="Z44" s="61">
        <f>'TUSD BE'!$Z$44*'TUSD BF'!$Z$61</f>
        <v>0</v>
      </c>
      <c r="AA44" s="61">
        <f>'TUSD BE'!$AA$44*'TUSD BF'!$AA$61</f>
        <v>0</v>
      </c>
      <c r="AB44" s="61">
        <f>SUM($U$44:$AA$44)</f>
        <v>0</v>
      </c>
      <c r="AC44" s="61">
        <f>'TUSD BE'!$AC$44*'TUSD BF'!$AC$61</f>
        <v>0</v>
      </c>
      <c r="AD44" s="61">
        <f>SUM($AC$44:$AC$44)</f>
        <v>0</v>
      </c>
      <c r="AE44" s="61">
        <f ca="1">$AO$44*$AO$58</f>
        <v>0</v>
      </c>
      <c r="AF44" s="61">
        <f ca="1">$AP$44*$AP$58</f>
        <v>0</v>
      </c>
      <c r="AG44" s="61">
        <f ca="1">SUM($AE$44:$AF$44)</f>
        <v>0</v>
      </c>
      <c r="AH44" s="61">
        <f>'TUSD BE'!$AH$44*'TUSD BF'!$AH$61</f>
        <v>2.286801736758258</v>
      </c>
      <c r="AI44" s="61">
        <f>'TUSD BE'!$AI$44*'TUSD BF'!$AI$61</f>
        <v>2.3387613658480699E-2</v>
      </c>
      <c r="AJ44" s="61">
        <f ca="1">'TUSD BE'!$AJ$44*'TUSD BF'!$AJ$61</f>
        <v>8.5965855482137421E-2</v>
      </c>
      <c r="AK44" s="61">
        <f ca="1">'TUSD BE'!$AK$44*'TUSD BF'!$AK$61</f>
        <v>0</v>
      </c>
      <c r="AL44" s="61">
        <f ca="1">SUM($AH$44:$AK$44)</f>
        <v>2.396155205898876</v>
      </c>
      <c r="AM44" s="61">
        <f ca="1">SUMIF($L$4:$AL$4,"SUBTOTAL",$L$44:$AL$44)</f>
        <v>16.522110109188539</v>
      </c>
      <c r="AO44" s="68">
        <f ca="1">+'TUSD BE'!$T$44+'TUSD BE'!$AB$44+'TUSD BE'!$AD$44+'TUSD BE'!$AL$44</f>
        <v>502.42322646964709</v>
      </c>
      <c r="AP44" s="68">
        <f ca="1">+'TUSD BE'!$T$44+'TUSD BE'!$AB$44+'TUSD BE'!$AD$44+'TUSD BE'!$AL$44</f>
        <v>502.42322646964709</v>
      </c>
    </row>
    <row r="45" spans="1:42" ht="11.25" customHeight="1" x14ac:dyDescent="0.3">
      <c r="A45" s="132"/>
      <c r="B45" s="132" t="s">
        <v>95</v>
      </c>
      <c r="C45" s="132" t="s">
        <v>43</v>
      </c>
      <c r="D45" s="65" t="s">
        <v>25</v>
      </c>
      <c r="E45" s="65" t="s">
        <v>25</v>
      </c>
      <c r="F45" s="65" t="s">
        <v>25</v>
      </c>
      <c r="G45" s="66" t="s">
        <v>81</v>
      </c>
      <c r="H45" s="66" t="s">
        <v>76</v>
      </c>
      <c r="I45" s="66">
        <f>'MERCADO TUSD'!$U$42</f>
        <v>0</v>
      </c>
      <c r="J45" s="15"/>
      <c r="L45" s="61">
        <f>'TUSD BE'!$L$45*'TUSD BF'!$L$61</f>
        <v>0.22239639427234734</v>
      </c>
      <c r="M45" s="61">
        <f>'TUSD BE'!$M$45*'TUSD BF'!$M$61</f>
        <v>0</v>
      </c>
      <c r="N45" s="61">
        <f ca="1">'TUSD BE'!$N$45*'TUSD BF'!$N$61</f>
        <v>0</v>
      </c>
      <c r="O45" s="61">
        <f>'TUSD BE'!$O$45*'TUSD BF'!$O$61</f>
        <v>0</v>
      </c>
      <c r="P45" s="61">
        <f>'TUSD BE'!$P$45*'TUSD BF'!$P$61</f>
        <v>0</v>
      </c>
      <c r="Q45" s="61">
        <f>'TUSD BE'!$Q$45*'TUSD BF'!$Q$61</f>
        <v>11.080027836901019</v>
      </c>
      <c r="R45" s="61">
        <f>'TUSD BE'!$R$45*'TUSD BF'!$R$61</f>
        <v>2.8235306721162976</v>
      </c>
      <c r="S45" s="61">
        <f>'TUSD BE'!$R$45*'TUSD BF'!$S$61</f>
        <v>0</v>
      </c>
      <c r="T45" s="61">
        <f ca="1">SUM($L$45:$S$45)</f>
        <v>14.125954903289664</v>
      </c>
      <c r="U45" s="61">
        <f>'TUSD BE'!$U$45*'TUSD BF'!$U$61</f>
        <v>0</v>
      </c>
      <c r="V45" s="61">
        <f>'TUSD BE'!$V$45*'TUSD BF'!$V$61</f>
        <v>0</v>
      </c>
      <c r="W45" s="61">
        <f>'TUSD BE'!$W$45*'TUSD BF'!$W$61</f>
        <v>0</v>
      </c>
      <c r="X45" s="61">
        <f>'TUSD BE'!$X$45*'TUSD BF'!$X$61</f>
        <v>0</v>
      </c>
      <c r="Y45" s="61">
        <f>'TUSD BE'!$Y$45*'TUSD BF'!$Y$61</f>
        <v>0</v>
      </c>
      <c r="Z45" s="61">
        <f>'TUSD BE'!$Z$45*'TUSD BF'!$Z$61</f>
        <v>0</v>
      </c>
      <c r="AA45" s="61">
        <f>'TUSD BE'!$AA$45*'TUSD BF'!$AA$61</f>
        <v>0</v>
      </c>
      <c r="AB45" s="61">
        <f>SUM($U$45:$AA$45)</f>
        <v>0</v>
      </c>
      <c r="AC45" s="61">
        <f>'TUSD BE'!$AC$45*'TUSD BF'!$AC$61</f>
        <v>0</v>
      </c>
      <c r="AD45" s="61">
        <f>SUM($AC$45:$AC$45)</f>
        <v>0</v>
      </c>
      <c r="AE45" s="61">
        <f ca="1">$AO$45*$AO$58</f>
        <v>0</v>
      </c>
      <c r="AF45" s="61">
        <f ca="1">$AP$45*$AP$58</f>
        <v>0</v>
      </c>
      <c r="AG45" s="61">
        <f ca="1">SUM($AE$45:$AF$45)</f>
        <v>0</v>
      </c>
      <c r="AH45" s="61">
        <f>'TUSD BE'!$AH$45*'TUSD BF'!$AH$61</f>
        <v>2.286801736758258</v>
      </c>
      <c r="AI45" s="61">
        <f>'TUSD BE'!$AI$45*'TUSD BF'!$AI$61</f>
        <v>2.3387613658480699E-2</v>
      </c>
      <c r="AJ45" s="61">
        <f ca="1">'TUSD BE'!$AJ$45*'TUSD BF'!$AJ$61</f>
        <v>8.5965855482137421E-2</v>
      </c>
      <c r="AK45" s="61">
        <f ca="1">'TUSD BE'!$AK$45*'TUSD BF'!$AK$61</f>
        <v>0</v>
      </c>
      <c r="AL45" s="61">
        <f ca="1">SUM($AH$45:$AK$45)</f>
        <v>2.396155205898876</v>
      </c>
      <c r="AM45" s="61">
        <f ca="1">SUMIF($L$4:$AL$4,"SUBTOTAL",$L$45:$AL$45)</f>
        <v>16.522110109188539</v>
      </c>
      <c r="AO45" s="68">
        <f ca="1">+'TUSD BE'!$T$45+'TUSD BE'!$AB$45+'TUSD BE'!$AD$45+'TUSD BE'!$AL$45</f>
        <v>502.42322646964709</v>
      </c>
      <c r="AP45" s="68">
        <f ca="1">+'TUSD BE'!$T$45+'TUSD BE'!$AB$45+'TUSD BE'!$AD$45+'TUSD BE'!$AL$45</f>
        <v>502.42322646964709</v>
      </c>
    </row>
    <row r="46" spans="1:42" ht="11.25" customHeight="1" x14ac:dyDescent="0.3">
      <c r="A46" s="132"/>
      <c r="B46" s="132"/>
      <c r="C46" s="132"/>
      <c r="D46" s="65" t="s">
        <v>96</v>
      </c>
      <c r="E46" s="65" t="s">
        <v>25</v>
      </c>
      <c r="F46" s="65" t="s">
        <v>25</v>
      </c>
      <c r="G46" s="66" t="s">
        <v>81</v>
      </c>
      <c r="H46" s="66" t="s">
        <v>76</v>
      </c>
      <c r="I46" s="66">
        <f>'MERCADO TUSD'!$U$43</f>
        <v>0</v>
      </c>
      <c r="J46" s="15"/>
      <c r="L46" s="61">
        <f>'TUSD BE'!$L$46*'TUSD BF'!$L$61</f>
        <v>0.22239639427234734</v>
      </c>
      <c r="M46" s="61">
        <f>'TUSD BE'!$M$46*'TUSD BF'!$M$61</f>
        <v>0</v>
      </c>
      <c r="N46" s="61">
        <f ca="1">'TUSD BE'!$N$46*'TUSD BF'!$N$61</f>
        <v>0</v>
      </c>
      <c r="O46" s="61">
        <f>'TUSD BE'!$O$46*'TUSD BF'!$O$61</f>
        <v>0</v>
      </c>
      <c r="P46" s="61">
        <f>'TUSD BE'!$P$46*'TUSD BF'!$P$61</f>
        <v>0</v>
      </c>
      <c r="Q46" s="61">
        <f>'TUSD BE'!$Q$46*'TUSD BF'!$Q$61</f>
        <v>11.080027836901019</v>
      </c>
      <c r="R46" s="61">
        <f>'TUSD BE'!$R$46*'TUSD BF'!$R$61</f>
        <v>2.8235306721162976</v>
      </c>
      <c r="S46" s="61">
        <f>'TUSD BE'!$R$46*'TUSD BF'!$S$61</f>
        <v>0</v>
      </c>
      <c r="T46" s="61">
        <f ca="1">SUM($L$46:$S$46)</f>
        <v>14.125954903289664</v>
      </c>
      <c r="U46" s="61">
        <f>'TUSD BE'!$U$46*'TUSD BF'!$U$61</f>
        <v>0</v>
      </c>
      <c r="V46" s="61">
        <f>'TUSD BE'!$V$46*'TUSD BF'!$V$61</f>
        <v>0</v>
      </c>
      <c r="W46" s="61">
        <f>'TUSD BE'!$W$46*'TUSD BF'!$W$61</f>
        <v>0</v>
      </c>
      <c r="X46" s="61">
        <f>'TUSD BE'!$X$46*'TUSD BF'!$X$61</f>
        <v>0</v>
      </c>
      <c r="Y46" s="61">
        <f>'TUSD BE'!$Y$46*'TUSD BF'!$Y$61</f>
        <v>0</v>
      </c>
      <c r="Z46" s="61">
        <f>'TUSD BE'!$Z$46*'TUSD BF'!$Z$61</f>
        <v>0</v>
      </c>
      <c r="AA46" s="61">
        <f>'TUSD BE'!$AA$46*'TUSD BF'!$AA$61</f>
        <v>0</v>
      </c>
      <c r="AB46" s="61">
        <f>SUM($U$46:$AA$46)</f>
        <v>0</v>
      </c>
      <c r="AC46" s="61">
        <f>'TUSD BE'!$AC$46*'TUSD BF'!$AC$61</f>
        <v>0</v>
      </c>
      <c r="AD46" s="61">
        <f>SUM($AC$46:$AC$46)</f>
        <v>0</v>
      </c>
      <c r="AE46" s="61">
        <f ca="1">$AO$46*$AO$58</f>
        <v>0</v>
      </c>
      <c r="AF46" s="61">
        <f ca="1">$AP$46*$AP$58</f>
        <v>0</v>
      </c>
      <c r="AG46" s="61">
        <f ca="1">SUM($AE$46:$AF$46)</f>
        <v>0</v>
      </c>
      <c r="AH46" s="61">
        <f>'TUSD BE'!$AH$46*'TUSD BF'!$AH$61</f>
        <v>2.286801736758258</v>
      </c>
      <c r="AI46" s="61">
        <f>'TUSD BE'!$AI$46*'TUSD BF'!$AI$61</f>
        <v>2.3387613658480699E-2</v>
      </c>
      <c r="AJ46" s="61">
        <f ca="1">'TUSD BE'!$AJ$46*'TUSD BF'!$AJ$61</f>
        <v>8.5965855482137421E-2</v>
      </c>
      <c r="AK46" s="61">
        <f ca="1">'TUSD BE'!$AK$46*'TUSD BF'!$AK$61</f>
        <v>0</v>
      </c>
      <c r="AL46" s="61">
        <f ca="1">SUM($AH$46:$AK$46)</f>
        <v>2.396155205898876</v>
      </c>
      <c r="AM46" s="61">
        <f ca="1">SUMIF($L$4:$AL$4,"SUBTOTAL",$L$46:$AL$46)</f>
        <v>16.522110109188539</v>
      </c>
      <c r="AO46" s="68">
        <f ca="1">+'TUSD BE'!$T$46+'TUSD BE'!$AB$46+'TUSD BE'!$AD$46+'TUSD BE'!$AL$46</f>
        <v>502.42322646964709</v>
      </c>
      <c r="AP46" s="68">
        <f ca="1">+'TUSD BE'!$T$46+'TUSD BE'!$AB$46+'TUSD BE'!$AD$46+'TUSD BE'!$AL$46</f>
        <v>502.42322646964709</v>
      </c>
    </row>
    <row r="47" spans="1:42" ht="11.25" customHeight="1" x14ac:dyDescent="0.3">
      <c r="A47" s="132"/>
      <c r="B47" s="132"/>
      <c r="C47" s="132"/>
      <c r="D47" s="65" t="s">
        <v>97</v>
      </c>
      <c r="E47" s="65" t="s">
        <v>25</v>
      </c>
      <c r="F47" s="65" t="s">
        <v>25</v>
      </c>
      <c r="G47" s="66" t="s">
        <v>81</v>
      </c>
      <c r="H47" s="66" t="s">
        <v>76</v>
      </c>
      <c r="I47" s="66">
        <f>'MERCADO TUSD'!$U$44</f>
        <v>0</v>
      </c>
      <c r="J47" s="15"/>
      <c r="L47" s="61">
        <f>'TUSD BE'!$L$47*'TUSD BF'!$L$61</f>
        <v>0.22239639427234734</v>
      </c>
      <c r="M47" s="61">
        <f>'TUSD BE'!$M$47*'TUSD BF'!$M$61</f>
        <v>0</v>
      </c>
      <c r="N47" s="61">
        <f ca="1">'TUSD BE'!$N$47*'TUSD BF'!$N$61</f>
        <v>0</v>
      </c>
      <c r="O47" s="61">
        <f>'TUSD BE'!$O$47*'TUSD BF'!$O$61</f>
        <v>0</v>
      </c>
      <c r="P47" s="61">
        <f>'TUSD BE'!$P$47*'TUSD BF'!$P$61</f>
        <v>0</v>
      </c>
      <c r="Q47" s="61">
        <f>'TUSD BE'!$Q$47*'TUSD BF'!$Q$61</f>
        <v>11.080027836901019</v>
      </c>
      <c r="R47" s="61">
        <f>'TUSD BE'!$R$47*'TUSD BF'!$R$61</f>
        <v>2.8235306721162976</v>
      </c>
      <c r="S47" s="61">
        <f>'TUSD BE'!$R$47*'TUSD BF'!$S$61</f>
        <v>0</v>
      </c>
      <c r="T47" s="61">
        <f ca="1">SUM($L$47:$S$47)</f>
        <v>14.125954903289664</v>
      </c>
      <c r="U47" s="61">
        <f>'TUSD BE'!$U$47*'TUSD BF'!$U$61</f>
        <v>0</v>
      </c>
      <c r="V47" s="61">
        <f>'TUSD BE'!$V$47*'TUSD BF'!$V$61</f>
        <v>0</v>
      </c>
      <c r="W47" s="61">
        <f>'TUSD BE'!$W$47*'TUSD BF'!$W$61</f>
        <v>0</v>
      </c>
      <c r="X47" s="61">
        <f>'TUSD BE'!$X$47*'TUSD BF'!$X$61</f>
        <v>0</v>
      </c>
      <c r="Y47" s="61">
        <f>'TUSD BE'!$Y$47*'TUSD BF'!$Y$61</f>
        <v>0</v>
      </c>
      <c r="Z47" s="61">
        <f>'TUSD BE'!$Z$47*'TUSD BF'!$Z$61</f>
        <v>0</v>
      </c>
      <c r="AA47" s="61">
        <f>'TUSD BE'!$AA$47*'TUSD BF'!$AA$61</f>
        <v>0</v>
      </c>
      <c r="AB47" s="61">
        <f>SUM($U$47:$AA$47)</f>
        <v>0</v>
      </c>
      <c r="AC47" s="61">
        <f>'TUSD BE'!$AC$47*'TUSD BF'!$AC$61</f>
        <v>0</v>
      </c>
      <c r="AD47" s="61">
        <f>SUM($AC$47:$AC$47)</f>
        <v>0</v>
      </c>
      <c r="AE47" s="61">
        <f ca="1">$AO$47*$AO$58</f>
        <v>0</v>
      </c>
      <c r="AF47" s="61">
        <f ca="1">$AP$47*$AP$58</f>
        <v>0</v>
      </c>
      <c r="AG47" s="61">
        <f ca="1">SUM($AE$47:$AF$47)</f>
        <v>0</v>
      </c>
      <c r="AH47" s="61">
        <f>'TUSD BE'!$AH$47*'TUSD BF'!$AH$61</f>
        <v>2.286801736758258</v>
      </c>
      <c r="AI47" s="61">
        <f>'TUSD BE'!$AI$47*'TUSD BF'!$AI$61</f>
        <v>2.3387613658480699E-2</v>
      </c>
      <c r="AJ47" s="61">
        <f ca="1">'TUSD BE'!$AJ$47*'TUSD BF'!$AJ$61</f>
        <v>8.5965855482137421E-2</v>
      </c>
      <c r="AK47" s="61">
        <f ca="1">'TUSD BE'!$AK$47*'TUSD BF'!$AK$61</f>
        <v>0</v>
      </c>
      <c r="AL47" s="61">
        <f ca="1">SUM($AH$47:$AK$47)</f>
        <v>2.396155205898876</v>
      </c>
      <c r="AM47" s="61">
        <f ca="1">SUMIF($L$4:$AL$4,"SUBTOTAL",$L$47:$AL$47)</f>
        <v>16.522110109188539</v>
      </c>
      <c r="AO47" s="68">
        <f ca="1">+'TUSD BE'!$T$47+'TUSD BE'!$AB$47+'TUSD BE'!$AD$47+'TUSD BE'!$AL$47</f>
        <v>502.42322646964709</v>
      </c>
      <c r="AP47" s="68">
        <f ca="1">+'TUSD BE'!$T$47+'TUSD BE'!$AB$47+'TUSD BE'!$AD$47+'TUSD BE'!$AL$47</f>
        <v>502.42322646964709</v>
      </c>
    </row>
    <row r="48" spans="1:42" ht="11.25" customHeight="1" x14ac:dyDescent="0.3">
      <c r="A48" s="132" t="s">
        <v>37</v>
      </c>
      <c r="B48" s="132" t="s">
        <v>33</v>
      </c>
      <c r="C48" s="132" t="s">
        <v>25</v>
      </c>
      <c r="D48" s="132" t="s">
        <v>25</v>
      </c>
      <c r="E48" s="132" t="s">
        <v>25</v>
      </c>
      <c r="F48" s="132" t="s">
        <v>25</v>
      </c>
      <c r="G48" s="66" t="s">
        <v>77</v>
      </c>
      <c r="H48" s="66" t="s">
        <v>76</v>
      </c>
      <c r="I48" s="66">
        <f>'MERCADO TUSD'!$U$45</f>
        <v>9.1080000000000005</v>
      </c>
      <c r="J48" s="15"/>
      <c r="L48" s="61">
        <f>'TUSD BE'!$L$48*'TUSD BF'!$L$61</f>
        <v>0.22239639427234734</v>
      </c>
      <c r="M48" s="61">
        <f>'TUSD BE'!$M$48*'TUSD BF'!$M$61</f>
        <v>0</v>
      </c>
      <c r="N48" s="61">
        <f ca="1">'TUSD BE'!$N$48*'TUSD BF'!$N$61</f>
        <v>0</v>
      </c>
      <c r="O48" s="61">
        <f>'TUSD BE'!$O$48*'TUSD BF'!$O$61</f>
        <v>0</v>
      </c>
      <c r="P48" s="61">
        <f>'TUSD BE'!$P$48*'TUSD BF'!$P$61</f>
        <v>0</v>
      </c>
      <c r="Q48" s="61">
        <f>'TUSD BE'!$Q$48*'TUSD BF'!$Q$61</f>
        <v>11.080027836901019</v>
      </c>
      <c r="R48" s="61">
        <f>'TUSD BE'!$R$48*'TUSD BF'!$R$61</f>
        <v>2.8235306721162976</v>
      </c>
      <c r="S48" s="61">
        <f>'TUSD BE'!$R$48*'TUSD BF'!$S$61</f>
        <v>0</v>
      </c>
      <c r="T48" s="61">
        <f ca="1">SUM($L$48:$S$48)</f>
        <v>14.125954903289664</v>
      </c>
      <c r="U48" s="61">
        <f>'TUSD BE'!$U$48*'TUSD BF'!$U$61</f>
        <v>0</v>
      </c>
      <c r="V48" s="61">
        <f>'TUSD BE'!$V$48*'TUSD BF'!$V$61</f>
        <v>0</v>
      </c>
      <c r="W48" s="61">
        <f>'TUSD BE'!$W$48*'TUSD BF'!$W$61</f>
        <v>0</v>
      </c>
      <c r="X48" s="61">
        <f>'TUSD BE'!$X$48*'TUSD BF'!$X$61</f>
        <v>0</v>
      </c>
      <c r="Y48" s="61">
        <f>'TUSD BE'!$Y$48*'TUSD BF'!$Y$61</f>
        <v>0</v>
      </c>
      <c r="Z48" s="61">
        <f>'TUSD BE'!$Z$48*'TUSD BF'!$Z$61</f>
        <v>0</v>
      </c>
      <c r="AA48" s="61">
        <f>'TUSD BE'!$AA$48*'TUSD BF'!$AA$61</f>
        <v>0</v>
      </c>
      <c r="AB48" s="61">
        <f>SUM($U$48:$AA$48)</f>
        <v>0</v>
      </c>
      <c r="AC48" s="61">
        <f>'TUSD BE'!$AC$48*'TUSD BF'!$AC$61</f>
        <v>0</v>
      </c>
      <c r="AD48" s="61">
        <f>SUM($AC$48:$AC$48)</f>
        <v>0</v>
      </c>
      <c r="AE48" s="61">
        <f ca="1">$AO$48*$AO$58</f>
        <v>0</v>
      </c>
      <c r="AF48" s="61">
        <f ca="1">$AP$48*$AP$58</f>
        <v>0</v>
      </c>
      <c r="AG48" s="61">
        <f ca="1">SUM($AE$48:$AF$48)</f>
        <v>0</v>
      </c>
      <c r="AH48" s="61">
        <f>'TUSD BE'!$AH$48*'TUSD BF'!$AH$61</f>
        <v>2.286801736758258</v>
      </c>
      <c r="AI48" s="61">
        <f>'TUSD BE'!$AI$48*'TUSD BF'!$AI$61</f>
        <v>2.3387613658480699E-2</v>
      </c>
      <c r="AJ48" s="61">
        <f ca="1">'TUSD BE'!$AJ$48*'TUSD BF'!$AJ$61</f>
        <v>8.5965855482137421E-2</v>
      </c>
      <c r="AK48" s="61">
        <f ca="1">'TUSD BE'!$AK$48*'TUSD BF'!$AK$61</f>
        <v>0</v>
      </c>
      <c r="AL48" s="61">
        <f ca="1">SUM($AH$48:$AK$48)</f>
        <v>2.396155205898876</v>
      </c>
      <c r="AM48" s="61">
        <f ca="1">SUMIF($L$4:$AL$4,"SUBTOTAL",$L$48:$AL$48)</f>
        <v>16.522110109188539</v>
      </c>
      <c r="AO48" s="68">
        <f ca="1">+'TUSD BE'!$T$48+'TUSD BE'!$AB$48+'TUSD BE'!$AD$48+'TUSD BE'!$AL$48</f>
        <v>1463.711684240558</v>
      </c>
      <c r="AP48" s="68">
        <f ca="1">+'TUSD BE'!$T$48+'TUSD BE'!$AB$48+'TUSD BE'!$AD$48+'TUSD BE'!$AL$48</f>
        <v>1463.711684240558</v>
      </c>
    </row>
    <row r="49" spans="1:42" ht="11.25" customHeight="1" x14ac:dyDescent="0.3">
      <c r="A49" s="132"/>
      <c r="B49" s="132"/>
      <c r="C49" s="132"/>
      <c r="D49" s="132"/>
      <c r="E49" s="132"/>
      <c r="F49" s="132"/>
      <c r="G49" s="66" t="s">
        <v>93</v>
      </c>
      <c r="H49" s="66" t="s">
        <v>76</v>
      </c>
      <c r="I49" s="66">
        <f>'MERCADO TUSD'!$U$46</f>
        <v>0.627</v>
      </c>
      <c r="J49" s="15"/>
      <c r="L49" s="61">
        <f>'TUSD BE'!$L$49*'TUSD BF'!$L$61</f>
        <v>0.22239639427234734</v>
      </c>
      <c r="M49" s="61">
        <f>'TUSD BE'!$M$49*'TUSD BF'!$M$61</f>
        <v>0</v>
      </c>
      <c r="N49" s="61">
        <f ca="1">'TUSD BE'!$N$49*'TUSD BF'!$N$61</f>
        <v>0</v>
      </c>
      <c r="O49" s="61">
        <f>'TUSD BE'!$O$49*'TUSD BF'!$O$61</f>
        <v>0</v>
      </c>
      <c r="P49" s="61">
        <f>'TUSD BE'!$P$49*'TUSD BF'!$P$61</f>
        <v>0</v>
      </c>
      <c r="Q49" s="61">
        <f>'TUSD BE'!$Q$49*'TUSD BF'!$Q$61</f>
        <v>11.080027836901019</v>
      </c>
      <c r="R49" s="61">
        <f>'TUSD BE'!$R$49*'TUSD BF'!$R$61</f>
        <v>2.8235306721162976</v>
      </c>
      <c r="S49" s="61">
        <f>'TUSD BE'!$R$49*'TUSD BF'!$S$61</f>
        <v>0</v>
      </c>
      <c r="T49" s="61">
        <f ca="1">SUM($L$49:$S$49)</f>
        <v>14.125954903289664</v>
      </c>
      <c r="U49" s="61">
        <f>'TUSD BE'!$U$49*'TUSD BF'!$U$61</f>
        <v>0</v>
      </c>
      <c r="V49" s="61">
        <f>'TUSD BE'!$V$49*'TUSD BF'!$V$61</f>
        <v>0</v>
      </c>
      <c r="W49" s="61">
        <f>'TUSD BE'!$W$49*'TUSD BF'!$W$61</f>
        <v>0</v>
      </c>
      <c r="X49" s="61">
        <f>'TUSD BE'!$X$49*'TUSD BF'!$X$61</f>
        <v>0</v>
      </c>
      <c r="Y49" s="61">
        <f>'TUSD BE'!$Y$49*'TUSD BF'!$Y$61</f>
        <v>0</v>
      </c>
      <c r="Z49" s="61">
        <f>'TUSD BE'!$Z$49*'TUSD BF'!$Z$61</f>
        <v>0</v>
      </c>
      <c r="AA49" s="61">
        <f>'TUSD BE'!$AA$49*'TUSD BF'!$AA$61</f>
        <v>0</v>
      </c>
      <c r="AB49" s="61">
        <f>SUM($U$49:$AA$49)</f>
        <v>0</v>
      </c>
      <c r="AC49" s="61">
        <f>'TUSD BE'!$AC$49*'TUSD BF'!$AC$61</f>
        <v>0</v>
      </c>
      <c r="AD49" s="61">
        <f>SUM($AC$49:$AC$49)</f>
        <v>0</v>
      </c>
      <c r="AE49" s="61">
        <f ca="1">$AO$49*$AO$58</f>
        <v>0</v>
      </c>
      <c r="AF49" s="61">
        <f ca="1">$AP$49*$AP$58</f>
        <v>0</v>
      </c>
      <c r="AG49" s="61">
        <f ca="1">SUM($AE$49:$AF$49)</f>
        <v>0</v>
      </c>
      <c r="AH49" s="61">
        <f>'TUSD BE'!$AH$49*'TUSD BF'!$AH$61</f>
        <v>2.286801736758258</v>
      </c>
      <c r="AI49" s="61">
        <f>'TUSD BE'!$AI$49*'TUSD BF'!$AI$61</f>
        <v>2.3387613658480699E-2</v>
      </c>
      <c r="AJ49" s="61">
        <f ca="1">'TUSD BE'!$AJ$49*'TUSD BF'!$AJ$61</f>
        <v>8.5965855482137421E-2</v>
      </c>
      <c r="AK49" s="61">
        <f ca="1">'TUSD BE'!$AK$49*'TUSD BF'!$AK$61</f>
        <v>0</v>
      </c>
      <c r="AL49" s="61">
        <f ca="1">SUM($AH$49:$AK$49)</f>
        <v>2.396155205898876</v>
      </c>
      <c r="AM49" s="61">
        <f ca="1">SUMIF($L$4:$AL$4,"SUBTOTAL",$L$49:$AL$49)</f>
        <v>16.522110109188539</v>
      </c>
      <c r="AO49" s="68">
        <f ca="1">+'TUSD BE'!$T$49+'TUSD BE'!$AB$49+'TUSD BE'!$AD$49+'TUSD BE'!$AL$49</f>
        <v>931.30582349479198</v>
      </c>
      <c r="AP49" s="68">
        <f ca="1">+'TUSD BE'!$T$49+'TUSD BE'!$AB$49+'TUSD BE'!$AD$49+'TUSD BE'!$AL$49</f>
        <v>931.30582349479198</v>
      </c>
    </row>
    <row r="50" spans="1:42" ht="11.25" customHeight="1" x14ac:dyDescent="0.3">
      <c r="A50" s="132"/>
      <c r="B50" s="132"/>
      <c r="C50" s="132"/>
      <c r="D50" s="132"/>
      <c r="E50" s="132"/>
      <c r="F50" s="132"/>
      <c r="G50" s="66" t="s">
        <v>78</v>
      </c>
      <c r="H50" s="66" t="s">
        <v>76</v>
      </c>
      <c r="I50" s="66">
        <f>'MERCADO TUSD'!$U$47</f>
        <v>7.484</v>
      </c>
      <c r="J50" s="15"/>
      <c r="L50" s="61">
        <f>'TUSD BE'!$L$50*'TUSD BF'!$L$61</f>
        <v>0.22239639427234734</v>
      </c>
      <c r="M50" s="61">
        <f>'TUSD BE'!$M$50*'TUSD BF'!$M$61</f>
        <v>0</v>
      </c>
      <c r="N50" s="61">
        <f ca="1">'TUSD BE'!$N$50*'TUSD BF'!$N$61</f>
        <v>0</v>
      </c>
      <c r="O50" s="61">
        <f>'TUSD BE'!$O$50*'TUSD BF'!$O$61</f>
        <v>0</v>
      </c>
      <c r="P50" s="61">
        <f>'TUSD BE'!$P$50*'TUSD BF'!$P$61</f>
        <v>0</v>
      </c>
      <c r="Q50" s="61">
        <f>'TUSD BE'!$Q$50*'TUSD BF'!$Q$61</f>
        <v>11.080027836901019</v>
      </c>
      <c r="R50" s="61">
        <f>'TUSD BE'!$R$50*'TUSD BF'!$R$61</f>
        <v>2.8235306721162976</v>
      </c>
      <c r="S50" s="61">
        <f>'TUSD BE'!$R$50*'TUSD BF'!$S$61</f>
        <v>0</v>
      </c>
      <c r="T50" s="61">
        <f ca="1">SUM($L$50:$S$50)</f>
        <v>14.125954903289664</v>
      </c>
      <c r="U50" s="61">
        <f>'TUSD BE'!$U$50*'TUSD BF'!$U$61</f>
        <v>0</v>
      </c>
      <c r="V50" s="61">
        <f>'TUSD BE'!$V$50*'TUSD BF'!$V$61</f>
        <v>0</v>
      </c>
      <c r="W50" s="61">
        <f>'TUSD BE'!$W$50*'TUSD BF'!$W$61</f>
        <v>0</v>
      </c>
      <c r="X50" s="61">
        <f>'TUSD BE'!$X$50*'TUSD BF'!$X$61</f>
        <v>0</v>
      </c>
      <c r="Y50" s="61">
        <f>'TUSD BE'!$Y$50*'TUSD BF'!$Y$61</f>
        <v>0</v>
      </c>
      <c r="Z50" s="61">
        <f>'TUSD BE'!$Z$50*'TUSD BF'!$Z$61</f>
        <v>0</v>
      </c>
      <c r="AA50" s="61">
        <f>'TUSD BE'!$AA$50*'TUSD BF'!$AA$61</f>
        <v>0</v>
      </c>
      <c r="AB50" s="61">
        <f>SUM($U$50:$AA$50)</f>
        <v>0</v>
      </c>
      <c r="AC50" s="61">
        <f>'TUSD BE'!$AC$50*'TUSD BF'!$AC$61</f>
        <v>0</v>
      </c>
      <c r="AD50" s="61">
        <f>SUM($AC$50:$AC$50)</f>
        <v>0</v>
      </c>
      <c r="AE50" s="61">
        <f ca="1">$AO$50*$AO$58</f>
        <v>0</v>
      </c>
      <c r="AF50" s="61">
        <f ca="1">$AP$50*$AP$58</f>
        <v>0</v>
      </c>
      <c r="AG50" s="61">
        <f ca="1">SUM($AE$50:$AF$50)</f>
        <v>0</v>
      </c>
      <c r="AH50" s="61">
        <f>'TUSD BE'!$AH$50*'TUSD BF'!$AH$61</f>
        <v>2.286801736758258</v>
      </c>
      <c r="AI50" s="61">
        <f>'TUSD BE'!$AI$50*'TUSD BF'!$AI$61</f>
        <v>2.3387613658480699E-2</v>
      </c>
      <c r="AJ50" s="61">
        <f ca="1">'TUSD BE'!$AJ$50*'TUSD BF'!$AJ$61</f>
        <v>8.5965855482137421E-2</v>
      </c>
      <c r="AK50" s="61">
        <f ca="1">'TUSD BE'!$AK$50*'TUSD BF'!$AK$61</f>
        <v>0</v>
      </c>
      <c r="AL50" s="61">
        <f ca="1">SUM($AH$50:$AK$50)</f>
        <v>2.396155205898876</v>
      </c>
      <c r="AM50" s="61">
        <f ca="1">SUMIF($L$4:$AL$4,"SUBTOTAL",$L$50:$AL$50)</f>
        <v>16.522110109188539</v>
      </c>
      <c r="AO50" s="68">
        <f ca="1">+'TUSD BE'!$T$50+'TUSD BE'!$AB$50+'TUSD BE'!$AD$50+'TUSD BE'!$AL$50</f>
        <v>398.89985248920203</v>
      </c>
      <c r="AP50" s="68">
        <f ca="1">+'TUSD BE'!$T$50+'TUSD BE'!$AB$50+'TUSD BE'!$AD$50+'TUSD BE'!$AL$50</f>
        <v>398.89985248920203</v>
      </c>
    </row>
    <row r="51" spans="1:42" ht="11.25" customHeight="1" x14ac:dyDescent="0.3">
      <c r="A51" s="132"/>
      <c r="B51" s="65" t="s">
        <v>23</v>
      </c>
      <c r="C51" s="65" t="s">
        <v>25</v>
      </c>
      <c r="D51" s="65" t="s">
        <v>25</v>
      </c>
      <c r="E51" s="65" t="s">
        <v>25</v>
      </c>
      <c r="F51" s="65" t="s">
        <v>25</v>
      </c>
      <c r="G51" s="66" t="s">
        <v>81</v>
      </c>
      <c r="H51" s="66" t="s">
        <v>76</v>
      </c>
      <c r="I51" s="66">
        <f>'MERCADO TUSD'!$U$48</f>
        <v>11812.039999999999</v>
      </c>
      <c r="J51" s="15"/>
      <c r="L51" s="61">
        <f>'TUSD BE'!$L$51*'TUSD BF'!$L$61</f>
        <v>0.22239639427234734</v>
      </c>
      <c r="M51" s="61">
        <f>'TUSD BE'!$M$51*'TUSD BF'!$M$61</f>
        <v>0</v>
      </c>
      <c r="N51" s="61">
        <f ca="1">'TUSD BE'!$N$51*'TUSD BF'!$N$61</f>
        <v>0</v>
      </c>
      <c r="O51" s="61">
        <f>'TUSD BE'!$O$51*'TUSD BF'!$O$61</f>
        <v>0</v>
      </c>
      <c r="P51" s="61">
        <f>'TUSD BE'!$P$51*'TUSD BF'!$P$61</f>
        <v>0</v>
      </c>
      <c r="Q51" s="61">
        <f>'TUSD BE'!$Q$51*'TUSD BF'!$Q$61</f>
        <v>11.080027836901019</v>
      </c>
      <c r="R51" s="61">
        <f>'TUSD BE'!$R$51*'TUSD BF'!$R$61</f>
        <v>2.8235306721162976</v>
      </c>
      <c r="S51" s="61">
        <f>'TUSD BE'!$R$51*'TUSD BF'!$S$61</f>
        <v>0</v>
      </c>
      <c r="T51" s="61">
        <f ca="1">SUM($L$51:$S$51)</f>
        <v>14.125954903289664</v>
      </c>
      <c r="U51" s="61">
        <f>'TUSD BE'!$U$51*'TUSD BF'!$U$61</f>
        <v>0</v>
      </c>
      <c r="V51" s="61">
        <f>'TUSD BE'!$V$51*'TUSD BF'!$V$61</f>
        <v>0</v>
      </c>
      <c r="W51" s="61">
        <f>'TUSD BE'!$W$51*'TUSD BF'!$W$61</f>
        <v>0</v>
      </c>
      <c r="X51" s="61">
        <f>'TUSD BE'!$X$51*'TUSD BF'!$X$61</f>
        <v>0</v>
      </c>
      <c r="Y51" s="61">
        <f>'TUSD BE'!$Y$51*'TUSD BF'!$Y$61</f>
        <v>0</v>
      </c>
      <c r="Z51" s="61">
        <f>'TUSD BE'!$Z$51*'TUSD BF'!$Z$61</f>
        <v>0</v>
      </c>
      <c r="AA51" s="61">
        <f>'TUSD BE'!$AA$51*'TUSD BF'!$AA$61</f>
        <v>0</v>
      </c>
      <c r="AB51" s="61">
        <f>SUM($U$51:$AA$51)</f>
        <v>0</v>
      </c>
      <c r="AC51" s="61">
        <f>'TUSD BE'!$AC$51*'TUSD BF'!$AC$61</f>
        <v>0</v>
      </c>
      <c r="AD51" s="61">
        <f>SUM($AC$51:$AC$51)</f>
        <v>0</v>
      </c>
      <c r="AE51" s="61">
        <f ca="1">$AO$51*$AO$58</f>
        <v>0</v>
      </c>
      <c r="AF51" s="61">
        <f ca="1">$AP$51*$AP$58</f>
        <v>0</v>
      </c>
      <c r="AG51" s="61">
        <f ca="1">SUM($AE$51:$AF$51)</f>
        <v>0</v>
      </c>
      <c r="AH51" s="61">
        <f>'TUSD BE'!$AH$51*'TUSD BF'!$AH$61</f>
        <v>2.286801736758258</v>
      </c>
      <c r="AI51" s="61">
        <f>'TUSD BE'!$AI$51*'TUSD BF'!$AI$61</f>
        <v>2.3387613658480699E-2</v>
      </c>
      <c r="AJ51" s="61">
        <f ca="1">'TUSD BE'!$AJ$51*'TUSD BF'!$AJ$61</f>
        <v>8.5965855482137421E-2</v>
      </c>
      <c r="AK51" s="61">
        <f ca="1">'TUSD BE'!$AK$51*'TUSD BF'!$AK$61</f>
        <v>0</v>
      </c>
      <c r="AL51" s="61">
        <f ca="1">SUM($AH$51:$AK$51)</f>
        <v>2.396155205898876</v>
      </c>
      <c r="AM51" s="61">
        <f ca="1">SUMIF($L$4:$AL$4,"SUBTOTAL",$L$51:$AL$51)</f>
        <v>16.522110109188539</v>
      </c>
      <c r="AO51" s="68">
        <f ca="1">+'TUSD BE'!$T$51+'TUSD BE'!$AB$51+'TUSD BE'!$AD$51+'TUSD BE'!$AL$51</f>
        <v>502.42322646964709</v>
      </c>
      <c r="AP51" s="68">
        <f ca="1">+'TUSD BE'!$T$51+'TUSD BE'!$AB$51+'TUSD BE'!$AD$51+'TUSD BE'!$AL$51</f>
        <v>502.42322646964709</v>
      </c>
    </row>
    <row r="52" spans="1:42" ht="11.25" customHeight="1" x14ac:dyDescent="0.3">
      <c r="A52" s="132"/>
      <c r="B52" s="65" t="s">
        <v>95</v>
      </c>
      <c r="C52" s="65" t="s">
        <v>25</v>
      </c>
      <c r="D52" s="65" t="s">
        <v>25</v>
      </c>
      <c r="E52" s="65" t="s">
        <v>25</v>
      </c>
      <c r="F52" s="65" t="s">
        <v>25</v>
      </c>
      <c r="G52" s="66" t="s">
        <v>81</v>
      </c>
      <c r="H52" s="66" t="s">
        <v>76</v>
      </c>
      <c r="I52" s="66">
        <f>'MERCADO TUSD'!$U$49</f>
        <v>0</v>
      </c>
      <c r="J52" s="15"/>
      <c r="L52" s="61">
        <f>'TUSD BE'!$L$52*'TUSD BF'!$L$61</f>
        <v>0.22239639427234734</v>
      </c>
      <c r="M52" s="61">
        <f>'TUSD BE'!$M$52*'TUSD BF'!$M$61</f>
        <v>0</v>
      </c>
      <c r="N52" s="61">
        <f ca="1">'TUSD BE'!$N$52*'TUSD BF'!$N$61</f>
        <v>0</v>
      </c>
      <c r="O52" s="61">
        <f>'TUSD BE'!$O$52*'TUSD BF'!$O$61</f>
        <v>0</v>
      </c>
      <c r="P52" s="61">
        <f>'TUSD BE'!$P$52*'TUSD BF'!$P$61</f>
        <v>0</v>
      </c>
      <c r="Q52" s="61">
        <f>'TUSD BE'!$Q$52*'TUSD BF'!$Q$61</f>
        <v>11.080027836901019</v>
      </c>
      <c r="R52" s="61">
        <f>'TUSD BE'!$R$52*'TUSD BF'!$R$61</f>
        <v>2.8235306721162976</v>
      </c>
      <c r="S52" s="61">
        <f>'TUSD BE'!$R$52*'TUSD BF'!$S$61</f>
        <v>0</v>
      </c>
      <c r="T52" s="61">
        <f ca="1">SUM($L$52:$S$52)</f>
        <v>14.125954903289664</v>
      </c>
      <c r="U52" s="61">
        <f>'TUSD BE'!$U$52*'TUSD BF'!$U$61</f>
        <v>0</v>
      </c>
      <c r="V52" s="61">
        <f>'TUSD BE'!$V$52*'TUSD BF'!$V$61</f>
        <v>0</v>
      </c>
      <c r="W52" s="61">
        <f>'TUSD BE'!$W$52*'TUSD BF'!$W$61</f>
        <v>0</v>
      </c>
      <c r="X52" s="61">
        <f>'TUSD BE'!$X$52*'TUSD BF'!$X$61</f>
        <v>0</v>
      </c>
      <c r="Y52" s="61">
        <f>'TUSD BE'!$Y$52*'TUSD BF'!$Y$61</f>
        <v>0</v>
      </c>
      <c r="Z52" s="61">
        <f>'TUSD BE'!$Z$52*'TUSD BF'!$Z$61</f>
        <v>0</v>
      </c>
      <c r="AA52" s="61">
        <f>'TUSD BE'!$AA$52*'TUSD BF'!$AA$61</f>
        <v>0</v>
      </c>
      <c r="AB52" s="61">
        <f>SUM($U$52:$AA$52)</f>
        <v>0</v>
      </c>
      <c r="AC52" s="61">
        <f>'TUSD BE'!$AC$52*'TUSD BF'!$AC$61</f>
        <v>0</v>
      </c>
      <c r="AD52" s="61">
        <f>SUM($AC$52:$AC$52)</f>
        <v>0</v>
      </c>
      <c r="AE52" s="61">
        <f ca="1">$AO$52*$AO$58</f>
        <v>0</v>
      </c>
      <c r="AF52" s="61">
        <f ca="1">$AP$52*$AP$58</f>
        <v>0</v>
      </c>
      <c r="AG52" s="61">
        <f ca="1">SUM($AE$52:$AF$52)</f>
        <v>0</v>
      </c>
      <c r="AH52" s="61">
        <f>'TUSD BE'!$AH$52*'TUSD BF'!$AH$61</f>
        <v>2.286801736758258</v>
      </c>
      <c r="AI52" s="61">
        <f>'TUSD BE'!$AI$52*'TUSD BF'!$AI$61</f>
        <v>2.3387613658480699E-2</v>
      </c>
      <c r="AJ52" s="61">
        <f ca="1">'TUSD BE'!$AJ$52*'TUSD BF'!$AJ$61</f>
        <v>8.5965855482137421E-2</v>
      </c>
      <c r="AK52" s="61">
        <f ca="1">'TUSD BE'!$AK$52*'TUSD BF'!$AK$61</f>
        <v>0</v>
      </c>
      <c r="AL52" s="61">
        <f ca="1">SUM($AH$52:$AK$52)</f>
        <v>2.396155205898876</v>
      </c>
      <c r="AM52" s="61">
        <f ca="1">SUMIF($L$4:$AL$4,"SUBTOTAL",$L$52:$AL$52)</f>
        <v>16.522110109188539</v>
      </c>
      <c r="AO52" s="68">
        <f ca="1">+'TUSD BE'!$T$52+'TUSD BE'!$AB$52+'TUSD BE'!$AD$52+'TUSD BE'!$AL$52</f>
        <v>502.42322646964709</v>
      </c>
      <c r="AP52" s="68">
        <f ca="1">+'TUSD BE'!$T$52+'TUSD BE'!$AB$52+'TUSD BE'!$AD$52+'TUSD BE'!$AL$52</f>
        <v>502.42322646964709</v>
      </c>
    </row>
    <row r="53" spans="1:42" ht="11.25" customHeight="1" x14ac:dyDescent="0.3">
      <c r="A53" s="132" t="s">
        <v>45</v>
      </c>
      <c r="B53" s="132" t="s">
        <v>23</v>
      </c>
      <c r="C53" s="132" t="s">
        <v>46</v>
      </c>
      <c r="D53" s="65" t="s">
        <v>47</v>
      </c>
      <c r="E53" s="65" t="s">
        <v>25</v>
      </c>
      <c r="F53" s="65" t="s">
        <v>25</v>
      </c>
      <c r="G53" s="66" t="s">
        <v>81</v>
      </c>
      <c r="H53" s="66" t="s">
        <v>76</v>
      </c>
      <c r="I53" s="66">
        <f>'MERCADO TUSD'!$U$50</f>
        <v>4365.4290000000001</v>
      </c>
      <c r="J53" s="15"/>
      <c r="L53" s="61">
        <f>'TUSD BE'!$L$53*'TUSD BF'!$L$61</f>
        <v>0.12231801684979104</v>
      </c>
      <c r="M53" s="61">
        <f>'TUSD BE'!$M$53*'TUSD BF'!$M$61</f>
        <v>0</v>
      </c>
      <c r="N53" s="61">
        <f ca="1">'TUSD BE'!$N$53*'TUSD BF'!$N$61</f>
        <v>0</v>
      </c>
      <c r="O53" s="61">
        <f>'TUSD BE'!$O$53*'TUSD BF'!$O$61</f>
        <v>0</v>
      </c>
      <c r="P53" s="61">
        <f>'TUSD BE'!$P$53*'TUSD BF'!$P$61</f>
        <v>0</v>
      </c>
      <c r="Q53" s="61">
        <f>'TUSD BE'!$Q$53*'TUSD BF'!$Q$61</f>
        <v>6.0940153102955614</v>
      </c>
      <c r="R53" s="61">
        <f>'TUSD BE'!$R$53*'TUSD BF'!$R$61</f>
        <v>1.5529418696639636</v>
      </c>
      <c r="S53" s="61">
        <f>'TUSD BE'!$R$53*'TUSD BF'!$S$61</f>
        <v>0</v>
      </c>
      <c r="T53" s="61">
        <f ca="1">SUM($L$53:$S$53)</f>
        <v>7.7692751968093159</v>
      </c>
      <c r="U53" s="61">
        <f>'TUSD BE'!$U$53*'TUSD BF'!$U$61</f>
        <v>0</v>
      </c>
      <c r="V53" s="61">
        <f>'TUSD BE'!$V$53*'TUSD BF'!$V$61</f>
        <v>0</v>
      </c>
      <c r="W53" s="61">
        <f>'TUSD BE'!$W$53*'TUSD BF'!$W$61</f>
        <v>0</v>
      </c>
      <c r="X53" s="61">
        <f>'TUSD BE'!$X$53*'TUSD BF'!$X$61</f>
        <v>0</v>
      </c>
      <c r="Y53" s="61">
        <f>'TUSD BE'!$Y$53*'TUSD BF'!$Y$61</f>
        <v>0</v>
      </c>
      <c r="Z53" s="61">
        <f>'TUSD BE'!$Z$53*'TUSD BF'!$Z$61</f>
        <v>0</v>
      </c>
      <c r="AA53" s="61">
        <f>'TUSD BE'!$AA$53*'TUSD BF'!$AA$61</f>
        <v>0</v>
      </c>
      <c r="AB53" s="61">
        <f>SUM($U$53:$AA$53)</f>
        <v>0</v>
      </c>
      <c r="AC53" s="61">
        <f>'TUSD BE'!$AC$53*'TUSD BF'!$AC$61</f>
        <v>0</v>
      </c>
      <c r="AD53" s="61">
        <f>SUM($AC$53:$AC$53)</f>
        <v>0</v>
      </c>
      <c r="AE53" s="61">
        <f ca="1">$AO$53*$AO$58</f>
        <v>0</v>
      </c>
      <c r="AF53" s="61">
        <f ca="1">$AP$53*$AP$58</f>
        <v>0</v>
      </c>
      <c r="AG53" s="61">
        <f ca="1">SUM($AE$53:$AF$53)</f>
        <v>0</v>
      </c>
      <c r="AH53" s="61">
        <f>'TUSD BE'!$AH$53*'TUSD BF'!$AH$61</f>
        <v>1.257740955217042</v>
      </c>
      <c r="AI53" s="61">
        <f>'TUSD BE'!$AI$53*'TUSD BF'!$AI$61</f>
        <v>1.2863187512164387E-2</v>
      </c>
      <c r="AJ53" s="61">
        <f ca="1">'TUSD BE'!$AJ$53*'TUSD BF'!$AJ$61</f>
        <v>4.7281220515175582E-2</v>
      </c>
      <c r="AK53" s="61">
        <f ca="1">'TUSD BE'!$AK$53*'TUSD BF'!$AK$61</f>
        <v>0</v>
      </c>
      <c r="AL53" s="61">
        <f ca="1">SUM($AH$53:$AK$53)</f>
        <v>1.3178853632443819</v>
      </c>
      <c r="AM53" s="61">
        <f ca="1">SUMIF($L$4:$AL$4,"SUBTOTAL",$L$53:$AL$53)</f>
        <v>9.0871605600536984</v>
      </c>
      <c r="AO53" s="68">
        <f ca="1">+'TUSD BE'!$T$53+'TUSD BE'!$AB$53+'TUSD BE'!$AD$53+'TUSD BE'!$AL$53</f>
        <v>276.33277455830597</v>
      </c>
      <c r="AP53" s="68">
        <f ca="1">+'TUSD BE'!$T$53+'TUSD BE'!$AB$53+'TUSD BE'!$AD$53+'TUSD BE'!$AL$53</f>
        <v>276.33277455830597</v>
      </c>
    </row>
    <row r="54" spans="1:42" ht="11.25" customHeight="1" x14ac:dyDescent="0.3">
      <c r="A54" s="132"/>
      <c r="B54" s="132"/>
      <c r="C54" s="132"/>
      <c r="D54" s="66" t="s">
        <v>98</v>
      </c>
      <c r="E54" s="66" t="s">
        <v>25</v>
      </c>
      <c r="F54" s="66" t="s">
        <v>25</v>
      </c>
      <c r="G54" s="66" t="s">
        <v>81</v>
      </c>
      <c r="H54" s="66" t="s">
        <v>76</v>
      </c>
      <c r="I54" s="66">
        <f>'MERCADO TUSD'!$U$51</f>
        <v>0</v>
      </c>
      <c r="J54" s="15"/>
      <c r="L54" s="61">
        <f>'TUSD BE'!$L$54*'TUSD BF'!$L$61</f>
        <v>0.13343783656340841</v>
      </c>
      <c r="M54" s="61">
        <f>'TUSD BE'!$M$54*'TUSD BF'!$M$61</f>
        <v>0</v>
      </c>
      <c r="N54" s="61">
        <f ca="1">'TUSD BE'!$N$54*'TUSD BF'!$N$61</f>
        <v>0</v>
      </c>
      <c r="O54" s="61">
        <f>'TUSD BE'!$O$54*'TUSD BF'!$O$61</f>
        <v>0</v>
      </c>
      <c r="P54" s="61">
        <f>'TUSD BE'!$P$54*'TUSD BF'!$P$61</f>
        <v>0</v>
      </c>
      <c r="Q54" s="61">
        <f>'TUSD BE'!$Q$54*'TUSD BF'!$Q$61</f>
        <v>6.6480167021406116</v>
      </c>
      <c r="R54" s="61">
        <f>'TUSD BE'!$R$54*'TUSD BF'!$R$61</f>
        <v>1.6941184032697785</v>
      </c>
      <c r="S54" s="61">
        <f>'TUSD BE'!$R$54*'TUSD BF'!$S$61</f>
        <v>0</v>
      </c>
      <c r="T54" s="61">
        <f ca="1">SUM($L$54:$S$54)</f>
        <v>8.4755729419737982</v>
      </c>
      <c r="U54" s="61">
        <f>'TUSD BE'!$U$54*'TUSD BF'!$U$61</f>
        <v>0</v>
      </c>
      <c r="V54" s="61">
        <f>'TUSD BE'!$V$54*'TUSD BF'!$V$61</f>
        <v>0</v>
      </c>
      <c r="W54" s="61">
        <f>'TUSD BE'!$W$54*'TUSD BF'!$W$61</f>
        <v>0</v>
      </c>
      <c r="X54" s="61">
        <f>'TUSD BE'!$X$54*'TUSD BF'!$X$61</f>
        <v>0</v>
      </c>
      <c r="Y54" s="61">
        <f>'TUSD BE'!$Y$54*'TUSD BF'!$Y$61</f>
        <v>0</v>
      </c>
      <c r="Z54" s="61">
        <f>'TUSD BE'!$Z$54*'TUSD BF'!$Z$61</f>
        <v>0</v>
      </c>
      <c r="AA54" s="61">
        <f>'TUSD BE'!$AA$54*'TUSD BF'!$AA$61</f>
        <v>0</v>
      </c>
      <c r="AB54" s="61">
        <f>SUM($U$54:$AA$54)</f>
        <v>0</v>
      </c>
      <c r="AC54" s="61">
        <f>'TUSD BE'!$AC$54*'TUSD BF'!$AC$61</f>
        <v>0</v>
      </c>
      <c r="AD54" s="61">
        <f>SUM($AC$54:$AC$54)</f>
        <v>0</v>
      </c>
      <c r="AE54" s="61">
        <f ca="1">$AO$54*$AO$58</f>
        <v>0</v>
      </c>
      <c r="AF54" s="61">
        <f ca="1">$AP$54*$AP$58</f>
        <v>0</v>
      </c>
      <c r="AG54" s="61">
        <f ca="1">SUM($AE$54:$AF$54)</f>
        <v>0</v>
      </c>
      <c r="AH54" s="61">
        <f>'TUSD BE'!$AH$54*'TUSD BF'!$AH$61</f>
        <v>1.3720810420549547</v>
      </c>
      <c r="AI54" s="61">
        <f>'TUSD BE'!$AI$54*'TUSD BF'!$AI$61</f>
        <v>1.4032568195088418E-2</v>
      </c>
      <c r="AJ54" s="61">
        <f ca="1">'TUSD BE'!$AJ$54*'TUSD BF'!$AJ$61</f>
        <v>5.1579513289282446E-2</v>
      </c>
      <c r="AK54" s="61">
        <f ca="1">'TUSD BE'!$AK$54*'TUSD BF'!$AK$61</f>
        <v>0</v>
      </c>
      <c r="AL54" s="61">
        <f ca="1">SUM($AH$54:$AK$54)</f>
        <v>1.4376931235393255</v>
      </c>
      <c r="AM54" s="61">
        <f ca="1">SUMIF($L$4:$AL$4,"SUBTOTAL",$L$54:$AL$54)</f>
        <v>9.9132660655131239</v>
      </c>
      <c r="AO54" s="68">
        <f ca="1">+'TUSD BE'!$T$54+'TUSD BE'!$AB$54+'TUSD BE'!$AD$54+'TUSD BE'!$AL$54</f>
        <v>301.45393588178825</v>
      </c>
      <c r="AP54" s="68">
        <f ca="1">+'TUSD BE'!$T$54+'TUSD BE'!$AB$54+'TUSD BE'!$AD$54+'TUSD BE'!$AL$54</f>
        <v>301.45393588178825</v>
      </c>
    </row>
    <row r="56" spans="1:42" ht="11.25" customHeight="1" x14ac:dyDescent="0.3">
      <c r="K56" s="60" t="s">
        <v>709</v>
      </c>
      <c r="L56" s="61">
        <f>SUMPRODUCT($I$5:$I54,$L$5:$L54)</f>
        <v>15576.859586323053</v>
      </c>
      <c r="M56" s="61">
        <f>SUMPRODUCT($I$5:$I54,$M$5:$M54)</f>
        <v>0</v>
      </c>
      <c r="N56" s="61">
        <f ca="1">SUMPRODUCT($I$5:$I54,$N$5:$N54)</f>
        <v>0</v>
      </c>
      <c r="O56" s="61">
        <f>SUMPRODUCT($I$5:$I54,$O$5:$O54)</f>
        <v>0</v>
      </c>
      <c r="P56" s="61">
        <f>SUMPRODUCT($I$5:$I54,$P$5:$P54)</f>
        <v>0</v>
      </c>
      <c r="Q56" s="61">
        <f>SUMPRODUCT($I$5:$I54,$Q$5:$Q54)</f>
        <v>776055.91760000016</v>
      </c>
      <c r="R56" s="61">
        <f>SUMPRODUCT($I$5:$I54,$R$5:$R54)</f>
        <v>206711.23660000003</v>
      </c>
      <c r="S56" s="61">
        <f>SUMPRODUCT($I$5:$I54,$S$5:$S54)</f>
        <v>0</v>
      </c>
      <c r="T56" s="61">
        <f ca="1">SUMPRODUCT($I$5:$I54,$T$5:$T54)</f>
        <v>998344.01378632314</v>
      </c>
      <c r="U56" s="61">
        <f>SUMPRODUCT($I$5:$I54,$U$5:$U54)</f>
        <v>0</v>
      </c>
      <c r="V56" s="61">
        <f>SUMPRODUCT($I$5:$I54,$V$5:$V54)</f>
        <v>0</v>
      </c>
      <c r="W56" s="61">
        <f>SUMPRODUCT($I$5:$I54,$W$5:$W54)</f>
        <v>0</v>
      </c>
      <c r="X56" s="61">
        <f>SUMPRODUCT($I$5:$I54,$X$5:$X54)</f>
        <v>0</v>
      </c>
      <c r="Y56" s="61">
        <f>SUMPRODUCT($I$5:$I54,$Y$5:$Y54)</f>
        <v>0</v>
      </c>
      <c r="Z56" s="61">
        <f>SUMPRODUCT($I$5:$I54,$Z$5:$Z54)</f>
        <v>0</v>
      </c>
      <c r="AA56" s="61">
        <f>SUMPRODUCT($I$5:$I54,$AA$5:$AA54)</f>
        <v>0</v>
      </c>
      <c r="AB56" s="61">
        <f>SUMPRODUCT($I$5:$I54,$AB$5:$AB54)</f>
        <v>0</v>
      </c>
      <c r="AC56" s="61">
        <f>SUMPRODUCT($I$5:$I54,$AC$5:$AC54)</f>
        <v>0</v>
      </c>
      <c r="AD56" s="61">
        <f>SUMPRODUCT($I$5:$I54,$AD$5:$AD54)</f>
        <v>0</v>
      </c>
      <c r="AE56" s="61">
        <f ca="1">SUMPRODUCT($I$5:$I54,$AE$5:$AE54)</f>
        <v>0</v>
      </c>
      <c r="AF56" s="61">
        <f ca="1">SUMPRODUCT($I$5:$I54,$AF$5:$AF54)</f>
        <v>0</v>
      </c>
      <c r="AG56" s="61">
        <f ca="1">SUMPRODUCT($I$5:$I54,$AG$5:$AG54)</f>
        <v>0</v>
      </c>
      <c r="AH56" s="61">
        <f>SUMPRODUCT($I$5:$I54,$AH$5:$AH54)</f>
        <v>157569.7775658248</v>
      </c>
      <c r="AI56" s="61">
        <f>SUMPRODUCT($I$5:$I54,$AI$5:$AI54)</f>
        <v>1611.5000363723343</v>
      </c>
      <c r="AJ56" s="61">
        <f ca="1">SUMPRODUCT($I$5:$I54,$AJ$5:$AJ54)</f>
        <v>6541.0168089770095</v>
      </c>
      <c r="AK56" s="61">
        <f ca="1">SUMPRODUCT($I$5:$I54,$AK$5:$AK54)</f>
        <v>0</v>
      </c>
      <c r="AL56" s="61">
        <f ca="1">SUMPRODUCT($I$5:$I54,$AL$5:$AL54)</f>
        <v>165722.29441117414</v>
      </c>
      <c r="AM56" s="61">
        <f ca="1">SUMPRODUCT($I$5:$I54,$AM$5:$AM54)</f>
        <v>1164066.3081974974</v>
      </c>
      <c r="AO56" s="66">
        <f ca="1">SUMPRODUCT($I$5:$I54,$AO$5:$AO54)</f>
        <v>37533377.013104439</v>
      </c>
      <c r="AP56" s="66">
        <f ca="1">SUMPRODUCT($I$5:$I54,$AP$5:$AP54)</f>
        <v>38849095.970613673</v>
      </c>
    </row>
    <row r="57" spans="1:42" ht="11.25" customHeight="1" x14ac:dyDescent="0.3">
      <c r="K57" s="60" t="s">
        <v>652</v>
      </c>
      <c r="L57" s="61">
        <f>'TR TUSD'!$L$59</f>
        <v>237499.78640641886</v>
      </c>
      <c r="M57" s="61">
        <f>'TR TUSD'!$M$59</f>
        <v>73374.677892889988</v>
      </c>
      <c r="N57" s="61">
        <f>'TR TUSD'!$N$59</f>
        <v>252169.25620839672</v>
      </c>
      <c r="O57" s="61">
        <f>'TR TUSD'!$O$59</f>
        <v>0</v>
      </c>
      <c r="P57" s="61">
        <f>'TR TUSD'!$P$59</f>
        <v>0</v>
      </c>
      <c r="Q57" s="61">
        <f>'TR TUSD'!$Q$59</f>
        <v>6277945.6326438915</v>
      </c>
      <c r="R57" s="61">
        <f>'TR TUSD'!$R$59</f>
        <v>1038653.7823800762</v>
      </c>
      <c r="S57" s="61">
        <f>'TR TUSD'!$S$59</f>
        <v>0</v>
      </c>
      <c r="T57" s="61">
        <f>'TR TUSD'!$T$59</f>
        <v>7879643.1355316732</v>
      </c>
      <c r="U57" s="61">
        <f>'TR TUSD'!$U$59</f>
        <v>0</v>
      </c>
      <c r="V57" s="61">
        <f>'TR TUSD'!$V$59</f>
        <v>0</v>
      </c>
      <c r="W57" s="61">
        <f>'TR TUSD'!$W$59</f>
        <v>0</v>
      </c>
      <c r="X57" s="61">
        <f>'TR TUSD'!$X$59</f>
        <v>0</v>
      </c>
      <c r="Y57" s="61">
        <f>'TR TUSD'!$Y$59</f>
        <v>13361511.865062799</v>
      </c>
      <c r="Z57" s="61">
        <f>'TR TUSD'!$Z$59</f>
        <v>0</v>
      </c>
      <c r="AA57" s="61">
        <f>'TR TUSD'!$AA$59</f>
        <v>0</v>
      </c>
      <c r="AB57" s="61">
        <f>'TR TUSD'!$AB$59</f>
        <v>13361511.865062799</v>
      </c>
      <c r="AC57" s="61">
        <f>'TR TUSD'!$AC$59</f>
        <v>15957830.327701807</v>
      </c>
      <c r="AD57" s="61">
        <f>'TR TUSD'!$AD$59</f>
        <v>15957830.327701807</v>
      </c>
      <c r="AE57" s="61">
        <f>'TR TUSD'!$AE$59</f>
        <v>0</v>
      </c>
      <c r="AF57" s="61">
        <f>'TR TUSD'!$AF$59</f>
        <v>0</v>
      </c>
      <c r="AG57" s="61">
        <f>'TR TUSD'!$AG$59</f>
        <v>0</v>
      </c>
      <c r="AH57" s="61">
        <f>'TR TUSD'!$AH$59</f>
        <v>1547837.5890843272</v>
      </c>
      <c r="AI57" s="61">
        <f>'TR TUSD'!$AI$59</f>
        <v>15830.06823796428</v>
      </c>
      <c r="AJ57" s="61">
        <f>'TR TUSD'!$AJ$59</f>
        <v>64253.639525114879</v>
      </c>
      <c r="AK57" s="61">
        <f>'TR TUSD'!$AK$59</f>
        <v>22189.345469980515</v>
      </c>
      <c r="AL57" s="61">
        <f>'TR TUSD'!$AL$59</f>
        <v>1650110.6423173868</v>
      </c>
      <c r="AM57" s="61">
        <f>CUSTOS!$D$29</f>
        <v>38849095.970613666</v>
      </c>
      <c r="AO57" s="66">
        <f>$AE$59</f>
        <v>0</v>
      </c>
      <c r="AP57" s="66">
        <f>$AF$59</f>
        <v>0</v>
      </c>
    </row>
    <row r="58" spans="1:42" ht="11.25" customHeight="1" x14ac:dyDescent="0.3">
      <c r="K58" s="60" t="s">
        <v>653</v>
      </c>
      <c r="L58" s="61">
        <f>CUSTOS!$E$2</f>
        <v>-6321.8271732228659</v>
      </c>
      <c r="M58" s="61">
        <f>CUSTOS!$E$3</f>
        <v>-1462.854310844883</v>
      </c>
      <c r="N58" s="61">
        <f>CUSTOS!$E$4</f>
        <v>-1.9727855092924103</v>
      </c>
      <c r="O58" s="61">
        <f>CUSTOS!$E$5</f>
        <v>0</v>
      </c>
      <c r="P58" s="61">
        <f>CUSTOS!$E$6</f>
        <v>0</v>
      </c>
      <c r="Q58" s="61">
        <f>CUSTOS!$E$7</f>
        <v>-66756.333714650362</v>
      </c>
      <c r="R58" s="61">
        <f>CUSTOS!$E$8</f>
        <v>-10513.389966282062</v>
      </c>
      <c r="S58" s="61">
        <f>CUSTOS!$E$9</f>
        <v>0</v>
      </c>
      <c r="T58" s="61">
        <f>CUSTOS!$E$10</f>
        <v>-85056.377950509472</v>
      </c>
      <c r="U58" s="61">
        <f>CUSTOS!$E$11</f>
        <v>0</v>
      </c>
      <c r="V58" s="61">
        <f>CUSTOS!$E$12</f>
        <v>0</v>
      </c>
      <c r="W58" s="61">
        <f>CUSTOS!$E$13</f>
        <v>0</v>
      </c>
      <c r="X58" s="61">
        <f>CUSTOS!$E$14</f>
        <v>0</v>
      </c>
      <c r="Y58" s="61">
        <f>CUSTOS!$E$15</f>
        <v>-2303426.1390031921</v>
      </c>
      <c r="Z58" s="61">
        <f>CUSTOS!$E$16</f>
        <v>0</v>
      </c>
      <c r="AA58" s="61">
        <f>CUSTOS!$E$17</f>
        <v>0</v>
      </c>
      <c r="AB58" s="61">
        <f>CUSTOS!$E$18</f>
        <v>-2303426.1390031921</v>
      </c>
      <c r="AC58" s="61">
        <f>CUSTOS!$E$19</f>
        <v>1487377.6100786317</v>
      </c>
      <c r="AD58" s="61">
        <f>CUSTOS!$E$20</f>
        <v>1487377.6100786317</v>
      </c>
      <c r="AE58" s="61">
        <f>CUSTOS!$E$21</f>
        <v>-4597767.3896910865</v>
      </c>
      <c r="AF58" s="61">
        <f>CUSTOS!$E$22</f>
        <v>0</v>
      </c>
      <c r="AG58" s="61">
        <f>CUSTOS!$E$23</f>
        <v>-4597767.3896910865</v>
      </c>
      <c r="AH58" s="61">
        <f>CUSTOS!$E$24</f>
        <v>-230757.57815953059</v>
      </c>
      <c r="AI58" s="61">
        <f>CUSTOS!$E$25</f>
        <v>-2360.0074287210841</v>
      </c>
      <c r="AJ58" s="61">
        <f>CUSTOS!$E$26</f>
        <v>-9579.1795917828786</v>
      </c>
      <c r="AK58" s="61">
        <f>CUSTOS!$E$27</f>
        <v>3373.324918591873</v>
      </c>
      <c r="AL58" s="61">
        <f>CUSTOS!$E$28</f>
        <v>-239323.44026144268</v>
      </c>
      <c r="AM58" s="61">
        <f>CUSTOS!$E$29</f>
        <v>-5738195.7368275989</v>
      </c>
      <c r="AO58" s="66">
        <f ca="1">IF(AO56&lt;&gt;0,AO57/AO56,0)</f>
        <v>0</v>
      </c>
      <c r="AP58" s="66">
        <f ca="1">IF(AP56&lt;&gt;0,AP57/AP56,0)</f>
        <v>0</v>
      </c>
    </row>
    <row r="59" spans="1:42" ht="11.25" customHeight="1" x14ac:dyDescent="0.3">
      <c r="K59" s="60" t="s">
        <v>654</v>
      </c>
      <c r="L59" s="61">
        <f>CUSTOS!$F$2</f>
        <v>15576.859586323053</v>
      </c>
      <c r="M59" s="61">
        <f>CUSTOS!$F$3</f>
        <v>0</v>
      </c>
      <c r="N59" s="61">
        <f>CUSTOS!$F$4</f>
        <v>0</v>
      </c>
      <c r="O59" s="61">
        <f>CUSTOS!$F$5</f>
        <v>0</v>
      </c>
      <c r="P59" s="61">
        <f>CUSTOS!$F$6</f>
        <v>0</v>
      </c>
      <c r="Q59" s="61">
        <f>CUSTOS!$F$7</f>
        <v>776055.91760000004</v>
      </c>
      <c r="R59" s="61">
        <f>CUSTOS!$F$8</f>
        <v>206711.2366</v>
      </c>
      <c r="S59" s="61">
        <f>CUSTOS!$F$9</f>
        <v>0</v>
      </c>
      <c r="T59" s="61">
        <f>CUSTOS!$F$10</f>
        <v>998344.01378632314</v>
      </c>
      <c r="U59" s="61">
        <f>CUSTOS!$F$11</f>
        <v>0</v>
      </c>
      <c r="V59" s="61">
        <f>CUSTOS!$F$12</f>
        <v>0</v>
      </c>
      <c r="W59" s="61">
        <f>CUSTOS!$F$13</f>
        <v>0</v>
      </c>
      <c r="X59" s="61">
        <f>CUSTOS!$F$14</f>
        <v>0</v>
      </c>
      <c r="Y59" s="61">
        <f>CUSTOS!$F$15</f>
        <v>0</v>
      </c>
      <c r="Z59" s="61">
        <f>CUSTOS!$F$16</f>
        <v>0</v>
      </c>
      <c r="AA59" s="61">
        <f>CUSTOS!$F$17</f>
        <v>0</v>
      </c>
      <c r="AB59" s="61">
        <f>CUSTOS!$F$18</f>
        <v>0</v>
      </c>
      <c r="AC59" s="61">
        <f>CUSTOS!$F$19</f>
        <v>0</v>
      </c>
      <c r="AD59" s="61">
        <f>CUSTOS!$F$20</f>
        <v>0</v>
      </c>
      <c r="AE59" s="61">
        <f>CUSTOS!$F$21</f>
        <v>0</v>
      </c>
      <c r="AF59" s="61">
        <f>CUSTOS!$F$22</f>
        <v>0</v>
      </c>
      <c r="AG59" s="61">
        <f>CUSTOS!$F$23</f>
        <v>0</v>
      </c>
      <c r="AH59" s="61">
        <f>CUSTOS!$F$24</f>
        <v>157569.77756582474</v>
      </c>
      <c r="AI59" s="61">
        <f>CUSTOS!$F$25</f>
        <v>1611.5000363723336</v>
      </c>
      <c r="AJ59" s="61">
        <f>CUSTOS!$F$26</f>
        <v>6541.0168089770114</v>
      </c>
      <c r="AK59" s="61">
        <f>CUSTOS!$F$27</f>
        <v>0</v>
      </c>
      <c r="AL59" s="61">
        <f>CUSTOS!$F$28</f>
        <v>165722.29441117408</v>
      </c>
      <c r="AM59" s="61">
        <f>CUSTOS!$F$29</f>
        <v>1164066.3081974972</v>
      </c>
    </row>
    <row r="60" spans="1:42" ht="11.25" customHeight="1" x14ac:dyDescent="0.3">
      <c r="K60" s="60" t="s">
        <v>706</v>
      </c>
      <c r="L60" s="61">
        <v>0</v>
      </c>
      <c r="M60" s="61">
        <v>0</v>
      </c>
      <c r="N60" s="61">
        <v>0</v>
      </c>
      <c r="O60" s="61">
        <v>0</v>
      </c>
      <c r="P60" s="61">
        <v>0</v>
      </c>
      <c r="Q60" s="61">
        <v>0</v>
      </c>
      <c r="R60" s="61">
        <v>0</v>
      </c>
      <c r="S60" s="61">
        <v>0</v>
      </c>
      <c r="T60" s="61"/>
      <c r="U60" s="61">
        <v>0</v>
      </c>
      <c r="V60" s="61">
        <v>0</v>
      </c>
      <c r="W60" s="61">
        <v>0</v>
      </c>
      <c r="X60" s="61">
        <v>0</v>
      </c>
      <c r="Y60" s="61">
        <v>0</v>
      </c>
      <c r="Z60" s="61">
        <v>0</v>
      </c>
      <c r="AA60" s="61">
        <v>0</v>
      </c>
      <c r="AB60" s="61"/>
      <c r="AC60" s="61">
        <v>0</v>
      </c>
      <c r="AD60" s="61"/>
      <c r="AE60" s="61">
        <v>0</v>
      </c>
      <c r="AF60" s="61">
        <v>0</v>
      </c>
      <c r="AG60" s="61"/>
      <c r="AH60" s="61">
        <v>0</v>
      </c>
      <c r="AI60" s="61">
        <v>0</v>
      </c>
      <c r="AJ60" s="61">
        <v>0</v>
      </c>
      <c r="AK60" s="61">
        <v>0</v>
      </c>
      <c r="AL60" s="61"/>
      <c r="AM60" s="61"/>
    </row>
  </sheetData>
  <mergeCells count="78">
    <mergeCell ref="A53:A54"/>
    <mergeCell ref="B53:B54"/>
    <mergeCell ref="C53:C54"/>
    <mergeCell ref="A48:A52"/>
    <mergeCell ref="B48:B50"/>
    <mergeCell ref="C48:C50"/>
    <mergeCell ref="D48:D50"/>
    <mergeCell ref="E48:E50"/>
    <mergeCell ref="F48:F50"/>
    <mergeCell ref="B41:B43"/>
    <mergeCell ref="C41:C43"/>
    <mergeCell ref="D41:D43"/>
    <mergeCell ref="E41:E43"/>
    <mergeCell ref="F41:F43"/>
    <mergeCell ref="B45:B47"/>
    <mergeCell ref="C45:C47"/>
    <mergeCell ref="C28:C32"/>
    <mergeCell ref="F33:F35"/>
    <mergeCell ref="B37:B39"/>
    <mergeCell ref="C37:C39"/>
    <mergeCell ref="D37:D39"/>
    <mergeCell ref="E37:E39"/>
    <mergeCell ref="F37:F39"/>
    <mergeCell ref="A33:A47"/>
    <mergeCell ref="B33:B35"/>
    <mergeCell ref="C33:C35"/>
    <mergeCell ref="D33:D35"/>
    <mergeCell ref="E33:E35"/>
    <mergeCell ref="F13:F15"/>
    <mergeCell ref="E16:E17"/>
    <mergeCell ref="A20:A32"/>
    <mergeCell ref="B20:B22"/>
    <mergeCell ref="C20:C22"/>
    <mergeCell ref="D20:D22"/>
    <mergeCell ref="E20:E22"/>
    <mergeCell ref="F16:F17"/>
    <mergeCell ref="A18:A19"/>
    <mergeCell ref="B18:B19"/>
    <mergeCell ref="C18:C19"/>
    <mergeCell ref="D18:D19"/>
    <mergeCell ref="F20:F22"/>
    <mergeCell ref="B23:B27"/>
    <mergeCell ref="C23:C27"/>
    <mergeCell ref="B28:B32"/>
    <mergeCell ref="J1:J4"/>
    <mergeCell ref="L1:AM1"/>
    <mergeCell ref="A1:A4"/>
    <mergeCell ref="C9:C11"/>
    <mergeCell ref="D9:D11"/>
    <mergeCell ref="E9:E11"/>
    <mergeCell ref="F9:F11"/>
    <mergeCell ref="F5:F7"/>
    <mergeCell ref="B9:B11"/>
    <mergeCell ref="G1:G4"/>
    <mergeCell ref="H1:H4"/>
    <mergeCell ref="I1:I4"/>
    <mergeCell ref="A5:A17"/>
    <mergeCell ref="B5:B8"/>
    <mergeCell ref="C5:C8"/>
    <mergeCell ref="D5:D8"/>
    <mergeCell ref="E5:E7"/>
    <mergeCell ref="B13:B17"/>
    <mergeCell ref="C13:C17"/>
    <mergeCell ref="D13:D17"/>
    <mergeCell ref="E13:E15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56">
    <cfRule type="cellIs" dxfId="3765" priority="55" operator="notEqual">
      <formula>$L$59</formula>
    </cfRule>
    <cfRule type="cellIs" dxfId="3764" priority="56" operator="equal">
      <formula>$L$59</formula>
    </cfRule>
  </conditionalFormatting>
  <conditionalFormatting sqref="M56">
    <cfRule type="cellIs" dxfId="3763" priority="53" operator="notEqual">
      <formula>$M$59</formula>
    </cfRule>
    <cfRule type="cellIs" dxfId="3762" priority="54" operator="equal">
      <formula>$M$59</formula>
    </cfRule>
  </conditionalFormatting>
  <conditionalFormatting sqref="N56">
    <cfRule type="cellIs" dxfId="3761" priority="51" operator="notEqual">
      <formula>$N$59</formula>
    </cfRule>
    <cfRule type="cellIs" dxfId="3760" priority="52" operator="equal">
      <formula>$N$59</formula>
    </cfRule>
  </conditionalFormatting>
  <conditionalFormatting sqref="O56">
    <cfRule type="cellIs" dxfId="3759" priority="49" operator="notEqual">
      <formula>$O$59</formula>
    </cfRule>
    <cfRule type="cellIs" dxfId="3758" priority="50" operator="equal">
      <formula>$O$59</formula>
    </cfRule>
  </conditionalFormatting>
  <conditionalFormatting sqref="P56">
    <cfRule type="cellIs" dxfId="3757" priority="47" operator="notEqual">
      <formula>$P$59</formula>
    </cfRule>
    <cfRule type="cellIs" dxfId="3756" priority="48" operator="equal">
      <formula>$P$59</formula>
    </cfRule>
  </conditionalFormatting>
  <conditionalFormatting sqref="Q56">
    <cfRule type="cellIs" dxfId="3755" priority="45" operator="notEqual">
      <formula>$Q$59</formula>
    </cfRule>
    <cfRule type="cellIs" dxfId="3754" priority="46" operator="equal">
      <formula>$Q$59</formula>
    </cfRule>
  </conditionalFormatting>
  <conditionalFormatting sqref="R56">
    <cfRule type="cellIs" dxfId="3753" priority="43" operator="notEqual">
      <formula>$R$59</formula>
    </cfRule>
    <cfRule type="cellIs" dxfId="3752" priority="44" operator="equal">
      <formula>$R$59</formula>
    </cfRule>
  </conditionalFormatting>
  <conditionalFormatting sqref="S56">
    <cfRule type="cellIs" dxfId="3751" priority="41" operator="notEqual">
      <formula>$S$59</formula>
    </cfRule>
    <cfRule type="cellIs" dxfId="3750" priority="42" operator="equal">
      <formula>$S$59</formula>
    </cfRule>
  </conditionalFormatting>
  <conditionalFormatting sqref="T56">
    <cfRule type="cellIs" dxfId="3749" priority="39" operator="notEqual">
      <formula>$T$59</formula>
    </cfRule>
    <cfRule type="cellIs" dxfId="3748" priority="40" operator="equal">
      <formula>$T$59</formula>
    </cfRule>
  </conditionalFormatting>
  <conditionalFormatting sqref="U56">
    <cfRule type="cellIs" dxfId="3747" priority="37" operator="notEqual">
      <formula>$U$59</formula>
    </cfRule>
    <cfRule type="cellIs" dxfId="3746" priority="38" operator="equal">
      <formula>$U$59</formula>
    </cfRule>
  </conditionalFormatting>
  <conditionalFormatting sqref="V56">
    <cfRule type="cellIs" dxfId="3745" priority="35" operator="notEqual">
      <formula>$V$59</formula>
    </cfRule>
    <cfRule type="cellIs" dxfId="3744" priority="36" operator="equal">
      <formula>$V$59</formula>
    </cfRule>
  </conditionalFormatting>
  <conditionalFormatting sqref="W56">
    <cfRule type="cellIs" dxfId="3743" priority="33" operator="notEqual">
      <formula>$W$59</formula>
    </cfRule>
    <cfRule type="cellIs" dxfId="3742" priority="34" operator="equal">
      <formula>$W$59</formula>
    </cfRule>
  </conditionalFormatting>
  <conditionalFormatting sqref="X56">
    <cfRule type="cellIs" dxfId="3741" priority="31" operator="notEqual">
      <formula>$X$59</formula>
    </cfRule>
    <cfRule type="cellIs" dxfId="3740" priority="32" operator="equal">
      <formula>$X$59</formula>
    </cfRule>
  </conditionalFormatting>
  <conditionalFormatting sqref="Y56">
    <cfRule type="cellIs" dxfId="3739" priority="29" operator="notEqual">
      <formula>$Y$59</formula>
    </cfRule>
    <cfRule type="cellIs" dxfId="3738" priority="30" operator="equal">
      <formula>$Y$59</formula>
    </cfRule>
  </conditionalFormatting>
  <conditionalFormatting sqref="Z56">
    <cfRule type="cellIs" dxfId="3737" priority="27" operator="notEqual">
      <formula>$Z$59</formula>
    </cfRule>
    <cfRule type="cellIs" dxfId="3736" priority="28" operator="equal">
      <formula>$Z$59</formula>
    </cfRule>
  </conditionalFormatting>
  <conditionalFormatting sqref="AA56">
    <cfRule type="cellIs" dxfId="3735" priority="25" operator="notEqual">
      <formula>$AA$59</formula>
    </cfRule>
    <cfRule type="cellIs" dxfId="3734" priority="26" operator="equal">
      <formula>$AA$59</formula>
    </cfRule>
  </conditionalFormatting>
  <conditionalFormatting sqref="AB56">
    <cfRule type="cellIs" dxfId="3733" priority="23" operator="notEqual">
      <formula>$AB$59</formula>
    </cfRule>
    <cfRule type="cellIs" dxfId="3732" priority="24" operator="equal">
      <formula>$AB$59</formula>
    </cfRule>
  </conditionalFormatting>
  <conditionalFormatting sqref="AC56">
    <cfRule type="cellIs" dxfId="3731" priority="21" operator="notEqual">
      <formula>$AC$59</formula>
    </cfRule>
    <cfRule type="cellIs" dxfId="3730" priority="22" operator="equal">
      <formula>$AC$59</formula>
    </cfRule>
  </conditionalFormatting>
  <conditionalFormatting sqref="AD56">
    <cfRule type="cellIs" dxfId="3729" priority="19" operator="notEqual">
      <formula>$AD$59</formula>
    </cfRule>
    <cfRule type="cellIs" dxfId="3728" priority="20" operator="equal">
      <formula>$AD$59</formula>
    </cfRule>
  </conditionalFormatting>
  <conditionalFormatting sqref="AE56">
    <cfRule type="cellIs" dxfId="3727" priority="17" operator="notEqual">
      <formula>$AE$59</formula>
    </cfRule>
    <cfRule type="cellIs" dxfId="3726" priority="18" operator="equal">
      <formula>$AE$59</formula>
    </cfRule>
  </conditionalFormatting>
  <conditionalFormatting sqref="AF56">
    <cfRule type="cellIs" dxfId="3725" priority="16" operator="equal">
      <formula>$AF$59</formula>
    </cfRule>
  </conditionalFormatting>
  <conditionalFormatting sqref="AF56">
    <cfRule type="cellIs" dxfId="3724" priority="15" operator="notEqual">
      <formula>$AF$59</formula>
    </cfRule>
  </conditionalFormatting>
  <conditionalFormatting sqref="AG56">
    <cfRule type="cellIs" dxfId="3723" priority="14" operator="equal">
      <formula>$AG$59</formula>
    </cfRule>
  </conditionalFormatting>
  <conditionalFormatting sqref="AG56">
    <cfRule type="cellIs" dxfId="3722" priority="13" operator="notEqual">
      <formula>$AG$59</formula>
    </cfRule>
  </conditionalFormatting>
  <conditionalFormatting sqref="AH56">
    <cfRule type="cellIs" dxfId="3721" priority="12" operator="equal">
      <formula>$AH$59</formula>
    </cfRule>
  </conditionalFormatting>
  <conditionalFormatting sqref="AH56">
    <cfRule type="cellIs" dxfId="3720" priority="11" operator="notEqual">
      <formula>$AH$59</formula>
    </cfRule>
  </conditionalFormatting>
  <conditionalFormatting sqref="AI56">
    <cfRule type="cellIs" dxfId="3719" priority="10" operator="equal">
      <formula>$AI$59</formula>
    </cfRule>
  </conditionalFormatting>
  <conditionalFormatting sqref="AI56">
    <cfRule type="cellIs" dxfId="3718" priority="9" operator="notEqual">
      <formula>$AI$59</formula>
    </cfRule>
  </conditionalFormatting>
  <conditionalFormatting sqref="AJ56">
    <cfRule type="cellIs" dxfId="3717" priority="8" operator="equal">
      <formula>$AJ$59</formula>
    </cfRule>
  </conditionalFormatting>
  <conditionalFormatting sqref="AJ56">
    <cfRule type="cellIs" dxfId="3716" priority="7" operator="notEqual">
      <formula>$AJ$59</formula>
    </cfRule>
  </conditionalFormatting>
  <conditionalFormatting sqref="AK56">
    <cfRule type="cellIs" dxfId="3715" priority="6" operator="equal">
      <formula>$AK$59</formula>
    </cfRule>
  </conditionalFormatting>
  <conditionalFormatting sqref="AK56">
    <cfRule type="cellIs" dxfId="3714" priority="5" operator="notEqual">
      <formula>$AK$59</formula>
    </cfRule>
  </conditionalFormatting>
  <conditionalFormatting sqref="AL56">
    <cfRule type="cellIs" dxfId="3713" priority="4" operator="equal">
      <formula>$AL$59</formula>
    </cfRule>
  </conditionalFormatting>
  <conditionalFormatting sqref="AL56">
    <cfRule type="cellIs" dxfId="3712" priority="3" operator="notEqual">
      <formula>$AL$59</formula>
    </cfRule>
  </conditionalFormatting>
  <conditionalFormatting sqref="AM56">
    <cfRule type="cellIs" dxfId="3711" priority="2" operator="equal">
      <formula>$AM$59</formula>
    </cfRule>
  </conditionalFormatting>
  <conditionalFormatting sqref="AM56">
    <cfRule type="cellIs" dxfId="3710" priority="1" operator="notEqual">
      <formula>$AM$59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A4FDA-02D1-4E63-B1C1-909C2BBB436F}">
  <sheetPr codeName="Planilha12"/>
  <dimension ref="A1:AB53"/>
  <sheetViews>
    <sheetView showGridLines="0" topLeftCell="A29" workbookViewId="0">
      <selection activeCell="K47" sqref="K47:AB53"/>
    </sheetView>
  </sheetViews>
  <sheetFormatPr defaultColWidth="9.1093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9.109375" style="9"/>
    <col min="11" max="11" width="20" style="9" bestFit="1" customWidth="1"/>
    <col min="12" max="12" width="8.6640625" style="9" bestFit="1" customWidth="1"/>
    <col min="13" max="13" width="10" style="9" bestFit="1" customWidth="1"/>
    <col min="14" max="14" width="7.88671875" style="9" bestFit="1" customWidth="1"/>
    <col min="15" max="15" width="11.109375" style="9" bestFit="1" customWidth="1"/>
    <col min="16" max="16" width="10.5546875" style="9" bestFit="1" customWidth="1"/>
    <col min="17" max="17" width="10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7.88671875" style="9" bestFit="1" customWidth="1"/>
    <col min="23" max="23" width="9.33203125" style="9" bestFit="1" customWidth="1"/>
    <col min="24" max="25" width="10.554687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9.109375" style="9"/>
  </cols>
  <sheetData>
    <row r="1" spans="1:28" ht="11.25" customHeight="1" x14ac:dyDescent="0.3">
      <c r="A1" s="142" t="s">
        <v>66</v>
      </c>
      <c r="B1" s="142" t="s">
        <v>67</v>
      </c>
      <c r="C1" s="142" t="s">
        <v>68</v>
      </c>
      <c r="D1" s="142" t="s">
        <v>69</v>
      </c>
      <c r="E1" s="142" t="s">
        <v>70</v>
      </c>
      <c r="F1" s="142" t="s">
        <v>15</v>
      </c>
      <c r="G1" s="142" t="s">
        <v>72</v>
      </c>
      <c r="H1" s="142" t="s">
        <v>73</v>
      </c>
      <c r="I1" s="142" t="s">
        <v>700</v>
      </c>
      <c r="J1" s="125"/>
      <c r="L1" s="140" t="s">
        <v>715</v>
      </c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11.25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25"/>
      <c r="L2" s="140" t="s">
        <v>638</v>
      </c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spans="1:28" ht="11.25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25"/>
      <c r="L3" s="140" t="s">
        <v>611</v>
      </c>
      <c r="M3" s="140"/>
      <c r="N3" s="140"/>
      <c r="O3" s="140"/>
      <c r="P3" s="140"/>
      <c r="Q3" s="140"/>
      <c r="R3" s="140" t="s">
        <v>642</v>
      </c>
      <c r="S3" s="140"/>
      <c r="T3" s="140" t="s">
        <v>620</v>
      </c>
      <c r="U3" s="140"/>
      <c r="V3" s="140"/>
      <c r="W3" s="140"/>
      <c r="X3" s="140" t="s">
        <v>630</v>
      </c>
      <c r="Y3" s="140"/>
      <c r="Z3" s="140" t="s">
        <v>633</v>
      </c>
      <c r="AA3" s="140"/>
      <c r="AB3" s="140" t="s">
        <v>619</v>
      </c>
    </row>
    <row r="4" spans="1:28" ht="11.25" customHeight="1" x14ac:dyDescent="0.3">
      <c r="A4" s="142"/>
      <c r="B4" s="142"/>
      <c r="C4" s="142"/>
      <c r="D4" s="142"/>
      <c r="E4" s="142"/>
      <c r="F4" s="142"/>
      <c r="G4" s="142"/>
      <c r="H4" s="142"/>
      <c r="I4" s="142"/>
      <c r="J4" s="125"/>
      <c r="L4" s="72" t="s">
        <v>613</v>
      </c>
      <c r="M4" s="72" t="s">
        <v>639</v>
      </c>
      <c r="N4" s="72" t="s">
        <v>640</v>
      </c>
      <c r="O4" s="72" t="s">
        <v>699</v>
      </c>
      <c r="P4" s="72" t="s">
        <v>641</v>
      </c>
      <c r="Q4" s="72" t="s">
        <v>619</v>
      </c>
      <c r="R4" s="72" t="s">
        <v>643</v>
      </c>
      <c r="S4" s="72" t="s">
        <v>619</v>
      </c>
      <c r="T4" s="72" t="s">
        <v>644</v>
      </c>
      <c r="U4" s="72" t="s">
        <v>645</v>
      </c>
      <c r="V4" s="72" t="s">
        <v>646</v>
      </c>
      <c r="W4" s="72" t="s">
        <v>619</v>
      </c>
      <c r="X4" s="72" t="s">
        <v>631</v>
      </c>
      <c r="Y4" s="72" t="s">
        <v>619</v>
      </c>
      <c r="Z4" s="72" t="s">
        <v>647</v>
      </c>
      <c r="AA4" s="72" t="s">
        <v>619</v>
      </c>
      <c r="AB4" s="141"/>
    </row>
    <row r="5" spans="1:28" ht="11.25" customHeight="1" x14ac:dyDescent="0.3">
      <c r="A5" s="143" t="s">
        <v>39</v>
      </c>
      <c r="B5" s="143" t="s">
        <v>75</v>
      </c>
      <c r="C5" s="143" t="s">
        <v>25</v>
      </c>
      <c r="D5" s="143" t="s">
        <v>25</v>
      </c>
      <c r="E5" s="143" t="s">
        <v>25</v>
      </c>
      <c r="F5" s="143" t="s">
        <v>25</v>
      </c>
      <c r="G5" s="71" t="s">
        <v>77</v>
      </c>
      <c r="H5" s="71" t="s">
        <v>76</v>
      </c>
      <c r="I5" s="71">
        <f>'MERCADO TE'!$U$2</f>
        <v>529.99099999999999</v>
      </c>
      <c r="J5" s="15"/>
      <c r="L5" s="68">
        <v>1</v>
      </c>
      <c r="M5" s="68">
        <v>1</v>
      </c>
      <c r="N5" s="68">
        <v>1</v>
      </c>
      <c r="O5" s="68">
        <v>1</v>
      </c>
      <c r="P5" s="68">
        <v>1</v>
      </c>
      <c r="Q5" s="68"/>
      <c r="R5" s="68">
        <v>1.72</v>
      </c>
      <c r="S5" s="68"/>
      <c r="T5" s="68">
        <v>1</v>
      </c>
      <c r="U5" s="68">
        <v>1</v>
      </c>
      <c r="V5" s="68">
        <v>1</v>
      </c>
      <c r="W5" s="68"/>
      <c r="X5" s="68"/>
      <c r="Y5" s="68"/>
      <c r="Z5" s="68">
        <v>1</v>
      </c>
      <c r="AA5" s="68"/>
      <c r="AB5" s="68"/>
    </row>
    <row r="6" spans="1:28" ht="11.25" customHeight="1" x14ac:dyDescent="0.3">
      <c r="A6" s="143"/>
      <c r="B6" s="143"/>
      <c r="C6" s="143"/>
      <c r="D6" s="143"/>
      <c r="E6" s="143"/>
      <c r="F6" s="143"/>
      <c r="G6" s="71" t="s">
        <v>78</v>
      </c>
      <c r="H6" s="71" t="s">
        <v>76</v>
      </c>
      <c r="I6" s="71">
        <f>'MERCADO TE'!$U$3</f>
        <v>10939.779999999999</v>
      </c>
      <c r="J6" s="15"/>
      <c r="L6" s="68">
        <v>1</v>
      </c>
      <c r="M6" s="68">
        <v>1</v>
      </c>
      <c r="N6" s="68">
        <v>1</v>
      </c>
      <c r="O6" s="68">
        <v>1</v>
      </c>
      <c r="P6" s="68">
        <v>1</v>
      </c>
      <c r="Q6" s="68"/>
      <c r="R6" s="68">
        <v>1</v>
      </c>
      <c r="S6" s="68"/>
      <c r="T6" s="68">
        <v>1</v>
      </c>
      <c r="U6" s="68">
        <v>1</v>
      </c>
      <c r="V6" s="68">
        <v>1</v>
      </c>
      <c r="W6" s="68"/>
      <c r="X6" s="68"/>
      <c r="Y6" s="68"/>
      <c r="Z6" s="68">
        <v>1</v>
      </c>
      <c r="AA6" s="68"/>
      <c r="AB6" s="68"/>
    </row>
    <row r="7" spans="1:28" ht="11.25" customHeight="1" x14ac:dyDescent="0.3">
      <c r="A7" s="143"/>
      <c r="B7" s="70" t="s">
        <v>79</v>
      </c>
      <c r="C7" s="70" t="s">
        <v>25</v>
      </c>
      <c r="D7" s="70" t="s">
        <v>25</v>
      </c>
      <c r="E7" s="70" t="s">
        <v>80</v>
      </c>
      <c r="F7" s="70" t="s">
        <v>25</v>
      </c>
      <c r="G7" s="71" t="s">
        <v>81</v>
      </c>
      <c r="H7" s="71" t="s">
        <v>76</v>
      </c>
      <c r="I7" s="71">
        <f>'MERCADO TE'!$U$4</f>
        <v>0</v>
      </c>
      <c r="J7" s="15"/>
      <c r="L7" s="68">
        <v>1</v>
      </c>
      <c r="M7" s="68">
        <v>1</v>
      </c>
      <c r="N7" s="68">
        <v>1</v>
      </c>
      <c r="O7" s="68">
        <v>1</v>
      </c>
      <c r="P7" s="68">
        <v>1</v>
      </c>
      <c r="Q7" s="68"/>
      <c r="R7" s="68">
        <v>1.06</v>
      </c>
      <c r="S7" s="68"/>
      <c r="T7" s="68">
        <v>1</v>
      </c>
      <c r="U7" s="68">
        <v>1</v>
      </c>
      <c r="V7" s="68">
        <v>1</v>
      </c>
      <c r="W7" s="68"/>
      <c r="X7" s="68"/>
      <c r="Y7" s="68"/>
      <c r="Z7" s="68">
        <v>1</v>
      </c>
      <c r="AA7" s="68"/>
      <c r="AB7" s="68"/>
    </row>
    <row r="8" spans="1:28" ht="11.25" customHeight="1" x14ac:dyDescent="0.3">
      <c r="A8" s="143"/>
      <c r="B8" s="70" t="s">
        <v>82</v>
      </c>
      <c r="C8" s="70" t="s">
        <v>25</v>
      </c>
      <c r="D8" s="70" t="s">
        <v>25</v>
      </c>
      <c r="E8" s="70" t="s">
        <v>25</v>
      </c>
      <c r="F8" s="70" t="s">
        <v>25</v>
      </c>
      <c r="G8" s="71" t="s">
        <v>81</v>
      </c>
      <c r="H8" s="71" t="s">
        <v>76</v>
      </c>
      <c r="I8" s="71">
        <f>'MERCADO TE'!$U$5</f>
        <v>0</v>
      </c>
      <c r="J8" s="15"/>
      <c r="L8" s="68">
        <v>1</v>
      </c>
      <c r="M8" s="68">
        <v>1</v>
      </c>
      <c r="N8" s="68">
        <v>1</v>
      </c>
      <c r="O8" s="68">
        <v>1</v>
      </c>
      <c r="P8" s="68">
        <v>1</v>
      </c>
      <c r="Q8" s="68"/>
      <c r="R8" s="68">
        <v>1.06</v>
      </c>
      <c r="S8" s="68"/>
      <c r="T8" s="68">
        <v>1</v>
      </c>
      <c r="U8" s="68">
        <v>1</v>
      </c>
      <c r="V8" s="68">
        <v>1</v>
      </c>
      <c r="W8" s="68"/>
      <c r="X8" s="68"/>
      <c r="Y8" s="68"/>
      <c r="Z8" s="68">
        <v>1</v>
      </c>
      <c r="AA8" s="68"/>
      <c r="AB8" s="68"/>
    </row>
    <row r="9" spans="1:28" ht="11.25" customHeight="1" x14ac:dyDescent="0.3">
      <c r="A9" s="143"/>
      <c r="B9" s="70" t="s">
        <v>89</v>
      </c>
      <c r="C9" s="70" t="s">
        <v>25</v>
      </c>
      <c r="D9" s="70" t="s">
        <v>25</v>
      </c>
      <c r="E9" s="70" t="s">
        <v>80</v>
      </c>
      <c r="F9" s="70" t="s">
        <v>25</v>
      </c>
      <c r="G9" s="71" t="s">
        <v>81</v>
      </c>
      <c r="H9" s="71" t="s">
        <v>76</v>
      </c>
      <c r="I9" s="71">
        <f>'MERCADO TE'!$U$6</f>
        <v>5489.0889999999999</v>
      </c>
      <c r="J9" s="15"/>
      <c r="L9" s="68">
        <v>1</v>
      </c>
      <c r="M9" s="68">
        <v>1</v>
      </c>
      <c r="N9" s="68">
        <v>1</v>
      </c>
      <c r="O9" s="68">
        <v>1</v>
      </c>
      <c r="P9" s="68">
        <v>1</v>
      </c>
      <c r="Q9" s="68"/>
      <c r="R9" s="68">
        <v>1.06</v>
      </c>
      <c r="S9" s="68"/>
      <c r="T9" s="68">
        <v>1</v>
      </c>
      <c r="U9" s="68">
        <v>1</v>
      </c>
      <c r="V9" s="68">
        <v>1</v>
      </c>
      <c r="W9" s="68"/>
      <c r="X9" s="68"/>
      <c r="Y9" s="68"/>
      <c r="Z9" s="68">
        <v>1</v>
      </c>
      <c r="AA9" s="68"/>
      <c r="AB9" s="68"/>
    </row>
    <row r="10" spans="1:28" ht="11.25" customHeight="1" x14ac:dyDescent="0.3">
      <c r="A10" s="143"/>
      <c r="B10" s="70" t="s">
        <v>79</v>
      </c>
      <c r="C10" s="70" t="s">
        <v>25</v>
      </c>
      <c r="D10" s="70" t="s">
        <v>25</v>
      </c>
      <c r="E10" s="70" t="s">
        <v>25</v>
      </c>
      <c r="F10" s="70" t="s">
        <v>25</v>
      </c>
      <c r="G10" s="71" t="s">
        <v>81</v>
      </c>
      <c r="H10" s="71" t="s">
        <v>76</v>
      </c>
      <c r="I10" s="71">
        <f>'MERCADO TE'!$U$7</f>
        <v>0</v>
      </c>
      <c r="J10" s="15"/>
      <c r="L10" s="68">
        <v>1</v>
      </c>
      <c r="M10" s="68"/>
      <c r="N10" s="68">
        <v>1</v>
      </c>
      <c r="O10" s="68">
        <v>1</v>
      </c>
      <c r="P10" s="68">
        <v>1</v>
      </c>
      <c r="Q10" s="68"/>
      <c r="R10" s="68">
        <v>1.06</v>
      </c>
      <c r="S10" s="68"/>
      <c r="T10" s="68">
        <v>1</v>
      </c>
      <c r="U10" s="68">
        <v>1</v>
      </c>
      <c r="V10" s="68">
        <v>1</v>
      </c>
      <c r="W10" s="68"/>
      <c r="X10" s="68"/>
      <c r="Y10" s="68"/>
      <c r="Z10" s="68"/>
      <c r="AA10" s="68"/>
      <c r="AB10" s="68"/>
    </row>
    <row r="11" spans="1:28" ht="11.25" customHeight="1" x14ac:dyDescent="0.3">
      <c r="A11" s="143" t="s">
        <v>22</v>
      </c>
      <c r="B11" s="143" t="s">
        <v>75</v>
      </c>
      <c r="C11" s="143" t="s">
        <v>24</v>
      </c>
      <c r="D11" s="143" t="s">
        <v>24</v>
      </c>
      <c r="E11" s="143" t="s">
        <v>25</v>
      </c>
      <c r="F11" s="143" t="s">
        <v>25</v>
      </c>
      <c r="G11" s="71" t="s">
        <v>77</v>
      </c>
      <c r="H11" s="71" t="s">
        <v>76</v>
      </c>
      <c r="I11" s="71">
        <f>'MERCADO TE'!$U$8</f>
        <v>0.68800000000000017</v>
      </c>
      <c r="J11" s="15"/>
      <c r="L11" s="68">
        <v>1</v>
      </c>
      <c r="M11" s="68">
        <v>1</v>
      </c>
      <c r="N11" s="68">
        <v>1</v>
      </c>
      <c r="O11" s="68">
        <v>1</v>
      </c>
      <c r="P11" s="68">
        <v>1</v>
      </c>
      <c r="Q11" s="68"/>
      <c r="R11" s="68">
        <v>1.72</v>
      </c>
      <c r="S11" s="68"/>
      <c r="T11" s="68">
        <v>1</v>
      </c>
      <c r="U11" s="68">
        <v>1</v>
      </c>
      <c r="V11" s="68">
        <v>1</v>
      </c>
      <c r="W11" s="68"/>
      <c r="X11" s="68"/>
      <c r="Y11" s="68"/>
      <c r="Z11" s="68">
        <v>1</v>
      </c>
      <c r="AA11" s="68"/>
      <c r="AB11" s="68"/>
    </row>
    <row r="12" spans="1:28" ht="11.25" customHeight="1" x14ac:dyDescent="0.3">
      <c r="A12" s="143"/>
      <c r="B12" s="143"/>
      <c r="C12" s="143"/>
      <c r="D12" s="143"/>
      <c r="E12" s="143"/>
      <c r="F12" s="143"/>
      <c r="G12" s="71" t="s">
        <v>93</v>
      </c>
      <c r="H12" s="71" t="s">
        <v>76</v>
      </c>
      <c r="I12" s="71">
        <f>'MERCADO TE'!$U$9</f>
        <v>0.46</v>
      </c>
      <c r="J12" s="15"/>
      <c r="L12" s="68">
        <v>1</v>
      </c>
      <c r="M12" s="68">
        <v>1</v>
      </c>
      <c r="N12" s="68">
        <v>1</v>
      </c>
      <c r="O12" s="68">
        <v>1</v>
      </c>
      <c r="P12" s="68">
        <v>1</v>
      </c>
      <c r="Q12" s="68"/>
      <c r="R12" s="68">
        <v>1</v>
      </c>
      <c r="S12" s="68"/>
      <c r="T12" s="68">
        <v>1</v>
      </c>
      <c r="U12" s="68">
        <v>1</v>
      </c>
      <c r="V12" s="68">
        <v>1</v>
      </c>
      <c r="W12" s="68"/>
      <c r="X12" s="68"/>
      <c r="Y12" s="68"/>
      <c r="Z12" s="68">
        <v>1</v>
      </c>
      <c r="AA12" s="68"/>
      <c r="AB12" s="68"/>
    </row>
    <row r="13" spans="1:28" ht="11.25" customHeight="1" x14ac:dyDescent="0.3">
      <c r="A13" s="143"/>
      <c r="B13" s="143"/>
      <c r="C13" s="143"/>
      <c r="D13" s="143"/>
      <c r="E13" s="143"/>
      <c r="F13" s="143"/>
      <c r="G13" s="71" t="s">
        <v>78</v>
      </c>
      <c r="H13" s="71" t="s">
        <v>76</v>
      </c>
      <c r="I13" s="71">
        <f>'MERCADO TE'!$U$10</f>
        <v>5.6850000000000005</v>
      </c>
      <c r="J13" s="15"/>
      <c r="L13" s="68">
        <v>1</v>
      </c>
      <c r="M13" s="68">
        <v>1</v>
      </c>
      <c r="N13" s="68">
        <v>1</v>
      </c>
      <c r="O13" s="68">
        <v>1</v>
      </c>
      <c r="P13" s="68">
        <v>1</v>
      </c>
      <c r="Q13" s="68"/>
      <c r="R13" s="68">
        <v>1</v>
      </c>
      <c r="S13" s="68"/>
      <c r="T13" s="68">
        <v>1</v>
      </c>
      <c r="U13" s="68">
        <v>1</v>
      </c>
      <c r="V13" s="68">
        <v>1</v>
      </c>
      <c r="W13" s="68"/>
      <c r="X13" s="68"/>
      <c r="Y13" s="68"/>
      <c r="Z13" s="68">
        <v>1</v>
      </c>
      <c r="AA13" s="68"/>
      <c r="AB13" s="68"/>
    </row>
    <row r="14" spans="1:28" ht="11.25" customHeight="1" x14ac:dyDescent="0.3">
      <c r="A14" s="143"/>
      <c r="B14" s="143" t="s">
        <v>82</v>
      </c>
      <c r="C14" s="143" t="s">
        <v>24</v>
      </c>
      <c r="D14" s="70" t="s">
        <v>24</v>
      </c>
      <c r="E14" s="70" t="s">
        <v>25</v>
      </c>
      <c r="F14" s="70" t="s">
        <v>25</v>
      </c>
      <c r="G14" s="71" t="s">
        <v>81</v>
      </c>
      <c r="H14" s="71" t="s">
        <v>76</v>
      </c>
      <c r="I14" s="71">
        <f>'MERCADO TE'!$U$11</f>
        <v>20470.671000000002</v>
      </c>
      <c r="J14" s="15"/>
      <c r="L14" s="68">
        <v>1</v>
      </c>
      <c r="M14" s="68">
        <v>1</v>
      </c>
      <c r="N14" s="68">
        <v>1</v>
      </c>
      <c r="O14" s="68">
        <v>1</v>
      </c>
      <c r="P14" s="68">
        <v>1</v>
      </c>
      <c r="Q14" s="68"/>
      <c r="R14" s="68">
        <v>1.06</v>
      </c>
      <c r="S14" s="68"/>
      <c r="T14" s="68">
        <v>1</v>
      </c>
      <c r="U14" s="68">
        <v>1</v>
      </c>
      <c r="V14" s="68">
        <v>1</v>
      </c>
      <c r="W14" s="68"/>
      <c r="X14" s="68"/>
      <c r="Y14" s="68"/>
      <c r="Z14" s="68">
        <v>1</v>
      </c>
      <c r="AA14" s="68"/>
      <c r="AB14" s="68"/>
    </row>
    <row r="15" spans="1:28" ht="11.25" customHeight="1" x14ac:dyDescent="0.3">
      <c r="A15" s="143"/>
      <c r="B15" s="143"/>
      <c r="C15" s="143"/>
      <c r="D15" s="70" t="s">
        <v>29</v>
      </c>
      <c r="E15" s="70" t="s">
        <v>25</v>
      </c>
      <c r="F15" s="70" t="s">
        <v>25</v>
      </c>
      <c r="G15" s="71" t="s">
        <v>81</v>
      </c>
      <c r="H15" s="71" t="s">
        <v>76</v>
      </c>
      <c r="I15" s="71">
        <f>'MERCADO TE'!$U$12</f>
        <v>425.12200000000001</v>
      </c>
      <c r="J15" s="15"/>
      <c r="L15" s="68">
        <f>1 - CUSTOS!$M$24</f>
        <v>1</v>
      </c>
      <c r="M15" s="68">
        <f>1 - CUSTOS!$M$24</f>
        <v>1</v>
      </c>
      <c r="N15" s="68">
        <f>1 - CUSTOS!$M$24</f>
        <v>1</v>
      </c>
      <c r="O15" s="68">
        <f>1 - CUSTOS!$M$24</f>
        <v>1</v>
      </c>
      <c r="P15" s="68">
        <f>1 - CUSTOS!$M$24</f>
        <v>1</v>
      </c>
      <c r="Q15" s="68"/>
      <c r="R15" s="68">
        <f>(1 - CUSTOS!$M$24)*1.06</f>
        <v>1.06</v>
      </c>
      <c r="S15" s="68"/>
      <c r="T15" s="68">
        <f>1 - CUSTOS!$M$24</f>
        <v>1</v>
      </c>
      <c r="U15" s="68">
        <f>1 - CUSTOS!$M$24</f>
        <v>1</v>
      </c>
      <c r="V15" s="68">
        <f>1 - CUSTOS!$M$24</f>
        <v>1</v>
      </c>
      <c r="W15" s="68"/>
      <c r="X15" s="68"/>
      <c r="Y15" s="68"/>
      <c r="Z15" s="68">
        <f>1 - CUSTOS!$M$24</f>
        <v>1</v>
      </c>
      <c r="AA15" s="68"/>
      <c r="AB15" s="68"/>
    </row>
    <row r="16" spans="1:28" ht="11.25" customHeight="1" x14ac:dyDescent="0.3">
      <c r="A16" s="143"/>
      <c r="B16" s="143"/>
      <c r="C16" s="143"/>
      <c r="D16" s="70" t="s">
        <v>30</v>
      </c>
      <c r="E16" s="70" t="s">
        <v>25</v>
      </c>
      <c r="F16" s="70" t="s">
        <v>25</v>
      </c>
      <c r="G16" s="71" t="s">
        <v>81</v>
      </c>
      <c r="H16" s="71" t="s">
        <v>76</v>
      </c>
      <c r="I16" s="71">
        <f>'MERCADO TE'!$U$13</f>
        <v>876.85199999999986</v>
      </c>
      <c r="J16" s="15"/>
      <c r="L16" s="68">
        <f>1 - CUSTOS!$M$25</f>
        <v>1</v>
      </c>
      <c r="M16" s="68">
        <f>1 - CUSTOS!$M$25</f>
        <v>1</v>
      </c>
      <c r="N16" s="68">
        <f>1 - CUSTOS!$M$25</f>
        <v>1</v>
      </c>
      <c r="O16" s="68">
        <f>1 - CUSTOS!$M$25</f>
        <v>1</v>
      </c>
      <c r="P16" s="68">
        <f>1 - CUSTOS!$M$25</f>
        <v>1</v>
      </c>
      <c r="Q16" s="68"/>
      <c r="R16" s="68">
        <f>(1 - CUSTOS!$M$25)*1.06</f>
        <v>1.06</v>
      </c>
      <c r="S16" s="68"/>
      <c r="T16" s="68">
        <f>1 - CUSTOS!$M$25</f>
        <v>1</v>
      </c>
      <c r="U16" s="68">
        <f>1 - CUSTOS!$M$25</f>
        <v>1</v>
      </c>
      <c r="V16" s="68">
        <f>1 - CUSTOS!$M$25</f>
        <v>1</v>
      </c>
      <c r="W16" s="68"/>
      <c r="X16" s="68"/>
      <c r="Y16" s="68"/>
      <c r="Z16" s="68">
        <f>1 - CUSTOS!$M$25</f>
        <v>1</v>
      </c>
      <c r="AA16" s="68"/>
      <c r="AB16" s="68"/>
    </row>
    <row r="17" spans="1:28" ht="11.25" customHeight="1" x14ac:dyDescent="0.3">
      <c r="A17" s="143"/>
      <c r="B17" s="143"/>
      <c r="C17" s="143"/>
      <c r="D17" s="70" t="s">
        <v>31</v>
      </c>
      <c r="E17" s="70" t="s">
        <v>25</v>
      </c>
      <c r="F17" s="70" t="s">
        <v>25</v>
      </c>
      <c r="G17" s="71" t="s">
        <v>81</v>
      </c>
      <c r="H17" s="71" t="s">
        <v>76</v>
      </c>
      <c r="I17" s="71">
        <f>'MERCADO TE'!$U$14</f>
        <v>876.00100000000009</v>
      </c>
      <c r="J17" s="15"/>
      <c r="L17" s="68">
        <f>1 - CUSTOS!$M$26</f>
        <v>1</v>
      </c>
      <c r="M17" s="68">
        <f>1 - CUSTOS!$M$26</f>
        <v>1</v>
      </c>
      <c r="N17" s="68">
        <f>1 - CUSTOS!$M$26</f>
        <v>1</v>
      </c>
      <c r="O17" s="68">
        <f>1 - CUSTOS!$M$26</f>
        <v>1</v>
      </c>
      <c r="P17" s="68">
        <f>1 - CUSTOS!$M$26</f>
        <v>1</v>
      </c>
      <c r="Q17" s="68"/>
      <c r="R17" s="68">
        <f>(1 - CUSTOS!$M$26)*1.06</f>
        <v>1.06</v>
      </c>
      <c r="S17" s="68"/>
      <c r="T17" s="68">
        <f>1 - CUSTOS!$M$26</f>
        <v>1</v>
      </c>
      <c r="U17" s="68">
        <f>1 - CUSTOS!$M$26</f>
        <v>1</v>
      </c>
      <c r="V17" s="68">
        <f>1 - CUSTOS!$M$26</f>
        <v>1</v>
      </c>
      <c r="W17" s="68"/>
      <c r="X17" s="68"/>
      <c r="Y17" s="68"/>
      <c r="Z17" s="68">
        <f>1 - CUSTOS!$M$26</f>
        <v>1</v>
      </c>
      <c r="AA17" s="68"/>
      <c r="AB17" s="68"/>
    </row>
    <row r="18" spans="1:28" ht="11.25" customHeight="1" x14ac:dyDescent="0.3">
      <c r="A18" s="143"/>
      <c r="B18" s="143"/>
      <c r="C18" s="143"/>
      <c r="D18" s="70" t="s">
        <v>32</v>
      </c>
      <c r="E18" s="70" t="s">
        <v>25</v>
      </c>
      <c r="F18" s="70" t="s">
        <v>25</v>
      </c>
      <c r="G18" s="71" t="s">
        <v>81</v>
      </c>
      <c r="H18" s="71" t="s">
        <v>76</v>
      </c>
      <c r="I18" s="71">
        <f>'MERCADO TE'!$U$15</f>
        <v>331.42999999999995</v>
      </c>
      <c r="J18" s="15"/>
      <c r="L18" s="68">
        <f>1 - CUSTOS!$M$27</f>
        <v>1</v>
      </c>
      <c r="M18" s="68">
        <f>1 - CUSTOS!$M$27</f>
        <v>1</v>
      </c>
      <c r="N18" s="68">
        <f>1 - CUSTOS!$M$27</f>
        <v>1</v>
      </c>
      <c r="O18" s="68">
        <f>1 - CUSTOS!$M$27</f>
        <v>1</v>
      </c>
      <c r="P18" s="68">
        <f>1 - CUSTOS!$M$27</f>
        <v>1</v>
      </c>
      <c r="Q18" s="68"/>
      <c r="R18" s="68">
        <f>(1 - CUSTOS!$M$27)*1.06</f>
        <v>1.06</v>
      </c>
      <c r="S18" s="68"/>
      <c r="T18" s="68">
        <f>1 - CUSTOS!$M$27</f>
        <v>1</v>
      </c>
      <c r="U18" s="68">
        <f>1 - CUSTOS!$M$27</f>
        <v>1</v>
      </c>
      <c r="V18" s="68">
        <f>1 - CUSTOS!$M$27</f>
        <v>1</v>
      </c>
      <c r="W18" s="68"/>
      <c r="X18" s="68"/>
      <c r="Y18" s="68"/>
      <c r="Z18" s="68">
        <f>1 - CUSTOS!$M$27</f>
        <v>1</v>
      </c>
      <c r="AA18" s="68"/>
      <c r="AB18" s="68"/>
    </row>
    <row r="19" spans="1:28" ht="11.25" customHeight="1" x14ac:dyDescent="0.3">
      <c r="A19" s="143"/>
      <c r="B19" s="143" t="s">
        <v>94</v>
      </c>
      <c r="C19" s="143" t="s">
        <v>24</v>
      </c>
      <c r="D19" s="70" t="s">
        <v>24</v>
      </c>
      <c r="E19" s="70" t="s">
        <v>25</v>
      </c>
      <c r="F19" s="70" t="s">
        <v>25</v>
      </c>
      <c r="G19" s="71" t="s">
        <v>81</v>
      </c>
      <c r="H19" s="71" t="s">
        <v>76</v>
      </c>
      <c r="I19" s="71">
        <f>'MERCADO TE'!$U$16</f>
        <v>0</v>
      </c>
      <c r="J19" s="15"/>
      <c r="L19" s="68">
        <v>1</v>
      </c>
      <c r="M19" s="68">
        <v>1</v>
      </c>
      <c r="N19" s="68">
        <v>1</v>
      </c>
      <c r="O19" s="68">
        <v>1</v>
      </c>
      <c r="P19" s="68">
        <v>1</v>
      </c>
      <c r="Q19" s="68"/>
      <c r="R19" s="68">
        <v>1.06</v>
      </c>
      <c r="S19" s="68"/>
      <c r="T19" s="68">
        <v>1</v>
      </c>
      <c r="U19" s="68">
        <v>1</v>
      </c>
      <c r="V19" s="68">
        <v>1</v>
      </c>
      <c r="W19" s="68"/>
      <c r="X19" s="68"/>
      <c r="Y19" s="68"/>
      <c r="Z19" s="68">
        <v>1</v>
      </c>
      <c r="AA19" s="68"/>
      <c r="AB19" s="68"/>
    </row>
    <row r="20" spans="1:28" ht="11.25" customHeight="1" x14ac:dyDescent="0.3">
      <c r="A20" s="143"/>
      <c r="B20" s="143"/>
      <c r="C20" s="143"/>
      <c r="D20" s="70" t="s">
        <v>29</v>
      </c>
      <c r="E20" s="70" t="s">
        <v>25</v>
      </c>
      <c r="F20" s="70" t="s">
        <v>25</v>
      </c>
      <c r="G20" s="71" t="s">
        <v>81</v>
      </c>
      <c r="H20" s="71" t="s">
        <v>76</v>
      </c>
      <c r="I20" s="71">
        <f>'MERCADO TE'!$U$17</f>
        <v>0</v>
      </c>
      <c r="J20" s="15"/>
      <c r="L20" s="68">
        <f>1 - CUSTOS!$M$24</f>
        <v>1</v>
      </c>
      <c r="M20" s="68">
        <f>1 - CUSTOS!$M$24</f>
        <v>1</v>
      </c>
      <c r="N20" s="68">
        <f>1 - CUSTOS!$M$24</f>
        <v>1</v>
      </c>
      <c r="O20" s="68">
        <f>1 - CUSTOS!$M$24</f>
        <v>1</v>
      </c>
      <c r="P20" s="68">
        <f>1 - CUSTOS!$M$24</f>
        <v>1</v>
      </c>
      <c r="Q20" s="68"/>
      <c r="R20" s="68">
        <f>(1 - CUSTOS!$M$24)*1.06</f>
        <v>1.06</v>
      </c>
      <c r="S20" s="68"/>
      <c r="T20" s="68">
        <f>1 - CUSTOS!$M$24</f>
        <v>1</v>
      </c>
      <c r="U20" s="68">
        <f>1 - CUSTOS!$M$24</f>
        <v>1</v>
      </c>
      <c r="V20" s="68">
        <f>1 - CUSTOS!$M$24</f>
        <v>1</v>
      </c>
      <c r="W20" s="68"/>
      <c r="X20" s="68"/>
      <c r="Y20" s="68"/>
      <c r="Z20" s="68">
        <f>1 - CUSTOS!$M$24</f>
        <v>1</v>
      </c>
      <c r="AA20" s="68"/>
      <c r="AB20" s="68"/>
    </row>
    <row r="21" spans="1:28" ht="11.25" customHeight="1" x14ac:dyDescent="0.3">
      <c r="A21" s="143"/>
      <c r="B21" s="143"/>
      <c r="C21" s="143"/>
      <c r="D21" s="70" t="s">
        <v>30</v>
      </c>
      <c r="E21" s="70" t="s">
        <v>25</v>
      </c>
      <c r="F21" s="70" t="s">
        <v>25</v>
      </c>
      <c r="G21" s="71" t="s">
        <v>81</v>
      </c>
      <c r="H21" s="71" t="s">
        <v>76</v>
      </c>
      <c r="I21" s="71">
        <f>'MERCADO TE'!$U$18</f>
        <v>0</v>
      </c>
      <c r="J21" s="15"/>
      <c r="L21" s="68">
        <f>1 - CUSTOS!$M$25</f>
        <v>1</v>
      </c>
      <c r="M21" s="68">
        <f>1 - CUSTOS!$M$25</f>
        <v>1</v>
      </c>
      <c r="N21" s="68">
        <f>1 - CUSTOS!$M$25</f>
        <v>1</v>
      </c>
      <c r="O21" s="68">
        <f>1 - CUSTOS!$M$25</f>
        <v>1</v>
      </c>
      <c r="P21" s="68">
        <f>1 - CUSTOS!$M$25</f>
        <v>1</v>
      </c>
      <c r="Q21" s="68"/>
      <c r="R21" s="68">
        <f>(1 - CUSTOS!$M$25)*1.06</f>
        <v>1.06</v>
      </c>
      <c r="S21" s="68"/>
      <c r="T21" s="68">
        <f>1 - CUSTOS!$M$25</f>
        <v>1</v>
      </c>
      <c r="U21" s="68">
        <f>1 - CUSTOS!$M$25</f>
        <v>1</v>
      </c>
      <c r="V21" s="68">
        <f>1 - CUSTOS!$M$25</f>
        <v>1</v>
      </c>
      <c r="W21" s="68"/>
      <c r="X21" s="68"/>
      <c r="Y21" s="68"/>
      <c r="Z21" s="68">
        <f>1 - CUSTOS!$M$25</f>
        <v>1</v>
      </c>
      <c r="AA21" s="68"/>
      <c r="AB21" s="68"/>
    </row>
    <row r="22" spans="1:28" ht="11.25" customHeight="1" x14ac:dyDescent="0.3">
      <c r="A22" s="143"/>
      <c r="B22" s="143"/>
      <c r="C22" s="143"/>
      <c r="D22" s="70" t="s">
        <v>31</v>
      </c>
      <c r="E22" s="70" t="s">
        <v>25</v>
      </c>
      <c r="F22" s="70" t="s">
        <v>25</v>
      </c>
      <c r="G22" s="71" t="s">
        <v>81</v>
      </c>
      <c r="H22" s="71" t="s">
        <v>76</v>
      </c>
      <c r="I22" s="71">
        <f>'MERCADO TE'!$U$19</f>
        <v>0</v>
      </c>
      <c r="J22" s="15"/>
      <c r="L22" s="68">
        <f>1 - CUSTOS!$M$26</f>
        <v>1</v>
      </c>
      <c r="M22" s="68">
        <f>1 - CUSTOS!$M$26</f>
        <v>1</v>
      </c>
      <c r="N22" s="68">
        <f>1 - CUSTOS!$M$26</f>
        <v>1</v>
      </c>
      <c r="O22" s="68">
        <f>1 - CUSTOS!$M$26</f>
        <v>1</v>
      </c>
      <c r="P22" s="68">
        <f>1 - CUSTOS!$M$26</f>
        <v>1</v>
      </c>
      <c r="Q22" s="68"/>
      <c r="R22" s="68">
        <f>(1 - CUSTOS!$M$26)*1.06</f>
        <v>1.06</v>
      </c>
      <c r="S22" s="68"/>
      <c r="T22" s="68">
        <f>1 - CUSTOS!$M$26</f>
        <v>1</v>
      </c>
      <c r="U22" s="68">
        <f>1 - CUSTOS!$M$26</f>
        <v>1</v>
      </c>
      <c r="V22" s="68">
        <f>1 - CUSTOS!$M$26</f>
        <v>1</v>
      </c>
      <c r="W22" s="68"/>
      <c r="X22" s="68"/>
      <c r="Y22" s="68"/>
      <c r="Z22" s="68">
        <f>1 - CUSTOS!$M$26</f>
        <v>1</v>
      </c>
      <c r="AA22" s="68"/>
      <c r="AB22" s="68"/>
    </row>
    <row r="23" spans="1:28" ht="11.25" customHeight="1" x14ac:dyDescent="0.3">
      <c r="A23" s="143"/>
      <c r="B23" s="143"/>
      <c r="C23" s="143"/>
      <c r="D23" s="70" t="s">
        <v>32</v>
      </c>
      <c r="E23" s="70" t="s">
        <v>25</v>
      </c>
      <c r="F23" s="70" t="s">
        <v>25</v>
      </c>
      <c r="G23" s="71" t="s">
        <v>81</v>
      </c>
      <c r="H23" s="71" t="s">
        <v>76</v>
      </c>
      <c r="I23" s="71">
        <f>'MERCADO TE'!$U$20</f>
        <v>0</v>
      </c>
      <c r="J23" s="15"/>
      <c r="L23" s="68">
        <f>1 - CUSTOS!$M$27</f>
        <v>1</v>
      </c>
      <c r="M23" s="68">
        <f>1 - CUSTOS!$M$27</f>
        <v>1</v>
      </c>
      <c r="N23" s="68">
        <f>1 - CUSTOS!$M$27</f>
        <v>1</v>
      </c>
      <c r="O23" s="68">
        <f>1 - CUSTOS!$M$27</f>
        <v>1</v>
      </c>
      <c r="P23" s="68">
        <f>1 - CUSTOS!$M$27</f>
        <v>1</v>
      </c>
      <c r="Q23" s="68"/>
      <c r="R23" s="68">
        <f>(1 - CUSTOS!$M$27)*1.06</f>
        <v>1.06</v>
      </c>
      <c r="S23" s="68"/>
      <c r="T23" s="68">
        <f>1 - CUSTOS!$M$27</f>
        <v>1</v>
      </c>
      <c r="U23" s="68">
        <f>1 - CUSTOS!$M$27</f>
        <v>1</v>
      </c>
      <c r="V23" s="68">
        <f>1 - CUSTOS!$M$27</f>
        <v>1</v>
      </c>
      <c r="W23" s="68"/>
      <c r="X23" s="68"/>
      <c r="Y23" s="68"/>
      <c r="Z23" s="68">
        <f>1 - CUSTOS!$M$27</f>
        <v>1</v>
      </c>
      <c r="AA23" s="68"/>
      <c r="AB23" s="68"/>
    </row>
    <row r="24" spans="1:28" ht="11.25" customHeight="1" x14ac:dyDescent="0.3">
      <c r="A24" s="143" t="s">
        <v>42</v>
      </c>
      <c r="B24" s="143" t="s">
        <v>75</v>
      </c>
      <c r="C24" s="143" t="s">
        <v>43</v>
      </c>
      <c r="D24" s="143" t="s">
        <v>25</v>
      </c>
      <c r="E24" s="143" t="s">
        <v>25</v>
      </c>
      <c r="F24" s="143" t="s">
        <v>25</v>
      </c>
      <c r="G24" s="71" t="s">
        <v>77</v>
      </c>
      <c r="H24" s="71" t="s">
        <v>76</v>
      </c>
      <c r="I24" s="71">
        <f>'MERCADO TE'!$U$21</f>
        <v>0.36099999999999999</v>
      </c>
      <c r="J24" s="15"/>
      <c r="L24" s="68">
        <f>1 - CUSTOS!$M$28</f>
        <v>1</v>
      </c>
      <c r="M24" s="68">
        <f>1 - CUSTOS!$M$28</f>
        <v>1</v>
      </c>
      <c r="N24" s="68">
        <f>1 - CUSTOS!$M$28</f>
        <v>1</v>
      </c>
      <c r="O24" s="68">
        <f>1 - CUSTOS!$M$28</f>
        <v>1</v>
      </c>
      <c r="P24" s="68">
        <f>1 - CUSTOS!$M$28</f>
        <v>1</v>
      </c>
      <c r="Q24" s="68"/>
      <c r="R24" s="68">
        <f>(1 - CUSTOS!$M$28)*1.72</f>
        <v>1.72</v>
      </c>
      <c r="S24" s="68"/>
      <c r="T24" s="68">
        <f>1 - CUSTOS!$M$28</f>
        <v>1</v>
      </c>
      <c r="U24" s="68">
        <f>1 - CUSTOS!$M$28</f>
        <v>1</v>
      </c>
      <c r="V24" s="68">
        <f>1 - CUSTOS!$M$28</f>
        <v>1</v>
      </c>
      <c r="W24" s="68"/>
      <c r="X24" s="68"/>
      <c r="Y24" s="68"/>
      <c r="Z24" s="68">
        <f>1 - CUSTOS!$M$28</f>
        <v>1</v>
      </c>
      <c r="AA24" s="68"/>
      <c r="AB24" s="68"/>
    </row>
    <row r="25" spans="1:28" ht="11.25" customHeight="1" x14ac:dyDescent="0.3">
      <c r="A25" s="143"/>
      <c r="B25" s="143"/>
      <c r="C25" s="143"/>
      <c r="D25" s="143"/>
      <c r="E25" s="143"/>
      <c r="F25" s="143"/>
      <c r="G25" s="71" t="s">
        <v>93</v>
      </c>
      <c r="H25" s="71" t="s">
        <v>76</v>
      </c>
      <c r="I25" s="71">
        <f>'MERCADO TE'!$U$22</f>
        <v>0.21399999999999994</v>
      </c>
      <c r="J25" s="15"/>
      <c r="L25" s="68">
        <f>1 - CUSTOS!$M$28</f>
        <v>1</v>
      </c>
      <c r="M25" s="68">
        <f>1 - CUSTOS!$M$28</f>
        <v>1</v>
      </c>
      <c r="N25" s="68">
        <f>1 - CUSTOS!$M$28</f>
        <v>1</v>
      </c>
      <c r="O25" s="68">
        <f>1 - CUSTOS!$M$28</f>
        <v>1</v>
      </c>
      <c r="P25" s="68">
        <f>1 - CUSTOS!$M$28</f>
        <v>1</v>
      </c>
      <c r="Q25" s="68"/>
      <c r="R25" s="68">
        <f>(1 - CUSTOS!$M$28)*1</f>
        <v>1</v>
      </c>
      <c r="S25" s="68"/>
      <c r="T25" s="68">
        <f>1 - CUSTOS!$M$28</f>
        <v>1</v>
      </c>
      <c r="U25" s="68">
        <f>1 - CUSTOS!$M$28</f>
        <v>1</v>
      </c>
      <c r="V25" s="68">
        <f>1 - CUSTOS!$M$28</f>
        <v>1</v>
      </c>
      <c r="W25" s="68"/>
      <c r="X25" s="68"/>
      <c r="Y25" s="68"/>
      <c r="Z25" s="68">
        <f>1 - CUSTOS!$M$28</f>
        <v>1</v>
      </c>
      <c r="AA25" s="68"/>
      <c r="AB25" s="68"/>
    </row>
    <row r="26" spans="1:28" ht="11.25" customHeight="1" x14ac:dyDescent="0.3">
      <c r="A26" s="143"/>
      <c r="B26" s="143"/>
      <c r="C26" s="143"/>
      <c r="D26" s="143"/>
      <c r="E26" s="143"/>
      <c r="F26" s="143"/>
      <c r="G26" s="71" t="s">
        <v>78</v>
      </c>
      <c r="H26" s="71" t="s">
        <v>76</v>
      </c>
      <c r="I26" s="71">
        <f>'MERCADO TE'!$U$23</f>
        <v>2.4970000000000008</v>
      </c>
      <c r="J26" s="15"/>
      <c r="L26" s="68">
        <f>1 - CUSTOS!$M$28</f>
        <v>1</v>
      </c>
      <c r="M26" s="68">
        <f>1 - CUSTOS!$M$28</f>
        <v>1</v>
      </c>
      <c r="N26" s="68">
        <f>1 - CUSTOS!$M$28</f>
        <v>1</v>
      </c>
      <c r="O26" s="68">
        <f>1 - CUSTOS!$M$28</f>
        <v>1</v>
      </c>
      <c r="P26" s="68">
        <f>1 - CUSTOS!$M$28</f>
        <v>1</v>
      </c>
      <c r="Q26" s="68"/>
      <c r="R26" s="68">
        <f>(1 - CUSTOS!$M$28)*1</f>
        <v>1</v>
      </c>
      <c r="S26" s="68"/>
      <c r="T26" s="68">
        <f>1 - CUSTOS!$M$28</f>
        <v>1</v>
      </c>
      <c r="U26" s="68">
        <f>1 - CUSTOS!$M$28</f>
        <v>1</v>
      </c>
      <c r="V26" s="68">
        <f>1 - CUSTOS!$M$28</f>
        <v>1</v>
      </c>
      <c r="W26" s="68"/>
      <c r="X26" s="68"/>
      <c r="Y26" s="68"/>
      <c r="Z26" s="68">
        <f>1 - CUSTOS!$M$28</f>
        <v>1</v>
      </c>
      <c r="AA26" s="68"/>
      <c r="AB26" s="68"/>
    </row>
    <row r="27" spans="1:28" ht="11.25" customHeight="1" x14ac:dyDescent="0.3">
      <c r="A27" s="143"/>
      <c r="B27" s="70" t="s">
        <v>82</v>
      </c>
      <c r="C27" s="70" t="s">
        <v>43</v>
      </c>
      <c r="D27" s="70" t="s">
        <v>25</v>
      </c>
      <c r="E27" s="70" t="s">
        <v>25</v>
      </c>
      <c r="F27" s="70" t="s">
        <v>25</v>
      </c>
      <c r="G27" s="71" t="s">
        <v>81</v>
      </c>
      <c r="H27" s="71" t="s">
        <v>76</v>
      </c>
      <c r="I27" s="71">
        <f>'MERCADO TE'!$U$24</f>
        <v>18691.718999999997</v>
      </c>
      <c r="J27" s="15"/>
      <c r="L27" s="68">
        <f>1 - CUSTOS!$M$28</f>
        <v>1</v>
      </c>
      <c r="M27" s="68">
        <f>1 - CUSTOS!$M$28</f>
        <v>1</v>
      </c>
      <c r="N27" s="68">
        <f>1 - CUSTOS!$M$28</f>
        <v>1</v>
      </c>
      <c r="O27" s="68">
        <f>1 - CUSTOS!$M$28</f>
        <v>1</v>
      </c>
      <c r="P27" s="68">
        <f>1 - CUSTOS!$M$28</f>
        <v>1</v>
      </c>
      <c r="Q27" s="68"/>
      <c r="R27" s="68">
        <f>(1 - CUSTOS!$M$28)*1.06</f>
        <v>1.06</v>
      </c>
      <c r="S27" s="68"/>
      <c r="T27" s="68">
        <f>1 - CUSTOS!$M$28</f>
        <v>1</v>
      </c>
      <c r="U27" s="68">
        <f>1 - CUSTOS!$M$28</f>
        <v>1</v>
      </c>
      <c r="V27" s="68">
        <f>1 - CUSTOS!$M$28</f>
        <v>1</v>
      </c>
      <c r="W27" s="68"/>
      <c r="X27" s="68"/>
      <c r="Y27" s="68"/>
      <c r="Z27" s="68">
        <f>1 - CUSTOS!$M$28</f>
        <v>1</v>
      </c>
      <c r="AA27" s="68"/>
      <c r="AB27" s="68"/>
    </row>
    <row r="28" spans="1:28" ht="11.25" customHeight="1" x14ac:dyDescent="0.3">
      <c r="A28" s="143"/>
      <c r="B28" s="143" t="s">
        <v>75</v>
      </c>
      <c r="C28" s="143" t="s">
        <v>43</v>
      </c>
      <c r="D28" s="143" t="s">
        <v>96</v>
      </c>
      <c r="E28" s="143" t="s">
        <v>25</v>
      </c>
      <c r="F28" s="143" t="s">
        <v>25</v>
      </c>
      <c r="G28" s="71" t="s">
        <v>77</v>
      </c>
      <c r="H28" s="71" t="s">
        <v>76</v>
      </c>
      <c r="I28" s="71">
        <f>'MERCADO TE'!$U$25</f>
        <v>0</v>
      </c>
      <c r="J28" s="15"/>
      <c r="L28" s="68">
        <f>1 - CUSTOS!$M$29</f>
        <v>1</v>
      </c>
      <c r="M28" s="68">
        <f>1 - CUSTOS!$M$29</f>
        <v>1</v>
      </c>
      <c r="N28" s="68">
        <f>1 - CUSTOS!$M$29</f>
        <v>1</v>
      </c>
      <c r="O28" s="68">
        <f>1 - CUSTOS!$M$29</f>
        <v>1</v>
      </c>
      <c r="P28" s="68">
        <f>1 - CUSTOS!$M$29</f>
        <v>1</v>
      </c>
      <c r="Q28" s="68"/>
      <c r="R28" s="68">
        <f>(1 - CUSTOS!$M$29)*1.72</f>
        <v>1.72</v>
      </c>
      <c r="S28" s="68"/>
      <c r="T28" s="68">
        <f>1 - CUSTOS!$M$29</f>
        <v>1</v>
      </c>
      <c r="U28" s="68">
        <f>1 - CUSTOS!$M$29</f>
        <v>1</v>
      </c>
      <c r="V28" s="68">
        <f>1 - CUSTOS!$M$29</f>
        <v>1</v>
      </c>
      <c r="W28" s="68"/>
      <c r="X28" s="68"/>
      <c r="Y28" s="68"/>
      <c r="Z28" s="68">
        <f>1 - CUSTOS!$M$29</f>
        <v>1</v>
      </c>
      <c r="AA28" s="68"/>
      <c r="AB28" s="68"/>
    </row>
    <row r="29" spans="1:28" ht="11.25" customHeight="1" x14ac:dyDescent="0.3">
      <c r="A29" s="143"/>
      <c r="B29" s="143"/>
      <c r="C29" s="143"/>
      <c r="D29" s="143"/>
      <c r="E29" s="143"/>
      <c r="F29" s="143"/>
      <c r="G29" s="71" t="s">
        <v>93</v>
      </c>
      <c r="H29" s="71" t="s">
        <v>76</v>
      </c>
      <c r="I29" s="71">
        <f>'MERCADO TE'!$U$26</f>
        <v>0</v>
      </c>
      <c r="J29" s="15"/>
      <c r="L29" s="68">
        <f>1 - CUSTOS!$M$29</f>
        <v>1</v>
      </c>
      <c r="M29" s="68">
        <f>1 - CUSTOS!$M$29</f>
        <v>1</v>
      </c>
      <c r="N29" s="68">
        <f>1 - CUSTOS!$M$29</f>
        <v>1</v>
      </c>
      <c r="O29" s="68">
        <f>1 - CUSTOS!$M$29</f>
        <v>1</v>
      </c>
      <c r="P29" s="68">
        <f>1 - CUSTOS!$M$29</f>
        <v>1</v>
      </c>
      <c r="Q29" s="68"/>
      <c r="R29" s="68">
        <f>(1 - CUSTOS!$M$29)*1</f>
        <v>1</v>
      </c>
      <c r="S29" s="68"/>
      <c r="T29" s="68">
        <f>1 - CUSTOS!$M$29</f>
        <v>1</v>
      </c>
      <c r="U29" s="68">
        <f>1 - CUSTOS!$M$29</f>
        <v>1</v>
      </c>
      <c r="V29" s="68">
        <f>1 - CUSTOS!$M$29</f>
        <v>1</v>
      </c>
      <c r="W29" s="68"/>
      <c r="X29" s="68"/>
      <c r="Y29" s="68"/>
      <c r="Z29" s="68">
        <f>1 - CUSTOS!$M$29</f>
        <v>1</v>
      </c>
      <c r="AA29" s="68"/>
      <c r="AB29" s="68"/>
    </row>
    <row r="30" spans="1:28" ht="11.25" customHeight="1" x14ac:dyDescent="0.3">
      <c r="A30" s="143"/>
      <c r="B30" s="143"/>
      <c r="C30" s="143"/>
      <c r="D30" s="143"/>
      <c r="E30" s="143"/>
      <c r="F30" s="143"/>
      <c r="G30" s="71" t="s">
        <v>78</v>
      </c>
      <c r="H30" s="71" t="s">
        <v>76</v>
      </c>
      <c r="I30" s="71">
        <f>'MERCADO TE'!$U$27</f>
        <v>0</v>
      </c>
      <c r="J30" s="15"/>
      <c r="L30" s="68">
        <f>1 - CUSTOS!$M$29</f>
        <v>1</v>
      </c>
      <c r="M30" s="68">
        <f>1 - CUSTOS!$M$29</f>
        <v>1</v>
      </c>
      <c r="N30" s="68">
        <f>1 - CUSTOS!$M$29</f>
        <v>1</v>
      </c>
      <c r="O30" s="68">
        <f>1 - CUSTOS!$M$29</f>
        <v>1</v>
      </c>
      <c r="P30" s="68">
        <f>1 - CUSTOS!$M$29</f>
        <v>1</v>
      </c>
      <c r="Q30" s="68"/>
      <c r="R30" s="68">
        <f>(1 - CUSTOS!$M$29)*1</f>
        <v>1</v>
      </c>
      <c r="S30" s="68"/>
      <c r="T30" s="68">
        <f>1 - CUSTOS!$M$29</f>
        <v>1</v>
      </c>
      <c r="U30" s="68">
        <f>1 - CUSTOS!$M$29</f>
        <v>1</v>
      </c>
      <c r="V30" s="68">
        <f>1 - CUSTOS!$M$29</f>
        <v>1</v>
      </c>
      <c r="W30" s="68"/>
      <c r="X30" s="68"/>
      <c r="Y30" s="68"/>
      <c r="Z30" s="68">
        <f>1 - CUSTOS!$M$29</f>
        <v>1</v>
      </c>
      <c r="AA30" s="68"/>
      <c r="AB30" s="68"/>
    </row>
    <row r="31" spans="1:28" ht="11.25" customHeight="1" x14ac:dyDescent="0.3">
      <c r="A31" s="143"/>
      <c r="B31" s="70" t="s">
        <v>82</v>
      </c>
      <c r="C31" s="70" t="s">
        <v>43</v>
      </c>
      <c r="D31" s="70" t="s">
        <v>96</v>
      </c>
      <c r="E31" s="70" t="s">
        <v>25</v>
      </c>
      <c r="F31" s="70" t="s">
        <v>25</v>
      </c>
      <c r="G31" s="71" t="s">
        <v>81</v>
      </c>
      <c r="H31" s="71" t="s">
        <v>76</v>
      </c>
      <c r="I31" s="71">
        <f>'MERCADO TE'!$U$28</f>
        <v>0</v>
      </c>
      <c r="J31" s="15"/>
      <c r="L31" s="68">
        <f>1 - CUSTOS!$M$29</f>
        <v>1</v>
      </c>
      <c r="M31" s="68">
        <f>1 - CUSTOS!$M$29</f>
        <v>1</v>
      </c>
      <c r="N31" s="68">
        <f>1 - CUSTOS!$M$29</f>
        <v>1</v>
      </c>
      <c r="O31" s="68">
        <f>1 - CUSTOS!$M$29</f>
        <v>1</v>
      </c>
      <c r="P31" s="68">
        <f>1 - CUSTOS!$M$29</f>
        <v>1</v>
      </c>
      <c r="Q31" s="68"/>
      <c r="R31" s="68">
        <f>(1 - CUSTOS!$M$29)*1.06</f>
        <v>1.06</v>
      </c>
      <c r="S31" s="68"/>
      <c r="T31" s="68">
        <f>1 - CUSTOS!$M$29</f>
        <v>1</v>
      </c>
      <c r="U31" s="68">
        <f>1 - CUSTOS!$M$29</f>
        <v>1</v>
      </c>
      <c r="V31" s="68">
        <f>1 - CUSTOS!$M$29</f>
        <v>1</v>
      </c>
      <c r="W31" s="68"/>
      <c r="X31" s="68"/>
      <c r="Y31" s="68"/>
      <c r="Z31" s="68">
        <f>1 - CUSTOS!$M$29</f>
        <v>1</v>
      </c>
      <c r="AA31" s="68"/>
      <c r="AB31" s="68"/>
    </row>
    <row r="32" spans="1:28" ht="11.25" customHeight="1" x14ac:dyDescent="0.3">
      <c r="A32" s="143"/>
      <c r="B32" s="143" t="s">
        <v>75</v>
      </c>
      <c r="C32" s="143" t="s">
        <v>43</v>
      </c>
      <c r="D32" s="143" t="s">
        <v>97</v>
      </c>
      <c r="E32" s="143" t="s">
        <v>25</v>
      </c>
      <c r="F32" s="143" t="s">
        <v>25</v>
      </c>
      <c r="G32" s="71" t="s">
        <v>77</v>
      </c>
      <c r="H32" s="71" t="s">
        <v>76</v>
      </c>
      <c r="I32" s="71">
        <f>'MERCADO TE'!$U$29</f>
        <v>0</v>
      </c>
      <c r="J32" s="15"/>
      <c r="L32" s="68">
        <f>1 - CUSTOS!$M$30</f>
        <v>1</v>
      </c>
      <c r="M32" s="68">
        <f>1 - CUSTOS!$M$30</f>
        <v>1</v>
      </c>
      <c r="N32" s="68">
        <f>1 - CUSTOS!$M$30</f>
        <v>1</v>
      </c>
      <c r="O32" s="68">
        <f>1 - CUSTOS!$M$30</f>
        <v>1</v>
      </c>
      <c r="P32" s="68">
        <f>1 - CUSTOS!$M$30</f>
        <v>1</v>
      </c>
      <c r="Q32" s="68"/>
      <c r="R32" s="68">
        <f>(1 - CUSTOS!$M$30)*1.72</f>
        <v>1.72</v>
      </c>
      <c r="S32" s="68"/>
      <c r="T32" s="68">
        <f>1 - CUSTOS!$M$30</f>
        <v>1</v>
      </c>
      <c r="U32" s="68">
        <f>1 - CUSTOS!$M$30</f>
        <v>1</v>
      </c>
      <c r="V32" s="68">
        <f>1 - CUSTOS!$M$30</f>
        <v>1</v>
      </c>
      <c r="W32" s="68"/>
      <c r="X32" s="68"/>
      <c r="Y32" s="68"/>
      <c r="Z32" s="68">
        <f>1 - CUSTOS!$M$30</f>
        <v>1</v>
      </c>
      <c r="AA32" s="68"/>
      <c r="AB32" s="68"/>
    </row>
    <row r="33" spans="1:28" ht="11.25" customHeight="1" x14ac:dyDescent="0.3">
      <c r="A33" s="143"/>
      <c r="B33" s="143"/>
      <c r="C33" s="143"/>
      <c r="D33" s="143"/>
      <c r="E33" s="143"/>
      <c r="F33" s="143"/>
      <c r="G33" s="71" t="s">
        <v>93</v>
      </c>
      <c r="H33" s="71" t="s">
        <v>76</v>
      </c>
      <c r="I33" s="71">
        <f>'MERCADO TE'!$U$30</f>
        <v>0</v>
      </c>
      <c r="J33" s="15"/>
      <c r="L33" s="68">
        <f>1 - CUSTOS!$M$30</f>
        <v>1</v>
      </c>
      <c r="M33" s="68">
        <f>1 - CUSTOS!$M$30</f>
        <v>1</v>
      </c>
      <c r="N33" s="68">
        <f>1 - CUSTOS!$M$30</f>
        <v>1</v>
      </c>
      <c r="O33" s="68">
        <f>1 - CUSTOS!$M$30</f>
        <v>1</v>
      </c>
      <c r="P33" s="68">
        <f>1 - CUSTOS!$M$30</f>
        <v>1</v>
      </c>
      <c r="Q33" s="68"/>
      <c r="R33" s="68">
        <f>(1 - CUSTOS!$M$30)*1</f>
        <v>1</v>
      </c>
      <c r="S33" s="68"/>
      <c r="T33" s="68">
        <f>1 - CUSTOS!$M$30</f>
        <v>1</v>
      </c>
      <c r="U33" s="68">
        <f>1 - CUSTOS!$M$30</f>
        <v>1</v>
      </c>
      <c r="V33" s="68">
        <f>1 - CUSTOS!$M$30</f>
        <v>1</v>
      </c>
      <c r="W33" s="68"/>
      <c r="X33" s="68"/>
      <c r="Y33" s="68"/>
      <c r="Z33" s="68">
        <f>1 - CUSTOS!$M$30</f>
        <v>1</v>
      </c>
      <c r="AA33" s="68"/>
      <c r="AB33" s="68"/>
    </row>
    <row r="34" spans="1:28" ht="11.25" customHeight="1" x14ac:dyDescent="0.3">
      <c r="A34" s="143"/>
      <c r="B34" s="143"/>
      <c r="C34" s="143"/>
      <c r="D34" s="143"/>
      <c r="E34" s="143"/>
      <c r="F34" s="143"/>
      <c r="G34" s="71" t="s">
        <v>78</v>
      </c>
      <c r="H34" s="71" t="s">
        <v>76</v>
      </c>
      <c r="I34" s="71">
        <f>'MERCADO TE'!$U$31</f>
        <v>0</v>
      </c>
      <c r="J34" s="15"/>
      <c r="L34" s="68">
        <f>1 - CUSTOS!$M$30</f>
        <v>1</v>
      </c>
      <c r="M34" s="68">
        <f>1 - CUSTOS!$M$30</f>
        <v>1</v>
      </c>
      <c r="N34" s="68">
        <f>1 - CUSTOS!$M$30</f>
        <v>1</v>
      </c>
      <c r="O34" s="68">
        <f>1 - CUSTOS!$M$30</f>
        <v>1</v>
      </c>
      <c r="P34" s="68">
        <f>1 - CUSTOS!$M$30</f>
        <v>1</v>
      </c>
      <c r="Q34" s="68"/>
      <c r="R34" s="68">
        <f>(1 - CUSTOS!$M$30)*1</f>
        <v>1</v>
      </c>
      <c r="S34" s="68"/>
      <c r="T34" s="68">
        <f>1 - CUSTOS!$M$30</f>
        <v>1</v>
      </c>
      <c r="U34" s="68">
        <f>1 - CUSTOS!$M$30</f>
        <v>1</v>
      </c>
      <c r="V34" s="68">
        <f>1 - CUSTOS!$M$30</f>
        <v>1</v>
      </c>
      <c r="W34" s="68"/>
      <c r="X34" s="68"/>
      <c r="Y34" s="68"/>
      <c r="Z34" s="68">
        <f>1 - CUSTOS!$M$30</f>
        <v>1</v>
      </c>
      <c r="AA34" s="68"/>
      <c r="AB34" s="68"/>
    </row>
    <row r="35" spans="1:28" ht="11.25" customHeight="1" x14ac:dyDescent="0.3">
      <c r="A35" s="143"/>
      <c r="B35" s="70" t="s">
        <v>82</v>
      </c>
      <c r="C35" s="70" t="s">
        <v>43</v>
      </c>
      <c r="D35" s="70" t="s">
        <v>97</v>
      </c>
      <c r="E35" s="70" t="s">
        <v>25</v>
      </c>
      <c r="F35" s="70" t="s">
        <v>25</v>
      </c>
      <c r="G35" s="71" t="s">
        <v>81</v>
      </c>
      <c r="H35" s="71" t="s">
        <v>76</v>
      </c>
      <c r="I35" s="71">
        <f>'MERCADO TE'!$U$32</f>
        <v>0</v>
      </c>
      <c r="J35" s="15"/>
      <c r="L35" s="68">
        <f>1 - CUSTOS!$M$30</f>
        <v>1</v>
      </c>
      <c r="M35" s="68">
        <f>1 - CUSTOS!$M$30</f>
        <v>1</v>
      </c>
      <c r="N35" s="68">
        <f>1 - CUSTOS!$M$30</f>
        <v>1</v>
      </c>
      <c r="O35" s="68">
        <f>1 - CUSTOS!$M$30</f>
        <v>1</v>
      </c>
      <c r="P35" s="68">
        <f>1 - CUSTOS!$M$30</f>
        <v>1</v>
      </c>
      <c r="Q35" s="68"/>
      <c r="R35" s="68">
        <f>(1 - CUSTOS!$M$30)*1.06</f>
        <v>1.06</v>
      </c>
      <c r="S35" s="68"/>
      <c r="T35" s="68">
        <f>1 - CUSTOS!$M$30</f>
        <v>1</v>
      </c>
      <c r="U35" s="68">
        <f>1 - CUSTOS!$M$30</f>
        <v>1</v>
      </c>
      <c r="V35" s="68">
        <f>1 - CUSTOS!$M$30</f>
        <v>1</v>
      </c>
      <c r="W35" s="68"/>
      <c r="X35" s="68"/>
      <c r="Y35" s="68"/>
      <c r="Z35" s="68">
        <f>1 - CUSTOS!$M$30</f>
        <v>1</v>
      </c>
      <c r="AA35" s="68"/>
      <c r="AB35" s="68"/>
    </row>
    <row r="36" spans="1:28" ht="11.25" customHeight="1" x14ac:dyDescent="0.3">
      <c r="A36" s="143"/>
      <c r="B36" s="143" t="s">
        <v>94</v>
      </c>
      <c r="C36" s="143" t="s">
        <v>43</v>
      </c>
      <c r="D36" s="70" t="s">
        <v>25</v>
      </c>
      <c r="E36" s="70" t="s">
        <v>25</v>
      </c>
      <c r="F36" s="70" t="s">
        <v>25</v>
      </c>
      <c r="G36" s="71" t="s">
        <v>81</v>
      </c>
      <c r="H36" s="71" t="s">
        <v>76</v>
      </c>
      <c r="I36" s="71">
        <f>'MERCADO TE'!$U$33</f>
        <v>0</v>
      </c>
      <c r="J36" s="15"/>
      <c r="L36" s="68">
        <f>1 - CUSTOS!$M$28</f>
        <v>1</v>
      </c>
      <c r="M36" s="68">
        <f>1 - CUSTOS!$M$28</f>
        <v>1</v>
      </c>
      <c r="N36" s="68">
        <f>1 - CUSTOS!$M$28</f>
        <v>1</v>
      </c>
      <c r="O36" s="68">
        <f>1 - CUSTOS!$M$28</f>
        <v>1</v>
      </c>
      <c r="P36" s="68">
        <f>1 - CUSTOS!$M$28</f>
        <v>1</v>
      </c>
      <c r="Q36" s="68"/>
      <c r="R36" s="68">
        <f>(1 - CUSTOS!$M$28)*1.06</f>
        <v>1.06</v>
      </c>
      <c r="S36" s="68"/>
      <c r="T36" s="68">
        <f>1 - CUSTOS!$M$28</f>
        <v>1</v>
      </c>
      <c r="U36" s="68">
        <f>1 - CUSTOS!$M$28</f>
        <v>1</v>
      </c>
      <c r="V36" s="68">
        <f>1 - CUSTOS!$M$28</f>
        <v>1</v>
      </c>
      <c r="W36" s="68"/>
      <c r="X36" s="68"/>
      <c r="Y36" s="68"/>
      <c r="Z36" s="68">
        <f>1 - CUSTOS!$M$28</f>
        <v>1</v>
      </c>
      <c r="AA36" s="68"/>
      <c r="AB36" s="68"/>
    </row>
    <row r="37" spans="1:28" ht="11.25" customHeight="1" x14ac:dyDescent="0.3">
      <c r="A37" s="143"/>
      <c r="B37" s="143"/>
      <c r="C37" s="143"/>
      <c r="D37" s="70" t="s">
        <v>96</v>
      </c>
      <c r="E37" s="70" t="s">
        <v>25</v>
      </c>
      <c r="F37" s="70" t="s">
        <v>25</v>
      </c>
      <c r="G37" s="71" t="s">
        <v>81</v>
      </c>
      <c r="H37" s="71" t="s">
        <v>76</v>
      </c>
      <c r="I37" s="71">
        <f>'MERCADO TE'!$U$34</f>
        <v>0</v>
      </c>
      <c r="J37" s="15"/>
      <c r="L37" s="68">
        <f>1 - CUSTOS!$M$29</f>
        <v>1</v>
      </c>
      <c r="M37" s="68">
        <f>1 - CUSTOS!$M$29</f>
        <v>1</v>
      </c>
      <c r="N37" s="68">
        <f>1 - CUSTOS!$M$29</f>
        <v>1</v>
      </c>
      <c r="O37" s="68">
        <f>1 - CUSTOS!$M$29</f>
        <v>1</v>
      </c>
      <c r="P37" s="68">
        <f>1 - CUSTOS!$M$29</f>
        <v>1</v>
      </c>
      <c r="Q37" s="68"/>
      <c r="R37" s="68">
        <f>(1 - CUSTOS!$M$29)*1.06</f>
        <v>1.06</v>
      </c>
      <c r="S37" s="68"/>
      <c r="T37" s="68">
        <f>1 - CUSTOS!$M$29</f>
        <v>1</v>
      </c>
      <c r="U37" s="68">
        <f>1 - CUSTOS!$M$29</f>
        <v>1</v>
      </c>
      <c r="V37" s="68">
        <f>1 - CUSTOS!$M$29</f>
        <v>1</v>
      </c>
      <c r="W37" s="68"/>
      <c r="X37" s="68"/>
      <c r="Y37" s="68"/>
      <c r="Z37" s="68">
        <f>1 - CUSTOS!$M$29</f>
        <v>1</v>
      </c>
      <c r="AA37" s="68"/>
      <c r="AB37" s="68"/>
    </row>
    <row r="38" spans="1:28" ht="11.25" customHeight="1" x14ac:dyDescent="0.3">
      <c r="A38" s="143"/>
      <c r="B38" s="143"/>
      <c r="C38" s="143"/>
      <c r="D38" s="70" t="s">
        <v>97</v>
      </c>
      <c r="E38" s="70" t="s">
        <v>25</v>
      </c>
      <c r="F38" s="70" t="s">
        <v>25</v>
      </c>
      <c r="G38" s="71" t="s">
        <v>81</v>
      </c>
      <c r="H38" s="71" t="s">
        <v>76</v>
      </c>
      <c r="I38" s="71">
        <f>'MERCADO TE'!$U$35</f>
        <v>0</v>
      </c>
      <c r="J38" s="15"/>
      <c r="L38" s="68">
        <f>1 - CUSTOS!$M$30</f>
        <v>1</v>
      </c>
      <c r="M38" s="68">
        <f>1 - CUSTOS!$M$30</f>
        <v>1</v>
      </c>
      <c r="N38" s="68">
        <f>1 - CUSTOS!$M$30</f>
        <v>1</v>
      </c>
      <c r="O38" s="68">
        <f>1 - CUSTOS!$M$30</f>
        <v>1</v>
      </c>
      <c r="P38" s="68">
        <f>1 - CUSTOS!$M$30</f>
        <v>1</v>
      </c>
      <c r="Q38" s="68"/>
      <c r="R38" s="68">
        <f>(1 - CUSTOS!$M$30)*1.06</f>
        <v>1.06</v>
      </c>
      <c r="S38" s="68"/>
      <c r="T38" s="68">
        <f>1 - CUSTOS!$M$30</f>
        <v>1</v>
      </c>
      <c r="U38" s="68">
        <f>1 - CUSTOS!$M$30</f>
        <v>1</v>
      </c>
      <c r="V38" s="68">
        <f>1 - CUSTOS!$M$30</f>
        <v>1</v>
      </c>
      <c r="W38" s="68"/>
      <c r="X38" s="68"/>
      <c r="Y38" s="68"/>
      <c r="Z38" s="68">
        <f>1 - CUSTOS!$M$30</f>
        <v>1</v>
      </c>
      <c r="AA38" s="68"/>
      <c r="AB38" s="68"/>
    </row>
    <row r="39" spans="1:28" ht="11.25" customHeight="1" x14ac:dyDescent="0.3">
      <c r="A39" s="143" t="s">
        <v>37</v>
      </c>
      <c r="B39" s="143" t="s">
        <v>75</v>
      </c>
      <c r="C39" s="143" t="s">
        <v>25</v>
      </c>
      <c r="D39" s="143" t="s">
        <v>25</v>
      </c>
      <c r="E39" s="143" t="s">
        <v>25</v>
      </c>
      <c r="F39" s="143" t="s">
        <v>25</v>
      </c>
      <c r="G39" s="71" t="s">
        <v>77</v>
      </c>
      <c r="H39" s="71" t="s">
        <v>76</v>
      </c>
      <c r="I39" s="71">
        <f>'MERCADO TE'!$U$36</f>
        <v>9.1080000000000005</v>
      </c>
      <c r="J39" s="15"/>
      <c r="L39" s="68">
        <f>1 - CUSTOS!$M$31</f>
        <v>1</v>
      </c>
      <c r="M39" s="68">
        <f>1 - CUSTOS!$M$31</f>
        <v>1</v>
      </c>
      <c r="N39" s="68">
        <f>1 - CUSTOS!$M$31</f>
        <v>1</v>
      </c>
      <c r="O39" s="68">
        <f>1 - CUSTOS!$M$31</f>
        <v>1</v>
      </c>
      <c r="P39" s="68">
        <f>1 - CUSTOS!$M$31</f>
        <v>1</v>
      </c>
      <c r="Q39" s="68"/>
      <c r="R39" s="68">
        <f>(1 - CUSTOS!$M$31)*1.72</f>
        <v>1.72</v>
      </c>
      <c r="S39" s="68"/>
      <c r="T39" s="68">
        <f>1 - CUSTOS!$M$31</f>
        <v>1</v>
      </c>
      <c r="U39" s="68">
        <f>1 - CUSTOS!$M$31</f>
        <v>1</v>
      </c>
      <c r="V39" s="68">
        <f>1 - CUSTOS!$M$31</f>
        <v>1</v>
      </c>
      <c r="W39" s="68"/>
      <c r="X39" s="68"/>
      <c r="Y39" s="68"/>
      <c r="Z39" s="68">
        <f>1 - CUSTOS!$M$31</f>
        <v>1</v>
      </c>
      <c r="AA39" s="68"/>
      <c r="AB39" s="68"/>
    </row>
    <row r="40" spans="1:28" ht="11.25" customHeight="1" x14ac:dyDescent="0.3">
      <c r="A40" s="143"/>
      <c r="B40" s="143"/>
      <c r="C40" s="143"/>
      <c r="D40" s="143"/>
      <c r="E40" s="143"/>
      <c r="F40" s="143"/>
      <c r="G40" s="71" t="s">
        <v>93</v>
      </c>
      <c r="H40" s="71" t="s">
        <v>76</v>
      </c>
      <c r="I40" s="71">
        <f>'MERCADO TE'!$U$37</f>
        <v>0.627</v>
      </c>
      <c r="J40" s="15"/>
      <c r="L40" s="68">
        <f>1 - CUSTOS!$M$31</f>
        <v>1</v>
      </c>
      <c r="M40" s="68">
        <f>1 - CUSTOS!$M$31</f>
        <v>1</v>
      </c>
      <c r="N40" s="68">
        <f>1 - CUSTOS!$M$31</f>
        <v>1</v>
      </c>
      <c r="O40" s="68">
        <f>1 - CUSTOS!$M$31</f>
        <v>1</v>
      </c>
      <c r="P40" s="68">
        <f>1 - CUSTOS!$M$31</f>
        <v>1</v>
      </c>
      <c r="Q40" s="68"/>
      <c r="R40" s="68">
        <f>(1 - CUSTOS!$M$31)*1</f>
        <v>1</v>
      </c>
      <c r="S40" s="68"/>
      <c r="T40" s="68">
        <f>1 - CUSTOS!$M$31</f>
        <v>1</v>
      </c>
      <c r="U40" s="68">
        <f>1 - CUSTOS!$M$31</f>
        <v>1</v>
      </c>
      <c r="V40" s="68">
        <f>1 - CUSTOS!$M$31</f>
        <v>1</v>
      </c>
      <c r="W40" s="68"/>
      <c r="X40" s="68"/>
      <c r="Y40" s="68"/>
      <c r="Z40" s="68">
        <f>1 - CUSTOS!$M$31</f>
        <v>1</v>
      </c>
      <c r="AA40" s="68"/>
      <c r="AB40" s="68"/>
    </row>
    <row r="41" spans="1:28" ht="11.25" customHeight="1" x14ac:dyDescent="0.3">
      <c r="A41" s="143"/>
      <c r="B41" s="143"/>
      <c r="C41" s="143"/>
      <c r="D41" s="143"/>
      <c r="E41" s="143"/>
      <c r="F41" s="143"/>
      <c r="G41" s="71" t="s">
        <v>78</v>
      </c>
      <c r="H41" s="71" t="s">
        <v>76</v>
      </c>
      <c r="I41" s="71">
        <f>'MERCADO TE'!$U$38</f>
        <v>7.484</v>
      </c>
      <c r="J41" s="15"/>
      <c r="L41" s="68">
        <f>1 - CUSTOS!$M$31</f>
        <v>1</v>
      </c>
      <c r="M41" s="68">
        <f>1 - CUSTOS!$M$31</f>
        <v>1</v>
      </c>
      <c r="N41" s="68">
        <f>1 - CUSTOS!$M$31</f>
        <v>1</v>
      </c>
      <c r="O41" s="68">
        <f>1 - CUSTOS!$M$31</f>
        <v>1</v>
      </c>
      <c r="P41" s="68">
        <f>1 - CUSTOS!$M$31</f>
        <v>1</v>
      </c>
      <c r="Q41" s="68"/>
      <c r="R41" s="68">
        <f>(1 - CUSTOS!$M$31)*1</f>
        <v>1</v>
      </c>
      <c r="S41" s="68"/>
      <c r="T41" s="68">
        <f>1 - CUSTOS!$M$31</f>
        <v>1</v>
      </c>
      <c r="U41" s="68">
        <f>1 - CUSTOS!$M$31</f>
        <v>1</v>
      </c>
      <c r="V41" s="68">
        <f>1 - CUSTOS!$M$31</f>
        <v>1</v>
      </c>
      <c r="W41" s="68"/>
      <c r="X41" s="68"/>
      <c r="Y41" s="68"/>
      <c r="Z41" s="68">
        <f>1 - CUSTOS!$M$31</f>
        <v>1</v>
      </c>
      <c r="AA41" s="68"/>
      <c r="AB41" s="68"/>
    </row>
    <row r="42" spans="1:28" ht="11.25" customHeight="1" x14ac:dyDescent="0.3">
      <c r="A42" s="143"/>
      <c r="B42" s="70" t="s">
        <v>82</v>
      </c>
      <c r="C42" s="70" t="s">
        <v>25</v>
      </c>
      <c r="D42" s="70" t="s">
        <v>25</v>
      </c>
      <c r="E42" s="70" t="s">
        <v>25</v>
      </c>
      <c r="F42" s="70" t="s">
        <v>25</v>
      </c>
      <c r="G42" s="71" t="s">
        <v>81</v>
      </c>
      <c r="H42" s="71" t="s">
        <v>76</v>
      </c>
      <c r="I42" s="71">
        <f>'MERCADO TE'!$U$39</f>
        <v>11812.039999999999</v>
      </c>
      <c r="J42" s="15"/>
      <c r="L42" s="68">
        <f>1 - CUSTOS!$M$31</f>
        <v>1</v>
      </c>
      <c r="M42" s="68">
        <f>1 - CUSTOS!$M$31</f>
        <v>1</v>
      </c>
      <c r="N42" s="68">
        <f>1 - CUSTOS!$M$31</f>
        <v>1</v>
      </c>
      <c r="O42" s="68">
        <f>1 - CUSTOS!$M$31</f>
        <v>1</v>
      </c>
      <c r="P42" s="68">
        <f>1 - CUSTOS!$M$31</f>
        <v>1</v>
      </c>
      <c r="Q42" s="68"/>
      <c r="R42" s="68">
        <f>(1 - CUSTOS!$M$31)*1.06</f>
        <v>1.06</v>
      </c>
      <c r="S42" s="68"/>
      <c r="T42" s="68">
        <f>1 - CUSTOS!$M$31</f>
        <v>1</v>
      </c>
      <c r="U42" s="68">
        <f>1 - CUSTOS!$M$31</f>
        <v>1</v>
      </c>
      <c r="V42" s="68">
        <f>1 - CUSTOS!$M$31</f>
        <v>1</v>
      </c>
      <c r="W42" s="68"/>
      <c r="X42" s="68"/>
      <c r="Y42" s="68"/>
      <c r="Z42" s="68">
        <f>1 - CUSTOS!$M$31</f>
        <v>1</v>
      </c>
      <c r="AA42" s="68"/>
      <c r="AB42" s="68"/>
    </row>
    <row r="43" spans="1:28" ht="11.25" customHeight="1" x14ac:dyDescent="0.3">
      <c r="A43" s="143"/>
      <c r="B43" s="70" t="s">
        <v>94</v>
      </c>
      <c r="C43" s="70" t="s">
        <v>25</v>
      </c>
      <c r="D43" s="70" t="s">
        <v>25</v>
      </c>
      <c r="E43" s="70" t="s">
        <v>25</v>
      </c>
      <c r="F43" s="70" t="s">
        <v>25</v>
      </c>
      <c r="G43" s="71" t="s">
        <v>81</v>
      </c>
      <c r="H43" s="71" t="s">
        <v>76</v>
      </c>
      <c r="I43" s="71">
        <f>'MERCADO TE'!$U$40</f>
        <v>0</v>
      </c>
      <c r="J43" s="15"/>
      <c r="L43" s="68">
        <f>1 - CUSTOS!$M$31</f>
        <v>1</v>
      </c>
      <c r="M43" s="68">
        <f>1 - CUSTOS!$M$31</f>
        <v>1</v>
      </c>
      <c r="N43" s="68">
        <f>1 - CUSTOS!$M$31</f>
        <v>1</v>
      </c>
      <c r="O43" s="68">
        <f>1 - CUSTOS!$M$31</f>
        <v>1</v>
      </c>
      <c r="P43" s="68">
        <f>1 - CUSTOS!$M$31</f>
        <v>1</v>
      </c>
      <c r="Q43" s="68"/>
      <c r="R43" s="68">
        <f>(1 - CUSTOS!$M$31)*1.06</f>
        <v>1.06</v>
      </c>
      <c r="S43" s="68"/>
      <c r="T43" s="68">
        <f>1 - CUSTOS!$M$31</f>
        <v>1</v>
      </c>
      <c r="U43" s="68">
        <f>1 - CUSTOS!$M$31</f>
        <v>1</v>
      </c>
      <c r="V43" s="68">
        <f>1 - CUSTOS!$M$31</f>
        <v>1</v>
      </c>
      <c r="W43" s="68"/>
      <c r="X43" s="68"/>
      <c r="Y43" s="68"/>
      <c r="Z43" s="68">
        <f>1 - CUSTOS!$M$31</f>
        <v>1</v>
      </c>
      <c r="AA43" s="68"/>
      <c r="AB43" s="68"/>
    </row>
    <row r="44" spans="1:28" ht="11.25" customHeight="1" x14ac:dyDescent="0.3">
      <c r="A44" s="143" t="s">
        <v>45</v>
      </c>
      <c r="B44" s="143" t="s">
        <v>82</v>
      </c>
      <c r="C44" s="143" t="s">
        <v>46</v>
      </c>
      <c r="D44" s="70" t="s">
        <v>47</v>
      </c>
      <c r="E44" s="70" t="s">
        <v>25</v>
      </c>
      <c r="F44" s="70" t="s">
        <v>25</v>
      </c>
      <c r="G44" s="71" t="s">
        <v>81</v>
      </c>
      <c r="H44" s="71" t="s">
        <v>76</v>
      </c>
      <c r="I44" s="71">
        <f>'MERCADO TE'!$U$41</f>
        <v>4365.4290000000001</v>
      </c>
      <c r="J44" s="15"/>
      <c r="L44" s="68">
        <f>1 - CUSTOS!$M$32</f>
        <v>0.55000000000000004</v>
      </c>
      <c r="M44" s="68">
        <f>1 - CUSTOS!$M$32</f>
        <v>0.55000000000000004</v>
      </c>
      <c r="N44" s="68">
        <f>1 - CUSTOS!$M$32</f>
        <v>0.55000000000000004</v>
      </c>
      <c r="O44" s="68">
        <f>1 - CUSTOS!$M$32</f>
        <v>0.55000000000000004</v>
      </c>
      <c r="P44" s="68">
        <f>1 - CUSTOS!$M$32</f>
        <v>0.55000000000000004</v>
      </c>
      <c r="Q44" s="68"/>
      <c r="R44" s="68">
        <f>(1 - CUSTOS!$M$32)*1.06</f>
        <v>0.58300000000000007</v>
      </c>
      <c r="S44" s="68"/>
      <c r="T44" s="68">
        <f>1 - CUSTOS!$M$32</f>
        <v>0.55000000000000004</v>
      </c>
      <c r="U44" s="68">
        <f>1 - CUSTOS!$M$32</f>
        <v>0.55000000000000004</v>
      </c>
      <c r="V44" s="68">
        <f>1 - CUSTOS!$M$32</f>
        <v>0.55000000000000004</v>
      </c>
      <c r="W44" s="68"/>
      <c r="X44" s="68"/>
      <c r="Y44" s="68"/>
      <c r="Z44" s="68">
        <f>1 - CUSTOS!$M$32</f>
        <v>0.55000000000000004</v>
      </c>
      <c r="AA44" s="68"/>
      <c r="AB44" s="68"/>
    </row>
    <row r="45" spans="1:28" ht="11.25" customHeight="1" x14ac:dyDescent="0.3">
      <c r="A45" s="143"/>
      <c r="B45" s="143"/>
      <c r="C45" s="143"/>
      <c r="D45" s="71" t="s">
        <v>98</v>
      </c>
      <c r="E45" s="71" t="s">
        <v>25</v>
      </c>
      <c r="F45" s="71" t="s">
        <v>25</v>
      </c>
      <c r="G45" s="71" t="s">
        <v>81</v>
      </c>
      <c r="H45" s="71" t="s">
        <v>76</v>
      </c>
      <c r="I45" s="71">
        <f>'MERCADO TE'!$U$42</f>
        <v>0</v>
      </c>
      <c r="J45" s="15"/>
      <c r="L45" s="68">
        <f>1 - CUSTOS!$M$33</f>
        <v>0.6</v>
      </c>
      <c r="M45" s="68">
        <f>1 - CUSTOS!$M$33</f>
        <v>0.6</v>
      </c>
      <c r="N45" s="68">
        <f>1 - CUSTOS!$M$33</f>
        <v>0.6</v>
      </c>
      <c r="O45" s="68">
        <f>1 - CUSTOS!$M$33</f>
        <v>0.6</v>
      </c>
      <c r="P45" s="68">
        <f>1 - CUSTOS!$M$33</f>
        <v>0.6</v>
      </c>
      <c r="Q45" s="68"/>
      <c r="R45" s="68">
        <f>(1 - CUSTOS!$M$33)*1.06</f>
        <v>0.63600000000000001</v>
      </c>
      <c r="S45" s="68"/>
      <c r="T45" s="68">
        <f>1 - CUSTOS!$M$33</f>
        <v>0.6</v>
      </c>
      <c r="U45" s="68">
        <f>1 - CUSTOS!$M$33</f>
        <v>0.6</v>
      </c>
      <c r="V45" s="68">
        <f>1 - CUSTOS!$M$33</f>
        <v>0.6</v>
      </c>
      <c r="W45" s="68"/>
      <c r="X45" s="68"/>
      <c r="Y45" s="68"/>
      <c r="Z45" s="68">
        <f>1 - CUSTOS!$M$33</f>
        <v>0.6</v>
      </c>
      <c r="AA45" s="68"/>
      <c r="AB45" s="68"/>
    </row>
    <row r="47" spans="1:28" ht="11.25" customHeight="1" x14ac:dyDescent="0.3">
      <c r="K47" s="73" t="s">
        <v>716</v>
      </c>
      <c r="L47" s="68">
        <f t="shared" ref="L47:AB47" si="0">SUMPRODUCT($I$5:$I$45,L$5:L$45)</f>
        <v>72870.804949999991</v>
      </c>
      <c r="M47" s="68">
        <f t="shared" si="0"/>
        <v>72870.804949999991</v>
      </c>
      <c r="N47" s="68">
        <f t="shared" si="0"/>
        <v>72870.804949999991</v>
      </c>
      <c r="O47" s="68">
        <f t="shared" si="0"/>
        <v>72870.804949999991</v>
      </c>
      <c r="P47" s="68">
        <f t="shared" si="0"/>
        <v>72870.804949999991</v>
      </c>
      <c r="Q47" s="68">
        <f t="shared" si="0"/>
        <v>0</v>
      </c>
      <c r="R47" s="68">
        <f t="shared" si="0"/>
        <v>76942.146106999993</v>
      </c>
      <c r="S47" s="68">
        <f t="shared" si="0"/>
        <v>0</v>
      </c>
      <c r="T47" s="68">
        <f t="shared" si="0"/>
        <v>72870.804949999991</v>
      </c>
      <c r="U47" s="68">
        <f t="shared" si="0"/>
        <v>72870.804949999991</v>
      </c>
      <c r="V47" s="68">
        <f t="shared" si="0"/>
        <v>72870.804949999991</v>
      </c>
      <c r="W47" s="68">
        <f t="shared" si="0"/>
        <v>0</v>
      </c>
      <c r="X47" s="68">
        <f t="shared" si="0"/>
        <v>0</v>
      </c>
      <c r="Y47" s="68">
        <f t="shared" si="0"/>
        <v>0</v>
      </c>
      <c r="Z47" s="68">
        <f t="shared" si="0"/>
        <v>72870.804949999991</v>
      </c>
      <c r="AA47" s="68">
        <f t="shared" si="0"/>
        <v>0</v>
      </c>
      <c r="AB47" s="68">
        <f t="shared" si="0"/>
        <v>0</v>
      </c>
    </row>
    <row r="48" spans="1:28" ht="11.25" customHeight="1" x14ac:dyDescent="0.3">
      <c r="K48" s="73" t="s">
        <v>652</v>
      </c>
      <c r="L48" s="68">
        <f>CUSTOS!$D$30</f>
        <v>167940.82504070833</v>
      </c>
      <c r="M48" s="68">
        <f>CUSTOS!$D$31</f>
        <v>1712489.293852424</v>
      </c>
      <c r="N48" s="68">
        <f>CUSTOS!$D$32</f>
        <v>0</v>
      </c>
      <c r="O48" s="68">
        <f>CUSTOS!$D$33</f>
        <v>790965.44408662</v>
      </c>
      <c r="P48" s="68">
        <f>CUSTOS!$D$34</f>
        <v>-1110000</v>
      </c>
      <c r="Q48" s="68">
        <f>CUSTOS!$D$35</f>
        <v>1561395.5629797522</v>
      </c>
      <c r="R48" s="68">
        <f>CUSTOS!$D$36</f>
        <v>14953142.10204223</v>
      </c>
      <c r="S48" s="68">
        <f>CUSTOS!$D$37</f>
        <v>14953142.10204223</v>
      </c>
      <c r="T48" s="68">
        <f>CUSTOS!$D$38</f>
        <v>385890.19522984239</v>
      </c>
      <c r="U48" s="68">
        <f>CUSTOS!$D$39</f>
        <v>270104.33764690749</v>
      </c>
      <c r="V48" s="68">
        <f>CUSTOS!$D$40</f>
        <v>0</v>
      </c>
      <c r="W48" s="68">
        <f>CUSTOS!$D$41</f>
        <v>655994.53287674987</v>
      </c>
      <c r="X48" s="68">
        <f>CUSTOS!$D$42</f>
        <v>0</v>
      </c>
      <c r="Y48" s="68">
        <f>CUSTOS!$D$43</f>
        <v>0</v>
      </c>
      <c r="Z48" s="68">
        <f>CUSTOS!$D$44</f>
        <v>146833.6627893484</v>
      </c>
      <c r="AA48" s="68">
        <f>CUSTOS!$D$45</f>
        <v>146833.6627893484</v>
      </c>
      <c r="AB48" s="68">
        <f>CUSTOS!$D$46</f>
        <v>17317365.860688079</v>
      </c>
    </row>
    <row r="49" spans="11:28" ht="11.25" customHeight="1" x14ac:dyDescent="0.3">
      <c r="K49" s="73" t="s">
        <v>653</v>
      </c>
      <c r="L49" s="68">
        <f>CUSTOS!$E$30</f>
        <v>-1.3138446416525909</v>
      </c>
      <c r="M49" s="68">
        <f>CUSTOS!$E$31</f>
        <v>-493289.99075713538</v>
      </c>
      <c r="N49" s="68">
        <f>CUSTOS!$E$32</f>
        <v>0</v>
      </c>
      <c r="O49" s="68">
        <f>CUSTOS!$E$33</f>
        <v>-39950.401748293851</v>
      </c>
      <c r="P49" s="68">
        <f>CUSTOS!$E$34</f>
        <v>0</v>
      </c>
      <c r="Q49" s="68">
        <f>CUSTOS!$E$35</f>
        <v>-533241.70635007089</v>
      </c>
      <c r="R49" s="68">
        <f>CUSTOS!$E$36</f>
        <v>-2229271.9091954995</v>
      </c>
      <c r="S49" s="68">
        <f>CUSTOS!$E$37</f>
        <v>-2229271.9091954995</v>
      </c>
      <c r="T49" s="68">
        <f>CUSTOS!$E$38</f>
        <v>-31139.957837230031</v>
      </c>
      <c r="U49" s="68">
        <f>CUSTOS!$E$39</f>
        <v>-2299.010892429159</v>
      </c>
      <c r="V49" s="68">
        <f>CUSTOS!$E$40</f>
        <v>0</v>
      </c>
      <c r="W49" s="68">
        <f>CUSTOS!$E$41</f>
        <v>-33438.968729659187</v>
      </c>
      <c r="X49" s="68">
        <f>CUSTOS!$E$42</f>
        <v>-2049499.9443448738</v>
      </c>
      <c r="Y49" s="68">
        <f>CUSTOS!$E$43</f>
        <v>-2049499.9443448738</v>
      </c>
      <c r="Z49" s="68">
        <f>CUSTOS!$E$44</f>
        <v>-21890.526923827827</v>
      </c>
      <c r="AA49" s="68">
        <f>CUSTOS!$E$45</f>
        <v>-21890.526923827827</v>
      </c>
      <c r="AB49" s="68">
        <f>CUSTOS!$E$46</f>
        <v>-4867343.0555439312</v>
      </c>
    </row>
    <row r="50" spans="11:28" ht="11.25" customHeight="1" x14ac:dyDescent="0.3">
      <c r="K50" s="73" t="s">
        <v>654</v>
      </c>
      <c r="L50" s="68">
        <f>CUSTOS!$F$30</f>
        <v>0</v>
      </c>
      <c r="M50" s="68">
        <f>CUSTOS!$F$31</f>
        <v>913870.79390000005</v>
      </c>
      <c r="N50" s="68">
        <f>CUSTOS!$F$32</f>
        <v>0</v>
      </c>
      <c r="O50" s="68">
        <f>CUSTOS!$F$33</f>
        <v>51876.921013676954</v>
      </c>
      <c r="P50" s="68">
        <f>CUSTOS!$F$34</f>
        <v>0</v>
      </c>
      <c r="Q50" s="68">
        <f>CUSTOS!$F$35</f>
        <v>965747.71491367696</v>
      </c>
      <c r="R50" s="68">
        <f>CUSTOS!$F$36</f>
        <v>1522229.0061600239</v>
      </c>
      <c r="S50" s="68">
        <f>CUSTOS!$F$37</f>
        <v>1522229.0061600239</v>
      </c>
      <c r="T50" s="68">
        <f>CUSTOS!$F$38</f>
        <v>115104.2267</v>
      </c>
      <c r="U50" s="68">
        <f>CUSTOS!$F$39</f>
        <v>14988.964900000001</v>
      </c>
      <c r="V50" s="68">
        <f>CUSTOS!$F$40</f>
        <v>0</v>
      </c>
      <c r="W50" s="68">
        <f>CUSTOS!$F$41</f>
        <v>130093.19160000001</v>
      </c>
      <c r="X50" s="68">
        <f>CUSTOS!$F$42</f>
        <v>0</v>
      </c>
      <c r="Y50" s="68">
        <f>CUSTOS!$F$43</f>
        <v>0</v>
      </c>
      <c r="Z50" s="68">
        <f>CUSTOS!$F$44</f>
        <v>14947.65842880202</v>
      </c>
      <c r="AA50" s="68">
        <f>CUSTOS!$F$45</f>
        <v>14947.65842880202</v>
      </c>
      <c r="AB50" s="68">
        <f>CUSTOS!$F$46</f>
        <v>2633017.5711025032</v>
      </c>
    </row>
    <row r="51" spans="11:28" ht="11.25" customHeight="1" x14ac:dyDescent="0.3">
      <c r="K51" s="73" t="s">
        <v>717</v>
      </c>
      <c r="L51" s="68">
        <f>IF(SUMPRODUCT($I$5:$I$45,$L$5:$L$45)&lt;&gt;0,L48/SUMPRODUCT($I$5:$I$45,$L$5:$L$45),0)</f>
        <v>2.3046379843881271</v>
      </c>
      <c r="M51" s="68">
        <f>IF(SUMPRODUCT($I$5:$I$45,$M$5:$M$45)&lt;&gt;0,M48/SUMPRODUCT($I$5:$I$45,$M$5:$M$45),0)</f>
        <v>23.500348253699705</v>
      </c>
      <c r="N51" s="68">
        <f>IF(SUMPRODUCT($I$5:$I$45,$N$5:$N$45)&lt;&gt;0,N48/SUMPRODUCT($I$5:$I$45,$N$5:$N$45),0)</f>
        <v>0</v>
      </c>
      <c r="O51" s="68">
        <f>IF(SUMPRODUCT($I$5:$I$45,$O$5:$O$45)&lt;&gt;0,O48/SUMPRODUCT($I$5:$I$45,$O$5:$O$45),0)</f>
        <v>10.854353051669152</v>
      </c>
      <c r="P51" s="68">
        <f>IF(SUMPRODUCT($I$5:$I$45,$P$5:$P$45)&lt;&gt;0,P48/SUMPRODUCT($I$5:$I$45,$P$5:$P$45),0)</f>
        <v>-15.232437747347817</v>
      </c>
      <c r="Q51" s="68"/>
      <c r="R51" s="68">
        <f>IF((CUSTOS!$M$12-CUSTOS!$M$13)&lt;&gt;0,(CUSTOS!$M$12*CUSTOS!$M$14)/(CUSTOS!$M$12-CUSTOS!$M$13),0)</f>
        <v>203.72324259566903</v>
      </c>
      <c r="S51" s="68"/>
      <c r="T51" s="68">
        <f>IF(SUMPRODUCT($I$5:$I$45,$T$5:$T$45)&lt;&gt;0,T48/SUMPRODUCT($I$5:$I$45,$T$5:$T$45),0)</f>
        <v>5.2955390776130358</v>
      </c>
      <c r="U51" s="68">
        <f>IF(SUMPRODUCT($I$5:$I$45,$U$5:$U$45)&lt;&gt;0,U48/SUMPRODUCT($I$5:$I$45,$U$5:$U$45),0)</f>
        <v>3.7066193770226428</v>
      </c>
      <c r="V51" s="68">
        <f>IF(SUMPRODUCT($I$5:$I$45,$V$5:$V$45)&lt;&gt;0,V48/SUMPRODUCT($I$5:$I$45,$V$5:$V$45),0)</f>
        <v>0</v>
      </c>
      <c r="W51" s="68"/>
      <c r="X51" s="68">
        <f>IF(SUMPRODUCT($I$5:$I$45,$X$5:$X$45)&lt;&gt;0,X48/SUMPRODUCT($I$5:$I$45,$X$5:$X$45),0)</f>
        <v>0</v>
      </c>
      <c r="Y51" s="68"/>
      <c r="Z51" s="68">
        <f>IF(SUMPRODUCT($I$5:$I$45,$Z$5:$Z$45)&lt;&gt;0,Z48/SUMPRODUCT($I$5:$I$45,$Z$5:$Z$45),0)</f>
        <v>2.0149861510394693</v>
      </c>
      <c r="AA51" s="68"/>
      <c r="AB51" s="68"/>
    </row>
    <row r="52" spans="11:28" ht="11.25" customHeight="1" x14ac:dyDescent="0.3">
      <c r="K52" s="73" t="s">
        <v>718</v>
      </c>
      <c r="L52" s="68">
        <f>IF(L47&lt;&gt;0,(L48-L51*(+ $I$7*L$7+ $I$9*L$9+ $I$10*L$10))/(L47-(+ $I$7*L$7+ $I$9*L$9+ $I$10*L$10)),0)</f>
        <v>2.3046379843881271</v>
      </c>
      <c r="M52" s="68">
        <f>IF(M47&lt;&gt;0,(M48-M51*(+ $I$7*M$7+ $I$9*M$9+ $I$10*M$10))/(M47-(+ $I$7*M$7+ $I$9*M$9+ $I$10*M$10)),0)</f>
        <v>23.500348253699705</v>
      </c>
      <c r="N52" s="68">
        <f>IF(N47&lt;&gt;0,(N48-N51*(+ $I$7*N$7+ $I$9*N$9+ $I$10*N$10))/(N47-(+ $I$7*N$7+ $I$9*N$9+ $I$10*N$10)),0)</f>
        <v>0</v>
      </c>
      <c r="O52" s="68">
        <f>IF(O47&lt;&gt;0,(O48-O51*(+ $I$7*O$7+ $I$9*O$9+ $I$10*O$10))/(O47-(+ $I$7*O$7+ $I$9*O$9+ $I$10*O$10)),0)</f>
        <v>10.854353051669154</v>
      </c>
      <c r="P52" s="68">
        <f>IF(P47&lt;&gt;0,(P48-P51*(+ $I$7*P$7+ $I$9*P$9+ $I$10*P$10))/(P47-(+ $I$7*P$7+ $I$9*P$9+ $I$10*P$10)),0)</f>
        <v>-15.232437747347818</v>
      </c>
      <c r="Q52" s="68"/>
      <c r="R52" s="68">
        <f>IF(R47&lt;&gt;0,(R48-R51*(+ $I$7+ $I$9+ $I$10))/(R47-(+ $I$7*R$7+ $I$9*R$9+ $I$10*R$10)),0)</f>
        <v>194.51863166799919</v>
      </c>
      <c r="S52" s="68"/>
      <c r="T52" s="68">
        <f>IF(T47&lt;&gt;0,(T48-T51*(+ $I$7*T$7+ $I$9*T$9+ $I$10*T$10))/(T47-(+ $I$7*T$7+ $I$9*T$9+ $I$10*T$10)),0)</f>
        <v>5.2955390776130358</v>
      </c>
      <c r="U52" s="68">
        <f>IF(U47&lt;&gt;0,(U48-U51*(+ $I$7*U$7+ $I$9*U$9+ $I$10*U$10))/(U47-(+ $I$7*U$7+ $I$9*U$9+ $I$10*U$10)),0)</f>
        <v>3.7066193770226432</v>
      </c>
      <c r="V52" s="68">
        <f>IF(V47&lt;&gt;0,(V48-V51*(+ $I$7*V$7+ $I$9*V$9+ $I$10*V$10))/(V47-(+ $I$7*V$7+ $I$9*V$9+ $I$10*V$10)),0)</f>
        <v>0</v>
      </c>
      <c r="W52" s="68"/>
      <c r="X52" s="68">
        <f>IF(X47&lt;&gt;0,(X48-X51*(+ $I$7*X$7+ $I$9*X$9+ $I$10*X$10))/(X47-(+ $I$7*X$7+ $I$9*X$9+ $I$10*X$10)),0)</f>
        <v>0</v>
      </c>
      <c r="Y52" s="68"/>
      <c r="Z52" s="68">
        <f>IF(Z47&lt;&gt;0,(Z48-Z51*(+ $I$7*Z$7+ $I$9*Z$9+ $I$10*Z$10))/(Z47-(+ $I$7*Z$7+ $I$9*Z$9+ $I$10*Z$10)),0)</f>
        <v>2.0149861510394693</v>
      </c>
      <c r="AA52" s="68"/>
      <c r="AB52" s="68"/>
    </row>
    <row r="53" spans="11:28" ht="11.25" customHeight="1" x14ac:dyDescent="0.3">
      <c r="K53" s="73" t="s">
        <v>719</v>
      </c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</row>
  </sheetData>
  <mergeCells count="61">
    <mergeCell ref="F5:F6"/>
    <mergeCell ref="A5:A10"/>
    <mergeCell ref="B5:B6"/>
    <mergeCell ref="C5:C6"/>
    <mergeCell ref="D5:D6"/>
    <mergeCell ref="E5:E6"/>
    <mergeCell ref="F11:F13"/>
    <mergeCell ref="B14:B18"/>
    <mergeCell ref="C14:C18"/>
    <mergeCell ref="B19:B23"/>
    <mergeCell ref="C19:C23"/>
    <mergeCell ref="A11:A23"/>
    <mergeCell ref="B11:B13"/>
    <mergeCell ref="C11:C13"/>
    <mergeCell ref="D11:D13"/>
    <mergeCell ref="E11:E13"/>
    <mergeCell ref="E32:E34"/>
    <mergeCell ref="F32:F34"/>
    <mergeCell ref="A24:A38"/>
    <mergeCell ref="B24:B26"/>
    <mergeCell ref="C24:C26"/>
    <mergeCell ref="D24:D26"/>
    <mergeCell ref="E24:E26"/>
    <mergeCell ref="F24:F26"/>
    <mergeCell ref="B28:B30"/>
    <mergeCell ref="C28:C30"/>
    <mergeCell ref="D28:D30"/>
    <mergeCell ref="E28:E30"/>
    <mergeCell ref="F1:F4"/>
    <mergeCell ref="E39:E41"/>
    <mergeCell ref="F39:F41"/>
    <mergeCell ref="A44:A45"/>
    <mergeCell ref="B44:B45"/>
    <mergeCell ref="C44:C45"/>
    <mergeCell ref="B36:B38"/>
    <mergeCell ref="C36:C38"/>
    <mergeCell ref="A39:A43"/>
    <mergeCell ref="B39:B41"/>
    <mergeCell ref="C39:C41"/>
    <mergeCell ref="D39:D41"/>
    <mergeCell ref="F28:F30"/>
    <mergeCell ref="B32:B34"/>
    <mergeCell ref="C32:C34"/>
    <mergeCell ref="D32:D34"/>
    <mergeCell ref="A1:A4"/>
    <mergeCell ref="B1:B4"/>
    <mergeCell ref="C1:C4"/>
    <mergeCell ref="D1:D4"/>
    <mergeCell ref="E1:E4"/>
    <mergeCell ref="Z3:AA3"/>
    <mergeCell ref="AB3:AB4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A921D-0D3D-4A7D-8A22-D807C7163AFC}">
  <sheetPr codeName="Planilha13"/>
  <dimension ref="A1:AB53"/>
  <sheetViews>
    <sheetView showGridLines="0" topLeftCell="R29" workbookViewId="0">
      <selection activeCell="AB47" sqref="AB47"/>
    </sheetView>
  </sheetViews>
  <sheetFormatPr defaultColWidth="9.1093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9.109375" style="9"/>
    <col min="11" max="11" width="20" style="9" bestFit="1" customWidth="1"/>
    <col min="12" max="12" width="8.6640625" style="9" bestFit="1" customWidth="1"/>
    <col min="13" max="13" width="10" style="9" bestFit="1" customWidth="1"/>
    <col min="14" max="14" width="7.88671875" style="9" bestFit="1" customWidth="1"/>
    <col min="15" max="15" width="11.109375" style="9" bestFit="1" customWidth="1"/>
    <col min="16" max="16" width="10.5546875" style="9" bestFit="1" customWidth="1"/>
    <col min="17" max="17" width="10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7.88671875" style="9" bestFit="1" customWidth="1"/>
    <col min="23" max="23" width="9.33203125" style="9" bestFit="1" customWidth="1"/>
    <col min="24" max="25" width="10.554687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9.109375" style="9"/>
  </cols>
  <sheetData>
    <row r="1" spans="1:28" ht="11.25" customHeight="1" x14ac:dyDescent="0.3">
      <c r="A1" s="142" t="s">
        <v>66</v>
      </c>
      <c r="B1" s="142" t="s">
        <v>67</v>
      </c>
      <c r="C1" s="142" t="s">
        <v>68</v>
      </c>
      <c r="D1" s="142" t="s">
        <v>69</v>
      </c>
      <c r="E1" s="142" t="s">
        <v>70</v>
      </c>
      <c r="F1" s="142" t="s">
        <v>15</v>
      </c>
      <c r="G1" s="142" t="s">
        <v>72</v>
      </c>
      <c r="H1" s="142" t="s">
        <v>73</v>
      </c>
      <c r="I1" s="142" t="s">
        <v>700</v>
      </c>
      <c r="J1" s="125"/>
      <c r="L1" s="140" t="s">
        <v>720</v>
      </c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11.25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25"/>
      <c r="L2" s="140" t="s">
        <v>638</v>
      </c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spans="1:28" ht="11.25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25"/>
      <c r="L3" s="140" t="s">
        <v>611</v>
      </c>
      <c r="M3" s="140"/>
      <c r="N3" s="140"/>
      <c r="O3" s="140"/>
      <c r="P3" s="140"/>
      <c r="Q3" s="140"/>
      <c r="R3" s="140" t="s">
        <v>642</v>
      </c>
      <c r="S3" s="140"/>
      <c r="T3" s="140" t="s">
        <v>620</v>
      </c>
      <c r="U3" s="140"/>
      <c r="V3" s="140"/>
      <c r="W3" s="140"/>
      <c r="X3" s="140" t="s">
        <v>630</v>
      </c>
      <c r="Y3" s="140"/>
      <c r="Z3" s="140" t="s">
        <v>633</v>
      </c>
      <c r="AA3" s="140"/>
      <c r="AB3" s="140" t="s">
        <v>619</v>
      </c>
    </row>
    <row r="4" spans="1:28" ht="11.25" customHeight="1" x14ac:dyDescent="0.3">
      <c r="A4" s="142"/>
      <c r="B4" s="142"/>
      <c r="C4" s="142"/>
      <c r="D4" s="142"/>
      <c r="E4" s="142"/>
      <c r="F4" s="142"/>
      <c r="G4" s="142"/>
      <c r="H4" s="142"/>
      <c r="I4" s="142"/>
      <c r="J4" s="125"/>
      <c r="L4" s="72" t="s">
        <v>613</v>
      </c>
      <c r="M4" s="72" t="s">
        <v>639</v>
      </c>
      <c r="N4" s="72" t="s">
        <v>640</v>
      </c>
      <c r="O4" s="72" t="s">
        <v>699</v>
      </c>
      <c r="P4" s="72" t="s">
        <v>641</v>
      </c>
      <c r="Q4" s="72" t="s">
        <v>619</v>
      </c>
      <c r="R4" s="72" t="s">
        <v>643</v>
      </c>
      <c r="S4" s="72" t="s">
        <v>619</v>
      </c>
      <c r="T4" s="72" t="s">
        <v>644</v>
      </c>
      <c r="U4" s="72" t="s">
        <v>645</v>
      </c>
      <c r="V4" s="72" t="s">
        <v>646</v>
      </c>
      <c r="W4" s="72" t="s">
        <v>619</v>
      </c>
      <c r="X4" s="72" t="s">
        <v>631</v>
      </c>
      <c r="Y4" s="72" t="s">
        <v>619</v>
      </c>
      <c r="Z4" s="72" t="s">
        <v>647</v>
      </c>
      <c r="AA4" s="72" t="s">
        <v>619</v>
      </c>
      <c r="AB4" s="141"/>
    </row>
    <row r="5" spans="1:28" ht="11.25" customHeight="1" x14ac:dyDescent="0.3">
      <c r="A5" s="143" t="s">
        <v>39</v>
      </c>
      <c r="B5" s="143" t="s">
        <v>75</v>
      </c>
      <c r="C5" s="143" t="s">
        <v>25</v>
      </c>
      <c r="D5" s="143" t="s">
        <v>25</v>
      </c>
      <c r="E5" s="143" t="s">
        <v>25</v>
      </c>
      <c r="F5" s="143" t="s">
        <v>25</v>
      </c>
      <c r="G5" s="71" t="s">
        <v>77</v>
      </c>
      <c r="H5" s="71" t="s">
        <v>76</v>
      </c>
      <c r="I5" s="71">
        <f>'MERCADO TE'!$U$2</f>
        <v>529.99099999999999</v>
      </c>
      <c r="J5" s="15"/>
      <c r="L5" s="68">
        <f>'TR TE'!$L$5*'TR TE'!$L$52</f>
        <v>2.3046379843881271</v>
      </c>
      <c r="M5" s="68">
        <f>'TR TE'!$M$5*'TR TE'!$M$52</f>
        <v>23.500348253699705</v>
      </c>
      <c r="N5" s="68">
        <f>'TR TE'!$N$5*'TR TE'!$N$52</f>
        <v>0</v>
      </c>
      <c r="O5" s="68">
        <f>'TR TE'!$O$5*'TR TE'!$O$52</f>
        <v>10.854353051669154</v>
      </c>
      <c r="P5" s="68">
        <f>'TR TE'!$P$5*'TR TE'!$P$52</f>
        <v>-15.232437747347818</v>
      </c>
      <c r="Q5" s="68">
        <f>SUM($L$5:$P$5)</f>
        <v>21.426901542409169</v>
      </c>
      <c r="R5" s="68">
        <f>'TR TE'!$R$5*'TR TE'!$R$52</f>
        <v>334.5720464689586</v>
      </c>
      <c r="S5" s="68">
        <f>SUM($R$5:$R$5)</f>
        <v>334.5720464689586</v>
      </c>
      <c r="T5" s="68">
        <f>'TR TE'!$T$5*'TR TE'!$T$52</f>
        <v>5.2955390776130358</v>
      </c>
      <c r="U5" s="68">
        <f>'TR TE'!$U$5*'TR TE'!$U$52</f>
        <v>3.7066193770226432</v>
      </c>
      <c r="V5" s="68">
        <f>'TR TE'!$V$5*'TR TE'!$V$52</f>
        <v>0</v>
      </c>
      <c r="W5" s="68">
        <f>SUM($T$5:$V$5)</f>
        <v>9.0021584546356799</v>
      </c>
      <c r="X5" s="68"/>
      <c r="Y5" s="68">
        <f>SUM($X$5:$X$5)</f>
        <v>0</v>
      </c>
      <c r="Z5" s="68">
        <f>'TR TE'!$Z$5*'TR TE'!$Z$52</f>
        <v>2.0149861510394693</v>
      </c>
      <c r="AA5" s="68">
        <f>SUM($Z$5:$Z$5)</f>
        <v>2.0149861510394693</v>
      </c>
      <c r="AB5" s="68">
        <f>SUMIF($L$4:$AA$4,"SUBTOTAL",$L$5:$AA$5)</f>
        <v>367.01609261704289</v>
      </c>
    </row>
    <row r="6" spans="1:28" ht="11.25" customHeight="1" x14ac:dyDescent="0.3">
      <c r="A6" s="143"/>
      <c r="B6" s="143"/>
      <c r="C6" s="143"/>
      <c r="D6" s="143"/>
      <c r="E6" s="143"/>
      <c r="F6" s="143"/>
      <c r="G6" s="71" t="s">
        <v>78</v>
      </c>
      <c r="H6" s="71" t="s">
        <v>76</v>
      </c>
      <c r="I6" s="71">
        <f>'MERCADO TE'!$U$3</f>
        <v>10939.779999999999</v>
      </c>
      <c r="J6" s="15"/>
      <c r="L6" s="68">
        <f>'TR TE'!$L$6*'TR TE'!$L$52</f>
        <v>2.3046379843881271</v>
      </c>
      <c r="M6" s="68">
        <f>'TR TE'!$M$6*'TR TE'!$M$52</f>
        <v>23.500348253699705</v>
      </c>
      <c r="N6" s="68">
        <f>'TR TE'!$N$6*'TR TE'!$N$52</f>
        <v>0</v>
      </c>
      <c r="O6" s="68">
        <f>'TR TE'!$O$6*'TR TE'!$O$52</f>
        <v>10.854353051669154</v>
      </c>
      <c r="P6" s="68">
        <f>'TR TE'!$P$6*'TR TE'!$P$52</f>
        <v>-15.232437747347818</v>
      </c>
      <c r="Q6" s="68">
        <f>SUM($L$6:$P$6)</f>
        <v>21.426901542409169</v>
      </c>
      <c r="R6" s="68">
        <f>'TR TE'!$R$6*'TR TE'!$R$52</f>
        <v>194.51863166799919</v>
      </c>
      <c r="S6" s="68">
        <f>SUM($R$6:$R$6)</f>
        <v>194.51863166799919</v>
      </c>
      <c r="T6" s="68">
        <f>'TR TE'!$T$6*'TR TE'!$T$52</f>
        <v>5.2955390776130358</v>
      </c>
      <c r="U6" s="68">
        <f>'TR TE'!$U$6*'TR TE'!$U$52</f>
        <v>3.7066193770226432</v>
      </c>
      <c r="V6" s="68">
        <f>'TR TE'!$V$6*'TR TE'!$V$52</f>
        <v>0</v>
      </c>
      <c r="W6" s="68">
        <f>SUM($T$6:$V$6)</f>
        <v>9.0021584546356799</v>
      </c>
      <c r="X6" s="68"/>
      <c r="Y6" s="68">
        <f>SUM($X$6:$X$6)</f>
        <v>0</v>
      </c>
      <c r="Z6" s="68">
        <f>'TR TE'!$Z$6*'TR TE'!$Z$52</f>
        <v>2.0149861510394693</v>
      </c>
      <c r="AA6" s="68">
        <f>SUM($Z$6:$Z$6)</f>
        <v>2.0149861510394693</v>
      </c>
      <c r="AB6" s="68">
        <f>SUMIF($L$4:$AA$4,"SUBTOTAL",$L$6:$AA$6)</f>
        <v>226.96267781608353</v>
      </c>
    </row>
    <row r="7" spans="1:28" ht="11.25" customHeight="1" x14ac:dyDescent="0.3">
      <c r="A7" s="143"/>
      <c r="B7" s="70" t="s">
        <v>79</v>
      </c>
      <c r="C7" s="70" t="s">
        <v>25</v>
      </c>
      <c r="D7" s="70" t="s">
        <v>25</v>
      </c>
      <c r="E7" s="70" t="s">
        <v>80</v>
      </c>
      <c r="F7" s="70" t="s">
        <v>25</v>
      </c>
      <c r="G7" s="71" t="s">
        <v>81</v>
      </c>
      <c r="H7" s="71" t="s">
        <v>76</v>
      </c>
      <c r="I7" s="71">
        <f>'MERCADO TE'!$U$4</f>
        <v>0</v>
      </c>
      <c r="J7" s="15"/>
      <c r="L7" s="68">
        <f>'TR TE'!$L$51</f>
        <v>2.3046379843881271</v>
      </c>
      <c r="M7" s="68">
        <f>'TR TE'!$M$51</f>
        <v>23.500348253699705</v>
      </c>
      <c r="N7" s="68">
        <f>'TR TE'!$N$51</f>
        <v>0</v>
      </c>
      <c r="O7" s="68">
        <f>'TR TE'!$O$51</f>
        <v>10.854353051669152</v>
      </c>
      <c r="P7" s="68">
        <f>'TR TE'!$P$51</f>
        <v>-15.232437747347817</v>
      </c>
      <c r="Q7" s="68">
        <f>SUM($L$7:$P$7)</f>
        <v>21.426901542409169</v>
      </c>
      <c r="R7" s="68">
        <f>'TR TE'!$R$51</f>
        <v>203.72324259566903</v>
      </c>
      <c r="S7" s="68">
        <f>SUM($R$7:$R$7)</f>
        <v>203.72324259566903</v>
      </c>
      <c r="T7" s="68">
        <f>'TR TE'!$T$51</f>
        <v>5.2955390776130358</v>
      </c>
      <c r="U7" s="68">
        <f>'TR TE'!$U$51</f>
        <v>3.7066193770226428</v>
      </c>
      <c r="V7" s="68">
        <f>'TR TE'!$V$51</f>
        <v>0</v>
      </c>
      <c r="W7" s="68">
        <f>SUM($T$7:$V$7)</f>
        <v>9.0021584546356781</v>
      </c>
      <c r="X7" s="68"/>
      <c r="Y7" s="68">
        <f>SUM($X$7:$X$7)</f>
        <v>0</v>
      </c>
      <c r="Z7" s="68">
        <f>'TR TE'!$Z$51</f>
        <v>2.0149861510394693</v>
      </c>
      <c r="AA7" s="68">
        <f>SUM($Z$7:$Z$7)</f>
        <v>2.0149861510394693</v>
      </c>
      <c r="AB7" s="68">
        <f>SUMIF($L$4:$AA$4,"SUBTOTAL",$L$7:$AA$7)</f>
        <v>236.16728874375335</v>
      </c>
    </row>
    <row r="8" spans="1:28" ht="11.25" customHeight="1" x14ac:dyDescent="0.3">
      <c r="A8" s="143"/>
      <c r="B8" s="70" t="s">
        <v>82</v>
      </c>
      <c r="C8" s="70" t="s">
        <v>25</v>
      </c>
      <c r="D8" s="70" t="s">
        <v>25</v>
      </c>
      <c r="E8" s="70" t="s">
        <v>25</v>
      </c>
      <c r="F8" s="70" t="s">
        <v>25</v>
      </c>
      <c r="G8" s="71" t="s">
        <v>81</v>
      </c>
      <c r="H8" s="71" t="s">
        <v>76</v>
      </c>
      <c r="I8" s="71">
        <f>'MERCADO TE'!$U$5</f>
        <v>0</v>
      </c>
      <c r="J8" s="15"/>
      <c r="L8" s="68">
        <f>'TR TE'!$L$8*'TR TE'!$L$52</f>
        <v>2.3046379843881271</v>
      </c>
      <c r="M8" s="68">
        <f>'TR TE'!$M$8*'TR TE'!$M$52</f>
        <v>23.500348253699705</v>
      </c>
      <c r="N8" s="68">
        <f>'TR TE'!$N$8*'TR TE'!$N$52</f>
        <v>0</v>
      </c>
      <c r="O8" s="68">
        <f>'TR TE'!$O$8*'TR TE'!$O$52</f>
        <v>10.854353051669154</v>
      </c>
      <c r="P8" s="68">
        <f>'TR TE'!$P$8*'TR TE'!$P$52</f>
        <v>-15.232437747347818</v>
      </c>
      <c r="Q8" s="68">
        <f>SUM($L$8:$P$8)</f>
        <v>21.426901542409169</v>
      </c>
      <c r="R8" s="68">
        <f>'TR TE'!$R$8*'TR TE'!$R$52</f>
        <v>206.18974956807915</v>
      </c>
      <c r="S8" s="68">
        <f>SUM($R$8:$R$8)</f>
        <v>206.18974956807915</v>
      </c>
      <c r="T8" s="68">
        <f>'TR TE'!$T$8*'TR TE'!$T$52</f>
        <v>5.2955390776130358</v>
      </c>
      <c r="U8" s="68">
        <f>'TR TE'!$U$8*'TR TE'!$U$52</f>
        <v>3.7066193770226432</v>
      </c>
      <c r="V8" s="68">
        <f>'TR TE'!$V$8*'TR TE'!$V$52</f>
        <v>0</v>
      </c>
      <c r="W8" s="68">
        <f>SUM($T$8:$V$8)</f>
        <v>9.0021584546356799</v>
      </c>
      <c r="X8" s="68"/>
      <c r="Y8" s="68">
        <f>SUM($X$8:$X$8)</f>
        <v>0</v>
      </c>
      <c r="Z8" s="68">
        <f>'TR TE'!$Z$8*'TR TE'!$Z$52</f>
        <v>2.0149861510394693</v>
      </c>
      <c r="AA8" s="68">
        <f>SUM($Z$8:$Z$8)</f>
        <v>2.0149861510394693</v>
      </c>
      <c r="AB8" s="68">
        <f>SUMIF($L$4:$AA$4,"SUBTOTAL",$L$8:$AA$8)</f>
        <v>238.63379571616346</v>
      </c>
    </row>
    <row r="9" spans="1:28" ht="11.25" customHeight="1" x14ac:dyDescent="0.3">
      <c r="A9" s="143"/>
      <c r="B9" s="70" t="s">
        <v>89</v>
      </c>
      <c r="C9" s="70" t="s">
        <v>25</v>
      </c>
      <c r="D9" s="70" t="s">
        <v>25</v>
      </c>
      <c r="E9" s="70" t="s">
        <v>80</v>
      </c>
      <c r="F9" s="70" t="s">
        <v>25</v>
      </c>
      <c r="G9" s="71" t="s">
        <v>81</v>
      </c>
      <c r="H9" s="71" t="s">
        <v>76</v>
      </c>
      <c r="I9" s="71">
        <f>'MERCADO TE'!$U$6</f>
        <v>5489.0889999999999</v>
      </c>
      <c r="J9" s="15"/>
      <c r="L9" s="68">
        <f>'TR TE'!$L$51</f>
        <v>2.3046379843881271</v>
      </c>
      <c r="M9" s="68">
        <f>'TR TE'!$M$51</f>
        <v>23.500348253699705</v>
      </c>
      <c r="N9" s="68">
        <f>'TR TE'!$N$51</f>
        <v>0</v>
      </c>
      <c r="O9" s="68">
        <f>'TR TE'!$O$51</f>
        <v>10.854353051669152</v>
      </c>
      <c r="P9" s="68">
        <f>'TR TE'!$P$51</f>
        <v>-15.232437747347817</v>
      </c>
      <c r="Q9" s="68">
        <f>SUM($L$9:$P$9)</f>
        <v>21.426901542409169</v>
      </c>
      <c r="R9" s="68">
        <f>'TR TE'!$R$51</f>
        <v>203.72324259566903</v>
      </c>
      <c r="S9" s="68">
        <f>SUM($R$9:$R$9)</f>
        <v>203.72324259566903</v>
      </c>
      <c r="T9" s="68">
        <f>'TR TE'!$T$51</f>
        <v>5.2955390776130358</v>
      </c>
      <c r="U9" s="68">
        <f>'TR TE'!$U$51</f>
        <v>3.7066193770226428</v>
      </c>
      <c r="V9" s="68">
        <f>'TR TE'!$V$51</f>
        <v>0</v>
      </c>
      <c r="W9" s="68">
        <f>SUM($T$9:$V$9)</f>
        <v>9.0021584546356781</v>
      </c>
      <c r="X9" s="68"/>
      <c r="Y9" s="68">
        <f>SUM($X$9:$X$9)</f>
        <v>0</v>
      </c>
      <c r="Z9" s="68">
        <f>'TR TE'!$Z$51</f>
        <v>2.0149861510394693</v>
      </c>
      <c r="AA9" s="68">
        <f>SUM($Z$9:$Z$9)</f>
        <v>2.0149861510394693</v>
      </c>
      <c r="AB9" s="68">
        <f>SUMIF($L$4:$AA$4,"SUBTOTAL",$L$9:$AA$9)</f>
        <v>236.16728874375335</v>
      </c>
    </row>
    <row r="10" spans="1:28" ht="11.25" customHeight="1" x14ac:dyDescent="0.3">
      <c r="A10" s="143"/>
      <c r="B10" s="70" t="s">
        <v>79</v>
      </c>
      <c r="C10" s="70" t="s">
        <v>25</v>
      </c>
      <c r="D10" s="70" t="s">
        <v>25</v>
      </c>
      <c r="E10" s="70" t="s">
        <v>25</v>
      </c>
      <c r="F10" s="70" t="s">
        <v>25</v>
      </c>
      <c r="G10" s="71" t="s">
        <v>81</v>
      </c>
      <c r="H10" s="71" t="s">
        <v>76</v>
      </c>
      <c r="I10" s="71">
        <f>'MERCADO TE'!$U$7</f>
        <v>0</v>
      </c>
      <c r="J10" s="15"/>
      <c r="L10" s="68">
        <f>'TR TE'!$L$51</f>
        <v>2.3046379843881271</v>
      </c>
      <c r="M10" s="68">
        <v>0</v>
      </c>
      <c r="N10" s="68">
        <f>'TR TE'!$N$51</f>
        <v>0</v>
      </c>
      <c r="O10" s="68">
        <f>'TR TE'!$O$51</f>
        <v>10.854353051669152</v>
      </c>
      <c r="P10" s="68">
        <f>'TR TE'!$P$51</f>
        <v>-15.232437747347817</v>
      </c>
      <c r="Q10" s="68">
        <f>SUM($L$10:$P$10)</f>
        <v>-2.0734467112905364</v>
      </c>
      <c r="R10" s="68">
        <f>'TR TE'!$R$51</f>
        <v>203.72324259566903</v>
      </c>
      <c r="S10" s="68">
        <f>SUM($R$10:$R$10)</f>
        <v>203.72324259566903</v>
      </c>
      <c r="T10" s="68">
        <f>'TR TE'!$T$51</f>
        <v>5.2955390776130358</v>
      </c>
      <c r="U10" s="68">
        <f>'TR TE'!$U$51</f>
        <v>3.7066193770226428</v>
      </c>
      <c r="V10" s="68">
        <f>'TR TE'!$V$51</f>
        <v>0</v>
      </c>
      <c r="W10" s="68">
        <f>SUM($T$10:$V$10)</f>
        <v>9.0021584546356781</v>
      </c>
      <c r="X10" s="68"/>
      <c r="Y10" s="68">
        <f>SUM($X$10:$X$10)</f>
        <v>0</v>
      </c>
      <c r="Z10" s="68">
        <v>0</v>
      </c>
      <c r="AA10" s="68">
        <f>SUM($Z$10:$Z$10)</f>
        <v>0</v>
      </c>
      <c r="AB10" s="68">
        <f>SUMIF($L$4:$AA$4,"SUBTOTAL",$L$10:$AA$10)</f>
        <v>210.6519543390142</v>
      </c>
    </row>
    <row r="11" spans="1:28" ht="11.25" customHeight="1" x14ac:dyDescent="0.3">
      <c r="A11" s="143" t="s">
        <v>22</v>
      </c>
      <c r="B11" s="143" t="s">
        <v>75</v>
      </c>
      <c r="C11" s="143" t="s">
        <v>24</v>
      </c>
      <c r="D11" s="143" t="s">
        <v>24</v>
      </c>
      <c r="E11" s="143" t="s">
        <v>25</v>
      </c>
      <c r="F11" s="143" t="s">
        <v>25</v>
      </c>
      <c r="G11" s="71" t="s">
        <v>77</v>
      </c>
      <c r="H11" s="71" t="s">
        <v>76</v>
      </c>
      <c r="I11" s="71">
        <f>'MERCADO TE'!$U$8</f>
        <v>0.68800000000000017</v>
      </c>
      <c r="J11" s="15"/>
      <c r="L11" s="68">
        <f>'TR TE'!$L$11*'TR TE'!$L$52</f>
        <v>2.3046379843881271</v>
      </c>
      <c r="M11" s="68">
        <f>'TR TE'!$M$11*'TR TE'!$M$52</f>
        <v>23.500348253699705</v>
      </c>
      <c r="N11" s="68">
        <f>'TR TE'!$N$11*'TR TE'!$N$52</f>
        <v>0</v>
      </c>
      <c r="O11" s="68">
        <f>'TR TE'!$O$11*'TR TE'!$O$52</f>
        <v>10.854353051669154</v>
      </c>
      <c r="P11" s="68">
        <f>'TR TE'!$P$11*'TR TE'!$P$52</f>
        <v>-15.232437747347818</v>
      </c>
      <c r="Q11" s="68">
        <f>SUM($L$11:$P$11)</f>
        <v>21.426901542409169</v>
      </c>
      <c r="R11" s="68">
        <f>'TR TE'!$R$11*'TR TE'!$R$52</f>
        <v>334.5720464689586</v>
      </c>
      <c r="S11" s="68">
        <f>SUM($R$11:$R$11)</f>
        <v>334.5720464689586</v>
      </c>
      <c r="T11" s="68">
        <f>'TR TE'!$T$11*'TR TE'!$T$52</f>
        <v>5.2955390776130358</v>
      </c>
      <c r="U11" s="68">
        <f>'TR TE'!$U$11*'TR TE'!$U$52</f>
        <v>3.7066193770226432</v>
      </c>
      <c r="V11" s="68">
        <f>'TR TE'!$V$11*'TR TE'!$V$52</f>
        <v>0</v>
      </c>
      <c r="W11" s="68">
        <f>SUM($T$11:$V$11)</f>
        <v>9.0021584546356799</v>
      </c>
      <c r="X11" s="68"/>
      <c r="Y11" s="68">
        <f>SUM($X$11:$X$11)</f>
        <v>0</v>
      </c>
      <c r="Z11" s="68">
        <f>'TR TE'!$Z$11*'TR TE'!$Z$52</f>
        <v>2.0149861510394693</v>
      </c>
      <c r="AA11" s="68">
        <f>SUM($Z$11:$Z$11)</f>
        <v>2.0149861510394693</v>
      </c>
      <c r="AB11" s="68">
        <f>SUMIF($L$4:$AA$4,"SUBTOTAL",$L$11:$AA$11)</f>
        <v>367.01609261704289</v>
      </c>
    </row>
    <row r="12" spans="1:28" ht="11.25" customHeight="1" x14ac:dyDescent="0.3">
      <c r="A12" s="143"/>
      <c r="B12" s="143"/>
      <c r="C12" s="143"/>
      <c r="D12" s="143"/>
      <c r="E12" s="143"/>
      <c r="F12" s="143"/>
      <c r="G12" s="71" t="s">
        <v>93</v>
      </c>
      <c r="H12" s="71" t="s">
        <v>76</v>
      </c>
      <c r="I12" s="71">
        <f>'MERCADO TE'!$U$9</f>
        <v>0.46</v>
      </c>
      <c r="J12" s="15"/>
      <c r="L12" s="68">
        <f>'TR TE'!$L$12*'TR TE'!$L$52</f>
        <v>2.3046379843881271</v>
      </c>
      <c r="M12" s="68">
        <f>'TR TE'!$M$12*'TR TE'!$M$52</f>
        <v>23.500348253699705</v>
      </c>
      <c r="N12" s="68">
        <f>'TR TE'!$N$12*'TR TE'!$N$52</f>
        <v>0</v>
      </c>
      <c r="O12" s="68">
        <f>'TR TE'!$O$12*'TR TE'!$O$52</f>
        <v>10.854353051669154</v>
      </c>
      <c r="P12" s="68">
        <f>'TR TE'!$P$12*'TR TE'!$P$52</f>
        <v>-15.232437747347818</v>
      </c>
      <c r="Q12" s="68">
        <f>SUM($L$12:$P$12)</f>
        <v>21.426901542409169</v>
      </c>
      <c r="R12" s="68">
        <f>'TR TE'!$R$12*'TR TE'!$R$52</f>
        <v>194.51863166799919</v>
      </c>
      <c r="S12" s="68">
        <f>SUM($R$12:$R$12)</f>
        <v>194.51863166799919</v>
      </c>
      <c r="T12" s="68">
        <f>'TR TE'!$T$12*'TR TE'!$T$52</f>
        <v>5.2955390776130358</v>
      </c>
      <c r="U12" s="68">
        <f>'TR TE'!$U$12*'TR TE'!$U$52</f>
        <v>3.7066193770226432</v>
      </c>
      <c r="V12" s="68">
        <f>'TR TE'!$V$12*'TR TE'!$V$52</f>
        <v>0</v>
      </c>
      <c r="W12" s="68">
        <f>SUM($T$12:$V$12)</f>
        <v>9.0021584546356799</v>
      </c>
      <c r="X12" s="68"/>
      <c r="Y12" s="68">
        <f>SUM($X$12:$X$12)</f>
        <v>0</v>
      </c>
      <c r="Z12" s="68">
        <f>'TR TE'!$Z$12*'TR TE'!$Z$52</f>
        <v>2.0149861510394693</v>
      </c>
      <c r="AA12" s="68">
        <f>SUM($Z$12:$Z$12)</f>
        <v>2.0149861510394693</v>
      </c>
      <c r="AB12" s="68">
        <f>SUMIF($L$4:$AA$4,"SUBTOTAL",$L$12:$AA$12)</f>
        <v>226.96267781608353</v>
      </c>
    </row>
    <row r="13" spans="1:28" ht="11.25" customHeight="1" x14ac:dyDescent="0.3">
      <c r="A13" s="143"/>
      <c r="B13" s="143"/>
      <c r="C13" s="143"/>
      <c r="D13" s="143"/>
      <c r="E13" s="143"/>
      <c r="F13" s="143"/>
      <c r="G13" s="71" t="s">
        <v>78</v>
      </c>
      <c r="H13" s="71" t="s">
        <v>76</v>
      </c>
      <c r="I13" s="71">
        <f>'MERCADO TE'!$U$10</f>
        <v>5.6850000000000005</v>
      </c>
      <c r="J13" s="15"/>
      <c r="L13" s="68">
        <f>'TR TE'!$L$13*'TR TE'!$L$52</f>
        <v>2.3046379843881271</v>
      </c>
      <c r="M13" s="68">
        <f>'TR TE'!$M$13*'TR TE'!$M$52</f>
        <v>23.500348253699705</v>
      </c>
      <c r="N13" s="68">
        <f>'TR TE'!$N$13*'TR TE'!$N$52</f>
        <v>0</v>
      </c>
      <c r="O13" s="68">
        <f>'TR TE'!$O$13*'TR TE'!$O$52</f>
        <v>10.854353051669154</v>
      </c>
      <c r="P13" s="68">
        <f>'TR TE'!$P$13*'TR TE'!$P$52</f>
        <v>-15.232437747347818</v>
      </c>
      <c r="Q13" s="68">
        <f>SUM($L$13:$P$13)</f>
        <v>21.426901542409169</v>
      </c>
      <c r="R13" s="68">
        <f>'TR TE'!$R$13*'TR TE'!$R$52</f>
        <v>194.51863166799919</v>
      </c>
      <c r="S13" s="68">
        <f>SUM($R$13:$R$13)</f>
        <v>194.51863166799919</v>
      </c>
      <c r="T13" s="68">
        <f>'TR TE'!$T$13*'TR TE'!$T$52</f>
        <v>5.2955390776130358</v>
      </c>
      <c r="U13" s="68">
        <f>'TR TE'!$U$13*'TR TE'!$U$52</f>
        <v>3.7066193770226432</v>
      </c>
      <c r="V13" s="68">
        <f>'TR TE'!$V$13*'TR TE'!$V$52</f>
        <v>0</v>
      </c>
      <c r="W13" s="68">
        <f>SUM($T$13:$V$13)</f>
        <v>9.0021584546356799</v>
      </c>
      <c r="X13" s="68"/>
      <c r="Y13" s="68">
        <f>SUM($X$13:$X$13)</f>
        <v>0</v>
      </c>
      <c r="Z13" s="68">
        <f>'TR TE'!$Z$13*'TR TE'!$Z$52</f>
        <v>2.0149861510394693</v>
      </c>
      <c r="AA13" s="68">
        <f>SUM($Z$13:$Z$13)</f>
        <v>2.0149861510394693</v>
      </c>
      <c r="AB13" s="68">
        <f>SUMIF($L$4:$AA$4,"SUBTOTAL",$L$13:$AA$13)</f>
        <v>226.96267781608353</v>
      </c>
    </row>
    <row r="14" spans="1:28" ht="11.25" customHeight="1" x14ac:dyDescent="0.3">
      <c r="A14" s="143"/>
      <c r="B14" s="143" t="s">
        <v>82</v>
      </c>
      <c r="C14" s="143" t="s">
        <v>24</v>
      </c>
      <c r="D14" s="70" t="s">
        <v>24</v>
      </c>
      <c r="E14" s="70" t="s">
        <v>25</v>
      </c>
      <c r="F14" s="70" t="s">
        <v>25</v>
      </c>
      <c r="G14" s="71" t="s">
        <v>81</v>
      </c>
      <c r="H14" s="71" t="s">
        <v>76</v>
      </c>
      <c r="I14" s="71">
        <f>'MERCADO TE'!$U$11</f>
        <v>20470.671000000002</v>
      </c>
      <c r="J14" s="15"/>
      <c r="L14" s="68">
        <f>'TR TE'!$L$14*'TR TE'!$L$52</f>
        <v>2.3046379843881271</v>
      </c>
      <c r="M14" s="68">
        <f>'TR TE'!$M$14*'TR TE'!$M$52</f>
        <v>23.500348253699705</v>
      </c>
      <c r="N14" s="68">
        <f>'TR TE'!$N$14*'TR TE'!$N$52</f>
        <v>0</v>
      </c>
      <c r="O14" s="68">
        <f>'TR TE'!$O$14*'TR TE'!$O$52</f>
        <v>10.854353051669154</v>
      </c>
      <c r="P14" s="68">
        <f>'TR TE'!$P$14*'TR TE'!$P$52</f>
        <v>-15.232437747347818</v>
      </c>
      <c r="Q14" s="68">
        <f>SUM($L$14:$P$14)</f>
        <v>21.426901542409169</v>
      </c>
      <c r="R14" s="68">
        <f>'TR TE'!$R$14*'TR TE'!$R$52</f>
        <v>206.18974956807915</v>
      </c>
      <c r="S14" s="68">
        <f>SUM($R$14:$R$14)</f>
        <v>206.18974956807915</v>
      </c>
      <c r="T14" s="68">
        <f>'TR TE'!$T$14*'TR TE'!$T$52</f>
        <v>5.2955390776130358</v>
      </c>
      <c r="U14" s="68">
        <f>'TR TE'!$U$14*'TR TE'!$U$52</f>
        <v>3.7066193770226432</v>
      </c>
      <c r="V14" s="68">
        <f>'TR TE'!$V$14*'TR TE'!$V$52</f>
        <v>0</v>
      </c>
      <c r="W14" s="68">
        <f>SUM($T$14:$V$14)</f>
        <v>9.0021584546356799</v>
      </c>
      <c r="X14" s="68"/>
      <c r="Y14" s="68">
        <f>SUM($X$14:$X$14)</f>
        <v>0</v>
      </c>
      <c r="Z14" s="68">
        <f>'TR TE'!$Z$14*'TR TE'!$Z$52</f>
        <v>2.0149861510394693</v>
      </c>
      <c r="AA14" s="68">
        <f>SUM($Z$14:$Z$14)</f>
        <v>2.0149861510394693</v>
      </c>
      <c r="AB14" s="68">
        <f>SUMIF($L$4:$AA$4,"SUBTOTAL",$L$14:$AA$14)</f>
        <v>238.63379571616346</v>
      </c>
    </row>
    <row r="15" spans="1:28" ht="11.25" customHeight="1" x14ac:dyDescent="0.3">
      <c r="A15" s="143"/>
      <c r="B15" s="143"/>
      <c r="C15" s="143"/>
      <c r="D15" s="70" t="s">
        <v>29</v>
      </c>
      <c r="E15" s="70" t="s">
        <v>25</v>
      </c>
      <c r="F15" s="70" t="s">
        <v>25</v>
      </c>
      <c r="G15" s="71" t="s">
        <v>81</v>
      </c>
      <c r="H15" s="71" t="s">
        <v>76</v>
      </c>
      <c r="I15" s="71">
        <f>'MERCADO TE'!$U$12</f>
        <v>425.12200000000001</v>
      </c>
      <c r="J15" s="15"/>
      <c r="L15" s="68">
        <f>'TR TE'!$L$15*'TR TE'!$L$52</f>
        <v>2.3046379843881271</v>
      </c>
      <c r="M15" s="68">
        <f>'TR TE'!$M$15*'TR TE'!$M$52</f>
        <v>23.500348253699705</v>
      </c>
      <c r="N15" s="68">
        <f>'TR TE'!$N$15*'TR TE'!$N$52</f>
        <v>0</v>
      </c>
      <c r="O15" s="68">
        <f>'TR TE'!$O$15*'TR TE'!$O$52</f>
        <v>10.854353051669154</v>
      </c>
      <c r="P15" s="68">
        <f>'TR TE'!$P$15*'TR TE'!$P$52</f>
        <v>-15.232437747347818</v>
      </c>
      <c r="Q15" s="68">
        <f>SUM($L$15:$P$15)</f>
        <v>21.426901542409169</v>
      </c>
      <c r="R15" s="68">
        <f>'TR TE'!$R$15*'TR TE'!$R$52</f>
        <v>206.18974956807915</v>
      </c>
      <c r="S15" s="68">
        <f>SUM($R$15:$R$15)</f>
        <v>206.18974956807915</v>
      </c>
      <c r="T15" s="68">
        <f>'TR TE'!$T$15*'TR TE'!$T$52</f>
        <v>5.2955390776130358</v>
      </c>
      <c r="U15" s="68">
        <f>'TR TE'!$U$15*'TR TE'!$U$52</f>
        <v>3.7066193770226432</v>
      </c>
      <c r="V15" s="68">
        <f>'TR TE'!$V$15*'TR TE'!$V$52</f>
        <v>0</v>
      </c>
      <c r="W15" s="68">
        <f>SUM($T$15:$V$15)</f>
        <v>9.0021584546356799</v>
      </c>
      <c r="X15" s="68"/>
      <c r="Y15" s="68">
        <f>SUM($X$15:$X$15)</f>
        <v>0</v>
      </c>
      <c r="Z15" s="68">
        <f>'TR TE'!$Z$15*'TR TE'!$Z$52</f>
        <v>2.0149861510394693</v>
      </c>
      <c r="AA15" s="68">
        <f>SUM($Z$15:$Z$15)</f>
        <v>2.0149861510394693</v>
      </c>
      <c r="AB15" s="68">
        <f>SUMIF($L$4:$AA$4,"SUBTOTAL",$L$15:$AA$15)</f>
        <v>238.63379571616346</v>
      </c>
    </row>
    <row r="16" spans="1:28" ht="11.25" customHeight="1" x14ac:dyDescent="0.3">
      <c r="A16" s="143"/>
      <c r="B16" s="143"/>
      <c r="C16" s="143"/>
      <c r="D16" s="70" t="s">
        <v>30</v>
      </c>
      <c r="E16" s="70" t="s">
        <v>25</v>
      </c>
      <c r="F16" s="70" t="s">
        <v>25</v>
      </c>
      <c r="G16" s="71" t="s">
        <v>81</v>
      </c>
      <c r="H16" s="71" t="s">
        <v>76</v>
      </c>
      <c r="I16" s="71">
        <f>'MERCADO TE'!$U$13</f>
        <v>876.85199999999986</v>
      </c>
      <c r="J16" s="15"/>
      <c r="L16" s="68">
        <f>'TR TE'!$L$16*'TR TE'!$L$52</f>
        <v>2.3046379843881271</v>
      </c>
      <c r="M16" s="68">
        <f>'TR TE'!$M$16*'TR TE'!$M$52</f>
        <v>23.500348253699705</v>
      </c>
      <c r="N16" s="68">
        <f>'TR TE'!$N$16*'TR TE'!$N$52</f>
        <v>0</v>
      </c>
      <c r="O16" s="68">
        <f>'TR TE'!$O$16*'TR TE'!$O$52</f>
        <v>10.854353051669154</v>
      </c>
      <c r="P16" s="68">
        <f>'TR TE'!$P$16*'TR TE'!$P$52</f>
        <v>-15.232437747347818</v>
      </c>
      <c r="Q16" s="68">
        <f>SUM($L$16:$P$16)</f>
        <v>21.426901542409169</v>
      </c>
      <c r="R16" s="68">
        <f>'TR TE'!$R$16*'TR TE'!$R$52</f>
        <v>206.18974956807915</v>
      </c>
      <c r="S16" s="68">
        <f>SUM($R$16:$R$16)</f>
        <v>206.18974956807915</v>
      </c>
      <c r="T16" s="68">
        <f>'TR TE'!$T$16*'TR TE'!$T$52</f>
        <v>5.2955390776130358</v>
      </c>
      <c r="U16" s="68">
        <f>'TR TE'!$U$16*'TR TE'!$U$52</f>
        <v>3.7066193770226432</v>
      </c>
      <c r="V16" s="68">
        <f>'TR TE'!$V$16*'TR TE'!$V$52</f>
        <v>0</v>
      </c>
      <c r="W16" s="68">
        <f>SUM($T$16:$V$16)</f>
        <v>9.0021584546356799</v>
      </c>
      <c r="X16" s="68"/>
      <c r="Y16" s="68">
        <f>SUM($X$16:$X$16)</f>
        <v>0</v>
      </c>
      <c r="Z16" s="68">
        <f>'TR TE'!$Z$16*'TR TE'!$Z$52</f>
        <v>2.0149861510394693</v>
      </c>
      <c r="AA16" s="68">
        <f>SUM($Z$16:$Z$16)</f>
        <v>2.0149861510394693</v>
      </c>
      <c r="AB16" s="68">
        <f>SUMIF($L$4:$AA$4,"SUBTOTAL",$L$16:$AA$16)</f>
        <v>238.63379571616346</v>
      </c>
    </row>
    <row r="17" spans="1:28" ht="11.25" customHeight="1" x14ac:dyDescent="0.3">
      <c r="A17" s="143"/>
      <c r="B17" s="143"/>
      <c r="C17" s="143"/>
      <c r="D17" s="70" t="s">
        <v>31</v>
      </c>
      <c r="E17" s="70" t="s">
        <v>25</v>
      </c>
      <c r="F17" s="70" t="s">
        <v>25</v>
      </c>
      <c r="G17" s="71" t="s">
        <v>81</v>
      </c>
      <c r="H17" s="71" t="s">
        <v>76</v>
      </c>
      <c r="I17" s="71">
        <f>'MERCADO TE'!$U$14</f>
        <v>876.00100000000009</v>
      </c>
      <c r="J17" s="15"/>
      <c r="L17" s="68">
        <f>'TR TE'!$L$17*'TR TE'!$L$52</f>
        <v>2.3046379843881271</v>
      </c>
      <c r="M17" s="68">
        <f>'TR TE'!$M$17*'TR TE'!$M$52</f>
        <v>23.500348253699705</v>
      </c>
      <c r="N17" s="68">
        <f>'TR TE'!$N$17*'TR TE'!$N$52</f>
        <v>0</v>
      </c>
      <c r="O17" s="68">
        <f>'TR TE'!$O$17*'TR TE'!$O$52</f>
        <v>10.854353051669154</v>
      </c>
      <c r="P17" s="68">
        <f>'TR TE'!$P$17*'TR TE'!$P$52</f>
        <v>-15.232437747347818</v>
      </c>
      <c r="Q17" s="68">
        <f>SUM($L$17:$P$17)</f>
        <v>21.426901542409169</v>
      </c>
      <c r="R17" s="68">
        <f>'TR TE'!$R$17*'TR TE'!$R$52</f>
        <v>206.18974956807915</v>
      </c>
      <c r="S17" s="68">
        <f>SUM($R$17:$R$17)</f>
        <v>206.18974956807915</v>
      </c>
      <c r="T17" s="68">
        <f>'TR TE'!$T$17*'TR TE'!$T$52</f>
        <v>5.2955390776130358</v>
      </c>
      <c r="U17" s="68">
        <f>'TR TE'!$U$17*'TR TE'!$U$52</f>
        <v>3.7066193770226432</v>
      </c>
      <c r="V17" s="68">
        <f>'TR TE'!$V$17*'TR TE'!$V$52</f>
        <v>0</v>
      </c>
      <c r="W17" s="68">
        <f>SUM($T$17:$V$17)</f>
        <v>9.0021584546356799</v>
      </c>
      <c r="X17" s="68"/>
      <c r="Y17" s="68">
        <f>SUM($X$17:$X$17)</f>
        <v>0</v>
      </c>
      <c r="Z17" s="68">
        <f>'TR TE'!$Z$17*'TR TE'!$Z$52</f>
        <v>2.0149861510394693</v>
      </c>
      <c r="AA17" s="68">
        <f>SUM($Z$17:$Z$17)</f>
        <v>2.0149861510394693</v>
      </c>
      <c r="AB17" s="68">
        <f>SUMIF($L$4:$AA$4,"SUBTOTAL",$L$17:$AA$17)</f>
        <v>238.63379571616346</v>
      </c>
    </row>
    <row r="18" spans="1:28" ht="11.25" customHeight="1" x14ac:dyDescent="0.3">
      <c r="A18" s="143"/>
      <c r="B18" s="143"/>
      <c r="C18" s="143"/>
      <c r="D18" s="70" t="s">
        <v>32</v>
      </c>
      <c r="E18" s="70" t="s">
        <v>25</v>
      </c>
      <c r="F18" s="70" t="s">
        <v>25</v>
      </c>
      <c r="G18" s="71" t="s">
        <v>81</v>
      </c>
      <c r="H18" s="71" t="s">
        <v>76</v>
      </c>
      <c r="I18" s="71">
        <f>'MERCADO TE'!$U$15</f>
        <v>331.42999999999995</v>
      </c>
      <c r="J18" s="15"/>
      <c r="L18" s="68">
        <f>'TR TE'!$L$18*'TR TE'!$L$52</f>
        <v>2.3046379843881271</v>
      </c>
      <c r="M18" s="68">
        <f>'TR TE'!$M$18*'TR TE'!$M$52</f>
        <v>23.500348253699705</v>
      </c>
      <c r="N18" s="68">
        <f>'TR TE'!$N$18*'TR TE'!$N$52</f>
        <v>0</v>
      </c>
      <c r="O18" s="68">
        <f>'TR TE'!$O$18*'TR TE'!$O$52</f>
        <v>10.854353051669154</v>
      </c>
      <c r="P18" s="68">
        <f>'TR TE'!$P$18*'TR TE'!$P$52</f>
        <v>-15.232437747347818</v>
      </c>
      <c r="Q18" s="68">
        <f>SUM($L$18:$P$18)</f>
        <v>21.426901542409169</v>
      </c>
      <c r="R18" s="68">
        <f>'TR TE'!$R$18*'TR TE'!$R$52</f>
        <v>206.18974956807915</v>
      </c>
      <c r="S18" s="68">
        <f>SUM($R$18:$R$18)</f>
        <v>206.18974956807915</v>
      </c>
      <c r="T18" s="68">
        <f>'TR TE'!$T$18*'TR TE'!$T$52</f>
        <v>5.2955390776130358</v>
      </c>
      <c r="U18" s="68">
        <f>'TR TE'!$U$18*'TR TE'!$U$52</f>
        <v>3.7066193770226432</v>
      </c>
      <c r="V18" s="68">
        <f>'TR TE'!$V$18*'TR TE'!$V$52</f>
        <v>0</v>
      </c>
      <c r="W18" s="68">
        <f>SUM($T$18:$V$18)</f>
        <v>9.0021584546356799</v>
      </c>
      <c r="X18" s="68"/>
      <c r="Y18" s="68">
        <f>SUM($X$18:$X$18)</f>
        <v>0</v>
      </c>
      <c r="Z18" s="68">
        <f>'TR TE'!$Z$18*'TR TE'!$Z$52</f>
        <v>2.0149861510394693</v>
      </c>
      <c r="AA18" s="68">
        <f>SUM($Z$18:$Z$18)</f>
        <v>2.0149861510394693</v>
      </c>
      <c r="AB18" s="68">
        <f>SUMIF($L$4:$AA$4,"SUBTOTAL",$L$18:$AA$18)</f>
        <v>238.63379571616346</v>
      </c>
    </row>
    <row r="19" spans="1:28" ht="11.25" customHeight="1" x14ac:dyDescent="0.3">
      <c r="A19" s="143"/>
      <c r="B19" s="143" t="s">
        <v>94</v>
      </c>
      <c r="C19" s="143" t="s">
        <v>24</v>
      </c>
      <c r="D19" s="70" t="s">
        <v>24</v>
      </c>
      <c r="E19" s="70" t="s">
        <v>25</v>
      </c>
      <c r="F19" s="70" t="s">
        <v>25</v>
      </c>
      <c r="G19" s="71" t="s">
        <v>81</v>
      </c>
      <c r="H19" s="71" t="s">
        <v>76</v>
      </c>
      <c r="I19" s="71">
        <f>'MERCADO TE'!$U$16</f>
        <v>0</v>
      </c>
      <c r="J19" s="15"/>
      <c r="L19" s="68">
        <f>'TR TE'!$L$19*'TR TE'!$L$52</f>
        <v>2.3046379843881271</v>
      </c>
      <c r="M19" s="68">
        <f>'TR TE'!$M$19*'TR TE'!$M$52</f>
        <v>23.500348253699705</v>
      </c>
      <c r="N19" s="68">
        <f>'TR TE'!$N$19*'TR TE'!$N$52</f>
        <v>0</v>
      </c>
      <c r="O19" s="68">
        <f>'TR TE'!$O$19*'TR TE'!$O$52</f>
        <v>10.854353051669154</v>
      </c>
      <c r="P19" s="68">
        <f>'TR TE'!$P$19*'TR TE'!$P$52</f>
        <v>-15.232437747347818</v>
      </c>
      <c r="Q19" s="68">
        <f>SUM($L$19:$P$19)</f>
        <v>21.426901542409169</v>
      </c>
      <c r="R19" s="68">
        <f>'TR TE'!$R$19*'TR TE'!$R$52</f>
        <v>206.18974956807915</v>
      </c>
      <c r="S19" s="68">
        <f>SUM($R$19:$R$19)</f>
        <v>206.18974956807915</v>
      </c>
      <c r="T19" s="68">
        <f>'TR TE'!$T$19*'TR TE'!$T$52</f>
        <v>5.2955390776130358</v>
      </c>
      <c r="U19" s="68">
        <f>'TR TE'!$U$19*'TR TE'!$U$52</f>
        <v>3.7066193770226432</v>
      </c>
      <c r="V19" s="68">
        <f>'TR TE'!$V$19*'TR TE'!$V$52</f>
        <v>0</v>
      </c>
      <c r="W19" s="68">
        <f>SUM($T$19:$V$19)</f>
        <v>9.0021584546356799</v>
      </c>
      <c r="X19" s="68"/>
      <c r="Y19" s="68">
        <f>SUM($X$19:$X$19)</f>
        <v>0</v>
      </c>
      <c r="Z19" s="68">
        <f>'TR TE'!$Z$19*'TR TE'!$Z$52</f>
        <v>2.0149861510394693</v>
      </c>
      <c r="AA19" s="68">
        <f>SUM($Z$19:$Z$19)</f>
        <v>2.0149861510394693</v>
      </c>
      <c r="AB19" s="68">
        <f>SUMIF($L$4:$AA$4,"SUBTOTAL",$L$19:$AA$19)</f>
        <v>238.63379571616346</v>
      </c>
    </row>
    <row r="20" spans="1:28" ht="11.25" customHeight="1" x14ac:dyDescent="0.3">
      <c r="A20" s="143"/>
      <c r="B20" s="143"/>
      <c r="C20" s="143"/>
      <c r="D20" s="70" t="s">
        <v>29</v>
      </c>
      <c r="E20" s="70" t="s">
        <v>25</v>
      </c>
      <c r="F20" s="70" t="s">
        <v>25</v>
      </c>
      <c r="G20" s="71" t="s">
        <v>81</v>
      </c>
      <c r="H20" s="71" t="s">
        <v>76</v>
      </c>
      <c r="I20" s="71">
        <f>'MERCADO TE'!$U$17</f>
        <v>0</v>
      </c>
      <c r="J20" s="15"/>
      <c r="L20" s="68">
        <f>'TR TE'!$L$20*'TR TE'!$L$52</f>
        <v>2.3046379843881271</v>
      </c>
      <c r="M20" s="68">
        <f>'TR TE'!$M$20*'TR TE'!$M$52</f>
        <v>23.500348253699705</v>
      </c>
      <c r="N20" s="68">
        <f>'TR TE'!$N$20*'TR TE'!$N$52</f>
        <v>0</v>
      </c>
      <c r="O20" s="68">
        <f>'TR TE'!$O$20*'TR TE'!$O$52</f>
        <v>10.854353051669154</v>
      </c>
      <c r="P20" s="68">
        <f>'TR TE'!$P$20*'TR TE'!$P$52</f>
        <v>-15.232437747347818</v>
      </c>
      <c r="Q20" s="68">
        <f>SUM($L$20:$P$20)</f>
        <v>21.426901542409169</v>
      </c>
      <c r="R20" s="68">
        <f>'TR TE'!$R$20*'TR TE'!$R$52</f>
        <v>206.18974956807915</v>
      </c>
      <c r="S20" s="68">
        <f>SUM($R$20:$R$20)</f>
        <v>206.18974956807915</v>
      </c>
      <c r="T20" s="68">
        <f>'TR TE'!$T$20*'TR TE'!$T$52</f>
        <v>5.2955390776130358</v>
      </c>
      <c r="U20" s="68">
        <f>'TR TE'!$U$20*'TR TE'!$U$52</f>
        <v>3.7066193770226432</v>
      </c>
      <c r="V20" s="68">
        <f>'TR TE'!$V$20*'TR TE'!$V$52</f>
        <v>0</v>
      </c>
      <c r="W20" s="68">
        <f>SUM($T$20:$V$20)</f>
        <v>9.0021584546356799</v>
      </c>
      <c r="X20" s="68"/>
      <c r="Y20" s="68">
        <f>SUM($X$20:$X$20)</f>
        <v>0</v>
      </c>
      <c r="Z20" s="68">
        <f>'TR TE'!$Z$20*'TR TE'!$Z$52</f>
        <v>2.0149861510394693</v>
      </c>
      <c r="AA20" s="68">
        <f>SUM($Z$20:$Z$20)</f>
        <v>2.0149861510394693</v>
      </c>
      <c r="AB20" s="68">
        <f>SUMIF($L$4:$AA$4,"SUBTOTAL",$L$20:$AA$20)</f>
        <v>238.63379571616346</v>
      </c>
    </row>
    <row r="21" spans="1:28" ht="11.25" customHeight="1" x14ac:dyDescent="0.3">
      <c r="A21" s="143"/>
      <c r="B21" s="143"/>
      <c r="C21" s="143"/>
      <c r="D21" s="70" t="s">
        <v>30</v>
      </c>
      <c r="E21" s="70" t="s">
        <v>25</v>
      </c>
      <c r="F21" s="70" t="s">
        <v>25</v>
      </c>
      <c r="G21" s="71" t="s">
        <v>81</v>
      </c>
      <c r="H21" s="71" t="s">
        <v>76</v>
      </c>
      <c r="I21" s="71">
        <f>'MERCADO TE'!$U$18</f>
        <v>0</v>
      </c>
      <c r="J21" s="15"/>
      <c r="L21" s="68">
        <f>'TR TE'!$L$21*'TR TE'!$L$52</f>
        <v>2.3046379843881271</v>
      </c>
      <c r="M21" s="68">
        <f>'TR TE'!$M$21*'TR TE'!$M$52</f>
        <v>23.500348253699705</v>
      </c>
      <c r="N21" s="68">
        <f>'TR TE'!$N$21*'TR TE'!$N$52</f>
        <v>0</v>
      </c>
      <c r="O21" s="68">
        <f>'TR TE'!$O$21*'TR TE'!$O$52</f>
        <v>10.854353051669154</v>
      </c>
      <c r="P21" s="68">
        <f>'TR TE'!$P$21*'TR TE'!$P$52</f>
        <v>-15.232437747347818</v>
      </c>
      <c r="Q21" s="68">
        <f>SUM($L$21:$P$21)</f>
        <v>21.426901542409169</v>
      </c>
      <c r="R21" s="68">
        <f>'TR TE'!$R$21*'TR TE'!$R$52</f>
        <v>206.18974956807915</v>
      </c>
      <c r="S21" s="68">
        <f>SUM($R$21:$R$21)</f>
        <v>206.18974956807915</v>
      </c>
      <c r="T21" s="68">
        <f>'TR TE'!$T$21*'TR TE'!$T$52</f>
        <v>5.2955390776130358</v>
      </c>
      <c r="U21" s="68">
        <f>'TR TE'!$U$21*'TR TE'!$U$52</f>
        <v>3.7066193770226432</v>
      </c>
      <c r="V21" s="68">
        <f>'TR TE'!$V$21*'TR TE'!$V$52</f>
        <v>0</v>
      </c>
      <c r="W21" s="68">
        <f>SUM($T$21:$V$21)</f>
        <v>9.0021584546356799</v>
      </c>
      <c r="X21" s="68"/>
      <c r="Y21" s="68">
        <f>SUM($X$21:$X$21)</f>
        <v>0</v>
      </c>
      <c r="Z21" s="68">
        <f>'TR TE'!$Z$21*'TR TE'!$Z$52</f>
        <v>2.0149861510394693</v>
      </c>
      <c r="AA21" s="68">
        <f>SUM($Z$21:$Z$21)</f>
        <v>2.0149861510394693</v>
      </c>
      <c r="AB21" s="68">
        <f>SUMIF($L$4:$AA$4,"SUBTOTAL",$L$21:$AA$21)</f>
        <v>238.63379571616346</v>
      </c>
    </row>
    <row r="22" spans="1:28" ht="11.25" customHeight="1" x14ac:dyDescent="0.3">
      <c r="A22" s="143"/>
      <c r="B22" s="143"/>
      <c r="C22" s="143"/>
      <c r="D22" s="70" t="s">
        <v>31</v>
      </c>
      <c r="E22" s="70" t="s">
        <v>25</v>
      </c>
      <c r="F22" s="70" t="s">
        <v>25</v>
      </c>
      <c r="G22" s="71" t="s">
        <v>81</v>
      </c>
      <c r="H22" s="71" t="s">
        <v>76</v>
      </c>
      <c r="I22" s="71">
        <f>'MERCADO TE'!$U$19</f>
        <v>0</v>
      </c>
      <c r="J22" s="15"/>
      <c r="L22" s="68">
        <f>'TR TE'!$L$22*'TR TE'!$L$52</f>
        <v>2.3046379843881271</v>
      </c>
      <c r="M22" s="68">
        <f>'TR TE'!$M$22*'TR TE'!$M$52</f>
        <v>23.500348253699705</v>
      </c>
      <c r="N22" s="68">
        <f>'TR TE'!$N$22*'TR TE'!$N$52</f>
        <v>0</v>
      </c>
      <c r="O22" s="68">
        <f>'TR TE'!$O$22*'TR TE'!$O$52</f>
        <v>10.854353051669154</v>
      </c>
      <c r="P22" s="68">
        <f>'TR TE'!$P$22*'TR TE'!$P$52</f>
        <v>-15.232437747347818</v>
      </c>
      <c r="Q22" s="68">
        <f>SUM($L$22:$P$22)</f>
        <v>21.426901542409169</v>
      </c>
      <c r="R22" s="68">
        <f>'TR TE'!$R$22*'TR TE'!$R$52</f>
        <v>206.18974956807915</v>
      </c>
      <c r="S22" s="68">
        <f>SUM($R$22:$R$22)</f>
        <v>206.18974956807915</v>
      </c>
      <c r="T22" s="68">
        <f>'TR TE'!$T$22*'TR TE'!$T$52</f>
        <v>5.2955390776130358</v>
      </c>
      <c r="U22" s="68">
        <f>'TR TE'!$U$22*'TR TE'!$U$52</f>
        <v>3.7066193770226432</v>
      </c>
      <c r="V22" s="68">
        <f>'TR TE'!$V$22*'TR TE'!$V$52</f>
        <v>0</v>
      </c>
      <c r="W22" s="68">
        <f>SUM($T$22:$V$22)</f>
        <v>9.0021584546356799</v>
      </c>
      <c r="X22" s="68"/>
      <c r="Y22" s="68">
        <f>SUM($X$22:$X$22)</f>
        <v>0</v>
      </c>
      <c r="Z22" s="68">
        <f>'TR TE'!$Z$22*'TR TE'!$Z$52</f>
        <v>2.0149861510394693</v>
      </c>
      <c r="AA22" s="68">
        <f>SUM($Z$22:$Z$22)</f>
        <v>2.0149861510394693</v>
      </c>
      <c r="AB22" s="68">
        <f>SUMIF($L$4:$AA$4,"SUBTOTAL",$L$22:$AA$22)</f>
        <v>238.63379571616346</v>
      </c>
    </row>
    <row r="23" spans="1:28" ht="11.25" customHeight="1" x14ac:dyDescent="0.3">
      <c r="A23" s="143"/>
      <c r="B23" s="143"/>
      <c r="C23" s="143"/>
      <c r="D23" s="70" t="s">
        <v>32</v>
      </c>
      <c r="E23" s="70" t="s">
        <v>25</v>
      </c>
      <c r="F23" s="70" t="s">
        <v>25</v>
      </c>
      <c r="G23" s="71" t="s">
        <v>81</v>
      </c>
      <c r="H23" s="71" t="s">
        <v>76</v>
      </c>
      <c r="I23" s="71">
        <f>'MERCADO TE'!$U$20</f>
        <v>0</v>
      </c>
      <c r="J23" s="15"/>
      <c r="L23" s="68">
        <f>'TR TE'!$L$23*'TR TE'!$L$52</f>
        <v>2.3046379843881271</v>
      </c>
      <c r="M23" s="68">
        <f>'TR TE'!$M$23*'TR TE'!$M$52</f>
        <v>23.500348253699705</v>
      </c>
      <c r="N23" s="68">
        <f>'TR TE'!$N$23*'TR TE'!$N$52</f>
        <v>0</v>
      </c>
      <c r="O23" s="68">
        <f>'TR TE'!$O$23*'TR TE'!$O$52</f>
        <v>10.854353051669154</v>
      </c>
      <c r="P23" s="68">
        <f>'TR TE'!$P$23*'TR TE'!$P$52</f>
        <v>-15.232437747347818</v>
      </c>
      <c r="Q23" s="68">
        <f>SUM($L$23:$P$23)</f>
        <v>21.426901542409169</v>
      </c>
      <c r="R23" s="68">
        <f>'TR TE'!$R$23*'TR TE'!$R$52</f>
        <v>206.18974956807915</v>
      </c>
      <c r="S23" s="68">
        <f>SUM($R$23:$R$23)</f>
        <v>206.18974956807915</v>
      </c>
      <c r="T23" s="68">
        <f>'TR TE'!$T$23*'TR TE'!$T$52</f>
        <v>5.2955390776130358</v>
      </c>
      <c r="U23" s="68">
        <f>'TR TE'!$U$23*'TR TE'!$U$52</f>
        <v>3.7066193770226432</v>
      </c>
      <c r="V23" s="68">
        <f>'TR TE'!$V$23*'TR TE'!$V$52</f>
        <v>0</v>
      </c>
      <c r="W23" s="68">
        <f>SUM($T$23:$V$23)</f>
        <v>9.0021584546356799</v>
      </c>
      <c r="X23" s="68"/>
      <c r="Y23" s="68">
        <f>SUM($X$23:$X$23)</f>
        <v>0</v>
      </c>
      <c r="Z23" s="68">
        <f>'TR TE'!$Z$23*'TR TE'!$Z$52</f>
        <v>2.0149861510394693</v>
      </c>
      <c r="AA23" s="68">
        <f>SUM($Z$23:$Z$23)</f>
        <v>2.0149861510394693</v>
      </c>
      <c r="AB23" s="68">
        <f>SUMIF($L$4:$AA$4,"SUBTOTAL",$L$23:$AA$23)</f>
        <v>238.63379571616346</v>
      </c>
    </row>
    <row r="24" spans="1:28" ht="11.25" customHeight="1" x14ac:dyDescent="0.3">
      <c r="A24" s="143" t="s">
        <v>42</v>
      </c>
      <c r="B24" s="143" t="s">
        <v>75</v>
      </c>
      <c r="C24" s="143" t="s">
        <v>43</v>
      </c>
      <c r="D24" s="143" t="s">
        <v>25</v>
      </c>
      <c r="E24" s="143" t="s">
        <v>25</v>
      </c>
      <c r="F24" s="143" t="s">
        <v>25</v>
      </c>
      <c r="G24" s="71" t="s">
        <v>77</v>
      </c>
      <c r="H24" s="71" t="s">
        <v>76</v>
      </c>
      <c r="I24" s="71">
        <f>'MERCADO TE'!$U$21</f>
        <v>0.36099999999999999</v>
      </c>
      <c r="J24" s="15"/>
      <c r="L24" s="68">
        <f>'TR TE'!$L$24*'TR TE'!$L$52</f>
        <v>2.3046379843881271</v>
      </c>
      <c r="M24" s="68">
        <f>'TR TE'!$M$24*'TR TE'!$M$52</f>
        <v>23.500348253699705</v>
      </c>
      <c r="N24" s="68">
        <f>'TR TE'!$N$24*'TR TE'!$N$52</f>
        <v>0</v>
      </c>
      <c r="O24" s="68">
        <f>'TR TE'!$O$24*'TR TE'!$O$52</f>
        <v>10.854353051669154</v>
      </c>
      <c r="P24" s="68">
        <f>'TR TE'!$P$24*'TR TE'!$P$52</f>
        <v>-15.232437747347818</v>
      </c>
      <c r="Q24" s="68">
        <f>SUM($L$24:$P$24)</f>
        <v>21.426901542409169</v>
      </c>
      <c r="R24" s="68">
        <f>'TR TE'!$R$24*'TR TE'!$R$52</f>
        <v>334.5720464689586</v>
      </c>
      <c r="S24" s="68">
        <f>SUM($R$24:$R$24)</f>
        <v>334.5720464689586</v>
      </c>
      <c r="T24" s="68">
        <f>'TR TE'!$T$24*'TR TE'!$T$52</f>
        <v>5.2955390776130358</v>
      </c>
      <c r="U24" s="68">
        <f>'TR TE'!$U$24*'TR TE'!$U$52</f>
        <v>3.7066193770226432</v>
      </c>
      <c r="V24" s="68">
        <f>'TR TE'!$V$24*'TR TE'!$V$52</f>
        <v>0</v>
      </c>
      <c r="W24" s="68">
        <f>SUM($T$24:$V$24)</f>
        <v>9.0021584546356799</v>
      </c>
      <c r="X24" s="68"/>
      <c r="Y24" s="68">
        <f>SUM($X$24:$X$24)</f>
        <v>0</v>
      </c>
      <c r="Z24" s="68">
        <f>'TR TE'!$Z$24*'TR TE'!$Z$52</f>
        <v>2.0149861510394693</v>
      </c>
      <c r="AA24" s="68">
        <f>SUM($Z$24:$Z$24)</f>
        <v>2.0149861510394693</v>
      </c>
      <c r="AB24" s="68">
        <f>SUMIF($L$4:$AA$4,"SUBTOTAL",$L$24:$AA$24)</f>
        <v>367.01609261704289</v>
      </c>
    </row>
    <row r="25" spans="1:28" ht="11.25" customHeight="1" x14ac:dyDescent="0.3">
      <c r="A25" s="143"/>
      <c r="B25" s="143"/>
      <c r="C25" s="143"/>
      <c r="D25" s="143"/>
      <c r="E25" s="143"/>
      <c r="F25" s="143"/>
      <c r="G25" s="71" t="s">
        <v>93</v>
      </c>
      <c r="H25" s="71" t="s">
        <v>76</v>
      </c>
      <c r="I25" s="71">
        <f>'MERCADO TE'!$U$22</f>
        <v>0.21399999999999994</v>
      </c>
      <c r="J25" s="15"/>
      <c r="L25" s="68">
        <f>'TR TE'!$L$25*'TR TE'!$L$52</f>
        <v>2.3046379843881271</v>
      </c>
      <c r="M25" s="68">
        <f>'TR TE'!$M$25*'TR TE'!$M$52</f>
        <v>23.500348253699705</v>
      </c>
      <c r="N25" s="68">
        <f>'TR TE'!$N$25*'TR TE'!$N$52</f>
        <v>0</v>
      </c>
      <c r="O25" s="68">
        <f>'TR TE'!$O$25*'TR TE'!$O$52</f>
        <v>10.854353051669154</v>
      </c>
      <c r="P25" s="68">
        <f>'TR TE'!$P$25*'TR TE'!$P$52</f>
        <v>-15.232437747347818</v>
      </c>
      <c r="Q25" s="68">
        <f>SUM($L$25:$P$25)</f>
        <v>21.426901542409169</v>
      </c>
      <c r="R25" s="68">
        <f>'TR TE'!$R$25*'TR TE'!$R$52</f>
        <v>194.51863166799919</v>
      </c>
      <c r="S25" s="68">
        <f>SUM($R$25:$R$25)</f>
        <v>194.51863166799919</v>
      </c>
      <c r="T25" s="68">
        <f>'TR TE'!$T$25*'TR TE'!$T$52</f>
        <v>5.2955390776130358</v>
      </c>
      <c r="U25" s="68">
        <f>'TR TE'!$U$25*'TR TE'!$U$52</f>
        <v>3.7066193770226432</v>
      </c>
      <c r="V25" s="68">
        <f>'TR TE'!$V$25*'TR TE'!$V$52</f>
        <v>0</v>
      </c>
      <c r="W25" s="68">
        <f>SUM($T$25:$V$25)</f>
        <v>9.0021584546356799</v>
      </c>
      <c r="X25" s="68"/>
      <c r="Y25" s="68">
        <f>SUM($X$25:$X$25)</f>
        <v>0</v>
      </c>
      <c r="Z25" s="68">
        <f>'TR TE'!$Z$25*'TR TE'!$Z$52</f>
        <v>2.0149861510394693</v>
      </c>
      <c r="AA25" s="68">
        <f>SUM($Z$25:$Z$25)</f>
        <v>2.0149861510394693</v>
      </c>
      <c r="AB25" s="68">
        <f>SUMIF($L$4:$AA$4,"SUBTOTAL",$L$25:$AA$25)</f>
        <v>226.96267781608353</v>
      </c>
    </row>
    <row r="26" spans="1:28" ht="11.25" customHeight="1" x14ac:dyDescent="0.3">
      <c r="A26" s="143"/>
      <c r="B26" s="143"/>
      <c r="C26" s="143"/>
      <c r="D26" s="143"/>
      <c r="E26" s="143"/>
      <c r="F26" s="143"/>
      <c r="G26" s="71" t="s">
        <v>78</v>
      </c>
      <c r="H26" s="71" t="s">
        <v>76</v>
      </c>
      <c r="I26" s="71">
        <f>'MERCADO TE'!$U$23</f>
        <v>2.4970000000000008</v>
      </c>
      <c r="J26" s="15"/>
      <c r="L26" s="68">
        <f>'TR TE'!$L$26*'TR TE'!$L$52</f>
        <v>2.3046379843881271</v>
      </c>
      <c r="M26" s="68">
        <f>'TR TE'!$M$26*'TR TE'!$M$52</f>
        <v>23.500348253699705</v>
      </c>
      <c r="N26" s="68">
        <f>'TR TE'!$N$26*'TR TE'!$N$52</f>
        <v>0</v>
      </c>
      <c r="O26" s="68">
        <f>'TR TE'!$O$26*'TR TE'!$O$52</f>
        <v>10.854353051669154</v>
      </c>
      <c r="P26" s="68">
        <f>'TR TE'!$P$26*'TR TE'!$P$52</f>
        <v>-15.232437747347818</v>
      </c>
      <c r="Q26" s="68">
        <f>SUM($L$26:$P$26)</f>
        <v>21.426901542409169</v>
      </c>
      <c r="R26" s="68">
        <f>'TR TE'!$R$26*'TR TE'!$R$52</f>
        <v>194.51863166799919</v>
      </c>
      <c r="S26" s="68">
        <f>SUM($R$26:$R$26)</f>
        <v>194.51863166799919</v>
      </c>
      <c r="T26" s="68">
        <f>'TR TE'!$T$26*'TR TE'!$T$52</f>
        <v>5.2955390776130358</v>
      </c>
      <c r="U26" s="68">
        <f>'TR TE'!$U$26*'TR TE'!$U$52</f>
        <v>3.7066193770226432</v>
      </c>
      <c r="V26" s="68">
        <f>'TR TE'!$V$26*'TR TE'!$V$52</f>
        <v>0</v>
      </c>
      <c r="W26" s="68">
        <f>SUM($T$26:$V$26)</f>
        <v>9.0021584546356799</v>
      </c>
      <c r="X26" s="68"/>
      <c r="Y26" s="68">
        <f>SUM($X$26:$X$26)</f>
        <v>0</v>
      </c>
      <c r="Z26" s="68">
        <f>'TR TE'!$Z$26*'TR TE'!$Z$52</f>
        <v>2.0149861510394693</v>
      </c>
      <c r="AA26" s="68">
        <f>SUM($Z$26:$Z$26)</f>
        <v>2.0149861510394693</v>
      </c>
      <c r="AB26" s="68">
        <f>SUMIF($L$4:$AA$4,"SUBTOTAL",$L$26:$AA$26)</f>
        <v>226.96267781608353</v>
      </c>
    </row>
    <row r="27" spans="1:28" ht="11.25" customHeight="1" x14ac:dyDescent="0.3">
      <c r="A27" s="143"/>
      <c r="B27" s="70" t="s">
        <v>82</v>
      </c>
      <c r="C27" s="70" t="s">
        <v>43</v>
      </c>
      <c r="D27" s="70" t="s">
        <v>25</v>
      </c>
      <c r="E27" s="70" t="s">
        <v>25</v>
      </c>
      <c r="F27" s="70" t="s">
        <v>25</v>
      </c>
      <c r="G27" s="71" t="s">
        <v>81</v>
      </c>
      <c r="H27" s="71" t="s">
        <v>76</v>
      </c>
      <c r="I27" s="71">
        <f>'MERCADO TE'!$U$24</f>
        <v>18691.718999999997</v>
      </c>
      <c r="J27" s="15"/>
      <c r="L27" s="68">
        <f>'TR TE'!$L$27*'TR TE'!$L$52</f>
        <v>2.3046379843881271</v>
      </c>
      <c r="M27" s="68">
        <f>'TR TE'!$M$27*'TR TE'!$M$52</f>
        <v>23.500348253699705</v>
      </c>
      <c r="N27" s="68">
        <f>'TR TE'!$N$27*'TR TE'!$N$52</f>
        <v>0</v>
      </c>
      <c r="O27" s="68">
        <f>'TR TE'!$O$27*'TR TE'!$O$52</f>
        <v>10.854353051669154</v>
      </c>
      <c r="P27" s="68">
        <f>'TR TE'!$P$27*'TR TE'!$P$52</f>
        <v>-15.232437747347818</v>
      </c>
      <c r="Q27" s="68">
        <f>SUM($L$27:$P$27)</f>
        <v>21.426901542409169</v>
      </c>
      <c r="R27" s="68">
        <f>'TR TE'!$R$27*'TR TE'!$R$52</f>
        <v>206.18974956807915</v>
      </c>
      <c r="S27" s="68">
        <f>SUM($R$27:$R$27)</f>
        <v>206.18974956807915</v>
      </c>
      <c r="T27" s="68">
        <f>'TR TE'!$T$27*'TR TE'!$T$52</f>
        <v>5.2955390776130358</v>
      </c>
      <c r="U27" s="68">
        <f>'TR TE'!$U$27*'TR TE'!$U$52</f>
        <v>3.7066193770226432</v>
      </c>
      <c r="V27" s="68">
        <f>'TR TE'!$V$27*'TR TE'!$V$52</f>
        <v>0</v>
      </c>
      <c r="W27" s="68">
        <f>SUM($T$27:$V$27)</f>
        <v>9.0021584546356799</v>
      </c>
      <c r="X27" s="68"/>
      <c r="Y27" s="68">
        <f>SUM($X$27:$X$27)</f>
        <v>0</v>
      </c>
      <c r="Z27" s="68">
        <f>'TR TE'!$Z$27*'TR TE'!$Z$52</f>
        <v>2.0149861510394693</v>
      </c>
      <c r="AA27" s="68">
        <f>SUM($Z$27:$Z$27)</f>
        <v>2.0149861510394693</v>
      </c>
      <c r="AB27" s="68">
        <f>SUMIF($L$4:$AA$4,"SUBTOTAL",$L$27:$AA$27)</f>
        <v>238.63379571616346</v>
      </c>
    </row>
    <row r="28" spans="1:28" ht="11.25" customHeight="1" x14ac:dyDescent="0.3">
      <c r="A28" s="143"/>
      <c r="B28" s="143" t="s">
        <v>75</v>
      </c>
      <c r="C28" s="143" t="s">
        <v>43</v>
      </c>
      <c r="D28" s="143" t="s">
        <v>96</v>
      </c>
      <c r="E28" s="143" t="s">
        <v>25</v>
      </c>
      <c r="F28" s="143" t="s">
        <v>25</v>
      </c>
      <c r="G28" s="71" t="s">
        <v>77</v>
      </c>
      <c r="H28" s="71" t="s">
        <v>76</v>
      </c>
      <c r="I28" s="71">
        <f>'MERCADO TE'!$U$25</f>
        <v>0</v>
      </c>
      <c r="J28" s="15"/>
      <c r="L28" s="68">
        <f>'TR TE'!$L$28*'TR TE'!$L$52</f>
        <v>2.3046379843881271</v>
      </c>
      <c r="M28" s="68">
        <f>'TR TE'!$M$28*'TR TE'!$M$52</f>
        <v>23.500348253699705</v>
      </c>
      <c r="N28" s="68">
        <f>'TR TE'!$N$28*'TR TE'!$N$52</f>
        <v>0</v>
      </c>
      <c r="O28" s="68">
        <f>'TR TE'!$O$28*'TR TE'!$O$52</f>
        <v>10.854353051669154</v>
      </c>
      <c r="P28" s="68">
        <f>'TR TE'!$P$28*'TR TE'!$P$52</f>
        <v>-15.232437747347818</v>
      </c>
      <c r="Q28" s="68">
        <f>SUM($L$28:$P$28)</f>
        <v>21.426901542409169</v>
      </c>
      <c r="R28" s="68">
        <f>'TR TE'!$R$28*'TR TE'!$R$52</f>
        <v>334.5720464689586</v>
      </c>
      <c r="S28" s="68">
        <f>SUM($R$28:$R$28)</f>
        <v>334.5720464689586</v>
      </c>
      <c r="T28" s="68">
        <f>'TR TE'!$T$28*'TR TE'!$T$52</f>
        <v>5.2955390776130358</v>
      </c>
      <c r="U28" s="68">
        <f>'TR TE'!$U$28*'TR TE'!$U$52</f>
        <v>3.7066193770226432</v>
      </c>
      <c r="V28" s="68">
        <f>'TR TE'!$V$28*'TR TE'!$V$52</f>
        <v>0</v>
      </c>
      <c r="W28" s="68">
        <f>SUM($T$28:$V$28)</f>
        <v>9.0021584546356799</v>
      </c>
      <c r="X28" s="68"/>
      <c r="Y28" s="68">
        <f>SUM($X$28:$X$28)</f>
        <v>0</v>
      </c>
      <c r="Z28" s="68">
        <f>'TR TE'!$Z$28*'TR TE'!$Z$52</f>
        <v>2.0149861510394693</v>
      </c>
      <c r="AA28" s="68">
        <f>SUM($Z$28:$Z$28)</f>
        <v>2.0149861510394693</v>
      </c>
      <c r="AB28" s="68">
        <f>SUMIF($L$4:$AA$4,"SUBTOTAL",$L$28:$AA$28)</f>
        <v>367.01609261704289</v>
      </c>
    </row>
    <row r="29" spans="1:28" ht="11.25" customHeight="1" x14ac:dyDescent="0.3">
      <c r="A29" s="143"/>
      <c r="B29" s="143"/>
      <c r="C29" s="143"/>
      <c r="D29" s="143"/>
      <c r="E29" s="143"/>
      <c r="F29" s="143"/>
      <c r="G29" s="71" t="s">
        <v>93</v>
      </c>
      <c r="H29" s="71" t="s">
        <v>76</v>
      </c>
      <c r="I29" s="71">
        <f>'MERCADO TE'!$U$26</f>
        <v>0</v>
      </c>
      <c r="J29" s="15"/>
      <c r="L29" s="68">
        <f>'TR TE'!$L$29*'TR TE'!$L$52</f>
        <v>2.3046379843881271</v>
      </c>
      <c r="M29" s="68">
        <f>'TR TE'!$M$29*'TR TE'!$M$52</f>
        <v>23.500348253699705</v>
      </c>
      <c r="N29" s="68">
        <f>'TR TE'!$N$29*'TR TE'!$N$52</f>
        <v>0</v>
      </c>
      <c r="O29" s="68">
        <f>'TR TE'!$O$29*'TR TE'!$O$52</f>
        <v>10.854353051669154</v>
      </c>
      <c r="P29" s="68">
        <f>'TR TE'!$P$29*'TR TE'!$P$52</f>
        <v>-15.232437747347818</v>
      </c>
      <c r="Q29" s="68">
        <f>SUM($L$29:$P$29)</f>
        <v>21.426901542409169</v>
      </c>
      <c r="R29" s="68">
        <f>'TR TE'!$R$29*'TR TE'!$R$52</f>
        <v>194.51863166799919</v>
      </c>
      <c r="S29" s="68">
        <f>SUM($R$29:$R$29)</f>
        <v>194.51863166799919</v>
      </c>
      <c r="T29" s="68">
        <f>'TR TE'!$T$29*'TR TE'!$T$52</f>
        <v>5.2955390776130358</v>
      </c>
      <c r="U29" s="68">
        <f>'TR TE'!$U$29*'TR TE'!$U$52</f>
        <v>3.7066193770226432</v>
      </c>
      <c r="V29" s="68">
        <f>'TR TE'!$V$29*'TR TE'!$V$52</f>
        <v>0</v>
      </c>
      <c r="W29" s="68">
        <f>SUM($T$29:$V$29)</f>
        <v>9.0021584546356799</v>
      </c>
      <c r="X29" s="68"/>
      <c r="Y29" s="68">
        <f>SUM($X$29:$X$29)</f>
        <v>0</v>
      </c>
      <c r="Z29" s="68">
        <f>'TR TE'!$Z$29*'TR TE'!$Z$52</f>
        <v>2.0149861510394693</v>
      </c>
      <c r="AA29" s="68">
        <f>SUM($Z$29:$Z$29)</f>
        <v>2.0149861510394693</v>
      </c>
      <c r="AB29" s="68">
        <f>SUMIF($L$4:$AA$4,"SUBTOTAL",$L$29:$AA$29)</f>
        <v>226.96267781608353</v>
      </c>
    </row>
    <row r="30" spans="1:28" ht="11.25" customHeight="1" x14ac:dyDescent="0.3">
      <c r="A30" s="143"/>
      <c r="B30" s="143"/>
      <c r="C30" s="143"/>
      <c r="D30" s="143"/>
      <c r="E30" s="143"/>
      <c r="F30" s="143"/>
      <c r="G30" s="71" t="s">
        <v>78</v>
      </c>
      <c r="H30" s="71" t="s">
        <v>76</v>
      </c>
      <c r="I30" s="71">
        <f>'MERCADO TE'!$U$27</f>
        <v>0</v>
      </c>
      <c r="J30" s="15"/>
      <c r="L30" s="68">
        <f>'TR TE'!$L$30*'TR TE'!$L$52</f>
        <v>2.3046379843881271</v>
      </c>
      <c r="M30" s="68">
        <f>'TR TE'!$M$30*'TR TE'!$M$52</f>
        <v>23.500348253699705</v>
      </c>
      <c r="N30" s="68">
        <f>'TR TE'!$N$30*'TR TE'!$N$52</f>
        <v>0</v>
      </c>
      <c r="O30" s="68">
        <f>'TR TE'!$O$30*'TR TE'!$O$52</f>
        <v>10.854353051669154</v>
      </c>
      <c r="P30" s="68">
        <f>'TR TE'!$P$30*'TR TE'!$P$52</f>
        <v>-15.232437747347818</v>
      </c>
      <c r="Q30" s="68">
        <f>SUM($L$30:$P$30)</f>
        <v>21.426901542409169</v>
      </c>
      <c r="R30" s="68">
        <f>'TR TE'!$R$30*'TR TE'!$R$52</f>
        <v>194.51863166799919</v>
      </c>
      <c r="S30" s="68">
        <f>SUM($R$30:$R$30)</f>
        <v>194.51863166799919</v>
      </c>
      <c r="T30" s="68">
        <f>'TR TE'!$T$30*'TR TE'!$T$52</f>
        <v>5.2955390776130358</v>
      </c>
      <c r="U30" s="68">
        <f>'TR TE'!$U$30*'TR TE'!$U$52</f>
        <v>3.7066193770226432</v>
      </c>
      <c r="V30" s="68">
        <f>'TR TE'!$V$30*'TR TE'!$V$52</f>
        <v>0</v>
      </c>
      <c r="W30" s="68">
        <f>SUM($T$30:$V$30)</f>
        <v>9.0021584546356799</v>
      </c>
      <c r="X30" s="68"/>
      <c r="Y30" s="68">
        <f>SUM($X$30:$X$30)</f>
        <v>0</v>
      </c>
      <c r="Z30" s="68">
        <f>'TR TE'!$Z$30*'TR TE'!$Z$52</f>
        <v>2.0149861510394693</v>
      </c>
      <c r="AA30" s="68">
        <f>SUM($Z$30:$Z$30)</f>
        <v>2.0149861510394693</v>
      </c>
      <c r="AB30" s="68">
        <f>SUMIF($L$4:$AA$4,"SUBTOTAL",$L$30:$AA$30)</f>
        <v>226.96267781608353</v>
      </c>
    </row>
    <row r="31" spans="1:28" ht="11.25" customHeight="1" x14ac:dyDescent="0.3">
      <c r="A31" s="143"/>
      <c r="B31" s="70" t="s">
        <v>82</v>
      </c>
      <c r="C31" s="70" t="s">
        <v>43</v>
      </c>
      <c r="D31" s="70" t="s">
        <v>96</v>
      </c>
      <c r="E31" s="70" t="s">
        <v>25</v>
      </c>
      <c r="F31" s="70" t="s">
        <v>25</v>
      </c>
      <c r="G31" s="71" t="s">
        <v>81</v>
      </c>
      <c r="H31" s="71" t="s">
        <v>76</v>
      </c>
      <c r="I31" s="71">
        <f>'MERCADO TE'!$U$28</f>
        <v>0</v>
      </c>
      <c r="J31" s="15"/>
      <c r="L31" s="68">
        <f>'TR TE'!$L$31*'TR TE'!$L$52</f>
        <v>2.3046379843881271</v>
      </c>
      <c r="M31" s="68">
        <f>'TR TE'!$M$31*'TR TE'!$M$52</f>
        <v>23.500348253699705</v>
      </c>
      <c r="N31" s="68">
        <f>'TR TE'!$N$31*'TR TE'!$N$52</f>
        <v>0</v>
      </c>
      <c r="O31" s="68">
        <f>'TR TE'!$O$31*'TR TE'!$O$52</f>
        <v>10.854353051669154</v>
      </c>
      <c r="P31" s="68">
        <f>'TR TE'!$P$31*'TR TE'!$P$52</f>
        <v>-15.232437747347818</v>
      </c>
      <c r="Q31" s="68">
        <f>SUM($L$31:$P$31)</f>
        <v>21.426901542409169</v>
      </c>
      <c r="R31" s="68">
        <f>'TR TE'!$R$31*'TR TE'!$R$52</f>
        <v>206.18974956807915</v>
      </c>
      <c r="S31" s="68">
        <f>SUM($R$31:$R$31)</f>
        <v>206.18974956807915</v>
      </c>
      <c r="T31" s="68">
        <f>'TR TE'!$T$31*'TR TE'!$T$52</f>
        <v>5.2955390776130358</v>
      </c>
      <c r="U31" s="68">
        <f>'TR TE'!$U$31*'TR TE'!$U$52</f>
        <v>3.7066193770226432</v>
      </c>
      <c r="V31" s="68">
        <f>'TR TE'!$V$31*'TR TE'!$V$52</f>
        <v>0</v>
      </c>
      <c r="W31" s="68">
        <f>SUM($T$31:$V$31)</f>
        <v>9.0021584546356799</v>
      </c>
      <c r="X31" s="68"/>
      <c r="Y31" s="68">
        <f>SUM($X$31:$X$31)</f>
        <v>0</v>
      </c>
      <c r="Z31" s="68">
        <f>'TR TE'!$Z$31*'TR TE'!$Z$52</f>
        <v>2.0149861510394693</v>
      </c>
      <c r="AA31" s="68">
        <f>SUM($Z$31:$Z$31)</f>
        <v>2.0149861510394693</v>
      </c>
      <c r="AB31" s="68">
        <f>SUMIF($L$4:$AA$4,"SUBTOTAL",$L$31:$AA$31)</f>
        <v>238.63379571616346</v>
      </c>
    </row>
    <row r="32" spans="1:28" ht="11.25" customHeight="1" x14ac:dyDescent="0.3">
      <c r="A32" s="143"/>
      <c r="B32" s="143" t="s">
        <v>75</v>
      </c>
      <c r="C32" s="143" t="s">
        <v>43</v>
      </c>
      <c r="D32" s="143" t="s">
        <v>97</v>
      </c>
      <c r="E32" s="143" t="s">
        <v>25</v>
      </c>
      <c r="F32" s="143" t="s">
        <v>25</v>
      </c>
      <c r="G32" s="71" t="s">
        <v>77</v>
      </c>
      <c r="H32" s="71" t="s">
        <v>76</v>
      </c>
      <c r="I32" s="71">
        <f>'MERCADO TE'!$U$29</f>
        <v>0</v>
      </c>
      <c r="J32" s="15"/>
      <c r="L32" s="68">
        <f>'TR TE'!$L$32*'TR TE'!$L$52</f>
        <v>2.3046379843881271</v>
      </c>
      <c r="M32" s="68">
        <f>'TR TE'!$M$32*'TR TE'!$M$52</f>
        <v>23.500348253699705</v>
      </c>
      <c r="N32" s="68">
        <f>'TR TE'!$N$32*'TR TE'!$N$52</f>
        <v>0</v>
      </c>
      <c r="O32" s="68">
        <f>'TR TE'!$O$32*'TR TE'!$O$52</f>
        <v>10.854353051669154</v>
      </c>
      <c r="P32" s="68">
        <f>'TR TE'!$P$32*'TR TE'!$P$52</f>
        <v>-15.232437747347818</v>
      </c>
      <c r="Q32" s="68">
        <f>SUM($L$32:$P$32)</f>
        <v>21.426901542409169</v>
      </c>
      <c r="R32" s="68">
        <f>'TR TE'!$R$32*'TR TE'!$R$52</f>
        <v>334.5720464689586</v>
      </c>
      <c r="S32" s="68">
        <f>SUM($R$32:$R$32)</f>
        <v>334.5720464689586</v>
      </c>
      <c r="T32" s="68">
        <f>'TR TE'!$T$32*'TR TE'!$T$52</f>
        <v>5.2955390776130358</v>
      </c>
      <c r="U32" s="68">
        <f>'TR TE'!$U$32*'TR TE'!$U$52</f>
        <v>3.7066193770226432</v>
      </c>
      <c r="V32" s="68">
        <f>'TR TE'!$V$32*'TR TE'!$V$52</f>
        <v>0</v>
      </c>
      <c r="W32" s="68">
        <f>SUM($T$32:$V$32)</f>
        <v>9.0021584546356799</v>
      </c>
      <c r="X32" s="68"/>
      <c r="Y32" s="68">
        <f>SUM($X$32:$X$32)</f>
        <v>0</v>
      </c>
      <c r="Z32" s="68">
        <f>'TR TE'!$Z$32*'TR TE'!$Z$52</f>
        <v>2.0149861510394693</v>
      </c>
      <c r="AA32" s="68">
        <f>SUM($Z$32:$Z$32)</f>
        <v>2.0149861510394693</v>
      </c>
      <c r="AB32" s="68">
        <f>SUMIF($L$4:$AA$4,"SUBTOTAL",$L$32:$AA$32)</f>
        <v>367.01609261704289</v>
      </c>
    </row>
    <row r="33" spans="1:28" ht="11.25" customHeight="1" x14ac:dyDescent="0.3">
      <c r="A33" s="143"/>
      <c r="B33" s="143"/>
      <c r="C33" s="143"/>
      <c r="D33" s="143"/>
      <c r="E33" s="143"/>
      <c r="F33" s="143"/>
      <c r="G33" s="71" t="s">
        <v>93</v>
      </c>
      <c r="H33" s="71" t="s">
        <v>76</v>
      </c>
      <c r="I33" s="71">
        <f>'MERCADO TE'!$U$30</f>
        <v>0</v>
      </c>
      <c r="J33" s="15"/>
      <c r="L33" s="68">
        <f>'TR TE'!$L$33*'TR TE'!$L$52</f>
        <v>2.3046379843881271</v>
      </c>
      <c r="M33" s="68">
        <f>'TR TE'!$M$33*'TR TE'!$M$52</f>
        <v>23.500348253699705</v>
      </c>
      <c r="N33" s="68">
        <f>'TR TE'!$N$33*'TR TE'!$N$52</f>
        <v>0</v>
      </c>
      <c r="O33" s="68">
        <f>'TR TE'!$O$33*'TR TE'!$O$52</f>
        <v>10.854353051669154</v>
      </c>
      <c r="P33" s="68">
        <f>'TR TE'!$P$33*'TR TE'!$P$52</f>
        <v>-15.232437747347818</v>
      </c>
      <c r="Q33" s="68">
        <f>SUM($L$33:$P$33)</f>
        <v>21.426901542409169</v>
      </c>
      <c r="R33" s="68">
        <f>'TR TE'!$R$33*'TR TE'!$R$52</f>
        <v>194.51863166799919</v>
      </c>
      <c r="S33" s="68">
        <f>SUM($R$33:$R$33)</f>
        <v>194.51863166799919</v>
      </c>
      <c r="T33" s="68">
        <f>'TR TE'!$T$33*'TR TE'!$T$52</f>
        <v>5.2955390776130358</v>
      </c>
      <c r="U33" s="68">
        <f>'TR TE'!$U$33*'TR TE'!$U$52</f>
        <v>3.7066193770226432</v>
      </c>
      <c r="V33" s="68">
        <f>'TR TE'!$V$33*'TR TE'!$V$52</f>
        <v>0</v>
      </c>
      <c r="W33" s="68">
        <f>SUM($T$33:$V$33)</f>
        <v>9.0021584546356799</v>
      </c>
      <c r="X33" s="68"/>
      <c r="Y33" s="68">
        <f>SUM($X$33:$X$33)</f>
        <v>0</v>
      </c>
      <c r="Z33" s="68">
        <f>'TR TE'!$Z$33*'TR TE'!$Z$52</f>
        <v>2.0149861510394693</v>
      </c>
      <c r="AA33" s="68">
        <f>SUM($Z$33:$Z$33)</f>
        <v>2.0149861510394693</v>
      </c>
      <c r="AB33" s="68">
        <f>SUMIF($L$4:$AA$4,"SUBTOTAL",$L$33:$AA$33)</f>
        <v>226.96267781608353</v>
      </c>
    </row>
    <row r="34" spans="1:28" ht="11.25" customHeight="1" x14ac:dyDescent="0.3">
      <c r="A34" s="143"/>
      <c r="B34" s="143"/>
      <c r="C34" s="143"/>
      <c r="D34" s="143"/>
      <c r="E34" s="143"/>
      <c r="F34" s="143"/>
      <c r="G34" s="71" t="s">
        <v>78</v>
      </c>
      <c r="H34" s="71" t="s">
        <v>76</v>
      </c>
      <c r="I34" s="71">
        <f>'MERCADO TE'!$U$31</f>
        <v>0</v>
      </c>
      <c r="J34" s="15"/>
      <c r="L34" s="68">
        <f>'TR TE'!$L$34*'TR TE'!$L$52</f>
        <v>2.3046379843881271</v>
      </c>
      <c r="M34" s="68">
        <f>'TR TE'!$M$34*'TR TE'!$M$52</f>
        <v>23.500348253699705</v>
      </c>
      <c r="N34" s="68">
        <f>'TR TE'!$N$34*'TR TE'!$N$52</f>
        <v>0</v>
      </c>
      <c r="O34" s="68">
        <f>'TR TE'!$O$34*'TR TE'!$O$52</f>
        <v>10.854353051669154</v>
      </c>
      <c r="P34" s="68">
        <f>'TR TE'!$P$34*'TR TE'!$P$52</f>
        <v>-15.232437747347818</v>
      </c>
      <c r="Q34" s="68">
        <f>SUM($L$34:$P$34)</f>
        <v>21.426901542409169</v>
      </c>
      <c r="R34" s="68">
        <f>'TR TE'!$R$34*'TR TE'!$R$52</f>
        <v>194.51863166799919</v>
      </c>
      <c r="S34" s="68">
        <f>SUM($R$34:$R$34)</f>
        <v>194.51863166799919</v>
      </c>
      <c r="T34" s="68">
        <f>'TR TE'!$T$34*'TR TE'!$T$52</f>
        <v>5.2955390776130358</v>
      </c>
      <c r="U34" s="68">
        <f>'TR TE'!$U$34*'TR TE'!$U$52</f>
        <v>3.7066193770226432</v>
      </c>
      <c r="V34" s="68">
        <f>'TR TE'!$V$34*'TR TE'!$V$52</f>
        <v>0</v>
      </c>
      <c r="W34" s="68">
        <f>SUM($T$34:$V$34)</f>
        <v>9.0021584546356799</v>
      </c>
      <c r="X34" s="68"/>
      <c r="Y34" s="68">
        <f>SUM($X$34:$X$34)</f>
        <v>0</v>
      </c>
      <c r="Z34" s="68">
        <f>'TR TE'!$Z$34*'TR TE'!$Z$52</f>
        <v>2.0149861510394693</v>
      </c>
      <c r="AA34" s="68">
        <f>SUM($Z$34:$Z$34)</f>
        <v>2.0149861510394693</v>
      </c>
      <c r="AB34" s="68">
        <f>SUMIF($L$4:$AA$4,"SUBTOTAL",$L$34:$AA$34)</f>
        <v>226.96267781608353</v>
      </c>
    </row>
    <row r="35" spans="1:28" ht="11.25" customHeight="1" x14ac:dyDescent="0.3">
      <c r="A35" s="143"/>
      <c r="B35" s="70" t="s">
        <v>82</v>
      </c>
      <c r="C35" s="70" t="s">
        <v>43</v>
      </c>
      <c r="D35" s="70" t="s">
        <v>97</v>
      </c>
      <c r="E35" s="70" t="s">
        <v>25</v>
      </c>
      <c r="F35" s="70" t="s">
        <v>25</v>
      </c>
      <c r="G35" s="71" t="s">
        <v>81</v>
      </c>
      <c r="H35" s="71" t="s">
        <v>76</v>
      </c>
      <c r="I35" s="71">
        <f>'MERCADO TE'!$U$32</f>
        <v>0</v>
      </c>
      <c r="J35" s="15"/>
      <c r="L35" s="68">
        <f>'TR TE'!$L$35*'TR TE'!$L$52</f>
        <v>2.3046379843881271</v>
      </c>
      <c r="M35" s="68">
        <f>'TR TE'!$M$35*'TR TE'!$M$52</f>
        <v>23.500348253699705</v>
      </c>
      <c r="N35" s="68">
        <f>'TR TE'!$N$35*'TR TE'!$N$52</f>
        <v>0</v>
      </c>
      <c r="O35" s="68">
        <f>'TR TE'!$O$35*'TR TE'!$O$52</f>
        <v>10.854353051669154</v>
      </c>
      <c r="P35" s="68">
        <f>'TR TE'!$P$35*'TR TE'!$P$52</f>
        <v>-15.232437747347818</v>
      </c>
      <c r="Q35" s="68">
        <f>SUM($L$35:$P$35)</f>
        <v>21.426901542409169</v>
      </c>
      <c r="R35" s="68">
        <f>'TR TE'!$R$35*'TR TE'!$R$52</f>
        <v>206.18974956807915</v>
      </c>
      <c r="S35" s="68">
        <f>SUM($R$35:$R$35)</f>
        <v>206.18974956807915</v>
      </c>
      <c r="T35" s="68">
        <f>'TR TE'!$T$35*'TR TE'!$T$52</f>
        <v>5.2955390776130358</v>
      </c>
      <c r="U35" s="68">
        <f>'TR TE'!$U$35*'TR TE'!$U$52</f>
        <v>3.7066193770226432</v>
      </c>
      <c r="V35" s="68">
        <f>'TR TE'!$V$35*'TR TE'!$V$52</f>
        <v>0</v>
      </c>
      <c r="W35" s="68">
        <f>SUM($T$35:$V$35)</f>
        <v>9.0021584546356799</v>
      </c>
      <c r="X35" s="68"/>
      <c r="Y35" s="68">
        <f>SUM($X$35:$X$35)</f>
        <v>0</v>
      </c>
      <c r="Z35" s="68">
        <f>'TR TE'!$Z$35*'TR TE'!$Z$52</f>
        <v>2.0149861510394693</v>
      </c>
      <c r="AA35" s="68">
        <f>SUM($Z$35:$Z$35)</f>
        <v>2.0149861510394693</v>
      </c>
      <c r="AB35" s="68">
        <f>SUMIF($L$4:$AA$4,"SUBTOTAL",$L$35:$AA$35)</f>
        <v>238.63379571616346</v>
      </c>
    </row>
    <row r="36" spans="1:28" ht="11.25" customHeight="1" x14ac:dyDescent="0.3">
      <c r="A36" s="143"/>
      <c r="B36" s="143" t="s">
        <v>94</v>
      </c>
      <c r="C36" s="143" t="s">
        <v>43</v>
      </c>
      <c r="D36" s="70" t="s">
        <v>25</v>
      </c>
      <c r="E36" s="70" t="s">
        <v>25</v>
      </c>
      <c r="F36" s="70" t="s">
        <v>25</v>
      </c>
      <c r="G36" s="71" t="s">
        <v>81</v>
      </c>
      <c r="H36" s="71" t="s">
        <v>76</v>
      </c>
      <c r="I36" s="71">
        <f>'MERCADO TE'!$U$33</f>
        <v>0</v>
      </c>
      <c r="J36" s="15"/>
      <c r="L36" s="68">
        <f>'TR TE'!$L$36*'TR TE'!$L$52</f>
        <v>2.3046379843881271</v>
      </c>
      <c r="M36" s="68">
        <f>'TR TE'!$M$36*'TR TE'!$M$52</f>
        <v>23.500348253699705</v>
      </c>
      <c r="N36" s="68">
        <f>'TR TE'!$N$36*'TR TE'!$N$52</f>
        <v>0</v>
      </c>
      <c r="O36" s="68">
        <f>'TR TE'!$O$36*'TR TE'!$O$52</f>
        <v>10.854353051669154</v>
      </c>
      <c r="P36" s="68">
        <f>'TR TE'!$P$36*'TR TE'!$P$52</f>
        <v>-15.232437747347818</v>
      </c>
      <c r="Q36" s="68">
        <f>SUM($L$36:$P$36)</f>
        <v>21.426901542409169</v>
      </c>
      <c r="R36" s="68">
        <f>'TR TE'!$R$36*'TR TE'!$R$52</f>
        <v>206.18974956807915</v>
      </c>
      <c r="S36" s="68">
        <f>SUM($R$36:$R$36)</f>
        <v>206.18974956807915</v>
      </c>
      <c r="T36" s="68">
        <f>'TR TE'!$T$36*'TR TE'!$T$52</f>
        <v>5.2955390776130358</v>
      </c>
      <c r="U36" s="68">
        <f>'TR TE'!$U$36*'TR TE'!$U$52</f>
        <v>3.7066193770226432</v>
      </c>
      <c r="V36" s="68">
        <f>'TR TE'!$V$36*'TR TE'!$V$52</f>
        <v>0</v>
      </c>
      <c r="W36" s="68">
        <f>SUM($T$36:$V$36)</f>
        <v>9.0021584546356799</v>
      </c>
      <c r="X36" s="68"/>
      <c r="Y36" s="68">
        <f>SUM($X$36:$X$36)</f>
        <v>0</v>
      </c>
      <c r="Z36" s="68">
        <f>'TR TE'!$Z$36*'TR TE'!$Z$52</f>
        <v>2.0149861510394693</v>
      </c>
      <c r="AA36" s="68">
        <f>SUM($Z$36:$Z$36)</f>
        <v>2.0149861510394693</v>
      </c>
      <c r="AB36" s="68">
        <f>SUMIF($L$4:$AA$4,"SUBTOTAL",$L$36:$AA$36)</f>
        <v>238.63379571616346</v>
      </c>
    </row>
    <row r="37" spans="1:28" ht="11.25" customHeight="1" x14ac:dyDescent="0.3">
      <c r="A37" s="143"/>
      <c r="B37" s="143"/>
      <c r="C37" s="143"/>
      <c r="D37" s="70" t="s">
        <v>96</v>
      </c>
      <c r="E37" s="70" t="s">
        <v>25</v>
      </c>
      <c r="F37" s="70" t="s">
        <v>25</v>
      </c>
      <c r="G37" s="71" t="s">
        <v>81</v>
      </c>
      <c r="H37" s="71" t="s">
        <v>76</v>
      </c>
      <c r="I37" s="71">
        <f>'MERCADO TE'!$U$34</f>
        <v>0</v>
      </c>
      <c r="J37" s="15"/>
      <c r="L37" s="68">
        <f>'TR TE'!$L$37*'TR TE'!$L$52</f>
        <v>2.3046379843881271</v>
      </c>
      <c r="M37" s="68">
        <f>'TR TE'!$M$37*'TR TE'!$M$52</f>
        <v>23.500348253699705</v>
      </c>
      <c r="N37" s="68">
        <f>'TR TE'!$N$37*'TR TE'!$N$52</f>
        <v>0</v>
      </c>
      <c r="O37" s="68">
        <f>'TR TE'!$O$37*'TR TE'!$O$52</f>
        <v>10.854353051669154</v>
      </c>
      <c r="P37" s="68">
        <f>'TR TE'!$P$37*'TR TE'!$P$52</f>
        <v>-15.232437747347818</v>
      </c>
      <c r="Q37" s="68">
        <f>SUM($L$37:$P$37)</f>
        <v>21.426901542409169</v>
      </c>
      <c r="R37" s="68">
        <f>'TR TE'!$R$37*'TR TE'!$R$52</f>
        <v>206.18974956807915</v>
      </c>
      <c r="S37" s="68">
        <f>SUM($R$37:$R$37)</f>
        <v>206.18974956807915</v>
      </c>
      <c r="T37" s="68">
        <f>'TR TE'!$T$37*'TR TE'!$T$52</f>
        <v>5.2955390776130358</v>
      </c>
      <c r="U37" s="68">
        <f>'TR TE'!$U$37*'TR TE'!$U$52</f>
        <v>3.7066193770226432</v>
      </c>
      <c r="V37" s="68">
        <f>'TR TE'!$V$37*'TR TE'!$V$52</f>
        <v>0</v>
      </c>
      <c r="W37" s="68">
        <f>SUM($T$37:$V$37)</f>
        <v>9.0021584546356799</v>
      </c>
      <c r="X37" s="68"/>
      <c r="Y37" s="68">
        <f>SUM($X$37:$X$37)</f>
        <v>0</v>
      </c>
      <c r="Z37" s="68">
        <f>'TR TE'!$Z$37*'TR TE'!$Z$52</f>
        <v>2.0149861510394693</v>
      </c>
      <c r="AA37" s="68">
        <f>SUM($Z$37:$Z$37)</f>
        <v>2.0149861510394693</v>
      </c>
      <c r="AB37" s="68">
        <f>SUMIF($L$4:$AA$4,"SUBTOTAL",$L$37:$AA$37)</f>
        <v>238.63379571616346</v>
      </c>
    </row>
    <row r="38" spans="1:28" ht="11.25" customHeight="1" x14ac:dyDescent="0.3">
      <c r="A38" s="143"/>
      <c r="B38" s="143"/>
      <c r="C38" s="143"/>
      <c r="D38" s="70" t="s">
        <v>97</v>
      </c>
      <c r="E38" s="70" t="s">
        <v>25</v>
      </c>
      <c r="F38" s="70" t="s">
        <v>25</v>
      </c>
      <c r="G38" s="71" t="s">
        <v>81</v>
      </c>
      <c r="H38" s="71" t="s">
        <v>76</v>
      </c>
      <c r="I38" s="71">
        <f>'MERCADO TE'!$U$35</f>
        <v>0</v>
      </c>
      <c r="J38" s="15"/>
      <c r="L38" s="68">
        <f>'TR TE'!$L$38*'TR TE'!$L$52</f>
        <v>2.3046379843881271</v>
      </c>
      <c r="M38" s="68">
        <f>'TR TE'!$M$38*'TR TE'!$M$52</f>
        <v>23.500348253699705</v>
      </c>
      <c r="N38" s="68">
        <f>'TR TE'!$N$38*'TR TE'!$N$52</f>
        <v>0</v>
      </c>
      <c r="O38" s="68">
        <f>'TR TE'!$O$38*'TR TE'!$O$52</f>
        <v>10.854353051669154</v>
      </c>
      <c r="P38" s="68">
        <f>'TR TE'!$P$38*'TR TE'!$P$52</f>
        <v>-15.232437747347818</v>
      </c>
      <c r="Q38" s="68">
        <f>SUM($L$38:$P$38)</f>
        <v>21.426901542409169</v>
      </c>
      <c r="R38" s="68">
        <f>'TR TE'!$R$38*'TR TE'!$R$52</f>
        <v>206.18974956807915</v>
      </c>
      <c r="S38" s="68">
        <f>SUM($R$38:$R$38)</f>
        <v>206.18974956807915</v>
      </c>
      <c r="T38" s="68">
        <f>'TR TE'!$T$38*'TR TE'!$T$52</f>
        <v>5.2955390776130358</v>
      </c>
      <c r="U38" s="68">
        <f>'TR TE'!$U$38*'TR TE'!$U$52</f>
        <v>3.7066193770226432</v>
      </c>
      <c r="V38" s="68">
        <f>'TR TE'!$V$38*'TR TE'!$V$52</f>
        <v>0</v>
      </c>
      <c r="W38" s="68">
        <f>SUM($T$38:$V$38)</f>
        <v>9.0021584546356799</v>
      </c>
      <c r="X38" s="68"/>
      <c r="Y38" s="68">
        <f>SUM($X$38:$X$38)</f>
        <v>0</v>
      </c>
      <c r="Z38" s="68">
        <f>'TR TE'!$Z$38*'TR TE'!$Z$52</f>
        <v>2.0149861510394693</v>
      </c>
      <c r="AA38" s="68">
        <f>SUM($Z$38:$Z$38)</f>
        <v>2.0149861510394693</v>
      </c>
      <c r="AB38" s="68">
        <f>SUMIF($L$4:$AA$4,"SUBTOTAL",$L$38:$AA$38)</f>
        <v>238.63379571616346</v>
      </c>
    </row>
    <row r="39" spans="1:28" ht="11.25" customHeight="1" x14ac:dyDescent="0.3">
      <c r="A39" s="143" t="s">
        <v>37</v>
      </c>
      <c r="B39" s="143" t="s">
        <v>75</v>
      </c>
      <c r="C39" s="143" t="s">
        <v>25</v>
      </c>
      <c r="D39" s="143" t="s">
        <v>25</v>
      </c>
      <c r="E39" s="143" t="s">
        <v>25</v>
      </c>
      <c r="F39" s="143" t="s">
        <v>25</v>
      </c>
      <c r="G39" s="71" t="s">
        <v>77</v>
      </c>
      <c r="H39" s="71" t="s">
        <v>76</v>
      </c>
      <c r="I39" s="71">
        <f>'MERCADO TE'!$U$36</f>
        <v>9.1080000000000005</v>
      </c>
      <c r="J39" s="15"/>
      <c r="L39" s="68">
        <f>'TR TE'!$L$39*'TR TE'!$L$52</f>
        <v>2.3046379843881271</v>
      </c>
      <c r="M39" s="68">
        <f>'TR TE'!$M$39*'TR TE'!$M$52</f>
        <v>23.500348253699705</v>
      </c>
      <c r="N39" s="68">
        <f>'TR TE'!$N$39*'TR TE'!$N$52</f>
        <v>0</v>
      </c>
      <c r="O39" s="68">
        <f>'TR TE'!$O$39*'TR TE'!$O$52</f>
        <v>10.854353051669154</v>
      </c>
      <c r="P39" s="68">
        <f>'TR TE'!$P$39*'TR TE'!$P$52</f>
        <v>-15.232437747347818</v>
      </c>
      <c r="Q39" s="68">
        <f>SUM($L$39:$P$39)</f>
        <v>21.426901542409169</v>
      </c>
      <c r="R39" s="68">
        <f>'TR TE'!$R$39*'TR TE'!$R$52</f>
        <v>334.5720464689586</v>
      </c>
      <c r="S39" s="68">
        <f>SUM($R$39:$R$39)</f>
        <v>334.5720464689586</v>
      </c>
      <c r="T39" s="68">
        <f>'TR TE'!$T$39*'TR TE'!$T$52</f>
        <v>5.2955390776130358</v>
      </c>
      <c r="U39" s="68">
        <f>'TR TE'!$U$39*'TR TE'!$U$52</f>
        <v>3.7066193770226432</v>
      </c>
      <c r="V39" s="68">
        <f>'TR TE'!$V$39*'TR TE'!$V$52</f>
        <v>0</v>
      </c>
      <c r="W39" s="68">
        <f>SUM($T$39:$V$39)</f>
        <v>9.0021584546356799</v>
      </c>
      <c r="X39" s="68"/>
      <c r="Y39" s="68">
        <f>SUM($X$39:$X$39)</f>
        <v>0</v>
      </c>
      <c r="Z39" s="68">
        <f>'TR TE'!$Z$39*'TR TE'!$Z$52</f>
        <v>2.0149861510394693</v>
      </c>
      <c r="AA39" s="68">
        <f>SUM($Z$39:$Z$39)</f>
        <v>2.0149861510394693</v>
      </c>
      <c r="AB39" s="68">
        <f>SUMIF($L$4:$AA$4,"SUBTOTAL",$L$39:$AA$39)</f>
        <v>367.01609261704289</v>
      </c>
    </row>
    <row r="40" spans="1:28" ht="11.25" customHeight="1" x14ac:dyDescent="0.3">
      <c r="A40" s="143"/>
      <c r="B40" s="143"/>
      <c r="C40" s="143"/>
      <c r="D40" s="143"/>
      <c r="E40" s="143"/>
      <c r="F40" s="143"/>
      <c r="G40" s="71" t="s">
        <v>93</v>
      </c>
      <c r="H40" s="71" t="s">
        <v>76</v>
      </c>
      <c r="I40" s="71">
        <f>'MERCADO TE'!$U$37</f>
        <v>0.627</v>
      </c>
      <c r="J40" s="15"/>
      <c r="L40" s="68">
        <f>'TR TE'!$L$40*'TR TE'!$L$52</f>
        <v>2.3046379843881271</v>
      </c>
      <c r="M40" s="68">
        <f>'TR TE'!$M$40*'TR TE'!$M$52</f>
        <v>23.500348253699705</v>
      </c>
      <c r="N40" s="68">
        <f>'TR TE'!$N$40*'TR TE'!$N$52</f>
        <v>0</v>
      </c>
      <c r="O40" s="68">
        <f>'TR TE'!$O$40*'TR TE'!$O$52</f>
        <v>10.854353051669154</v>
      </c>
      <c r="P40" s="68">
        <f>'TR TE'!$P$40*'TR TE'!$P$52</f>
        <v>-15.232437747347818</v>
      </c>
      <c r="Q40" s="68">
        <f>SUM($L$40:$P$40)</f>
        <v>21.426901542409169</v>
      </c>
      <c r="R40" s="68">
        <f>'TR TE'!$R$40*'TR TE'!$R$52</f>
        <v>194.51863166799919</v>
      </c>
      <c r="S40" s="68">
        <f>SUM($R$40:$R$40)</f>
        <v>194.51863166799919</v>
      </c>
      <c r="T40" s="68">
        <f>'TR TE'!$T$40*'TR TE'!$T$52</f>
        <v>5.2955390776130358</v>
      </c>
      <c r="U40" s="68">
        <f>'TR TE'!$U$40*'TR TE'!$U$52</f>
        <v>3.7066193770226432</v>
      </c>
      <c r="V40" s="68">
        <f>'TR TE'!$V$40*'TR TE'!$V$52</f>
        <v>0</v>
      </c>
      <c r="W40" s="68">
        <f>SUM($T$40:$V$40)</f>
        <v>9.0021584546356799</v>
      </c>
      <c r="X40" s="68"/>
      <c r="Y40" s="68">
        <f>SUM($X$40:$X$40)</f>
        <v>0</v>
      </c>
      <c r="Z40" s="68">
        <f>'TR TE'!$Z$40*'TR TE'!$Z$52</f>
        <v>2.0149861510394693</v>
      </c>
      <c r="AA40" s="68">
        <f>SUM($Z$40:$Z$40)</f>
        <v>2.0149861510394693</v>
      </c>
      <c r="AB40" s="68">
        <f>SUMIF($L$4:$AA$4,"SUBTOTAL",$L$40:$AA$40)</f>
        <v>226.96267781608353</v>
      </c>
    </row>
    <row r="41" spans="1:28" ht="11.25" customHeight="1" x14ac:dyDescent="0.3">
      <c r="A41" s="143"/>
      <c r="B41" s="143"/>
      <c r="C41" s="143"/>
      <c r="D41" s="143"/>
      <c r="E41" s="143"/>
      <c r="F41" s="143"/>
      <c r="G41" s="71" t="s">
        <v>78</v>
      </c>
      <c r="H41" s="71" t="s">
        <v>76</v>
      </c>
      <c r="I41" s="71">
        <f>'MERCADO TE'!$U$38</f>
        <v>7.484</v>
      </c>
      <c r="J41" s="15"/>
      <c r="L41" s="68">
        <f>'TR TE'!$L$41*'TR TE'!$L$52</f>
        <v>2.3046379843881271</v>
      </c>
      <c r="M41" s="68">
        <f>'TR TE'!$M$41*'TR TE'!$M$52</f>
        <v>23.500348253699705</v>
      </c>
      <c r="N41" s="68">
        <f>'TR TE'!$N$41*'TR TE'!$N$52</f>
        <v>0</v>
      </c>
      <c r="O41" s="68">
        <f>'TR TE'!$O$41*'TR TE'!$O$52</f>
        <v>10.854353051669154</v>
      </c>
      <c r="P41" s="68">
        <f>'TR TE'!$P$41*'TR TE'!$P$52</f>
        <v>-15.232437747347818</v>
      </c>
      <c r="Q41" s="68">
        <f>SUM($L$41:$P$41)</f>
        <v>21.426901542409169</v>
      </c>
      <c r="R41" s="68">
        <f>'TR TE'!$R$41*'TR TE'!$R$52</f>
        <v>194.51863166799919</v>
      </c>
      <c r="S41" s="68">
        <f>SUM($R$41:$R$41)</f>
        <v>194.51863166799919</v>
      </c>
      <c r="T41" s="68">
        <f>'TR TE'!$T$41*'TR TE'!$T$52</f>
        <v>5.2955390776130358</v>
      </c>
      <c r="U41" s="68">
        <f>'TR TE'!$U$41*'TR TE'!$U$52</f>
        <v>3.7066193770226432</v>
      </c>
      <c r="V41" s="68">
        <f>'TR TE'!$V$41*'TR TE'!$V$52</f>
        <v>0</v>
      </c>
      <c r="W41" s="68">
        <f>SUM($T$41:$V$41)</f>
        <v>9.0021584546356799</v>
      </c>
      <c r="X41" s="68"/>
      <c r="Y41" s="68">
        <f>SUM($X$41:$X$41)</f>
        <v>0</v>
      </c>
      <c r="Z41" s="68">
        <f>'TR TE'!$Z$41*'TR TE'!$Z$52</f>
        <v>2.0149861510394693</v>
      </c>
      <c r="AA41" s="68">
        <f>SUM($Z$41:$Z$41)</f>
        <v>2.0149861510394693</v>
      </c>
      <c r="AB41" s="68">
        <f>SUMIF($L$4:$AA$4,"SUBTOTAL",$L$41:$AA$41)</f>
        <v>226.96267781608353</v>
      </c>
    </row>
    <row r="42" spans="1:28" ht="11.25" customHeight="1" x14ac:dyDescent="0.3">
      <c r="A42" s="143"/>
      <c r="B42" s="70" t="s">
        <v>82</v>
      </c>
      <c r="C42" s="70" t="s">
        <v>25</v>
      </c>
      <c r="D42" s="70" t="s">
        <v>25</v>
      </c>
      <c r="E42" s="70" t="s">
        <v>25</v>
      </c>
      <c r="F42" s="70" t="s">
        <v>25</v>
      </c>
      <c r="G42" s="71" t="s">
        <v>81</v>
      </c>
      <c r="H42" s="71" t="s">
        <v>76</v>
      </c>
      <c r="I42" s="71">
        <f>'MERCADO TE'!$U$39</f>
        <v>11812.039999999999</v>
      </c>
      <c r="J42" s="15"/>
      <c r="L42" s="68">
        <f>'TR TE'!$L$42*'TR TE'!$L$52</f>
        <v>2.3046379843881271</v>
      </c>
      <c r="M42" s="68">
        <f>'TR TE'!$M$42*'TR TE'!$M$52</f>
        <v>23.500348253699705</v>
      </c>
      <c r="N42" s="68">
        <f>'TR TE'!$N$42*'TR TE'!$N$52</f>
        <v>0</v>
      </c>
      <c r="O42" s="68">
        <f>'TR TE'!$O$42*'TR TE'!$O$52</f>
        <v>10.854353051669154</v>
      </c>
      <c r="P42" s="68">
        <f>'TR TE'!$P$42*'TR TE'!$P$52</f>
        <v>-15.232437747347818</v>
      </c>
      <c r="Q42" s="68">
        <f>SUM($L$42:$P$42)</f>
        <v>21.426901542409169</v>
      </c>
      <c r="R42" s="68">
        <f>'TR TE'!$R$42*'TR TE'!$R$52</f>
        <v>206.18974956807915</v>
      </c>
      <c r="S42" s="68">
        <f>SUM($R$42:$R$42)</f>
        <v>206.18974956807915</v>
      </c>
      <c r="T42" s="68">
        <f>'TR TE'!$T$42*'TR TE'!$T$52</f>
        <v>5.2955390776130358</v>
      </c>
      <c r="U42" s="68">
        <f>'TR TE'!$U$42*'TR TE'!$U$52</f>
        <v>3.7066193770226432</v>
      </c>
      <c r="V42" s="68">
        <f>'TR TE'!$V$42*'TR TE'!$V$52</f>
        <v>0</v>
      </c>
      <c r="W42" s="68">
        <f>SUM($T$42:$V$42)</f>
        <v>9.0021584546356799</v>
      </c>
      <c r="X42" s="68"/>
      <c r="Y42" s="68">
        <f>SUM($X$42:$X$42)</f>
        <v>0</v>
      </c>
      <c r="Z42" s="68">
        <f>'TR TE'!$Z$42*'TR TE'!$Z$52</f>
        <v>2.0149861510394693</v>
      </c>
      <c r="AA42" s="68">
        <f>SUM($Z$42:$Z$42)</f>
        <v>2.0149861510394693</v>
      </c>
      <c r="AB42" s="68">
        <f>SUMIF($L$4:$AA$4,"SUBTOTAL",$L$42:$AA$42)</f>
        <v>238.63379571616346</v>
      </c>
    </row>
    <row r="43" spans="1:28" ht="11.25" customHeight="1" x14ac:dyDescent="0.3">
      <c r="A43" s="143"/>
      <c r="B43" s="70" t="s">
        <v>94</v>
      </c>
      <c r="C43" s="70" t="s">
        <v>25</v>
      </c>
      <c r="D43" s="70" t="s">
        <v>25</v>
      </c>
      <c r="E43" s="70" t="s">
        <v>25</v>
      </c>
      <c r="F43" s="70" t="s">
        <v>25</v>
      </c>
      <c r="G43" s="71" t="s">
        <v>81</v>
      </c>
      <c r="H43" s="71" t="s">
        <v>76</v>
      </c>
      <c r="I43" s="71">
        <f>'MERCADO TE'!$U$40</f>
        <v>0</v>
      </c>
      <c r="J43" s="15"/>
      <c r="L43" s="68">
        <f>'TR TE'!$L$43*'TR TE'!$L$52</f>
        <v>2.3046379843881271</v>
      </c>
      <c r="M43" s="68">
        <f>'TR TE'!$M$43*'TR TE'!$M$52</f>
        <v>23.500348253699705</v>
      </c>
      <c r="N43" s="68">
        <f>'TR TE'!$N$43*'TR TE'!$N$52</f>
        <v>0</v>
      </c>
      <c r="O43" s="68">
        <f>'TR TE'!$O$43*'TR TE'!$O$52</f>
        <v>10.854353051669154</v>
      </c>
      <c r="P43" s="68">
        <f>'TR TE'!$P$43*'TR TE'!$P$52</f>
        <v>-15.232437747347818</v>
      </c>
      <c r="Q43" s="68">
        <f>SUM($L$43:$P$43)</f>
        <v>21.426901542409169</v>
      </c>
      <c r="R43" s="68">
        <f>'TR TE'!$R$43*'TR TE'!$R$52</f>
        <v>206.18974956807915</v>
      </c>
      <c r="S43" s="68">
        <f>SUM($R$43:$R$43)</f>
        <v>206.18974956807915</v>
      </c>
      <c r="T43" s="68">
        <f>'TR TE'!$T$43*'TR TE'!$T$52</f>
        <v>5.2955390776130358</v>
      </c>
      <c r="U43" s="68">
        <f>'TR TE'!$U$43*'TR TE'!$U$52</f>
        <v>3.7066193770226432</v>
      </c>
      <c r="V43" s="68">
        <f>'TR TE'!$V$43*'TR TE'!$V$52</f>
        <v>0</v>
      </c>
      <c r="W43" s="68">
        <f>SUM($T$43:$V$43)</f>
        <v>9.0021584546356799</v>
      </c>
      <c r="X43" s="68"/>
      <c r="Y43" s="68">
        <f>SUM($X$43:$X$43)</f>
        <v>0</v>
      </c>
      <c r="Z43" s="68">
        <f>'TR TE'!$Z$43*'TR TE'!$Z$52</f>
        <v>2.0149861510394693</v>
      </c>
      <c r="AA43" s="68">
        <f>SUM($Z$43:$Z$43)</f>
        <v>2.0149861510394693</v>
      </c>
      <c r="AB43" s="68">
        <f>SUMIF($L$4:$AA$4,"SUBTOTAL",$L$43:$AA$43)</f>
        <v>238.63379571616346</v>
      </c>
    </row>
    <row r="44" spans="1:28" ht="11.25" customHeight="1" x14ac:dyDescent="0.3">
      <c r="A44" s="143" t="s">
        <v>45</v>
      </c>
      <c r="B44" s="143" t="s">
        <v>82</v>
      </c>
      <c r="C44" s="143" t="s">
        <v>46</v>
      </c>
      <c r="D44" s="70" t="s">
        <v>47</v>
      </c>
      <c r="E44" s="70" t="s">
        <v>25</v>
      </c>
      <c r="F44" s="70" t="s">
        <v>25</v>
      </c>
      <c r="G44" s="71" t="s">
        <v>81</v>
      </c>
      <c r="H44" s="71" t="s">
        <v>76</v>
      </c>
      <c r="I44" s="71">
        <f>'MERCADO TE'!$U$41</f>
        <v>4365.4290000000001</v>
      </c>
      <c r="J44" s="15"/>
      <c r="L44" s="68">
        <f>'TR TE'!$L$44*'TR TE'!$L$52</f>
        <v>1.2675508914134699</v>
      </c>
      <c r="M44" s="68">
        <f>'TR TE'!$M$44*'TR TE'!$M$52</f>
        <v>12.92519153953484</v>
      </c>
      <c r="N44" s="68">
        <f>'TR TE'!$N$44*'TR TE'!$N$52</f>
        <v>0</v>
      </c>
      <c r="O44" s="68">
        <f>'TR TE'!$O$44*'TR TE'!$O$52</f>
        <v>5.969894178418035</v>
      </c>
      <c r="P44" s="68">
        <f>'TR TE'!$P$44*'TR TE'!$P$52</f>
        <v>-8.3778407610413002</v>
      </c>
      <c r="Q44" s="68">
        <f>SUM($L$44:$P$44)</f>
        <v>11.784795848325045</v>
      </c>
      <c r="R44" s="68">
        <f>'TR TE'!$R$44*'TR TE'!$R$52</f>
        <v>113.40436226244354</v>
      </c>
      <c r="S44" s="68">
        <f>SUM($R$44:$R$44)</f>
        <v>113.40436226244354</v>
      </c>
      <c r="T44" s="68">
        <f>'TR TE'!$T$44*'TR TE'!$T$52</f>
        <v>2.91254649268717</v>
      </c>
      <c r="U44" s="68">
        <f>'TR TE'!$U$44*'TR TE'!$U$52</f>
        <v>2.0386406573624538</v>
      </c>
      <c r="V44" s="68">
        <f>'TR TE'!$V$44*'TR TE'!$V$52</f>
        <v>0</v>
      </c>
      <c r="W44" s="68">
        <f>SUM($T$44:$V$44)</f>
        <v>4.9511871500496234</v>
      </c>
      <c r="X44" s="68"/>
      <c r="Y44" s="68">
        <f>SUM($X$44:$X$44)</f>
        <v>0</v>
      </c>
      <c r="Z44" s="68">
        <f>'TR TE'!$Z$44*'TR TE'!$Z$52</f>
        <v>1.1082423830717083</v>
      </c>
      <c r="AA44" s="68">
        <f>SUM($Z$44:$Z$44)</f>
        <v>1.1082423830717083</v>
      </c>
      <c r="AB44" s="68">
        <f>SUMIF($L$4:$AA$4,"SUBTOTAL",$L$44:$AA$44)</f>
        <v>131.24858764388992</v>
      </c>
    </row>
    <row r="45" spans="1:28" ht="11.25" customHeight="1" x14ac:dyDescent="0.3">
      <c r="A45" s="143"/>
      <c r="B45" s="143"/>
      <c r="C45" s="143"/>
      <c r="D45" s="71" t="s">
        <v>98</v>
      </c>
      <c r="E45" s="71" t="s">
        <v>25</v>
      </c>
      <c r="F45" s="71" t="s">
        <v>25</v>
      </c>
      <c r="G45" s="71" t="s">
        <v>81</v>
      </c>
      <c r="H45" s="71" t="s">
        <v>76</v>
      </c>
      <c r="I45" s="71">
        <f>'MERCADO TE'!$U$42</f>
        <v>0</v>
      </c>
      <c r="J45" s="15"/>
      <c r="L45" s="68">
        <f>'TR TE'!$L$45*'TR TE'!$L$52</f>
        <v>1.3827827906328762</v>
      </c>
      <c r="M45" s="68">
        <f>'TR TE'!$M$45*'TR TE'!$M$52</f>
        <v>14.100208952219823</v>
      </c>
      <c r="N45" s="68">
        <f>'TR TE'!$N$45*'TR TE'!$N$52</f>
        <v>0</v>
      </c>
      <c r="O45" s="68">
        <f>'TR TE'!$O$45*'TR TE'!$O$52</f>
        <v>6.5126118310014922</v>
      </c>
      <c r="P45" s="68">
        <f>'TR TE'!$P$45*'TR TE'!$P$52</f>
        <v>-9.1394626484086903</v>
      </c>
      <c r="Q45" s="68">
        <f>SUM($L$45:$P$45)</f>
        <v>12.856140925445503</v>
      </c>
      <c r="R45" s="68">
        <f>'TR TE'!$R$45*'TR TE'!$R$52</f>
        <v>123.71384974084748</v>
      </c>
      <c r="S45" s="68">
        <f>SUM($R$45:$R$45)</f>
        <v>123.71384974084748</v>
      </c>
      <c r="T45" s="68">
        <f>'TR TE'!$T$45*'TR TE'!$T$52</f>
        <v>3.1773234465678213</v>
      </c>
      <c r="U45" s="68">
        <f>'TR TE'!$U$45*'TR TE'!$U$52</f>
        <v>2.223971626213586</v>
      </c>
      <c r="V45" s="68">
        <f>'TR TE'!$V$45*'TR TE'!$V$52</f>
        <v>0</v>
      </c>
      <c r="W45" s="68">
        <f>SUM($T$45:$V$45)</f>
        <v>5.4012950727814069</v>
      </c>
      <c r="X45" s="68"/>
      <c r="Y45" s="68">
        <f>SUM($X$45:$X$45)</f>
        <v>0</v>
      </c>
      <c r="Z45" s="68">
        <f>'TR TE'!$Z$45*'TR TE'!$Z$52</f>
        <v>1.2089916906236815</v>
      </c>
      <c r="AA45" s="68">
        <f>SUM($Z$45:$Z$45)</f>
        <v>1.2089916906236815</v>
      </c>
      <c r="AB45" s="68">
        <f>SUMIF($L$4:$AA$4,"SUBTOTAL",$L$45:$AA$45)</f>
        <v>143.18027742969809</v>
      </c>
    </row>
    <row r="47" spans="1:28" ht="11.25" customHeight="1" x14ac:dyDescent="0.3">
      <c r="K47" s="73" t="s">
        <v>716</v>
      </c>
      <c r="L47" s="68">
        <f t="shared" ref="L47:AB47" si="0">SUMPRODUCT($I$5:$I$45,L$5:L$45)</f>
        <v>167940.82504070835</v>
      </c>
      <c r="M47" s="68">
        <f t="shared" si="0"/>
        <v>1712489.2938524242</v>
      </c>
      <c r="N47" s="68">
        <f t="shared" si="0"/>
        <v>0</v>
      </c>
      <c r="O47" s="68">
        <f t="shared" si="0"/>
        <v>790965.44408662012</v>
      </c>
      <c r="P47" s="68">
        <f t="shared" si="0"/>
        <v>-1110000.0000000002</v>
      </c>
      <c r="Q47" s="68">
        <f t="shared" si="0"/>
        <v>1561395.5629797524</v>
      </c>
      <c r="R47" s="68">
        <f t="shared" si="0"/>
        <v>14953142.102042228</v>
      </c>
      <c r="S47" s="68">
        <f t="shared" si="0"/>
        <v>14953142.102042228</v>
      </c>
      <c r="T47" s="68">
        <f t="shared" si="0"/>
        <v>385890.19522984239</v>
      </c>
      <c r="U47" s="68">
        <f t="shared" si="0"/>
        <v>270104.33764690754</v>
      </c>
      <c r="V47" s="68">
        <f t="shared" si="0"/>
        <v>0</v>
      </c>
      <c r="W47" s="68">
        <f t="shared" si="0"/>
        <v>655994.53287674987</v>
      </c>
      <c r="X47" s="68">
        <f t="shared" si="0"/>
        <v>0</v>
      </c>
      <c r="Y47" s="68">
        <f t="shared" si="0"/>
        <v>0</v>
      </c>
      <c r="Z47" s="68">
        <f t="shared" si="0"/>
        <v>146833.6627893484</v>
      </c>
      <c r="AA47" s="68">
        <f t="shared" si="0"/>
        <v>146833.6627893484</v>
      </c>
      <c r="AB47" s="68">
        <f t="shared" si="0"/>
        <v>17317365.860688083</v>
      </c>
    </row>
    <row r="48" spans="1:28" ht="11.25" customHeight="1" x14ac:dyDescent="0.3">
      <c r="K48" s="73" t="s">
        <v>652</v>
      </c>
      <c r="L48" s="68">
        <f>CUSTOS!$D$30</f>
        <v>167940.82504070833</v>
      </c>
      <c r="M48" s="68">
        <f>CUSTOS!$D$31</f>
        <v>1712489.293852424</v>
      </c>
      <c r="N48" s="68">
        <f>CUSTOS!$D$32</f>
        <v>0</v>
      </c>
      <c r="O48" s="68">
        <f>CUSTOS!$D$33</f>
        <v>790965.44408662</v>
      </c>
      <c r="P48" s="68">
        <f>CUSTOS!$D$34</f>
        <v>-1110000</v>
      </c>
      <c r="Q48" s="68">
        <f>CUSTOS!$D$35</f>
        <v>1561395.5629797522</v>
      </c>
      <c r="R48" s="68">
        <f>CUSTOS!$D$36</f>
        <v>14953142.10204223</v>
      </c>
      <c r="S48" s="68">
        <f>CUSTOS!$D$37</f>
        <v>14953142.10204223</v>
      </c>
      <c r="T48" s="68">
        <f>CUSTOS!$D$38</f>
        <v>385890.19522984239</v>
      </c>
      <c r="U48" s="68">
        <f>CUSTOS!$D$39</f>
        <v>270104.33764690749</v>
      </c>
      <c r="V48" s="68">
        <f>CUSTOS!$D$40</f>
        <v>0</v>
      </c>
      <c r="W48" s="68">
        <f>CUSTOS!$D$41</f>
        <v>655994.53287674987</v>
      </c>
      <c r="X48" s="68">
        <f>CUSTOS!$D$42</f>
        <v>0</v>
      </c>
      <c r="Y48" s="68">
        <f>CUSTOS!$D$43</f>
        <v>0</v>
      </c>
      <c r="Z48" s="68">
        <f>CUSTOS!$D$44</f>
        <v>146833.6627893484</v>
      </c>
      <c r="AA48" s="68">
        <f>CUSTOS!$D$45</f>
        <v>146833.6627893484</v>
      </c>
      <c r="AB48" s="68">
        <f>CUSTOS!$D$46</f>
        <v>17317365.860688079</v>
      </c>
    </row>
    <row r="49" spans="11:28" ht="11.25" customHeight="1" x14ac:dyDescent="0.3">
      <c r="K49" s="73" t="s">
        <v>653</v>
      </c>
      <c r="L49" s="68">
        <f>CUSTOS!$E$30</f>
        <v>-1.3138446416525909</v>
      </c>
      <c r="M49" s="68">
        <f>CUSTOS!$E$31</f>
        <v>-493289.99075713538</v>
      </c>
      <c r="N49" s="68">
        <f>CUSTOS!$E$32</f>
        <v>0</v>
      </c>
      <c r="O49" s="68">
        <f>CUSTOS!$E$33</f>
        <v>-39950.401748293851</v>
      </c>
      <c r="P49" s="68">
        <f>CUSTOS!$E$34</f>
        <v>0</v>
      </c>
      <c r="Q49" s="68">
        <f>CUSTOS!$E$35</f>
        <v>-533241.70635007089</v>
      </c>
      <c r="R49" s="68">
        <f>CUSTOS!$E$36</f>
        <v>-2229271.9091954995</v>
      </c>
      <c r="S49" s="68">
        <f>CUSTOS!$E$37</f>
        <v>-2229271.9091954995</v>
      </c>
      <c r="T49" s="68">
        <f>CUSTOS!$E$38</f>
        <v>-31139.957837230031</v>
      </c>
      <c r="U49" s="68">
        <f>CUSTOS!$E$39</f>
        <v>-2299.010892429159</v>
      </c>
      <c r="V49" s="68">
        <f>CUSTOS!$E$40</f>
        <v>0</v>
      </c>
      <c r="W49" s="68">
        <f>CUSTOS!$E$41</f>
        <v>-33438.968729659187</v>
      </c>
      <c r="X49" s="68">
        <f>CUSTOS!$E$42</f>
        <v>-2049499.9443448738</v>
      </c>
      <c r="Y49" s="68">
        <f>CUSTOS!$E$43</f>
        <v>-2049499.9443448738</v>
      </c>
      <c r="Z49" s="68">
        <f>CUSTOS!$E$44</f>
        <v>-21890.526923827827</v>
      </c>
      <c r="AA49" s="68">
        <f>CUSTOS!$E$45</f>
        <v>-21890.526923827827</v>
      </c>
      <c r="AB49" s="68">
        <f>CUSTOS!$E$46</f>
        <v>-4867343.0555439312</v>
      </c>
    </row>
    <row r="50" spans="11:28" ht="11.25" customHeight="1" x14ac:dyDescent="0.3">
      <c r="K50" s="73" t="s">
        <v>654</v>
      </c>
      <c r="L50" s="68">
        <f>CUSTOS!$F$30</f>
        <v>0</v>
      </c>
      <c r="M50" s="68">
        <f>CUSTOS!$F$31</f>
        <v>913870.79390000005</v>
      </c>
      <c r="N50" s="68">
        <f>CUSTOS!$F$32</f>
        <v>0</v>
      </c>
      <c r="O50" s="68">
        <f>CUSTOS!$F$33</f>
        <v>51876.921013676954</v>
      </c>
      <c r="P50" s="68">
        <f>CUSTOS!$F$34</f>
        <v>0</v>
      </c>
      <c r="Q50" s="68">
        <f>CUSTOS!$F$35</f>
        <v>965747.71491367696</v>
      </c>
      <c r="R50" s="68">
        <f>CUSTOS!$F$36</f>
        <v>1522229.0061600239</v>
      </c>
      <c r="S50" s="68">
        <f>CUSTOS!$F$37</f>
        <v>1522229.0061600239</v>
      </c>
      <c r="T50" s="68">
        <f>CUSTOS!$F$38</f>
        <v>115104.2267</v>
      </c>
      <c r="U50" s="68">
        <f>CUSTOS!$F$39</f>
        <v>14988.964900000001</v>
      </c>
      <c r="V50" s="68">
        <f>CUSTOS!$F$40</f>
        <v>0</v>
      </c>
      <c r="W50" s="68">
        <f>CUSTOS!$F$41</f>
        <v>130093.19160000001</v>
      </c>
      <c r="X50" s="68">
        <f>CUSTOS!$F$42</f>
        <v>0</v>
      </c>
      <c r="Y50" s="68">
        <f>CUSTOS!$F$43</f>
        <v>0</v>
      </c>
      <c r="Z50" s="68">
        <f>CUSTOS!$F$44</f>
        <v>14947.65842880202</v>
      </c>
      <c r="AA50" s="68">
        <f>CUSTOS!$F$45</f>
        <v>14947.65842880202</v>
      </c>
      <c r="AB50" s="68">
        <f>CUSTOS!$F$46</f>
        <v>2633017.5711025032</v>
      </c>
    </row>
    <row r="51" spans="11:28" ht="11.25" customHeight="1" x14ac:dyDescent="0.3">
      <c r="K51" s="73" t="s">
        <v>717</v>
      </c>
      <c r="L51" s="68">
        <f>'TR TE'!$L$51*L52</f>
        <v>-1.8029780823116748E-5</v>
      </c>
      <c r="M51" s="68">
        <f>'TR TE'!$M$51*M52</f>
        <v>-6.7693775455836445</v>
      </c>
      <c r="N51" s="68">
        <f>'TR TE'!$N$51*N52</f>
        <v>0</v>
      </c>
      <c r="O51" s="68">
        <f>'TR TE'!$O$51*O52</f>
        <v>-0.54823604289407335</v>
      </c>
      <c r="P51" s="68">
        <f>'TR TE'!$P$51*P52</f>
        <v>0</v>
      </c>
      <c r="Q51" s="68"/>
      <c r="R51" s="68">
        <f>'TR TE'!$R$51*R52</f>
        <v>-30.3718441829506</v>
      </c>
      <c r="S51" s="68"/>
      <c r="T51" s="68">
        <f>'TR TE'!$T$51*T52</f>
        <v>-0.42733105334292093</v>
      </c>
      <c r="U51" s="68">
        <f>'TR TE'!$U$51*U52</f>
        <v>-3.154913540486641E-2</v>
      </c>
      <c r="V51" s="68">
        <f>'TR TE'!$V$51*V52</f>
        <v>0</v>
      </c>
      <c r="W51" s="68"/>
      <c r="X51" s="68"/>
      <c r="Y51" s="68"/>
      <c r="Z51" s="68">
        <f>'TR TE'!$Z$51*Z52</f>
        <v>-0.30040188164310694</v>
      </c>
      <c r="AA51" s="68"/>
      <c r="AB51" s="68"/>
    </row>
    <row r="52" spans="11:28" ht="11.25" customHeight="1" x14ac:dyDescent="0.3">
      <c r="K52" s="73" t="s">
        <v>710</v>
      </c>
      <c r="L52" s="68">
        <f>IF(L48&lt;&gt;0,L49/L48,0)</f>
        <v>-7.8232594208949436E-6</v>
      </c>
      <c r="M52" s="68">
        <f>IF(M48&lt;&gt;0,M49/M48,0)</f>
        <v>-0.28805435019533926</v>
      </c>
      <c r="N52" s="68">
        <f>IF(N48&lt;&gt;0,N49/N48,0)</f>
        <v>0</v>
      </c>
      <c r="O52" s="68">
        <f>IF(O48&lt;&gt;0,O49/O48,0)</f>
        <v>-5.0508403428960437E-2</v>
      </c>
      <c r="P52" s="68">
        <f>IF(P48&lt;&gt;0,P49/P48,0)</f>
        <v>0</v>
      </c>
      <c r="Q52" s="68"/>
      <c r="R52" s="68">
        <f>IF(R48&lt;&gt;0,R49/R48,0)</f>
        <v>-0.14908384431731148</v>
      </c>
      <c r="S52" s="68"/>
      <c r="T52" s="68">
        <f>IF(T48&lt;&gt;0,T49/T48,0)</f>
        <v>-8.069642147472178E-2</v>
      </c>
      <c r="U52" s="68">
        <f>IF(U48&lt;&gt;0,U49/U48,0)</f>
        <v>-8.5115659839366566E-3</v>
      </c>
      <c r="V52" s="68">
        <f>IF(V48&lt;&gt;0,V49/V48,0)</f>
        <v>0</v>
      </c>
      <c r="W52" s="68"/>
      <c r="X52" s="68">
        <f>IF(($AB48-(+ $I$7*$AB$7+ $I$9*$AB$9+ $I$10*$AB$10))&lt;&gt;0,X49/($AB48-(+ $I$7*$AB$7+ $I$9*$AB$9+ $I$10*$AB$10)),0)</f>
        <v>-0.12792566344217937</v>
      </c>
      <c r="Y52" s="68"/>
      <c r="Z52" s="68">
        <f>IF(Z48&lt;&gt;0,Z49/Z48,0)</f>
        <v>-0.14908384431731148</v>
      </c>
      <c r="AA52" s="68"/>
      <c r="AB52" s="68"/>
    </row>
    <row r="53" spans="11:28" ht="11.25" customHeight="1" x14ac:dyDescent="0.3">
      <c r="K53" s="73" t="s">
        <v>719</v>
      </c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</row>
  </sheetData>
  <mergeCells count="61">
    <mergeCell ref="E39:E41"/>
    <mergeCell ref="F39:F41"/>
    <mergeCell ref="A44:A45"/>
    <mergeCell ref="B44:B45"/>
    <mergeCell ref="C44:C45"/>
    <mergeCell ref="D39:D41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A11:A23"/>
    <mergeCell ref="B11:B13"/>
    <mergeCell ref="C11:C13"/>
    <mergeCell ref="D11:D13"/>
    <mergeCell ref="E11:E13"/>
    <mergeCell ref="F11:F13"/>
    <mergeCell ref="B14:B18"/>
    <mergeCell ref="C14:C18"/>
    <mergeCell ref="B19:B23"/>
    <mergeCell ref="C19:C23"/>
    <mergeCell ref="Z3:AA3"/>
    <mergeCell ref="AB3:AB4"/>
    <mergeCell ref="A5:A10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7">
    <cfRule type="cellIs" dxfId="3709" priority="33" operator="notEqual">
      <formula>$L$48</formula>
    </cfRule>
    <cfRule type="cellIs" dxfId="3708" priority="34" operator="equal">
      <formula>$L$48</formula>
    </cfRule>
  </conditionalFormatting>
  <conditionalFormatting sqref="M47">
    <cfRule type="cellIs" dxfId="3707" priority="31" operator="notEqual">
      <formula>$M$48</formula>
    </cfRule>
    <cfRule type="cellIs" dxfId="3706" priority="32" operator="equal">
      <formula>$M$48</formula>
    </cfRule>
  </conditionalFormatting>
  <conditionalFormatting sqref="N47">
    <cfRule type="cellIs" dxfId="3705" priority="29" operator="notEqual">
      <formula>$N$48</formula>
    </cfRule>
    <cfRule type="cellIs" dxfId="3704" priority="30" operator="equal">
      <formula>$N$48</formula>
    </cfRule>
  </conditionalFormatting>
  <conditionalFormatting sqref="O47">
    <cfRule type="cellIs" dxfId="3703" priority="27" operator="notEqual">
      <formula>$O$48</formula>
    </cfRule>
    <cfRule type="cellIs" dxfId="3702" priority="28" operator="equal">
      <formula>$O$48</formula>
    </cfRule>
  </conditionalFormatting>
  <conditionalFormatting sqref="P47">
    <cfRule type="cellIs" dxfId="3701" priority="25" operator="notEqual">
      <formula>$P$48</formula>
    </cfRule>
    <cfRule type="cellIs" dxfId="3700" priority="26" operator="equal">
      <formula>$P$48</formula>
    </cfRule>
  </conditionalFormatting>
  <conditionalFormatting sqref="Q47">
    <cfRule type="cellIs" dxfId="3699" priority="23" operator="notEqual">
      <formula>$Q$48</formula>
    </cfRule>
    <cfRule type="cellIs" dxfId="3698" priority="24" operator="equal">
      <formula>$Q$48</formula>
    </cfRule>
  </conditionalFormatting>
  <conditionalFormatting sqref="R47">
    <cfRule type="cellIs" dxfId="3697" priority="21" operator="notEqual">
      <formula>$R$48</formula>
    </cfRule>
    <cfRule type="cellIs" dxfId="3696" priority="22" operator="equal">
      <formula>$R$48</formula>
    </cfRule>
  </conditionalFormatting>
  <conditionalFormatting sqref="S47">
    <cfRule type="cellIs" dxfId="3695" priority="19" operator="notEqual">
      <formula>$S$48</formula>
    </cfRule>
    <cfRule type="cellIs" dxfId="3694" priority="20" operator="equal">
      <formula>$S$48</formula>
    </cfRule>
  </conditionalFormatting>
  <conditionalFormatting sqref="T47">
    <cfRule type="cellIs" dxfId="3693" priority="17" operator="notEqual">
      <formula>$T$48</formula>
    </cfRule>
    <cfRule type="cellIs" dxfId="3692" priority="18" operator="equal">
      <formula>$T$48</formula>
    </cfRule>
  </conditionalFormatting>
  <conditionalFormatting sqref="U47">
    <cfRule type="cellIs" dxfId="3691" priority="15" operator="notEqual">
      <formula>$U$48</formula>
    </cfRule>
    <cfRule type="cellIs" dxfId="3690" priority="16" operator="equal">
      <formula>$U$48</formula>
    </cfRule>
  </conditionalFormatting>
  <conditionalFormatting sqref="V47">
    <cfRule type="cellIs" dxfId="3689" priority="13" operator="notEqual">
      <formula>$V$48</formula>
    </cfRule>
    <cfRule type="cellIs" dxfId="3688" priority="14" operator="equal">
      <formula>$V$48</formula>
    </cfRule>
  </conditionalFormatting>
  <conditionalFormatting sqref="W47">
    <cfRule type="cellIs" dxfId="3687" priority="11" operator="notEqual">
      <formula>$W$48</formula>
    </cfRule>
    <cfRule type="cellIs" dxfId="3686" priority="12" operator="equal">
      <formula>$W$48</formula>
    </cfRule>
  </conditionalFormatting>
  <conditionalFormatting sqref="X47">
    <cfRule type="cellIs" dxfId="3685" priority="9" operator="notEqual">
      <formula>$X$48</formula>
    </cfRule>
    <cfRule type="cellIs" dxfId="3684" priority="10" operator="equal">
      <formula>$X$48</formula>
    </cfRule>
  </conditionalFormatting>
  <conditionalFormatting sqref="Y47">
    <cfRule type="cellIs" dxfId="3683" priority="7" operator="notEqual">
      <formula>$Y$48</formula>
    </cfRule>
    <cfRule type="cellIs" dxfId="3682" priority="8" operator="equal">
      <formula>$Y$48</formula>
    </cfRule>
  </conditionalFormatting>
  <conditionalFormatting sqref="Z47">
    <cfRule type="cellIs" dxfId="3681" priority="5" operator="notEqual">
      <formula>$Z$48</formula>
    </cfRule>
    <cfRule type="cellIs" dxfId="3680" priority="6" operator="equal">
      <formula>$Z$48</formula>
    </cfRule>
  </conditionalFormatting>
  <conditionalFormatting sqref="AA47">
    <cfRule type="cellIs" dxfId="3679" priority="3" operator="notEqual">
      <formula>$AA$48</formula>
    </cfRule>
    <cfRule type="cellIs" dxfId="3678" priority="4" operator="equal">
      <formula>$AA$48</formula>
    </cfRule>
  </conditionalFormatting>
  <conditionalFormatting sqref="AB47">
    <cfRule type="cellIs" dxfId="3677" priority="1" operator="notEqual">
      <formula>$AB$48</formula>
    </cfRule>
    <cfRule type="cellIs" dxfId="3676" priority="2" operator="equal">
      <formula>$AB$48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D1968-7B17-4EA0-A494-3CAB64A463B1}">
  <sheetPr codeName="Planilha14"/>
  <dimension ref="A1:AB53"/>
  <sheetViews>
    <sheetView showGridLines="0" topLeftCell="R29" workbookViewId="0">
      <selection activeCell="AB47" sqref="AB47"/>
    </sheetView>
  </sheetViews>
  <sheetFormatPr defaultColWidth="9.1093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9.109375" style="9"/>
    <col min="11" max="11" width="20" style="9" bestFit="1" customWidth="1"/>
    <col min="12" max="12" width="8.6640625" style="9" bestFit="1" customWidth="1"/>
    <col min="13" max="13" width="10" style="9" bestFit="1" customWidth="1"/>
    <col min="14" max="14" width="7.88671875" style="9" bestFit="1" customWidth="1"/>
    <col min="15" max="15" width="11.109375" style="9" bestFit="1" customWidth="1"/>
    <col min="16" max="16" width="10.5546875" style="9" bestFit="1" customWidth="1"/>
    <col min="17" max="17" width="10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7.88671875" style="9" bestFit="1" customWidth="1"/>
    <col min="23" max="23" width="9.33203125" style="9" bestFit="1" customWidth="1"/>
    <col min="24" max="25" width="10.554687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9.109375" style="9"/>
  </cols>
  <sheetData>
    <row r="1" spans="1:28" ht="11.25" customHeight="1" x14ac:dyDescent="0.3">
      <c r="A1" s="142" t="s">
        <v>66</v>
      </c>
      <c r="B1" s="142" t="s">
        <v>67</v>
      </c>
      <c r="C1" s="142" t="s">
        <v>68</v>
      </c>
      <c r="D1" s="142" t="s">
        <v>69</v>
      </c>
      <c r="E1" s="142" t="s">
        <v>70</v>
      </c>
      <c r="F1" s="142" t="s">
        <v>15</v>
      </c>
      <c r="G1" s="142" t="s">
        <v>72</v>
      </c>
      <c r="H1" s="142" t="s">
        <v>73</v>
      </c>
      <c r="I1" s="142" t="s">
        <v>700</v>
      </c>
      <c r="J1" s="125"/>
      <c r="L1" s="140" t="s">
        <v>721</v>
      </c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11.25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25"/>
      <c r="L2" s="140" t="s">
        <v>638</v>
      </c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spans="1:28" ht="11.25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25"/>
      <c r="L3" s="140" t="s">
        <v>611</v>
      </c>
      <c r="M3" s="140"/>
      <c r="N3" s="140"/>
      <c r="O3" s="140"/>
      <c r="P3" s="140"/>
      <c r="Q3" s="140"/>
      <c r="R3" s="140" t="s">
        <v>642</v>
      </c>
      <c r="S3" s="140"/>
      <c r="T3" s="140" t="s">
        <v>620</v>
      </c>
      <c r="U3" s="140"/>
      <c r="V3" s="140"/>
      <c r="W3" s="140"/>
      <c r="X3" s="140" t="s">
        <v>630</v>
      </c>
      <c r="Y3" s="140"/>
      <c r="Z3" s="140" t="s">
        <v>633</v>
      </c>
      <c r="AA3" s="140"/>
      <c r="AB3" s="140" t="s">
        <v>619</v>
      </c>
    </row>
    <row r="4" spans="1:28" ht="11.25" customHeight="1" x14ac:dyDescent="0.3">
      <c r="A4" s="142"/>
      <c r="B4" s="142"/>
      <c r="C4" s="142"/>
      <c r="D4" s="142"/>
      <c r="E4" s="142"/>
      <c r="F4" s="142"/>
      <c r="G4" s="142"/>
      <c r="H4" s="142"/>
      <c r="I4" s="142"/>
      <c r="J4" s="125"/>
      <c r="L4" s="72" t="s">
        <v>613</v>
      </c>
      <c r="M4" s="72" t="s">
        <v>639</v>
      </c>
      <c r="N4" s="72" t="s">
        <v>640</v>
      </c>
      <c r="O4" s="72" t="s">
        <v>699</v>
      </c>
      <c r="P4" s="72" t="s">
        <v>641</v>
      </c>
      <c r="Q4" s="72" t="s">
        <v>619</v>
      </c>
      <c r="R4" s="72" t="s">
        <v>643</v>
      </c>
      <c r="S4" s="72" t="s">
        <v>619</v>
      </c>
      <c r="T4" s="72" t="s">
        <v>644</v>
      </c>
      <c r="U4" s="72" t="s">
        <v>645</v>
      </c>
      <c r="V4" s="72" t="s">
        <v>646</v>
      </c>
      <c r="W4" s="72" t="s">
        <v>619</v>
      </c>
      <c r="X4" s="72" t="s">
        <v>631</v>
      </c>
      <c r="Y4" s="72" t="s">
        <v>619</v>
      </c>
      <c r="Z4" s="72" t="s">
        <v>647</v>
      </c>
      <c r="AA4" s="72" t="s">
        <v>619</v>
      </c>
      <c r="AB4" s="141"/>
    </row>
    <row r="5" spans="1:28" ht="11.25" customHeight="1" x14ac:dyDescent="0.3">
      <c r="A5" s="143" t="s">
        <v>39</v>
      </c>
      <c r="B5" s="143" t="s">
        <v>75</v>
      </c>
      <c r="C5" s="143" t="s">
        <v>25</v>
      </c>
      <c r="D5" s="143" t="s">
        <v>25</v>
      </c>
      <c r="E5" s="143" t="s">
        <v>25</v>
      </c>
      <c r="F5" s="143" t="s">
        <v>25</v>
      </c>
      <c r="G5" s="71" t="s">
        <v>77</v>
      </c>
      <c r="H5" s="71" t="s">
        <v>76</v>
      </c>
      <c r="I5" s="71">
        <f>'MERCADO TE'!$U$2</f>
        <v>529.99099999999999</v>
      </c>
      <c r="J5" s="15"/>
      <c r="L5" s="68">
        <f>'TE BE'!$L$5*'TE BE'!$L$52</f>
        <v>-1.8029780823116748E-5</v>
      </c>
      <c r="M5" s="68">
        <f>'TE BE'!$M$5*'TE BE'!$M$52</f>
        <v>-6.7693775455836445</v>
      </c>
      <c r="N5" s="68">
        <f>'TE BE'!$N$5*'TE BE'!$N$52</f>
        <v>0</v>
      </c>
      <c r="O5" s="68">
        <f>'TE BE'!$O$5*'TE BE'!$O$52</f>
        <v>-0.54823604289407346</v>
      </c>
      <c r="P5" s="68">
        <f>'TE BE'!$P$5*'TE BE'!$P$52</f>
        <v>0</v>
      </c>
      <c r="Q5" s="68">
        <f>SUM($L$5:$P$5)</f>
        <v>-7.3176316182585408</v>
      </c>
      <c r="R5" s="68">
        <f>'TE BE'!$R$5*'TE BE'!$R$52</f>
        <v>-49.879286888702524</v>
      </c>
      <c r="S5" s="68">
        <f>SUM($R$5:$R$5)</f>
        <v>-49.879286888702524</v>
      </c>
      <c r="T5" s="68">
        <f>'TE BE'!$T$5*'TE BE'!$T$52</f>
        <v>-0.42733105334292093</v>
      </c>
      <c r="U5" s="68">
        <f>'TE BE'!$U$5*'TE BE'!$U$52</f>
        <v>-3.154913540486641E-2</v>
      </c>
      <c r="V5" s="68">
        <f>'TE BE'!$V$5*'TE BE'!$V$52</f>
        <v>0</v>
      </c>
      <c r="W5" s="68">
        <f>SUM($T$5:$V$5)</f>
        <v>-0.45888018874778735</v>
      </c>
      <c r="X5" s="68">
        <f>'TE BE'!$AB$5*'TE BE'!$X$52</f>
        <v>-46.950777141991558</v>
      </c>
      <c r="Y5" s="68">
        <f>SUM($X$5:$X$5)</f>
        <v>-46.950777141991558</v>
      </c>
      <c r="Z5" s="68">
        <f>'TE BE'!$Z$5*'TE BE'!$Z$52</f>
        <v>-0.30040188164310694</v>
      </c>
      <c r="AA5" s="68">
        <f>SUM($Z$5:$Z$5)</f>
        <v>-0.30040188164310694</v>
      </c>
      <c r="AB5" s="68">
        <f>SUMIF($L$4:$AA$4,"SUBTOTAL",$L$5:$AA$5)</f>
        <v>-104.90697771934352</v>
      </c>
    </row>
    <row r="6" spans="1:28" ht="11.25" customHeight="1" x14ac:dyDescent="0.3">
      <c r="A6" s="143"/>
      <c r="B6" s="143"/>
      <c r="C6" s="143"/>
      <c r="D6" s="143"/>
      <c r="E6" s="143"/>
      <c r="F6" s="143"/>
      <c r="G6" s="71" t="s">
        <v>78</v>
      </c>
      <c r="H6" s="71" t="s">
        <v>76</v>
      </c>
      <c r="I6" s="71">
        <f>'MERCADO TE'!$U$3</f>
        <v>10939.779999999999</v>
      </c>
      <c r="J6" s="15"/>
      <c r="L6" s="68">
        <f>'TE BE'!$L$6*'TE BE'!$L$52</f>
        <v>-1.8029780823116748E-5</v>
      </c>
      <c r="M6" s="68">
        <f>'TE BE'!$M$6*'TE BE'!$M$52</f>
        <v>-6.7693775455836445</v>
      </c>
      <c r="N6" s="68">
        <f>'TE BE'!$N$6*'TE BE'!$N$52</f>
        <v>0</v>
      </c>
      <c r="O6" s="68">
        <f>'TE BE'!$O$6*'TE BE'!$O$52</f>
        <v>-0.54823604289407346</v>
      </c>
      <c r="P6" s="68">
        <f>'TE BE'!$P$6*'TE BE'!$P$52</f>
        <v>0</v>
      </c>
      <c r="Q6" s="68">
        <f>SUM($L$6:$P$6)</f>
        <v>-7.3176316182585408</v>
      </c>
      <c r="R6" s="68">
        <f>'TE BE'!$R$6*'TE BE'!$R$52</f>
        <v>-28.999585400408446</v>
      </c>
      <c r="S6" s="68">
        <f>SUM($R$6:$R$6)</f>
        <v>-28.999585400408446</v>
      </c>
      <c r="T6" s="68">
        <f>'TE BE'!$T$6*'TE BE'!$T$52</f>
        <v>-0.42733105334292093</v>
      </c>
      <c r="U6" s="68">
        <f>'TE BE'!$U$6*'TE BE'!$U$52</f>
        <v>-3.154913540486641E-2</v>
      </c>
      <c r="V6" s="68">
        <f>'TE BE'!$V$6*'TE BE'!$V$52</f>
        <v>0</v>
      </c>
      <c r="W6" s="68">
        <f>SUM($T$6:$V$6)</f>
        <v>-0.45888018874778735</v>
      </c>
      <c r="X6" s="68">
        <f>'TE BE'!$AB$6*'TE BE'!$X$52</f>
        <v>-29.03435113623609</v>
      </c>
      <c r="Y6" s="68">
        <f>SUM($X$6:$X$6)</f>
        <v>-29.03435113623609</v>
      </c>
      <c r="Z6" s="68">
        <f>'TE BE'!$Z$6*'TE BE'!$Z$52</f>
        <v>-0.30040188164310694</v>
      </c>
      <c r="AA6" s="68">
        <f>SUM($Z$6:$Z$6)</f>
        <v>-0.30040188164310694</v>
      </c>
      <c r="AB6" s="68">
        <f>SUMIF($L$4:$AA$4,"SUBTOTAL",$L$6:$AA$6)</f>
        <v>-66.110850225293973</v>
      </c>
    </row>
    <row r="7" spans="1:28" ht="11.25" customHeight="1" x14ac:dyDescent="0.3">
      <c r="A7" s="143"/>
      <c r="B7" s="70" t="s">
        <v>79</v>
      </c>
      <c r="C7" s="70" t="s">
        <v>25</v>
      </c>
      <c r="D7" s="70" t="s">
        <v>25</v>
      </c>
      <c r="E7" s="70" t="s">
        <v>80</v>
      </c>
      <c r="F7" s="70" t="s">
        <v>25</v>
      </c>
      <c r="G7" s="71" t="s">
        <v>81</v>
      </c>
      <c r="H7" s="71" t="s">
        <v>76</v>
      </c>
      <c r="I7" s="71">
        <f>'MERCADO TE'!$U$4</f>
        <v>0</v>
      </c>
      <c r="J7" s="15"/>
      <c r="L7" s="68">
        <f>'TE BE'!$L$7*'TE BE'!$L$52</f>
        <v>-1.8029780823116748E-5</v>
      </c>
      <c r="M7" s="68">
        <f>'TE BE'!$M$7*'TE BE'!$M$52</f>
        <v>-6.7693775455836445</v>
      </c>
      <c r="N7" s="68">
        <f>'TE BE'!$N$7*'TE BE'!$N$52</f>
        <v>0</v>
      </c>
      <c r="O7" s="68">
        <f>'TE BE'!$O$7*'TE BE'!$O$52</f>
        <v>-0.54823604289407335</v>
      </c>
      <c r="P7" s="68">
        <f>'TE BE'!$P$7*'TE BE'!$P$52</f>
        <v>0</v>
      </c>
      <c r="Q7" s="68">
        <f>SUM($L$7:$P$7)</f>
        <v>-7.3176316182585408</v>
      </c>
      <c r="R7" s="68">
        <f>'TE BE'!$R$7*'TE BE'!$R$52</f>
        <v>-30.3718441829506</v>
      </c>
      <c r="S7" s="68">
        <f>SUM($R$7:$R$7)</f>
        <v>-30.3718441829506</v>
      </c>
      <c r="T7" s="68">
        <f>'TE BE'!$T$7*'TE BE'!$T$52</f>
        <v>-0.42733105334292093</v>
      </c>
      <c r="U7" s="68">
        <f>'TE BE'!$U$7*'TE BE'!$U$52</f>
        <v>-3.154913540486641E-2</v>
      </c>
      <c r="V7" s="68">
        <f>'TE BE'!$V$7*'TE BE'!$V$52</f>
        <v>0</v>
      </c>
      <c r="W7" s="68">
        <f>SUM($T$7:$V$7)</f>
        <v>-0.45888018874778735</v>
      </c>
      <c r="X7" s="68">
        <v>0</v>
      </c>
      <c r="Y7" s="68">
        <f>SUM($X$7:$X$7)</f>
        <v>0</v>
      </c>
      <c r="Z7" s="68">
        <f>'TE BE'!$Z$7*'TE BE'!$Z$52</f>
        <v>-0.30040188164310694</v>
      </c>
      <c r="AA7" s="68">
        <f>SUM($Z$7:$Z$7)</f>
        <v>-0.30040188164310694</v>
      </c>
      <c r="AB7" s="68">
        <f>SUMIF($L$4:$AA$4,"SUBTOTAL",$L$7:$AA$7)</f>
        <v>-38.44875787160003</v>
      </c>
    </row>
    <row r="8" spans="1:28" ht="11.25" customHeight="1" x14ac:dyDescent="0.3">
      <c r="A8" s="143"/>
      <c r="B8" s="70" t="s">
        <v>82</v>
      </c>
      <c r="C8" s="70" t="s">
        <v>25</v>
      </c>
      <c r="D8" s="70" t="s">
        <v>25</v>
      </c>
      <c r="E8" s="70" t="s">
        <v>25</v>
      </c>
      <c r="F8" s="70" t="s">
        <v>25</v>
      </c>
      <c r="G8" s="71" t="s">
        <v>81</v>
      </c>
      <c r="H8" s="71" t="s">
        <v>76</v>
      </c>
      <c r="I8" s="71">
        <f>'MERCADO TE'!$U$5</f>
        <v>0</v>
      </c>
      <c r="J8" s="15"/>
      <c r="L8" s="68">
        <f>'TE BE'!$L$8*'TE BE'!$L$52</f>
        <v>-1.8029780823116748E-5</v>
      </c>
      <c r="M8" s="68">
        <f>'TE BE'!$M$8*'TE BE'!$M$52</f>
        <v>-6.7693775455836445</v>
      </c>
      <c r="N8" s="68">
        <f>'TE BE'!$N$8*'TE BE'!$N$52</f>
        <v>0</v>
      </c>
      <c r="O8" s="68">
        <f>'TE BE'!$O$8*'TE BE'!$O$52</f>
        <v>-0.54823604289407346</v>
      </c>
      <c r="P8" s="68">
        <f>'TE BE'!$P$8*'TE BE'!$P$52</f>
        <v>0</v>
      </c>
      <c r="Q8" s="68">
        <f>SUM($L$8:$P$8)</f>
        <v>-7.3176316182585408</v>
      </c>
      <c r="R8" s="68">
        <f>'TE BE'!$R$8*'TE BE'!$R$52</f>
        <v>-30.739560524432953</v>
      </c>
      <c r="S8" s="68">
        <f>SUM($R$8:$R$8)</f>
        <v>-30.739560524432953</v>
      </c>
      <c r="T8" s="68">
        <f>'TE BE'!$T$8*'TE BE'!$T$52</f>
        <v>-0.42733105334292093</v>
      </c>
      <c r="U8" s="68">
        <f>'TE BE'!$U$8*'TE BE'!$U$52</f>
        <v>-3.154913540486641E-2</v>
      </c>
      <c r="V8" s="68">
        <f>'TE BE'!$V$8*'TE BE'!$V$52</f>
        <v>0</v>
      </c>
      <c r="W8" s="68">
        <f>SUM($T$8:$V$8)</f>
        <v>-0.45888018874778735</v>
      </c>
      <c r="X8" s="68">
        <f>'TE BE'!$AB$8*'TE BE'!$X$52</f>
        <v>-30.527386636715711</v>
      </c>
      <c r="Y8" s="68">
        <f>SUM($X$8:$X$8)</f>
        <v>-30.527386636715711</v>
      </c>
      <c r="Z8" s="68">
        <f>'TE BE'!$Z$8*'TE BE'!$Z$52</f>
        <v>-0.30040188164310694</v>
      </c>
      <c r="AA8" s="68">
        <f>SUM($Z$8:$Z$8)</f>
        <v>-0.30040188164310694</v>
      </c>
      <c r="AB8" s="68">
        <f>SUMIF($L$4:$AA$4,"SUBTOTAL",$L$8:$AA$8)</f>
        <v>-69.343860849798105</v>
      </c>
    </row>
    <row r="9" spans="1:28" ht="11.25" customHeight="1" x14ac:dyDescent="0.3">
      <c r="A9" s="143"/>
      <c r="B9" s="70" t="s">
        <v>89</v>
      </c>
      <c r="C9" s="70" t="s">
        <v>25</v>
      </c>
      <c r="D9" s="70" t="s">
        <v>25</v>
      </c>
      <c r="E9" s="70" t="s">
        <v>80</v>
      </c>
      <c r="F9" s="70" t="s">
        <v>25</v>
      </c>
      <c r="G9" s="71" t="s">
        <v>81</v>
      </c>
      <c r="H9" s="71" t="s">
        <v>76</v>
      </c>
      <c r="I9" s="71">
        <f>'MERCADO TE'!$U$6</f>
        <v>5489.0889999999999</v>
      </c>
      <c r="J9" s="15"/>
      <c r="L9" s="68">
        <f>'TE BE'!$L$9*'TE BE'!$L$52</f>
        <v>-1.8029780823116748E-5</v>
      </c>
      <c r="M9" s="68">
        <f>'TE BE'!$M$9*'TE BE'!$M$52</f>
        <v>-6.7693775455836445</v>
      </c>
      <c r="N9" s="68">
        <f>'TE BE'!$N$9*'TE BE'!$N$52</f>
        <v>0</v>
      </c>
      <c r="O9" s="68">
        <f>'TE BE'!$O$9*'TE BE'!$O$52</f>
        <v>-0.54823604289407335</v>
      </c>
      <c r="P9" s="68">
        <f>'TE BE'!$P$9*'TE BE'!$P$52</f>
        <v>0</v>
      </c>
      <c r="Q9" s="68">
        <f>SUM($L$9:$P$9)</f>
        <v>-7.3176316182585408</v>
      </c>
      <c r="R9" s="68">
        <f>'TE BE'!$R$9*'TE BE'!$R$52</f>
        <v>-30.3718441829506</v>
      </c>
      <c r="S9" s="68">
        <f>SUM($R$9:$R$9)</f>
        <v>-30.3718441829506</v>
      </c>
      <c r="T9" s="68">
        <f>'TE BE'!$T$9*'TE BE'!$T$52</f>
        <v>-0.42733105334292093</v>
      </c>
      <c r="U9" s="68">
        <f>'TE BE'!$U$9*'TE BE'!$U$52</f>
        <v>-3.154913540486641E-2</v>
      </c>
      <c r="V9" s="68">
        <f>'TE BE'!$V$9*'TE BE'!$V$52</f>
        <v>0</v>
      </c>
      <c r="W9" s="68">
        <f>SUM($T$9:$V$9)</f>
        <v>-0.45888018874778735</v>
      </c>
      <c r="X9" s="68">
        <v>0</v>
      </c>
      <c r="Y9" s="68">
        <f>SUM($X$9:$X$9)</f>
        <v>0</v>
      </c>
      <c r="Z9" s="68">
        <f>'TE BE'!$Z$9*'TE BE'!$Z$52</f>
        <v>-0.30040188164310694</v>
      </c>
      <c r="AA9" s="68">
        <f>SUM($Z$9:$Z$9)</f>
        <v>-0.30040188164310694</v>
      </c>
      <c r="AB9" s="68">
        <f>SUMIF($L$4:$AA$4,"SUBTOTAL",$L$9:$AA$9)</f>
        <v>-38.44875787160003</v>
      </c>
    </row>
    <row r="10" spans="1:28" ht="11.25" customHeight="1" x14ac:dyDescent="0.3">
      <c r="A10" s="143"/>
      <c r="B10" s="70" t="s">
        <v>79</v>
      </c>
      <c r="C10" s="70" t="s">
        <v>25</v>
      </c>
      <c r="D10" s="70" t="s">
        <v>25</v>
      </c>
      <c r="E10" s="70" t="s">
        <v>25</v>
      </c>
      <c r="F10" s="70" t="s">
        <v>25</v>
      </c>
      <c r="G10" s="71" t="s">
        <v>81</v>
      </c>
      <c r="H10" s="71" t="s">
        <v>76</v>
      </c>
      <c r="I10" s="71">
        <f>'MERCADO TE'!$U$7</f>
        <v>0</v>
      </c>
      <c r="J10" s="15"/>
      <c r="L10" s="68">
        <f>'TE BE'!$L$10*'TE BE'!$L$52</f>
        <v>-1.8029780823116748E-5</v>
      </c>
      <c r="M10" s="68">
        <f>'TE BE'!$M$10*'TE BE'!$M$52</f>
        <v>0</v>
      </c>
      <c r="N10" s="68">
        <f>'TE BE'!$N$10*'TE BE'!$N$52</f>
        <v>0</v>
      </c>
      <c r="O10" s="68">
        <f>'TE BE'!$O$10*'TE BE'!$O$52</f>
        <v>-0.54823604289407335</v>
      </c>
      <c r="P10" s="68">
        <f>'TE BE'!$P$10*'TE BE'!$P$52</f>
        <v>0</v>
      </c>
      <c r="Q10" s="68">
        <f>SUM($L$10:$P$10)</f>
        <v>-0.54825407267489645</v>
      </c>
      <c r="R10" s="68">
        <f>'TE BE'!$R$10*'TE BE'!$R$52</f>
        <v>-30.3718441829506</v>
      </c>
      <c r="S10" s="68">
        <f>SUM($R$10:$R$10)</f>
        <v>-30.3718441829506</v>
      </c>
      <c r="T10" s="68">
        <f>'TE BE'!$T$10*'TE BE'!$T$52</f>
        <v>-0.42733105334292093</v>
      </c>
      <c r="U10" s="68">
        <f>'TE BE'!$U$10*'TE BE'!$U$52</f>
        <v>-3.154913540486641E-2</v>
      </c>
      <c r="V10" s="68">
        <f>'TE BE'!$V$10*'TE BE'!$V$52</f>
        <v>0</v>
      </c>
      <c r="W10" s="68">
        <f>SUM($T$10:$V$10)</f>
        <v>-0.45888018874778735</v>
      </c>
      <c r="X10" s="68">
        <v>0</v>
      </c>
      <c r="Y10" s="68">
        <f>SUM($X$10:$X$10)</f>
        <v>0</v>
      </c>
      <c r="Z10" s="68">
        <f>'TE BE'!$Z$10*'TE BE'!$Z$52</f>
        <v>0</v>
      </c>
      <c r="AA10" s="68">
        <f>SUM($Z$10:$Z$10)</f>
        <v>0</v>
      </c>
      <c r="AB10" s="68">
        <f>SUMIF($L$4:$AA$4,"SUBTOTAL",$L$10:$AA$10)</f>
        <v>-31.378978444373285</v>
      </c>
    </row>
    <row r="11" spans="1:28" ht="11.25" customHeight="1" x14ac:dyDescent="0.3">
      <c r="A11" s="143" t="s">
        <v>22</v>
      </c>
      <c r="B11" s="143" t="s">
        <v>75</v>
      </c>
      <c r="C11" s="143" t="s">
        <v>24</v>
      </c>
      <c r="D11" s="143" t="s">
        <v>24</v>
      </c>
      <c r="E11" s="143" t="s">
        <v>25</v>
      </c>
      <c r="F11" s="143" t="s">
        <v>25</v>
      </c>
      <c r="G11" s="71" t="s">
        <v>77</v>
      </c>
      <c r="H11" s="71" t="s">
        <v>76</v>
      </c>
      <c r="I11" s="71">
        <f>'MERCADO TE'!$U$8</f>
        <v>0.68800000000000017</v>
      </c>
      <c r="J11" s="15"/>
      <c r="L11" s="68">
        <f>'TE BE'!$L$11*'TE BE'!$L$52</f>
        <v>-1.8029780823116748E-5</v>
      </c>
      <c r="M11" s="68">
        <f>'TE BE'!$M$11*'TE BE'!$M$52</f>
        <v>-6.7693775455836445</v>
      </c>
      <c r="N11" s="68">
        <f>'TE BE'!$N$11*'TE BE'!$N$52</f>
        <v>0</v>
      </c>
      <c r="O11" s="68">
        <f>'TE BE'!$O$11*'TE BE'!$O$52</f>
        <v>-0.54823604289407346</v>
      </c>
      <c r="P11" s="68">
        <f>'TE BE'!$P$11*'TE BE'!$P$52</f>
        <v>0</v>
      </c>
      <c r="Q11" s="68">
        <f>SUM($L$11:$P$11)</f>
        <v>-7.3176316182585408</v>
      </c>
      <c r="R11" s="68">
        <f>'TE BE'!$R$11*'TE BE'!$R$52</f>
        <v>-49.879286888702524</v>
      </c>
      <c r="S11" s="68">
        <f>SUM($R$11:$R$11)</f>
        <v>-49.879286888702524</v>
      </c>
      <c r="T11" s="68">
        <f>'TE BE'!$T$11*'TE BE'!$T$52</f>
        <v>-0.42733105334292093</v>
      </c>
      <c r="U11" s="68">
        <f>'TE BE'!$U$11*'TE BE'!$U$52</f>
        <v>-3.154913540486641E-2</v>
      </c>
      <c r="V11" s="68">
        <f>'TE BE'!$V$11*'TE BE'!$V$52</f>
        <v>0</v>
      </c>
      <c r="W11" s="68">
        <f>SUM($T$11:$V$11)</f>
        <v>-0.45888018874778735</v>
      </c>
      <c r="X11" s="68">
        <f>'TE BE'!$AB$11*'TE BE'!$X$52</f>
        <v>-46.950777141991558</v>
      </c>
      <c r="Y11" s="68">
        <f>SUM($X$11:$X$11)</f>
        <v>-46.950777141991558</v>
      </c>
      <c r="Z11" s="68">
        <f>'TE BE'!$Z$11*'TE BE'!$Z$52</f>
        <v>-0.30040188164310694</v>
      </c>
      <c r="AA11" s="68">
        <f>SUM($Z$11:$Z$11)</f>
        <v>-0.30040188164310694</v>
      </c>
      <c r="AB11" s="68">
        <f>SUMIF($L$4:$AA$4,"SUBTOTAL",$L$11:$AA$11)</f>
        <v>-104.90697771934352</v>
      </c>
    </row>
    <row r="12" spans="1:28" ht="11.25" customHeight="1" x14ac:dyDescent="0.3">
      <c r="A12" s="143"/>
      <c r="B12" s="143"/>
      <c r="C12" s="143"/>
      <c r="D12" s="143"/>
      <c r="E12" s="143"/>
      <c r="F12" s="143"/>
      <c r="G12" s="71" t="s">
        <v>93</v>
      </c>
      <c r="H12" s="71" t="s">
        <v>76</v>
      </c>
      <c r="I12" s="71">
        <f>'MERCADO TE'!$U$9</f>
        <v>0.46</v>
      </c>
      <c r="J12" s="15"/>
      <c r="L12" s="68">
        <f>'TE BE'!$L$12*'TE BE'!$L$52</f>
        <v>-1.8029780823116748E-5</v>
      </c>
      <c r="M12" s="68">
        <f>'TE BE'!$M$12*'TE BE'!$M$52</f>
        <v>-6.7693775455836445</v>
      </c>
      <c r="N12" s="68">
        <f>'TE BE'!$N$12*'TE BE'!$N$52</f>
        <v>0</v>
      </c>
      <c r="O12" s="68">
        <f>'TE BE'!$O$12*'TE BE'!$O$52</f>
        <v>-0.54823604289407346</v>
      </c>
      <c r="P12" s="68">
        <f>'TE BE'!$P$12*'TE BE'!$P$52</f>
        <v>0</v>
      </c>
      <c r="Q12" s="68">
        <f>SUM($L$12:$P$12)</f>
        <v>-7.3176316182585408</v>
      </c>
      <c r="R12" s="68">
        <f>'TE BE'!$R$12*'TE BE'!$R$52</f>
        <v>-28.999585400408446</v>
      </c>
      <c r="S12" s="68">
        <f>SUM($R$12:$R$12)</f>
        <v>-28.999585400408446</v>
      </c>
      <c r="T12" s="68">
        <f>'TE BE'!$T$12*'TE BE'!$T$52</f>
        <v>-0.42733105334292093</v>
      </c>
      <c r="U12" s="68">
        <f>'TE BE'!$U$12*'TE BE'!$U$52</f>
        <v>-3.154913540486641E-2</v>
      </c>
      <c r="V12" s="68">
        <f>'TE BE'!$V$12*'TE BE'!$V$52</f>
        <v>0</v>
      </c>
      <c r="W12" s="68">
        <f>SUM($T$12:$V$12)</f>
        <v>-0.45888018874778735</v>
      </c>
      <c r="X12" s="68">
        <f>'TE BE'!$AB$12*'TE BE'!$X$52</f>
        <v>-29.03435113623609</v>
      </c>
      <c r="Y12" s="68">
        <f>SUM($X$12:$X$12)</f>
        <v>-29.03435113623609</v>
      </c>
      <c r="Z12" s="68">
        <f>'TE BE'!$Z$12*'TE BE'!$Z$52</f>
        <v>-0.30040188164310694</v>
      </c>
      <c r="AA12" s="68">
        <f>SUM($Z$12:$Z$12)</f>
        <v>-0.30040188164310694</v>
      </c>
      <c r="AB12" s="68">
        <f>SUMIF($L$4:$AA$4,"SUBTOTAL",$L$12:$AA$12)</f>
        <v>-66.110850225293973</v>
      </c>
    </row>
    <row r="13" spans="1:28" ht="11.25" customHeight="1" x14ac:dyDescent="0.3">
      <c r="A13" s="143"/>
      <c r="B13" s="143"/>
      <c r="C13" s="143"/>
      <c r="D13" s="143"/>
      <c r="E13" s="143"/>
      <c r="F13" s="143"/>
      <c r="G13" s="71" t="s">
        <v>78</v>
      </c>
      <c r="H13" s="71" t="s">
        <v>76</v>
      </c>
      <c r="I13" s="71">
        <f>'MERCADO TE'!$U$10</f>
        <v>5.6850000000000005</v>
      </c>
      <c r="J13" s="15"/>
      <c r="L13" s="68">
        <f>'TE BE'!$L$13*'TE BE'!$L$52</f>
        <v>-1.8029780823116748E-5</v>
      </c>
      <c r="M13" s="68">
        <f>'TE BE'!$M$13*'TE BE'!$M$52</f>
        <v>-6.7693775455836445</v>
      </c>
      <c r="N13" s="68">
        <f>'TE BE'!$N$13*'TE BE'!$N$52</f>
        <v>0</v>
      </c>
      <c r="O13" s="68">
        <f>'TE BE'!$O$13*'TE BE'!$O$52</f>
        <v>-0.54823604289407346</v>
      </c>
      <c r="P13" s="68">
        <f>'TE BE'!$P$13*'TE BE'!$P$52</f>
        <v>0</v>
      </c>
      <c r="Q13" s="68">
        <f>SUM($L$13:$P$13)</f>
        <v>-7.3176316182585408</v>
      </c>
      <c r="R13" s="68">
        <f>'TE BE'!$R$13*'TE BE'!$R$52</f>
        <v>-28.999585400408446</v>
      </c>
      <c r="S13" s="68">
        <f>SUM($R$13:$R$13)</f>
        <v>-28.999585400408446</v>
      </c>
      <c r="T13" s="68">
        <f>'TE BE'!$T$13*'TE BE'!$T$52</f>
        <v>-0.42733105334292093</v>
      </c>
      <c r="U13" s="68">
        <f>'TE BE'!$U$13*'TE BE'!$U$52</f>
        <v>-3.154913540486641E-2</v>
      </c>
      <c r="V13" s="68">
        <f>'TE BE'!$V$13*'TE BE'!$V$52</f>
        <v>0</v>
      </c>
      <c r="W13" s="68">
        <f>SUM($T$13:$V$13)</f>
        <v>-0.45888018874778735</v>
      </c>
      <c r="X13" s="68">
        <f>'TE BE'!$AB$13*'TE BE'!$X$52</f>
        <v>-29.03435113623609</v>
      </c>
      <c r="Y13" s="68">
        <f>SUM($X$13:$X$13)</f>
        <v>-29.03435113623609</v>
      </c>
      <c r="Z13" s="68">
        <f>'TE BE'!$Z$13*'TE BE'!$Z$52</f>
        <v>-0.30040188164310694</v>
      </c>
      <c r="AA13" s="68">
        <f>SUM($Z$13:$Z$13)</f>
        <v>-0.30040188164310694</v>
      </c>
      <c r="AB13" s="68">
        <f>SUMIF($L$4:$AA$4,"SUBTOTAL",$L$13:$AA$13)</f>
        <v>-66.110850225293973</v>
      </c>
    </row>
    <row r="14" spans="1:28" ht="11.25" customHeight="1" x14ac:dyDescent="0.3">
      <c r="A14" s="143"/>
      <c r="B14" s="143" t="s">
        <v>82</v>
      </c>
      <c r="C14" s="143" t="s">
        <v>24</v>
      </c>
      <c r="D14" s="70" t="s">
        <v>24</v>
      </c>
      <c r="E14" s="70" t="s">
        <v>25</v>
      </c>
      <c r="F14" s="70" t="s">
        <v>25</v>
      </c>
      <c r="G14" s="71" t="s">
        <v>81</v>
      </c>
      <c r="H14" s="71" t="s">
        <v>76</v>
      </c>
      <c r="I14" s="71">
        <f>'MERCADO TE'!$U$11</f>
        <v>20470.671000000002</v>
      </c>
      <c r="J14" s="15"/>
      <c r="L14" s="68">
        <f>'TE BE'!$L$14*'TE BE'!$L$52</f>
        <v>-1.8029780823116748E-5</v>
      </c>
      <c r="M14" s="68">
        <f>'TE BE'!$M$14*'TE BE'!$M$52</f>
        <v>-6.7693775455836445</v>
      </c>
      <c r="N14" s="68">
        <f>'TE BE'!$N$14*'TE BE'!$N$52</f>
        <v>0</v>
      </c>
      <c r="O14" s="68">
        <f>'TE BE'!$O$14*'TE BE'!$O$52</f>
        <v>-0.54823604289407346</v>
      </c>
      <c r="P14" s="68">
        <f>'TE BE'!$P$14*'TE BE'!$P$52</f>
        <v>0</v>
      </c>
      <c r="Q14" s="68">
        <f>SUM($L$14:$P$14)</f>
        <v>-7.3176316182585408</v>
      </c>
      <c r="R14" s="68">
        <f>'TE BE'!$R$14*'TE BE'!$R$52</f>
        <v>-30.739560524432953</v>
      </c>
      <c r="S14" s="68">
        <f>SUM($R$14:$R$14)</f>
        <v>-30.739560524432953</v>
      </c>
      <c r="T14" s="68">
        <f>'TE BE'!$T$14*'TE BE'!$T$52</f>
        <v>-0.42733105334292093</v>
      </c>
      <c r="U14" s="68">
        <f>'TE BE'!$U$14*'TE BE'!$U$52</f>
        <v>-3.154913540486641E-2</v>
      </c>
      <c r="V14" s="68">
        <f>'TE BE'!$V$14*'TE BE'!$V$52</f>
        <v>0</v>
      </c>
      <c r="W14" s="68">
        <f>SUM($T$14:$V$14)</f>
        <v>-0.45888018874778735</v>
      </c>
      <c r="X14" s="68">
        <f>'TE BE'!$AB$14*'TE BE'!$X$52</f>
        <v>-30.527386636715711</v>
      </c>
      <c r="Y14" s="68">
        <f>SUM($X$14:$X$14)</f>
        <v>-30.527386636715711</v>
      </c>
      <c r="Z14" s="68">
        <f>'TE BE'!$Z$14*'TE BE'!$Z$52</f>
        <v>-0.30040188164310694</v>
      </c>
      <c r="AA14" s="68">
        <f>SUM($Z$14:$Z$14)</f>
        <v>-0.30040188164310694</v>
      </c>
      <c r="AB14" s="68">
        <f>SUMIF($L$4:$AA$4,"SUBTOTAL",$L$14:$AA$14)</f>
        <v>-69.343860849798105</v>
      </c>
    </row>
    <row r="15" spans="1:28" ht="11.25" customHeight="1" x14ac:dyDescent="0.3">
      <c r="A15" s="143"/>
      <c r="B15" s="143"/>
      <c r="C15" s="143"/>
      <c r="D15" s="70" t="s">
        <v>29</v>
      </c>
      <c r="E15" s="70" t="s">
        <v>25</v>
      </c>
      <c r="F15" s="70" t="s">
        <v>25</v>
      </c>
      <c r="G15" s="71" t="s">
        <v>81</v>
      </c>
      <c r="H15" s="71" t="s">
        <v>76</v>
      </c>
      <c r="I15" s="71">
        <f>'MERCADO TE'!$U$12</f>
        <v>425.12200000000001</v>
      </c>
      <c r="J15" s="15"/>
      <c r="L15" s="68">
        <f>'TE BE'!$L$15*'TE BE'!$L$52</f>
        <v>-1.8029780823116748E-5</v>
      </c>
      <c r="M15" s="68">
        <f>'TE BE'!$M$15*'TE BE'!$M$52</f>
        <v>-6.7693775455836445</v>
      </c>
      <c r="N15" s="68">
        <f>'TE BE'!$N$15*'TE BE'!$N$52</f>
        <v>0</v>
      </c>
      <c r="O15" s="68">
        <f>'TE BE'!$O$15*'TE BE'!$O$52</f>
        <v>-0.54823604289407346</v>
      </c>
      <c r="P15" s="68">
        <f>'TE BE'!$P$15*'TE BE'!$P$52</f>
        <v>0</v>
      </c>
      <c r="Q15" s="68">
        <f>SUM($L$15:$P$15)</f>
        <v>-7.3176316182585408</v>
      </c>
      <c r="R15" s="68">
        <f>'TE BE'!$R$15*'TE BE'!$R$52</f>
        <v>-30.739560524432953</v>
      </c>
      <c r="S15" s="68">
        <f>SUM($R$15:$R$15)</f>
        <v>-30.739560524432953</v>
      </c>
      <c r="T15" s="68">
        <f>'TE BE'!$T$15*'TE BE'!$T$52</f>
        <v>-0.42733105334292093</v>
      </c>
      <c r="U15" s="68">
        <f>'TE BE'!$U$15*'TE BE'!$U$52</f>
        <v>-3.154913540486641E-2</v>
      </c>
      <c r="V15" s="68">
        <f>'TE BE'!$V$15*'TE BE'!$V$52</f>
        <v>0</v>
      </c>
      <c r="W15" s="68">
        <f>SUM($T$15:$V$15)</f>
        <v>-0.45888018874778735</v>
      </c>
      <c r="X15" s="68">
        <f>'TE BE'!$AB$15*'TE BE'!$X$52</f>
        <v>-30.527386636715711</v>
      </c>
      <c r="Y15" s="68">
        <f>SUM($X$15:$X$15)</f>
        <v>-30.527386636715711</v>
      </c>
      <c r="Z15" s="68">
        <f>'TE BE'!$Z$15*'TE BE'!$Z$52</f>
        <v>-0.30040188164310694</v>
      </c>
      <c r="AA15" s="68">
        <f>SUM($Z$15:$Z$15)</f>
        <v>-0.30040188164310694</v>
      </c>
      <c r="AB15" s="68">
        <f>SUMIF($L$4:$AA$4,"SUBTOTAL",$L$15:$AA$15)</f>
        <v>-69.343860849798105</v>
      </c>
    </row>
    <row r="16" spans="1:28" ht="11.25" customHeight="1" x14ac:dyDescent="0.3">
      <c r="A16" s="143"/>
      <c r="B16" s="143"/>
      <c r="C16" s="143"/>
      <c r="D16" s="70" t="s">
        <v>30</v>
      </c>
      <c r="E16" s="70" t="s">
        <v>25</v>
      </c>
      <c r="F16" s="70" t="s">
        <v>25</v>
      </c>
      <c r="G16" s="71" t="s">
        <v>81</v>
      </c>
      <c r="H16" s="71" t="s">
        <v>76</v>
      </c>
      <c r="I16" s="71">
        <f>'MERCADO TE'!$U$13</f>
        <v>876.85199999999986</v>
      </c>
      <c r="J16" s="15"/>
      <c r="L16" s="68">
        <f>'TE BE'!$L$16*'TE BE'!$L$52</f>
        <v>-1.8029780823116748E-5</v>
      </c>
      <c r="M16" s="68">
        <f>'TE BE'!$M$16*'TE BE'!$M$52</f>
        <v>-6.7693775455836445</v>
      </c>
      <c r="N16" s="68">
        <f>'TE BE'!$N$16*'TE BE'!$N$52</f>
        <v>0</v>
      </c>
      <c r="O16" s="68">
        <f>'TE BE'!$O$16*'TE BE'!$O$52</f>
        <v>-0.54823604289407346</v>
      </c>
      <c r="P16" s="68">
        <f>'TE BE'!$P$16*'TE BE'!$P$52</f>
        <v>0</v>
      </c>
      <c r="Q16" s="68">
        <f>SUM($L$16:$P$16)</f>
        <v>-7.3176316182585408</v>
      </c>
      <c r="R16" s="68">
        <f>'TE BE'!$R$16*'TE BE'!$R$52</f>
        <v>-30.739560524432953</v>
      </c>
      <c r="S16" s="68">
        <f>SUM($R$16:$R$16)</f>
        <v>-30.739560524432953</v>
      </c>
      <c r="T16" s="68">
        <f>'TE BE'!$T$16*'TE BE'!$T$52</f>
        <v>-0.42733105334292093</v>
      </c>
      <c r="U16" s="68">
        <f>'TE BE'!$U$16*'TE BE'!$U$52</f>
        <v>-3.154913540486641E-2</v>
      </c>
      <c r="V16" s="68">
        <f>'TE BE'!$V$16*'TE BE'!$V$52</f>
        <v>0</v>
      </c>
      <c r="W16" s="68">
        <f>SUM($T$16:$V$16)</f>
        <v>-0.45888018874778735</v>
      </c>
      <c r="X16" s="68">
        <f>'TE BE'!$AB$16*'TE BE'!$X$52</f>
        <v>-30.527386636715711</v>
      </c>
      <c r="Y16" s="68">
        <f>SUM($X$16:$X$16)</f>
        <v>-30.527386636715711</v>
      </c>
      <c r="Z16" s="68">
        <f>'TE BE'!$Z$16*'TE BE'!$Z$52</f>
        <v>-0.30040188164310694</v>
      </c>
      <c r="AA16" s="68">
        <f>SUM($Z$16:$Z$16)</f>
        <v>-0.30040188164310694</v>
      </c>
      <c r="AB16" s="68">
        <f>SUMIF($L$4:$AA$4,"SUBTOTAL",$L$16:$AA$16)</f>
        <v>-69.343860849798105</v>
      </c>
    </row>
    <row r="17" spans="1:28" ht="11.25" customHeight="1" x14ac:dyDescent="0.3">
      <c r="A17" s="143"/>
      <c r="B17" s="143"/>
      <c r="C17" s="143"/>
      <c r="D17" s="70" t="s">
        <v>31</v>
      </c>
      <c r="E17" s="70" t="s">
        <v>25</v>
      </c>
      <c r="F17" s="70" t="s">
        <v>25</v>
      </c>
      <c r="G17" s="71" t="s">
        <v>81</v>
      </c>
      <c r="H17" s="71" t="s">
        <v>76</v>
      </c>
      <c r="I17" s="71">
        <f>'MERCADO TE'!$U$14</f>
        <v>876.00100000000009</v>
      </c>
      <c r="J17" s="15"/>
      <c r="L17" s="68">
        <f>'TE BE'!$L$17*'TE BE'!$L$52</f>
        <v>-1.8029780823116748E-5</v>
      </c>
      <c r="M17" s="68">
        <f>'TE BE'!$M$17*'TE BE'!$M$52</f>
        <v>-6.7693775455836445</v>
      </c>
      <c r="N17" s="68">
        <f>'TE BE'!$N$17*'TE BE'!$N$52</f>
        <v>0</v>
      </c>
      <c r="O17" s="68">
        <f>'TE BE'!$O$17*'TE BE'!$O$52</f>
        <v>-0.54823604289407346</v>
      </c>
      <c r="P17" s="68">
        <f>'TE BE'!$P$17*'TE BE'!$P$52</f>
        <v>0</v>
      </c>
      <c r="Q17" s="68">
        <f>SUM($L$17:$P$17)</f>
        <v>-7.3176316182585408</v>
      </c>
      <c r="R17" s="68">
        <f>'TE BE'!$R$17*'TE BE'!$R$52</f>
        <v>-30.739560524432953</v>
      </c>
      <c r="S17" s="68">
        <f>SUM($R$17:$R$17)</f>
        <v>-30.739560524432953</v>
      </c>
      <c r="T17" s="68">
        <f>'TE BE'!$T$17*'TE BE'!$T$52</f>
        <v>-0.42733105334292093</v>
      </c>
      <c r="U17" s="68">
        <f>'TE BE'!$U$17*'TE BE'!$U$52</f>
        <v>-3.154913540486641E-2</v>
      </c>
      <c r="V17" s="68">
        <f>'TE BE'!$V$17*'TE BE'!$V$52</f>
        <v>0</v>
      </c>
      <c r="W17" s="68">
        <f>SUM($T$17:$V$17)</f>
        <v>-0.45888018874778735</v>
      </c>
      <c r="X17" s="68">
        <f>'TE BE'!$AB$17*'TE BE'!$X$52</f>
        <v>-30.527386636715711</v>
      </c>
      <c r="Y17" s="68">
        <f>SUM($X$17:$X$17)</f>
        <v>-30.527386636715711</v>
      </c>
      <c r="Z17" s="68">
        <f>'TE BE'!$Z$17*'TE BE'!$Z$52</f>
        <v>-0.30040188164310694</v>
      </c>
      <c r="AA17" s="68">
        <f>SUM($Z$17:$Z$17)</f>
        <v>-0.30040188164310694</v>
      </c>
      <c r="AB17" s="68">
        <f>SUMIF($L$4:$AA$4,"SUBTOTAL",$L$17:$AA$17)</f>
        <v>-69.343860849798105</v>
      </c>
    </row>
    <row r="18" spans="1:28" ht="11.25" customHeight="1" x14ac:dyDescent="0.3">
      <c r="A18" s="143"/>
      <c r="B18" s="143"/>
      <c r="C18" s="143"/>
      <c r="D18" s="70" t="s">
        <v>32</v>
      </c>
      <c r="E18" s="70" t="s">
        <v>25</v>
      </c>
      <c r="F18" s="70" t="s">
        <v>25</v>
      </c>
      <c r="G18" s="71" t="s">
        <v>81</v>
      </c>
      <c r="H18" s="71" t="s">
        <v>76</v>
      </c>
      <c r="I18" s="71">
        <f>'MERCADO TE'!$U$15</f>
        <v>331.42999999999995</v>
      </c>
      <c r="J18" s="15"/>
      <c r="L18" s="68">
        <f>'TE BE'!$L$18*'TE BE'!$L$52</f>
        <v>-1.8029780823116748E-5</v>
      </c>
      <c r="M18" s="68">
        <f>'TE BE'!$M$18*'TE BE'!$M$52</f>
        <v>-6.7693775455836445</v>
      </c>
      <c r="N18" s="68">
        <f>'TE BE'!$N$18*'TE BE'!$N$52</f>
        <v>0</v>
      </c>
      <c r="O18" s="68">
        <f>'TE BE'!$O$18*'TE BE'!$O$52</f>
        <v>-0.54823604289407346</v>
      </c>
      <c r="P18" s="68">
        <f>'TE BE'!$P$18*'TE BE'!$P$52</f>
        <v>0</v>
      </c>
      <c r="Q18" s="68">
        <f>SUM($L$18:$P$18)</f>
        <v>-7.3176316182585408</v>
      </c>
      <c r="R18" s="68">
        <f>'TE BE'!$R$18*'TE BE'!$R$52</f>
        <v>-30.739560524432953</v>
      </c>
      <c r="S18" s="68">
        <f>SUM($R$18:$R$18)</f>
        <v>-30.739560524432953</v>
      </c>
      <c r="T18" s="68">
        <f>'TE BE'!$T$18*'TE BE'!$T$52</f>
        <v>-0.42733105334292093</v>
      </c>
      <c r="U18" s="68">
        <f>'TE BE'!$U$18*'TE BE'!$U$52</f>
        <v>-3.154913540486641E-2</v>
      </c>
      <c r="V18" s="68">
        <f>'TE BE'!$V$18*'TE BE'!$V$52</f>
        <v>0</v>
      </c>
      <c r="W18" s="68">
        <f>SUM($T$18:$V$18)</f>
        <v>-0.45888018874778735</v>
      </c>
      <c r="X18" s="68">
        <f>'TE BE'!$AB$18*'TE BE'!$X$52</f>
        <v>-30.527386636715711</v>
      </c>
      <c r="Y18" s="68">
        <f>SUM($X$18:$X$18)</f>
        <v>-30.527386636715711</v>
      </c>
      <c r="Z18" s="68">
        <f>'TE BE'!$Z$18*'TE BE'!$Z$52</f>
        <v>-0.30040188164310694</v>
      </c>
      <c r="AA18" s="68">
        <f>SUM($Z$18:$Z$18)</f>
        <v>-0.30040188164310694</v>
      </c>
      <c r="AB18" s="68">
        <f>SUMIF($L$4:$AA$4,"SUBTOTAL",$L$18:$AA$18)</f>
        <v>-69.343860849798105</v>
      </c>
    </row>
    <row r="19" spans="1:28" ht="11.25" customHeight="1" x14ac:dyDescent="0.3">
      <c r="A19" s="143"/>
      <c r="B19" s="143" t="s">
        <v>94</v>
      </c>
      <c r="C19" s="143" t="s">
        <v>24</v>
      </c>
      <c r="D19" s="70" t="s">
        <v>24</v>
      </c>
      <c r="E19" s="70" t="s">
        <v>25</v>
      </c>
      <c r="F19" s="70" t="s">
        <v>25</v>
      </c>
      <c r="G19" s="71" t="s">
        <v>81</v>
      </c>
      <c r="H19" s="71" t="s">
        <v>76</v>
      </c>
      <c r="I19" s="71">
        <f>'MERCADO TE'!$U$16</f>
        <v>0</v>
      </c>
      <c r="J19" s="15"/>
      <c r="L19" s="68">
        <f>'TE BE'!$L$19*'TE BE'!$L$52</f>
        <v>-1.8029780823116748E-5</v>
      </c>
      <c r="M19" s="68">
        <f>'TE BE'!$M$19*'TE BE'!$M$52</f>
        <v>-6.7693775455836445</v>
      </c>
      <c r="N19" s="68">
        <f>'TE BE'!$N$19*'TE BE'!$N$52</f>
        <v>0</v>
      </c>
      <c r="O19" s="68">
        <f>'TE BE'!$O$19*'TE BE'!$O$52</f>
        <v>-0.54823604289407346</v>
      </c>
      <c r="P19" s="68">
        <f>'TE BE'!$P$19*'TE BE'!$P$52</f>
        <v>0</v>
      </c>
      <c r="Q19" s="68">
        <f>SUM($L$19:$P$19)</f>
        <v>-7.3176316182585408</v>
      </c>
      <c r="R19" s="68">
        <f>'TE BE'!$R$19*'TE BE'!$R$52</f>
        <v>-30.739560524432953</v>
      </c>
      <c r="S19" s="68">
        <f>SUM($R$19:$R$19)</f>
        <v>-30.739560524432953</v>
      </c>
      <c r="T19" s="68">
        <f>'TE BE'!$T$19*'TE BE'!$T$52</f>
        <v>-0.42733105334292093</v>
      </c>
      <c r="U19" s="68">
        <f>'TE BE'!$U$19*'TE BE'!$U$52</f>
        <v>-3.154913540486641E-2</v>
      </c>
      <c r="V19" s="68">
        <f>'TE BE'!$V$19*'TE BE'!$V$52</f>
        <v>0</v>
      </c>
      <c r="W19" s="68">
        <f>SUM($T$19:$V$19)</f>
        <v>-0.45888018874778735</v>
      </c>
      <c r="X19" s="68">
        <f>'TE BE'!$AB$19*'TE BE'!$X$52</f>
        <v>-30.527386636715711</v>
      </c>
      <c r="Y19" s="68">
        <f>SUM($X$19:$X$19)</f>
        <v>-30.527386636715711</v>
      </c>
      <c r="Z19" s="68">
        <f>'TE BE'!$Z$19*'TE BE'!$Z$52</f>
        <v>-0.30040188164310694</v>
      </c>
      <c r="AA19" s="68">
        <f>SUM($Z$19:$Z$19)</f>
        <v>-0.30040188164310694</v>
      </c>
      <c r="AB19" s="68">
        <f>SUMIF($L$4:$AA$4,"SUBTOTAL",$L$19:$AA$19)</f>
        <v>-69.343860849798105</v>
      </c>
    </row>
    <row r="20" spans="1:28" ht="11.25" customHeight="1" x14ac:dyDescent="0.3">
      <c r="A20" s="143"/>
      <c r="B20" s="143"/>
      <c r="C20" s="143"/>
      <c r="D20" s="70" t="s">
        <v>29</v>
      </c>
      <c r="E20" s="70" t="s">
        <v>25</v>
      </c>
      <c r="F20" s="70" t="s">
        <v>25</v>
      </c>
      <c r="G20" s="71" t="s">
        <v>81</v>
      </c>
      <c r="H20" s="71" t="s">
        <v>76</v>
      </c>
      <c r="I20" s="71">
        <f>'MERCADO TE'!$U$17</f>
        <v>0</v>
      </c>
      <c r="J20" s="15"/>
      <c r="L20" s="68">
        <f>'TE BE'!$L$20*'TE BE'!$L$52</f>
        <v>-1.8029780823116748E-5</v>
      </c>
      <c r="M20" s="68">
        <f>'TE BE'!$M$20*'TE BE'!$M$52</f>
        <v>-6.7693775455836445</v>
      </c>
      <c r="N20" s="68">
        <f>'TE BE'!$N$20*'TE BE'!$N$52</f>
        <v>0</v>
      </c>
      <c r="O20" s="68">
        <f>'TE BE'!$O$20*'TE BE'!$O$52</f>
        <v>-0.54823604289407346</v>
      </c>
      <c r="P20" s="68">
        <f>'TE BE'!$P$20*'TE BE'!$P$52</f>
        <v>0</v>
      </c>
      <c r="Q20" s="68">
        <f>SUM($L$20:$P$20)</f>
        <v>-7.3176316182585408</v>
      </c>
      <c r="R20" s="68">
        <f>'TE BE'!$R$20*'TE BE'!$R$52</f>
        <v>-30.739560524432953</v>
      </c>
      <c r="S20" s="68">
        <f>SUM($R$20:$R$20)</f>
        <v>-30.739560524432953</v>
      </c>
      <c r="T20" s="68">
        <f>'TE BE'!$T$20*'TE BE'!$T$52</f>
        <v>-0.42733105334292093</v>
      </c>
      <c r="U20" s="68">
        <f>'TE BE'!$U$20*'TE BE'!$U$52</f>
        <v>-3.154913540486641E-2</v>
      </c>
      <c r="V20" s="68">
        <f>'TE BE'!$V$20*'TE BE'!$V$52</f>
        <v>0</v>
      </c>
      <c r="W20" s="68">
        <f>SUM($T$20:$V$20)</f>
        <v>-0.45888018874778735</v>
      </c>
      <c r="X20" s="68">
        <f>'TE BE'!$AB$20*'TE BE'!$X$52</f>
        <v>-30.527386636715711</v>
      </c>
      <c r="Y20" s="68">
        <f>SUM($X$20:$X$20)</f>
        <v>-30.527386636715711</v>
      </c>
      <c r="Z20" s="68">
        <f>'TE BE'!$Z$20*'TE BE'!$Z$52</f>
        <v>-0.30040188164310694</v>
      </c>
      <c r="AA20" s="68">
        <f>SUM($Z$20:$Z$20)</f>
        <v>-0.30040188164310694</v>
      </c>
      <c r="AB20" s="68">
        <f>SUMIF($L$4:$AA$4,"SUBTOTAL",$L$20:$AA$20)</f>
        <v>-69.343860849798105</v>
      </c>
    </row>
    <row r="21" spans="1:28" ht="11.25" customHeight="1" x14ac:dyDescent="0.3">
      <c r="A21" s="143"/>
      <c r="B21" s="143"/>
      <c r="C21" s="143"/>
      <c r="D21" s="70" t="s">
        <v>30</v>
      </c>
      <c r="E21" s="70" t="s">
        <v>25</v>
      </c>
      <c r="F21" s="70" t="s">
        <v>25</v>
      </c>
      <c r="G21" s="71" t="s">
        <v>81</v>
      </c>
      <c r="H21" s="71" t="s">
        <v>76</v>
      </c>
      <c r="I21" s="71">
        <f>'MERCADO TE'!$U$18</f>
        <v>0</v>
      </c>
      <c r="J21" s="15"/>
      <c r="L21" s="68">
        <f>'TE BE'!$L$21*'TE BE'!$L$52</f>
        <v>-1.8029780823116748E-5</v>
      </c>
      <c r="M21" s="68">
        <f>'TE BE'!$M$21*'TE BE'!$M$52</f>
        <v>-6.7693775455836445</v>
      </c>
      <c r="N21" s="68">
        <f>'TE BE'!$N$21*'TE BE'!$N$52</f>
        <v>0</v>
      </c>
      <c r="O21" s="68">
        <f>'TE BE'!$O$21*'TE BE'!$O$52</f>
        <v>-0.54823604289407346</v>
      </c>
      <c r="P21" s="68">
        <f>'TE BE'!$P$21*'TE BE'!$P$52</f>
        <v>0</v>
      </c>
      <c r="Q21" s="68">
        <f>SUM($L$21:$P$21)</f>
        <v>-7.3176316182585408</v>
      </c>
      <c r="R21" s="68">
        <f>'TE BE'!$R$21*'TE BE'!$R$52</f>
        <v>-30.739560524432953</v>
      </c>
      <c r="S21" s="68">
        <f>SUM($R$21:$R$21)</f>
        <v>-30.739560524432953</v>
      </c>
      <c r="T21" s="68">
        <f>'TE BE'!$T$21*'TE BE'!$T$52</f>
        <v>-0.42733105334292093</v>
      </c>
      <c r="U21" s="68">
        <f>'TE BE'!$U$21*'TE BE'!$U$52</f>
        <v>-3.154913540486641E-2</v>
      </c>
      <c r="V21" s="68">
        <f>'TE BE'!$V$21*'TE BE'!$V$52</f>
        <v>0</v>
      </c>
      <c r="W21" s="68">
        <f>SUM($T$21:$V$21)</f>
        <v>-0.45888018874778735</v>
      </c>
      <c r="X21" s="68">
        <f>'TE BE'!$AB$21*'TE BE'!$X$52</f>
        <v>-30.527386636715711</v>
      </c>
      <c r="Y21" s="68">
        <f>SUM($X$21:$X$21)</f>
        <v>-30.527386636715711</v>
      </c>
      <c r="Z21" s="68">
        <f>'TE BE'!$Z$21*'TE BE'!$Z$52</f>
        <v>-0.30040188164310694</v>
      </c>
      <c r="AA21" s="68">
        <f>SUM($Z$21:$Z$21)</f>
        <v>-0.30040188164310694</v>
      </c>
      <c r="AB21" s="68">
        <f>SUMIF($L$4:$AA$4,"SUBTOTAL",$L$21:$AA$21)</f>
        <v>-69.343860849798105</v>
      </c>
    </row>
    <row r="22" spans="1:28" ht="11.25" customHeight="1" x14ac:dyDescent="0.3">
      <c r="A22" s="143"/>
      <c r="B22" s="143"/>
      <c r="C22" s="143"/>
      <c r="D22" s="70" t="s">
        <v>31</v>
      </c>
      <c r="E22" s="70" t="s">
        <v>25</v>
      </c>
      <c r="F22" s="70" t="s">
        <v>25</v>
      </c>
      <c r="G22" s="71" t="s">
        <v>81</v>
      </c>
      <c r="H22" s="71" t="s">
        <v>76</v>
      </c>
      <c r="I22" s="71">
        <f>'MERCADO TE'!$U$19</f>
        <v>0</v>
      </c>
      <c r="J22" s="15"/>
      <c r="L22" s="68">
        <f>'TE BE'!$L$22*'TE BE'!$L$52</f>
        <v>-1.8029780823116748E-5</v>
      </c>
      <c r="M22" s="68">
        <f>'TE BE'!$M$22*'TE BE'!$M$52</f>
        <v>-6.7693775455836445</v>
      </c>
      <c r="N22" s="68">
        <f>'TE BE'!$N$22*'TE BE'!$N$52</f>
        <v>0</v>
      </c>
      <c r="O22" s="68">
        <f>'TE BE'!$O$22*'TE BE'!$O$52</f>
        <v>-0.54823604289407346</v>
      </c>
      <c r="P22" s="68">
        <f>'TE BE'!$P$22*'TE BE'!$P$52</f>
        <v>0</v>
      </c>
      <c r="Q22" s="68">
        <f>SUM($L$22:$P$22)</f>
        <v>-7.3176316182585408</v>
      </c>
      <c r="R22" s="68">
        <f>'TE BE'!$R$22*'TE BE'!$R$52</f>
        <v>-30.739560524432953</v>
      </c>
      <c r="S22" s="68">
        <f>SUM($R$22:$R$22)</f>
        <v>-30.739560524432953</v>
      </c>
      <c r="T22" s="68">
        <f>'TE BE'!$T$22*'TE BE'!$T$52</f>
        <v>-0.42733105334292093</v>
      </c>
      <c r="U22" s="68">
        <f>'TE BE'!$U$22*'TE BE'!$U$52</f>
        <v>-3.154913540486641E-2</v>
      </c>
      <c r="V22" s="68">
        <f>'TE BE'!$V$22*'TE BE'!$V$52</f>
        <v>0</v>
      </c>
      <c r="W22" s="68">
        <f>SUM($T$22:$V$22)</f>
        <v>-0.45888018874778735</v>
      </c>
      <c r="X22" s="68">
        <f>'TE BE'!$AB$22*'TE BE'!$X$52</f>
        <v>-30.527386636715711</v>
      </c>
      <c r="Y22" s="68">
        <f>SUM($X$22:$X$22)</f>
        <v>-30.527386636715711</v>
      </c>
      <c r="Z22" s="68">
        <f>'TE BE'!$Z$22*'TE BE'!$Z$52</f>
        <v>-0.30040188164310694</v>
      </c>
      <c r="AA22" s="68">
        <f>SUM($Z$22:$Z$22)</f>
        <v>-0.30040188164310694</v>
      </c>
      <c r="AB22" s="68">
        <f>SUMIF($L$4:$AA$4,"SUBTOTAL",$L$22:$AA$22)</f>
        <v>-69.343860849798105</v>
      </c>
    </row>
    <row r="23" spans="1:28" ht="11.25" customHeight="1" x14ac:dyDescent="0.3">
      <c r="A23" s="143"/>
      <c r="B23" s="143"/>
      <c r="C23" s="143"/>
      <c r="D23" s="70" t="s">
        <v>32</v>
      </c>
      <c r="E23" s="70" t="s">
        <v>25</v>
      </c>
      <c r="F23" s="70" t="s">
        <v>25</v>
      </c>
      <c r="G23" s="71" t="s">
        <v>81</v>
      </c>
      <c r="H23" s="71" t="s">
        <v>76</v>
      </c>
      <c r="I23" s="71">
        <f>'MERCADO TE'!$U$20</f>
        <v>0</v>
      </c>
      <c r="J23" s="15"/>
      <c r="L23" s="68">
        <f>'TE BE'!$L$23*'TE BE'!$L$52</f>
        <v>-1.8029780823116748E-5</v>
      </c>
      <c r="M23" s="68">
        <f>'TE BE'!$M$23*'TE BE'!$M$52</f>
        <v>-6.7693775455836445</v>
      </c>
      <c r="N23" s="68">
        <f>'TE BE'!$N$23*'TE BE'!$N$52</f>
        <v>0</v>
      </c>
      <c r="O23" s="68">
        <f>'TE BE'!$O$23*'TE BE'!$O$52</f>
        <v>-0.54823604289407346</v>
      </c>
      <c r="P23" s="68">
        <f>'TE BE'!$P$23*'TE BE'!$P$52</f>
        <v>0</v>
      </c>
      <c r="Q23" s="68">
        <f>SUM($L$23:$P$23)</f>
        <v>-7.3176316182585408</v>
      </c>
      <c r="R23" s="68">
        <f>'TE BE'!$R$23*'TE BE'!$R$52</f>
        <v>-30.739560524432953</v>
      </c>
      <c r="S23" s="68">
        <f>SUM($R$23:$R$23)</f>
        <v>-30.739560524432953</v>
      </c>
      <c r="T23" s="68">
        <f>'TE BE'!$T$23*'TE BE'!$T$52</f>
        <v>-0.42733105334292093</v>
      </c>
      <c r="U23" s="68">
        <f>'TE BE'!$U$23*'TE BE'!$U$52</f>
        <v>-3.154913540486641E-2</v>
      </c>
      <c r="V23" s="68">
        <f>'TE BE'!$V$23*'TE BE'!$V$52</f>
        <v>0</v>
      </c>
      <c r="W23" s="68">
        <f>SUM($T$23:$V$23)</f>
        <v>-0.45888018874778735</v>
      </c>
      <c r="X23" s="68">
        <f>'TE BE'!$AB$23*'TE BE'!$X$52</f>
        <v>-30.527386636715711</v>
      </c>
      <c r="Y23" s="68">
        <f>SUM($X$23:$X$23)</f>
        <v>-30.527386636715711</v>
      </c>
      <c r="Z23" s="68">
        <f>'TE BE'!$Z$23*'TE BE'!$Z$52</f>
        <v>-0.30040188164310694</v>
      </c>
      <c r="AA23" s="68">
        <f>SUM($Z$23:$Z$23)</f>
        <v>-0.30040188164310694</v>
      </c>
      <c r="AB23" s="68">
        <f>SUMIF($L$4:$AA$4,"SUBTOTAL",$L$23:$AA$23)</f>
        <v>-69.343860849798105</v>
      </c>
    </row>
    <row r="24" spans="1:28" ht="11.25" customHeight="1" x14ac:dyDescent="0.3">
      <c r="A24" s="143" t="s">
        <v>42</v>
      </c>
      <c r="B24" s="143" t="s">
        <v>75</v>
      </c>
      <c r="C24" s="143" t="s">
        <v>43</v>
      </c>
      <c r="D24" s="143" t="s">
        <v>25</v>
      </c>
      <c r="E24" s="143" t="s">
        <v>25</v>
      </c>
      <c r="F24" s="143" t="s">
        <v>25</v>
      </c>
      <c r="G24" s="71" t="s">
        <v>77</v>
      </c>
      <c r="H24" s="71" t="s">
        <v>76</v>
      </c>
      <c r="I24" s="71">
        <f>'MERCADO TE'!$U$21</f>
        <v>0.36099999999999999</v>
      </c>
      <c r="J24" s="15"/>
      <c r="L24" s="68">
        <f>'TE BE'!$L$24*'TE BE'!$L$52</f>
        <v>-1.8029780823116748E-5</v>
      </c>
      <c r="M24" s="68">
        <f>'TE BE'!$M$24*'TE BE'!$M$52</f>
        <v>-6.7693775455836445</v>
      </c>
      <c r="N24" s="68">
        <f>'TE BE'!$N$24*'TE BE'!$N$52</f>
        <v>0</v>
      </c>
      <c r="O24" s="68">
        <f>'TE BE'!$O$24*'TE BE'!$O$52</f>
        <v>-0.54823604289407346</v>
      </c>
      <c r="P24" s="68">
        <f>'TE BE'!$P$24*'TE BE'!$P$52</f>
        <v>0</v>
      </c>
      <c r="Q24" s="68">
        <f>SUM($L$24:$P$24)</f>
        <v>-7.3176316182585408</v>
      </c>
      <c r="R24" s="68">
        <f>'TE BE'!$R$24*'TE BE'!$R$52</f>
        <v>-49.879286888702524</v>
      </c>
      <c r="S24" s="68">
        <f>SUM($R$24:$R$24)</f>
        <v>-49.879286888702524</v>
      </c>
      <c r="T24" s="68">
        <f>'TE BE'!$T$24*'TE BE'!$T$52</f>
        <v>-0.42733105334292093</v>
      </c>
      <c r="U24" s="68">
        <f>'TE BE'!$U$24*'TE BE'!$U$52</f>
        <v>-3.154913540486641E-2</v>
      </c>
      <c r="V24" s="68">
        <f>'TE BE'!$V$24*'TE BE'!$V$52</f>
        <v>0</v>
      </c>
      <c r="W24" s="68">
        <f>SUM($T$24:$V$24)</f>
        <v>-0.45888018874778735</v>
      </c>
      <c r="X24" s="68">
        <f>'TE BE'!$AB$24*'TE BE'!$X$52</f>
        <v>-46.950777141991558</v>
      </c>
      <c r="Y24" s="68">
        <f>SUM($X$24:$X$24)</f>
        <v>-46.950777141991558</v>
      </c>
      <c r="Z24" s="68">
        <f>'TE BE'!$Z$24*'TE BE'!$Z$52</f>
        <v>-0.30040188164310694</v>
      </c>
      <c r="AA24" s="68">
        <f>SUM($Z$24:$Z$24)</f>
        <v>-0.30040188164310694</v>
      </c>
      <c r="AB24" s="68">
        <f>SUMIF($L$4:$AA$4,"SUBTOTAL",$L$24:$AA$24)</f>
        <v>-104.90697771934352</v>
      </c>
    </row>
    <row r="25" spans="1:28" ht="11.25" customHeight="1" x14ac:dyDescent="0.3">
      <c r="A25" s="143"/>
      <c r="B25" s="143"/>
      <c r="C25" s="143"/>
      <c r="D25" s="143"/>
      <c r="E25" s="143"/>
      <c r="F25" s="143"/>
      <c r="G25" s="71" t="s">
        <v>93</v>
      </c>
      <c r="H25" s="71" t="s">
        <v>76</v>
      </c>
      <c r="I25" s="71">
        <f>'MERCADO TE'!$U$22</f>
        <v>0.21399999999999994</v>
      </c>
      <c r="J25" s="15"/>
      <c r="L25" s="68">
        <f>'TE BE'!$L$25*'TE BE'!$L$52</f>
        <v>-1.8029780823116748E-5</v>
      </c>
      <c r="M25" s="68">
        <f>'TE BE'!$M$25*'TE BE'!$M$52</f>
        <v>-6.7693775455836445</v>
      </c>
      <c r="N25" s="68">
        <f>'TE BE'!$N$25*'TE BE'!$N$52</f>
        <v>0</v>
      </c>
      <c r="O25" s="68">
        <f>'TE BE'!$O$25*'TE BE'!$O$52</f>
        <v>-0.54823604289407346</v>
      </c>
      <c r="P25" s="68">
        <f>'TE BE'!$P$25*'TE BE'!$P$52</f>
        <v>0</v>
      </c>
      <c r="Q25" s="68">
        <f>SUM($L$25:$P$25)</f>
        <v>-7.3176316182585408</v>
      </c>
      <c r="R25" s="68">
        <f>'TE BE'!$R$25*'TE BE'!$R$52</f>
        <v>-28.999585400408446</v>
      </c>
      <c r="S25" s="68">
        <f>SUM($R$25:$R$25)</f>
        <v>-28.999585400408446</v>
      </c>
      <c r="T25" s="68">
        <f>'TE BE'!$T$25*'TE BE'!$T$52</f>
        <v>-0.42733105334292093</v>
      </c>
      <c r="U25" s="68">
        <f>'TE BE'!$U$25*'TE BE'!$U$52</f>
        <v>-3.154913540486641E-2</v>
      </c>
      <c r="V25" s="68">
        <f>'TE BE'!$V$25*'TE BE'!$V$52</f>
        <v>0</v>
      </c>
      <c r="W25" s="68">
        <f>SUM($T$25:$V$25)</f>
        <v>-0.45888018874778735</v>
      </c>
      <c r="X25" s="68">
        <f>'TE BE'!$AB$25*'TE BE'!$X$52</f>
        <v>-29.03435113623609</v>
      </c>
      <c r="Y25" s="68">
        <f>SUM($X$25:$X$25)</f>
        <v>-29.03435113623609</v>
      </c>
      <c r="Z25" s="68">
        <f>'TE BE'!$Z$25*'TE BE'!$Z$52</f>
        <v>-0.30040188164310694</v>
      </c>
      <c r="AA25" s="68">
        <f>SUM($Z$25:$Z$25)</f>
        <v>-0.30040188164310694</v>
      </c>
      <c r="AB25" s="68">
        <f>SUMIF($L$4:$AA$4,"SUBTOTAL",$L$25:$AA$25)</f>
        <v>-66.110850225293973</v>
      </c>
    </row>
    <row r="26" spans="1:28" ht="11.25" customHeight="1" x14ac:dyDescent="0.3">
      <c r="A26" s="143"/>
      <c r="B26" s="143"/>
      <c r="C26" s="143"/>
      <c r="D26" s="143"/>
      <c r="E26" s="143"/>
      <c r="F26" s="143"/>
      <c r="G26" s="71" t="s">
        <v>78</v>
      </c>
      <c r="H26" s="71" t="s">
        <v>76</v>
      </c>
      <c r="I26" s="71">
        <f>'MERCADO TE'!$U$23</f>
        <v>2.4970000000000008</v>
      </c>
      <c r="J26" s="15"/>
      <c r="L26" s="68">
        <f>'TE BE'!$L$26*'TE BE'!$L$52</f>
        <v>-1.8029780823116748E-5</v>
      </c>
      <c r="M26" s="68">
        <f>'TE BE'!$M$26*'TE BE'!$M$52</f>
        <v>-6.7693775455836445</v>
      </c>
      <c r="N26" s="68">
        <f>'TE BE'!$N$26*'TE BE'!$N$52</f>
        <v>0</v>
      </c>
      <c r="O26" s="68">
        <f>'TE BE'!$O$26*'TE BE'!$O$52</f>
        <v>-0.54823604289407346</v>
      </c>
      <c r="P26" s="68">
        <f>'TE BE'!$P$26*'TE BE'!$P$52</f>
        <v>0</v>
      </c>
      <c r="Q26" s="68">
        <f>SUM($L$26:$P$26)</f>
        <v>-7.3176316182585408</v>
      </c>
      <c r="R26" s="68">
        <f>'TE BE'!$R$26*'TE BE'!$R$52</f>
        <v>-28.999585400408446</v>
      </c>
      <c r="S26" s="68">
        <f>SUM($R$26:$R$26)</f>
        <v>-28.999585400408446</v>
      </c>
      <c r="T26" s="68">
        <f>'TE BE'!$T$26*'TE BE'!$T$52</f>
        <v>-0.42733105334292093</v>
      </c>
      <c r="U26" s="68">
        <f>'TE BE'!$U$26*'TE BE'!$U$52</f>
        <v>-3.154913540486641E-2</v>
      </c>
      <c r="V26" s="68">
        <f>'TE BE'!$V$26*'TE BE'!$V$52</f>
        <v>0</v>
      </c>
      <c r="W26" s="68">
        <f>SUM($T$26:$V$26)</f>
        <v>-0.45888018874778735</v>
      </c>
      <c r="X26" s="68">
        <f>'TE BE'!$AB$26*'TE BE'!$X$52</f>
        <v>-29.03435113623609</v>
      </c>
      <c r="Y26" s="68">
        <f>SUM($X$26:$X$26)</f>
        <v>-29.03435113623609</v>
      </c>
      <c r="Z26" s="68">
        <f>'TE BE'!$Z$26*'TE BE'!$Z$52</f>
        <v>-0.30040188164310694</v>
      </c>
      <c r="AA26" s="68">
        <f>SUM($Z$26:$Z$26)</f>
        <v>-0.30040188164310694</v>
      </c>
      <c r="AB26" s="68">
        <f>SUMIF($L$4:$AA$4,"SUBTOTAL",$L$26:$AA$26)</f>
        <v>-66.110850225293973</v>
      </c>
    </row>
    <row r="27" spans="1:28" ht="11.25" customHeight="1" x14ac:dyDescent="0.3">
      <c r="A27" s="143"/>
      <c r="B27" s="70" t="s">
        <v>82</v>
      </c>
      <c r="C27" s="70" t="s">
        <v>43</v>
      </c>
      <c r="D27" s="70" t="s">
        <v>25</v>
      </c>
      <c r="E27" s="70" t="s">
        <v>25</v>
      </c>
      <c r="F27" s="70" t="s">
        <v>25</v>
      </c>
      <c r="G27" s="71" t="s">
        <v>81</v>
      </c>
      <c r="H27" s="71" t="s">
        <v>76</v>
      </c>
      <c r="I27" s="71">
        <f>'MERCADO TE'!$U$24</f>
        <v>18691.718999999997</v>
      </c>
      <c r="J27" s="15"/>
      <c r="L27" s="68">
        <f>'TE BE'!$L$27*'TE BE'!$L$52</f>
        <v>-1.8029780823116748E-5</v>
      </c>
      <c r="M27" s="68">
        <f>'TE BE'!$M$27*'TE BE'!$M$52</f>
        <v>-6.7693775455836445</v>
      </c>
      <c r="N27" s="68">
        <f>'TE BE'!$N$27*'TE BE'!$N$52</f>
        <v>0</v>
      </c>
      <c r="O27" s="68">
        <f>'TE BE'!$O$27*'TE BE'!$O$52</f>
        <v>-0.54823604289407346</v>
      </c>
      <c r="P27" s="68">
        <f>'TE BE'!$P$27*'TE BE'!$P$52</f>
        <v>0</v>
      </c>
      <c r="Q27" s="68">
        <f>SUM($L$27:$P$27)</f>
        <v>-7.3176316182585408</v>
      </c>
      <c r="R27" s="68">
        <f>'TE BE'!$R$27*'TE BE'!$R$52</f>
        <v>-30.739560524432953</v>
      </c>
      <c r="S27" s="68">
        <f>SUM($R$27:$R$27)</f>
        <v>-30.739560524432953</v>
      </c>
      <c r="T27" s="68">
        <f>'TE BE'!$T$27*'TE BE'!$T$52</f>
        <v>-0.42733105334292093</v>
      </c>
      <c r="U27" s="68">
        <f>'TE BE'!$U$27*'TE BE'!$U$52</f>
        <v>-3.154913540486641E-2</v>
      </c>
      <c r="V27" s="68">
        <f>'TE BE'!$V$27*'TE BE'!$V$52</f>
        <v>0</v>
      </c>
      <c r="W27" s="68">
        <f>SUM($T$27:$V$27)</f>
        <v>-0.45888018874778735</v>
      </c>
      <c r="X27" s="68">
        <f>'TE BE'!$AB$27*'TE BE'!$X$52</f>
        <v>-30.527386636715711</v>
      </c>
      <c r="Y27" s="68">
        <f>SUM($X$27:$X$27)</f>
        <v>-30.527386636715711</v>
      </c>
      <c r="Z27" s="68">
        <f>'TE BE'!$Z$27*'TE BE'!$Z$52</f>
        <v>-0.30040188164310694</v>
      </c>
      <c r="AA27" s="68">
        <f>SUM($Z$27:$Z$27)</f>
        <v>-0.30040188164310694</v>
      </c>
      <c r="AB27" s="68">
        <f>SUMIF($L$4:$AA$4,"SUBTOTAL",$L$27:$AA$27)</f>
        <v>-69.343860849798105</v>
      </c>
    </row>
    <row r="28" spans="1:28" ht="11.25" customHeight="1" x14ac:dyDescent="0.3">
      <c r="A28" s="143"/>
      <c r="B28" s="143" t="s">
        <v>75</v>
      </c>
      <c r="C28" s="143" t="s">
        <v>43</v>
      </c>
      <c r="D28" s="143" t="s">
        <v>96</v>
      </c>
      <c r="E28" s="143" t="s">
        <v>25</v>
      </c>
      <c r="F28" s="143" t="s">
        <v>25</v>
      </c>
      <c r="G28" s="71" t="s">
        <v>77</v>
      </c>
      <c r="H28" s="71" t="s">
        <v>76</v>
      </c>
      <c r="I28" s="71">
        <f>'MERCADO TE'!$U$25</f>
        <v>0</v>
      </c>
      <c r="J28" s="15"/>
      <c r="L28" s="68">
        <f>'TE BE'!$L$28*'TE BE'!$L$52</f>
        <v>-1.8029780823116748E-5</v>
      </c>
      <c r="M28" s="68">
        <f>'TE BE'!$M$28*'TE BE'!$M$52</f>
        <v>-6.7693775455836445</v>
      </c>
      <c r="N28" s="68">
        <f>'TE BE'!$N$28*'TE BE'!$N$52</f>
        <v>0</v>
      </c>
      <c r="O28" s="68">
        <f>'TE BE'!$O$28*'TE BE'!$O$52</f>
        <v>-0.54823604289407346</v>
      </c>
      <c r="P28" s="68">
        <f>'TE BE'!$P$28*'TE BE'!$P$52</f>
        <v>0</v>
      </c>
      <c r="Q28" s="68">
        <f>SUM($L$28:$P$28)</f>
        <v>-7.3176316182585408</v>
      </c>
      <c r="R28" s="68">
        <f>'TE BE'!$R$28*'TE BE'!$R$52</f>
        <v>-49.879286888702524</v>
      </c>
      <c r="S28" s="68">
        <f>SUM($R$28:$R$28)</f>
        <v>-49.879286888702524</v>
      </c>
      <c r="T28" s="68">
        <f>'TE BE'!$T$28*'TE BE'!$T$52</f>
        <v>-0.42733105334292093</v>
      </c>
      <c r="U28" s="68">
        <f>'TE BE'!$U$28*'TE BE'!$U$52</f>
        <v>-3.154913540486641E-2</v>
      </c>
      <c r="V28" s="68">
        <f>'TE BE'!$V$28*'TE BE'!$V$52</f>
        <v>0</v>
      </c>
      <c r="W28" s="68">
        <f>SUM($T$28:$V$28)</f>
        <v>-0.45888018874778735</v>
      </c>
      <c r="X28" s="68">
        <f>'TE BE'!$AB$28*'TE BE'!$X$52</f>
        <v>-46.950777141991558</v>
      </c>
      <c r="Y28" s="68">
        <f>SUM($X$28:$X$28)</f>
        <v>-46.950777141991558</v>
      </c>
      <c r="Z28" s="68">
        <f>'TE BE'!$Z$28*'TE BE'!$Z$52</f>
        <v>-0.30040188164310694</v>
      </c>
      <c r="AA28" s="68">
        <f>SUM($Z$28:$Z$28)</f>
        <v>-0.30040188164310694</v>
      </c>
      <c r="AB28" s="68">
        <f>SUMIF($L$4:$AA$4,"SUBTOTAL",$L$28:$AA$28)</f>
        <v>-104.90697771934352</v>
      </c>
    </row>
    <row r="29" spans="1:28" ht="11.25" customHeight="1" x14ac:dyDescent="0.3">
      <c r="A29" s="143"/>
      <c r="B29" s="143"/>
      <c r="C29" s="143"/>
      <c r="D29" s="143"/>
      <c r="E29" s="143"/>
      <c r="F29" s="143"/>
      <c r="G29" s="71" t="s">
        <v>93</v>
      </c>
      <c r="H29" s="71" t="s">
        <v>76</v>
      </c>
      <c r="I29" s="71">
        <f>'MERCADO TE'!$U$26</f>
        <v>0</v>
      </c>
      <c r="J29" s="15"/>
      <c r="L29" s="68">
        <f>'TE BE'!$L$29*'TE BE'!$L$52</f>
        <v>-1.8029780823116748E-5</v>
      </c>
      <c r="M29" s="68">
        <f>'TE BE'!$M$29*'TE BE'!$M$52</f>
        <v>-6.7693775455836445</v>
      </c>
      <c r="N29" s="68">
        <f>'TE BE'!$N$29*'TE BE'!$N$52</f>
        <v>0</v>
      </c>
      <c r="O29" s="68">
        <f>'TE BE'!$O$29*'TE BE'!$O$52</f>
        <v>-0.54823604289407346</v>
      </c>
      <c r="P29" s="68">
        <f>'TE BE'!$P$29*'TE BE'!$P$52</f>
        <v>0</v>
      </c>
      <c r="Q29" s="68">
        <f>SUM($L$29:$P$29)</f>
        <v>-7.3176316182585408</v>
      </c>
      <c r="R29" s="68">
        <f>'TE BE'!$R$29*'TE BE'!$R$52</f>
        <v>-28.999585400408446</v>
      </c>
      <c r="S29" s="68">
        <f>SUM($R$29:$R$29)</f>
        <v>-28.999585400408446</v>
      </c>
      <c r="T29" s="68">
        <f>'TE BE'!$T$29*'TE BE'!$T$52</f>
        <v>-0.42733105334292093</v>
      </c>
      <c r="U29" s="68">
        <f>'TE BE'!$U$29*'TE BE'!$U$52</f>
        <v>-3.154913540486641E-2</v>
      </c>
      <c r="V29" s="68">
        <f>'TE BE'!$V$29*'TE BE'!$V$52</f>
        <v>0</v>
      </c>
      <c r="W29" s="68">
        <f>SUM($T$29:$V$29)</f>
        <v>-0.45888018874778735</v>
      </c>
      <c r="X29" s="68">
        <f>'TE BE'!$AB$29*'TE BE'!$X$52</f>
        <v>-29.03435113623609</v>
      </c>
      <c r="Y29" s="68">
        <f>SUM($X$29:$X$29)</f>
        <v>-29.03435113623609</v>
      </c>
      <c r="Z29" s="68">
        <f>'TE BE'!$Z$29*'TE BE'!$Z$52</f>
        <v>-0.30040188164310694</v>
      </c>
      <c r="AA29" s="68">
        <f>SUM($Z$29:$Z$29)</f>
        <v>-0.30040188164310694</v>
      </c>
      <c r="AB29" s="68">
        <f>SUMIF($L$4:$AA$4,"SUBTOTAL",$L$29:$AA$29)</f>
        <v>-66.110850225293973</v>
      </c>
    </row>
    <row r="30" spans="1:28" ht="11.25" customHeight="1" x14ac:dyDescent="0.3">
      <c r="A30" s="143"/>
      <c r="B30" s="143"/>
      <c r="C30" s="143"/>
      <c r="D30" s="143"/>
      <c r="E30" s="143"/>
      <c r="F30" s="143"/>
      <c r="G30" s="71" t="s">
        <v>78</v>
      </c>
      <c r="H30" s="71" t="s">
        <v>76</v>
      </c>
      <c r="I30" s="71">
        <f>'MERCADO TE'!$U$27</f>
        <v>0</v>
      </c>
      <c r="J30" s="15"/>
      <c r="L30" s="68">
        <f>'TE BE'!$L$30*'TE BE'!$L$52</f>
        <v>-1.8029780823116748E-5</v>
      </c>
      <c r="M30" s="68">
        <f>'TE BE'!$M$30*'TE BE'!$M$52</f>
        <v>-6.7693775455836445</v>
      </c>
      <c r="N30" s="68">
        <f>'TE BE'!$N$30*'TE BE'!$N$52</f>
        <v>0</v>
      </c>
      <c r="O30" s="68">
        <f>'TE BE'!$O$30*'TE BE'!$O$52</f>
        <v>-0.54823604289407346</v>
      </c>
      <c r="P30" s="68">
        <f>'TE BE'!$P$30*'TE BE'!$P$52</f>
        <v>0</v>
      </c>
      <c r="Q30" s="68">
        <f>SUM($L$30:$P$30)</f>
        <v>-7.3176316182585408</v>
      </c>
      <c r="R30" s="68">
        <f>'TE BE'!$R$30*'TE BE'!$R$52</f>
        <v>-28.999585400408446</v>
      </c>
      <c r="S30" s="68">
        <f>SUM($R$30:$R$30)</f>
        <v>-28.999585400408446</v>
      </c>
      <c r="T30" s="68">
        <f>'TE BE'!$T$30*'TE BE'!$T$52</f>
        <v>-0.42733105334292093</v>
      </c>
      <c r="U30" s="68">
        <f>'TE BE'!$U$30*'TE BE'!$U$52</f>
        <v>-3.154913540486641E-2</v>
      </c>
      <c r="V30" s="68">
        <f>'TE BE'!$V$30*'TE BE'!$V$52</f>
        <v>0</v>
      </c>
      <c r="W30" s="68">
        <f>SUM($T$30:$V$30)</f>
        <v>-0.45888018874778735</v>
      </c>
      <c r="X30" s="68">
        <f>'TE BE'!$AB$30*'TE BE'!$X$52</f>
        <v>-29.03435113623609</v>
      </c>
      <c r="Y30" s="68">
        <f>SUM($X$30:$X$30)</f>
        <v>-29.03435113623609</v>
      </c>
      <c r="Z30" s="68">
        <f>'TE BE'!$Z$30*'TE BE'!$Z$52</f>
        <v>-0.30040188164310694</v>
      </c>
      <c r="AA30" s="68">
        <f>SUM($Z$30:$Z$30)</f>
        <v>-0.30040188164310694</v>
      </c>
      <c r="AB30" s="68">
        <f>SUMIF($L$4:$AA$4,"SUBTOTAL",$L$30:$AA$30)</f>
        <v>-66.110850225293973</v>
      </c>
    </row>
    <row r="31" spans="1:28" ht="11.25" customHeight="1" x14ac:dyDescent="0.3">
      <c r="A31" s="143"/>
      <c r="B31" s="70" t="s">
        <v>82</v>
      </c>
      <c r="C31" s="70" t="s">
        <v>43</v>
      </c>
      <c r="D31" s="70" t="s">
        <v>96</v>
      </c>
      <c r="E31" s="70" t="s">
        <v>25</v>
      </c>
      <c r="F31" s="70" t="s">
        <v>25</v>
      </c>
      <c r="G31" s="71" t="s">
        <v>81</v>
      </c>
      <c r="H31" s="71" t="s">
        <v>76</v>
      </c>
      <c r="I31" s="71">
        <f>'MERCADO TE'!$U$28</f>
        <v>0</v>
      </c>
      <c r="J31" s="15"/>
      <c r="L31" s="68">
        <f>'TE BE'!$L$31*'TE BE'!$L$52</f>
        <v>-1.8029780823116748E-5</v>
      </c>
      <c r="M31" s="68">
        <f>'TE BE'!$M$31*'TE BE'!$M$52</f>
        <v>-6.7693775455836445</v>
      </c>
      <c r="N31" s="68">
        <f>'TE BE'!$N$31*'TE BE'!$N$52</f>
        <v>0</v>
      </c>
      <c r="O31" s="68">
        <f>'TE BE'!$O$31*'TE BE'!$O$52</f>
        <v>-0.54823604289407346</v>
      </c>
      <c r="P31" s="68">
        <f>'TE BE'!$P$31*'TE BE'!$P$52</f>
        <v>0</v>
      </c>
      <c r="Q31" s="68">
        <f>SUM($L$31:$P$31)</f>
        <v>-7.3176316182585408</v>
      </c>
      <c r="R31" s="68">
        <f>'TE BE'!$R$31*'TE BE'!$R$52</f>
        <v>-30.739560524432953</v>
      </c>
      <c r="S31" s="68">
        <f>SUM($R$31:$R$31)</f>
        <v>-30.739560524432953</v>
      </c>
      <c r="T31" s="68">
        <f>'TE BE'!$T$31*'TE BE'!$T$52</f>
        <v>-0.42733105334292093</v>
      </c>
      <c r="U31" s="68">
        <f>'TE BE'!$U$31*'TE BE'!$U$52</f>
        <v>-3.154913540486641E-2</v>
      </c>
      <c r="V31" s="68">
        <f>'TE BE'!$V$31*'TE BE'!$V$52</f>
        <v>0</v>
      </c>
      <c r="W31" s="68">
        <f>SUM($T$31:$V$31)</f>
        <v>-0.45888018874778735</v>
      </c>
      <c r="X31" s="68">
        <f>'TE BE'!$AB$31*'TE BE'!$X$52</f>
        <v>-30.527386636715711</v>
      </c>
      <c r="Y31" s="68">
        <f>SUM($X$31:$X$31)</f>
        <v>-30.527386636715711</v>
      </c>
      <c r="Z31" s="68">
        <f>'TE BE'!$Z$31*'TE BE'!$Z$52</f>
        <v>-0.30040188164310694</v>
      </c>
      <c r="AA31" s="68">
        <f>SUM($Z$31:$Z$31)</f>
        <v>-0.30040188164310694</v>
      </c>
      <c r="AB31" s="68">
        <f>SUMIF($L$4:$AA$4,"SUBTOTAL",$L$31:$AA$31)</f>
        <v>-69.343860849798105</v>
      </c>
    </row>
    <row r="32" spans="1:28" ht="11.25" customHeight="1" x14ac:dyDescent="0.3">
      <c r="A32" s="143"/>
      <c r="B32" s="143" t="s">
        <v>75</v>
      </c>
      <c r="C32" s="143" t="s">
        <v>43</v>
      </c>
      <c r="D32" s="143" t="s">
        <v>97</v>
      </c>
      <c r="E32" s="143" t="s">
        <v>25</v>
      </c>
      <c r="F32" s="143" t="s">
        <v>25</v>
      </c>
      <c r="G32" s="71" t="s">
        <v>77</v>
      </c>
      <c r="H32" s="71" t="s">
        <v>76</v>
      </c>
      <c r="I32" s="71">
        <f>'MERCADO TE'!$U$29</f>
        <v>0</v>
      </c>
      <c r="J32" s="15"/>
      <c r="L32" s="68">
        <f>'TE BE'!$L$32*'TE BE'!$L$52</f>
        <v>-1.8029780823116748E-5</v>
      </c>
      <c r="M32" s="68">
        <f>'TE BE'!$M$32*'TE BE'!$M$52</f>
        <v>-6.7693775455836445</v>
      </c>
      <c r="N32" s="68">
        <f>'TE BE'!$N$32*'TE BE'!$N$52</f>
        <v>0</v>
      </c>
      <c r="O32" s="68">
        <f>'TE BE'!$O$32*'TE BE'!$O$52</f>
        <v>-0.54823604289407346</v>
      </c>
      <c r="P32" s="68">
        <f>'TE BE'!$P$32*'TE BE'!$P$52</f>
        <v>0</v>
      </c>
      <c r="Q32" s="68">
        <f>SUM($L$32:$P$32)</f>
        <v>-7.3176316182585408</v>
      </c>
      <c r="R32" s="68">
        <f>'TE BE'!$R$32*'TE BE'!$R$52</f>
        <v>-49.879286888702524</v>
      </c>
      <c r="S32" s="68">
        <f>SUM($R$32:$R$32)</f>
        <v>-49.879286888702524</v>
      </c>
      <c r="T32" s="68">
        <f>'TE BE'!$T$32*'TE BE'!$T$52</f>
        <v>-0.42733105334292093</v>
      </c>
      <c r="U32" s="68">
        <f>'TE BE'!$U$32*'TE BE'!$U$52</f>
        <v>-3.154913540486641E-2</v>
      </c>
      <c r="V32" s="68">
        <f>'TE BE'!$V$32*'TE BE'!$V$52</f>
        <v>0</v>
      </c>
      <c r="W32" s="68">
        <f>SUM($T$32:$V$32)</f>
        <v>-0.45888018874778735</v>
      </c>
      <c r="X32" s="68">
        <f>'TE BE'!$AB$32*'TE BE'!$X$52</f>
        <v>-46.950777141991558</v>
      </c>
      <c r="Y32" s="68">
        <f>SUM($X$32:$X$32)</f>
        <v>-46.950777141991558</v>
      </c>
      <c r="Z32" s="68">
        <f>'TE BE'!$Z$32*'TE BE'!$Z$52</f>
        <v>-0.30040188164310694</v>
      </c>
      <c r="AA32" s="68">
        <f>SUM($Z$32:$Z$32)</f>
        <v>-0.30040188164310694</v>
      </c>
      <c r="AB32" s="68">
        <f>SUMIF($L$4:$AA$4,"SUBTOTAL",$L$32:$AA$32)</f>
        <v>-104.90697771934352</v>
      </c>
    </row>
    <row r="33" spans="1:28" ht="11.25" customHeight="1" x14ac:dyDescent="0.3">
      <c r="A33" s="143"/>
      <c r="B33" s="143"/>
      <c r="C33" s="143"/>
      <c r="D33" s="143"/>
      <c r="E33" s="143"/>
      <c r="F33" s="143"/>
      <c r="G33" s="71" t="s">
        <v>93</v>
      </c>
      <c r="H33" s="71" t="s">
        <v>76</v>
      </c>
      <c r="I33" s="71">
        <f>'MERCADO TE'!$U$30</f>
        <v>0</v>
      </c>
      <c r="J33" s="15"/>
      <c r="L33" s="68">
        <f>'TE BE'!$L$33*'TE BE'!$L$52</f>
        <v>-1.8029780823116748E-5</v>
      </c>
      <c r="M33" s="68">
        <f>'TE BE'!$M$33*'TE BE'!$M$52</f>
        <v>-6.7693775455836445</v>
      </c>
      <c r="N33" s="68">
        <f>'TE BE'!$N$33*'TE BE'!$N$52</f>
        <v>0</v>
      </c>
      <c r="O33" s="68">
        <f>'TE BE'!$O$33*'TE BE'!$O$52</f>
        <v>-0.54823604289407346</v>
      </c>
      <c r="P33" s="68">
        <f>'TE BE'!$P$33*'TE BE'!$P$52</f>
        <v>0</v>
      </c>
      <c r="Q33" s="68">
        <f>SUM($L$33:$P$33)</f>
        <v>-7.3176316182585408</v>
      </c>
      <c r="R33" s="68">
        <f>'TE BE'!$R$33*'TE BE'!$R$52</f>
        <v>-28.999585400408446</v>
      </c>
      <c r="S33" s="68">
        <f>SUM($R$33:$R$33)</f>
        <v>-28.999585400408446</v>
      </c>
      <c r="T33" s="68">
        <f>'TE BE'!$T$33*'TE BE'!$T$52</f>
        <v>-0.42733105334292093</v>
      </c>
      <c r="U33" s="68">
        <f>'TE BE'!$U$33*'TE BE'!$U$52</f>
        <v>-3.154913540486641E-2</v>
      </c>
      <c r="V33" s="68">
        <f>'TE BE'!$V$33*'TE BE'!$V$52</f>
        <v>0</v>
      </c>
      <c r="W33" s="68">
        <f>SUM($T$33:$V$33)</f>
        <v>-0.45888018874778735</v>
      </c>
      <c r="X33" s="68">
        <f>'TE BE'!$AB$33*'TE BE'!$X$52</f>
        <v>-29.03435113623609</v>
      </c>
      <c r="Y33" s="68">
        <f>SUM($X$33:$X$33)</f>
        <v>-29.03435113623609</v>
      </c>
      <c r="Z33" s="68">
        <f>'TE BE'!$Z$33*'TE BE'!$Z$52</f>
        <v>-0.30040188164310694</v>
      </c>
      <c r="AA33" s="68">
        <f>SUM($Z$33:$Z$33)</f>
        <v>-0.30040188164310694</v>
      </c>
      <c r="AB33" s="68">
        <f>SUMIF($L$4:$AA$4,"SUBTOTAL",$L$33:$AA$33)</f>
        <v>-66.110850225293973</v>
      </c>
    </row>
    <row r="34" spans="1:28" ht="11.25" customHeight="1" x14ac:dyDescent="0.3">
      <c r="A34" s="143"/>
      <c r="B34" s="143"/>
      <c r="C34" s="143"/>
      <c r="D34" s="143"/>
      <c r="E34" s="143"/>
      <c r="F34" s="143"/>
      <c r="G34" s="71" t="s">
        <v>78</v>
      </c>
      <c r="H34" s="71" t="s">
        <v>76</v>
      </c>
      <c r="I34" s="71">
        <f>'MERCADO TE'!$U$31</f>
        <v>0</v>
      </c>
      <c r="J34" s="15"/>
      <c r="L34" s="68">
        <f>'TE BE'!$L$34*'TE BE'!$L$52</f>
        <v>-1.8029780823116748E-5</v>
      </c>
      <c r="M34" s="68">
        <f>'TE BE'!$M$34*'TE BE'!$M$52</f>
        <v>-6.7693775455836445</v>
      </c>
      <c r="N34" s="68">
        <f>'TE BE'!$N$34*'TE BE'!$N$52</f>
        <v>0</v>
      </c>
      <c r="O34" s="68">
        <f>'TE BE'!$O$34*'TE BE'!$O$52</f>
        <v>-0.54823604289407346</v>
      </c>
      <c r="P34" s="68">
        <f>'TE BE'!$P$34*'TE BE'!$P$52</f>
        <v>0</v>
      </c>
      <c r="Q34" s="68">
        <f>SUM($L$34:$P$34)</f>
        <v>-7.3176316182585408</v>
      </c>
      <c r="R34" s="68">
        <f>'TE BE'!$R$34*'TE BE'!$R$52</f>
        <v>-28.999585400408446</v>
      </c>
      <c r="S34" s="68">
        <f>SUM($R$34:$R$34)</f>
        <v>-28.999585400408446</v>
      </c>
      <c r="T34" s="68">
        <f>'TE BE'!$T$34*'TE BE'!$T$52</f>
        <v>-0.42733105334292093</v>
      </c>
      <c r="U34" s="68">
        <f>'TE BE'!$U$34*'TE BE'!$U$52</f>
        <v>-3.154913540486641E-2</v>
      </c>
      <c r="V34" s="68">
        <f>'TE BE'!$V$34*'TE BE'!$V$52</f>
        <v>0</v>
      </c>
      <c r="W34" s="68">
        <f>SUM($T$34:$V$34)</f>
        <v>-0.45888018874778735</v>
      </c>
      <c r="X34" s="68">
        <f>'TE BE'!$AB$34*'TE BE'!$X$52</f>
        <v>-29.03435113623609</v>
      </c>
      <c r="Y34" s="68">
        <f>SUM($X$34:$X$34)</f>
        <v>-29.03435113623609</v>
      </c>
      <c r="Z34" s="68">
        <f>'TE BE'!$Z$34*'TE BE'!$Z$52</f>
        <v>-0.30040188164310694</v>
      </c>
      <c r="AA34" s="68">
        <f>SUM($Z$34:$Z$34)</f>
        <v>-0.30040188164310694</v>
      </c>
      <c r="AB34" s="68">
        <f>SUMIF($L$4:$AA$4,"SUBTOTAL",$L$34:$AA$34)</f>
        <v>-66.110850225293973</v>
      </c>
    </row>
    <row r="35" spans="1:28" ht="11.25" customHeight="1" x14ac:dyDescent="0.3">
      <c r="A35" s="143"/>
      <c r="B35" s="70" t="s">
        <v>82</v>
      </c>
      <c r="C35" s="70" t="s">
        <v>43</v>
      </c>
      <c r="D35" s="70" t="s">
        <v>97</v>
      </c>
      <c r="E35" s="70" t="s">
        <v>25</v>
      </c>
      <c r="F35" s="70" t="s">
        <v>25</v>
      </c>
      <c r="G35" s="71" t="s">
        <v>81</v>
      </c>
      <c r="H35" s="71" t="s">
        <v>76</v>
      </c>
      <c r="I35" s="71">
        <f>'MERCADO TE'!$U$32</f>
        <v>0</v>
      </c>
      <c r="J35" s="15"/>
      <c r="L35" s="68">
        <f>'TE BE'!$L$35*'TE BE'!$L$52</f>
        <v>-1.8029780823116748E-5</v>
      </c>
      <c r="M35" s="68">
        <f>'TE BE'!$M$35*'TE BE'!$M$52</f>
        <v>-6.7693775455836445</v>
      </c>
      <c r="N35" s="68">
        <f>'TE BE'!$N$35*'TE BE'!$N$52</f>
        <v>0</v>
      </c>
      <c r="O35" s="68">
        <f>'TE BE'!$O$35*'TE BE'!$O$52</f>
        <v>-0.54823604289407346</v>
      </c>
      <c r="P35" s="68">
        <f>'TE BE'!$P$35*'TE BE'!$P$52</f>
        <v>0</v>
      </c>
      <c r="Q35" s="68">
        <f>SUM($L$35:$P$35)</f>
        <v>-7.3176316182585408</v>
      </c>
      <c r="R35" s="68">
        <f>'TE BE'!$R$35*'TE BE'!$R$52</f>
        <v>-30.739560524432953</v>
      </c>
      <c r="S35" s="68">
        <f>SUM($R$35:$R$35)</f>
        <v>-30.739560524432953</v>
      </c>
      <c r="T35" s="68">
        <f>'TE BE'!$T$35*'TE BE'!$T$52</f>
        <v>-0.42733105334292093</v>
      </c>
      <c r="U35" s="68">
        <f>'TE BE'!$U$35*'TE BE'!$U$52</f>
        <v>-3.154913540486641E-2</v>
      </c>
      <c r="V35" s="68">
        <f>'TE BE'!$V$35*'TE BE'!$V$52</f>
        <v>0</v>
      </c>
      <c r="W35" s="68">
        <f>SUM($T$35:$V$35)</f>
        <v>-0.45888018874778735</v>
      </c>
      <c r="X35" s="68">
        <f>'TE BE'!$AB$35*'TE BE'!$X$52</f>
        <v>-30.527386636715711</v>
      </c>
      <c r="Y35" s="68">
        <f>SUM($X$35:$X$35)</f>
        <v>-30.527386636715711</v>
      </c>
      <c r="Z35" s="68">
        <f>'TE BE'!$Z$35*'TE BE'!$Z$52</f>
        <v>-0.30040188164310694</v>
      </c>
      <c r="AA35" s="68">
        <f>SUM($Z$35:$Z$35)</f>
        <v>-0.30040188164310694</v>
      </c>
      <c r="AB35" s="68">
        <f>SUMIF($L$4:$AA$4,"SUBTOTAL",$L$35:$AA$35)</f>
        <v>-69.343860849798105</v>
      </c>
    </row>
    <row r="36" spans="1:28" ht="11.25" customHeight="1" x14ac:dyDescent="0.3">
      <c r="A36" s="143"/>
      <c r="B36" s="143" t="s">
        <v>94</v>
      </c>
      <c r="C36" s="143" t="s">
        <v>43</v>
      </c>
      <c r="D36" s="70" t="s">
        <v>25</v>
      </c>
      <c r="E36" s="70" t="s">
        <v>25</v>
      </c>
      <c r="F36" s="70" t="s">
        <v>25</v>
      </c>
      <c r="G36" s="71" t="s">
        <v>81</v>
      </c>
      <c r="H36" s="71" t="s">
        <v>76</v>
      </c>
      <c r="I36" s="71">
        <f>'MERCADO TE'!$U$33</f>
        <v>0</v>
      </c>
      <c r="J36" s="15"/>
      <c r="L36" s="68">
        <f>'TE BE'!$L$36*'TE BE'!$L$52</f>
        <v>-1.8029780823116748E-5</v>
      </c>
      <c r="M36" s="68">
        <f>'TE BE'!$M$36*'TE BE'!$M$52</f>
        <v>-6.7693775455836445</v>
      </c>
      <c r="N36" s="68">
        <f>'TE BE'!$N$36*'TE BE'!$N$52</f>
        <v>0</v>
      </c>
      <c r="O36" s="68">
        <f>'TE BE'!$O$36*'TE BE'!$O$52</f>
        <v>-0.54823604289407346</v>
      </c>
      <c r="P36" s="68">
        <f>'TE BE'!$P$36*'TE BE'!$P$52</f>
        <v>0</v>
      </c>
      <c r="Q36" s="68">
        <f>SUM($L$36:$P$36)</f>
        <v>-7.3176316182585408</v>
      </c>
      <c r="R36" s="68">
        <f>'TE BE'!$R$36*'TE BE'!$R$52</f>
        <v>-30.739560524432953</v>
      </c>
      <c r="S36" s="68">
        <f>SUM($R$36:$R$36)</f>
        <v>-30.739560524432953</v>
      </c>
      <c r="T36" s="68">
        <f>'TE BE'!$T$36*'TE BE'!$T$52</f>
        <v>-0.42733105334292093</v>
      </c>
      <c r="U36" s="68">
        <f>'TE BE'!$U$36*'TE BE'!$U$52</f>
        <v>-3.154913540486641E-2</v>
      </c>
      <c r="V36" s="68">
        <f>'TE BE'!$V$36*'TE BE'!$V$52</f>
        <v>0</v>
      </c>
      <c r="W36" s="68">
        <f>SUM($T$36:$V$36)</f>
        <v>-0.45888018874778735</v>
      </c>
      <c r="X36" s="68">
        <f>'TE BE'!$AB$36*'TE BE'!$X$52</f>
        <v>-30.527386636715711</v>
      </c>
      <c r="Y36" s="68">
        <f>SUM($X$36:$X$36)</f>
        <v>-30.527386636715711</v>
      </c>
      <c r="Z36" s="68">
        <f>'TE BE'!$Z$36*'TE BE'!$Z$52</f>
        <v>-0.30040188164310694</v>
      </c>
      <c r="AA36" s="68">
        <f>SUM($Z$36:$Z$36)</f>
        <v>-0.30040188164310694</v>
      </c>
      <c r="AB36" s="68">
        <f>SUMIF($L$4:$AA$4,"SUBTOTAL",$L$36:$AA$36)</f>
        <v>-69.343860849798105</v>
      </c>
    </row>
    <row r="37" spans="1:28" ht="11.25" customHeight="1" x14ac:dyDescent="0.3">
      <c r="A37" s="143"/>
      <c r="B37" s="143"/>
      <c r="C37" s="143"/>
      <c r="D37" s="70" t="s">
        <v>96</v>
      </c>
      <c r="E37" s="70" t="s">
        <v>25</v>
      </c>
      <c r="F37" s="70" t="s">
        <v>25</v>
      </c>
      <c r="G37" s="71" t="s">
        <v>81</v>
      </c>
      <c r="H37" s="71" t="s">
        <v>76</v>
      </c>
      <c r="I37" s="71">
        <f>'MERCADO TE'!$U$34</f>
        <v>0</v>
      </c>
      <c r="J37" s="15"/>
      <c r="L37" s="68">
        <f>'TE BE'!$L$37*'TE BE'!$L$52</f>
        <v>-1.8029780823116748E-5</v>
      </c>
      <c r="M37" s="68">
        <f>'TE BE'!$M$37*'TE BE'!$M$52</f>
        <v>-6.7693775455836445</v>
      </c>
      <c r="N37" s="68">
        <f>'TE BE'!$N$37*'TE BE'!$N$52</f>
        <v>0</v>
      </c>
      <c r="O37" s="68">
        <f>'TE BE'!$O$37*'TE BE'!$O$52</f>
        <v>-0.54823604289407346</v>
      </c>
      <c r="P37" s="68">
        <f>'TE BE'!$P$37*'TE BE'!$P$52</f>
        <v>0</v>
      </c>
      <c r="Q37" s="68">
        <f>SUM($L$37:$P$37)</f>
        <v>-7.3176316182585408</v>
      </c>
      <c r="R37" s="68">
        <f>'TE BE'!$R$37*'TE BE'!$R$52</f>
        <v>-30.739560524432953</v>
      </c>
      <c r="S37" s="68">
        <f>SUM($R$37:$R$37)</f>
        <v>-30.739560524432953</v>
      </c>
      <c r="T37" s="68">
        <f>'TE BE'!$T$37*'TE BE'!$T$52</f>
        <v>-0.42733105334292093</v>
      </c>
      <c r="U37" s="68">
        <f>'TE BE'!$U$37*'TE BE'!$U$52</f>
        <v>-3.154913540486641E-2</v>
      </c>
      <c r="V37" s="68">
        <f>'TE BE'!$V$37*'TE BE'!$V$52</f>
        <v>0</v>
      </c>
      <c r="W37" s="68">
        <f>SUM($T$37:$V$37)</f>
        <v>-0.45888018874778735</v>
      </c>
      <c r="X37" s="68">
        <f>'TE BE'!$AB$37*'TE BE'!$X$52</f>
        <v>-30.527386636715711</v>
      </c>
      <c r="Y37" s="68">
        <f>SUM($X$37:$X$37)</f>
        <v>-30.527386636715711</v>
      </c>
      <c r="Z37" s="68">
        <f>'TE BE'!$Z$37*'TE BE'!$Z$52</f>
        <v>-0.30040188164310694</v>
      </c>
      <c r="AA37" s="68">
        <f>SUM($Z$37:$Z$37)</f>
        <v>-0.30040188164310694</v>
      </c>
      <c r="AB37" s="68">
        <f>SUMIF($L$4:$AA$4,"SUBTOTAL",$L$37:$AA$37)</f>
        <v>-69.343860849798105</v>
      </c>
    </row>
    <row r="38" spans="1:28" ht="11.25" customHeight="1" x14ac:dyDescent="0.3">
      <c r="A38" s="143"/>
      <c r="B38" s="143"/>
      <c r="C38" s="143"/>
      <c r="D38" s="70" t="s">
        <v>97</v>
      </c>
      <c r="E38" s="70" t="s">
        <v>25</v>
      </c>
      <c r="F38" s="70" t="s">
        <v>25</v>
      </c>
      <c r="G38" s="71" t="s">
        <v>81</v>
      </c>
      <c r="H38" s="71" t="s">
        <v>76</v>
      </c>
      <c r="I38" s="71">
        <f>'MERCADO TE'!$U$35</f>
        <v>0</v>
      </c>
      <c r="J38" s="15"/>
      <c r="L38" s="68">
        <f>'TE BE'!$L$38*'TE BE'!$L$52</f>
        <v>-1.8029780823116748E-5</v>
      </c>
      <c r="M38" s="68">
        <f>'TE BE'!$M$38*'TE BE'!$M$52</f>
        <v>-6.7693775455836445</v>
      </c>
      <c r="N38" s="68">
        <f>'TE BE'!$N$38*'TE BE'!$N$52</f>
        <v>0</v>
      </c>
      <c r="O38" s="68">
        <f>'TE BE'!$O$38*'TE BE'!$O$52</f>
        <v>-0.54823604289407346</v>
      </c>
      <c r="P38" s="68">
        <f>'TE BE'!$P$38*'TE BE'!$P$52</f>
        <v>0</v>
      </c>
      <c r="Q38" s="68">
        <f>SUM($L$38:$P$38)</f>
        <v>-7.3176316182585408</v>
      </c>
      <c r="R38" s="68">
        <f>'TE BE'!$R$38*'TE BE'!$R$52</f>
        <v>-30.739560524432953</v>
      </c>
      <c r="S38" s="68">
        <f>SUM($R$38:$R$38)</f>
        <v>-30.739560524432953</v>
      </c>
      <c r="T38" s="68">
        <f>'TE BE'!$T$38*'TE BE'!$T$52</f>
        <v>-0.42733105334292093</v>
      </c>
      <c r="U38" s="68">
        <f>'TE BE'!$U$38*'TE BE'!$U$52</f>
        <v>-3.154913540486641E-2</v>
      </c>
      <c r="V38" s="68">
        <f>'TE BE'!$V$38*'TE BE'!$V$52</f>
        <v>0</v>
      </c>
      <c r="W38" s="68">
        <f>SUM($T$38:$V$38)</f>
        <v>-0.45888018874778735</v>
      </c>
      <c r="X38" s="68">
        <f>'TE BE'!$AB$38*'TE BE'!$X$52</f>
        <v>-30.527386636715711</v>
      </c>
      <c r="Y38" s="68">
        <f>SUM($X$38:$X$38)</f>
        <v>-30.527386636715711</v>
      </c>
      <c r="Z38" s="68">
        <f>'TE BE'!$Z$38*'TE BE'!$Z$52</f>
        <v>-0.30040188164310694</v>
      </c>
      <c r="AA38" s="68">
        <f>SUM($Z$38:$Z$38)</f>
        <v>-0.30040188164310694</v>
      </c>
      <c r="AB38" s="68">
        <f>SUMIF($L$4:$AA$4,"SUBTOTAL",$L$38:$AA$38)</f>
        <v>-69.343860849798105</v>
      </c>
    </row>
    <row r="39" spans="1:28" ht="11.25" customHeight="1" x14ac:dyDescent="0.3">
      <c r="A39" s="143" t="s">
        <v>37</v>
      </c>
      <c r="B39" s="143" t="s">
        <v>75</v>
      </c>
      <c r="C39" s="143" t="s">
        <v>25</v>
      </c>
      <c r="D39" s="143" t="s">
        <v>25</v>
      </c>
      <c r="E39" s="143" t="s">
        <v>25</v>
      </c>
      <c r="F39" s="143" t="s">
        <v>25</v>
      </c>
      <c r="G39" s="71" t="s">
        <v>77</v>
      </c>
      <c r="H39" s="71" t="s">
        <v>76</v>
      </c>
      <c r="I39" s="71">
        <f>'MERCADO TE'!$U$36</f>
        <v>9.1080000000000005</v>
      </c>
      <c r="J39" s="15"/>
      <c r="L39" s="68">
        <f>'TE BE'!$L$39*'TE BE'!$L$52</f>
        <v>-1.8029780823116748E-5</v>
      </c>
      <c r="M39" s="68">
        <f>'TE BE'!$M$39*'TE BE'!$M$52</f>
        <v>-6.7693775455836445</v>
      </c>
      <c r="N39" s="68">
        <f>'TE BE'!$N$39*'TE BE'!$N$52</f>
        <v>0</v>
      </c>
      <c r="O39" s="68">
        <f>'TE BE'!$O$39*'TE BE'!$O$52</f>
        <v>-0.54823604289407346</v>
      </c>
      <c r="P39" s="68">
        <f>'TE BE'!$P$39*'TE BE'!$P$52</f>
        <v>0</v>
      </c>
      <c r="Q39" s="68">
        <f>SUM($L$39:$P$39)</f>
        <v>-7.3176316182585408</v>
      </c>
      <c r="R39" s="68">
        <f>'TE BE'!$R$39*'TE BE'!$R$52</f>
        <v>-49.879286888702524</v>
      </c>
      <c r="S39" s="68">
        <f>SUM($R$39:$R$39)</f>
        <v>-49.879286888702524</v>
      </c>
      <c r="T39" s="68">
        <f>'TE BE'!$T$39*'TE BE'!$T$52</f>
        <v>-0.42733105334292093</v>
      </c>
      <c r="U39" s="68">
        <f>'TE BE'!$U$39*'TE BE'!$U$52</f>
        <v>-3.154913540486641E-2</v>
      </c>
      <c r="V39" s="68">
        <f>'TE BE'!$V$39*'TE BE'!$V$52</f>
        <v>0</v>
      </c>
      <c r="W39" s="68">
        <f>SUM($T$39:$V$39)</f>
        <v>-0.45888018874778735</v>
      </c>
      <c r="X39" s="68">
        <f>'TE BE'!$AB$39*'TE BE'!$X$52</f>
        <v>-46.950777141991558</v>
      </c>
      <c r="Y39" s="68">
        <f>SUM($X$39:$X$39)</f>
        <v>-46.950777141991558</v>
      </c>
      <c r="Z39" s="68">
        <f>'TE BE'!$Z$39*'TE BE'!$Z$52</f>
        <v>-0.30040188164310694</v>
      </c>
      <c r="AA39" s="68">
        <f>SUM($Z$39:$Z$39)</f>
        <v>-0.30040188164310694</v>
      </c>
      <c r="AB39" s="68">
        <f>SUMIF($L$4:$AA$4,"SUBTOTAL",$L$39:$AA$39)</f>
        <v>-104.90697771934352</v>
      </c>
    </row>
    <row r="40" spans="1:28" ht="11.25" customHeight="1" x14ac:dyDescent="0.3">
      <c r="A40" s="143"/>
      <c r="B40" s="143"/>
      <c r="C40" s="143"/>
      <c r="D40" s="143"/>
      <c r="E40" s="143"/>
      <c r="F40" s="143"/>
      <c r="G40" s="71" t="s">
        <v>93</v>
      </c>
      <c r="H40" s="71" t="s">
        <v>76</v>
      </c>
      <c r="I40" s="71">
        <f>'MERCADO TE'!$U$37</f>
        <v>0.627</v>
      </c>
      <c r="J40" s="15"/>
      <c r="L40" s="68">
        <f>'TE BE'!$L$40*'TE BE'!$L$52</f>
        <v>-1.8029780823116748E-5</v>
      </c>
      <c r="M40" s="68">
        <f>'TE BE'!$M$40*'TE BE'!$M$52</f>
        <v>-6.7693775455836445</v>
      </c>
      <c r="N40" s="68">
        <f>'TE BE'!$N$40*'TE BE'!$N$52</f>
        <v>0</v>
      </c>
      <c r="O40" s="68">
        <f>'TE BE'!$O$40*'TE BE'!$O$52</f>
        <v>-0.54823604289407346</v>
      </c>
      <c r="P40" s="68">
        <f>'TE BE'!$P$40*'TE BE'!$P$52</f>
        <v>0</v>
      </c>
      <c r="Q40" s="68">
        <f>SUM($L$40:$P$40)</f>
        <v>-7.3176316182585408</v>
      </c>
      <c r="R40" s="68">
        <f>'TE BE'!$R$40*'TE BE'!$R$52</f>
        <v>-28.999585400408446</v>
      </c>
      <c r="S40" s="68">
        <f>SUM($R$40:$R$40)</f>
        <v>-28.999585400408446</v>
      </c>
      <c r="T40" s="68">
        <f>'TE BE'!$T$40*'TE BE'!$T$52</f>
        <v>-0.42733105334292093</v>
      </c>
      <c r="U40" s="68">
        <f>'TE BE'!$U$40*'TE BE'!$U$52</f>
        <v>-3.154913540486641E-2</v>
      </c>
      <c r="V40" s="68">
        <f>'TE BE'!$V$40*'TE BE'!$V$52</f>
        <v>0</v>
      </c>
      <c r="W40" s="68">
        <f>SUM($T$40:$V$40)</f>
        <v>-0.45888018874778735</v>
      </c>
      <c r="X40" s="68">
        <f>'TE BE'!$AB$40*'TE BE'!$X$52</f>
        <v>-29.03435113623609</v>
      </c>
      <c r="Y40" s="68">
        <f>SUM($X$40:$X$40)</f>
        <v>-29.03435113623609</v>
      </c>
      <c r="Z40" s="68">
        <f>'TE BE'!$Z$40*'TE BE'!$Z$52</f>
        <v>-0.30040188164310694</v>
      </c>
      <c r="AA40" s="68">
        <f>SUM($Z$40:$Z$40)</f>
        <v>-0.30040188164310694</v>
      </c>
      <c r="AB40" s="68">
        <f>SUMIF($L$4:$AA$4,"SUBTOTAL",$L$40:$AA$40)</f>
        <v>-66.110850225293973</v>
      </c>
    </row>
    <row r="41" spans="1:28" ht="11.25" customHeight="1" x14ac:dyDescent="0.3">
      <c r="A41" s="143"/>
      <c r="B41" s="143"/>
      <c r="C41" s="143"/>
      <c r="D41" s="143"/>
      <c r="E41" s="143"/>
      <c r="F41" s="143"/>
      <c r="G41" s="71" t="s">
        <v>78</v>
      </c>
      <c r="H41" s="71" t="s">
        <v>76</v>
      </c>
      <c r="I41" s="71">
        <f>'MERCADO TE'!$U$38</f>
        <v>7.484</v>
      </c>
      <c r="J41" s="15"/>
      <c r="L41" s="68">
        <f>'TE BE'!$L$41*'TE BE'!$L$52</f>
        <v>-1.8029780823116748E-5</v>
      </c>
      <c r="M41" s="68">
        <f>'TE BE'!$M$41*'TE BE'!$M$52</f>
        <v>-6.7693775455836445</v>
      </c>
      <c r="N41" s="68">
        <f>'TE BE'!$N$41*'TE BE'!$N$52</f>
        <v>0</v>
      </c>
      <c r="O41" s="68">
        <f>'TE BE'!$O$41*'TE BE'!$O$52</f>
        <v>-0.54823604289407346</v>
      </c>
      <c r="P41" s="68">
        <f>'TE BE'!$P$41*'TE BE'!$P$52</f>
        <v>0</v>
      </c>
      <c r="Q41" s="68">
        <f>SUM($L$41:$P$41)</f>
        <v>-7.3176316182585408</v>
      </c>
      <c r="R41" s="68">
        <f>'TE BE'!$R$41*'TE BE'!$R$52</f>
        <v>-28.999585400408446</v>
      </c>
      <c r="S41" s="68">
        <f>SUM($R$41:$R$41)</f>
        <v>-28.999585400408446</v>
      </c>
      <c r="T41" s="68">
        <f>'TE BE'!$T$41*'TE BE'!$T$52</f>
        <v>-0.42733105334292093</v>
      </c>
      <c r="U41" s="68">
        <f>'TE BE'!$U$41*'TE BE'!$U$52</f>
        <v>-3.154913540486641E-2</v>
      </c>
      <c r="V41" s="68">
        <f>'TE BE'!$V$41*'TE BE'!$V$52</f>
        <v>0</v>
      </c>
      <c r="W41" s="68">
        <f>SUM($T$41:$V$41)</f>
        <v>-0.45888018874778735</v>
      </c>
      <c r="X41" s="68">
        <f>'TE BE'!$AB$41*'TE BE'!$X$52</f>
        <v>-29.03435113623609</v>
      </c>
      <c r="Y41" s="68">
        <f>SUM($X$41:$X$41)</f>
        <v>-29.03435113623609</v>
      </c>
      <c r="Z41" s="68">
        <f>'TE BE'!$Z$41*'TE BE'!$Z$52</f>
        <v>-0.30040188164310694</v>
      </c>
      <c r="AA41" s="68">
        <f>SUM($Z$41:$Z$41)</f>
        <v>-0.30040188164310694</v>
      </c>
      <c r="AB41" s="68">
        <f>SUMIF($L$4:$AA$4,"SUBTOTAL",$L$41:$AA$41)</f>
        <v>-66.110850225293973</v>
      </c>
    </row>
    <row r="42" spans="1:28" ht="11.25" customHeight="1" x14ac:dyDescent="0.3">
      <c r="A42" s="143"/>
      <c r="B42" s="70" t="s">
        <v>82</v>
      </c>
      <c r="C42" s="70" t="s">
        <v>25</v>
      </c>
      <c r="D42" s="70" t="s">
        <v>25</v>
      </c>
      <c r="E42" s="70" t="s">
        <v>25</v>
      </c>
      <c r="F42" s="70" t="s">
        <v>25</v>
      </c>
      <c r="G42" s="71" t="s">
        <v>81</v>
      </c>
      <c r="H42" s="71" t="s">
        <v>76</v>
      </c>
      <c r="I42" s="71">
        <f>'MERCADO TE'!$U$39</f>
        <v>11812.039999999999</v>
      </c>
      <c r="J42" s="15"/>
      <c r="L42" s="68">
        <f>'TE BE'!$L$42*'TE BE'!$L$52</f>
        <v>-1.8029780823116748E-5</v>
      </c>
      <c r="M42" s="68">
        <f>'TE BE'!$M$42*'TE BE'!$M$52</f>
        <v>-6.7693775455836445</v>
      </c>
      <c r="N42" s="68">
        <f>'TE BE'!$N$42*'TE BE'!$N$52</f>
        <v>0</v>
      </c>
      <c r="O42" s="68">
        <f>'TE BE'!$O$42*'TE BE'!$O$52</f>
        <v>-0.54823604289407346</v>
      </c>
      <c r="P42" s="68">
        <f>'TE BE'!$P$42*'TE BE'!$P$52</f>
        <v>0</v>
      </c>
      <c r="Q42" s="68">
        <f>SUM($L$42:$P$42)</f>
        <v>-7.3176316182585408</v>
      </c>
      <c r="R42" s="68">
        <f>'TE BE'!$R$42*'TE BE'!$R$52</f>
        <v>-30.739560524432953</v>
      </c>
      <c r="S42" s="68">
        <f>SUM($R$42:$R$42)</f>
        <v>-30.739560524432953</v>
      </c>
      <c r="T42" s="68">
        <f>'TE BE'!$T$42*'TE BE'!$T$52</f>
        <v>-0.42733105334292093</v>
      </c>
      <c r="U42" s="68">
        <f>'TE BE'!$U$42*'TE BE'!$U$52</f>
        <v>-3.154913540486641E-2</v>
      </c>
      <c r="V42" s="68">
        <f>'TE BE'!$V$42*'TE BE'!$V$52</f>
        <v>0</v>
      </c>
      <c r="W42" s="68">
        <f>SUM($T$42:$V$42)</f>
        <v>-0.45888018874778735</v>
      </c>
      <c r="X42" s="68">
        <f>'TE BE'!$AB$42*'TE BE'!$X$52</f>
        <v>-30.527386636715711</v>
      </c>
      <c r="Y42" s="68">
        <f>SUM($X$42:$X$42)</f>
        <v>-30.527386636715711</v>
      </c>
      <c r="Z42" s="68">
        <f>'TE BE'!$Z$42*'TE BE'!$Z$52</f>
        <v>-0.30040188164310694</v>
      </c>
      <c r="AA42" s="68">
        <f>SUM($Z$42:$Z$42)</f>
        <v>-0.30040188164310694</v>
      </c>
      <c r="AB42" s="68">
        <f>SUMIF($L$4:$AA$4,"SUBTOTAL",$L$42:$AA$42)</f>
        <v>-69.343860849798105</v>
      </c>
    </row>
    <row r="43" spans="1:28" ht="11.25" customHeight="1" x14ac:dyDescent="0.3">
      <c r="A43" s="143"/>
      <c r="B43" s="70" t="s">
        <v>94</v>
      </c>
      <c r="C43" s="70" t="s">
        <v>25</v>
      </c>
      <c r="D43" s="70" t="s">
        <v>25</v>
      </c>
      <c r="E43" s="70" t="s">
        <v>25</v>
      </c>
      <c r="F43" s="70" t="s">
        <v>25</v>
      </c>
      <c r="G43" s="71" t="s">
        <v>81</v>
      </c>
      <c r="H43" s="71" t="s">
        <v>76</v>
      </c>
      <c r="I43" s="71">
        <f>'MERCADO TE'!$U$40</f>
        <v>0</v>
      </c>
      <c r="J43" s="15"/>
      <c r="L43" s="68">
        <f>'TE BE'!$L$43*'TE BE'!$L$52</f>
        <v>-1.8029780823116748E-5</v>
      </c>
      <c r="M43" s="68">
        <f>'TE BE'!$M$43*'TE BE'!$M$52</f>
        <v>-6.7693775455836445</v>
      </c>
      <c r="N43" s="68">
        <f>'TE BE'!$N$43*'TE BE'!$N$52</f>
        <v>0</v>
      </c>
      <c r="O43" s="68">
        <f>'TE BE'!$O$43*'TE BE'!$O$52</f>
        <v>-0.54823604289407346</v>
      </c>
      <c r="P43" s="68">
        <f>'TE BE'!$P$43*'TE BE'!$P$52</f>
        <v>0</v>
      </c>
      <c r="Q43" s="68">
        <f>SUM($L$43:$P$43)</f>
        <v>-7.3176316182585408</v>
      </c>
      <c r="R43" s="68">
        <f>'TE BE'!$R$43*'TE BE'!$R$52</f>
        <v>-30.739560524432953</v>
      </c>
      <c r="S43" s="68">
        <f>SUM($R$43:$R$43)</f>
        <v>-30.739560524432953</v>
      </c>
      <c r="T43" s="68">
        <f>'TE BE'!$T$43*'TE BE'!$T$52</f>
        <v>-0.42733105334292093</v>
      </c>
      <c r="U43" s="68">
        <f>'TE BE'!$U$43*'TE BE'!$U$52</f>
        <v>-3.154913540486641E-2</v>
      </c>
      <c r="V43" s="68">
        <f>'TE BE'!$V$43*'TE BE'!$V$52</f>
        <v>0</v>
      </c>
      <c r="W43" s="68">
        <f>SUM($T$43:$V$43)</f>
        <v>-0.45888018874778735</v>
      </c>
      <c r="X43" s="68">
        <f>'TE BE'!$AB$43*'TE BE'!$X$52</f>
        <v>-30.527386636715711</v>
      </c>
      <c r="Y43" s="68">
        <f>SUM($X$43:$X$43)</f>
        <v>-30.527386636715711</v>
      </c>
      <c r="Z43" s="68">
        <f>'TE BE'!$Z$43*'TE BE'!$Z$52</f>
        <v>-0.30040188164310694</v>
      </c>
      <c r="AA43" s="68">
        <f>SUM($Z$43:$Z$43)</f>
        <v>-0.30040188164310694</v>
      </c>
      <c r="AB43" s="68">
        <f>SUMIF($L$4:$AA$4,"SUBTOTAL",$L$43:$AA$43)</f>
        <v>-69.343860849798105</v>
      </c>
    </row>
    <row r="44" spans="1:28" ht="11.25" customHeight="1" x14ac:dyDescent="0.3">
      <c r="A44" s="143" t="s">
        <v>45</v>
      </c>
      <c r="B44" s="143" t="s">
        <v>82</v>
      </c>
      <c r="C44" s="143" t="s">
        <v>46</v>
      </c>
      <c r="D44" s="70" t="s">
        <v>47</v>
      </c>
      <c r="E44" s="70" t="s">
        <v>25</v>
      </c>
      <c r="F44" s="70" t="s">
        <v>25</v>
      </c>
      <c r="G44" s="71" t="s">
        <v>81</v>
      </c>
      <c r="H44" s="71" t="s">
        <v>76</v>
      </c>
      <c r="I44" s="71">
        <f>'MERCADO TE'!$U$41</f>
        <v>4365.4290000000001</v>
      </c>
      <c r="J44" s="15"/>
      <c r="L44" s="68">
        <f>'TE BE'!$L$44*'TE BE'!$L$52</f>
        <v>-9.9163794527142123E-6</v>
      </c>
      <c r="M44" s="68">
        <f>'TE BE'!$M$44*'TE BE'!$M$52</f>
        <v>-3.7231576500710051</v>
      </c>
      <c r="N44" s="68">
        <f>'TE BE'!$N$44*'TE BE'!$N$52</f>
        <v>0</v>
      </c>
      <c r="O44" s="68">
        <f>'TE BE'!$O$44*'TE BE'!$O$52</f>
        <v>-0.30152982359174041</v>
      </c>
      <c r="P44" s="68">
        <f>'TE BE'!$P$44*'TE BE'!$P$52</f>
        <v>0</v>
      </c>
      <c r="Q44" s="68">
        <f>SUM($L$44:$P$44)</f>
        <v>-4.0246973900421983</v>
      </c>
      <c r="R44" s="68">
        <f>'TE BE'!$R$44*'TE BE'!$R$52</f>
        <v>-16.906758288438127</v>
      </c>
      <c r="S44" s="68">
        <f>SUM($R$44:$R$44)</f>
        <v>-16.906758288438127</v>
      </c>
      <c r="T44" s="68">
        <f>'TE BE'!$T$44*'TE BE'!$T$52</f>
        <v>-0.23503207933860654</v>
      </c>
      <c r="U44" s="68">
        <f>'TE BE'!$U$44*'TE BE'!$U$52</f>
        <v>-1.7352024472676527E-2</v>
      </c>
      <c r="V44" s="68">
        <f>'TE BE'!$V$44*'TE BE'!$V$52</f>
        <v>0</v>
      </c>
      <c r="W44" s="68">
        <f>SUM($T$44:$V$44)</f>
        <v>-0.25238410381128307</v>
      </c>
      <c r="X44" s="68">
        <f>'TE BE'!$AB$44*'TE BE'!$X$52</f>
        <v>-16.790062650193644</v>
      </c>
      <c r="Y44" s="68">
        <f>SUM($X$44:$X$44)</f>
        <v>-16.790062650193644</v>
      </c>
      <c r="Z44" s="68">
        <f>'TE BE'!$Z$44*'TE BE'!$Z$52</f>
        <v>-0.16522103490370882</v>
      </c>
      <c r="AA44" s="68">
        <f>SUM($Z$44:$Z$44)</f>
        <v>-0.16522103490370882</v>
      </c>
      <c r="AB44" s="68">
        <f>SUMIF($L$4:$AA$4,"SUBTOTAL",$L$44:$AA$44)</f>
        <v>-38.139123467388963</v>
      </c>
    </row>
    <row r="45" spans="1:28" ht="11.25" customHeight="1" x14ac:dyDescent="0.3">
      <c r="A45" s="143"/>
      <c r="B45" s="143"/>
      <c r="C45" s="143"/>
      <c r="D45" s="71" t="s">
        <v>98</v>
      </c>
      <c r="E45" s="71" t="s">
        <v>25</v>
      </c>
      <c r="F45" s="71" t="s">
        <v>25</v>
      </c>
      <c r="G45" s="71" t="s">
        <v>81</v>
      </c>
      <c r="H45" s="71" t="s">
        <v>76</v>
      </c>
      <c r="I45" s="71">
        <f>'MERCADO TE'!$U$42</f>
        <v>0</v>
      </c>
      <c r="J45" s="15"/>
      <c r="L45" s="68">
        <f>'TE BE'!$L$45*'TE BE'!$L$52</f>
        <v>-1.0817868493870049E-5</v>
      </c>
      <c r="M45" s="68">
        <f>'TE BE'!$M$45*'TE BE'!$M$52</f>
        <v>-4.061626527350187</v>
      </c>
      <c r="N45" s="68">
        <f>'TE BE'!$N$45*'TE BE'!$N$52</f>
        <v>0</v>
      </c>
      <c r="O45" s="68">
        <f>'TE BE'!$O$45*'TE BE'!$O$52</f>
        <v>-0.32894162573644409</v>
      </c>
      <c r="P45" s="68">
        <f>'TE BE'!$P$45*'TE BE'!$P$52</f>
        <v>0</v>
      </c>
      <c r="Q45" s="68">
        <f>SUM($L$45:$P$45)</f>
        <v>-4.3905789709551248</v>
      </c>
      <c r="R45" s="68">
        <f>'TE BE'!$R$45*'TE BE'!$R$52</f>
        <v>-18.44373631465977</v>
      </c>
      <c r="S45" s="68">
        <f>SUM($R$45:$R$45)</f>
        <v>-18.44373631465977</v>
      </c>
      <c r="T45" s="68">
        <f>'TE BE'!$T$45*'TE BE'!$T$52</f>
        <v>-0.25639863200575258</v>
      </c>
      <c r="U45" s="68">
        <f>'TE BE'!$U$45*'TE BE'!$U$52</f>
        <v>-1.8929481242919849E-2</v>
      </c>
      <c r="V45" s="68">
        <f>'TE BE'!$V$45*'TE BE'!$V$52</f>
        <v>0</v>
      </c>
      <c r="W45" s="68">
        <f>SUM($T$45:$V$45)</f>
        <v>-0.27532811324867246</v>
      </c>
      <c r="X45" s="68">
        <f>'TE BE'!$AB$45*'TE BE'!$X$52</f>
        <v>-18.316431982029428</v>
      </c>
      <c r="Y45" s="68">
        <f>SUM($X$45:$X$45)</f>
        <v>-18.316431982029428</v>
      </c>
      <c r="Z45" s="68">
        <f>'TE BE'!$Z$45*'TE BE'!$Z$52</f>
        <v>-0.18024112898586414</v>
      </c>
      <c r="AA45" s="68">
        <f>SUM($Z$45:$Z$45)</f>
        <v>-0.18024112898586414</v>
      </c>
      <c r="AB45" s="68">
        <f>SUMIF($L$4:$AA$4,"SUBTOTAL",$L$45:$AA$45)</f>
        <v>-41.606316509878859</v>
      </c>
    </row>
    <row r="47" spans="1:28" ht="11.25" customHeight="1" x14ac:dyDescent="0.3">
      <c r="K47" s="73" t="s">
        <v>716</v>
      </c>
      <c r="L47" s="68">
        <f t="shared" ref="L47:AB47" si="0">SUMPRODUCT($I$5:$I$45,L$5:L$45)</f>
        <v>-1.3138446416525909</v>
      </c>
      <c r="M47" s="68">
        <f t="shared" si="0"/>
        <v>-493289.9907571355</v>
      </c>
      <c r="N47" s="68">
        <f t="shared" si="0"/>
        <v>0</v>
      </c>
      <c r="O47" s="68">
        <f t="shared" si="0"/>
        <v>-39950.401748293858</v>
      </c>
      <c r="P47" s="68">
        <f t="shared" si="0"/>
        <v>0</v>
      </c>
      <c r="Q47" s="68">
        <f t="shared" si="0"/>
        <v>-533241.70635007112</v>
      </c>
      <c r="R47" s="68">
        <f t="shared" si="0"/>
        <v>-2229271.9091954995</v>
      </c>
      <c r="S47" s="68">
        <f t="shared" si="0"/>
        <v>-2229271.9091954995</v>
      </c>
      <c r="T47" s="68">
        <f t="shared" si="0"/>
        <v>-31139.957837230035</v>
      </c>
      <c r="U47" s="68">
        <f t="shared" si="0"/>
        <v>-2299.0108924291599</v>
      </c>
      <c r="V47" s="68">
        <f t="shared" si="0"/>
        <v>0</v>
      </c>
      <c r="W47" s="68">
        <f t="shared" si="0"/>
        <v>-33438.968729659195</v>
      </c>
      <c r="X47" s="68">
        <f t="shared" si="0"/>
        <v>-2049499.9443448738</v>
      </c>
      <c r="Y47" s="68">
        <f t="shared" si="0"/>
        <v>-2049499.9443448738</v>
      </c>
      <c r="Z47" s="68">
        <f t="shared" si="0"/>
        <v>-21890.526923827827</v>
      </c>
      <c r="AA47" s="68">
        <f t="shared" si="0"/>
        <v>-21890.526923827827</v>
      </c>
      <c r="AB47" s="68">
        <f t="shared" si="0"/>
        <v>-4867343.0555439321</v>
      </c>
    </row>
    <row r="48" spans="1:28" ht="11.25" customHeight="1" x14ac:dyDescent="0.3">
      <c r="K48" s="73" t="s">
        <v>652</v>
      </c>
      <c r="L48" s="68">
        <f>CUSTOS!$D$30</f>
        <v>167940.82504070833</v>
      </c>
      <c r="M48" s="68">
        <f>CUSTOS!$D$31</f>
        <v>1712489.293852424</v>
      </c>
      <c r="N48" s="68">
        <f>CUSTOS!$D$32</f>
        <v>0</v>
      </c>
      <c r="O48" s="68">
        <f>CUSTOS!$D$33</f>
        <v>790965.44408662</v>
      </c>
      <c r="P48" s="68">
        <f>CUSTOS!$D$34</f>
        <v>-1110000</v>
      </c>
      <c r="Q48" s="68">
        <f>CUSTOS!$D$35</f>
        <v>1561395.5629797522</v>
      </c>
      <c r="R48" s="68">
        <f>CUSTOS!$D$36</f>
        <v>14953142.10204223</v>
      </c>
      <c r="S48" s="68">
        <f>CUSTOS!$D$37</f>
        <v>14953142.10204223</v>
      </c>
      <c r="T48" s="68">
        <f>CUSTOS!$D$38</f>
        <v>385890.19522984239</v>
      </c>
      <c r="U48" s="68">
        <f>CUSTOS!$D$39</f>
        <v>270104.33764690749</v>
      </c>
      <c r="V48" s="68">
        <f>CUSTOS!$D$40</f>
        <v>0</v>
      </c>
      <c r="W48" s="68">
        <f>CUSTOS!$D$41</f>
        <v>655994.53287674987</v>
      </c>
      <c r="X48" s="68">
        <f>CUSTOS!$D$42</f>
        <v>0</v>
      </c>
      <c r="Y48" s="68">
        <f>CUSTOS!$D$43</f>
        <v>0</v>
      </c>
      <c r="Z48" s="68">
        <f>CUSTOS!$D$44</f>
        <v>146833.6627893484</v>
      </c>
      <c r="AA48" s="68">
        <f>CUSTOS!$D$45</f>
        <v>146833.6627893484</v>
      </c>
      <c r="AB48" s="68">
        <f>CUSTOS!$D$46</f>
        <v>17317365.860688079</v>
      </c>
    </row>
    <row r="49" spans="11:28" ht="11.25" customHeight="1" x14ac:dyDescent="0.3">
      <c r="K49" s="73" t="s">
        <v>653</v>
      </c>
      <c r="L49" s="68">
        <f>CUSTOS!$E$30</f>
        <v>-1.3138446416525909</v>
      </c>
      <c r="M49" s="68">
        <f>CUSTOS!$E$31</f>
        <v>-493289.99075713538</v>
      </c>
      <c r="N49" s="68">
        <f>CUSTOS!$E$32</f>
        <v>0</v>
      </c>
      <c r="O49" s="68">
        <f>CUSTOS!$E$33</f>
        <v>-39950.401748293851</v>
      </c>
      <c r="P49" s="68">
        <f>CUSTOS!$E$34</f>
        <v>0</v>
      </c>
      <c r="Q49" s="68">
        <f>CUSTOS!$E$35</f>
        <v>-533241.70635007089</v>
      </c>
      <c r="R49" s="68">
        <f>CUSTOS!$E$36</f>
        <v>-2229271.9091954995</v>
      </c>
      <c r="S49" s="68">
        <f>CUSTOS!$E$37</f>
        <v>-2229271.9091954995</v>
      </c>
      <c r="T49" s="68">
        <f>CUSTOS!$E$38</f>
        <v>-31139.957837230031</v>
      </c>
      <c r="U49" s="68">
        <f>CUSTOS!$E$39</f>
        <v>-2299.010892429159</v>
      </c>
      <c r="V49" s="68">
        <f>CUSTOS!$E$40</f>
        <v>0</v>
      </c>
      <c r="W49" s="68">
        <f>CUSTOS!$E$41</f>
        <v>-33438.968729659187</v>
      </c>
      <c r="X49" s="68">
        <f>CUSTOS!$E$42</f>
        <v>-2049499.9443448738</v>
      </c>
      <c r="Y49" s="68">
        <f>CUSTOS!$E$43</f>
        <v>-2049499.9443448738</v>
      </c>
      <c r="Z49" s="68">
        <f>CUSTOS!$E$44</f>
        <v>-21890.526923827827</v>
      </c>
      <c r="AA49" s="68">
        <f>CUSTOS!$E$45</f>
        <v>-21890.526923827827</v>
      </c>
      <c r="AB49" s="68">
        <f>CUSTOS!$E$46</f>
        <v>-4867343.0555439312</v>
      </c>
    </row>
    <row r="50" spans="11:28" ht="11.25" customHeight="1" x14ac:dyDescent="0.3">
      <c r="K50" s="73" t="s">
        <v>654</v>
      </c>
      <c r="L50" s="68">
        <f>CUSTOS!$F$30</f>
        <v>0</v>
      </c>
      <c r="M50" s="68">
        <f>CUSTOS!$F$31</f>
        <v>913870.79390000005</v>
      </c>
      <c r="N50" s="68">
        <f>CUSTOS!$F$32</f>
        <v>0</v>
      </c>
      <c r="O50" s="68">
        <f>CUSTOS!$F$33</f>
        <v>51876.921013676954</v>
      </c>
      <c r="P50" s="68">
        <f>CUSTOS!$F$34</f>
        <v>0</v>
      </c>
      <c r="Q50" s="68">
        <f>CUSTOS!$F$35</f>
        <v>965747.71491367696</v>
      </c>
      <c r="R50" s="68">
        <f>CUSTOS!$F$36</f>
        <v>1522229.0061600239</v>
      </c>
      <c r="S50" s="68">
        <f>CUSTOS!$F$37</f>
        <v>1522229.0061600239</v>
      </c>
      <c r="T50" s="68">
        <f>CUSTOS!$F$38</f>
        <v>115104.2267</v>
      </c>
      <c r="U50" s="68">
        <f>CUSTOS!$F$39</f>
        <v>14988.964900000001</v>
      </c>
      <c r="V50" s="68">
        <f>CUSTOS!$F$40</f>
        <v>0</v>
      </c>
      <c r="W50" s="68">
        <f>CUSTOS!$F$41</f>
        <v>130093.19160000001</v>
      </c>
      <c r="X50" s="68">
        <f>CUSTOS!$F$42</f>
        <v>0</v>
      </c>
      <c r="Y50" s="68">
        <f>CUSTOS!$F$43</f>
        <v>0</v>
      </c>
      <c r="Z50" s="68">
        <f>CUSTOS!$F$44</f>
        <v>14947.65842880202</v>
      </c>
      <c r="AA50" s="68">
        <f>CUSTOS!$F$45</f>
        <v>14947.65842880202</v>
      </c>
      <c r="AB50" s="68">
        <f>CUSTOS!$F$46</f>
        <v>2633017.5711025032</v>
      </c>
    </row>
    <row r="51" spans="11:28" ht="11.25" customHeight="1" x14ac:dyDescent="0.3">
      <c r="K51" s="73" t="s">
        <v>717</v>
      </c>
      <c r="L51" s="68">
        <f>'TR TE'!$L$51*L52</f>
        <v>0</v>
      </c>
      <c r="M51" s="68">
        <f>'TR TE'!$M$51*M52</f>
        <v>12.540972952433405</v>
      </c>
      <c r="N51" s="68">
        <f>'TR TE'!$N$51*N52</f>
        <v>0</v>
      </c>
      <c r="O51" s="68">
        <f>'TR TE'!$O$51*O52</f>
        <v>0.71190267555397657</v>
      </c>
      <c r="P51" s="68">
        <f>'TR TE'!$P$51*P52</f>
        <v>0</v>
      </c>
      <c r="Q51" s="68"/>
      <c r="R51" s="68">
        <f>'TR TE'!$R$51*R52</f>
        <v>20.739014381850147</v>
      </c>
      <c r="S51" s="68"/>
      <c r="T51" s="68">
        <f>'TR TE'!$T$51*T52</f>
        <v>1.5795657366345588</v>
      </c>
      <c r="U51" s="68">
        <f>'TR TE'!$U$51*U52</f>
        <v>0.20569231958237072</v>
      </c>
      <c r="V51" s="68">
        <f>'TR TE'!$V$51*V52</f>
        <v>0</v>
      </c>
      <c r="W51" s="68"/>
      <c r="X51" s="68"/>
      <c r="Y51" s="68"/>
      <c r="Z51" s="68">
        <f>'TR TE'!$Z$51*Z52</f>
        <v>0.20512547431112221</v>
      </c>
      <c r="AA51" s="68"/>
      <c r="AB51" s="68"/>
    </row>
    <row r="52" spans="11:28" ht="11.25" customHeight="1" x14ac:dyDescent="0.3">
      <c r="K52" s="73" t="s">
        <v>712</v>
      </c>
      <c r="L52" s="68">
        <f>IF(L48&lt;&gt;0,L50/L48,0)</f>
        <v>0</v>
      </c>
      <c r="M52" s="68">
        <f>IF(M48&lt;&gt;0,M50/M48,0)</f>
        <v>0.53365051517732531</v>
      </c>
      <c r="N52" s="68">
        <f>IF(N48&lt;&gt;0,N50/N48,0)</f>
        <v>0</v>
      </c>
      <c r="O52" s="68">
        <f>IF(O48&lt;&gt;0,O50/O48,0)</f>
        <v>6.5586836190527464E-2</v>
      </c>
      <c r="P52" s="68">
        <f>IF(P48&lt;&gt;0,P50/P48,0)</f>
        <v>0</v>
      </c>
      <c r="Q52" s="68"/>
      <c r="R52" s="68">
        <f>IF(R48&lt;&gt;0,R50/R48,0)</f>
        <v>0.10179994249851508</v>
      </c>
      <c r="S52" s="68"/>
      <c r="T52" s="68">
        <f>IF(T48&lt;&gt;0,T50/T48,0)</f>
        <v>0.29828233036976248</v>
      </c>
      <c r="U52" s="68">
        <f>IF(U48&lt;&gt;0,U50/U48,0)</f>
        <v>5.5493240244050612E-2</v>
      </c>
      <c r="V52" s="68">
        <f>IF(V48&lt;&gt;0,V50/V48,0)</f>
        <v>0</v>
      </c>
      <c r="W52" s="68"/>
      <c r="X52" s="68">
        <f>IF($AB48&lt;&gt;0,X50/($AB48-SUM('TR TE'!$L51:'TR TE'!$AA51)*0),0)</f>
        <v>0</v>
      </c>
      <c r="Y52" s="68"/>
      <c r="Z52" s="68">
        <f>IF(Z48&lt;&gt;0,Z50/Z48,0)</f>
        <v>0.10179994249851508</v>
      </c>
      <c r="AA52" s="68"/>
      <c r="AB52" s="68"/>
    </row>
    <row r="53" spans="11:28" ht="11.25" customHeight="1" x14ac:dyDescent="0.3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10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11:F13"/>
    <mergeCell ref="B14:B18"/>
    <mergeCell ref="C14:C18"/>
    <mergeCell ref="B19:B23"/>
    <mergeCell ref="C19:C23"/>
    <mergeCell ref="A11:A23"/>
    <mergeCell ref="B11:B13"/>
    <mergeCell ref="C11:C13"/>
    <mergeCell ref="D11:D13"/>
    <mergeCell ref="E11:E13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E39:E41"/>
    <mergeCell ref="F39:F41"/>
    <mergeCell ref="A44:A45"/>
    <mergeCell ref="B44:B45"/>
    <mergeCell ref="C44:C45"/>
    <mergeCell ref="D39:D41"/>
  </mergeCells>
  <conditionalFormatting sqref="L47">
    <cfRule type="cellIs" dxfId="3675" priority="33" operator="notEqual">
      <formula>$L$49</formula>
    </cfRule>
    <cfRule type="cellIs" dxfId="3674" priority="34" operator="equal">
      <formula>$L$49</formula>
    </cfRule>
  </conditionalFormatting>
  <conditionalFormatting sqref="M47">
    <cfRule type="cellIs" dxfId="3673" priority="31" operator="notEqual">
      <formula>$M$49</formula>
    </cfRule>
    <cfRule type="cellIs" dxfId="3672" priority="32" operator="equal">
      <formula>$M$49</formula>
    </cfRule>
  </conditionalFormatting>
  <conditionalFormatting sqref="N47">
    <cfRule type="cellIs" dxfId="3671" priority="29" operator="notEqual">
      <formula>$N$49</formula>
    </cfRule>
    <cfRule type="cellIs" dxfId="3670" priority="30" operator="equal">
      <formula>$N$49</formula>
    </cfRule>
  </conditionalFormatting>
  <conditionalFormatting sqref="O47">
    <cfRule type="cellIs" dxfId="3669" priority="27" operator="notEqual">
      <formula>$O$49</formula>
    </cfRule>
    <cfRule type="cellIs" dxfId="3668" priority="28" operator="equal">
      <formula>$O$49</formula>
    </cfRule>
  </conditionalFormatting>
  <conditionalFormatting sqref="P47">
    <cfRule type="cellIs" dxfId="3667" priority="25" operator="notEqual">
      <formula>$P$49</formula>
    </cfRule>
    <cfRule type="cellIs" dxfId="3666" priority="26" operator="equal">
      <formula>$P$49</formula>
    </cfRule>
  </conditionalFormatting>
  <conditionalFormatting sqref="Q47">
    <cfRule type="cellIs" dxfId="3665" priority="23" operator="notEqual">
      <formula>$Q$49</formula>
    </cfRule>
    <cfRule type="cellIs" dxfId="3664" priority="24" operator="equal">
      <formula>$Q$49</formula>
    </cfRule>
  </conditionalFormatting>
  <conditionalFormatting sqref="R47">
    <cfRule type="cellIs" dxfId="3663" priority="21" operator="notEqual">
      <formula>$R$49</formula>
    </cfRule>
    <cfRule type="cellIs" dxfId="3662" priority="22" operator="equal">
      <formula>$R$49</formula>
    </cfRule>
  </conditionalFormatting>
  <conditionalFormatting sqref="S47">
    <cfRule type="cellIs" dxfId="3661" priority="19" operator="notEqual">
      <formula>$S$49</formula>
    </cfRule>
    <cfRule type="cellIs" dxfId="3660" priority="20" operator="equal">
      <formula>$S$49</formula>
    </cfRule>
  </conditionalFormatting>
  <conditionalFormatting sqref="T47">
    <cfRule type="cellIs" dxfId="3659" priority="17" operator="notEqual">
      <formula>$T$49</formula>
    </cfRule>
    <cfRule type="cellIs" dxfId="3658" priority="18" operator="equal">
      <formula>$T$49</formula>
    </cfRule>
  </conditionalFormatting>
  <conditionalFormatting sqref="U47">
    <cfRule type="cellIs" dxfId="3657" priority="15" operator="notEqual">
      <formula>$U$49</formula>
    </cfRule>
    <cfRule type="cellIs" dxfId="3656" priority="16" operator="equal">
      <formula>$U$49</formula>
    </cfRule>
  </conditionalFormatting>
  <conditionalFormatting sqref="V47">
    <cfRule type="cellIs" dxfId="3655" priority="13" operator="notEqual">
      <formula>$V$49</formula>
    </cfRule>
    <cfRule type="cellIs" dxfId="3654" priority="14" operator="equal">
      <formula>$V$49</formula>
    </cfRule>
  </conditionalFormatting>
  <conditionalFormatting sqref="W47">
    <cfRule type="cellIs" dxfId="3653" priority="11" operator="notEqual">
      <formula>$W$49</formula>
    </cfRule>
    <cfRule type="cellIs" dxfId="3652" priority="12" operator="equal">
      <formula>$W$49</formula>
    </cfRule>
  </conditionalFormatting>
  <conditionalFormatting sqref="X47">
    <cfRule type="cellIs" dxfId="3651" priority="9" operator="notEqual">
      <formula>$X$49</formula>
    </cfRule>
    <cfRule type="cellIs" dxfId="3650" priority="10" operator="equal">
      <formula>$X$49</formula>
    </cfRule>
  </conditionalFormatting>
  <conditionalFormatting sqref="Y47">
    <cfRule type="cellIs" dxfId="3649" priority="7" operator="notEqual">
      <formula>$Y$49</formula>
    </cfRule>
    <cfRule type="cellIs" dxfId="3648" priority="8" operator="equal">
      <formula>$Y$49</formula>
    </cfRule>
  </conditionalFormatting>
  <conditionalFormatting sqref="Z47">
    <cfRule type="cellIs" dxfId="3647" priority="5" operator="notEqual">
      <formula>$Z$49</formula>
    </cfRule>
    <cfRule type="cellIs" dxfId="3646" priority="6" operator="equal">
      <formula>$Z$49</formula>
    </cfRule>
  </conditionalFormatting>
  <conditionalFormatting sqref="AA47">
    <cfRule type="cellIs" dxfId="3645" priority="3" operator="notEqual">
      <formula>$AA$49</formula>
    </cfRule>
    <cfRule type="cellIs" dxfId="3644" priority="4" operator="equal">
      <formula>$AA$49</formula>
    </cfRule>
  </conditionalFormatting>
  <conditionalFormatting sqref="AB47">
    <cfRule type="cellIs" dxfId="3643" priority="1" operator="notEqual">
      <formula>$AB$49</formula>
    </cfRule>
    <cfRule type="cellIs" dxfId="3642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C14AD-3AE5-4685-83EC-A7FE48FCE78C}">
  <sheetPr codeName="Planilha15"/>
  <dimension ref="A1:AB53"/>
  <sheetViews>
    <sheetView showGridLines="0" topLeftCell="R29" workbookViewId="0">
      <selection activeCell="AB47" sqref="AB47"/>
    </sheetView>
  </sheetViews>
  <sheetFormatPr defaultColWidth="9.1093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9.109375" style="9"/>
    <col min="11" max="11" width="14.33203125" style="9" bestFit="1" customWidth="1"/>
    <col min="12" max="12" width="8.6640625" style="9" bestFit="1" customWidth="1"/>
    <col min="13" max="13" width="10" style="9" bestFit="1" customWidth="1"/>
    <col min="14" max="14" width="7.88671875" style="9" bestFit="1" customWidth="1"/>
    <col min="15" max="15" width="11.109375" style="9" bestFit="1" customWidth="1"/>
    <col min="16" max="16" width="10.5546875" style="9" bestFit="1" customWidth="1"/>
    <col min="17" max="17" width="10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7.88671875" style="9" bestFit="1" customWidth="1"/>
    <col min="23" max="23" width="9.33203125" style="9" bestFit="1" customWidth="1"/>
    <col min="24" max="25" width="10.554687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9.109375" style="9"/>
  </cols>
  <sheetData>
    <row r="1" spans="1:28" ht="11.25" customHeight="1" x14ac:dyDescent="0.3">
      <c r="A1" s="142" t="s">
        <v>66</v>
      </c>
      <c r="B1" s="142" t="s">
        <v>67</v>
      </c>
      <c r="C1" s="142" t="s">
        <v>68</v>
      </c>
      <c r="D1" s="142" t="s">
        <v>69</v>
      </c>
      <c r="E1" s="142" t="s">
        <v>70</v>
      </c>
      <c r="F1" s="142" t="s">
        <v>15</v>
      </c>
      <c r="G1" s="142" t="s">
        <v>72</v>
      </c>
      <c r="H1" s="142" t="s">
        <v>73</v>
      </c>
      <c r="I1" s="142" t="s">
        <v>700</v>
      </c>
      <c r="J1" s="125"/>
      <c r="L1" s="140" t="s">
        <v>722</v>
      </c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</row>
    <row r="2" spans="1:28" ht="11.25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25"/>
      <c r="L2" s="140" t="s">
        <v>638</v>
      </c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</row>
    <row r="3" spans="1:28" ht="11.25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25"/>
      <c r="L3" s="140" t="s">
        <v>611</v>
      </c>
      <c r="M3" s="140"/>
      <c r="N3" s="140"/>
      <c r="O3" s="140"/>
      <c r="P3" s="140"/>
      <c r="Q3" s="140"/>
      <c r="R3" s="140" t="s">
        <v>642</v>
      </c>
      <c r="S3" s="140"/>
      <c r="T3" s="140" t="s">
        <v>620</v>
      </c>
      <c r="U3" s="140"/>
      <c r="V3" s="140"/>
      <c r="W3" s="140"/>
      <c r="X3" s="140" t="s">
        <v>630</v>
      </c>
      <c r="Y3" s="140"/>
      <c r="Z3" s="140" t="s">
        <v>633</v>
      </c>
      <c r="AA3" s="140"/>
      <c r="AB3" s="140" t="s">
        <v>619</v>
      </c>
    </row>
    <row r="4" spans="1:28" ht="11.25" customHeight="1" x14ac:dyDescent="0.3">
      <c r="A4" s="142"/>
      <c r="B4" s="142"/>
      <c r="C4" s="142"/>
      <c r="D4" s="142"/>
      <c r="E4" s="142"/>
      <c r="F4" s="142"/>
      <c r="G4" s="142"/>
      <c r="H4" s="142"/>
      <c r="I4" s="142"/>
      <c r="J4" s="125"/>
      <c r="L4" s="72" t="s">
        <v>613</v>
      </c>
      <c r="M4" s="72" t="s">
        <v>639</v>
      </c>
      <c r="N4" s="72" t="s">
        <v>640</v>
      </c>
      <c r="O4" s="72" t="s">
        <v>699</v>
      </c>
      <c r="P4" s="72" t="s">
        <v>641</v>
      </c>
      <c r="Q4" s="72" t="s">
        <v>619</v>
      </c>
      <c r="R4" s="72" t="s">
        <v>643</v>
      </c>
      <c r="S4" s="72" t="s">
        <v>619</v>
      </c>
      <c r="T4" s="72" t="s">
        <v>644</v>
      </c>
      <c r="U4" s="72" t="s">
        <v>645</v>
      </c>
      <c r="V4" s="72" t="s">
        <v>646</v>
      </c>
      <c r="W4" s="72" t="s">
        <v>619</v>
      </c>
      <c r="X4" s="72" t="s">
        <v>631</v>
      </c>
      <c r="Y4" s="72" t="s">
        <v>619</v>
      </c>
      <c r="Z4" s="72" t="s">
        <v>647</v>
      </c>
      <c r="AA4" s="72" t="s">
        <v>619</v>
      </c>
      <c r="AB4" s="141"/>
    </row>
    <row r="5" spans="1:28" ht="11.25" customHeight="1" x14ac:dyDescent="0.3">
      <c r="A5" s="143" t="s">
        <v>39</v>
      </c>
      <c r="B5" s="143" t="s">
        <v>75</v>
      </c>
      <c r="C5" s="143" t="s">
        <v>25</v>
      </c>
      <c r="D5" s="143" t="s">
        <v>25</v>
      </c>
      <c r="E5" s="143" t="s">
        <v>25</v>
      </c>
      <c r="F5" s="143" t="s">
        <v>25</v>
      </c>
      <c r="G5" s="71" t="s">
        <v>77</v>
      </c>
      <c r="H5" s="71" t="s">
        <v>76</v>
      </c>
      <c r="I5" s="71">
        <f>'MERCADO TE'!$U$2</f>
        <v>529.99099999999999</v>
      </c>
      <c r="J5" s="15"/>
      <c r="L5" s="68">
        <f>'TE BE'!$L$5*'TE BF'!$L$52</f>
        <v>0</v>
      </c>
      <c r="M5" s="68">
        <f>'TE BE'!$M$5*'TE BF'!$M$52</f>
        <v>12.540972952433405</v>
      </c>
      <c r="N5" s="68">
        <f>'TE BE'!$N$5*'TE BF'!$N$52</f>
        <v>0</v>
      </c>
      <c r="O5" s="68">
        <f>'TE BE'!$O$5*'TE BF'!$O$52</f>
        <v>0.71190267555397668</v>
      </c>
      <c r="P5" s="68">
        <f>'TE BE'!$P$5*'TE BF'!$P$52</f>
        <v>0</v>
      </c>
      <c r="Q5" s="68">
        <f>SUM($L$5:$P$5)</f>
        <v>13.252875627987383</v>
      </c>
      <c r="R5" s="68">
        <f>'TE BE'!$R$5*'TE BF'!$R$52</f>
        <v>34.059415092150502</v>
      </c>
      <c r="S5" s="68">
        <f>SUM($R$5:$R$5)</f>
        <v>34.059415092150502</v>
      </c>
      <c r="T5" s="68">
        <f>'TE BE'!$T$5*'TE BF'!$T$52</f>
        <v>1.5795657366345588</v>
      </c>
      <c r="U5" s="68">
        <f>'TE BE'!$U$5*'TE BF'!$U$52</f>
        <v>0.20569231958237075</v>
      </c>
      <c r="V5" s="68">
        <f>'TE BE'!$V$5*'TE BF'!$V$52</f>
        <v>0</v>
      </c>
      <c r="W5" s="68">
        <f>SUM($T$5:$V$5)</f>
        <v>1.7852580562169296</v>
      </c>
      <c r="X5" s="68">
        <f>'TE BE'!$AB$5*'TE BF'!$X$52</f>
        <v>0</v>
      </c>
      <c r="Y5" s="68">
        <f>SUM($X$5:$X$5)</f>
        <v>0</v>
      </c>
      <c r="Z5" s="68">
        <f>'TE BE'!$Z$5*'TE BF'!$Z$52</f>
        <v>0.20512547431112221</v>
      </c>
      <c r="AA5" s="68">
        <f>SUM($Z$5:$Z$5)</f>
        <v>0.20512547431112221</v>
      </c>
      <c r="AB5" s="68">
        <f>SUMIF($L$4:$AA$4,"SUBTOTAL",$L$5:$AA$5)</f>
        <v>49.302674250665937</v>
      </c>
    </row>
    <row r="6" spans="1:28" ht="11.25" customHeight="1" x14ac:dyDescent="0.3">
      <c r="A6" s="143"/>
      <c r="B6" s="143"/>
      <c r="C6" s="143"/>
      <c r="D6" s="143"/>
      <c r="E6" s="143"/>
      <c r="F6" s="143"/>
      <c r="G6" s="71" t="s">
        <v>78</v>
      </c>
      <c r="H6" s="71" t="s">
        <v>76</v>
      </c>
      <c r="I6" s="71">
        <f>'MERCADO TE'!$U$3</f>
        <v>10939.779999999999</v>
      </c>
      <c r="J6" s="15"/>
      <c r="L6" s="68">
        <f>'TE BE'!$L$6*'TE BF'!$L$52</f>
        <v>0</v>
      </c>
      <c r="M6" s="68">
        <f>'TE BE'!$M$6*'TE BF'!$M$52</f>
        <v>12.540972952433405</v>
      </c>
      <c r="N6" s="68">
        <f>'TE BE'!$N$6*'TE BF'!$N$52</f>
        <v>0</v>
      </c>
      <c r="O6" s="68">
        <f>'TE BE'!$O$6*'TE BF'!$O$52</f>
        <v>0.71190267555397668</v>
      </c>
      <c r="P6" s="68">
        <f>'TE BE'!$P$6*'TE BF'!$P$52</f>
        <v>0</v>
      </c>
      <c r="Q6" s="68">
        <f>SUM($L$6:$P$6)</f>
        <v>13.252875627987383</v>
      </c>
      <c r="R6" s="68">
        <f>'TE BE'!$R$6*'TE BF'!$R$52</f>
        <v>19.801985518692153</v>
      </c>
      <c r="S6" s="68">
        <f>SUM($R$6:$R$6)</f>
        <v>19.801985518692153</v>
      </c>
      <c r="T6" s="68">
        <f>'TE BE'!$T$6*'TE BF'!$T$52</f>
        <v>1.5795657366345588</v>
      </c>
      <c r="U6" s="68">
        <f>'TE BE'!$U$6*'TE BF'!$U$52</f>
        <v>0.20569231958237075</v>
      </c>
      <c r="V6" s="68">
        <f>'TE BE'!$V$6*'TE BF'!$V$52</f>
        <v>0</v>
      </c>
      <c r="W6" s="68">
        <f>SUM($T$6:$V$6)</f>
        <v>1.7852580562169296</v>
      </c>
      <c r="X6" s="68">
        <f>'TE BE'!$AB$6*'TE BF'!$X$52</f>
        <v>0</v>
      </c>
      <c r="Y6" s="68">
        <f>SUM($X$6:$X$6)</f>
        <v>0</v>
      </c>
      <c r="Z6" s="68">
        <f>'TE BE'!$Z$6*'TE BF'!$Z$52</f>
        <v>0.20512547431112221</v>
      </c>
      <c r="AA6" s="68">
        <f>SUM($Z$6:$Z$6)</f>
        <v>0.20512547431112221</v>
      </c>
      <c r="AB6" s="68">
        <f>SUMIF($L$4:$AA$4,"SUBTOTAL",$L$6:$AA$6)</f>
        <v>35.045244677207592</v>
      </c>
    </row>
    <row r="7" spans="1:28" ht="11.25" customHeight="1" x14ac:dyDescent="0.3">
      <c r="A7" s="143"/>
      <c r="B7" s="70" t="s">
        <v>79</v>
      </c>
      <c r="C7" s="70" t="s">
        <v>25</v>
      </c>
      <c r="D7" s="70" t="s">
        <v>25</v>
      </c>
      <c r="E7" s="70" t="s">
        <v>80</v>
      </c>
      <c r="F7" s="70" t="s">
        <v>25</v>
      </c>
      <c r="G7" s="71" t="s">
        <v>81</v>
      </c>
      <c r="H7" s="71" t="s">
        <v>76</v>
      </c>
      <c r="I7" s="71">
        <f>'MERCADO TE'!$U$4</f>
        <v>0</v>
      </c>
      <c r="J7" s="15"/>
      <c r="L7" s="68">
        <f>'TE BE'!$L$7*'TE BF'!$L$52</f>
        <v>0</v>
      </c>
      <c r="M7" s="68">
        <f>'TE BE'!$M$7*'TE BF'!$M$52</f>
        <v>12.540972952433405</v>
      </c>
      <c r="N7" s="68">
        <f>'TE BE'!$N$7*'TE BF'!$N$52</f>
        <v>0</v>
      </c>
      <c r="O7" s="68">
        <f>'TE BE'!$O$7*'TE BF'!$O$52</f>
        <v>0.71190267555397657</v>
      </c>
      <c r="P7" s="68">
        <f>'TE BE'!$P$7*'TE BF'!$P$52</f>
        <v>0</v>
      </c>
      <c r="Q7" s="68">
        <f>SUM($L$7:$P$7)</f>
        <v>13.252875627987383</v>
      </c>
      <c r="R7" s="68">
        <f>'TE BE'!$R$7*'TE BF'!$R$52</f>
        <v>20.739014381850147</v>
      </c>
      <c r="S7" s="68">
        <f>SUM($R$7:$R$7)</f>
        <v>20.739014381850147</v>
      </c>
      <c r="T7" s="68">
        <f>'TE BE'!$T$7*'TE BF'!$T$52</f>
        <v>1.5795657366345588</v>
      </c>
      <c r="U7" s="68">
        <f>'TE BE'!$U$7*'TE BF'!$U$52</f>
        <v>0.20569231958237072</v>
      </c>
      <c r="V7" s="68">
        <f>'TE BE'!$V$7*'TE BF'!$V$52</f>
        <v>0</v>
      </c>
      <c r="W7" s="68">
        <f>SUM($T$7:$V$7)</f>
        <v>1.7852580562169296</v>
      </c>
      <c r="X7" s="68">
        <v>0</v>
      </c>
      <c r="Y7" s="68">
        <f>SUM($X$7:$X$7)</f>
        <v>0</v>
      </c>
      <c r="Z7" s="68">
        <f>'TE BE'!$Z$7*'TE BF'!$Z$52</f>
        <v>0.20512547431112221</v>
      </c>
      <c r="AA7" s="68">
        <f>SUM($Z$7:$Z$7)</f>
        <v>0.20512547431112221</v>
      </c>
      <c r="AB7" s="68">
        <f>SUMIF($L$4:$AA$4,"SUBTOTAL",$L$7:$AA$7)</f>
        <v>35.98227354036559</v>
      </c>
    </row>
    <row r="8" spans="1:28" ht="11.25" customHeight="1" x14ac:dyDescent="0.3">
      <c r="A8" s="143"/>
      <c r="B8" s="70" t="s">
        <v>82</v>
      </c>
      <c r="C8" s="70" t="s">
        <v>25</v>
      </c>
      <c r="D8" s="70" t="s">
        <v>25</v>
      </c>
      <c r="E8" s="70" t="s">
        <v>25</v>
      </c>
      <c r="F8" s="70" t="s">
        <v>25</v>
      </c>
      <c r="G8" s="71" t="s">
        <v>81</v>
      </c>
      <c r="H8" s="71" t="s">
        <v>76</v>
      </c>
      <c r="I8" s="71">
        <f>'MERCADO TE'!$U$5</f>
        <v>0</v>
      </c>
      <c r="J8" s="15"/>
      <c r="L8" s="68">
        <f>'TE BE'!$L$8*'TE BF'!$L$52</f>
        <v>0</v>
      </c>
      <c r="M8" s="68">
        <f>'TE BE'!$M$8*'TE BF'!$M$52</f>
        <v>12.540972952433405</v>
      </c>
      <c r="N8" s="68">
        <f>'TE BE'!$N$8*'TE BF'!$N$52</f>
        <v>0</v>
      </c>
      <c r="O8" s="68">
        <f>'TE BE'!$O$8*'TE BF'!$O$52</f>
        <v>0.71190267555397668</v>
      </c>
      <c r="P8" s="68">
        <f>'TE BE'!$P$8*'TE BF'!$P$52</f>
        <v>0</v>
      </c>
      <c r="Q8" s="68">
        <f>SUM($L$8:$P$8)</f>
        <v>13.252875627987383</v>
      </c>
      <c r="R8" s="68">
        <f>'TE BE'!$R$8*'TE BF'!$R$52</f>
        <v>20.990104649813681</v>
      </c>
      <c r="S8" s="68">
        <f>SUM($R$8:$R$8)</f>
        <v>20.990104649813681</v>
      </c>
      <c r="T8" s="68">
        <f>'TE BE'!$T$8*'TE BF'!$T$52</f>
        <v>1.5795657366345588</v>
      </c>
      <c r="U8" s="68">
        <f>'TE BE'!$U$8*'TE BF'!$U$52</f>
        <v>0.20569231958237075</v>
      </c>
      <c r="V8" s="68">
        <f>'TE BE'!$V$8*'TE BF'!$V$52</f>
        <v>0</v>
      </c>
      <c r="W8" s="68">
        <f>SUM($T$8:$V$8)</f>
        <v>1.7852580562169296</v>
      </c>
      <c r="X8" s="68">
        <f>'TE BE'!$AB$8*'TE BF'!$X$52</f>
        <v>0</v>
      </c>
      <c r="Y8" s="68">
        <f>SUM($X$8:$X$8)</f>
        <v>0</v>
      </c>
      <c r="Z8" s="68">
        <f>'TE BE'!$Z$8*'TE BF'!$Z$52</f>
        <v>0.20512547431112221</v>
      </c>
      <c r="AA8" s="68">
        <f>SUM($Z$8:$Z$8)</f>
        <v>0.20512547431112221</v>
      </c>
      <c r="AB8" s="68">
        <f>SUMIF($L$4:$AA$4,"SUBTOTAL",$L$8:$AA$8)</f>
        <v>36.233363808329123</v>
      </c>
    </row>
    <row r="9" spans="1:28" ht="11.25" customHeight="1" x14ac:dyDescent="0.3">
      <c r="A9" s="143"/>
      <c r="B9" s="70" t="s">
        <v>89</v>
      </c>
      <c r="C9" s="70" t="s">
        <v>25</v>
      </c>
      <c r="D9" s="70" t="s">
        <v>25</v>
      </c>
      <c r="E9" s="70" t="s">
        <v>80</v>
      </c>
      <c r="F9" s="70" t="s">
        <v>25</v>
      </c>
      <c r="G9" s="71" t="s">
        <v>81</v>
      </c>
      <c r="H9" s="71" t="s">
        <v>76</v>
      </c>
      <c r="I9" s="71">
        <f>'MERCADO TE'!$U$6</f>
        <v>5489.0889999999999</v>
      </c>
      <c r="J9" s="15"/>
      <c r="L9" s="68">
        <f>'TE BE'!$L$9*'TE BF'!$L$52</f>
        <v>0</v>
      </c>
      <c r="M9" s="68">
        <f>'TE BE'!$M$9*'TE BF'!$M$52</f>
        <v>12.540972952433405</v>
      </c>
      <c r="N9" s="68">
        <f>'TE BE'!$N$9*'TE BF'!$N$52</f>
        <v>0</v>
      </c>
      <c r="O9" s="68">
        <f>'TE BE'!$O$9*'TE BF'!$O$52</f>
        <v>0.71190267555397657</v>
      </c>
      <c r="P9" s="68">
        <f>'TE BE'!$P$9*'TE BF'!$P$52</f>
        <v>0</v>
      </c>
      <c r="Q9" s="68">
        <f>SUM($L$9:$P$9)</f>
        <v>13.252875627987383</v>
      </c>
      <c r="R9" s="68">
        <f>'TE BE'!$R$9*'TE BF'!$R$52</f>
        <v>20.739014381850147</v>
      </c>
      <c r="S9" s="68">
        <f>SUM($R$9:$R$9)</f>
        <v>20.739014381850147</v>
      </c>
      <c r="T9" s="68">
        <f>'TE BE'!$T$9*'TE BF'!$T$52</f>
        <v>1.5795657366345588</v>
      </c>
      <c r="U9" s="68">
        <f>'TE BE'!$U$9*'TE BF'!$U$52</f>
        <v>0.20569231958237072</v>
      </c>
      <c r="V9" s="68">
        <f>'TE BE'!$V$9*'TE BF'!$V$52</f>
        <v>0</v>
      </c>
      <c r="W9" s="68">
        <f>SUM($T$9:$V$9)</f>
        <v>1.7852580562169296</v>
      </c>
      <c r="X9" s="68">
        <v>0</v>
      </c>
      <c r="Y9" s="68">
        <f>SUM($X$9:$X$9)</f>
        <v>0</v>
      </c>
      <c r="Z9" s="68">
        <f>'TE BE'!$Z$9*'TE BF'!$Z$52</f>
        <v>0.20512547431112221</v>
      </c>
      <c r="AA9" s="68">
        <f>SUM($Z$9:$Z$9)</f>
        <v>0.20512547431112221</v>
      </c>
      <c r="AB9" s="68">
        <f>SUMIF($L$4:$AA$4,"SUBTOTAL",$L$9:$AA$9)</f>
        <v>35.98227354036559</v>
      </c>
    </row>
    <row r="10" spans="1:28" ht="11.25" customHeight="1" x14ac:dyDescent="0.3">
      <c r="A10" s="143"/>
      <c r="B10" s="70" t="s">
        <v>79</v>
      </c>
      <c r="C10" s="70" t="s">
        <v>25</v>
      </c>
      <c r="D10" s="70" t="s">
        <v>25</v>
      </c>
      <c r="E10" s="70" t="s">
        <v>25</v>
      </c>
      <c r="F10" s="70" t="s">
        <v>25</v>
      </c>
      <c r="G10" s="71" t="s">
        <v>81</v>
      </c>
      <c r="H10" s="71" t="s">
        <v>76</v>
      </c>
      <c r="I10" s="71">
        <f>'MERCADO TE'!$U$7</f>
        <v>0</v>
      </c>
      <c r="J10" s="15"/>
      <c r="L10" s="68">
        <f>'TE BE'!$L$10*'TE BF'!$L$52</f>
        <v>0</v>
      </c>
      <c r="M10" s="68">
        <f>'TE BE'!$M$10*'TE BF'!$M$52</f>
        <v>0</v>
      </c>
      <c r="N10" s="68">
        <f>'TE BE'!$N$10*'TE BF'!$N$52</f>
        <v>0</v>
      </c>
      <c r="O10" s="68">
        <f>'TE BE'!$O$10*'TE BF'!$O$52</f>
        <v>0.71190267555397657</v>
      </c>
      <c r="P10" s="68">
        <f>'TE BE'!$P$10*'TE BF'!$P$52</f>
        <v>0</v>
      </c>
      <c r="Q10" s="68">
        <f>SUM($L$10:$P$10)</f>
        <v>0.71190267555397657</v>
      </c>
      <c r="R10" s="68">
        <f>'TE BE'!$R$10*'TE BF'!$R$52</f>
        <v>20.739014381850147</v>
      </c>
      <c r="S10" s="68">
        <f>SUM($R$10:$R$10)</f>
        <v>20.739014381850147</v>
      </c>
      <c r="T10" s="68">
        <f>'TE BE'!$T$10*'TE BF'!$T$52</f>
        <v>1.5795657366345588</v>
      </c>
      <c r="U10" s="68">
        <f>'TE BE'!$U$10*'TE BF'!$U$52</f>
        <v>0.20569231958237072</v>
      </c>
      <c r="V10" s="68">
        <f>'TE BE'!$V$10*'TE BF'!$V$52</f>
        <v>0</v>
      </c>
      <c r="W10" s="68">
        <f>SUM($T$10:$V$10)</f>
        <v>1.7852580562169296</v>
      </c>
      <c r="X10" s="68">
        <v>0</v>
      </c>
      <c r="Y10" s="68">
        <f>SUM($X$10:$X$10)</f>
        <v>0</v>
      </c>
      <c r="Z10" s="68">
        <f>'TE BE'!$Z$10*'TE BF'!$Z$52</f>
        <v>0</v>
      </c>
      <c r="AA10" s="68">
        <f>SUM($Z$10:$Z$10)</f>
        <v>0</v>
      </c>
      <c r="AB10" s="68">
        <f>SUMIF($L$4:$AA$4,"SUBTOTAL",$L$10:$AA$10)</f>
        <v>23.236175113621051</v>
      </c>
    </row>
    <row r="11" spans="1:28" ht="11.25" customHeight="1" x14ac:dyDescent="0.3">
      <c r="A11" s="143" t="s">
        <v>22</v>
      </c>
      <c r="B11" s="143" t="s">
        <v>75</v>
      </c>
      <c r="C11" s="143" t="s">
        <v>24</v>
      </c>
      <c r="D11" s="143" t="s">
        <v>24</v>
      </c>
      <c r="E11" s="143" t="s">
        <v>25</v>
      </c>
      <c r="F11" s="143" t="s">
        <v>25</v>
      </c>
      <c r="G11" s="71" t="s">
        <v>77</v>
      </c>
      <c r="H11" s="71" t="s">
        <v>76</v>
      </c>
      <c r="I11" s="71">
        <f>'MERCADO TE'!$U$8</f>
        <v>0.68800000000000017</v>
      </c>
      <c r="J11" s="15"/>
      <c r="L11" s="68">
        <f>'TE BE'!$L$11*'TE BF'!$L$52</f>
        <v>0</v>
      </c>
      <c r="M11" s="68">
        <f>'TE BE'!$M$11*'TE BF'!$M$52</f>
        <v>12.540972952433405</v>
      </c>
      <c r="N11" s="68">
        <f>'TE BE'!$N$11*'TE BF'!$N$52</f>
        <v>0</v>
      </c>
      <c r="O11" s="68">
        <f>'TE BE'!$O$11*'TE BF'!$O$52</f>
        <v>0.71190267555397668</v>
      </c>
      <c r="P11" s="68">
        <f>'TE BE'!$P$11*'TE BF'!$P$52</f>
        <v>0</v>
      </c>
      <c r="Q11" s="68">
        <f>SUM($L$11:$P$11)</f>
        <v>13.252875627987383</v>
      </c>
      <c r="R11" s="68">
        <f>'TE BE'!$R$11*'TE BF'!$R$52</f>
        <v>34.059415092150502</v>
      </c>
      <c r="S11" s="68">
        <f>SUM($R$11:$R$11)</f>
        <v>34.059415092150502</v>
      </c>
      <c r="T11" s="68">
        <f>'TE BE'!$T$11*'TE BF'!$T$52</f>
        <v>1.5795657366345588</v>
      </c>
      <c r="U11" s="68">
        <f>'TE BE'!$U$11*'TE BF'!$U$52</f>
        <v>0.20569231958237075</v>
      </c>
      <c r="V11" s="68">
        <f>'TE BE'!$V$11*'TE BF'!$V$52</f>
        <v>0</v>
      </c>
      <c r="W11" s="68">
        <f>SUM($T$11:$V$11)</f>
        <v>1.7852580562169296</v>
      </c>
      <c r="X11" s="68">
        <f>'TE BE'!$AB$11*'TE BF'!$X$52</f>
        <v>0</v>
      </c>
      <c r="Y11" s="68">
        <f>SUM($X$11:$X$11)</f>
        <v>0</v>
      </c>
      <c r="Z11" s="68">
        <f>'TE BE'!$Z$11*'TE BF'!$Z$52</f>
        <v>0.20512547431112221</v>
      </c>
      <c r="AA11" s="68">
        <f>SUM($Z$11:$Z$11)</f>
        <v>0.20512547431112221</v>
      </c>
      <c r="AB11" s="68">
        <f>SUMIF($L$4:$AA$4,"SUBTOTAL",$L$11:$AA$11)</f>
        <v>49.302674250665937</v>
      </c>
    </row>
    <row r="12" spans="1:28" ht="11.25" customHeight="1" x14ac:dyDescent="0.3">
      <c r="A12" s="143"/>
      <c r="B12" s="143"/>
      <c r="C12" s="143"/>
      <c r="D12" s="143"/>
      <c r="E12" s="143"/>
      <c r="F12" s="143"/>
      <c r="G12" s="71" t="s">
        <v>93</v>
      </c>
      <c r="H12" s="71" t="s">
        <v>76</v>
      </c>
      <c r="I12" s="71">
        <f>'MERCADO TE'!$U$9</f>
        <v>0.46</v>
      </c>
      <c r="J12" s="15"/>
      <c r="L12" s="68">
        <f>'TE BE'!$L$12*'TE BF'!$L$52</f>
        <v>0</v>
      </c>
      <c r="M12" s="68">
        <f>'TE BE'!$M$12*'TE BF'!$M$52</f>
        <v>12.540972952433405</v>
      </c>
      <c r="N12" s="68">
        <f>'TE BE'!$N$12*'TE BF'!$N$52</f>
        <v>0</v>
      </c>
      <c r="O12" s="68">
        <f>'TE BE'!$O$12*'TE BF'!$O$52</f>
        <v>0.71190267555397668</v>
      </c>
      <c r="P12" s="68">
        <f>'TE BE'!$P$12*'TE BF'!$P$52</f>
        <v>0</v>
      </c>
      <c r="Q12" s="68">
        <f>SUM($L$12:$P$12)</f>
        <v>13.252875627987383</v>
      </c>
      <c r="R12" s="68">
        <f>'TE BE'!$R$12*'TE BF'!$R$52</f>
        <v>19.801985518692153</v>
      </c>
      <c r="S12" s="68">
        <f>SUM($R$12:$R$12)</f>
        <v>19.801985518692153</v>
      </c>
      <c r="T12" s="68">
        <f>'TE BE'!$T$12*'TE BF'!$T$52</f>
        <v>1.5795657366345588</v>
      </c>
      <c r="U12" s="68">
        <f>'TE BE'!$U$12*'TE BF'!$U$52</f>
        <v>0.20569231958237075</v>
      </c>
      <c r="V12" s="68">
        <f>'TE BE'!$V$12*'TE BF'!$V$52</f>
        <v>0</v>
      </c>
      <c r="W12" s="68">
        <f>SUM($T$12:$V$12)</f>
        <v>1.7852580562169296</v>
      </c>
      <c r="X12" s="68">
        <f>'TE BE'!$AB$12*'TE BF'!$X$52</f>
        <v>0</v>
      </c>
      <c r="Y12" s="68">
        <f>SUM($X$12:$X$12)</f>
        <v>0</v>
      </c>
      <c r="Z12" s="68">
        <f>'TE BE'!$Z$12*'TE BF'!$Z$52</f>
        <v>0.20512547431112221</v>
      </c>
      <c r="AA12" s="68">
        <f>SUM($Z$12:$Z$12)</f>
        <v>0.20512547431112221</v>
      </c>
      <c r="AB12" s="68">
        <f>SUMIF($L$4:$AA$4,"SUBTOTAL",$L$12:$AA$12)</f>
        <v>35.045244677207592</v>
      </c>
    </row>
    <row r="13" spans="1:28" ht="11.25" customHeight="1" x14ac:dyDescent="0.3">
      <c r="A13" s="143"/>
      <c r="B13" s="143"/>
      <c r="C13" s="143"/>
      <c r="D13" s="143"/>
      <c r="E13" s="143"/>
      <c r="F13" s="143"/>
      <c r="G13" s="71" t="s">
        <v>78</v>
      </c>
      <c r="H13" s="71" t="s">
        <v>76</v>
      </c>
      <c r="I13" s="71">
        <f>'MERCADO TE'!$U$10</f>
        <v>5.6850000000000005</v>
      </c>
      <c r="J13" s="15"/>
      <c r="L13" s="68">
        <f>'TE BE'!$L$13*'TE BF'!$L$52</f>
        <v>0</v>
      </c>
      <c r="M13" s="68">
        <f>'TE BE'!$M$13*'TE BF'!$M$52</f>
        <v>12.540972952433405</v>
      </c>
      <c r="N13" s="68">
        <f>'TE BE'!$N$13*'TE BF'!$N$52</f>
        <v>0</v>
      </c>
      <c r="O13" s="68">
        <f>'TE BE'!$O$13*'TE BF'!$O$52</f>
        <v>0.71190267555397668</v>
      </c>
      <c r="P13" s="68">
        <f>'TE BE'!$P$13*'TE BF'!$P$52</f>
        <v>0</v>
      </c>
      <c r="Q13" s="68">
        <f>SUM($L$13:$P$13)</f>
        <v>13.252875627987383</v>
      </c>
      <c r="R13" s="68">
        <f>'TE BE'!$R$13*'TE BF'!$R$52</f>
        <v>19.801985518692153</v>
      </c>
      <c r="S13" s="68">
        <f>SUM($R$13:$R$13)</f>
        <v>19.801985518692153</v>
      </c>
      <c r="T13" s="68">
        <f>'TE BE'!$T$13*'TE BF'!$T$52</f>
        <v>1.5795657366345588</v>
      </c>
      <c r="U13" s="68">
        <f>'TE BE'!$U$13*'TE BF'!$U$52</f>
        <v>0.20569231958237075</v>
      </c>
      <c r="V13" s="68">
        <f>'TE BE'!$V$13*'TE BF'!$V$52</f>
        <v>0</v>
      </c>
      <c r="W13" s="68">
        <f>SUM($T$13:$V$13)</f>
        <v>1.7852580562169296</v>
      </c>
      <c r="X13" s="68">
        <f>'TE BE'!$AB$13*'TE BF'!$X$52</f>
        <v>0</v>
      </c>
      <c r="Y13" s="68">
        <f>SUM($X$13:$X$13)</f>
        <v>0</v>
      </c>
      <c r="Z13" s="68">
        <f>'TE BE'!$Z$13*'TE BF'!$Z$52</f>
        <v>0.20512547431112221</v>
      </c>
      <c r="AA13" s="68">
        <f>SUM($Z$13:$Z$13)</f>
        <v>0.20512547431112221</v>
      </c>
      <c r="AB13" s="68">
        <f>SUMIF($L$4:$AA$4,"SUBTOTAL",$L$13:$AA$13)</f>
        <v>35.045244677207592</v>
      </c>
    </row>
    <row r="14" spans="1:28" ht="11.25" customHeight="1" x14ac:dyDescent="0.3">
      <c r="A14" s="143"/>
      <c r="B14" s="143" t="s">
        <v>82</v>
      </c>
      <c r="C14" s="143" t="s">
        <v>24</v>
      </c>
      <c r="D14" s="70" t="s">
        <v>24</v>
      </c>
      <c r="E14" s="70" t="s">
        <v>25</v>
      </c>
      <c r="F14" s="70" t="s">
        <v>25</v>
      </c>
      <c r="G14" s="71" t="s">
        <v>81</v>
      </c>
      <c r="H14" s="71" t="s">
        <v>76</v>
      </c>
      <c r="I14" s="71">
        <f>'MERCADO TE'!$U$11</f>
        <v>20470.671000000002</v>
      </c>
      <c r="J14" s="15"/>
      <c r="L14" s="68">
        <f>'TE BE'!$L$14*'TE BF'!$L$52</f>
        <v>0</v>
      </c>
      <c r="M14" s="68">
        <f>'TE BE'!$M$14*'TE BF'!$M$52</f>
        <v>12.540972952433405</v>
      </c>
      <c r="N14" s="68">
        <f>'TE BE'!$N$14*'TE BF'!$N$52</f>
        <v>0</v>
      </c>
      <c r="O14" s="68">
        <f>'TE BE'!$O$14*'TE BF'!$O$52</f>
        <v>0.71190267555397668</v>
      </c>
      <c r="P14" s="68">
        <f>'TE BE'!$P$14*'TE BF'!$P$52</f>
        <v>0</v>
      </c>
      <c r="Q14" s="68">
        <f>SUM($L$14:$P$14)</f>
        <v>13.252875627987383</v>
      </c>
      <c r="R14" s="68">
        <f>'TE BE'!$R$14*'TE BF'!$R$52</f>
        <v>20.990104649813681</v>
      </c>
      <c r="S14" s="68">
        <f>SUM($R$14:$R$14)</f>
        <v>20.990104649813681</v>
      </c>
      <c r="T14" s="68">
        <f>'TE BE'!$T$14*'TE BF'!$T$52</f>
        <v>1.5795657366345588</v>
      </c>
      <c r="U14" s="68">
        <f>'TE BE'!$U$14*'TE BF'!$U$52</f>
        <v>0.20569231958237075</v>
      </c>
      <c r="V14" s="68">
        <f>'TE BE'!$V$14*'TE BF'!$V$52</f>
        <v>0</v>
      </c>
      <c r="W14" s="68">
        <f>SUM($T$14:$V$14)</f>
        <v>1.7852580562169296</v>
      </c>
      <c r="X14" s="68">
        <f>'TE BE'!$AB$14*'TE BF'!$X$52</f>
        <v>0</v>
      </c>
      <c r="Y14" s="68">
        <f>SUM($X$14:$X$14)</f>
        <v>0</v>
      </c>
      <c r="Z14" s="68">
        <f>'TE BE'!$Z$14*'TE BF'!$Z$52</f>
        <v>0.20512547431112221</v>
      </c>
      <c r="AA14" s="68">
        <f>SUM($Z$14:$Z$14)</f>
        <v>0.20512547431112221</v>
      </c>
      <c r="AB14" s="68">
        <f>SUMIF($L$4:$AA$4,"SUBTOTAL",$L$14:$AA$14)</f>
        <v>36.233363808329123</v>
      </c>
    </row>
    <row r="15" spans="1:28" ht="11.25" customHeight="1" x14ac:dyDescent="0.3">
      <c r="A15" s="143"/>
      <c r="B15" s="143"/>
      <c r="C15" s="143"/>
      <c r="D15" s="70" t="s">
        <v>29</v>
      </c>
      <c r="E15" s="70" t="s">
        <v>25</v>
      </c>
      <c r="F15" s="70" t="s">
        <v>25</v>
      </c>
      <c r="G15" s="71" t="s">
        <v>81</v>
      </c>
      <c r="H15" s="71" t="s">
        <v>76</v>
      </c>
      <c r="I15" s="71">
        <f>'MERCADO TE'!$U$12</f>
        <v>425.12200000000001</v>
      </c>
      <c r="J15" s="15"/>
      <c r="L15" s="68">
        <f>'TE BE'!$L$15*'TE BF'!$L$52</f>
        <v>0</v>
      </c>
      <c r="M15" s="68">
        <f>'TE BE'!$M$15*'TE BF'!$M$52</f>
        <v>12.540972952433405</v>
      </c>
      <c r="N15" s="68">
        <f>'TE BE'!$N$15*'TE BF'!$N$52</f>
        <v>0</v>
      </c>
      <c r="O15" s="68">
        <f>'TE BE'!$O$15*'TE BF'!$O$52</f>
        <v>0.71190267555397668</v>
      </c>
      <c r="P15" s="68">
        <f>'TE BE'!$P$15*'TE BF'!$P$52</f>
        <v>0</v>
      </c>
      <c r="Q15" s="68">
        <f>SUM($L$15:$P$15)</f>
        <v>13.252875627987383</v>
      </c>
      <c r="R15" s="68">
        <f>'TE BE'!$R$15*'TE BF'!$R$52</f>
        <v>20.990104649813681</v>
      </c>
      <c r="S15" s="68">
        <f>SUM($R$15:$R$15)</f>
        <v>20.990104649813681</v>
      </c>
      <c r="T15" s="68">
        <f>'TE BE'!$T$15*'TE BF'!$T$52</f>
        <v>1.5795657366345588</v>
      </c>
      <c r="U15" s="68">
        <f>'TE BE'!$U$15*'TE BF'!$U$52</f>
        <v>0.20569231958237075</v>
      </c>
      <c r="V15" s="68">
        <f>'TE BE'!$V$15*'TE BF'!$V$52</f>
        <v>0</v>
      </c>
      <c r="W15" s="68">
        <f>SUM($T$15:$V$15)</f>
        <v>1.7852580562169296</v>
      </c>
      <c r="X15" s="68">
        <f>'TE BE'!$AB$15*'TE BF'!$X$52</f>
        <v>0</v>
      </c>
      <c r="Y15" s="68">
        <f>SUM($X$15:$X$15)</f>
        <v>0</v>
      </c>
      <c r="Z15" s="68">
        <f>'TE BE'!$Z$15*'TE BF'!$Z$52</f>
        <v>0.20512547431112221</v>
      </c>
      <c r="AA15" s="68">
        <f>SUM($Z$15:$Z$15)</f>
        <v>0.20512547431112221</v>
      </c>
      <c r="AB15" s="68">
        <f>SUMIF($L$4:$AA$4,"SUBTOTAL",$L$15:$AA$15)</f>
        <v>36.233363808329123</v>
      </c>
    </row>
    <row r="16" spans="1:28" ht="11.25" customHeight="1" x14ac:dyDescent="0.3">
      <c r="A16" s="143"/>
      <c r="B16" s="143"/>
      <c r="C16" s="143"/>
      <c r="D16" s="70" t="s">
        <v>30</v>
      </c>
      <c r="E16" s="70" t="s">
        <v>25</v>
      </c>
      <c r="F16" s="70" t="s">
        <v>25</v>
      </c>
      <c r="G16" s="71" t="s">
        <v>81</v>
      </c>
      <c r="H16" s="71" t="s">
        <v>76</v>
      </c>
      <c r="I16" s="71">
        <f>'MERCADO TE'!$U$13</f>
        <v>876.85199999999986</v>
      </c>
      <c r="J16" s="15"/>
      <c r="L16" s="68">
        <f>'TE BE'!$L$16*'TE BF'!$L$52</f>
        <v>0</v>
      </c>
      <c r="M16" s="68">
        <f>'TE BE'!$M$16*'TE BF'!$M$52</f>
        <v>12.540972952433405</v>
      </c>
      <c r="N16" s="68">
        <f>'TE BE'!$N$16*'TE BF'!$N$52</f>
        <v>0</v>
      </c>
      <c r="O16" s="68">
        <f>'TE BE'!$O$16*'TE BF'!$O$52</f>
        <v>0.71190267555397668</v>
      </c>
      <c r="P16" s="68">
        <f>'TE BE'!$P$16*'TE BF'!$P$52</f>
        <v>0</v>
      </c>
      <c r="Q16" s="68">
        <f>SUM($L$16:$P$16)</f>
        <v>13.252875627987383</v>
      </c>
      <c r="R16" s="68">
        <f>'TE BE'!$R$16*'TE BF'!$R$52</f>
        <v>20.990104649813681</v>
      </c>
      <c r="S16" s="68">
        <f>SUM($R$16:$R$16)</f>
        <v>20.990104649813681</v>
      </c>
      <c r="T16" s="68">
        <f>'TE BE'!$T$16*'TE BF'!$T$52</f>
        <v>1.5795657366345588</v>
      </c>
      <c r="U16" s="68">
        <f>'TE BE'!$U$16*'TE BF'!$U$52</f>
        <v>0.20569231958237075</v>
      </c>
      <c r="V16" s="68">
        <f>'TE BE'!$V$16*'TE BF'!$V$52</f>
        <v>0</v>
      </c>
      <c r="W16" s="68">
        <f>SUM($T$16:$V$16)</f>
        <v>1.7852580562169296</v>
      </c>
      <c r="X16" s="68">
        <f>'TE BE'!$AB$16*'TE BF'!$X$52</f>
        <v>0</v>
      </c>
      <c r="Y16" s="68">
        <f>SUM($X$16:$X$16)</f>
        <v>0</v>
      </c>
      <c r="Z16" s="68">
        <f>'TE BE'!$Z$16*'TE BF'!$Z$52</f>
        <v>0.20512547431112221</v>
      </c>
      <c r="AA16" s="68">
        <f>SUM($Z$16:$Z$16)</f>
        <v>0.20512547431112221</v>
      </c>
      <c r="AB16" s="68">
        <f>SUMIF($L$4:$AA$4,"SUBTOTAL",$L$16:$AA$16)</f>
        <v>36.233363808329123</v>
      </c>
    </row>
    <row r="17" spans="1:28" ht="11.25" customHeight="1" x14ac:dyDescent="0.3">
      <c r="A17" s="143"/>
      <c r="B17" s="143"/>
      <c r="C17" s="143"/>
      <c r="D17" s="70" t="s">
        <v>31</v>
      </c>
      <c r="E17" s="70" t="s">
        <v>25</v>
      </c>
      <c r="F17" s="70" t="s">
        <v>25</v>
      </c>
      <c r="G17" s="71" t="s">
        <v>81</v>
      </c>
      <c r="H17" s="71" t="s">
        <v>76</v>
      </c>
      <c r="I17" s="71">
        <f>'MERCADO TE'!$U$14</f>
        <v>876.00100000000009</v>
      </c>
      <c r="J17" s="15"/>
      <c r="L17" s="68">
        <f>'TE BE'!$L$17*'TE BF'!$L$52</f>
        <v>0</v>
      </c>
      <c r="M17" s="68">
        <f>'TE BE'!$M$17*'TE BF'!$M$52</f>
        <v>12.540972952433405</v>
      </c>
      <c r="N17" s="68">
        <f>'TE BE'!$N$17*'TE BF'!$N$52</f>
        <v>0</v>
      </c>
      <c r="O17" s="68">
        <f>'TE BE'!$O$17*'TE BF'!$O$52</f>
        <v>0.71190267555397668</v>
      </c>
      <c r="P17" s="68">
        <f>'TE BE'!$P$17*'TE BF'!$P$52</f>
        <v>0</v>
      </c>
      <c r="Q17" s="68">
        <f>SUM($L$17:$P$17)</f>
        <v>13.252875627987383</v>
      </c>
      <c r="R17" s="68">
        <f>'TE BE'!$R$17*'TE BF'!$R$52</f>
        <v>20.990104649813681</v>
      </c>
      <c r="S17" s="68">
        <f>SUM($R$17:$R$17)</f>
        <v>20.990104649813681</v>
      </c>
      <c r="T17" s="68">
        <f>'TE BE'!$T$17*'TE BF'!$T$52</f>
        <v>1.5795657366345588</v>
      </c>
      <c r="U17" s="68">
        <f>'TE BE'!$U$17*'TE BF'!$U$52</f>
        <v>0.20569231958237075</v>
      </c>
      <c r="V17" s="68">
        <f>'TE BE'!$V$17*'TE BF'!$V$52</f>
        <v>0</v>
      </c>
      <c r="W17" s="68">
        <f>SUM($T$17:$V$17)</f>
        <v>1.7852580562169296</v>
      </c>
      <c r="X17" s="68">
        <f>'TE BE'!$AB$17*'TE BF'!$X$52</f>
        <v>0</v>
      </c>
      <c r="Y17" s="68">
        <f>SUM($X$17:$X$17)</f>
        <v>0</v>
      </c>
      <c r="Z17" s="68">
        <f>'TE BE'!$Z$17*'TE BF'!$Z$52</f>
        <v>0.20512547431112221</v>
      </c>
      <c r="AA17" s="68">
        <f>SUM($Z$17:$Z$17)</f>
        <v>0.20512547431112221</v>
      </c>
      <c r="AB17" s="68">
        <f>SUMIF($L$4:$AA$4,"SUBTOTAL",$L$17:$AA$17)</f>
        <v>36.233363808329123</v>
      </c>
    </row>
    <row r="18" spans="1:28" ht="11.25" customHeight="1" x14ac:dyDescent="0.3">
      <c r="A18" s="143"/>
      <c r="B18" s="143"/>
      <c r="C18" s="143"/>
      <c r="D18" s="70" t="s">
        <v>32</v>
      </c>
      <c r="E18" s="70" t="s">
        <v>25</v>
      </c>
      <c r="F18" s="70" t="s">
        <v>25</v>
      </c>
      <c r="G18" s="71" t="s">
        <v>81</v>
      </c>
      <c r="H18" s="71" t="s">
        <v>76</v>
      </c>
      <c r="I18" s="71">
        <f>'MERCADO TE'!$U$15</f>
        <v>331.42999999999995</v>
      </c>
      <c r="J18" s="15"/>
      <c r="L18" s="68">
        <f>'TE BE'!$L$18*'TE BF'!$L$52</f>
        <v>0</v>
      </c>
      <c r="M18" s="68">
        <f>'TE BE'!$M$18*'TE BF'!$M$52</f>
        <v>12.540972952433405</v>
      </c>
      <c r="N18" s="68">
        <f>'TE BE'!$N$18*'TE BF'!$N$52</f>
        <v>0</v>
      </c>
      <c r="O18" s="68">
        <f>'TE BE'!$O$18*'TE BF'!$O$52</f>
        <v>0.71190267555397668</v>
      </c>
      <c r="P18" s="68">
        <f>'TE BE'!$P$18*'TE BF'!$P$52</f>
        <v>0</v>
      </c>
      <c r="Q18" s="68">
        <f>SUM($L$18:$P$18)</f>
        <v>13.252875627987383</v>
      </c>
      <c r="R18" s="68">
        <f>'TE BE'!$R$18*'TE BF'!$R$52</f>
        <v>20.990104649813681</v>
      </c>
      <c r="S18" s="68">
        <f>SUM($R$18:$R$18)</f>
        <v>20.990104649813681</v>
      </c>
      <c r="T18" s="68">
        <f>'TE BE'!$T$18*'TE BF'!$T$52</f>
        <v>1.5795657366345588</v>
      </c>
      <c r="U18" s="68">
        <f>'TE BE'!$U$18*'TE BF'!$U$52</f>
        <v>0.20569231958237075</v>
      </c>
      <c r="V18" s="68">
        <f>'TE BE'!$V$18*'TE BF'!$V$52</f>
        <v>0</v>
      </c>
      <c r="W18" s="68">
        <f>SUM($T$18:$V$18)</f>
        <v>1.7852580562169296</v>
      </c>
      <c r="X18" s="68">
        <f>'TE BE'!$AB$18*'TE BF'!$X$52</f>
        <v>0</v>
      </c>
      <c r="Y18" s="68">
        <f>SUM($X$18:$X$18)</f>
        <v>0</v>
      </c>
      <c r="Z18" s="68">
        <f>'TE BE'!$Z$18*'TE BF'!$Z$52</f>
        <v>0.20512547431112221</v>
      </c>
      <c r="AA18" s="68">
        <f>SUM($Z$18:$Z$18)</f>
        <v>0.20512547431112221</v>
      </c>
      <c r="AB18" s="68">
        <f>SUMIF($L$4:$AA$4,"SUBTOTAL",$L$18:$AA$18)</f>
        <v>36.233363808329123</v>
      </c>
    </row>
    <row r="19" spans="1:28" ht="11.25" customHeight="1" x14ac:dyDescent="0.3">
      <c r="A19" s="143"/>
      <c r="B19" s="143" t="s">
        <v>94</v>
      </c>
      <c r="C19" s="143" t="s">
        <v>24</v>
      </c>
      <c r="D19" s="70" t="s">
        <v>24</v>
      </c>
      <c r="E19" s="70" t="s">
        <v>25</v>
      </c>
      <c r="F19" s="70" t="s">
        <v>25</v>
      </c>
      <c r="G19" s="71" t="s">
        <v>81</v>
      </c>
      <c r="H19" s="71" t="s">
        <v>76</v>
      </c>
      <c r="I19" s="71">
        <f>'MERCADO TE'!$U$16</f>
        <v>0</v>
      </c>
      <c r="J19" s="15"/>
      <c r="L19" s="68">
        <f>'TE BE'!$L$19*'TE BF'!$L$52</f>
        <v>0</v>
      </c>
      <c r="M19" s="68">
        <f>'TE BE'!$M$19*'TE BF'!$M$52</f>
        <v>12.540972952433405</v>
      </c>
      <c r="N19" s="68">
        <f>'TE BE'!$N$19*'TE BF'!$N$52</f>
        <v>0</v>
      </c>
      <c r="O19" s="68">
        <f>'TE BE'!$O$19*'TE BF'!$O$52</f>
        <v>0.71190267555397668</v>
      </c>
      <c r="P19" s="68">
        <f>'TE BE'!$P$19*'TE BF'!$P$52</f>
        <v>0</v>
      </c>
      <c r="Q19" s="68">
        <f>SUM($L$19:$P$19)</f>
        <v>13.252875627987383</v>
      </c>
      <c r="R19" s="68">
        <f>'TE BE'!$R$19*'TE BF'!$R$52</f>
        <v>20.990104649813681</v>
      </c>
      <c r="S19" s="68">
        <f>SUM($R$19:$R$19)</f>
        <v>20.990104649813681</v>
      </c>
      <c r="T19" s="68">
        <f>'TE BE'!$T$19*'TE BF'!$T$52</f>
        <v>1.5795657366345588</v>
      </c>
      <c r="U19" s="68">
        <f>'TE BE'!$U$19*'TE BF'!$U$52</f>
        <v>0.20569231958237075</v>
      </c>
      <c r="V19" s="68">
        <f>'TE BE'!$V$19*'TE BF'!$V$52</f>
        <v>0</v>
      </c>
      <c r="W19" s="68">
        <f>SUM($T$19:$V$19)</f>
        <v>1.7852580562169296</v>
      </c>
      <c r="X19" s="68">
        <f>'TE BE'!$AB$19*'TE BF'!$X$52</f>
        <v>0</v>
      </c>
      <c r="Y19" s="68">
        <f>SUM($X$19:$X$19)</f>
        <v>0</v>
      </c>
      <c r="Z19" s="68">
        <f>'TE BE'!$Z$19*'TE BF'!$Z$52</f>
        <v>0.20512547431112221</v>
      </c>
      <c r="AA19" s="68">
        <f>SUM($Z$19:$Z$19)</f>
        <v>0.20512547431112221</v>
      </c>
      <c r="AB19" s="68">
        <f>SUMIF($L$4:$AA$4,"SUBTOTAL",$L$19:$AA$19)</f>
        <v>36.233363808329123</v>
      </c>
    </row>
    <row r="20" spans="1:28" ht="11.25" customHeight="1" x14ac:dyDescent="0.3">
      <c r="A20" s="143"/>
      <c r="B20" s="143"/>
      <c r="C20" s="143"/>
      <c r="D20" s="70" t="s">
        <v>29</v>
      </c>
      <c r="E20" s="70" t="s">
        <v>25</v>
      </c>
      <c r="F20" s="70" t="s">
        <v>25</v>
      </c>
      <c r="G20" s="71" t="s">
        <v>81</v>
      </c>
      <c r="H20" s="71" t="s">
        <v>76</v>
      </c>
      <c r="I20" s="71">
        <f>'MERCADO TE'!$U$17</f>
        <v>0</v>
      </c>
      <c r="J20" s="15"/>
      <c r="L20" s="68">
        <f>'TE BE'!$L$20*'TE BF'!$L$52</f>
        <v>0</v>
      </c>
      <c r="M20" s="68">
        <f>'TE BE'!$M$20*'TE BF'!$M$52</f>
        <v>12.540972952433405</v>
      </c>
      <c r="N20" s="68">
        <f>'TE BE'!$N$20*'TE BF'!$N$52</f>
        <v>0</v>
      </c>
      <c r="O20" s="68">
        <f>'TE BE'!$O$20*'TE BF'!$O$52</f>
        <v>0.71190267555397668</v>
      </c>
      <c r="P20" s="68">
        <f>'TE BE'!$P$20*'TE BF'!$P$52</f>
        <v>0</v>
      </c>
      <c r="Q20" s="68">
        <f>SUM($L$20:$P$20)</f>
        <v>13.252875627987383</v>
      </c>
      <c r="R20" s="68">
        <f>'TE BE'!$R$20*'TE BF'!$R$52</f>
        <v>20.990104649813681</v>
      </c>
      <c r="S20" s="68">
        <f>SUM($R$20:$R$20)</f>
        <v>20.990104649813681</v>
      </c>
      <c r="T20" s="68">
        <f>'TE BE'!$T$20*'TE BF'!$T$52</f>
        <v>1.5795657366345588</v>
      </c>
      <c r="U20" s="68">
        <f>'TE BE'!$U$20*'TE BF'!$U$52</f>
        <v>0.20569231958237075</v>
      </c>
      <c r="V20" s="68">
        <f>'TE BE'!$V$20*'TE BF'!$V$52</f>
        <v>0</v>
      </c>
      <c r="W20" s="68">
        <f>SUM($T$20:$V$20)</f>
        <v>1.7852580562169296</v>
      </c>
      <c r="X20" s="68">
        <f>'TE BE'!$AB$20*'TE BF'!$X$52</f>
        <v>0</v>
      </c>
      <c r="Y20" s="68">
        <f>SUM($X$20:$X$20)</f>
        <v>0</v>
      </c>
      <c r="Z20" s="68">
        <f>'TE BE'!$Z$20*'TE BF'!$Z$52</f>
        <v>0.20512547431112221</v>
      </c>
      <c r="AA20" s="68">
        <f>SUM($Z$20:$Z$20)</f>
        <v>0.20512547431112221</v>
      </c>
      <c r="AB20" s="68">
        <f>SUMIF($L$4:$AA$4,"SUBTOTAL",$L$20:$AA$20)</f>
        <v>36.233363808329123</v>
      </c>
    </row>
    <row r="21" spans="1:28" ht="11.25" customHeight="1" x14ac:dyDescent="0.3">
      <c r="A21" s="143"/>
      <c r="B21" s="143"/>
      <c r="C21" s="143"/>
      <c r="D21" s="70" t="s">
        <v>30</v>
      </c>
      <c r="E21" s="70" t="s">
        <v>25</v>
      </c>
      <c r="F21" s="70" t="s">
        <v>25</v>
      </c>
      <c r="G21" s="71" t="s">
        <v>81</v>
      </c>
      <c r="H21" s="71" t="s">
        <v>76</v>
      </c>
      <c r="I21" s="71">
        <f>'MERCADO TE'!$U$18</f>
        <v>0</v>
      </c>
      <c r="J21" s="15"/>
      <c r="L21" s="68">
        <f>'TE BE'!$L$21*'TE BF'!$L$52</f>
        <v>0</v>
      </c>
      <c r="M21" s="68">
        <f>'TE BE'!$M$21*'TE BF'!$M$52</f>
        <v>12.540972952433405</v>
      </c>
      <c r="N21" s="68">
        <f>'TE BE'!$N$21*'TE BF'!$N$52</f>
        <v>0</v>
      </c>
      <c r="O21" s="68">
        <f>'TE BE'!$O$21*'TE BF'!$O$52</f>
        <v>0.71190267555397668</v>
      </c>
      <c r="P21" s="68">
        <f>'TE BE'!$P$21*'TE BF'!$P$52</f>
        <v>0</v>
      </c>
      <c r="Q21" s="68">
        <f>SUM($L$21:$P$21)</f>
        <v>13.252875627987383</v>
      </c>
      <c r="R21" s="68">
        <f>'TE BE'!$R$21*'TE BF'!$R$52</f>
        <v>20.990104649813681</v>
      </c>
      <c r="S21" s="68">
        <f>SUM($R$21:$R$21)</f>
        <v>20.990104649813681</v>
      </c>
      <c r="T21" s="68">
        <f>'TE BE'!$T$21*'TE BF'!$T$52</f>
        <v>1.5795657366345588</v>
      </c>
      <c r="U21" s="68">
        <f>'TE BE'!$U$21*'TE BF'!$U$52</f>
        <v>0.20569231958237075</v>
      </c>
      <c r="V21" s="68">
        <f>'TE BE'!$V$21*'TE BF'!$V$52</f>
        <v>0</v>
      </c>
      <c r="W21" s="68">
        <f>SUM($T$21:$V$21)</f>
        <v>1.7852580562169296</v>
      </c>
      <c r="X21" s="68">
        <f>'TE BE'!$AB$21*'TE BF'!$X$52</f>
        <v>0</v>
      </c>
      <c r="Y21" s="68">
        <f>SUM($X$21:$X$21)</f>
        <v>0</v>
      </c>
      <c r="Z21" s="68">
        <f>'TE BE'!$Z$21*'TE BF'!$Z$52</f>
        <v>0.20512547431112221</v>
      </c>
      <c r="AA21" s="68">
        <f>SUM($Z$21:$Z$21)</f>
        <v>0.20512547431112221</v>
      </c>
      <c r="AB21" s="68">
        <f>SUMIF($L$4:$AA$4,"SUBTOTAL",$L$21:$AA$21)</f>
        <v>36.233363808329123</v>
      </c>
    </row>
    <row r="22" spans="1:28" ht="11.25" customHeight="1" x14ac:dyDescent="0.3">
      <c r="A22" s="143"/>
      <c r="B22" s="143"/>
      <c r="C22" s="143"/>
      <c r="D22" s="70" t="s">
        <v>31</v>
      </c>
      <c r="E22" s="70" t="s">
        <v>25</v>
      </c>
      <c r="F22" s="70" t="s">
        <v>25</v>
      </c>
      <c r="G22" s="71" t="s">
        <v>81</v>
      </c>
      <c r="H22" s="71" t="s">
        <v>76</v>
      </c>
      <c r="I22" s="71">
        <f>'MERCADO TE'!$U$19</f>
        <v>0</v>
      </c>
      <c r="J22" s="15"/>
      <c r="L22" s="68">
        <f>'TE BE'!$L$22*'TE BF'!$L$52</f>
        <v>0</v>
      </c>
      <c r="M22" s="68">
        <f>'TE BE'!$M$22*'TE BF'!$M$52</f>
        <v>12.540972952433405</v>
      </c>
      <c r="N22" s="68">
        <f>'TE BE'!$N$22*'TE BF'!$N$52</f>
        <v>0</v>
      </c>
      <c r="O22" s="68">
        <f>'TE BE'!$O$22*'TE BF'!$O$52</f>
        <v>0.71190267555397668</v>
      </c>
      <c r="P22" s="68">
        <f>'TE BE'!$P$22*'TE BF'!$P$52</f>
        <v>0</v>
      </c>
      <c r="Q22" s="68">
        <f>SUM($L$22:$P$22)</f>
        <v>13.252875627987383</v>
      </c>
      <c r="R22" s="68">
        <f>'TE BE'!$R$22*'TE BF'!$R$52</f>
        <v>20.990104649813681</v>
      </c>
      <c r="S22" s="68">
        <f>SUM($R$22:$R$22)</f>
        <v>20.990104649813681</v>
      </c>
      <c r="T22" s="68">
        <f>'TE BE'!$T$22*'TE BF'!$T$52</f>
        <v>1.5795657366345588</v>
      </c>
      <c r="U22" s="68">
        <f>'TE BE'!$U$22*'TE BF'!$U$52</f>
        <v>0.20569231958237075</v>
      </c>
      <c r="V22" s="68">
        <f>'TE BE'!$V$22*'TE BF'!$V$52</f>
        <v>0</v>
      </c>
      <c r="W22" s="68">
        <f>SUM($T$22:$V$22)</f>
        <v>1.7852580562169296</v>
      </c>
      <c r="X22" s="68">
        <f>'TE BE'!$AB$22*'TE BF'!$X$52</f>
        <v>0</v>
      </c>
      <c r="Y22" s="68">
        <f>SUM($X$22:$X$22)</f>
        <v>0</v>
      </c>
      <c r="Z22" s="68">
        <f>'TE BE'!$Z$22*'TE BF'!$Z$52</f>
        <v>0.20512547431112221</v>
      </c>
      <c r="AA22" s="68">
        <f>SUM($Z$22:$Z$22)</f>
        <v>0.20512547431112221</v>
      </c>
      <c r="AB22" s="68">
        <f>SUMIF($L$4:$AA$4,"SUBTOTAL",$L$22:$AA$22)</f>
        <v>36.233363808329123</v>
      </c>
    </row>
    <row r="23" spans="1:28" ht="11.25" customHeight="1" x14ac:dyDescent="0.3">
      <c r="A23" s="143"/>
      <c r="B23" s="143"/>
      <c r="C23" s="143"/>
      <c r="D23" s="70" t="s">
        <v>32</v>
      </c>
      <c r="E23" s="70" t="s">
        <v>25</v>
      </c>
      <c r="F23" s="70" t="s">
        <v>25</v>
      </c>
      <c r="G23" s="71" t="s">
        <v>81</v>
      </c>
      <c r="H23" s="71" t="s">
        <v>76</v>
      </c>
      <c r="I23" s="71">
        <f>'MERCADO TE'!$U$20</f>
        <v>0</v>
      </c>
      <c r="J23" s="15"/>
      <c r="L23" s="68">
        <f>'TE BE'!$L$23*'TE BF'!$L$52</f>
        <v>0</v>
      </c>
      <c r="M23" s="68">
        <f>'TE BE'!$M$23*'TE BF'!$M$52</f>
        <v>12.540972952433405</v>
      </c>
      <c r="N23" s="68">
        <f>'TE BE'!$N$23*'TE BF'!$N$52</f>
        <v>0</v>
      </c>
      <c r="O23" s="68">
        <f>'TE BE'!$O$23*'TE BF'!$O$52</f>
        <v>0.71190267555397668</v>
      </c>
      <c r="P23" s="68">
        <f>'TE BE'!$P$23*'TE BF'!$P$52</f>
        <v>0</v>
      </c>
      <c r="Q23" s="68">
        <f>SUM($L$23:$P$23)</f>
        <v>13.252875627987383</v>
      </c>
      <c r="R23" s="68">
        <f>'TE BE'!$R$23*'TE BF'!$R$52</f>
        <v>20.990104649813681</v>
      </c>
      <c r="S23" s="68">
        <f>SUM($R$23:$R$23)</f>
        <v>20.990104649813681</v>
      </c>
      <c r="T23" s="68">
        <f>'TE BE'!$T$23*'TE BF'!$T$52</f>
        <v>1.5795657366345588</v>
      </c>
      <c r="U23" s="68">
        <f>'TE BE'!$U$23*'TE BF'!$U$52</f>
        <v>0.20569231958237075</v>
      </c>
      <c r="V23" s="68">
        <f>'TE BE'!$V$23*'TE BF'!$V$52</f>
        <v>0</v>
      </c>
      <c r="W23" s="68">
        <f>SUM($T$23:$V$23)</f>
        <v>1.7852580562169296</v>
      </c>
      <c r="X23" s="68">
        <f>'TE BE'!$AB$23*'TE BF'!$X$52</f>
        <v>0</v>
      </c>
      <c r="Y23" s="68">
        <f>SUM($X$23:$X$23)</f>
        <v>0</v>
      </c>
      <c r="Z23" s="68">
        <f>'TE BE'!$Z$23*'TE BF'!$Z$52</f>
        <v>0.20512547431112221</v>
      </c>
      <c r="AA23" s="68">
        <f>SUM($Z$23:$Z$23)</f>
        <v>0.20512547431112221</v>
      </c>
      <c r="AB23" s="68">
        <f>SUMIF($L$4:$AA$4,"SUBTOTAL",$L$23:$AA$23)</f>
        <v>36.233363808329123</v>
      </c>
    </row>
    <row r="24" spans="1:28" ht="11.25" customHeight="1" x14ac:dyDescent="0.3">
      <c r="A24" s="143" t="s">
        <v>42</v>
      </c>
      <c r="B24" s="143" t="s">
        <v>75</v>
      </c>
      <c r="C24" s="143" t="s">
        <v>43</v>
      </c>
      <c r="D24" s="143" t="s">
        <v>25</v>
      </c>
      <c r="E24" s="143" t="s">
        <v>25</v>
      </c>
      <c r="F24" s="143" t="s">
        <v>25</v>
      </c>
      <c r="G24" s="71" t="s">
        <v>77</v>
      </c>
      <c r="H24" s="71" t="s">
        <v>76</v>
      </c>
      <c r="I24" s="71">
        <f>'MERCADO TE'!$U$21</f>
        <v>0.36099999999999999</v>
      </c>
      <c r="J24" s="15"/>
      <c r="L24" s="68">
        <f>'TE BE'!$L$24*'TE BF'!$L$52</f>
        <v>0</v>
      </c>
      <c r="M24" s="68">
        <f>'TE BE'!$M$24*'TE BF'!$M$52</f>
        <v>12.540972952433405</v>
      </c>
      <c r="N24" s="68">
        <f>'TE BE'!$N$24*'TE BF'!$N$52</f>
        <v>0</v>
      </c>
      <c r="O24" s="68">
        <f>'TE BE'!$O$24*'TE BF'!$O$52</f>
        <v>0.71190267555397668</v>
      </c>
      <c r="P24" s="68">
        <f>'TE BE'!$P$24*'TE BF'!$P$52</f>
        <v>0</v>
      </c>
      <c r="Q24" s="68">
        <f>SUM($L$24:$P$24)</f>
        <v>13.252875627987383</v>
      </c>
      <c r="R24" s="68">
        <f>'TE BE'!$R$24*'TE BF'!$R$52</f>
        <v>34.059415092150502</v>
      </c>
      <c r="S24" s="68">
        <f>SUM($R$24:$R$24)</f>
        <v>34.059415092150502</v>
      </c>
      <c r="T24" s="68">
        <f>'TE BE'!$T$24*'TE BF'!$T$52</f>
        <v>1.5795657366345588</v>
      </c>
      <c r="U24" s="68">
        <f>'TE BE'!$U$24*'TE BF'!$U$52</f>
        <v>0.20569231958237075</v>
      </c>
      <c r="V24" s="68">
        <f>'TE BE'!$V$24*'TE BF'!$V$52</f>
        <v>0</v>
      </c>
      <c r="W24" s="68">
        <f>SUM($T$24:$V$24)</f>
        <v>1.7852580562169296</v>
      </c>
      <c r="X24" s="68">
        <f>'TE BE'!$AB$24*'TE BF'!$X$52</f>
        <v>0</v>
      </c>
      <c r="Y24" s="68">
        <f>SUM($X$24:$X$24)</f>
        <v>0</v>
      </c>
      <c r="Z24" s="68">
        <f>'TE BE'!$Z$24*'TE BF'!$Z$52</f>
        <v>0.20512547431112221</v>
      </c>
      <c r="AA24" s="68">
        <f>SUM($Z$24:$Z$24)</f>
        <v>0.20512547431112221</v>
      </c>
      <c r="AB24" s="68">
        <f>SUMIF($L$4:$AA$4,"SUBTOTAL",$L$24:$AA$24)</f>
        <v>49.302674250665937</v>
      </c>
    </row>
    <row r="25" spans="1:28" ht="11.25" customHeight="1" x14ac:dyDescent="0.3">
      <c r="A25" s="143"/>
      <c r="B25" s="143"/>
      <c r="C25" s="143"/>
      <c r="D25" s="143"/>
      <c r="E25" s="143"/>
      <c r="F25" s="143"/>
      <c r="G25" s="71" t="s">
        <v>93</v>
      </c>
      <c r="H25" s="71" t="s">
        <v>76</v>
      </c>
      <c r="I25" s="71">
        <f>'MERCADO TE'!$U$22</f>
        <v>0.21399999999999994</v>
      </c>
      <c r="J25" s="15"/>
      <c r="L25" s="68">
        <f>'TE BE'!$L$25*'TE BF'!$L$52</f>
        <v>0</v>
      </c>
      <c r="M25" s="68">
        <f>'TE BE'!$M$25*'TE BF'!$M$52</f>
        <v>12.540972952433405</v>
      </c>
      <c r="N25" s="68">
        <f>'TE BE'!$N$25*'TE BF'!$N$52</f>
        <v>0</v>
      </c>
      <c r="O25" s="68">
        <f>'TE BE'!$O$25*'TE BF'!$O$52</f>
        <v>0.71190267555397668</v>
      </c>
      <c r="P25" s="68">
        <f>'TE BE'!$P$25*'TE BF'!$P$52</f>
        <v>0</v>
      </c>
      <c r="Q25" s="68">
        <f>SUM($L$25:$P$25)</f>
        <v>13.252875627987383</v>
      </c>
      <c r="R25" s="68">
        <f>'TE BE'!$R$25*'TE BF'!$R$52</f>
        <v>19.801985518692153</v>
      </c>
      <c r="S25" s="68">
        <f>SUM($R$25:$R$25)</f>
        <v>19.801985518692153</v>
      </c>
      <c r="T25" s="68">
        <f>'TE BE'!$T$25*'TE BF'!$T$52</f>
        <v>1.5795657366345588</v>
      </c>
      <c r="U25" s="68">
        <f>'TE BE'!$U$25*'TE BF'!$U$52</f>
        <v>0.20569231958237075</v>
      </c>
      <c r="V25" s="68">
        <f>'TE BE'!$V$25*'TE BF'!$V$52</f>
        <v>0</v>
      </c>
      <c r="W25" s="68">
        <f>SUM($T$25:$V$25)</f>
        <v>1.7852580562169296</v>
      </c>
      <c r="X25" s="68">
        <f>'TE BE'!$AB$25*'TE BF'!$X$52</f>
        <v>0</v>
      </c>
      <c r="Y25" s="68">
        <f>SUM($X$25:$X$25)</f>
        <v>0</v>
      </c>
      <c r="Z25" s="68">
        <f>'TE BE'!$Z$25*'TE BF'!$Z$52</f>
        <v>0.20512547431112221</v>
      </c>
      <c r="AA25" s="68">
        <f>SUM($Z$25:$Z$25)</f>
        <v>0.20512547431112221</v>
      </c>
      <c r="AB25" s="68">
        <f>SUMIF($L$4:$AA$4,"SUBTOTAL",$L$25:$AA$25)</f>
        <v>35.045244677207592</v>
      </c>
    </row>
    <row r="26" spans="1:28" ht="11.25" customHeight="1" x14ac:dyDescent="0.3">
      <c r="A26" s="143"/>
      <c r="B26" s="143"/>
      <c r="C26" s="143"/>
      <c r="D26" s="143"/>
      <c r="E26" s="143"/>
      <c r="F26" s="143"/>
      <c r="G26" s="71" t="s">
        <v>78</v>
      </c>
      <c r="H26" s="71" t="s">
        <v>76</v>
      </c>
      <c r="I26" s="71">
        <f>'MERCADO TE'!$U$23</f>
        <v>2.4970000000000008</v>
      </c>
      <c r="J26" s="15"/>
      <c r="L26" s="68">
        <f>'TE BE'!$L$26*'TE BF'!$L$52</f>
        <v>0</v>
      </c>
      <c r="M26" s="68">
        <f>'TE BE'!$M$26*'TE BF'!$M$52</f>
        <v>12.540972952433405</v>
      </c>
      <c r="N26" s="68">
        <f>'TE BE'!$N$26*'TE BF'!$N$52</f>
        <v>0</v>
      </c>
      <c r="O26" s="68">
        <f>'TE BE'!$O$26*'TE BF'!$O$52</f>
        <v>0.71190267555397668</v>
      </c>
      <c r="P26" s="68">
        <f>'TE BE'!$P$26*'TE BF'!$P$52</f>
        <v>0</v>
      </c>
      <c r="Q26" s="68">
        <f>SUM($L$26:$P$26)</f>
        <v>13.252875627987383</v>
      </c>
      <c r="R26" s="68">
        <f>'TE BE'!$R$26*'TE BF'!$R$52</f>
        <v>19.801985518692153</v>
      </c>
      <c r="S26" s="68">
        <f>SUM($R$26:$R$26)</f>
        <v>19.801985518692153</v>
      </c>
      <c r="T26" s="68">
        <f>'TE BE'!$T$26*'TE BF'!$T$52</f>
        <v>1.5795657366345588</v>
      </c>
      <c r="U26" s="68">
        <f>'TE BE'!$U$26*'TE BF'!$U$52</f>
        <v>0.20569231958237075</v>
      </c>
      <c r="V26" s="68">
        <f>'TE BE'!$V$26*'TE BF'!$V$52</f>
        <v>0</v>
      </c>
      <c r="W26" s="68">
        <f>SUM($T$26:$V$26)</f>
        <v>1.7852580562169296</v>
      </c>
      <c r="X26" s="68">
        <f>'TE BE'!$AB$26*'TE BF'!$X$52</f>
        <v>0</v>
      </c>
      <c r="Y26" s="68">
        <f>SUM($X$26:$X$26)</f>
        <v>0</v>
      </c>
      <c r="Z26" s="68">
        <f>'TE BE'!$Z$26*'TE BF'!$Z$52</f>
        <v>0.20512547431112221</v>
      </c>
      <c r="AA26" s="68">
        <f>SUM($Z$26:$Z$26)</f>
        <v>0.20512547431112221</v>
      </c>
      <c r="AB26" s="68">
        <f>SUMIF($L$4:$AA$4,"SUBTOTAL",$L$26:$AA$26)</f>
        <v>35.045244677207592</v>
      </c>
    </row>
    <row r="27" spans="1:28" ht="11.25" customHeight="1" x14ac:dyDescent="0.3">
      <c r="A27" s="143"/>
      <c r="B27" s="70" t="s">
        <v>82</v>
      </c>
      <c r="C27" s="70" t="s">
        <v>43</v>
      </c>
      <c r="D27" s="70" t="s">
        <v>25</v>
      </c>
      <c r="E27" s="70" t="s">
        <v>25</v>
      </c>
      <c r="F27" s="70" t="s">
        <v>25</v>
      </c>
      <c r="G27" s="71" t="s">
        <v>81</v>
      </c>
      <c r="H27" s="71" t="s">
        <v>76</v>
      </c>
      <c r="I27" s="71">
        <f>'MERCADO TE'!$U$24</f>
        <v>18691.718999999997</v>
      </c>
      <c r="J27" s="15"/>
      <c r="L27" s="68">
        <f>'TE BE'!$L$27*'TE BF'!$L$52</f>
        <v>0</v>
      </c>
      <c r="M27" s="68">
        <f>'TE BE'!$M$27*'TE BF'!$M$52</f>
        <v>12.540972952433405</v>
      </c>
      <c r="N27" s="68">
        <f>'TE BE'!$N$27*'TE BF'!$N$52</f>
        <v>0</v>
      </c>
      <c r="O27" s="68">
        <f>'TE BE'!$O$27*'TE BF'!$O$52</f>
        <v>0.71190267555397668</v>
      </c>
      <c r="P27" s="68">
        <f>'TE BE'!$P$27*'TE BF'!$P$52</f>
        <v>0</v>
      </c>
      <c r="Q27" s="68">
        <f>SUM($L$27:$P$27)</f>
        <v>13.252875627987383</v>
      </c>
      <c r="R27" s="68">
        <f>'TE BE'!$R$27*'TE BF'!$R$52</f>
        <v>20.990104649813681</v>
      </c>
      <c r="S27" s="68">
        <f>SUM($R$27:$R$27)</f>
        <v>20.990104649813681</v>
      </c>
      <c r="T27" s="68">
        <f>'TE BE'!$T$27*'TE BF'!$T$52</f>
        <v>1.5795657366345588</v>
      </c>
      <c r="U27" s="68">
        <f>'TE BE'!$U$27*'TE BF'!$U$52</f>
        <v>0.20569231958237075</v>
      </c>
      <c r="V27" s="68">
        <f>'TE BE'!$V$27*'TE BF'!$V$52</f>
        <v>0</v>
      </c>
      <c r="W27" s="68">
        <f>SUM($T$27:$V$27)</f>
        <v>1.7852580562169296</v>
      </c>
      <c r="X27" s="68">
        <f>'TE BE'!$AB$27*'TE BF'!$X$52</f>
        <v>0</v>
      </c>
      <c r="Y27" s="68">
        <f>SUM($X$27:$X$27)</f>
        <v>0</v>
      </c>
      <c r="Z27" s="68">
        <f>'TE BE'!$Z$27*'TE BF'!$Z$52</f>
        <v>0.20512547431112221</v>
      </c>
      <c r="AA27" s="68">
        <f>SUM($Z$27:$Z$27)</f>
        <v>0.20512547431112221</v>
      </c>
      <c r="AB27" s="68">
        <f>SUMIF($L$4:$AA$4,"SUBTOTAL",$L$27:$AA$27)</f>
        <v>36.233363808329123</v>
      </c>
    </row>
    <row r="28" spans="1:28" ht="11.25" customHeight="1" x14ac:dyDescent="0.3">
      <c r="A28" s="143"/>
      <c r="B28" s="143" t="s">
        <v>75</v>
      </c>
      <c r="C28" s="143" t="s">
        <v>43</v>
      </c>
      <c r="D28" s="143" t="s">
        <v>96</v>
      </c>
      <c r="E28" s="143" t="s">
        <v>25</v>
      </c>
      <c r="F28" s="143" t="s">
        <v>25</v>
      </c>
      <c r="G28" s="71" t="s">
        <v>77</v>
      </c>
      <c r="H28" s="71" t="s">
        <v>76</v>
      </c>
      <c r="I28" s="71">
        <f>'MERCADO TE'!$U$25</f>
        <v>0</v>
      </c>
      <c r="J28" s="15"/>
      <c r="L28" s="68">
        <f>'TE BE'!$L$28*'TE BF'!$L$52</f>
        <v>0</v>
      </c>
      <c r="M28" s="68">
        <f>'TE BE'!$M$28*'TE BF'!$M$52</f>
        <v>12.540972952433405</v>
      </c>
      <c r="N28" s="68">
        <f>'TE BE'!$N$28*'TE BF'!$N$52</f>
        <v>0</v>
      </c>
      <c r="O28" s="68">
        <f>'TE BE'!$O$28*'TE BF'!$O$52</f>
        <v>0.71190267555397668</v>
      </c>
      <c r="P28" s="68">
        <f>'TE BE'!$P$28*'TE BF'!$P$52</f>
        <v>0</v>
      </c>
      <c r="Q28" s="68">
        <f>SUM($L$28:$P$28)</f>
        <v>13.252875627987383</v>
      </c>
      <c r="R28" s="68">
        <f>'TE BE'!$R$28*'TE BF'!$R$52</f>
        <v>34.059415092150502</v>
      </c>
      <c r="S28" s="68">
        <f>SUM($R$28:$R$28)</f>
        <v>34.059415092150502</v>
      </c>
      <c r="T28" s="68">
        <f>'TE BE'!$T$28*'TE BF'!$T$52</f>
        <v>1.5795657366345588</v>
      </c>
      <c r="U28" s="68">
        <f>'TE BE'!$U$28*'TE BF'!$U$52</f>
        <v>0.20569231958237075</v>
      </c>
      <c r="V28" s="68">
        <f>'TE BE'!$V$28*'TE BF'!$V$52</f>
        <v>0</v>
      </c>
      <c r="W28" s="68">
        <f>SUM($T$28:$V$28)</f>
        <v>1.7852580562169296</v>
      </c>
      <c r="X28" s="68">
        <f>'TE BE'!$AB$28*'TE BF'!$X$52</f>
        <v>0</v>
      </c>
      <c r="Y28" s="68">
        <f>SUM($X$28:$X$28)</f>
        <v>0</v>
      </c>
      <c r="Z28" s="68">
        <f>'TE BE'!$Z$28*'TE BF'!$Z$52</f>
        <v>0.20512547431112221</v>
      </c>
      <c r="AA28" s="68">
        <f>SUM($Z$28:$Z$28)</f>
        <v>0.20512547431112221</v>
      </c>
      <c r="AB28" s="68">
        <f>SUMIF($L$4:$AA$4,"SUBTOTAL",$L$28:$AA$28)</f>
        <v>49.302674250665937</v>
      </c>
    </row>
    <row r="29" spans="1:28" ht="11.25" customHeight="1" x14ac:dyDescent="0.3">
      <c r="A29" s="143"/>
      <c r="B29" s="143"/>
      <c r="C29" s="143"/>
      <c r="D29" s="143"/>
      <c r="E29" s="143"/>
      <c r="F29" s="143"/>
      <c r="G29" s="71" t="s">
        <v>93</v>
      </c>
      <c r="H29" s="71" t="s">
        <v>76</v>
      </c>
      <c r="I29" s="71">
        <f>'MERCADO TE'!$U$26</f>
        <v>0</v>
      </c>
      <c r="J29" s="15"/>
      <c r="L29" s="68">
        <f>'TE BE'!$L$29*'TE BF'!$L$52</f>
        <v>0</v>
      </c>
      <c r="M29" s="68">
        <f>'TE BE'!$M$29*'TE BF'!$M$52</f>
        <v>12.540972952433405</v>
      </c>
      <c r="N29" s="68">
        <f>'TE BE'!$N$29*'TE BF'!$N$52</f>
        <v>0</v>
      </c>
      <c r="O29" s="68">
        <f>'TE BE'!$O$29*'TE BF'!$O$52</f>
        <v>0.71190267555397668</v>
      </c>
      <c r="P29" s="68">
        <f>'TE BE'!$P$29*'TE BF'!$P$52</f>
        <v>0</v>
      </c>
      <c r="Q29" s="68">
        <f>SUM($L$29:$P$29)</f>
        <v>13.252875627987383</v>
      </c>
      <c r="R29" s="68">
        <f>'TE BE'!$R$29*'TE BF'!$R$52</f>
        <v>19.801985518692153</v>
      </c>
      <c r="S29" s="68">
        <f>SUM($R$29:$R$29)</f>
        <v>19.801985518692153</v>
      </c>
      <c r="T29" s="68">
        <f>'TE BE'!$T$29*'TE BF'!$T$52</f>
        <v>1.5795657366345588</v>
      </c>
      <c r="U29" s="68">
        <f>'TE BE'!$U$29*'TE BF'!$U$52</f>
        <v>0.20569231958237075</v>
      </c>
      <c r="V29" s="68">
        <f>'TE BE'!$V$29*'TE BF'!$V$52</f>
        <v>0</v>
      </c>
      <c r="W29" s="68">
        <f>SUM($T$29:$V$29)</f>
        <v>1.7852580562169296</v>
      </c>
      <c r="X29" s="68">
        <f>'TE BE'!$AB$29*'TE BF'!$X$52</f>
        <v>0</v>
      </c>
      <c r="Y29" s="68">
        <f>SUM($X$29:$X$29)</f>
        <v>0</v>
      </c>
      <c r="Z29" s="68">
        <f>'TE BE'!$Z$29*'TE BF'!$Z$52</f>
        <v>0.20512547431112221</v>
      </c>
      <c r="AA29" s="68">
        <f>SUM($Z$29:$Z$29)</f>
        <v>0.20512547431112221</v>
      </c>
      <c r="AB29" s="68">
        <f>SUMIF($L$4:$AA$4,"SUBTOTAL",$L$29:$AA$29)</f>
        <v>35.045244677207592</v>
      </c>
    </row>
    <row r="30" spans="1:28" ht="11.25" customHeight="1" x14ac:dyDescent="0.3">
      <c r="A30" s="143"/>
      <c r="B30" s="143"/>
      <c r="C30" s="143"/>
      <c r="D30" s="143"/>
      <c r="E30" s="143"/>
      <c r="F30" s="143"/>
      <c r="G30" s="71" t="s">
        <v>78</v>
      </c>
      <c r="H30" s="71" t="s">
        <v>76</v>
      </c>
      <c r="I30" s="71">
        <f>'MERCADO TE'!$U$27</f>
        <v>0</v>
      </c>
      <c r="J30" s="15"/>
      <c r="L30" s="68">
        <f>'TE BE'!$L$30*'TE BF'!$L$52</f>
        <v>0</v>
      </c>
      <c r="M30" s="68">
        <f>'TE BE'!$M$30*'TE BF'!$M$52</f>
        <v>12.540972952433405</v>
      </c>
      <c r="N30" s="68">
        <f>'TE BE'!$N$30*'TE BF'!$N$52</f>
        <v>0</v>
      </c>
      <c r="O30" s="68">
        <f>'TE BE'!$O$30*'TE BF'!$O$52</f>
        <v>0.71190267555397668</v>
      </c>
      <c r="P30" s="68">
        <f>'TE BE'!$P$30*'TE BF'!$P$52</f>
        <v>0</v>
      </c>
      <c r="Q30" s="68">
        <f>SUM($L$30:$P$30)</f>
        <v>13.252875627987383</v>
      </c>
      <c r="R30" s="68">
        <f>'TE BE'!$R$30*'TE BF'!$R$52</f>
        <v>19.801985518692153</v>
      </c>
      <c r="S30" s="68">
        <f>SUM($R$30:$R$30)</f>
        <v>19.801985518692153</v>
      </c>
      <c r="T30" s="68">
        <f>'TE BE'!$T$30*'TE BF'!$T$52</f>
        <v>1.5795657366345588</v>
      </c>
      <c r="U30" s="68">
        <f>'TE BE'!$U$30*'TE BF'!$U$52</f>
        <v>0.20569231958237075</v>
      </c>
      <c r="V30" s="68">
        <f>'TE BE'!$V$30*'TE BF'!$V$52</f>
        <v>0</v>
      </c>
      <c r="W30" s="68">
        <f>SUM($T$30:$V$30)</f>
        <v>1.7852580562169296</v>
      </c>
      <c r="X30" s="68">
        <f>'TE BE'!$AB$30*'TE BF'!$X$52</f>
        <v>0</v>
      </c>
      <c r="Y30" s="68">
        <f>SUM($X$30:$X$30)</f>
        <v>0</v>
      </c>
      <c r="Z30" s="68">
        <f>'TE BE'!$Z$30*'TE BF'!$Z$52</f>
        <v>0.20512547431112221</v>
      </c>
      <c r="AA30" s="68">
        <f>SUM($Z$30:$Z$30)</f>
        <v>0.20512547431112221</v>
      </c>
      <c r="AB30" s="68">
        <f>SUMIF($L$4:$AA$4,"SUBTOTAL",$L$30:$AA$30)</f>
        <v>35.045244677207592</v>
      </c>
    </row>
    <row r="31" spans="1:28" ht="11.25" customHeight="1" x14ac:dyDescent="0.3">
      <c r="A31" s="143"/>
      <c r="B31" s="70" t="s">
        <v>82</v>
      </c>
      <c r="C31" s="70" t="s">
        <v>43</v>
      </c>
      <c r="D31" s="70" t="s">
        <v>96</v>
      </c>
      <c r="E31" s="70" t="s">
        <v>25</v>
      </c>
      <c r="F31" s="70" t="s">
        <v>25</v>
      </c>
      <c r="G31" s="71" t="s">
        <v>81</v>
      </c>
      <c r="H31" s="71" t="s">
        <v>76</v>
      </c>
      <c r="I31" s="71">
        <f>'MERCADO TE'!$U$28</f>
        <v>0</v>
      </c>
      <c r="J31" s="15"/>
      <c r="L31" s="68">
        <f>'TE BE'!$L$31*'TE BF'!$L$52</f>
        <v>0</v>
      </c>
      <c r="M31" s="68">
        <f>'TE BE'!$M$31*'TE BF'!$M$52</f>
        <v>12.540972952433405</v>
      </c>
      <c r="N31" s="68">
        <f>'TE BE'!$N$31*'TE BF'!$N$52</f>
        <v>0</v>
      </c>
      <c r="O31" s="68">
        <f>'TE BE'!$O$31*'TE BF'!$O$52</f>
        <v>0.71190267555397668</v>
      </c>
      <c r="P31" s="68">
        <f>'TE BE'!$P$31*'TE BF'!$P$52</f>
        <v>0</v>
      </c>
      <c r="Q31" s="68">
        <f>SUM($L$31:$P$31)</f>
        <v>13.252875627987383</v>
      </c>
      <c r="R31" s="68">
        <f>'TE BE'!$R$31*'TE BF'!$R$52</f>
        <v>20.990104649813681</v>
      </c>
      <c r="S31" s="68">
        <f>SUM($R$31:$R$31)</f>
        <v>20.990104649813681</v>
      </c>
      <c r="T31" s="68">
        <f>'TE BE'!$T$31*'TE BF'!$T$52</f>
        <v>1.5795657366345588</v>
      </c>
      <c r="U31" s="68">
        <f>'TE BE'!$U$31*'TE BF'!$U$52</f>
        <v>0.20569231958237075</v>
      </c>
      <c r="V31" s="68">
        <f>'TE BE'!$V$31*'TE BF'!$V$52</f>
        <v>0</v>
      </c>
      <c r="W31" s="68">
        <f>SUM($T$31:$V$31)</f>
        <v>1.7852580562169296</v>
      </c>
      <c r="X31" s="68">
        <f>'TE BE'!$AB$31*'TE BF'!$X$52</f>
        <v>0</v>
      </c>
      <c r="Y31" s="68">
        <f>SUM($X$31:$X$31)</f>
        <v>0</v>
      </c>
      <c r="Z31" s="68">
        <f>'TE BE'!$Z$31*'TE BF'!$Z$52</f>
        <v>0.20512547431112221</v>
      </c>
      <c r="AA31" s="68">
        <f>SUM($Z$31:$Z$31)</f>
        <v>0.20512547431112221</v>
      </c>
      <c r="AB31" s="68">
        <f>SUMIF($L$4:$AA$4,"SUBTOTAL",$L$31:$AA$31)</f>
        <v>36.233363808329123</v>
      </c>
    </row>
    <row r="32" spans="1:28" ht="11.25" customHeight="1" x14ac:dyDescent="0.3">
      <c r="A32" s="143"/>
      <c r="B32" s="143" t="s">
        <v>75</v>
      </c>
      <c r="C32" s="143" t="s">
        <v>43</v>
      </c>
      <c r="D32" s="143" t="s">
        <v>97</v>
      </c>
      <c r="E32" s="143" t="s">
        <v>25</v>
      </c>
      <c r="F32" s="143" t="s">
        <v>25</v>
      </c>
      <c r="G32" s="71" t="s">
        <v>77</v>
      </c>
      <c r="H32" s="71" t="s">
        <v>76</v>
      </c>
      <c r="I32" s="71">
        <f>'MERCADO TE'!$U$29</f>
        <v>0</v>
      </c>
      <c r="J32" s="15"/>
      <c r="L32" s="68">
        <f>'TE BE'!$L$32*'TE BF'!$L$52</f>
        <v>0</v>
      </c>
      <c r="M32" s="68">
        <f>'TE BE'!$M$32*'TE BF'!$M$52</f>
        <v>12.540972952433405</v>
      </c>
      <c r="N32" s="68">
        <f>'TE BE'!$N$32*'TE BF'!$N$52</f>
        <v>0</v>
      </c>
      <c r="O32" s="68">
        <f>'TE BE'!$O$32*'TE BF'!$O$52</f>
        <v>0.71190267555397668</v>
      </c>
      <c r="P32" s="68">
        <f>'TE BE'!$P$32*'TE BF'!$P$52</f>
        <v>0</v>
      </c>
      <c r="Q32" s="68">
        <f>SUM($L$32:$P$32)</f>
        <v>13.252875627987383</v>
      </c>
      <c r="R32" s="68">
        <f>'TE BE'!$R$32*'TE BF'!$R$52</f>
        <v>34.059415092150502</v>
      </c>
      <c r="S32" s="68">
        <f>SUM($R$32:$R$32)</f>
        <v>34.059415092150502</v>
      </c>
      <c r="T32" s="68">
        <f>'TE BE'!$T$32*'TE BF'!$T$52</f>
        <v>1.5795657366345588</v>
      </c>
      <c r="U32" s="68">
        <f>'TE BE'!$U$32*'TE BF'!$U$52</f>
        <v>0.20569231958237075</v>
      </c>
      <c r="V32" s="68">
        <f>'TE BE'!$V$32*'TE BF'!$V$52</f>
        <v>0</v>
      </c>
      <c r="W32" s="68">
        <f>SUM($T$32:$V$32)</f>
        <v>1.7852580562169296</v>
      </c>
      <c r="X32" s="68">
        <f>'TE BE'!$AB$32*'TE BF'!$X$52</f>
        <v>0</v>
      </c>
      <c r="Y32" s="68">
        <f>SUM($X$32:$X$32)</f>
        <v>0</v>
      </c>
      <c r="Z32" s="68">
        <f>'TE BE'!$Z$32*'TE BF'!$Z$52</f>
        <v>0.20512547431112221</v>
      </c>
      <c r="AA32" s="68">
        <f>SUM($Z$32:$Z$32)</f>
        <v>0.20512547431112221</v>
      </c>
      <c r="AB32" s="68">
        <f>SUMIF($L$4:$AA$4,"SUBTOTAL",$L$32:$AA$32)</f>
        <v>49.302674250665937</v>
      </c>
    </row>
    <row r="33" spans="1:28" ht="11.25" customHeight="1" x14ac:dyDescent="0.3">
      <c r="A33" s="143"/>
      <c r="B33" s="143"/>
      <c r="C33" s="143"/>
      <c r="D33" s="143"/>
      <c r="E33" s="143"/>
      <c r="F33" s="143"/>
      <c r="G33" s="71" t="s">
        <v>93</v>
      </c>
      <c r="H33" s="71" t="s">
        <v>76</v>
      </c>
      <c r="I33" s="71">
        <f>'MERCADO TE'!$U$30</f>
        <v>0</v>
      </c>
      <c r="J33" s="15"/>
      <c r="L33" s="68">
        <f>'TE BE'!$L$33*'TE BF'!$L$52</f>
        <v>0</v>
      </c>
      <c r="M33" s="68">
        <f>'TE BE'!$M$33*'TE BF'!$M$52</f>
        <v>12.540972952433405</v>
      </c>
      <c r="N33" s="68">
        <f>'TE BE'!$N$33*'TE BF'!$N$52</f>
        <v>0</v>
      </c>
      <c r="O33" s="68">
        <f>'TE BE'!$O$33*'TE BF'!$O$52</f>
        <v>0.71190267555397668</v>
      </c>
      <c r="P33" s="68">
        <f>'TE BE'!$P$33*'TE BF'!$P$52</f>
        <v>0</v>
      </c>
      <c r="Q33" s="68">
        <f>SUM($L$33:$P$33)</f>
        <v>13.252875627987383</v>
      </c>
      <c r="R33" s="68">
        <f>'TE BE'!$R$33*'TE BF'!$R$52</f>
        <v>19.801985518692153</v>
      </c>
      <c r="S33" s="68">
        <f>SUM($R$33:$R$33)</f>
        <v>19.801985518692153</v>
      </c>
      <c r="T33" s="68">
        <f>'TE BE'!$T$33*'TE BF'!$T$52</f>
        <v>1.5795657366345588</v>
      </c>
      <c r="U33" s="68">
        <f>'TE BE'!$U$33*'TE BF'!$U$52</f>
        <v>0.20569231958237075</v>
      </c>
      <c r="V33" s="68">
        <f>'TE BE'!$V$33*'TE BF'!$V$52</f>
        <v>0</v>
      </c>
      <c r="W33" s="68">
        <f>SUM($T$33:$V$33)</f>
        <v>1.7852580562169296</v>
      </c>
      <c r="X33" s="68">
        <f>'TE BE'!$AB$33*'TE BF'!$X$52</f>
        <v>0</v>
      </c>
      <c r="Y33" s="68">
        <f>SUM($X$33:$X$33)</f>
        <v>0</v>
      </c>
      <c r="Z33" s="68">
        <f>'TE BE'!$Z$33*'TE BF'!$Z$52</f>
        <v>0.20512547431112221</v>
      </c>
      <c r="AA33" s="68">
        <f>SUM($Z$33:$Z$33)</f>
        <v>0.20512547431112221</v>
      </c>
      <c r="AB33" s="68">
        <f>SUMIF($L$4:$AA$4,"SUBTOTAL",$L$33:$AA$33)</f>
        <v>35.045244677207592</v>
      </c>
    </row>
    <row r="34" spans="1:28" ht="11.25" customHeight="1" x14ac:dyDescent="0.3">
      <c r="A34" s="143"/>
      <c r="B34" s="143"/>
      <c r="C34" s="143"/>
      <c r="D34" s="143"/>
      <c r="E34" s="143"/>
      <c r="F34" s="143"/>
      <c r="G34" s="71" t="s">
        <v>78</v>
      </c>
      <c r="H34" s="71" t="s">
        <v>76</v>
      </c>
      <c r="I34" s="71">
        <f>'MERCADO TE'!$U$31</f>
        <v>0</v>
      </c>
      <c r="J34" s="15"/>
      <c r="L34" s="68">
        <f>'TE BE'!$L$34*'TE BF'!$L$52</f>
        <v>0</v>
      </c>
      <c r="M34" s="68">
        <f>'TE BE'!$M$34*'TE BF'!$M$52</f>
        <v>12.540972952433405</v>
      </c>
      <c r="N34" s="68">
        <f>'TE BE'!$N$34*'TE BF'!$N$52</f>
        <v>0</v>
      </c>
      <c r="O34" s="68">
        <f>'TE BE'!$O$34*'TE BF'!$O$52</f>
        <v>0.71190267555397668</v>
      </c>
      <c r="P34" s="68">
        <f>'TE BE'!$P$34*'TE BF'!$P$52</f>
        <v>0</v>
      </c>
      <c r="Q34" s="68">
        <f>SUM($L$34:$P$34)</f>
        <v>13.252875627987383</v>
      </c>
      <c r="R34" s="68">
        <f>'TE BE'!$R$34*'TE BF'!$R$52</f>
        <v>19.801985518692153</v>
      </c>
      <c r="S34" s="68">
        <f>SUM($R$34:$R$34)</f>
        <v>19.801985518692153</v>
      </c>
      <c r="T34" s="68">
        <f>'TE BE'!$T$34*'TE BF'!$T$52</f>
        <v>1.5795657366345588</v>
      </c>
      <c r="U34" s="68">
        <f>'TE BE'!$U$34*'TE BF'!$U$52</f>
        <v>0.20569231958237075</v>
      </c>
      <c r="V34" s="68">
        <f>'TE BE'!$V$34*'TE BF'!$V$52</f>
        <v>0</v>
      </c>
      <c r="W34" s="68">
        <f>SUM($T$34:$V$34)</f>
        <v>1.7852580562169296</v>
      </c>
      <c r="X34" s="68">
        <f>'TE BE'!$AB$34*'TE BF'!$X$52</f>
        <v>0</v>
      </c>
      <c r="Y34" s="68">
        <f>SUM($X$34:$X$34)</f>
        <v>0</v>
      </c>
      <c r="Z34" s="68">
        <f>'TE BE'!$Z$34*'TE BF'!$Z$52</f>
        <v>0.20512547431112221</v>
      </c>
      <c r="AA34" s="68">
        <f>SUM($Z$34:$Z$34)</f>
        <v>0.20512547431112221</v>
      </c>
      <c r="AB34" s="68">
        <f>SUMIF($L$4:$AA$4,"SUBTOTAL",$L$34:$AA$34)</f>
        <v>35.045244677207592</v>
      </c>
    </row>
    <row r="35" spans="1:28" ht="11.25" customHeight="1" x14ac:dyDescent="0.3">
      <c r="A35" s="143"/>
      <c r="B35" s="70" t="s">
        <v>82</v>
      </c>
      <c r="C35" s="70" t="s">
        <v>43</v>
      </c>
      <c r="D35" s="70" t="s">
        <v>97</v>
      </c>
      <c r="E35" s="70" t="s">
        <v>25</v>
      </c>
      <c r="F35" s="70" t="s">
        <v>25</v>
      </c>
      <c r="G35" s="71" t="s">
        <v>81</v>
      </c>
      <c r="H35" s="71" t="s">
        <v>76</v>
      </c>
      <c r="I35" s="71">
        <f>'MERCADO TE'!$U$32</f>
        <v>0</v>
      </c>
      <c r="J35" s="15"/>
      <c r="L35" s="68">
        <f>'TE BE'!$L$35*'TE BF'!$L$52</f>
        <v>0</v>
      </c>
      <c r="M35" s="68">
        <f>'TE BE'!$M$35*'TE BF'!$M$52</f>
        <v>12.540972952433405</v>
      </c>
      <c r="N35" s="68">
        <f>'TE BE'!$N$35*'TE BF'!$N$52</f>
        <v>0</v>
      </c>
      <c r="O35" s="68">
        <f>'TE BE'!$O$35*'TE BF'!$O$52</f>
        <v>0.71190267555397668</v>
      </c>
      <c r="P35" s="68">
        <f>'TE BE'!$P$35*'TE BF'!$P$52</f>
        <v>0</v>
      </c>
      <c r="Q35" s="68">
        <f>SUM($L$35:$P$35)</f>
        <v>13.252875627987383</v>
      </c>
      <c r="R35" s="68">
        <f>'TE BE'!$R$35*'TE BF'!$R$52</f>
        <v>20.990104649813681</v>
      </c>
      <c r="S35" s="68">
        <f>SUM($R$35:$R$35)</f>
        <v>20.990104649813681</v>
      </c>
      <c r="T35" s="68">
        <f>'TE BE'!$T$35*'TE BF'!$T$52</f>
        <v>1.5795657366345588</v>
      </c>
      <c r="U35" s="68">
        <f>'TE BE'!$U$35*'TE BF'!$U$52</f>
        <v>0.20569231958237075</v>
      </c>
      <c r="V35" s="68">
        <f>'TE BE'!$V$35*'TE BF'!$V$52</f>
        <v>0</v>
      </c>
      <c r="W35" s="68">
        <f>SUM($T$35:$V$35)</f>
        <v>1.7852580562169296</v>
      </c>
      <c r="X35" s="68">
        <f>'TE BE'!$AB$35*'TE BF'!$X$52</f>
        <v>0</v>
      </c>
      <c r="Y35" s="68">
        <f>SUM($X$35:$X$35)</f>
        <v>0</v>
      </c>
      <c r="Z35" s="68">
        <f>'TE BE'!$Z$35*'TE BF'!$Z$52</f>
        <v>0.20512547431112221</v>
      </c>
      <c r="AA35" s="68">
        <f>SUM($Z$35:$Z$35)</f>
        <v>0.20512547431112221</v>
      </c>
      <c r="AB35" s="68">
        <f>SUMIF($L$4:$AA$4,"SUBTOTAL",$L$35:$AA$35)</f>
        <v>36.233363808329123</v>
      </c>
    </row>
    <row r="36" spans="1:28" ht="11.25" customHeight="1" x14ac:dyDescent="0.3">
      <c r="A36" s="143"/>
      <c r="B36" s="143" t="s">
        <v>94</v>
      </c>
      <c r="C36" s="143" t="s">
        <v>43</v>
      </c>
      <c r="D36" s="70" t="s">
        <v>25</v>
      </c>
      <c r="E36" s="70" t="s">
        <v>25</v>
      </c>
      <c r="F36" s="70" t="s">
        <v>25</v>
      </c>
      <c r="G36" s="71" t="s">
        <v>81</v>
      </c>
      <c r="H36" s="71" t="s">
        <v>76</v>
      </c>
      <c r="I36" s="71">
        <f>'MERCADO TE'!$U$33</f>
        <v>0</v>
      </c>
      <c r="J36" s="15"/>
      <c r="L36" s="68">
        <f>'TE BE'!$L$36*'TE BF'!$L$52</f>
        <v>0</v>
      </c>
      <c r="M36" s="68">
        <f>'TE BE'!$M$36*'TE BF'!$M$52</f>
        <v>12.540972952433405</v>
      </c>
      <c r="N36" s="68">
        <f>'TE BE'!$N$36*'TE BF'!$N$52</f>
        <v>0</v>
      </c>
      <c r="O36" s="68">
        <f>'TE BE'!$O$36*'TE BF'!$O$52</f>
        <v>0.71190267555397668</v>
      </c>
      <c r="P36" s="68">
        <f>'TE BE'!$P$36*'TE BF'!$P$52</f>
        <v>0</v>
      </c>
      <c r="Q36" s="68">
        <f>SUM($L$36:$P$36)</f>
        <v>13.252875627987383</v>
      </c>
      <c r="R36" s="68">
        <f>'TE BE'!$R$36*'TE BF'!$R$52</f>
        <v>20.990104649813681</v>
      </c>
      <c r="S36" s="68">
        <f>SUM($R$36:$R$36)</f>
        <v>20.990104649813681</v>
      </c>
      <c r="T36" s="68">
        <f>'TE BE'!$T$36*'TE BF'!$T$52</f>
        <v>1.5795657366345588</v>
      </c>
      <c r="U36" s="68">
        <f>'TE BE'!$U$36*'TE BF'!$U$52</f>
        <v>0.20569231958237075</v>
      </c>
      <c r="V36" s="68">
        <f>'TE BE'!$V$36*'TE BF'!$V$52</f>
        <v>0</v>
      </c>
      <c r="W36" s="68">
        <f>SUM($T$36:$V$36)</f>
        <v>1.7852580562169296</v>
      </c>
      <c r="X36" s="68">
        <f>'TE BE'!$AB$36*'TE BF'!$X$52</f>
        <v>0</v>
      </c>
      <c r="Y36" s="68">
        <f>SUM($X$36:$X$36)</f>
        <v>0</v>
      </c>
      <c r="Z36" s="68">
        <f>'TE BE'!$Z$36*'TE BF'!$Z$52</f>
        <v>0.20512547431112221</v>
      </c>
      <c r="AA36" s="68">
        <f>SUM($Z$36:$Z$36)</f>
        <v>0.20512547431112221</v>
      </c>
      <c r="AB36" s="68">
        <f>SUMIF($L$4:$AA$4,"SUBTOTAL",$L$36:$AA$36)</f>
        <v>36.233363808329123</v>
      </c>
    </row>
    <row r="37" spans="1:28" ht="11.25" customHeight="1" x14ac:dyDescent="0.3">
      <c r="A37" s="143"/>
      <c r="B37" s="143"/>
      <c r="C37" s="143"/>
      <c r="D37" s="70" t="s">
        <v>96</v>
      </c>
      <c r="E37" s="70" t="s">
        <v>25</v>
      </c>
      <c r="F37" s="70" t="s">
        <v>25</v>
      </c>
      <c r="G37" s="71" t="s">
        <v>81</v>
      </c>
      <c r="H37" s="71" t="s">
        <v>76</v>
      </c>
      <c r="I37" s="71">
        <f>'MERCADO TE'!$U$34</f>
        <v>0</v>
      </c>
      <c r="J37" s="15"/>
      <c r="L37" s="68">
        <f>'TE BE'!$L$37*'TE BF'!$L$52</f>
        <v>0</v>
      </c>
      <c r="M37" s="68">
        <f>'TE BE'!$M$37*'TE BF'!$M$52</f>
        <v>12.540972952433405</v>
      </c>
      <c r="N37" s="68">
        <f>'TE BE'!$N$37*'TE BF'!$N$52</f>
        <v>0</v>
      </c>
      <c r="O37" s="68">
        <f>'TE BE'!$O$37*'TE BF'!$O$52</f>
        <v>0.71190267555397668</v>
      </c>
      <c r="P37" s="68">
        <f>'TE BE'!$P$37*'TE BF'!$P$52</f>
        <v>0</v>
      </c>
      <c r="Q37" s="68">
        <f>SUM($L$37:$P$37)</f>
        <v>13.252875627987383</v>
      </c>
      <c r="R37" s="68">
        <f>'TE BE'!$R$37*'TE BF'!$R$52</f>
        <v>20.990104649813681</v>
      </c>
      <c r="S37" s="68">
        <f>SUM($R$37:$R$37)</f>
        <v>20.990104649813681</v>
      </c>
      <c r="T37" s="68">
        <f>'TE BE'!$T$37*'TE BF'!$T$52</f>
        <v>1.5795657366345588</v>
      </c>
      <c r="U37" s="68">
        <f>'TE BE'!$U$37*'TE BF'!$U$52</f>
        <v>0.20569231958237075</v>
      </c>
      <c r="V37" s="68">
        <f>'TE BE'!$V$37*'TE BF'!$V$52</f>
        <v>0</v>
      </c>
      <c r="W37" s="68">
        <f>SUM($T$37:$V$37)</f>
        <v>1.7852580562169296</v>
      </c>
      <c r="X37" s="68">
        <f>'TE BE'!$AB$37*'TE BF'!$X$52</f>
        <v>0</v>
      </c>
      <c r="Y37" s="68">
        <f>SUM($X$37:$X$37)</f>
        <v>0</v>
      </c>
      <c r="Z37" s="68">
        <f>'TE BE'!$Z$37*'TE BF'!$Z$52</f>
        <v>0.20512547431112221</v>
      </c>
      <c r="AA37" s="68">
        <f>SUM($Z$37:$Z$37)</f>
        <v>0.20512547431112221</v>
      </c>
      <c r="AB37" s="68">
        <f>SUMIF($L$4:$AA$4,"SUBTOTAL",$L$37:$AA$37)</f>
        <v>36.233363808329123</v>
      </c>
    </row>
    <row r="38" spans="1:28" ht="11.25" customHeight="1" x14ac:dyDescent="0.3">
      <c r="A38" s="143"/>
      <c r="B38" s="143"/>
      <c r="C38" s="143"/>
      <c r="D38" s="70" t="s">
        <v>97</v>
      </c>
      <c r="E38" s="70" t="s">
        <v>25</v>
      </c>
      <c r="F38" s="70" t="s">
        <v>25</v>
      </c>
      <c r="G38" s="71" t="s">
        <v>81</v>
      </c>
      <c r="H38" s="71" t="s">
        <v>76</v>
      </c>
      <c r="I38" s="71">
        <f>'MERCADO TE'!$U$35</f>
        <v>0</v>
      </c>
      <c r="J38" s="15"/>
      <c r="L38" s="68">
        <f>'TE BE'!$L$38*'TE BF'!$L$52</f>
        <v>0</v>
      </c>
      <c r="M38" s="68">
        <f>'TE BE'!$M$38*'TE BF'!$M$52</f>
        <v>12.540972952433405</v>
      </c>
      <c r="N38" s="68">
        <f>'TE BE'!$N$38*'TE BF'!$N$52</f>
        <v>0</v>
      </c>
      <c r="O38" s="68">
        <f>'TE BE'!$O$38*'TE BF'!$O$52</f>
        <v>0.71190267555397668</v>
      </c>
      <c r="P38" s="68">
        <f>'TE BE'!$P$38*'TE BF'!$P$52</f>
        <v>0</v>
      </c>
      <c r="Q38" s="68">
        <f>SUM($L$38:$P$38)</f>
        <v>13.252875627987383</v>
      </c>
      <c r="R38" s="68">
        <f>'TE BE'!$R$38*'TE BF'!$R$52</f>
        <v>20.990104649813681</v>
      </c>
      <c r="S38" s="68">
        <f>SUM($R$38:$R$38)</f>
        <v>20.990104649813681</v>
      </c>
      <c r="T38" s="68">
        <f>'TE BE'!$T$38*'TE BF'!$T$52</f>
        <v>1.5795657366345588</v>
      </c>
      <c r="U38" s="68">
        <f>'TE BE'!$U$38*'TE BF'!$U$52</f>
        <v>0.20569231958237075</v>
      </c>
      <c r="V38" s="68">
        <f>'TE BE'!$V$38*'TE BF'!$V$52</f>
        <v>0</v>
      </c>
      <c r="W38" s="68">
        <f>SUM($T$38:$V$38)</f>
        <v>1.7852580562169296</v>
      </c>
      <c r="X38" s="68">
        <f>'TE BE'!$AB$38*'TE BF'!$X$52</f>
        <v>0</v>
      </c>
      <c r="Y38" s="68">
        <f>SUM($X$38:$X$38)</f>
        <v>0</v>
      </c>
      <c r="Z38" s="68">
        <f>'TE BE'!$Z$38*'TE BF'!$Z$52</f>
        <v>0.20512547431112221</v>
      </c>
      <c r="AA38" s="68">
        <f>SUM($Z$38:$Z$38)</f>
        <v>0.20512547431112221</v>
      </c>
      <c r="AB38" s="68">
        <f>SUMIF($L$4:$AA$4,"SUBTOTAL",$L$38:$AA$38)</f>
        <v>36.233363808329123</v>
      </c>
    </row>
    <row r="39" spans="1:28" ht="11.25" customHeight="1" x14ac:dyDescent="0.3">
      <c r="A39" s="143" t="s">
        <v>37</v>
      </c>
      <c r="B39" s="143" t="s">
        <v>75</v>
      </c>
      <c r="C39" s="143" t="s">
        <v>25</v>
      </c>
      <c r="D39" s="143" t="s">
        <v>25</v>
      </c>
      <c r="E39" s="143" t="s">
        <v>25</v>
      </c>
      <c r="F39" s="143" t="s">
        <v>25</v>
      </c>
      <c r="G39" s="71" t="s">
        <v>77</v>
      </c>
      <c r="H39" s="71" t="s">
        <v>76</v>
      </c>
      <c r="I39" s="71">
        <f>'MERCADO TE'!$U$36</f>
        <v>9.1080000000000005</v>
      </c>
      <c r="J39" s="15"/>
      <c r="L39" s="68">
        <f>'TE BE'!$L$39*'TE BF'!$L$52</f>
        <v>0</v>
      </c>
      <c r="M39" s="68">
        <f>'TE BE'!$M$39*'TE BF'!$M$52</f>
        <v>12.540972952433405</v>
      </c>
      <c r="N39" s="68">
        <f>'TE BE'!$N$39*'TE BF'!$N$52</f>
        <v>0</v>
      </c>
      <c r="O39" s="68">
        <f>'TE BE'!$O$39*'TE BF'!$O$52</f>
        <v>0.71190267555397668</v>
      </c>
      <c r="P39" s="68">
        <f>'TE BE'!$P$39*'TE BF'!$P$52</f>
        <v>0</v>
      </c>
      <c r="Q39" s="68">
        <f>SUM($L$39:$P$39)</f>
        <v>13.252875627987383</v>
      </c>
      <c r="R39" s="68">
        <f>'TE BE'!$R$39*'TE BF'!$R$52</f>
        <v>34.059415092150502</v>
      </c>
      <c r="S39" s="68">
        <f>SUM($R$39:$R$39)</f>
        <v>34.059415092150502</v>
      </c>
      <c r="T39" s="68">
        <f>'TE BE'!$T$39*'TE BF'!$T$52</f>
        <v>1.5795657366345588</v>
      </c>
      <c r="U39" s="68">
        <f>'TE BE'!$U$39*'TE BF'!$U$52</f>
        <v>0.20569231958237075</v>
      </c>
      <c r="V39" s="68">
        <f>'TE BE'!$V$39*'TE BF'!$V$52</f>
        <v>0</v>
      </c>
      <c r="W39" s="68">
        <f>SUM($T$39:$V$39)</f>
        <v>1.7852580562169296</v>
      </c>
      <c r="X39" s="68">
        <f>'TE BE'!$AB$39*'TE BF'!$X$52</f>
        <v>0</v>
      </c>
      <c r="Y39" s="68">
        <f>SUM($X$39:$X$39)</f>
        <v>0</v>
      </c>
      <c r="Z39" s="68">
        <f>'TE BE'!$Z$39*'TE BF'!$Z$52</f>
        <v>0.20512547431112221</v>
      </c>
      <c r="AA39" s="68">
        <f>SUM($Z$39:$Z$39)</f>
        <v>0.20512547431112221</v>
      </c>
      <c r="AB39" s="68">
        <f>SUMIF($L$4:$AA$4,"SUBTOTAL",$L$39:$AA$39)</f>
        <v>49.302674250665937</v>
      </c>
    </row>
    <row r="40" spans="1:28" ht="11.25" customHeight="1" x14ac:dyDescent="0.3">
      <c r="A40" s="143"/>
      <c r="B40" s="143"/>
      <c r="C40" s="143"/>
      <c r="D40" s="143"/>
      <c r="E40" s="143"/>
      <c r="F40" s="143"/>
      <c r="G40" s="71" t="s">
        <v>93</v>
      </c>
      <c r="H40" s="71" t="s">
        <v>76</v>
      </c>
      <c r="I40" s="71">
        <f>'MERCADO TE'!$U$37</f>
        <v>0.627</v>
      </c>
      <c r="J40" s="15"/>
      <c r="L40" s="68">
        <f>'TE BE'!$L$40*'TE BF'!$L$52</f>
        <v>0</v>
      </c>
      <c r="M40" s="68">
        <f>'TE BE'!$M$40*'TE BF'!$M$52</f>
        <v>12.540972952433405</v>
      </c>
      <c r="N40" s="68">
        <f>'TE BE'!$N$40*'TE BF'!$N$52</f>
        <v>0</v>
      </c>
      <c r="O40" s="68">
        <f>'TE BE'!$O$40*'TE BF'!$O$52</f>
        <v>0.71190267555397668</v>
      </c>
      <c r="P40" s="68">
        <f>'TE BE'!$P$40*'TE BF'!$P$52</f>
        <v>0</v>
      </c>
      <c r="Q40" s="68">
        <f>SUM($L$40:$P$40)</f>
        <v>13.252875627987383</v>
      </c>
      <c r="R40" s="68">
        <f>'TE BE'!$R$40*'TE BF'!$R$52</f>
        <v>19.801985518692153</v>
      </c>
      <c r="S40" s="68">
        <f>SUM($R$40:$R$40)</f>
        <v>19.801985518692153</v>
      </c>
      <c r="T40" s="68">
        <f>'TE BE'!$T$40*'TE BF'!$T$52</f>
        <v>1.5795657366345588</v>
      </c>
      <c r="U40" s="68">
        <f>'TE BE'!$U$40*'TE BF'!$U$52</f>
        <v>0.20569231958237075</v>
      </c>
      <c r="V40" s="68">
        <f>'TE BE'!$V$40*'TE BF'!$V$52</f>
        <v>0</v>
      </c>
      <c r="W40" s="68">
        <f>SUM($T$40:$V$40)</f>
        <v>1.7852580562169296</v>
      </c>
      <c r="X40" s="68">
        <f>'TE BE'!$AB$40*'TE BF'!$X$52</f>
        <v>0</v>
      </c>
      <c r="Y40" s="68">
        <f>SUM($X$40:$X$40)</f>
        <v>0</v>
      </c>
      <c r="Z40" s="68">
        <f>'TE BE'!$Z$40*'TE BF'!$Z$52</f>
        <v>0.20512547431112221</v>
      </c>
      <c r="AA40" s="68">
        <f>SUM($Z$40:$Z$40)</f>
        <v>0.20512547431112221</v>
      </c>
      <c r="AB40" s="68">
        <f>SUMIF($L$4:$AA$4,"SUBTOTAL",$L$40:$AA$40)</f>
        <v>35.045244677207592</v>
      </c>
    </row>
    <row r="41" spans="1:28" ht="11.25" customHeight="1" x14ac:dyDescent="0.3">
      <c r="A41" s="143"/>
      <c r="B41" s="143"/>
      <c r="C41" s="143"/>
      <c r="D41" s="143"/>
      <c r="E41" s="143"/>
      <c r="F41" s="143"/>
      <c r="G41" s="71" t="s">
        <v>78</v>
      </c>
      <c r="H41" s="71" t="s">
        <v>76</v>
      </c>
      <c r="I41" s="71">
        <f>'MERCADO TE'!$U$38</f>
        <v>7.484</v>
      </c>
      <c r="J41" s="15"/>
      <c r="L41" s="68">
        <f>'TE BE'!$L$41*'TE BF'!$L$52</f>
        <v>0</v>
      </c>
      <c r="M41" s="68">
        <f>'TE BE'!$M$41*'TE BF'!$M$52</f>
        <v>12.540972952433405</v>
      </c>
      <c r="N41" s="68">
        <f>'TE BE'!$N$41*'TE BF'!$N$52</f>
        <v>0</v>
      </c>
      <c r="O41" s="68">
        <f>'TE BE'!$O$41*'TE BF'!$O$52</f>
        <v>0.71190267555397668</v>
      </c>
      <c r="P41" s="68">
        <f>'TE BE'!$P$41*'TE BF'!$P$52</f>
        <v>0</v>
      </c>
      <c r="Q41" s="68">
        <f>SUM($L$41:$P$41)</f>
        <v>13.252875627987383</v>
      </c>
      <c r="R41" s="68">
        <f>'TE BE'!$R$41*'TE BF'!$R$52</f>
        <v>19.801985518692153</v>
      </c>
      <c r="S41" s="68">
        <f>SUM($R$41:$R$41)</f>
        <v>19.801985518692153</v>
      </c>
      <c r="T41" s="68">
        <f>'TE BE'!$T$41*'TE BF'!$T$52</f>
        <v>1.5795657366345588</v>
      </c>
      <c r="U41" s="68">
        <f>'TE BE'!$U$41*'TE BF'!$U$52</f>
        <v>0.20569231958237075</v>
      </c>
      <c r="V41" s="68">
        <f>'TE BE'!$V$41*'TE BF'!$V$52</f>
        <v>0</v>
      </c>
      <c r="W41" s="68">
        <f>SUM($T$41:$V$41)</f>
        <v>1.7852580562169296</v>
      </c>
      <c r="X41" s="68">
        <f>'TE BE'!$AB$41*'TE BF'!$X$52</f>
        <v>0</v>
      </c>
      <c r="Y41" s="68">
        <f>SUM($X$41:$X$41)</f>
        <v>0</v>
      </c>
      <c r="Z41" s="68">
        <f>'TE BE'!$Z$41*'TE BF'!$Z$52</f>
        <v>0.20512547431112221</v>
      </c>
      <c r="AA41" s="68">
        <f>SUM($Z$41:$Z$41)</f>
        <v>0.20512547431112221</v>
      </c>
      <c r="AB41" s="68">
        <f>SUMIF($L$4:$AA$4,"SUBTOTAL",$L$41:$AA$41)</f>
        <v>35.045244677207592</v>
      </c>
    </row>
    <row r="42" spans="1:28" ht="11.25" customHeight="1" x14ac:dyDescent="0.3">
      <c r="A42" s="143"/>
      <c r="B42" s="70" t="s">
        <v>82</v>
      </c>
      <c r="C42" s="70" t="s">
        <v>25</v>
      </c>
      <c r="D42" s="70" t="s">
        <v>25</v>
      </c>
      <c r="E42" s="70" t="s">
        <v>25</v>
      </c>
      <c r="F42" s="70" t="s">
        <v>25</v>
      </c>
      <c r="G42" s="71" t="s">
        <v>81</v>
      </c>
      <c r="H42" s="71" t="s">
        <v>76</v>
      </c>
      <c r="I42" s="71">
        <f>'MERCADO TE'!$U$39</f>
        <v>11812.039999999999</v>
      </c>
      <c r="J42" s="15"/>
      <c r="L42" s="68">
        <f>'TE BE'!$L$42*'TE BF'!$L$52</f>
        <v>0</v>
      </c>
      <c r="M42" s="68">
        <f>'TE BE'!$M$42*'TE BF'!$M$52</f>
        <v>12.540972952433405</v>
      </c>
      <c r="N42" s="68">
        <f>'TE BE'!$N$42*'TE BF'!$N$52</f>
        <v>0</v>
      </c>
      <c r="O42" s="68">
        <f>'TE BE'!$O$42*'TE BF'!$O$52</f>
        <v>0.71190267555397668</v>
      </c>
      <c r="P42" s="68">
        <f>'TE BE'!$P$42*'TE BF'!$P$52</f>
        <v>0</v>
      </c>
      <c r="Q42" s="68">
        <f>SUM($L$42:$P$42)</f>
        <v>13.252875627987383</v>
      </c>
      <c r="R42" s="68">
        <f>'TE BE'!$R$42*'TE BF'!$R$52</f>
        <v>20.990104649813681</v>
      </c>
      <c r="S42" s="68">
        <f>SUM($R$42:$R$42)</f>
        <v>20.990104649813681</v>
      </c>
      <c r="T42" s="68">
        <f>'TE BE'!$T$42*'TE BF'!$T$52</f>
        <v>1.5795657366345588</v>
      </c>
      <c r="U42" s="68">
        <f>'TE BE'!$U$42*'TE BF'!$U$52</f>
        <v>0.20569231958237075</v>
      </c>
      <c r="V42" s="68">
        <f>'TE BE'!$V$42*'TE BF'!$V$52</f>
        <v>0</v>
      </c>
      <c r="W42" s="68">
        <f>SUM($T$42:$V$42)</f>
        <v>1.7852580562169296</v>
      </c>
      <c r="X42" s="68">
        <f>'TE BE'!$AB$42*'TE BF'!$X$52</f>
        <v>0</v>
      </c>
      <c r="Y42" s="68">
        <f>SUM($X$42:$X$42)</f>
        <v>0</v>
      </c>
      <c r="Z42" s="68">
        <f>'TE BE'!$Z$42*'TE BF'!$Z$52</f>
        <v>0.20512547431112221</v>
      </c>
      <c r="AA42" s="68">
        <f>SUM($Z$42:$Z$42)</f>
        <v>0.20512547431112221</v>
      </c>
      <c r="AB42" s="68">
        <f>SUMIF($L$4:$AA$4,"SUBTOTAL",$L$42:$AA$42)</f>
        <v>36.233363808329123</v>
      </c>
    </row>
    <row r="43" spans="1:28" ht="11.25" customHeight="1" x14ac:dyDescent="0.3">
      <c r="A43" s="143"/>
      <c r="B43" s="70" t="s">
        <v>94</v>
      </c>
      <c r="C43" s="70" t="s">
        <v>25</v>
      </c>
      <c r="D43" s="70" t="s">
        <v>25</v>
      </c>
      <c r="E43" s="70" t="s">
        <v>25</v>
      </c>
      <c r="F43" s="70" t="s">
        <v>25</v>
      </c>
      <c r="G43" s="71" t="s">
        <v>81</v>
      </c>
      <c r="H43" s="71" t="s">
        <v>76</v>
      </c>
      <c r="I43" s="71">
        <f>'MERCADO TE'!$U$40</f>
        <v>0</v>
      </c>
      <c r="J43" s="15"/>
      <c r="L43" s="68">
        <f>'TE BE'!$L$43*'TE BF'!$L$52</f>
        <v>0</v>
      </c>
      <c r="M43" s="68">
        <f>'TE BE'!$M$43*'TE BF'!$M$52</f>
        <v>12.540972952433405</v>
      </c>
      <c r="N43" s="68">
        <f>'TE BE'!$N$43*'TE BF'!$N$52</f>
        <v>0</v>
      </c>
      <c r="O43" s="68">
        <f>'TE BE'!$O$43*'TE BF'!$O$52</f>
        <v>0.71190267555397668</v>
      </c>
      <c r="P43" s="68">
        <f>'TE BE'!$P$43*'TE BF'!$P$52</f>
        <v>0</v>
      </c>
      <c r="Q43" s="68">
        <f>SUM($L$43:$P$43)</f>
        <v>13.252875627987383</v>
      </c>
      <c r="R43" s="68">
        <f>'TE BE'!$R$43*'TE BF'!$R$52</f>
        <v>20.990104649813681</v>
      </c>
      <c r="S43" s="68">
        <f>SUM($R$43:$R$43)</f>
        <v>20.990104649813681</v>
      </c>
      <c r="T43" s="68">
        <f>'TE BE'!$T$43*'TE BF'!$T$52</f>
        <v>1.5795657366345588</v>
      </c>
      <c r="U43" s="68">
        <f>'TE BE'!$U$43*'TE BF'!$U$52</f>
        <v>0.20569231958237075</v>
      </c>
      <c r="V43" s="68">
        <f>'TE BE'!$V$43*'TE BF'!$V$52</f>
        <v>0</v>
      </c>
      <c r="W43" s="68">
        <f>SUM($T$43:$V$43)</f>
        <v>1.7852580562169296</v>
      </c>
      <c r="X43" s="68">
        <f>'TE BE'!$AB$43*'TE BF'!$X$52</f>
        <v>0</v>
      </c>
      <c r="Y43" s="68">
        <f>SUM($X$43:$X$43)</f>
        <v>0</v>
      </c>
      <c r="Z43" s="68">
        <f>'TE BE'!$Z$43*'TE BF'!$Z$52</f>
        <v>0.20512547431112221</v>
      </c>
      <c r="AA43" s="68">
        <f>SUM($Z$43:$Z$43)</f>
        <v>0.20512547431112221</v>
      </c>
      <c r="AB43" s="68">
        <f>SUMIF($L$4:$AA$4,"SUBTOTAL",$L$43:$AA$43)</f>
        <v>36.233363808329123</v>
      </c>
    </row>
    <row r="44" spans="1:28" ht="11.25" customHeight="1" x14ac:dyDescent="0.3">
      <c r="A44" s="143" t="s">
        <v>45</v>
      </c>
      <c r="B44" s="143" t="s">
        <v>82</v>
      </c>
      <c r="C44" s="143" t="s">
        <v>46</v>
      </c>
      <c r="D44" s="70" t="s">
        <v>47</v>
      </c>
      <c r="E44" s="70" t="s">
        <v>25</v>
      </c>
      <c r="F44" s="70" t="s">
        <v>25</v>
      </c>
      <c r="G44" s="71" t="s">
        <v>81</v>
      </c>
      <c r="H44" s="71" t="s">
        <v>76</v>
      </c>
      <c r="I44" s="71">
        <f>'MERCADO TE'!$U$41</f>
        <v>4365.4290000000001</v>
      </c>
      <c r="J44" s="15"/>
      <c r="L44" s="68">
        <f>'TE BE'!$L$44*'TE BF'!$L$52</f>
        <v>0</v>
      </c>
      <c r="M44" s="68">
        <f>'TE BE'!$M$44*'TE BF'!$M$52</f>
        <v>6.8975351238383737</v>
      </c>
      <c r="N44" s="68">
        <f>'TE BE'!$N$44*'TE BF'!$N$52</f>
        <v>0</v>
      </c>
      <c r="O44" s="68">
        <f>'TE BE'!$O$44*'TE BF'!$O$52</f>
        <v>0.39154647155468719</v>
      </c>
      <c r="P44" s="68">
        <f>'TE BE'!$P$44*'TE BF'!$P$52</f>
        <v>0</v>
      </c>
      <c r="Q44" s="68">
        <f>SUM($L$44:$P$44)</f>
        <v>7.2890815953930606</v>
      </c>
      <c r="R44" s="68">
        <f>'TE BE'!$R$44*'TE BF'!$R$52</f>
        <v>11.544557557397527</v>
      </c>
      <c r="S44" s="68">
        <f>SUM($R$44:$R$44)</f>
        <v>11.544557557397527</v>
      </c>
      <c r="T44" s="68">
        <f>'TE BE'!$T$44*'TE BF'!$T$52</f>
        <v>0.86876115514900742</v>
      </c>
      <c r="U44" s="68">
        <f>'TE BE'!$U$44*'TE BF'!$U$52</f>
        <v>0.11313077577030392</v>
      </c>
      <c r="V44" s="68">
        <f>'TE BE'!$V$44*'TE BF'!$V$52</f>
        <v>0</v>
      </c>
      <c r="W44" s="68">
        <f>SUM($T$44:$V$44)</f>
        <v>0.98189193091931137</v>
      </c>
      <c r="X44" s="68">
        <f>'TE BE'!$AB$44*'TE BF'!$X$52</f>
        <v>0</v>
      </c>
      <c r="Y44" s="68">
        <f>SUM($X$44:$X$44)</f>
        <v>0</v>
      </c>
      <c r="Z44" s="68">
        <f>'TE BE'!$Z$44*'TE BF'!$Z$52</f>
        <v>0.11281901087111723</v>
      </c>
      <c r="AA44" s="68">
        <f>SUM($Z$44:$Z$44)</f>
        <v>0.11281901087111723</v>
      </c>
      <c r="AB44" s="68">
        <f>SUMIF($L$4:$AA$4,"SUBTOTAL",$L$44:$AA$44)</f>
        <v>19.928350094581017</v>
      </c>
    </row>
    <row r="45" spans="1:28" ht="11.25" customHeight="1" x14ac:dyDescent="0.3">
      <c r="A45" s="143"/>
      <c r="B45" s="143"/>
      <c r="C45" s="143"/>
      <c r="D45" s="71" t="s">
        <v>98</v>
      </c>
      <c r="E45" s="71" t="s">
        <v>25</v>
      </c>
      <c r="F45" s="71" t="s">
        <v>25</v>
      </c>
      <c r="G45" s="71" t="s">
        <v>81</v>
      </c>
      <c r="H45" s="71" t="s">
        <v>76</v>
      </c>
      <c r="I45" s="71">
        <f>'MERCADO TE'!$U$42</f>
        <v>0</v>
      </c>
      <c r="J45" s="15"/>
      <c r="L45" s="68">
        <f>'TE BE'!$L$45*'TE BF'!$L$52</f>
        <v>0</v>
      </c>
      <c r="M45" s="68">
        <f>'TE BE'!$M$45*'TE BF'!$M$52</f>
        <v>7.5245837714600432</v>
      </c>
      <c r="N45" s="68">
        <f>'TE BE'!$N$45*'TE BF'!$N$52</f>
        <v>0</v>
      </c>
      <c r="O45" s="68">
        <f>'TE BE'!$O$45*'TE BF'!$O$52</f>
        <v>0.42714160533238599</v>
      </c>
      <c r="P45" s="68">
        <f>'TE BE'!$P$45*'TE BF'!$P$52</f>
        <v>0</v>
      </c>
      <c r="Q45" s="68">
        <f>SUM($L$45:$P$45)</f>
        <v>7.951725376792429</v>
      </c>
      <c r="R45" s="68">
        <f>'TE BE'!$R$45*'TE BF'!$R$52</f>
        <v>12.594062789888207</v>
      </c>
      <c r="S45" s="68">
        <f>SUM($R$45:$R$45)</f>
        <v>12.594062789888207</v>
      </c>
      <c r="T45" s="68">
        <f>'TE BE'!$T$45*'TE BF'!$T$52</f>
        <v>0.94773944198073523</v>
      </c>
      <c r="U45" s="68">
        <f>'TE BE'!$U$45*'TE BF'!$U$52</f>
        <v>0.12341539174942245</v>
      </c>
      <c r="V45" s="68">
        <f>'TE BE'!$V$45*'TE BF'!$V$52</f>
        <v>0</v>
      </c>
      <c r="W45" s="68">
        <f>SUM($T$45:$V$45)</f>
        <v>1.0711548337301577</v>
      </c>
      <c r="X45" s="68">
        <f>'TE BE'!$AB$45*'TE BF'!$X$52</f>
        <v>0</v>
      </c>
      <c r="Y45" s="68">
        <f>SUM($X$45:$X$45)</f>
        <v>0</v>
      </c>
      <c r="Z45" s="68">
        <f>'TE BE'!$Z$45*'TE BF'!$Z$52</f>
        <v>0.12307528458667331</v>
      </c>
      <c r="AA45" s="68">
        <f>SUM($Z$45:$Z$45)</f>
        <v>0.12307528458667331</v>
      </c>
      <c r="AB45" s="68">
        <f>SUMIF($L$4:$AA$4,"SUBTOTAL",$L$45:$AA$45)</f>
        <v>21.740018284997468</v>
      </c>
    </row>
    <row r="47" spans="1:28" ht="11.25" customHeight="1" x14ac:dyDescent="0.3">
      <c r="K47" s="73" t="s">
        <v>716</v>
      </c>
      <c r="L47" s="68">
        <f t="shared" ref="L47:AB47" si="0">SUMPRODUCT($I$5:$I$45,L$5:L$45)</f>
        <v>0</v>
      </c>
      <c r="M47" s="68">
        <f t="shared" si="0"/>
        <v>913870.79390000028</v>
      </c>
      <c r="N47" s="68">
        <f t="shared" si="0"/>
        <v>0</v>
      </c>
      <c r="O47" s="68">
        <f t="shared" si="0"/>
        <v>51876.921013676947</v>
      </c>
      <c r="P47" s="68">
        <f t="shared" si="0"/>
        <v>0</v>
      </c>
      <c r="Q47" s="68">
        <f t="shared" si="0"/>
        <v>965747.71491367719</v>
      </c>
      <c r="R47" s="68">
        <f t="shared" si="0"/>
        <v>1522229.0061600241</v>
      </c>
      <c r="S47" s="68">
        <f t="shared" si="0"/>
        <v>1522229.0061600241</v>
      </c>
      <c r="T47" s="68">
        <f t="shared" si="0"/>
        <v>115104.2267</v>
      </c>
      <c r="U47" s="68">
        <f t="shared" si="0"/>
        <v>14988.964900000004</v>
      </c>
      <c r="V47" s="68">
        <f t="shared" si="0"/>
        <v>0</v>
      </c>
      <c r="W47" s="68">
        <f t="shared" si="0"/>
        <v>130093.19160000002</v>
      </c>
      <c r="X47" s="68">
        <f t="shared" si="0"/>
        <v>0</v>
      </c>
      <c r="Y47" s="68">
        <f t="shared" si="0"/>
        <v>0</v>
      </c>
      <c r="Z47" s="68">
        <f t="shared" si="0"/>
        <v>14947.658428802022</v>
      </c>
      <c r="AA47" s="68">
        <f t="shared" si="0"/>
        <v>14947.658428802022</v>
      </c>
      <c r="AB47" s="68">
        <f t="shared" si="0"/>
        <v>2633017.5711025042</v>
      </c>
    </row>
    <row r="48" spans="1:28" ht="11.25" customHeight="1" x14ac:dyDescent="0.3">
      <c r="K48" s="73" t="s">
        <v>652</v>
      </c>
      <c r="L48" s="68">
        <f>CUSTOS!$D$30</f>
        <v>167940.82504070833</v>
      </c>
      <c r="M48" s="68">
        <f>CUSTOS!$D$31</f>
        <v>1712489.293852424</v>
      </c>
      <c r="N48" s="68">
        <f>CUSTOS!$D$32</f>
        <v>0</v>
      </c>
      <c r="O48" s="68">
        <f>CUSTOS!$D$33</f>
        <v>790965.44408662</v>
      </c>
      <c r="P48" s="68">
        <f>CUSTOS!$D$34</f>
        <v>-1110000</v>
      </c>
      <c r="Q48" s="68">
        <f>CUSTOS!$D$35</f>
        <v>1561395.5629797522</v>
      </c>
      <c r="R48" s="68">
        <f>CUSTOS!$D$36</f>
        <v>14953142.10204223</v>
      </c>
      <c r="S48" s="68">
        <f>CUSTOS!$D$37</f>
        <v>14953142.10204223</v>
      </c>
      <c r="T48" s="68">
        <f>CUSTOS!$D$38</f>
        <v>385890.19522984239</v>
      </c>
      <c r="U48" s="68">
        <f>CUSTOS!$D$39</f>
        <v>270104.33764690749</v>
      </c>
      <c r="V48" s="68">
        <f>CUSTOS!$D$40</f>
        <v>0</v>
      </c>
      <c r="W48" s="68">
        <f>CUSTOS!$D$41</f>
        <v>655994.53287674987</v>
      </c>
      <c r="X48" s="68">
        <f>CUSTOS!$D$42</f>
        <v>0</v>
      </c>
      <c r="Y48" s="68">
        <f>CUSTOS!$D$43</f>
        <v>0</v>
      </c>
      <c r="Z48" s="68">
        <f>CUSTOS!$D$44</f>
        <v>146833.6627893484</v>
      </c>
      <c r="AA48" s="68">
        <f>CUSTOS!$D$45</f>
        <v>146833.6627893484</v>
      </c>
      <c r="AB48" s="68">
        <f>CUSTOS!$D$46</f>
        <v>17317365.860688079</v>
      </c>
    </row>
    <row r="49" spans="11:28" ht="11.25" customHeight="1" x14ac:dyDescent="0.3">
      <c r="K49" s="73" t="s">
        <v>653</v>
      </c>
      <c r="L49" s="68">
        <f>CUSTOS!$E$30</f>
        <v>-1.3138446416525909</v>
      </c>
      <c r="M49" s="68">
        <f>CUSTOS!$E$31</f>
        <v>-493289.99075713538</v>
      </c>
      <c r="N49" s="68">
        <f>CUSTOS!$E$32</f>
        <v>0</v>
      </c>
      <c r="O49" s="68">
        <f>CUSTOS!$E$33</f>
        <v>-39950.401748293851</v>
      </c>
      <c r="P49" s="68">
        <f>CUSTOS!$E$34</f>
        <v>0</v>
      </c>
      <c r="Q49" s="68">
        <f>CUSTOS!$E$35</f>
        <v>-533241.70635007089</v>
      </c>
      <c r="R49" s="68">
        <f>CUSTOS!$E$36</f>
        <v>-2229271.9091954995</v>
      </c>
      <c r="S49" s="68">
        <f>CUSTOS!$E$37</f>
        <v>-2229271.9091954995</v>
      </c>
      <c r="T49" s="68">
        <f>CUSTOS!$E$38</f>
        <v>-31139.957837230031</v>
      </c>
      <c r="U49" s="68">
        <f>CUSTOS!$E$39</f>
        <v>-2299.010892429159</v>
      </c>
      <c r="V49" s="68">
        <f>CUSTOS!$E$40</f>
        <v>0</v>
      </c>
      <c r="W49" s="68">
        <f>CUSTOS!$E$41</f>
        <v>-33438.968729659187</v>
      </c>
      <c r="X49" s="68">
        <f>CUSTOS!$E$42</f>
        <v>-2049499.9443448738</v>
      </c>
      <c r="Y49" s="68">
        <f>CUSTOS!$E$43</f>
        <v>-2049499.9443448738</v>
      </c>
      <c r="Z49" s="68">
        <f>CUSTOS!$E$44</f>
        <v>-21890.526923827827</v>
      </c>
      <c r="AA49" s="68">
        <f>CUSTOS!$E$45</f>
        <v>-21890.526923827827</v>
      </c>
      <c r="AB49" s="68">
        <f>CUSTOS!$E$46</f>
        <v>-4867343.0555439312</v>
      </c>
    </row>
    <row r="50" spans="11:28" ht="11.25" customHeight="1" x14ac:dyDescent="0.3">
      <c r="K50" s="73" t="s">
        <v>654</v>
      </c>
      <c r="L50" s="68">
        <f>CUSTOS!$F$30</f>
        <v>0</v>
      </c>
      <c r="M50" s="68">
        <f>CUSTOS!$F$31</f>
        <v>913870.79390000005</v>
      </c>
      <c r="N50" s="68">
        <f>CUSTOS!$F$32</f>
        <v>0</v>
      </c>
      <c r="O50" s="68">
        <f>CUSTOS!$F$33</f>
        <v>51876.921013676954</v>
      </c>
      <c r="P50" s="68">
        <f>CUSTOS!$F$34</f>
        <v>0</v>
      </c>
      <c r="Q50" s="68">
        <f>CUSTOS!$F$35</f>
        <v>965747.71491367696</v>
      </c>
      <c r="R50" s="68">
        <f>CUSTOS!$F$36</f>
        <v>1522229.0061600239</v>
      </c>
      <c r="S50" s="68">
        <f>CUSTOS!$F$37</f>
        <v>1522229.0061600239</v>
      </c>
      <c r="T50" s="68">
        <f>CUSTOS!$F$38</f>
        <v>115104.2267</v>
      </c>
      <c r="U50" s="68">
        <f>CUSTOS!$F$39</f>
        <v>14988.964900000001</v>
      </c>
      <c r="V50" s="68">
        <f>CUSTOS!$F$40</f>
        <v>0</v>
      </c>
      <c r="W50" s="68">
        <f>CUSTOS!$F$41</f>
        <v>130093.19160000001</v>
      </c>
      <c r="X50" s="68">
        <f>CUSTOS!$F$42</f>
        <v>0</v>
      </c>
      <c r="Y50" s="68">
        <f>CUSTOS!$F$43</f>
        <v>0</v>
      </c>
      <c r="Z50" s="68">
        <f>CUSTOS!$F$44</f>
        <v>14947.65842880202</v>
      </c>
      <c r="AA50" s="68">
        <f>CUSTOS!$F$45</f>
        <v>14947.65842880202</v>
      </c>
      <c r="AB50" s="68">
        <f>CUSTOS!$F$46</f>
        <v>2633017.5711025032</v>
      </c>
    </row>
    <row r="51" spans="11:28" ht="11.25" customHeight="1" x14ac:dyDescent="0.3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</row>
    <row r="52" spans="11:28" ht="11.25" customHeight="1" x14ac:dyDescent="0.3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</row>
    <row r="53" spans="11:28" ht="11.25" customHeight="1" x14ac:dyDescent="0.3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61">
    <mergeCell ref="T3:W3"/>
    <mergeCell ref="X3:Y3"/>
    <mergeCell ref="A1:A4"/>
    <mergeCell ref="B1:B4"/>
    <mergeCell ref="C1:C4"/>
    <mergeCell ref="D1:D4"/>
    <mergeCell ref="E1:E4"/>
    <mergeCell ref="F1:F4"/>
    <mergeCell ref="Z3:AA3"/>
    <mergeCell ref="AB3:AB4"/>
    <mergeCell ref="A5:A10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F11:F13"/>
    <mergeCell ref="B14:B18"/>
    <mergeCell ref="C14:C18"/>
    <mergeCell ref="B19:B23"/>
    <mergeCell ref="C19:C23"/>
    <mergeCell ref="A11:A23"/>
    <mergeCell ref="B11:B13"/>
    <mergeCell ref="C11:C13"/>
    <mergeCell ref="D11:D13"/>
    <mergeCell ref="E11:E13"/>
    <mergeCell ref="D32:D34"/>
    <mergeCell ref="E32:E34"/>
    <mergeCell ref="F32:F34"/>
    <mergeCell ref="D24:D26"/>
    <mergeCell ref="E24:E26"/>
    <mergeCell ref="F24:F26"/>
    <mergeCell ref="D28:D30"/>
    <mergeCell ref="E28:E30"/>
    <mergeCell ref="F28:F30"/>
    <mergeCell ref="B36:B38"/>
    <mergeCell ref="C36:C38"/>
    <mergeCell ref="A39:A43"/>
    <mergeCell ref="B39:B41"/>
    <mergeCell ref="C39:C41"/>
    <mergeCell ref="A24:A38"/>
    <mergeCell ref="B24:B26"/>
    <mergeCell ref="C24:C26"/>
    <mergeCell ref="B32:B34"/>
    <mergeCell ref="C32:C34"/>
    <mergeCell ref="B28:B30"/>
    <mergeCell ref="C28:C30"/>
    <mergeCell ref="E39:E41"/>
    <mergeCell ref="F39:F41"/>
    <mergeCell ref="A44:A45"/>
    <mergeCell ref="B44:B45"/>
    <mergeCell ref="C44:C45"/>
    <mergeCell ref="D39:D41"/>
  </mergeCells>
  <conditionalFormatting sqref="L47">
    <cfRule type="cellIs" dxfId="3641" priority="33" operator="notEqual">
      <formula>$L$50</formula>
    </cfRule>
    <cfRule type="cellIs" dxfId="3640" priority="34" operator="equal">
      <formula>$L$50</formula>
    </cfRule>
  </conditionalFormatting>
  <conditionalFormatting sqref="M47">
    <cfRule type="cellIs" dxfId="3639" priority="31" operator="notEqual">
      <formula>$M$50</formula>
    </cfRule>
    <cfRule type="cellIs" dxfId="3638" priority="32" operator="equal">
      <formula>$M$50</formula>
    </cfRule>
  </conditionalFormatting>
  <conditionalFormatting sqref="N47">
    <cfRule type="cellIs" dxfId="3637" priority="29" operator="notEqual">
      <formula>$N$50</formula>
    </cfRule>
    <cfRule type="cellIs" dxfId="3636" priority="30" operator="equal">
      <formula>$N$50</formula>
    </cfRule>
  </conditionalFormatting>
  <conditionalFormatting sqref="O47">
    <cfRule type="cellIs" dxfId="3635" priority="27" operator="notEqual">
      <formula>$O$50</formula>
    </cfRule>
    <cfRule type="cellIs" dxfId="3634" priority="28" operator="equal">
      <formula>$O$50</formula>
    </cfRule>
  </conditionalFormatting>
  <conditionalFormatting sqref="P47">
    <cfRule type="cellIs" dxfId="3633" priority="25" operator="notEqual">
      <formula>$P$50</formula>
    </cfRule>
    <cfRule type="cellIs" dxfId="3632" priority="26" operator="equal">
      <formula>$P$50</formula>
    </cfRule>
  </conditionalFormatting>
  <conditionalFormatting sqref="Q47">
    <cfRule type="cellIs" dxfId="3631" priority="23" operator="notEqual">
      <formula>$Q$50</formula>
    </cfRule>
    <cfRule type="cellIs" dxfId="3630" priority="24" operator="equal">
      <formula>$Q$50</formula>
    </cfRule>
  </conditionalFormatting>
  <conditionalFormatting sqref="R47">
    <cfRule type="cellIs" dxfId="3629" priority="21" operator="notEqual">
      <formula>$R$50</formula>
    </cfRule>
    <cfRule type="cellIs" dxfId="3628" priority="22" operator="equal">
      <formula>$R$50</formula>
    </cfRule>
  </conditionalFormatting>
  <conditionalFormatting sqref="S47">
    <cfRule type="cellIs" dxfId="3627" priority="19" operator="notEqual">
      <formula>$S$50</formula>
    </cfRule>
    <cfRule type="cellIs" dxfId="3626" priority="20" operator="equal">
      <formula>$S$50</formula>
    </cfRule>
  </conditionalFormatting>
  <conditionalFormatting sqref="T47">
    <cfRule type="cellIs" dxfId="3625" priority="17" operator="notEqual">
      <formula>$T$50</formula>
    </cfRule>
    <cfRule type="cellIs" dxfId="3624" priority="18" operator="equal">
      <formula>$T$50</formula>
    </cfRule>
  </conditionalFormatting>
  <conditionalFormatting sqref="U47">
    <cfRule type="cellIs" dxfId="3623" priority="15" operator="notEqual">
      <formula>$U$50</formula>
    </cfRule>
    <cfRule type="cellIs" dxfId="3622" priority="16" operator="equal">
      <formula>$U$50</formula>
    </cfRule>
  </conditionalFormatting>
  <conditionalFormatting sqref="V47">
    <cfRule type="cellIs" dxfId="3621" priority="13" operator="notEqual">
      <formula>$V$50</formula>
    </cfRule>
    <cfRule type="cellIs" dxfId="3620" priority="14" operator="equal">
      <formula>$V$50</formula>
    </cfRule>
  </conditionalFormatting>
  <conditionalFormatting sqref="W47">
    <cfRule type="cellIs" dxfId="3619" priority="11" operator="notEqual">
      <formula>$W$50</formula>
    </cfRule>
    <cfRule type="cellIs" dxfId="3618" priority="12" operator="equal">
      <formula>$W$50</formula>
    </cfRule>
  </conditionalFormatting>
  <conditionalFormatting sqref="X47">
    <cfRule type="cellIs" dxfId="3617" priority="9" operator="notEqual">
      <formula>$X$50</formula>
    </cfRule>
    <cfRule type="cellIs" dxfId="3616" priority="10" operator="equal">
      <formula>$X$50</formula>
    </cfRule>
  </conditionalFormatting>
  <conditionalFormatting sqref="Y47">
    <cfRule type="cellIs" dxfId="3615" priority="7" operator="notEqual">
      <formula>$Y$50</formula>
    </cfRule>
    <cfRule type="cellIs" dxfId="3614" priority="8" operator="equal">
      <formula>$Y$50</formula>
    </cfRule>
  </conditionalFormatting>
  <conditionalFormatting sqref="Z47">
    <cfRule type="cellIs" dxfId="3613" priority="5" operator="notEqual">
      <formula>$Z$50</formula>
    </cfRule>
    <cfRule type="cellIs" dxfId="3612" priority="6" operator="equal">
      <formula>$Z$50</formula>
    </cfRule>
  </conditionalFormatting>
  <conditionalFormatting sqref="AA47">
    <cfRule type="cellIs" dxfId="3611" priority="3" operator="notEqual">
      <formula>$AA$50</formula>
    </cfRule>
    <cfRule type="cellIs" dxfId="3610" priority="4" operator="equal">
      <formula>$AA$50</formula>
    </cfRule>
  </conditionalFormatting>
  <conditionalFormatting sqref="AB47">
    <cfRule type="cellIs" dxfId="3609" priority="1" operator="notEqual">
      <formula>$AB$50</formula>
    </cfRule>
    <cfRule type="cellIs" dxfId="3608" priority="2" operator="equal">
      <formula>$AB$50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5B01-A44F-4958-ABA6-8C5CAED861EA}">
  <sheetPr codeName="Planilha27"/>
  <dimension ref="A1:AV667"/>
  <sheetViews>
    <sheetView showGridLines="0" topLeftCell="A2" workbookViewId="0">
      <selection sqref="A1:AG667"/>
    </sheetView>
  </sheetViews>
  <sheetFormatPr defaultColWidth="8.88671875" defaultRowHeight="11.25" customHeight="1" x14ac:dyDescent="0.3"/>
  <cols>
    <col min="1" max="1" width="19.109375" style="3" bestFit="1" customWidth="1"/>
    <col min="2" max="2" width="13.33203125" style="3" bestFit="1" customWidth="1"/>
    <col min="3" max="3" width="14.5546875" style="3" bestFit="1" customWidth="1"/>
    <col min="4" max="4" width="13.5546875" style="3" bestFit="1" customWidth="1"/>
    <col min="5" max="5" width="25.109375" style="3" bestFit="1" customWidth="1"/>
    <col min="6" max="6" width="13.33203125" style="3" bestFit="1" customWidth="1"/>
    <col min="7" max="7" width="11.33203125" style="3" bestFit="1" customWidth="1"/>
    <col min="8" max="8" width="10.33203125" style="3" bestFit="1" customWidth="1"/>
    <col min="9" max="9" width="12.109375" style="6" bestFit="1" customWidth="1"/>
    <col min="10" max="10" width="7" style="4" bestFit="1" customWidth="1"/>
    <col min="11" max="11" width="7.88671875" style="4" bestFit="1" customWidth="1"/>
    <col min="12" max="12" width="11.33203125" style="4" bestFit="1" customWidth="1"/>
    <col min="13" max="13" width="12.5546875" style="4" bestFit="1" customWidth="1"/>
    <col min="14" max="14" width="9.109375" style="4" bestFit="1" customWidth="1"/>
    <col min="15" max="15" width="10.44140625" style="4" bestFit="1" customWidth="1"/>
    <col min="16" max="16" width="7.6640625" style="4" bestFit="1" customWidth="1"/>
    <col min="17" max="17" width="11.109375" style="3" bestFit="1" customWidth="1"/>
    <col min="18" max="18" width="13.109375" style="3" bestFit="1" customWidth="1"/>
    <col min="19" max="19" width="23" style="3" bestFit="1" customWidth="1"/>
    <col min="20" max="20" width="24.44140625" style="3" bestFit="1" customWidth="1"/>
    <col min="21" max="21" width="22.33203125" style="3" bestFit="1" customWidth="1"/>
    <col min="22" max="22" width="15.88671875" style="3" bestFit="1" customWidth="1"/>
    <col min="23" max="23" width="17.33203125" style="3" bestFit="1" customWidth="1"/>
    <col min="24" max="24" width="15.109375" style="3" bestFit="1" customWidth="1"/>
    <col min="25" max="25" width="20.88671875" style="3" bestFit="1" customWidth="1"/>
    <col min="26" max="26" width="22.44140625" style="3" bestFit="1" customWidth="1"/>
    <col min="27" max="27" width="20.109375" style="3" bestFit="1" customWidth="1"/>
    <col min="28" max="28" width="23.33203125" style="3" bestFit="1" customWidth="1"/>
    <col min="29" max="29" width="24.6640625" style="3" bestFit="1" customWidth="1"/>
    <col min="30" max="30" width="22.5546875" style="3" bestFit="1" customWidth="1"/>
    <col min="31" max="31" width="24.109375" style="3" bestFit="1" customWidth="1"/>
    <col min="32" max="32" width="25.5546875" style="3" bestFit="1" customWidth="1"/>
    <col min="33" max="33" width="23.44140625" style="3" bestFit="1" customWidth="1"/>
    <col min="34" max="34" width="8.88671875" style="3"/>
    <col min="35" max="35" width="9.33203125" style="3" bestFit="1" customWidth="1"/>
    <col min="36" max="36" width="14.5546875" style="3" bestFit="1" customWidth="1"/>
    <col min="37" max="37" width="15.44140625" style="3" bestFit="1" customWidth="1"/>
    <col min="38" max="38" width="9.33203125" style="3" bestFit="1" customWidth="1"/>
    <col min="39" max="39" width="8.88671875" style="3"/>
    <col min="40" max="40" width="9.33203125" style="3" bestFit="1" customWidth="1"/>
    <col min="41" max="41" width="12.33203125" style="3" bestFit="1" customWidth="1"/>
    <col min="42" max="42" width="13.33203125" style="3" bestFit="1" customWidth="1"/>
    <col min="43" max="43" width="9.33203125" style="3" bestFit="1" customWidth="1"/>
    <col min="44" max="44" width="8.88671875" style="3"/>
    <col min="45" max="45" width="9.33203125" style="3" bestFit="1" customWidth="1"/>
    <col min="46" max="47" width="10.88671875" style="3" bestFit="1" customWidth="1"/>
    <col min="48" max="48" width="9.33203125" style="3" bestFit="1" customWidth="1"/>
    <col min="49" max="16384" width="8.88671875" style="3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737</v>
      </c>
      <c r="W1" s="1" t="s">
        <v>738</v>
      </c>
      <c r="X1" s="1" t="s">
        <v>739</v>
      </c>
      <c r="Y1" s="1" t="s">
        <v>740</v>
      </c>
      <c r="Z1" s="1" t="s">
        <v>741</v>
      </c>
      <c r="AA1" s="1" t="s">
        <v>742</v>
      </c>
      <c r="AB1" s="1" t="s">
        <v>745</v>
      </c>
      <c r="AC1" s="1" t="s">
        <v>746</v>
      </c>
      <c r="AD1" s="1" t="s">
        <v>747</v>
      </c>
      <c r="AE1" s="1" t="s">
        <v>748</v>
      </c>
      <c r="AF1" s="1" t="s">
        <v>749</v>
      </c>
      <c r="AG1" s="1" t="s">
        <v>750</v>
      </c>
      <c r="AI1" s="82" t="s">
        <v>66</v>
      </c>
      <c r="AJ1" s="82" t="s">
        <v>751</v>
      </c>
      <c r="AK1" s="82" t="s">
        <v>752</v>
      </c>
      <c r="AL1" s="82" t="s">
        <v>753</v>
      </c>
      <c r="AN1" s="82" t="s">
        <v>66</v>
      </c>
      <c r="AO1" s="82" t="s">
        <v>754</v>
      </c>
      <c r="AP1" s="82" t="s">
        <v>755</v>
      </c>
      <c r="AQ1" s="82" t="s">
        <v>753</v>
      </c>
      <c r="AS1" s="82" t="s">
        <v>66</v>
      </c>
      <c r="AT1" s="82" t="s">
        <v>756</v>
      </c>
      <c r="AU1" s="82" t="s">
        <v>757</v>
      </c>
      <c r="AV1" s="82" t="s">
        <v>753</v>
      </c>
    </row>
    <row r="2" spans="1:48" ht="11.25" customHeight="1" x14ac:dyDescent="0.3">
      <c r="A2" s="3" t="s">
        <v>21</v>
      </c>
      <c r="B2" s="3" t="s">
        <v>39</v>
      </c>
      <c r="C2" s="3" t="s">
        <v>56</v>
      </c>
      <c r="D2" s="3" t="s">
        <v>25</v>
      </c>
      <c r="E2" s="3" t="s">
        <v>25</v>
      </c>
      <c r="F2" s="3" t="s">
        <v>57</v>
      </c>
      <c r="G2" s="3" t="s">
        <v>58</v>
      </c>
      <c r="H2" s="3" t="s">
        <v>35</v>
      </c>
      <c r="I2" s="6">
        <v>44378</v>
      </c>
      <c r="J2" s="4">
        <v>1083</v>
      </c>
      <c r="K2" s="18">
        <f>J2*(1-SUMIFS(CUSTOS!$T$40:$T$100,CUSTOS!$O$40:$O$100,EFEITO!G2,CUSTOS!$S$40:$S$100,EFEITO!B2,CUSTOS!$R$40:$R$100,"Potência"))</f>
        <v>1083</v>
      </c>
      <c r="L2" s="4">
        <v>292.06900000000002</v>
      </c>
      <c r="M2" s="18">
        <f>L2*(1-SUMIFS(CUSTOS!$T$40:$T$100,CUSTOS!$O$40:$O$100,EFEITO!G2,CUSTOS!$S$40:$S$100,EFEITO!B2,CUSTOS!$R$40:$R$100,"Potência"))</f>
        <v>292.06900000000002</v>
      </c>
      <c r="N2" s="4">
        <v>0</v>
      </c>
      <c r="O2" s="18">
        <f>N2*(1-SUMIFS(CUSTOS!$T$40:$T$100,CUSTOS!$O$40:$O$100,EFEITO!G2,CUSTOS!$S$40:$S$100,EFEITO!B2,CUSTOS!$R$40:$R$100,"Energia"))</f>
        <v>0</v>
      </c>
      <c r="P2" s="4">
        <v>0</v>
      </c>
      <c r="Q2" s="3" t="s">
        <v>59</v>
      </c>
      <c r="R2" s="3">
        <v>5343</v>
      </c>
      <c r="S2" s="4">
        <v>6</v>
      </c>
      <c r="T2" s="4">
        <v>7</v>
      </c>
      <c r="U2" s="4">
        <v>0</v>
      </c>
      <c r="V2" s="4">
        <f>IF(ISERROR(VLOOKUP($S$2,'TAR FIN'!$A$1:$O$91,15,0)),0,VLOOKUP($S$2,'TAR FIN'!$A$1:$O$91,15,0))</f>
        <v>23.37</v>
      </c>
      <c r="W2" s="4">
        <f>IF(ISERROR(VLOOKUP($T$2,'TAR FIN'!$A$1:$O$91,15,0)),0,VLOOKUP($T$2,'TAR FIN'!$A$1:$O$91,15,0))</f>
        <v>12.96</v>
      </c>
      <c r="X2" s="4">
        <f>IF(ISERROR(VLOOKUP($U$2,'TAR FIN'!$A$1:$O$91,15,0)),0,VLOOKUP($U$2,'TAR FIN'!$A$1:$O$91,15,0))</f>
        <v>0</v>
      </c>
      <c r="Y2" s="4">
        <f ca="1">('TUSD BE'!$AM$10+'TUSD BF'!$AM$10+'TUSD CVA'!$AM$10)*1</f>
        <v>23.819711465050677</v>
      </c>
      <c r="Z2" s="4">
        <f ca="1">('TUSD BE'!$AM$11+'TUSD BF'!$AM$11+'TUSD CVA'!$AM$11)*1</f>
        <v>11.103927165111529</v>
      </c>
      <c r="AA2" s="4">
        <f>('TE BE'!$AB$9+'TE BF'!$AB$9+'TE CVA'!$AB$9)*1</f>
        <v>233.70080441251889</v>
      </c>
      <c r="AB2" s="4">
        <f>$K$2*$V$2</f>
        <v>25309.710000000003</v>
      </c>
      <c r="AC2" s="4">
        <f>$M$2*$W$2</f>
        <v>3785.2142400000002</v>
      </c>
      <c r="AD2" s="4">
        <f>$O$2*$X$2</f>
        <v>0</v>
      </c>
      <c r="AE2" s="4">
        <f ca="1">$K$2*$Y$2</f>
        <v>25796.747516649884</v>
      </c>
      <c r="AF2" s="4">
        <f ca="1">$M$2*$Z$2</f>
        <v>3243.1129031869591</v>
      </c>
      <c r="AG2" s="4">
        <f>$O$2*$AA$2</f>
        <v>0</v>
      </c>
      <c r="AI2" s="83" t="s">
        <v>39</v>
      </c>
      <c r="AJ2" s="84">
        <f>SUMIF($B$2:$B$667,AI2,$AB$2:$AB$667)+SUMIF($B$2:$B$667,AI2,$AC$2:$AC$667)</f>
        <v>6758483.0079467688</v>
      </c>
      <c r="AK2" s="84">
        <f ca="1">SUMIF($B$2:$B$667,AI2,$AE$2:$AE$667)+SUMIF($B$2:$B$667,AI2,$AF$2:$AF$667)</f>
        <v>7878973.0411585346</v>
      </c>
      <c r="AL2" s="85">
        <f t="shared" ref="AL2:AL9" ca="1" si="0">IF(AJ2&lt;&gt;0,AK2/AJ2-1,0)</f>
        <v>0.1657901679850744</v>
      </c>
      <c r="AN2" s="83" t="s">
        <v>39</v>
      </c>
      <c r="AO2" s="84">
        <f>SUMIF($B$2:$B$667,AN2,$AD$2:$AD$667)</f>
        <v>3252057.230512457</v>
      </c>
      <c r="AP2" s="84">
        <f>SUMIF($B$2:$B$667,AN2,$AG$2:$AG$667)</f>
        <v>3407565.1931590186</v>
      </c>
      <c r="AQ2" s="85">
        <f t="shared" ref="AQ2:AQ9" si="1">IF(AO2&lt;&gt;0,AP2/AO2-1,0)</f>
        <v>4.7818335171812665E-2</v>
      </c>
      <c r="AS2" s="83" t="s">
        <v>39</v>
      </c>
      <c r="AT2" s="84">
        <f>SUMIF($B$2:$B$667,AS2,$AB$2:$AB$667)+SUMIF($B$2:$B$667,AS2,$AC$2:$AC$667)+SUMIF($B$2:$B$667,AS2,$AD$2:$AD$667)</f>
        <v>10010540.238459226</v>
      </c>
      <c r="AU2" s="84">
        <f ca="1">SUMIF($B$2:$B$667,AS2,$AE$2:$AE$667)+SUMIF($B$2:$B$667,AS2,$AF$2:$AF$667)+SUMIF($B$2:$B$667,AS2,$AG$2:$AG$667)</f>
        <v>11286538.234317552</v>
      </c>
      <c r="AV2" s="85">
        <f t="shared" ref="AV2:AV9" ca="1" si="2">IF(AT2&lt;&gt;0,AU2/AT2-1,0)</f>
        <v>0.12746544796414727</v>
      </c>
    </row>
    <row r="3" spans="1:48" ht="11.25" customHeight="1" x14ac:dyDescent="0.3">
      <c r="A3" s="3" t="s">
        <v>21</v>
      </c>
      <c r="B3" s="3" t="s">
        <v>39</v>
      </c>
      <c r="C3" s="3" t="s">
        <v>56</v>
      </c>
      <c r="D3" s="3" t="s">
        <v>25</v>
      </c>
      <c r="E3" s="3" t="s">
        <v>25</v>
      </c>
      <c r="F3" s="3" t="s">
        <v>57</v>
      </c>
      <c r="G3" s="3" t="s">
        <v>58</v>
      </c>
      <c r="H3" s="3" t="s">
        <v>35</v>
      </c>
      <c r="I3" s="6">
        <v>44409</v>
      </c>
      <c r="J3" s="4">
        <v>1058</v>
      </c>
      <c r="K3" s="18">
        <f>J3*(1-SUMIFS(CUSTOS!$T$40:$T$100,CUSTOS!$O$40:$O$100,EFEITO!G3,CUSTOS!$S$40:$S$100,EFEITO!B3,CUSTOS!$R$40:$R$100,"Potência"))</f>
        <v>1058</v>
      </c>
      <c r="L3" s="4">
        <v>315.666</v>
      </c>
      <c r="M3" s="18">
        <f>L3*(1-SUMIFS(CUSTOS!$T$40:$T$100,CUSTOS!$O$40:$O$100,EFEITO!G3,CUSTOS!$S$40:$S$100,EFEITO!B3,CUSTOS!$R$40:$R$100,"Potência"))</f>
        <v>315.666</v>
      </c>
      <c r="N3" s="4">
        <v>0</v>
      </c>
      <c r="O3" s="18">
        <f>N3*(1-SUMIFS(CUSTOS!$T$40:$T$100,CUSTOS!$O$40:$O$100,EFEITO!G3,CUSTOS!$S$40:$S$100,EFEITO!B3,CUSTOS!$R$40:$R$100,"Energia"))</f>
        <v>0</v>
      </c>
      <c r="P3" s="4">
        <v>0</v>
      </c>
      <c r="Q3" s="3" t="s">
        <v>59</v>
      </c>
      <c r="R3" s="3">
        <v>5343</v>
      </c>
      <c r="S3" s="4">
        <v>6</v>
      </c>
      <c r="T3" s="4">
        <v>7</v>
      </c>
      <c r="U3" s="4">
        <v>0</v>
      </c>
      <c r="V3" s="4">
        <f>IF(ISERROR(VLOOKUP($S$3,'TAR FIN'!$A$1:$O$91,15,0)),0,VLOOKUP($S$3,'TAR FIN'!$A$1:$O$91,15,0))</f>
        <v>23.37</v>
      </c>
      <c r="W3" s="4">
        <f>IF(ISERROR(VLOOKUP($T$3,'TAR FIN'!$A$1:$O$91,15,0)),0,VLOOKUP($T$3,'TAR FIN'!$A$1:$O$91,15,0))</f>
        <v>12.96</v>
      </c>
      <c r="X3" s="4">
        <f>IF(ISERROR(VLOOKUP($U$3,'TAR FIN'!$A$1:$O$91,15,0)),0,VLOOKUP($U$3,'TAR FIN'!$A$1:$O$91,15,0))</f>
        <v>0</v>
      </c>
      <c r="Y3" s="4">
        <f ca="1">('TUSD BE'!$AM$10+'TUSD BF'!$AM$10+'TUSD CVA'!$AM$10)*1</f>
        <v>23.819711465050677</v>
      </c>
      <c r="Z3" s="4">
        <f ca="1">('TUSD BE'!$AM$11+'TUSD BF'!$AM$11+'TUSD CVA'!$AM$11)*1</f>
        <v>11.103927165111529</v>
      </c>
      <c r="AA3" s="4">
        <f>('TE BE'!$AB$9+'TE BF'!$AB$9+'TE CVA'!$AB$9)*1</f>
        <v>233.70080441251889</v>
      </c>
      <c r="AB3" s="4">
        <f>$K$3*$V$3</f>
        <v>24725.460000000003</v>
      </c>
      <c r="AC3" s="4">
        <f>$M$3*$W$3</f>
        <v>4091.0313600000004</v>
      </c>
      <c r="AD3" s="4">
        <f>$O$3*$X$3</f>
        <v>0</v>
      </c>
      <c r="AE3" s="4">
        <f ca="1">$K$3*$Y$3</f>
        <v>25201.254730023615</v>
      </c>
      <c r="AF3" s="4">
        <f ca="1">$M$3*$Z$3</f>
        <v>3505.1322725020959</v>
      </c>
      <c r="AG3" s="4">
        <f>$O$3*$AA$3</f>
        <v>0</v>
      </c>
      <c r="AI3" s="83" t="s">
        <v>22</v>
      </c>
      <c r="AJ3" s="84">
        <f>SUMIF($B$2:$B$667,AI3,$AB$2:$AB$667)+SUMIF($B$2:$B$667,AI3,$AC$2:$AC$667)</f>
        <v>8899216.1056600064</v>
      </c>
      <c r="AK3" s="84">
        <f ca="1">SUMIF($B$2:$B$667,AI3,$AE$2:$AE$667)+SUMIF($B$2:$B$667,AI3,$AF$2:$AF$667)</f>
        <v>9741600.7580365166</v>
      </c>
      <c r="AL3" s="85">
        <f t="shared" ca="1" si="0"/>
        <v>9.4658298256263596E-2</v>
      </c>
      <c r="AN3" s="83" t="s">
        <v>22</v>
      </c>
      <c r="AO3" s="84">
        <f>SUMIF($B$2:$B$667,AN3,$AD$2:$AD$667)</f>
        <v>4432817.8783229999</v>
      </c>
      <c r="AP3" s="84">
        <f>SUMIF($B$2:$B$667,AN3,$AG$2:$AG$667)</f>
        <v>4577433.3722882662</v>
      </c>
      <c r="AQ3" s="85">
        <f t="shared" si="1"/>
        <v>3.2623829341704491E-2</v>
      </c>
      <c r="AS3" s="83" t="s">
        <v>22</v>
      </c>
      <c r="AT3" s="84">
        <f>SUMIF($B$2:$B$667,AS3,$AB$2:$AB$667)+SUMIF($B$2:$B$667,AS3,$AC$2:$AC$667)+SUMIF($B$2:$B$667,AS3,$AD$2:$AD$667)</f>
        <v>13332033.983983006</v>
      </c>
      <c r="AU3" s="84">
        <f ca="1">SUMIF($B$2:$B$667,AS3,$AE$2:$AE$667)+SUMIF($B$2:$B$667,AS3,$AF$2:$AF$667)+SUMIF($B$2:$B$667,AS3,$AG$2:$AG$667)</f>
        <v>14319034.130324783</v>
      </c>
      <c r="AV3" s="85">
        <f t="shared" ca="1" si="2"/>
        <v>7.4032225504941707E-2</v>
      </c>
    </row>
    <row r="4" spans="1:48" ht="11.25" customHeight="1" x14ac:dyDescent="0.3">
      <c r="A4" s="3" t="s">
        <v>21</v>
      </c>
      <c r="B4" s="3" t="s">
        <v>39</v>
      </c>
      <c r="C4" s="3" t="s">
        <v>56</v>
      </c>
      <c r="D4" s="3" t="s">
        <v>25</v>
      </c>
      <c r="E4" s="3" t="s">
        <v>25</v>
      </c>
      <c r="F4" s="3" t="s">
        <v>57</v>
      </c>
      <c r="G4" s="3" t="s">
        <v>58</v>
      </c>
      <c r="H4" s="3" t="s">
        <v>35</v>
      </c>
      <c r="I4" s="6">
        <v>44440</v>
      </c>
      <c r="J4" s="4">
        <v>1067</v>
      </c>
      <c r="K4" s="18">
        <f>J4*(1-SUMIFS(CUSTOS!$T$40:$T$100,CUSTOS!$O$40:$O$100,EFEITO!G4,CUSTOS!$S$40:$S$100,EFEITO!B4,CUSTOS!$R$40:$R$100,"Potência"))</f>
        <v>1067</v>
      </c>
      <c r="L4" s="4">
        <v>290.14600000000002</v>
      </c>
      <c r="M4" s="18">
        <f>L4*(1-SUMIFS(CUSTOS!$T$40:$T$100,CUSTOS!$O$40:$O$100,EFEITO!G4,CUSTOS!$S$40:$S$100,EFEITO!B4,CUSTOS!$R$40:$R$100,"Potência"))</f>
        <v>290.14600000000002</v>
      </c>
      <c r="N4" s="4">
        <v>0</v>
      </c>
      <c r="O4" s="18">
        <f>N4*(1-SUMIFS(CUSTOS!$T$40:$T$100,CUSTOS!$O$40:$O$100,EFEITO!G4,CUSTOS!$S$40:$S$100,EFEITO!B4,CUSTOS!$R$40:$R$100,"Energia"))</f>
        <v>0</v>
      </c>
      <c r="P4" s="4">
        <v>0</v>
      </c>
      <c r="Q4" s="3" t="s">
        <v>59</v>
      </c>
      <c r="R4" s="3">
        <v>5343</v>
      </c>
      <c r="S4" s="4">
        <v>6</v>
      </c>
      <c r="T4" s="4">
        <v>7</v>
      </c>
      <c r="U4" s="4">
        <v>0</v>
      </c>
      <c r="V4" s="4">
        <f>IF(ISERROR(VLOOKUP($S$4,'TAR FIN'!$A$1:$O$91,15,0)),0,VLOOKUP($S$4,'TAR FIN'!$A$1:$O$91,15,0))</f>
        <v>23.37</v>
      </c>
      <c r="W4" s="4">
        <f>IF(ISERROR(VLOOKUP($T$4,'TAR FIN'!$A$1:$O$91,15,0)),0,VLOOKUP($T$4,'TAR FIN'!$A$1:$O$91,15,0))</f>
        <v>12.96</v>
      </c>
      <c r="X4" s="4">
        <f>IF(ISERROR(VLOOKUP($U$4,'TAR FIN'!$A$1:$O$91,15,0)),0,VLOOKUP($U$4,'TAR FIN'!$A$1:$O$91,15,0))</f>
        <v>0</v>
      </c>
      <c r="Y4" s="4">
        <f ca="1">('TUSD BE'!$AM$10+'TUSD BF'!$AM$10+'TUSD CVA'!$AM$10)*1</f>
        <v>23.819711465050677</v>
      </c>
      <c r="Z4" s="4">
        <f ca="1">('TUSD BE'!$AM$11+'TUSD BF'!$AM$11+'TUSD CVA'!$AM$11)*1</f>
        <v>11.103927165111529</v>
      </c>
      <c r="AA4" s="4">
        <f>('TE BE'!$AB$9+'TE BF'!$AB$9+'TE CVA'!$AB$9)*1</f>
        <v>233.70080441251889</v>
      </c>
      <c r="AB4" s="4">
        <f>$K$4*$V$4</f>
        <v>24935.79</v>
      </c>
      <c r="AC4" s="4">
        <f>$M$4*$W$4</f>
        <v>3760.2921600000004</v>
      </c>
      <c r="AD4" s="4">
        <f>$O$4*$X$4</f>
        <v>0</v>
      </c>
      <c r="AE4" s="4">
        <f ca="1">$K$4*$Y$4</f>
        <v>25415.632133209074</v>
      </c>
      <c r="AF4" s="4">
        <f ca="1">$M$4*$Z$4</f>
        <v>3221.7600512484496</v>
      </c>
      <c r="AG4" s="4">
        <f>$O$4*$AA$4</f>
        <v>0</v>
      </c>
      <c r="AI4" s="83" t="s">
        <v>42</v>
      </c>
      <c r="AJ4" s="84">
        <f>SUMIF($B$2:$B$667,AI4,$AB$2:$AB$667)+SUMIF($B$2:$B$667,AI4,$AC$2:$AC$667)</f>
        <v>6672341.7710739998</v>
      </c>
      <c r="AK4" s="84">
        <f ca="1">SUMIF($B$2:$B$667,AI4,$AE$2:$AE$667)+SUMIF($B$2:$B$667,AI4,$AF$2:$AF$667)</f>
        <v>7819904.1511015249</v>
      </c>
      <c r="AL4" s="85">
        <f t="shared" ca="1" si="0"/>
        <v>0.17198794956853813</v>
      </c>
      <c r="AN4" s="83" t="s">
        <v>42</v>
      </c>
      <c r="AO4" s="84">
        <f>SUMIF($B$2:$B$667,AN4,$AD$2:$AD$667)</f>
        <v>3266836.3144799997</v>
      </c>
      <c r="AP4" s="84">
        <f>SUMIF($B$2:$B$667,AN4,$AG$2:$AG$667)</f>
        <v>3603347.8345978656</v>
      </c>
      <c r="AQ4" s="85">
        <f t="shared" si="1"/>
        <v>0.10300838111364952</v>
      </c>
      <c r="AS4" s="83" t="s">
        <v>42</v>
      </c>
      <c r="AT4" s="84">
        <f>SUMIF($B$2:$B$667,AS4,$AB$2:$AB$667)+SUMIF($B$2:$B$667,AS4,$AC$2:$AC$667)+SUMIF($B$2:$B$667,AS4,$AD$2:$AD$667)</f>
        <v>9939178.085554</v>
      </c>
      <c r="AU4" s="84">
        <f ca="1">SUMIF($B$2:$B$667,AS4,$AE$2:$AE$667)+SUMIF($B$2:$B$667,AS4,$AF$2:$AF$667)+SUMIF($B$2:$B$667,AS4,$AG$2:$AG$667)</f>
        <v>11423251.985699391</v>
      </c>
      <c r="AV4" s="85">
        <f t="shared" ca="1" si="2"/>
        <v>0.14931555581063627</v>
      </c>
    </row>
    <row r="5" spans="1:48" ht="11.25" customHeight="1" x14ac:dyDescent="0.3">
      <c r="A5" s="3" t="s">
        <v>21</v>
      </c>
      <c r="B5" s="3" t="s">
        <v>39</v>
      </c>
      <c r="C5" s="3" t="s">
        <v>56</v>
      </c>
      <c r="D5" s="3" t="s">
        <v>25</v>
      </c>
      <c r="E5" s="3" t="s">
        <v>25</v>
      </c>
      <c r="F5" s="3" t="s">
        <v>57</v>
      </c>
      <c r="G5" s="3" t="s">
        <v>58</v>
      </c>
      <c r="H5" s="3" t="s">
        <v>35</v>
      </c>
      <c r="I5" s="6">
        <v>44470</v>
      </c>
      <c r="J5" s="4">
        <v>1154</v>
      </c>
      <c r="K5" s="18">
        <f>J5*(1-SUMIFS(CUSTOS!$T$40:$T$100,CUSTOS!$O$40:$O$100,EFEITO!G5,CUSTOS!$S$40:$S$100,EFEITO!B5,CUSTOS!$R$40:$R$100,"Potência"))</f>
        <v>1154</v>
      </c>
      <c r="L5" s="4">
        <v>296.44299999999998</v>
      </c>
      <c r="M5" s="18">
        <f>L5*(1-SUMIFS(CUSTOS!$T$40:$T$100,CUSTOS!$O$40:$O$100,EFEITO!G5,CUSTOS!$S$40:$S$100,EFEITO!B5,CUSTOS!$R$40:$R$100,"Potência"))</f>
        <v>296.44299999999998</v>
      </c>
      <c r="N5" s="4">
        <v>0</v>
      </c>
      <c r="O5" s="18">
        <f>N5*(1-SUMIFS(CUSTOS!$T$40:$T$100,CUSTOS!$O$40:$O$100,EFEITO!G5,CUSTOS!$S$40:$S$100,EFEITO!B5,CUSTOS!$R$40:$R$100,"Energia"))</f>
        <v>0</v>
      </c>
      <c r="P5" s="4">
        <v>0</v>
      </c>
      <c r="Q5" s="3" t="s">
        <v>59</v>
      </c>
      <c r="R5" s="3">
        <v>5343</v>
      </c>
      <c r="S5" s="4">
        <v>6</v>
      </c>
      <c r="T5" s="4">
        <v>7</v>
      </c>
      <c r="U5" s="4">
        <v>0</v>
      </c>
      <c r="V5" s="4">
        <f>IF(ISERROR(VLOOKUP($S$5,'TAR FIN'!$A$1:$O$91,15,0)),0,VLOOKUP($S$5,'TAR FIN'!$A$1:$O$91,15,0))</f>
        <v>23.37</v>
      </c>
      <c r="W5" s="4">
        <f>IF(ISERROR(VLOOKUP($T$5,'TAR FIN'!$A$1:$O$91,15,0)),0,VLOOKUP($T$5,'TAR FIN'!$A$1:$O$91,15,0))</f>
        <v>12.96</v>
      </c>
      <c r="X5" s="4">
        <f>IF(ISERROR(VLOOKUP($U$5,'TAR FIN'!$A$1:$O$91,15,0)),0,VLOOKUP($U$5,'TAR FIN'!$A$1:$O$91,15,0))</f>
        <v>0</v>
      </c>
      <c r="Y5" s="4">
        <f ca="1">('TUSD BE'!$AM$10+'TUSD BF'!$AM$10+'TUSD CVA'!$AM$10)*1</f>
        <v>23.819711465050677</v>
      </c>
      <c r="Z5" s="4">
        <f ca="1">('TUSD BE'!$AM$11+'TUSD BF'!$AM$11+'TUSD CVA'!$AM$11)*1</f>
        <v>11.103927165111529</v>
      </c>
      <c r="AA5" s="4">
        <f>('TE BE'!$AB$9+'TE BF'!$AB$9+'TE CVA'!$AB$9)*1</f>
        <v>233.70080441251889</v>
      </c>
      <c r="AB5" s="4">
        <f>$K$5*$V$5</f>
        <v>26968.98</v>
      </c>
      <c r="AC5" s="4">
        <f>$M$5*$W$5</f>
        <v>3841.90128</v>
      </c>
      <c r="AD5" s="4">
        <f>$O$5*$X$5</f>
        <v>0</v>
      </c>
      <c r="AE5" s="4">
        <f ca="1">$K$5*$Y$5</f>
        <v>27487.947030668482</v>
      </c>
      <c r="AF5" s="4">
        <f ca="1">$M$5*$Z$5</f>
        <v>3291.6814806071566</v>
      </c>
      <c r="AG5" s="4">
        <f>$O$5*$AA$5</f>
        <v>0</v>
      </c>
      <c r="AI5" s="83" t="s">
        <v>37</v>
      </c>
      <c r="AJ5" s="84">
        <f>SUMIF($B$2:$B$667,AI5,$AB$2:$AB$667)+SUMIF($B$2:$B$667,AI5,$AC$2:$AC$667)</f>
        <v>4791242.2508452013</v>
      </c>
      <c r="AK5" s="84">
        <f ca="1">SUMIF($B$2:$B$667,AI5,$AE$2:$AE$667)+SUMIF($B$2:$B$667,AI5,$AF$2:$AF$667)</f>
        <v>5270220.1430396894</v>
      </c>
      <c r="AL5" s="85">
        <f t="shared" ca="1" si="0"/>
        <v>9.996945825688397E-2</v>
      </c>
      <c r="AN5" s="83" t="s">
        <v>37</v>
      </c>
      <c r="AO5" s="84">
        <f>SUMIF($B$2:$B$667,AN5,$AD$2:$AD$667)</f>
        <v>2343633.3278737995</v>
      </c>
      <c r="AP5" s="84">
        <f>SUMIF($B$2:$B$667,AN5,$AG$2:$AG$667)</f>
        <v>2426095.9385259552</v>
      </c>
      <c r="AQ5" s="85">
        <f t="shared" si="1"/>
        <v>3.5185798764420184E-2</v>
      </c>
      <c r="AS5" s="83" t="s">
        <v>37</v>
      </c>
      <c r="AT5" s="84">
        <f>SUMIF($B$2:$B$667,AS5,$AB$2:$AB$667)+SUMIF($B$2:$B$667,AS5,$AC$2:$AC$667)+SUMIF($B$2:$B$667,AS5,$AD$2:$AD$667)</f>
        <v>7134875.5787190013</v>
      </c>
      <c r="AU5" s="84">
        <f ca="1">SUMIF($B$2:$B$667,AS5,$AE$2:$AE$667)+SUMIF($B$2:$B$667,AS5,$AF$2:$AF$667)+SUMIF($B$2:$B$667,AS5,$AG$2:$AG$667)</f>
        <v>7696316.0815656446</v>
      </c>
      <c r="AV5" s="85">
        <f t="shared" ca="1" si="2"/>
        <v>7.8689599650656472E-2</v>
      </c>
    </row>
    <row r="6" spans="1:48" ht="11.25" customHeight="1" x14ac:dyDescent="0.3">
      <c r="A6" s="3" t="s">
        <v>21</v>
      </c>
      <c r="B6" s="3" t="s">
        <v>39</v>
      </c>
      <c r="C6" s="3" t="s">
        <v>56</v>
      </c>
      <c r="D6" s="3" t="s">
        <v>25</v>
      </c>
      <c r="E6" s="3" t="s">
        <v>25</v>
      </c>
      <c r="F6" s="3" t="s">
        <v>57</v>
      </c>
      <c r="G6" s="3" t="s">
        <v>58</v>
      </c>
      <c r="H6" s="3" t="s">
        <v>35</v>
      </c>
      <c r="I6" s="6">
        <v>44501</v>
      </c>
      <c r="J6" s="4">
        <v>1511</v>
      </c>
      <c r="K6" s="18">
        <f>J6*(1-SUMIFS(CUSTOS!$T$40:$T$100,CUSTOS!$O$40:$O$100,EFEITO!G6,CUSTOS!$S$40:$S$100,EFEITO!B6,CUSTOS!$R$40:$R$100,"Potência"))</f>
        <v>1511</v>
      </c>
      <c r="L6" s="4">
        <v>431.755</v>
      </c>
      <c r="M6" s="18">
        <f>L6*(1-SUMIFS(CUSTOS!$T$40:$T$100,CUSTOS!$O$40:$O$100,EFEITO!G6,CUSTOS!$S$40:$S$100,EFEITO!B6,CUSTOS!$R$40:$R$100,"Potência"))</f>
        <v>431.755</v>
      </c>
      <c r="N6" s="4">
        <v>0</v>
      </c>
      <c r="O6" s="18">
        <f>N6*(1-SUMIFS(CUSTOS!$T$40:$T$100,CUSTOS!$O$40:$O$100,EFEITO!G6,CUSTOS!$S$40:$S$100,EFEITO!B6,CUSTOS!$R$40:$R$100,"Energia"))</f>
        <v>0</v>
      </c>
      <c r="P6" s="4">
        <v>0</v>
      </c>
      <c r="Q6" s="3" t="s">
        <v>59</v>
      </c>
      <c r="R6" s="3">
        <v>5343</v>
      </c>
      <c r="S6" s="4">
        <v>6</v>
      </c>
      <c r="T6" s="4">
        <v>7</v>
      </c>
      <c r="U6" s="4">
        <v>0</v>
      </c>
      <c r="V6" s="4">
        <f>IF(ISERROR(VLOOKUP($S$6,'TAR FIN'!$A$1:$O$91,15,0)),0,VLOOKUP($S$6,'TAR FIN'!$A$1:$O$91,15,0))</f>
        <v>23.37</v>
      </c>
      <c r="W6" s="4">
        <f>IF(ISERROR(VLOOKUP($T$6,'TAR FIN'!$A$1:$O$91,15,0)),0,VLOOKUP($T$6,'TAR FIN'!$A$1:$O$91,15,0))</f>
        <v>12.96</v>
      </c>
      <c r="X6" s="4">
        <f>IF(ISERROR(VLOOKUP($U$6,'TAR FIN'!$A$1:$O$91,15,0)),0,VLOOKUP($U$6,'TAR FIN'!$A$1:$O$91,15,0))</f>
        <v>0</v>
      </c>
      <c r="Y6" s="4">
        <f ca="1">('TUSD BE'!$AM$10+'TUSD BF'!$AM$10+'TUSD CVA'!$AM$10)*1</f>
        <v>23.819711465050677</v>
      </c>
      <c r="Z6" s="4">
        <f ca="1">('TUSD BE'!$AM$11+'TUSD BF'!$AM$11+'TUSD CVA'!$AM$11)*1</f>
        <v>11.103927165111529</v>
      </c>
      <c r="AA6" s="4">
        <f>('TE BE'!$AB$9+'TE BF'!$AB$9+'TE CVA'!$AB$9)*1</f>
        <v>233.70080441251889</v>
      </c>
      <c r="AB6" s="4">
        <f>$K$6*$V$6</f>
        <v>35312.07</v>
      </c>
      <c r="AC6" s="4">
        <f>$M$6*$W$6</f>
        <v>5595.5448000000006</v>
      </c>
      <c r="AD6" s="4">
        <f>$O$6*$X$6</f>
        <v>0</v>
      </c>
      <c r="AE6" s="4">
        <f ca="1">$K$6*$Y$6</f>
        <v>35991.584023691576</v>
      </c>
      <c r="AF6" s="4">
        <f ca="1">$M$6*$Z$6</f>
        <v>4794.1760731727281</v>
      </c>
      <c r="AG6" s="4">
        <f>$O$6*$AA$6</f>
        <v>0</v>
      </c>
      <c r="AI6" s="83" t="s">
        <v>45</v>
      </c>
      <c r="AJ6" s="84">
        <f>SUMIF($B$2:$B$667,AI6,$AB$2:$AB$667)+SUMIF($B$2:$B$667,AI6,$AC$2:$AC$667)</f>
        <v>976066.27011000016</v>
      </c>
      <c r="AK6" s="84">
        <f ca="1">SUMIF($B$2:$B$667,AI6,$AE$2:$AE$667)+SUMIF($B$2:$B$667,AI6,$AF$2:$AF$667)</f>
        <v>1070894.2555306063</v>
      </c>
      <c r="AL6" s="85">
        <f t="shared" ca="1" si="0"/>
        <v>9.7153224452596998E-2</v>
      </c>
      <c r="AN6" s="83" t="s">
        <v>45</v>
      </c>
      <c r="AO6" s="84">
        <f>SUMIF($B$2:$B$667,AN6,$AD$2:$AD$667)</f>
        <v>477883.51262999995</v>
      </c>
      <c r="AP6" s="84">
        <f>SUMIF($B$2:$B$667,AN6,$AG$2:$AG$667)</f>
        <v>493458.55251559499</v>
      </c>
      <c r="AQ6" s="85">
        <f t="shared" si="1"/>
        <v>3.2591707966401318E-2</v>
      </c>
      <c r="AS6" s="83" t="s">
        <v>45</v>
      </c>
      <c r="AT6" s="84">
        <f>SUMIF($B$2:$B$667,AS6,$AB$2:$AB$667)+SUMIF($B$2:$B$667,AS6,$AC$2:$AC$667)+SUMIF($B$2:$B$667,AS6,$AD$2:$AD$667)</f>
        <v>1453949.7827400002</v>
      </c>
      <c r="AU6" s="84">
        <f ca="1">SUMIF($B$2:$B$667,AS6,$AE$2:$AE$667)+SUMIF($B$2:$B$667,AS6,$AF$2:$AF$667)+SUMIF($B$2:$B$667,AS6,$AG$2:$AG$667)</f>
        <v>1564352.8080462012</v>
      </c>
      <c r="AV6" s="85">
        <f t="shared" ca="1" si="2"/>
        <v>7.5933176383949252E-2</v>
      </c>
    </row>
    <row r="7" spans="1:48" ht="11.25" customHeight="1" x14ac:dyDescent="0.3">
      <c r="A7" s="3" t="s">
        <v>21</v>
      </c>
      <c r="B7" s="3" t="s">
        <v>39</v>
      </c>
      <c r="C7" s="3" t="s">
        <v>56</v>
      </c>
      <c r="D7" s="3" t="s">
        <v>25</v>
      </c>
      <c r="E7" s="3" t="s">
        <v>25</v>
      </c>
      <c r="F7" s="3" t="s">
        <v>57</v>
      </c>
      <c r="G7" s="3" t="s">
        <v>58</v>
      </c>
      <c r="H7" s="3" t="s">
        <v>35</v>
      </c>
      <c r="I7" s="6">
        <v>44531</v>
      </c>
      <c r="J7" s="4">
        <v>1813</v>
      </c>
      <c r="K7" s="18">
        <f>J7*(1-SUMIFS(CUSTOS!$T$40:$T$100,CUSTOS!$O$40:$O$100,EFEITO!G7,CUSTOS!$S$40:$S$100,EFEITO!B7,CUSTOS!$R$40:$R$100,"Potência"))</f>
        <v>1813</v>
      </c>
      <c r="L7" s="4">
        <v>603.375</v>
      </c>
      <c r="M7" s="18">
        <f>L7*(1-SUMIFS(CUSTOS!$T$40:$T$100,CUSTOS!$O$40:$O$100,EFEITO!G7,CUSTOS!$S$40:$S$100,EFEITO!B7,CUSTOS!$R$40:$R$100,"Potência"))</f>
        <v>603.375</v>
      </c>
      <c r="N7" s="4">
        <v>0</v>
      </c>
      <c r="O7" s="18">
        <f>N7*(1-SUMIFS(CUSTOS!$T$40:$T$100,CUSTOS!$O$40:$O$100,EFEITO!G7,CUSTOS!$S$40:$S$100,EFEITO!B7,CUSTOS!$R$40:$R$100,"Energia"))</f>
        <v>0</v>
      </c>
      <c r="P7" s="4">
        <v>0</v>
      </c>
      <c r="Q7" s="3" t="s">
        <v>59</v>
      </c>
      <c r="R7" s="3">
        <v>5343</v>
      </c>
      <c r="S7" s="4">
        <v>6</v>
      </c>
      <c r="T7" s="4">
        <v>7</v>
      </c>
      <c r="U7" s="4">
        <v>0</v>
      </c>
      <c r="V7" s="4">
        <f>IF(ISERROR(VLOOKUP($S$7,'TAR FIN'!$A$1:$O$91,15,0)),0,VLOOKUP($S$7,'TAR FIN'!$A$1:$O$91,15,0))</f>
        <v>23.37</v>
      </c>
      <c r="W7" s="4">
        <f>IF(ISERROR(VLOOKUP($T$7,'TAR FIN'!$A$1:$O$91,15,0)),0,VLOOKUP($T$7,'TAR FIN'!$A$1:$O$91,15,0))</f>
        <v>12.96</v>
      </c>
      <c r="X7" s="4">
        <f>IF(ISERROR(VLOOKUP($U$7,'TAR FIN'!$A$1:$O$91,15,0)),0,VLOOKUP($U$7,'TAR FIN'!$A$1:$O$91,15,0))</f>
        <v>0</v>
      </c>
      <c r="Y7" s="4">
        <f ca="1">('TUSD BE'!$AM$10+'TUSD BF'!$AM$10+'TUSD CVA'!$AM$10)*1</f>
        <v>23.819711465050677</v>
      </c>
      <c r="Z7" s="4">
        <f ca="1">('TUSD BE'!$AM$11+'TUSD BF'!$AM$11+'TUSD CVA'!$AM$11)*1</f>
        <v>11.103927165111529</v>
      </c>
      <c r="AA7" s="4">
        <f>('TE BE'!$AB$9+'TE BF'!$AB$9+'TE CVA'!$AB$9)*1</f>
        <v>233.70080441251889</v>
      </c>
      <c r="AB7" s="4">
        <f>$K$7*$V$7</f>
        <v>42369.810000000005</v>
      </c>
      <c r="AC7" s="4">
        <f>$M$7*$W$7</f>
        <v>7819.7400000000007</v>
      </c>
      <c r="AD7" s="4">
        <f>$O$7*$X$7</f>
        <v>0</v>
      </c>
      <c r="AE7" s="4">
        <f ca="1">$K$7*$Y$7</f>
        <v>43185.136886136876</v>
      </c>
      <c r="AF7" s="4">
        <f ca="1">$M$7*$Z$7</f>
        <v>6699.8320532491689</v>
      </c>
      <c r="AG7" s="4">
        <f>$O$7*$AA$7</f>
        <v>0</v>
      </c>
      <c r="AI7" s="83" t="s">
        <v>758</v>
      </c>
      <c r="AJ7" s="84">
        <f>+$AJ$2</f>
        <v>6758483.0079467688</v>
      </c>
      <c r="AK7" s="84">
        <f ca="1">+$AK$2</f>
        <v>7878973.0411585346</v>
      </c>
      <c r="AL7" s="85">
        <f t="shared" ca="1" si="0"/>
        <v>0.1657901679850744</v>
      </c>
      <c r="AN7" s="83" t="s">
        <v>758</v>
      </c>
      <c r="AO7" s="84">
        <f>+$AO$2</f>
        <v>3252057.230512457</v>
      </c>
      <c r="AP7" s="84">
        <f>+$AP$2</f>
        <v>3407565.1931590186</v>
      </c>
      <c r="AQ7" s="85">
        <f t="shared" si="1"/>
        <v>4.7818335171812665E-2</v>
      </c>
      <c r="AS7" s="83" t="s">
        <v>758</v>
      </c>
      <c r="AT7" s="84">
        <f>+$AT$2</f>
        <v>10010540.238459226</v>
      </c>
      <c r="AU7" s="84">
        <f ca="1">+$AU$2</f>
        <v>11286538.234317552</v>
      </c>
      <c r="AV7" s="85">
        <f t="shared" ca="1" si="2"/>
        <v>0.12746544796414727</v>
      </c>
    </row>
    <row r="8" spans="1:48" ht="11.25" customHeight="1" x14ac:dyDescent="0.3">
      <c r="A8" s="3" t="s">
        <v>21</v>
      </c>
      <c r="B8" s="3" t="s">
        <v>39</v>
      </c>
      <c r="C8" s="3" t="s">
        <v>56</v>
      </c>
      <c r="D8" s="3" t="s">
        <v>25</v>
      </c>
      <c r="E8" s="3" t="s">
        <v>25</v>
      </c>
      <c r="F8" s="3" t="s">
        <v>57</v>
      </c>
      <c r="G8" s="3" t="s">
        <v>58</v>
      </c>
      <c r="H8" s="3" t="s">
        <v>35</v>
      </c>
      <c r="I8" s="6">
        <v>44562</v>
      </c>
      <c r="J8" s="4">
        <v>2086</v>
      </c>
      <c r="K8" s="18">
        <f>J8*(1-SUMIFS(CUSTOS!$T$40:$T$100,CUSTOS!$O$40:$O$100,EFEITO!G8,CUSTOS!$S$40:$S$100,EFEITO!B8,CUSTOS!$R$40:$R$100,"Potência"))</f>
        <v>2086</v>
      </c>
      <c r="L8" s="4">
        <v>632.43200000000002</v>
      </c>
      <c r="M8" s="18">
        <f>L8*(1-SUMIFS(CUSTOS!$T$40:$T$100,CUSTOS!$O$40:$O$100,EFEITO!G8,CUSTOS!$S$40:$S$100,EFEITO!B8,CUSTOS!$R$40:$R$100,"Potência"))</f>
        <v>632.43200000000002</v>
      </c>
      <c r="N8" s="4">
        <v>0</v>
      </c>
      <c r="O8" s="18">
        <f>N8*(1-SUMIFS(CUSTOS!$T$40:$T$100,CUSTOS!$O$40:$O$100,EFEITO!G8,CUSTOS!$S$40:$S$100,EFEITO!B8,CUSTOS!$R$40:$R$100,"Energia"))</f>
        <v>0</v>
      </c>
      <c r="P8" s="4">
        <v>0</v>
      </c>
      <c r="Q8" s="3" t="s">
        <v>59</v>
      </c>
      <c r="R8" s="3">
        <v>5343</v>
      </c>
      <c r="S8" s="4">
        <v>6</v>
      </c>
      <c r="T8" s="4">
        <v>7</v>
      </c>
      <c r="U8" s="4">
        <v>0</v>
      </c>
      <c r="V8" s="4">
        <f>IF(ISERROR(VLOOKUP($S$8,'TAR FIN'!$A$1:$O$91,15,0)),0,VLOOKUP($S$8,'TAR FIN'!$A$1:$O$91,15,0))</f>
        <v>23.37</v>
      </c>
      <c r="W8" s="4">
        <f>IF(ISERROR(VLOOKUP($T$8,'TAR FIN'!$A$1:$O$91,15,0)),0,VLOOKUP($T$8,'TAR FIN'!$A$1:$O$91,15,0))</f>
        <v>12.96</v>
      </c>
      <c r="X8" s="4">
        <f>IF(ISERROR(VLOOKUP($U$8,'TAR FIN'!$A$1:$O$91,15,0)),0,VLOOKUP($U$8,'TAR FIN'!$A$1:$O$91,15,0))</f>
        <v>0</v>
      </c>
      <c r="Y8" s="4">
        <f ca="1">('TUSD BE'!$AM$10+'TUSD BF'!$AM$10+'TUSD CVA'!$AM$10)*1</f>
        <v>23.819711465050677</v>
      </c>
      <c r="Z8" s="4">
        <f ca="1">('TUSD BE'!$AM$11+'TUSD BF'!$AM$11+'TUSD CVA'!$AM$11)*1</f>
        <v>11.103927165111529</v>
      </c>
      <c r="AA8" s="4">
        <f>('TE BE'!$AB$9+'TE BF'!$AB$9+'TE CVA'!$AB$9)*1</f>
        <v>233.70080441251889</v>
      </c>
      <c r="AB8" s="4">
        <f>$K$8*$V$8</f>
        <v>48749.82</v>
      </c>
      <c r="AC8" s="4">
        <f>$M$8*$W$8</f>
        <v>8196.3187200000011</v>
      </c>
      <c r="AD8" s="4">
        <f>$O$8*$X$8</f>
        <v>0</v>
      </c>
      <c r="AE8" s="4">
        <f ca="1">$K$8*$Y$8</f>
        <v>49687.918116095709</v>
      </c>
      <c r="AF8" s="4">
        <f ca="1">$M$8*$Z$8</f>
        <v>7022.4788648858148</v>
      </c>
      <c r="AG8" s="4">
        <f>$O$8*$AA$8</f>
        <v>0</v>
      </c>
      <c r="AI8" s="83" t="s">
        <v>90</v>
      </c>
      <c r="AJ8" s="84">
        <f>+$AJ$3+$AJ$4+$AJ$5+$AJ$6</f>
        <v>21338866.397689208</v>
      </c>
      <c r="AK8" s="84">
        <f ca="1">+$AK$3+$AK$4+$AK$5+$AK$6</f>
        <v>23902619.307708338</v>
      </c>
      <c r="AL8" s="85">
        <f t="shared" ca="1" si="0"/>
        <v>0.12014475662572033</v>
      </c>
      <c r="AN8" s="83" t="s">
        <v>90</v>
      </c>
      <c r="AO8" s="84">
        <f>+$AO$3+$AO$4+$AO$5+$AO$6</f>
        <v>10521171.0333068</v>
      </c>
      <c r="AP8" s="84">
        <f>+$AP$3+$AP$4+$AP$5+$AP$6</f>
        <v>11100335.697927682</v>
      </c>
      <c r="AQ8" s="85">
        <f t="shared" si="1"/>
        <v>5.5047547728995561E-2</v>
      </c>
      <c r="AS8" s="83" t="s">
        <v>90</v>
      </c>
      <c r="AT8" s="84">
        <f>+$AT$3+$AT$4+$AT$5+$AT$6</f>
        <v>31860037.430996008</v>
      </c>
      <c r="AU8" s="84">
        <f ca="1">+$AU$3+$AU$4+$AU$5+$AU$6</f>
        <v>35002955.005636021</v>
      </c>
      <c r="AV8" s="85">
        <f t="shared" ca="1" si="2"/>
        <v>9.8647642252370105E-2</v>
      </c>
    </row>
    <row r="9" spans="1:48" ht="11.25" customHeight="1" x14ac:dyDescent="0.3">
      <c r="A9" s="3" t="s">
        <v>21</v>
      </c>
      <c r="B9" s="3" t="s">
        <v>39</v>
      </c>
      <c r="C9" s="3" t="s">
        <v>56</v>
      </c>
      <c r="D9" s="3" t="s">
        <v>25</v>
      </c>
      <c r="E9" s="3" t="s">
        <v>25</v>
      </c>
      <c r="F9" s="3" t="s">
        <v>57</v>
      </c>
      <c r="G9" s="3" t="s">
        <v>58</v>
      </c>
      <c r="H9" s="3" t="s">
        <v>35</v>
      </c>
      <c r="I9" s="6">
        <v>44593</v>
      </c>
      <c r="J9" s="4">
        <v>1549</v>
      </c>
      <c r="K9" s="18">
        <f>J9*(1-SUMIFS(CUSTOS!$T$40:$T$100,CUSTOS!$O$40:$O$100,EFEITO!G9,CUSTOS!$S$40:$S$100,EFEITO!B9,CUSTOS!$R$40:$R$100,"Potência"))</f>
        <v>1549</v>
      </c>
      <c r="L9" s="4">
        <v>438.084</v>
      </c>
      <c r="M9" s="18">
        <f>L9*(1-SUMIFS(CUSTOS!$T$40:$T$100,CUSTOS!$O$40:$O$100,EFEITO!G9,CUSTOS!$S$40:$S$100,EFEITO!B9,CUSTOS!$R$40:$R$100,"Potência"))</f>
        <v>438.084</v>
      </c>
      <c r="N9" s="4">
        <v>0</v>
      </c>
      <c r="O9" s="18">
        <f>N9*(1-SUMIFS(CUSTOS!$T$40:$T$100,CUSTOS!$O$40:$O$100,EFEITO!G9,CUSTOS!$S$40:$S$100,EFEITO!B9,CUSTOS!$R$40:$R$100,"Energia"))</f>
        <v>0</v>
      </c>
      <c r="P9" s="4">
        <v>0</v>
      </c>
      <c r="Q9" s="3" t="s">
        <v>59</v>
      </c>
      <c r="R9" s="3">
        <v>5343</v>
      </c>
      <c r="S9" s="4">
        <v>6</v>
      </c>
      <c r="T9" s="4">
        <v>7</v>
      </c>
      <c r="U9" s="4">
        <v>0</v>
      </c>
      <c r="V9" s="4">
        <f>IF(ISERROR(VLOOKUP($S$9,'TAR FIN'!$A$1:$O$91,15,0)),0,VLOOKUP($S$9,'TAR FIN'!$A$1:$O$91,15,0))</f>
        <v>23.37</v>
      </c>
      <c r="W9" s="4">
        <f>IF(ISERROR(VLOOKUP($T$9,'TAR FIN'!$A$1:$O$91,15,0)),0,VLOOKUP($T$9,'TAR FIN'!$A$1:$O$91,15,0))</f>
        <v>12.96</v>
      </c>
      <c r="X9" s="4">
        <f>IF(ISERROR(VLOOKUP($U$9,'TAR FIN'!$A$1:$O$91,15,0)),0,VLOOKUP($U$9,'TAR FIN'!$A$1:$O$91,15,0))</f>
        <v>0</v>
      </c>
      <c r="Y9" s="4">
        <f ca="1">('TUSD BE'!$AM$10+'TUSD BF'!$AM$10+'TUSD CVA'!$AM$10)*1</f>
        <v>23.819711465050677</v>
      </c>
      <c r="Z9" s="4">
        <f ca="1">('TUSD BE'!$AM$11+'TUSD BF'!$AM$11+'TUSD CVA'!$AM$11)*1</f>
        <v>11.103927165111529</v>
      </c>
      <c r="AA9" s="4">
        <f>('TE BE'!$AB$9+'TE BF'!$AB$9+'TE CVA'!$AB$9)*1</f>
        <v>233.70080441251889</v>
      </c>
      <c r="AB9" s="4">
        <f>$K$9*$V$9</f>
        <v>36200.130000000005</v>
      </c>
      <c r="AC9" s="4">
        <f>$M$9*$W$9</f>
        <v>5677.5686400000004</v>
      </c>
      <c r="AD9" s="4">
        <f>$O$9*$X$9</f>
        <v>0</v>
      </c>
      <c r="AE9" s="4">
        <f ca="1">$K$9*$Y$9</f>
        <v>36896.733059363498</v>
      </c>
      <c r="AF9" s="4">
        <f ca="1">$M$9*$Z$9</f>
        <v>4864.4528282007186</v>
      </c>
      <c r="AG9" s="4">
        <f>$O$9*$AA$9</f>
        <v>0</v>
      </c>
      <c r="AI9" s="83" t="s">
        <v>759</v>
      </c>
      <c r="AJ9" s="84">
        <f>AJ8+AJ7</f>
        <v>28097349.405635975</v>
      </c>
      <c r="AK9" s="84">
        <f ca="1">AK8+AK7</f>
        <v>31781592.348866872</v>
      </c>
      <c r="AL9" s="85">
        <f t="shared" ca="1" si="0"/>
        <v>0.13112421709401123</v>
      </c>
      <c r="AN9" s="83" t="s">
        <v>759</v>
      </c>
      <c r="AO9" s="84">
        <f>AO8+AO7</f>
        <v>13773228.263819257</v>
      </c>
      <c r="AP9" s="84">
        <f>AP8+AP7</f>
        <v>14507900.891086701</v>
      </c>
      <c r="AQ9" s="85">
        <f t="shared" si="1"/>
        <v>5.3340626699504234E-2</v>
      </c>
      <c r="AS9" s="83" t="s">
        <v>759</v>
      </c>
      <c r="AT9" s="84">
        <f>AT8+AT7</f>
        <v>41870577.66945523</v>
      </c>
      <c r="AU9" s="84">
        <f ca="1">AU8+AU7</f>
        <v>46289493.239953578</v>
      </c>
      <c r="AV9" s="85">
        <f t="shared" ca="1" si="2"/>
        <v>0.10553748757380932</v>
      </c>
    </row>
    <row r="10" spans="1:48" ht="11.25" customHeight="1" x14ac:dyDescent="0.3">
      <c r="A10" s="3" t="s">
        <v>21</v>
      </c>
      <c r="B10" s="3" t="s">
        <v>39</v>
      </c>
      <c r="C10" s="3" t="s">
        <v>56</v>
      </c>
      <c r="D10" s="3" t="s">
        <v>25</v>
      </c>
      <c r="E10" s="3" t="s">
        <v>25</v>
      </c>
      <c r="F10" s="3" t="s">
        <v>57</v>
      </c>
      <c r="G10" s="3" t="s">
        <v>58</v>
      </c>
      <c r="H10" s="3" t="s">
        <v>35</v>
      </c>
      <c r="I10" s="6">
        <v>44621</v>
      </c>
      <c r="J10" s="4">
        <v>1215</v>
      </c>
      <c r="K10" s="18">
        <f>J10*(1-SUMIFS(CUSTOS!$T$40:$T$100,CUSTOS!$O$40:$O$100,EFEITO!G10,CUSTOS!$S$40:$S$100,EFEITO!B10,CUSTOS!$R$40:$R$100,"Potência"))</f>
        <v>1215</v>
      </c>
      <c r="L10" s="4">
        <v>410.32900000000001</v>
      </c>
      <c r="M10" s="18">
        <f>L10*(1-SUMIFS(CUSTOS!$T$40:$T$100,CUSTOS!$O$40:$O$100,EFEITO!G10,CUSTOS!$S$40:$S$100,EFEITO!B10,CUSTOS!$R$40:$R$100,"Potência"))</f>
        <v>410.32900000000001</v>
      </c>
      <c r="N10" s="4">
        <v>0</v>
      </c>
      <c r="O10" s="18">
        <f>N10*(1-SUMIFS(CUSTOS!$T$40:$T$100,CUSTOS!$O$40:$O$100,EFEITO!G10,CUSTOS!$S$40:$S$100,EFEITO!B10,CUSTOS!$R$40:$R$100,"Energia"))</f>
        <v>0</v>
      </c>
      <c r="P10" s="4">
        <v>0</v>
      </c>
      <c r="Q10" s="3" t="s">
        <v>59</v>
      </c>
      <c r="R10" s="3">
        <v>5343</v>
      </c>
      <c r="S10" s="4">
        <v>6</v>
      </c>
      <c r="T10" s="4">
        <v>7</v>
      </c>
      <c r="U10" s="4">
        <v>0</v>
      </c>
      <c r="V10" s="4">
        <f>IF(ISERROR(VLOOKUP($S$10,'TAR FIN'!$A$1:$O$91,15,0)),0,VLOOKUP($S$10,'TAR FIN'!$A$1:$O$91,15,0))</f>
        <v>23.37</v>
      </c>
      <c r="W10" s="4">
        <f>IF(ISERROR(VLOOKUP($T$10,'TAR FIN'!$A$1:$O$91,15,0)),0,VLOOKUP($T$10,'TAR FIN'!$A$1:$O$91,15,0))</f>
        <v>12.96</v>
      </c>
      <c r="X10" s="4">
        <f>IF(ISERROR(VLOOKUP($U$10,'TAR FIN'!$A$1:$O$91,15,0)),0,VLOOKUP($U$10,'TAR FIN'!$A$1:$O$91,15,0))</f>
        <v>0</v>
      </c>
      <c r="Y10" s="4">
        <f ca="1">('TUSD BE'!$AM$10+'TUSD BF'!$AM$10+'TUSD CVA'!$AM$10)*1</f>
        <v>23.819711465050677</v>
      </c>
      <c r="Z10" s="4">
        <f ca="1">('TUSD BE'!$AM$11+'TUSD BF'!$AM$11+'TUSD CVA'!$AM$11)*1</f>
        <v>11.103927165111529</v>
      </c>
      <c r="AA10" s="4">
        <f>('TE BE'!$AB$9+'TE BF'!$AB$9+'TE CVA'!$AB$9)*1</f>
        <v>233.70080441251889</v>
      </c>
      <c r="AB10" s="4">
        <f>$K$10*$V$10</f>
        <v>28394.550000000003</v>
      </c>
      <c r="AC10" s="4">
        <f>$M$10*$W$10</f>
        <v>5317.8638400000009</v>
      </c>
      <c r="AD10" s="4">
        <f>$O$10*$X$10</f>
        <v>0</v>
      </c>
      <c r="AE10" s="4">
        <f ca="1">$K$10*$Y$10</f>
        <v>28940.949430036573</v>
      </c>
      <c r="AF10" s="4">
        <f ca="1">$M$10*$Z$10</f>
        <v>4556.2633297330485</v>
      </c>
      <c r="AG10" s="4">
        <f>$O$10*$AA$10</f>
        <v>0</v>
      </c>
    </row>
    <row r="11" spans="1:48" ht="11.25" customHeight="1" x14ac:dyDescent="0.3">
      <c r="A11" s="3" t="s">
        <v>21</v>
      </c>
      <c r="B11" s="3" t="s">
        <v>39</v>
      </c>
      <c r="C11" s="3" t="s">
        <v>56</v>
      </c>
      <c r="D11" s="3" t="s">
        <v>25</v>
      </c>
      <c r="E11" s="3" t="s">
        <v>25</v>
      </c>
      <c r="F11" s="3" t="s">
        <v>57</v>
      </c>
      <c r="G11" s="3" t="s">
        <v>58</v>
      </c>
      <c r="H11" s="3" t="s">
        <v>35</v>
      </c>
      <c r="I11" s="6">
        <v>44652</v>
      </c>
      <c r="J11" s="4">
        <v>1322</v>
      </c>
      <c r="K11" s="18">
        <f>J11*(1-SUMIFS(CUSTOS!$T$40:$T$100,CUSTOS!$O$40:$O$100,EFEITO!G11,CUSTOS!$S$40:$S$100,EFEITO!B11,CUSTOS!$R$40:$R$100,"Potência"))</f>
        <v>1322</v>
      </c>
      <c r="L11" s="4">
        <v>395.52</v>
      </c>
      <c r="M11" s="18">
        <f>L11*(1-SUMIFS(CUSTOS!$T$40:$T$100,CUSTOS!$O$40:$O$100,EFEITO!G11,CUSTOS!$S$40:$S$100,EFEITO!B11,CUSTOS!$R$40:$R$100,"Potência"))</f>
        <v>395.52</v>
      </c>
      <c r="N11" s="4">
        <v>0</v>
      </c>
      <c r="O11" s="18">
        <f>N11*(1-SUMIFS(CUSTOS!$T$40:$T$100,CUSTOS!$O$40:$O$100,EFEITO!G11,CUSTOS!$S$40:$S$100,EFEITO!B11,CUSTOS!$R$40:$R$100,"Energia"))</f>
        <v>0</v>
      </c>
      <c r="P11" s="4">
        <v>0</v>
      </c>
      <c r="Q11" s="3" t="s">
        <v>59</v>
      </c>
      <c r="R11" s="3">
        <v>5343</v>
      </c>
      <c r="S11" s="4">
        <v>6</v>
      </c>
      <c r="T11" s="4">
        <v>7</v>
      </c>
      <c r="U11" s="4">
        <v>0</v>
      </c>
      <c r="V11" s="4">
        <f>IF(ISERROR(VLOOKUP($S$11,'TAR FIN'!$A$1:$O$91,15,0)),0,VLOOKUP($S$11,'TAR FIN'!$A$1:$O$91,15,0))</f>
        <v>23.37</v>
      </c>
      <c r="W11" s="4">
        <f>IF(ISERROR(VLOOKUP($T$11,'TAR FIN'!$A$1:$O$91,15,0)),0,VLOOKUP($T$11,'TAR FIN'!$A$1:$O$91,15,0))</f>
        <v>12.96</v>
      </c>
      <c r="X11" s="4">
        <f>IF(ISERROR(VLOOKUP($U$11,'TAR FIN'!$A$1:$O$91,15,0)),0,VLOOKUP($U$11,'TAR FIN'!$A$1:$O$91,15,0))</f>
        <v>0</v>
      </c>
      <c r="Y11" s="4">
        <f ca="1">('TUSD BE'!$AM$10+'TUSD BF'!$AM$10+'TUSD CVA'!$AM$10)*1</f>
        <v>23.819711465050677</v>
      </c>
      <c r="Z11" s="4">
        <f ca="1">('TUSD BE'!$AM$11+'TUSD BF'!$AM$11+'TUSD CVA'!$AM$11)*1</f>
        <v>11.103927165111529</v>
      </c>
      <c r="AA11" s="4">
        <f>('TE BE'!$AB$9+'TE BF'!$AB$9+'TE CVA'!$AB$9)*1</f>
        <v>233.70080441251889</v>
      </c>
      <c r="AB11" s="4">
        <f>$K$11*$V$11</f>
        <v>30895.140000000003</v>
      </c>
      <c r="AC11" s="4">
        <f>$M$11*$W$11</f>
        <v>5125.9391999999998</v>
      </c>
      <c r="AD11" s="4">
        <f>$O$11*$X$11</f>
        <v>0</v>
      </c>
      <c r="AE11" s="4">
        <f ca="1">$K$11*$Y$11</f>
        <v>31489.658556796996</v>
      </c>
      <c r="AF11" s="4">
        <f ca="1">$M$11*$Z$11</f>
        <v>4391.8252723449114</v>
      </c>
      <c r="AG11" s="4">
        <f>$O$11*$AA$11</f>
        <v>0</v>
      </c>
    </row>
    <row r="12" spans="1:48" ht="11.25" customHeight="1" x14ac:dyDescent="0.3">
      <c r="A12" s="3" t="s">
        <v>21</v>
      </c>
      <c r="B12" s="3" t="s">
        <v>39</v>
      </c>
      <c r="C12" s="3" t="s">
        <v>56</v>
      </c>
      <c r="D12" s="3" t="s">
        <v>25</v>
      </c>
      <c r="E12" s="3" t="s">
        <v>25</v>
      </c>
      <c r="F12" s="3" t="s">
        <v>57</v>
      </c>
      <c r="G12" s="3" t="s">
        <v>58</v>
      </c>
      <c r="H12" s="3" t="s">
        <v>35</v>
      </c>
      <c r="I12" s="6">
        <v>44682</v>
      </c>
      <c r="J12" s="4">
        <v>1251</v>
      </c>
      <c r="K12" s="18">
        <f>J12*(1-SUMIFS(CUSTOS!$T$40:$T$100,CUSTOS!$O$40:$O$100,EFEITO!G12,CUSTOS!$S$40:$S$100,EFEITO!B12,CUSTOS!$R$40:$R$100,"Potência"))</f>
        <v>1251</v>
      </c>
      <c r="L12" s="4">
        <v>348.14400000000001</v>
      </c>
      <c r="M12" s="18">
        <f>L12*(1-SUMIFS(CUSTOS!$T$40:$T$100,CUSTOS!$O$40:$O$100,EFEITO!G12,CUSTOS!$S$40:$S$100,EFEITO!B12,CUSTOS!$R$40:$R$100,"Potência"))</f>
        <v>348.14400000000001</v>
      </c>
      <c r="N12" s="4">
        <v>0</v>
      </c>
      <c r="O12" s="18">
        <f>N12*(1-SUMIFS(CUSTOS!$T$40:$T$100,CUSTOS!$O$40:$O$100,EFEITO!G12,CUSTOS!$S$40:$S$100,EFEITO!B12,CUSTOS!$R$40:$R$100,"Energia"))</f>
        <v>0</v>
      </c>
      <c r="P12" s="4">
        <v>0</v>
      </c>
      <c r="Q12" s="3" t="s">
        <v>59</v>
      </c>
      <c r="R12" s="3">
        <v>5343</v>
      </c>
      <c r="S12" s="4">
        <v>6</v>
      </c>
      <c r="T12" s="4">
        <v>7</v>
      </c>
      <c r="U12" s="4">
        <v>0</v>
      </c>
      <c r="V12" s="4">
        <f>IF(ISERROR(VLOOKUP($S$12,'TAR FIN'!$A$1:$O$91,15,0)),0,VLOOKUP($S$12,'TAR FIN'!$A$1:$O$91,15,0))</f>
        <v>23.37</v>
      </c>
      <c r="W12" s="4">
        <f>IF(ISERROR(VLOOKUP($T$12,'TAR FIN'!$A$1:$O$91,15,0)),0,VLOOKUP($T$12,'TAR FIN'!$A$1:$O$91,15,0))</f>
        <v>12.96</v>
      </c>
      <c r="X12" s="4">
        <f>IF(ISERROR(VLOOKUP($U$12,'TAR FIN'!$A$1:$O$91,15,0)),0,VLOOKUP($U$12,'TAR FIN'!$A$1:$O$91,15,0))</f>
        <v>0</v>
      </c>
      <c r="Y12" s="4">
        <f ca="1">('TUSD BE'!$AM$10+'TUSD BF'!$AM$10+'TUSD CVA'!$AM$10)*1</f>
        <v>23.819711465050677</v>
      </c>
      <c r="Z12" s="4">
        <f ca="1">('TUSD BE'!$AM$11+'TUSD BF'!$AM$11+'TUSD CVA'!$AM$11)*1</f>
        <v>11.103927165111529</v>
      </c>
      <c r="AA12" s="4">
        <f>('TE BE'!$AB$9+'TE BF'!$AB$9+'TE CVA'!$AB$9)*1</f>
        <v>233.70080441251889</v>
      </c>
      <c r="AB12" s="4">
        <f>$K$12*$V$12</f>
        <v>29235.870000000003</v>
      </c>
      <c r="AC12" s="4">
        <f>$M$12*$W$12</f>
        <v>4511.9462400000002</v>
      </c>
      <c r="AD12" s="4">
        <f>$O$12*$X$12</f>
        <v>0</v>
      </c>
      <c r="AE12" s="4">
        <f ca="1">$K$12*$Y$12</f>
        <v>29798.459042778395</v>
      </c>
      <c r="AF12" s="4">
        <f ca="1">$M$12*$Z$12</f>
        <v>3865.7656189705881</v>
      </c>
      <c r="AG12" s="4">
        <f>$O$12*$AA$12</f>
        <v>0</v>
      </c>
    </row>
    <row r="13" spans="1:48" ht="11.25" customHeight="1" x14ac:dyDescent="0.3">
      <c r="A13" s="3" t="s">
        <v>21</v>
      </c>
      <c r="B13" s="3" t="s">
        <v>39</v>
      </c>
      <c r="C13" s="3" t="s">
        <v>56</v>
      </c>
      <c r="D13" s="3" t="s">
        <v>25</v>
      </c>
      <c r="E13" s="3" t="s">
        <v>25</v>
      </c>
      <c r="F13" s="3" t="s">
        <v>57</v>
      </c>
      <c r="G13" s="3" t="s">
        <v>58</v>
      </c>
      <c r="H13" s="3" t="s">
        <v>35</v>
      </c>
      <c r="I13" s="6">
        <v>44713</v>
      </c>
      <c r="J13" s="4">
        <v>1345</v>
      </c>
      <c r="K13" s="18">
        <f>J13*(1-SUMIFS(CUSTOS!$T$40:$T$100,CUSTOS!$O$40:$O$100,EFEITO!G13,CUSTOS!$S$40:$S$100,EFEITO!B13,CUSTOS!$R$40:$R$100,"Potência"))</f>
        <v>1345</v>
      </c>
      <c r="L13" s="4">
        <v>354.02800000000002</v>
      </c>
      <c r="M13" s="18">
        <f>L13*(1-SUMIFS(CUSTOS!$T$40:$T$100,CUSTOS!$O$40:$O$100,EFEITO!G13,CUSTOS!$S$40:$S$100,EFEITO!B13,CUSTOS!$R$40:$R$100,"Potência"))</f>
        <v>354.02800000000002</v>
      </c>
      <c r="N13" s="4">
        <v>0</v>
      </c>
      <c r="O13" s="18">
        <f>N13*(1-SUMIFS(CUSTOS!$T$40:$T$100,CUSTOS!$O$40:$O$100,EFEITO!G13,CUSTOS!$S$40:$S$100,EFEITO!B13,CUSTOS!$R$40:$R$100,"Energia"))</f>
        <v>0</v>
      </c>
      <c r="P13" s="4">
        <v>0</v>
      </c>
      <c r="Q13" s="3" t="s">
        <v>59</v>
      </c>
      <c r="R13" s="3">
        <v>5343</v>
      </c>
      <c r="S13" s="4">
        <v>6</v>
      </c>
      <c r="T13" s="4">
        <v>7</v>
      </c>
      <c r="U13" s="4">
        <v>0</v>
      </c>
      <c r="V13" s="4">
        <f>IF(ISERROR(VLOOKUP($S$13,'TAR FIN'!$A$1:$O$91,15,0)),0,VLOOKUP($S$13,'TAR FIN'!$A$1:$O$91,15,0))</f>
        <v>23.37</v>
      </c>
      <c r="W13" s="4">
        <f>IF(ISERROR(VLOOKUP($T$13,'TAR FIN'!$A$1:$O$91,15,0)),0,VLOOKUP($T$13,'TAR FIN'!$A$1:$O$91,15,0))</f>
        <v>12.96</v>
      </c>
      <c r="X13" s="4">
        <f>IF(ISERROR(VLOOKUP($U$13,'TAR FIN'!$A$1:$O$91,15,0)),0,VLOOKUP($U$13,'TAR FIN'!$A$1:$O$91,15,0))</f>
        <v>0</v>
      </c>
      <c r="Y13" s="4">
        <f ca="1">('TUSD BE'!$AM$10+'TUSD BF'!$AM$10+'TUSD CVA'!$AM$10)*1</f>
        <v>23.819711465050677</v>
      </c>
      <c r="Z13" s="4">
        <f ca="1">('TUSD BE'!$AM$11+'TUSD BF'!$AM$11+'TUSD CVA'!$AM$11)*1</f>
        <v>11.103927165111529</v>
      </c>
      <c r="AA13" s="4">
        <f>('TE BE'!$AB$9+'TE BF'!$AB$9+'TE CVA'!$AB$9)*1</f>
        <v>233.70080441251889</v>
      </c>
      <c r="AB13" s="4">
        <f>$K$13*$V$13</f>
        <v>31432.65</v>
      </c>
      <c r="AC13" s="4">
        <f>$M$13*$W$13</f>
        <v>4588.2028800000007</v>
      </c>
      <c r="AD13" s="4">
        <f>$O$13*$X$13</f>
        <v>0</v>
      </c>
      <c r="AE13" s="4">
        <f ca="1">$K$13*$Y$13</f>
        <v>32037.511920493162</v>
      </c>
      <c r="AF13" s="4">
        <f ca="1">$M$13*$Z$13</f>
        <v>3931.1011264101044</v>
      </c>
      <c r="AG13" s="4">
        <f>$O$13*$AA$13</f>
        <v>0</v>
      </c>
    </row>
    <row r="14" spans="1:48" ht="11.25" customHeight="1" x14ac:dyDescent="0.3">
      <c r="A14" s="3" t="s">
        <v>21</v>
      </c>
      <c r="B14" s="3" t="s">
        <v>39</v>
      </c>
      <c r="C14" s="3" t="s">
        <v>56</v>
      </c>
      <c r="D14" s="3" t="s">
        <v>25</v>
      </c>
      <c r="E14" s="3" t="s">
        <v>25</v>
      </c>
      <c r="F14" s="3" t="s">
        <v>57</v>
      </c>
      <c r="G14" s="3" t="s">
        <v>58</v>
      </c>
      <c r="H14" s="3" t="s">
        <v>25</v>
      </c>
      <c r="I14" s="6">
        <v>44378</v>
      </c>
      <c r="J14" s="4">
        <v>0</v>
      </c>
      <c r="K14" s="18">
        <f>J14*(1-SUMIFS(CUSTOS!$T$40:$T$100,CUSTOS!$O$40:$O$100,EFEITO!G14,CUSTOS!$S$40:$S$100,EFEITO!B14,CUSTOS!$R$40:$R$100,"Potência"))</f>
        <v>0</v>
      </c>
      <c r="L14" s="4">
        <v>0</v>
      </c>
      <c r="M14" s="18">
        <f>L14*(1-SUMIFS(CUSTOS!$T$40:$T$100,CUSTOS!$O$40:$O$100,EFEITO!G14,CUSTOS!$S$40:$S$100,EFEITO!B14,CUSTOS!$R$40:$R$100,"Potência"))</f>
        <v>0</v>
      </c>
      <c r="N14" s="4">
        <v>342.21800000000002</v>
      </c>
      <c r="O14" s="18">
        <f>N14*(1-SUMIFS(CUSTOS!$T$40:$T$100,CUSTOS!$O$40:$O$100,EFEITO!G14,CUSTOS!$S$40:$S$100,EFEITO!B14,CUSTOS!$R$40:$R$100,"Energia"))</f>
        <v>293.41771319999998</v>
      </c>
      <c r="P14" s="4">
        <v>0</v>
      </c>
      <c r="Q14" s="3" t="s">
        <v>59</v>
      </c>
      <c r="R14" s="3">
        <v>5343</v>
      </c>
      <c r="S14" s="4">
        <v>0</v>
      </c>
      <c r="T14" s="4">
        <v>0</v>
      </c>
      <c r="U14" s="4">
        <v>54</v>
      </c>
      <c r="V14" s="4">
        <f>IF(ISERROR(VLOOKUP($S$14,'TAR FIN'!$A$1:$O$91,15,0)),0,VLOOKUP($S$14,'TAR FIN'!$A$1:$O$91,15,0))</f>
        <v>0</v>
      </c>
      <c r="W14" s="4">
        <f>IF(ISERROR(VLOOKUP($T$14,'TAR FIN'!$A$1:$O$91,15,0)),0,VLOOKUP($T$14,'TAR FIN'!$A$1:$O$91,15,0))</f>
        <v>0</v>
      </c>
      <c r="X14" s="4">
        <f>IF(ISERROR(VLOOKUP($U$14,'TAR FIN'!$A$1:$O$91,15,0)),0,VLOOKUP($U$14,'TAR FIN'!$A$1:$O$91,15,0))</f>
        <v>215.96</v>
      </c>
      <c r="Y14" s="4">
        <f ca="1">0.72*('TUSD BE'!$AM$9+'TUSD BF'!$AM$9+'TUSD CVA'!$AM$9)*1+('TUSD BE'!$AM$10+'TUSD BF'!$AM$10+'TUSD CVA'!$AM$10)*1</f>
        <v>54.216386816965695</v>
      </c>
      <c r="Z14" s="4">
        <f ca="1">('TUSD BE'!$AM$11+'TUSD BF'!$AM$11+'TUSD CVA'!$AM$11)*1</f>
        <v>11.103927165111529</v>
      </c>
      <c r="AA14" s="4">
        <f>('TE BE'!$AB$9+'TE BF'!$AB$9+'TE CVA'!$AB$9)*1</f>
        <v>233.70080441251889</v>
      </c>
      <c r="AB14" s="4">
        <f>$K$14*$V$14</f>
        <v>0</v>
      </c>
      <c r="AC14" s="4">
        <f>$M$14*$W$14</f>
        <v>0</v>
      </c>
      <c r="AD14" s="4">
        <f>$O$14*$X$14</f>
        <v>63366.489342672001</v>
      </c>
      <c r="AE14" s="4">
        <f ca="1">$K$14*$Y$14</f>
        <v>0</v>
      </c>
      <c r="AF14" s="4">
        <f ca="1">$M$14*$Z$14</f>
        <v>0</v>
      </c>
      <c r="AG14" s="4">
        <f>$O$14*$AA$14</f>
        <v>68571.955603721755</v>
      </c>
    </row>
    <row r="15" spans="1:48" ht="11.25" customHeight="1" x14ac:dyDescent="0.3">
      <c r="A15" s="3" t="s">
        <v>21</v>
      </c>
      <c r="B15" s="3" t="s">
        <v>39</v>
      </c>
      <c r="C15" s="3" t="s">
        <v>56</v>
      </c>
      <c r="D15" s="3" t="s">
        <v>25</v>
      </c>
      <c r="E15" s="3" t="s">
        <v>25</v>
      </c>
      <c r="F15" s="3" t="s">
        <v>57</v>
      </c>
      <c r="G15" s="3" t="s">
        <v>58</v>
      </c>
      <c r="H15" s="3" t="s">
        <v>25</v>
      </c>
      <c r="I15" s="6">
        <v>44409</v>
      </c>
      <c r="J15" s="4">
        <v>0</v>
      </c>
      <c r="K15" s="18">
        <f>J15*(1-SUMIFS(CUSTOS!$T$40:$T$100,CUSTOS!$O$40:$O$100,EFEITO!G15,CUSTOS!$S$40:$S$100,EFEITO!B15,CUSTOS!$R$40:$R$100,"Potência"))</f>
        <v>0</v>
      </c>
      <c r="L15" s="4">
        <v>0</v>
      </c>
      <c r="M15" s="18">
        <f>L15*(1-SUMIFS(CUSTOS!$T$40:$T$100,CUSTOS!$O$40:$O$100,EFEITO!G15,CUSTOS!$S$40:$S$100,EFEITO!B15,CUSTOS!$R$40:$R$100,"Potência"))</f>
        <v>0</v>
      </c>
      <c r="N15" s="4">
        <v>369.23899999999998</v>
      </c>
      <c r="O15" s="18">
        <f>N15*(1-SUMIFS(CUSTOS!$T$40:$T$100,CUSTOS!$O$40:$O$100,EFEITO!G15,CUSTOS!$S$40:$S$100,EFEITO!B15,CUSTOS!$R$40:$R$100,"Energia"))</f>
        <v>316.58551859999994</v>
      </c>
      <c r="P15" s="4">
        <v>0</v>
      </c>
      <c r="Q15" s="3" t="s">
        <v>59</v>
      </c>
      <c r="R15" s="3">
        <v>5343</v>
      </c>
      <c r="S15" s="4">
        <v>0</v>
      </c>
      <c r="T15" s="4">
        <v>0</v>
      </c>
      <c r="U15" s="4">
        <v>54</v>
      </c>
      <c r="V15" s="4">
        <f>IF(ISERROR(VLOOKUP($S$15,'TAR FIN'!$A$1:$O$91,15,0)),0,VLOOKUP($S$15,'TAR FIN'!$A$1:$O$91,15,0))</f>
        <v>0</v>
      </c>
      <c r="W15" s="4">
        <f>IF(ISERROR(VLOOKUP($T$15,'TAR FIN'!$A$1:$O$91,15,0)),0,VLOOKUP($T$15,'TAR FIN'!$A$1:$O$91,15,0))</f>
        <v>0</v>
      </c>
      <c r="X15" s="4">
        <f>IF(ISERROR(VLOOKUP($U$15,'TAR FIN'!$A$1:$O$91,15,0)),0,VLOOKUP($U$15,'TAR FIN'!$A$1:$O$91,15,0))</f>
        <v>215.96</v>
      </c>
      <c r="Y15" s="4">
        <f ca="1">0.72*('TUSD BE'!$AM$9+'TUSD BF'!$AM$9+'TUSD CVA'!$AM$9)*1+('TUSD BE'!$AM$10+'TUSD BF'!$AM$10+'TUSD CVA'!$AM$10)*1</f>
        <v>54.216386816965695</v>
      </c>
      <c r="Z15" s="4">
        <f ca="1">('TUSD BE'!$AM$11+'TUSD BF'!$AM$11+'TUSD CVA'!$AM$11)*1</f>
        <v>11.103927165111529</v>
      </c>
      <c r="AA15" s="4">
        <f>('TE BE'!$AB$9+'TE BF'!$AB$9+'TE CVA'!$AB$9)*1</f>
        <v>233.70080441251889</v>
      </c>
      <c r="AB15" s="4">
        <f>$K$15*$V$15</f>
        <v>0</v>
      </c>
      <c r="AC15" s="4">
        <f>$M$15*$W$15</f>
        <v>0</v>
      </c>
      <c r="AD15" s="4">
        <f>$O$15*$X$15</f>
        <v>68369.80859685599</v>
      </c>
      <c r="AE15" s="4">
        <f ca="1">$K$15*$Y$15</f>
        <v>0</v>
      </c>
      <c r="AF15" s="4">
        <f ca="1">$M$15*$Z$15</f>
        <v>0</v>
      </c>
      <c r="AG15" s="4">
        <f>$O$15*$AA$15</f>
        <v>73986.290362174448</v>
      </c>
    </row>
    <row r="16" spans="1:48" ht="11.25" customHeight="1" x14ac:dyDescent="0.3">
      <c r="A16" s="3" t="s">
        <v>21</v>
      </c>
      <c r="B16" s="3" t="s">
        <v>39</v>
      </c>
      <c r="C16" s="3" t="s">
        <v>56</v>
      </c>
      <c r="D16" s="3" t="s">
        <v>25</v>
      </c>
      <c r="E16" s="3" t="s">
        <v>25</v>
      </c>
      <c r="F16" s="3" t="s">
        <v>57</v>
      </c>
      <c r="G16" s="3" t="s">
        <v>58</v>
      </c>
      <c r="H16" s="3" t="s">
        <v>25</v>
      </c>
      <c r="I16" s="6">
        <v>44440</v>
      </c>
      <c r="J16" s="4">
        <v>0</v>
      </c>
      <c r="K16" s="18">
        <f>J16*(1-SUMIFS(CUSTOS!$T$40:$T$100,CUSTOS!$O$40:$O$100,EFEITO!G16,CUSTOS!$S$40:$S$100,EFEITO!B16,CUSTOS!$R$40:$R$100,"Potência"))</f>
        <v>0</v>
      </c>
      <c r="L16" s="4">
        <v>0</v>
      </c>
      <c r="M16" s="18">
        <f>L16*(1-SUMIFS(CUSTOS!$T$40:$T$100,CUSTOS!$O$40:$O$100,EFEITO!G16,CUSTOS!$S$40:$S$100,EFEITO!B16,CUSTOS!$R$40:$R$100,"Potência"))</f>
        <v>0</v>
      </c>
      <c r="N16" s="4">
        <v>336.33800000000002</v>
      </c>
      <c r="O16" s="18">
        <f>N16*(1-SUMIFS(CUSTOS!$T$40:$T$100,CUSTOS!$O$40:$O$100,EFEITO!G16,CUSTOS!$S$40:$S$100,EFEITO!B16,CUSTOS!$R$40:$R$100,"Energia"))</f>
        <v>288.37620120000003</v>
      </c>
      <c r="P16" s="4">
        <v>0</v>
      </c>
      <c r="Q16" s="3" t="s">
        <v>59</v>
      </c>
      <c r="R16" s="3">
        <v>5343</v>
      </c>
      <c r="S16" s="4">
        <v>0</v>
      </c>
      <c r="T16" s="4">
        <v>0</v>
      </c>
      <c r="U16" s="4">
        <v>54</v>
      </c>
      <c r="V16" s="4">
        <f>IF(ISERROR(VLOOKUP($S$16,'TAR FIN'!$A$1:$O$91,15,0)),0,VLOOKUP($S$16,'TAR FIN'!$A$1:$O$91,15,0))</f>
        <v>0</v>
      </c>
      <c r="W16" s="4">
        <f>IF(ISERROR(VLOOKUP($T$16,'TAR FIN'!$A$1:$O$91,15,0)),0,VLOOKUP($T$16,'TAR FIN'!$A$1:$O$91,15,0))</f>
        <v>0</v>
      </c>
      <c r="X16" s="4">
        <f>IF(ISERROR(VLOOKUP($U$16,'TAR FIN'!$A$1:$O$91,15,0)),0,VLOOKUP($U$16,'TAR FIN'!$A$1:$O$91,15,0))</f>
        <v>215.96</v>
      </c>
      <c r="Y16" s="4">
        <f ca="1">0.72*('TUSD BE'!$AM$9+'TUSD BF'!$AM$9+'TUSD CVA'!$AM$9)*1+('TUSD BE'!$AM$10+'TUSD BF'!$AM$10+'TUSD CVA'!$AM$10)*1</f>
        <v>54.216386816965695</v>
      </c>
      <c r="Z16" s="4">
        <f ca="1">('TUSD BE'!$AM$11+'TUSD BF'!$AM$11+'TUSD CVA'!$AM$11)*1</f>
        <v>11.103927165111529</v>
      </c>
      <c r="AA16" s="4">
        <f>('TE BE'!$AB$9+'TE BF'!$AB$9+'TE CVA'!$AB$9)*1</f>
        <v>233.70080441251889</v>
      </c>
      <c r="AB16" s="4">
        <f>$K$16*$V$16</f>
        <v>0</v>
      </c>
      <c r="AC16" s="4">
        <f>$M$16*$W$16</f>
        <v>0</v>
      </c>
      <c r="AD16" s="4">
        <f>$O$16*$X$16</f>
        <v>62277.724411152005</v>
      </c>
      <c r="AE16" s="4">
        <f ca="1">$K$16*$Y$16</f>
        <v>0</v>
      </c>
      <c r="AF16" s="4">
        <f ca="1">$M$16*$Z$16</f>
        <v>0</v>
      </c>
      <c r="AG16" s="4">
        <f>$O$16*$AA$16</f>
        <v>67393.750193866406</v>
      </c>
    </row>
    <row r="17" spans="1:33" ht="11.25" customHeight="1" x14ac:dyDescent="0.3">
      <c r="A17" s="3" t="s">
        <v>21</v>
      </c>
      <c r="B17" s="3" t="s">
        <v>39</v>
      </c>
      <c r="C17" s="3" t="s">
        <v>56</v>
      </c>
      <c r="D17" s="3" t="s">
        <v>25</v>
      </c>
      <c r="E17" s="3" t="s">
        <v>25</v>
      </c>
      <c r="F17" s="3" t="s">
        <v>57</v>
      </c>
      <c r="G17" s="3" t="s">
        <v>58</v>
      </c>
      <c r="H17" s="3" t="s">
        <v>25</v>
      </c>
      <c r="I17" s="6">
        <v>44470</v>
      </c>
      <c r="J17" s="4">
        <v>0</v>
      </c>
      <c r="K17" s="18">
        <f>J17*(1-SUMIFS(CUSTOS!$T$40:$T$100,CUSTOS!$O$40:$O$100,EFEITO!G17,CUSTOS!$S$40:$S$100,EFEITO!B17,CUSTOS!$R$40:$R$100,"Potência"))</f>
        <v>0</v>
      </c>
      <c r="L17" s="4">
        <v>0</v>
      </c>
      <c r="M17" s="18">
        <f>L17*(1-SUMIFS(CUSTOS!$T$40:$T$100,CUSTOS!$O$40:$O$100,EFEITO!G17,CUSTOS!$S$40:$S$100,EFEITO!B17,CUSTOS!$R$40:$R$100,"Potência"))</f>
        <v>0</v>
      </c>
      <c r="N17" s="4">
        <v>343.803</v>
      </c>
      <c r="O17" s="18">
        <f>N17*(1-SUMIFS(CUSTOS!$T$40:$T$100,CUSTOS!$O$40:$O$100,EFEITO!G17,CUSTOS!$S$40:$S$100,EFEITO!B17,CUSTOS!$R$40:$R$100,"Energia"))</f>
        <v>294.77669219999996</v>
      </c>
      <c r="P17" s="4">
        <v>0</v>
      </c>
      <c r="Q17" s="3" t="s">
        <v>59</v>
      </c>
      <c r="R17" s="3">
        <v>5343</v>
      </c>
      <c r="S17" s="4">
        <v>0</v>
      </c>
      <c r="T17" s="4">
        <v>0</v>
      </c>
      <c r="U17" s="4">
        <v>54</v>
      </c>
      <c r="V17" s="4">
        <f>IF(ISERROR(VLOOKUP($S$17,'TAR FIN'!$A$1:$O$91,15,0)),0,VLOOKUP($S$17,'TAR FIN'!$A$1:$O$91,15,0))</f>
        <v>0</v>
      </c>
      <c r="W17" s="4">
        <f>IF(ISERROR(VLOOKUP($T$17,'TAR FIN'!$A$1:$O$91,15,0)),0,VLOOKUP($T$17,'TAR FIN'!$A$1:$O$91,15,0))</f>
        <v>0</v>
      </c>
      <c r="X17" s="4">
        <f>IF(ISERROR(VLOOKUP($U$17,'TAR FIN'!$A$1:$O$91,15,0)),0,VLOOKUP($U$17,'TAR FIN'!$A$1:$O$91,15,0))</f>
        <v>215.96</v>
      </c>
      <c r="Y17" s="4">
        <f ca="1">0.72*('TUSD BE'!$AM$9+'TUSD BF'!$AM$9+'TUSD CVA'!$AM$9)*1+('TUSD BE'!$AM$10+'TUSD BF'!$AM$10+'TUSD CVA'!$AM$10)*1</f>
        <v>54.216386816965695</v>
      </c>
      <c r="Z17" s="4">
        <f ca="1">('TUSD BE'!$AM$11+'TUSD BF'!$AM$11+'TUSD CVA'!$AM$11)*1</f>
        <v>11.103927165111529</v>
      </c>
      <c r="AA17" s="4">
        <f>('TE BE'!$AB$9+'TE BF'!$AB$9+'TE CVA'!$AB$9)*1</f>
        <v>233.70080441251889</v>
      </c>
      <c r="AB17" s="4">
        <f>$K$17*$V$17</f>
        <v>0</v>
      </c>
      <c r="AC17" s="4">
        <f>$M$17*$W$17</f>
        <v>0</v>
      </c>
      <c r="AD17" s="4">
        <f>$O$17*$X$17</f>
        <v>63659.974447511995</v>
      </c>
      <c r="AE17" s="4">
        <f ca="1">$K$17*$Y$17</f>
        <v>0</v>
      </c>
      <c r="AF17" s="4">
        <f ca="1">$M$17*$Z$17</f>
        <v>0</v>
      </c>
      <c r="AG17" s="4">
        <f>$O$17*$AA$17</f>
        <v>68889.550089201468</v>
      </c>
    </row>
    <row r="18" spans="1:33" ht="11.25" customHeight="1" x14ac:dyDescent="0.3">
      <c r="A18" s="3" t="s">
        <v>21</v>
      </c>
      <c r="B18" s="3" t="s">
        <v>39</v>
      </c>
      <c r="C18" s="3" t="s">
        <v>56</v>
      </c>
      <c r="D18" s="3" t="s">
        <v>25</v>
      </c>
      <c r="E18" s="3" t="s">
        <v>25</v>
      </c>
      <c r="F18" s="3" t="s">
        <v>57</v>
      </c>
      <c r="G18" s="3" t="s">
        <v>58</v>
      </c>
      <c r="H18" s="3" t="s">
        <v>25</v>
      </c>
      <c r="I18" s="6">
        <v>44501</v>
      </c>
      <c r="J18" s="4">
        <v>0</v>
      </c>
      <c r="K18" s="18">
        <f>J18*(1-SUMIFS(CUSTOS!$T$40:$T$100,CUSTOS!$O$40:$O$100,EFEITO!G18,CUSTOS!$S$40:$S$100,EFEITO!B18,CUSTOS!$R$40:$R$100,"Potência"))</f>
        <v>0</v>
      </c>
      <c r="L18" s="4">
        <v>0</v>
      </c>
      <c r="M18" s="18">
        <f>L18*(1-SUMIFS(CUSTOS!$T$40:$T$100,CUSTOS!$O$40:$O$100,EFEITO!G18,CUSTOS!$S$40:$S$100,EFEITO!B18,CUSTOS!$R$40:$R$100,"Potência"))</f>
        <v>0</v>
      </c>
      <c r="N18" s="4">
        <v>490.92599999999999</v>
      </c>
      <c r="O18" s="18">
        <f>N18*(1-SUMIFS(CUSTOS!$T$40:$T$100,CUSTOS!$O$40:$O$100,EFEITO!G18,CUSTOS!$S$40:$S$100,EFEITO!B18,CUSTOS!$R$40:$R$100,"Energia"))</f>
        <v>420.91995239999994</v>
      </c>
      <c r="P18" s="4">
        <v>0</v>
      </c>
      <c r="Q18" s="3" t="s">
        <v>59</v>
      </c>
      <c r="R18" s="3">
        <v>5343</v>
      </c>
      <c r="S18" s="4">
        <v>0</v>
      </c>
      <c r="T18" s="4">
        <v>0</v>
      </c>
      <c r="U18" s="4">
        <v>54</v>
      </c>
      <c r="V18" s="4">
        <f>IF(ISERROR(VLOOKUP($S$18,'TAR FIN'!$A$1:$O$91,15,0)),0,VLOOKUP($S$18,'TAR FIN'!$A$1:$O$91,15,0))</f>
        <v>0</v>
      </c>
      <c r="W18" s="4">
        <f>IF(ISERROR(VLOOKUP($T$18,'TAR FIN'!$A$1:$O$91,15,0)),0,VLOOKUP($T$18,'TAR FIN'!$A$1:$O$91,15,0))</f>
        <v>0</v>
      </c>
      <c r="X18" s="4">
        <f>IF(ISERROR(VLOOKUP($U$18,'TAR FIN'!$A$1:$O$91,15,0)),0,VLOOKUP($U$18,'TAR FIN'!$A$1:$O$91,15,0))</f>
        <v>215.96</v>
      </c>
      <c r="Y18" s="4">
        <f ca="1">0.72*('TUSD BE'!$AM$9+'TUSD BF'!$AM$9+'TUSD CVA'!$AM$9)*1+('TUSD BE'!$AM$10+'TUSD BF'!$AM$10+'TUSD CVA'!$AM$10)*1</f>
        <v>54.216386816965695</v>
      </c>
      <c r="Z18" s="4">
        <f ca="1">('TUSD BE'!$AM$11+'TUSD BF'!$AM$11+'TUSD CVA'!$AM$11)*1</f>
        <v>11.103927165111529</v>
      </c>
      <c r="AA18" s="4">
        <f>('TE BE'!$AB$9+'TE BF'!$AB$9+'TE CVA'!$AB$9)*1</f>
        <v>233.70080441251889</v>
      </c>
      <c r="AB18" s="4">
        <f>$K$18*$V$18</f>
        <v>0</v>
      </c>
      <c r="AC18" s="4">
        <f>$M$18*$W$18</f>
        <v>0</v>
      </c>
      <c r="AD18" s="4">
        <f>$O$18*$X$18</f>
        <v>90901.872920303984</v>
      </c>
      <c r="AE18" s="4">
        <f ca="1">$K$18*$Y$18</f>
        <v>0</v>
      </c>
      <c r="AF18" s="4">
        <f ca="1">$M$18*$Z$18</f>
        <v>0</v>
      </c>
      <c r="AG18" s="4">
        <f>$O$18*$AA$18</f>
        <v>98369.331469159151</v>
      </c>
    </row>
    <row r="19" spans="1:33" ht="11.25" customHeight="1" x14ac:dyDescent="0.3">
      <c r="A19" s="3" t="s">
        <v>21</v>
      </c>
      <c r="B19" s="3" t="s">
        <v>39</v>
      </c>
      <c r="C19" s="3" t="s">
        <v>56</v>
      </c>
      <c r="D19" s="3" t="s">
        <v>25</v>
      </c>
      <c r="E19" s="3" t="s">
        <v>25</v>
      </c>
      <c r="F19" s="3" t="s">
        <v>57</v>
      </c>
      <c r="G19" s="3" t="s">
        <v>58</v>
      </c>
      <c r="H19" s="3" t="s">
        <v>25</v>
      </c>
      <c r="I19" s="6">
        <v>44531</v>
      </c>
      <c r="J19" s="4">
        <v>0</v>
      </c>
      <c r="K19" s="18">
        <f>J19*(1-SUMIFS(CUSTOS!$T$40:$T$100,CUSTOS!$O$40:$O$100,EFEITO!G19,CUSTOS!$S$40:$S$100,EFEITO!B19,CUSTOS!$R$40:$R$100,"Potência"))</f>
        <v>0</v>
      </c>
      <c r="L19" s="4">
        <v>0</v>
      </c>
      <c r="M19" s="18">
        <f>L19*(1-SUMIFS(CUSTOS!$T$40:$T$100,CUSTOS!$O$40:$O$100,EFEITO!G19,CUSTOS!$S$40:$S$100,EFEITO!B19,CUSTOS!$R$40:$R$100,"Potência"))</f>
        <v>0</v>
      </c>
      <c r="N19" s="4">
        <v>681.79300000000001</v>
      </c>
      <c r="O19" s="18">
        <f>N19*(1-SUMIFS(CUSTOS!$T$40:$T$100,CUSTOS!$O$40:$O$100,EFEITO!G19,CUSTOS!$S$40:$S$100,EFEITO!B19,CUSTOS!$R$40:$R$100,"Energia"))</f>
        <v>584.5693182</v>
      </c>
      <c r="P19" s="4">
        <v>0</v>
      </c>
      <c r="Q19" s="3" t="s">
        <v>59</v>
      </c>
      <c r="R19" s="3">
        <v>5343</v>
      </c>
      <c r="S19" s="4">
        <v>0</v>
      </c>
      <c r="T19" s="4">
        <v>0</v>
      </c>
      <c r="U19" s="4">
        <v>54</v>
      </c>
      <c r="V19" s="4">
        <f>IF(ISERROR(VLOOKUP($S$19,'TAR FIN'!$A$1:$O$91,15,0)),0,VLOOKUP($S$19,'TAR FIN'!$A$1:$O$91,15,0))</f>
        <v>0</v>
      </c>
      <c r="W19" s="4">
        <f>IF(ISERROR(VLOOKUP($T$19,'TAR FIN'!$A$1:$O$91,15,0)),0,VLOOKUP($T$19,'TAR FIN'!$A$1:$O$91,15,0))</f>
        <v>0</v>
      </c>
      <c r="X19" s="4">
        <f>IF(ISERROR(VLOOKUP($U$19,'TAR FIN'!$A$1:$O$91,15,0)),0,VLOOKUP($U$19,'TAR FIN'!$A$1:$O$91,15,0))</f>
        <v>215.96</v>
      </c>
      <c r="Y19" s="4">
        <f ca="1">0.72*('TUSD BE'!$AM$9+'TUSD BF'!$AM$9+'TUSD CVA'!$AM$9)*1+('TUSD BE'!$AM$10+'TUSD BF'!$AM$10+'TUSD CVA'!$AM$10)*1</f>
        <v>54.216386816965695</v>
      </c>
      <c r="Z19" s="4">
        <f ca="1">('TUSD BE'!$AM$11+'TUSD BF'!$AM$11+'TUSD CVA'!$AM$11)*1</f>
        <v>11.103927165111529</v>
      </c>
      <c r="AA19" s="4">
        <f>('TE BE'!$AB$9+'TE BF'!$AB$9+'TE CVA'!$AB$9)*1</f>
        <v>233.70080441251889</v>
      </c>
      <c r="AB19" s="4">
        <f>$K$19*$V$19</f>
        <v>0</v>
      </c>
      <c r="AC19" s="4">
        <f>$M$19*$W$19</f>
        <v>0</v>
      </c>
      <c r="AD19" s="4">
        <f>$O$19*$X$19</f>
        <v>126243.589958472</v>
      </c>
      <c r="AE19" s="4">
        <f ca="1">$K$19*$Y$19</f>
        <v>0</v>
      </c>
      <c r="AF19" s="4">
        <f ca="1">$M$19*$Z$19</f>
        <v>0</v>
      </c>
      <c r="AG19" s="4">
        <f>$O$19*$AA$19</f>
        <v>136614.31989821771</v>
      </c>
    </row>
    <row r="20" spans="1:33" ht="11.25" customHeight="1" x14ac:dyDescent="0.3">
      <c r="A20" s="3" t="s">
        <v>21</v>
      </c>
      <c r="B20" s="3" t="s">
        <v>39</v>
      </c>
      <c r="C20" s="3" t="s">
        <v>56</v>
      </c>
      <c r="D20" s="3" t="s">
        <v>25</v>
      </c>
      <c r="E20" s="3" t="s">
        <v>25</v>
      </c>
      <c r="F20" s="3" t="s">
        <v>57</v>
      </c>
      <c r="G20" s="3" t="s">
        <v>58</v>
      </c>
      <c r="H20" s="3" t="s">
        <v>25</v>
      </c>
      <c r="I20" s="6">
        <v>44562</v>
      </c>
      <c r="J20" s="4">
        <v>0</v>
      </c>
      <c r="K20" s="18">
        <f>J20*(1-SUMIFS(CUSTOS!$T$40:$T$100,CUSTOS!$O$40:$O$100,EFEITO!G20,CUSTOS!$S$40:$S$100,EFEITO!B20,CUSTOS!$R$40:$R$100,"Potência"))</f>
        <v>0</v>
      </c>
      <c r="L20" s="4">
        <v>0</v>
      </c>
      <c r="M20" s="18">
        <f>L20*(1-SUMIFS(CUSTOS!$T$40:$T$100,CUSTOS!$O$40:$O$100,EFEITO!G20,CUSTOS!$S$40:$S$100,EFEITO!B20,CUSTOS!$R$40:$R$100,"Potência"))</f>
        <v>0</v>
      </c>
      <c r="N20" s="4">
        <v>709.2</v>
      </c>
      <c r="O20" s="18">
        <f>N20*(1-SUMIFS(CUSTOS!$T$40:$T$100,CUSTOS!$O$40:$O$100,EFEITO!G20,CUSTOS!$S$40:$S$100,EFEITO!B20,CUSTOS!$R$40:$R$100,"Energia"))</f>
        <v>608.06808000000001</v>
      </c>
      <c r="P20" s="4">
        <v>0</v>
      </c>
      <c r="Q20" s="3" t="s">
        <v>59</v>
      </c>
      <c r="R20" s="3">
        <v>5343</v>
      </c>
      <c r="S20" s="4">
        <v>0</v>
      </c>
      <c r="T20" s="4">
        <v>0</v>
      </c>
      <c r="U20" s="4">
        <v>54</v>
      </c>
      <c r="V20" s="4">
        <f>IF(ISERROR(VLOOKUP($S$20,'TAR FIN'!$A$1:$O$91,15,0)),0,VLOOKUP($S$20,'TAR FIN'!$A$1:$O$91,15,0))</f>
        <v>0</v>
      </c>
      <c r="W20" s="4">
        <f>IF(ISERROR(VLOOKUP($T$20,'TAR FIN'!$A$1:$O$91,15,0)),0,VLOOKUP($T$20,'TAR FIN'!$A$1:$O$91,15,0))</f>
        <v>0</v>
      </c>
      <c r="X20" s="4">
        <f>IF(ISERROR(VLOOKUP($U$20,'TAR FIN'!$A$1:$O$91,15,0)),0,VLOOKUP($U$20,'TAR FIN'!$A$1:$O$91,15,0))</f>
        <v>215.96</v>
      </c>
      <c r="Y20" s="4">
        <f ca="1">0.72*('TUSD BE'!$AM$9+'TUSD BF'!$AM$9+'TUSD CVA'!$AM$9)*1+('TUSD BE'!$AM$10+'TUSD BF'!$AM$10+'TUSD CVA'!$AM$10)*1</f>
        <v>54.216386816965695</v>
      </c>
      <c r="Z20" s="4">
        <f ca="1">('TUSD BE'!$AM$11+'TUSD BF'!$AM$11+'TUSD CVA'!$AM$11)*1</f>
        <v>11.103927165111529</v>
      </c>
      <c r="AA20" s="4">
        <f>('TE BE'!$AB$9+'TE BF'!$AB$9+'TE CVA'!$AB$9)*1</f>
        <v>233.70080441251889</v>
      </c>
      <c r="AB20" s="4">
        <f>$K$20*$V$20</f>
        <v>0</v>
      </c>
      <c r="AC20" s="4">
        <f>$M$20*$W$20</f>
        <v>0</v>
      </c>
      <c r="AD20" s="4">
        <f>$O$20*$X$20</f>
        <v>131318.3825568</v>
      </c>
      <c r="AE20" s="4">
        <f ca="1">$K$20*$Y$20</f>
        <v>0</v>
      </c>
      <c r="AF20" s="4">
        <f ca="1">$M$20*$Z$20</f>
        <v>0</v>
      </c>
      <c r="AG20" s="4">
        <f>$O$20*$AA$20</f>
        <v>142105.9994335759</v>
      </c>
    </row>
    <row r="21" spans="1:33" ht="11.25" customHeight="1" x14ac:dyDescent="0.3">
      <c r="A21" s="3" t="s">
        <v>21</v>
      </c>
      <c r="B21" s="3" t="s">
        <v>39</v>
      </c>
      <c r="C21" s="3" t="s">
        <v>56</v>
      </c>
      <c r="D21" s="3" t="s">
        <v>25</v>
      </c>
      <c r="E21" s="3" t="s">
        <v>25</v>
      </c>
      <c r="F21" s="3" t="s">
        <v>57</v>
      </c>
      <c r="G21" s="3" t="s">
        <v>58</v>
      </c>
      <c r="H21" s="3" t="s">
        <v>25</v>
      </c>
      <c r="I21" s="6">
        <v>44593</v>
      </c>
      <c r="J21" s="4">
        <v>0</v>
      </c>
      <c r="K21" s="18">
        <f>J21*(1-SUMIFS(CUSTOS!$T$40:$T$100,CUSTOS!$O$40:$O$100,EFEITO!G21,CUSTOS!$S$40:$S$100,EFEITO!B21,CUSTOS!$R$40:$R$100,"Potência"))</f>
        <v>0</v>
      </c>
      <c r="L21" s="4">
        <v>0</v>
      </c>
      <c r="M21" s="18">
        <f>L21*(1-SUMIFS(CUSTOS!$T$40:$T$100,CUSTOS!$O$40:$O$100,EFEITO!G21,CUSTOS!$S$40:$S$100,EFEITO!B21,CUSTOS!$R$40:$R$100,"Potência"))</f>
        <v>0</v>
      </c>
      <c r="N21" s="4">
        <v>498.80799999999999</v>
      </c>
      <c r="O21" s="18">
        <f>N21*(1-SUMIFS(CUSTOS!$T$40:$T$100,CUSTOS!$O$40:$O$100,EFEITO!G21,CUSTOS!$S$40:$S$100,EFEITO!B21,CUSTOS!$R$40:$R$100,"Energia"))</f>
        <v>427.67797919999998</v>
      </c>
      <c r="P21" s="4">
        <v>0</v>
      </c>
      <c r="Q21" s="3" t="s">
        <v>59</v>
      </c>
      <c r="R21" s="3">
        <v>5343</v>
      </c>
      <c r="S21" s="4">
        <v>0</v>
      </c>
      <c r="T21" s="4">
        <v>0</v>
      </c>
      <c r="U21" s="4">
        <v>54</v>
      </c>
      <c r="V21" s="4">
        <f>IF(ISERROR(VLOOKUP($S$21,'TAR FIN'!$A$1:$O$91,15,0)),0,VLOOKUP($S$21,'TAR FIN'!$A$1:$O$91,15,0))</f>
        <v>0</v>
      </c>
      <c r="W21" s="4">
        <f>IF(ISERROR(VLOOKUP($T$21,'TAR FIN'!$A$1:$O$91,15,0)),0,VLOOKUP($T$21,'TAR FIN'!$A$1:$O$91,15,0))</f>
        <v>0</v>
      </c>
      <c r="X21" s="4">
        <f>IF(ISERROR(VLOOKUP($U$21,'TAR FIN'!$A$1:$O$91,15,0)),0,VLOOKUP($U$21,'TAR FIN'!$A$1:$O$91,15,0))</f>
        <v>215.96</v>
      </c>
      <c r="Y21" s="4">
        <f ca="1">0.72*('TUSD BE'!$AM$9+'TUSD BF'!$AM$9+'TUSD CVA'!$AM$9)*1+('TUSD BE'!$AM$10+'TUSD BF'!$AM$10+'TUSD CVA'!$AM$10)*1</f>
        <v>54.216386816965695</v>
      </c>
      <c r="Z21" s="4">
        <f ca="1">('TUSD BE'!$AM$11+'TUSD BF'!$AM$11+'TUSD CVA'!$AM$11)*1</f>
        <v>11.103927165111529</v>
      </c>
      <c r="AA21" s="4">
        <f>('TE BE'!$AB$9+'TE BF'!$AB$9+'TE CVA'!$AB$9)*1</f>
        <v>233.70080441251889</v>
      </c>
      <c r="AB21" s="4">
        <f>$K$21*$V$21</f>
        <v>0</v>
      </c>
      <c r="AC21" s="4">
        <f>$M$21*$W$21</f>
        <v>0</v>
      </c>
      <c r="AD21" s="4">
        <f>$O$21*$X$21</f>
        <v>92361.336388031996</v>
      </c>
      <c r="AE21" s="4">
        <f ca="1">$K$21*$Y$21</f>
        <v>0</v>
      </c>
      <c r="AF21" s="4">
        <f ca="1">$M$21*$Z$21</f>
        <v>0</v>
      </c>
      <c r="AG21" s="4">
        <f>$O$21*$AA$21</f>
        <v>99948.687768560514</v>
      </c>
    </row>
    <row r="22" spans="1:33" ht="11.25" customHeight="1" x14ac:dyDescent="0.3">
      <c r="A22" s="3" t="s">
        <v>21</v>
      </c>
      <c r="B22" s="3" t="s">
        <v>39</v>
      </c>
      <c r="C22" s="3" t="s">
        <v>56</v>
      </c>
      <c r="D22" s="3" t="s">
        <v>25</v>
      </c>
      <c r="E22" s="3" t="s">
        <v>25</v>
      </c>
      <c r="F22" s="3" t="s">
        <v>57</v>
      </c>
      <c r="G22" s="3" t="s">
        <v>58</v>
      </c>
      <c r="H22" s="3" t="s">
        <v>25</v>
      </c>
      <c r="I22" s="6">
        <v>44621</v>
      </c>
      <c r="J22" s="4">
        <v>0</v>
      </c>
      <c r="K22" s="18">
        <f>J22*(1-SUMIFS(CUSTOS!$T$40:$T$100,CUSTOS!$O$40:$O$100,EFEITO!G22,CUSTOS!$S$40:$S$100,EFEITO!B22,CUSTOS!$R$40:$R$100,"Potência"))</f>
        <v>0</v>
      </c>
      <c r="L22" s="4">
        <v>0</v>
      </c>
      <c r="M22" s="18">
        <f>L22*(1-SUMIFS(CUSTOS!$T$40:$T$100,CUSTOS!$O$40:$O$100,EFEITO!G22,CUSTOS!$S$40:$S$100,EFEITO!B22,CUSTOS!$R$40:$R$100,"Potência"))</f>
        <v>0</v>
      </c>
      <c r="N22" s="4">
        <v>469.10599999999999</v>
      </c>
      <c r="O22" s="18">
        <f>N22*(1-SUMIFS(CUSTOS!$T$40:$T$100,CUSTOS!$O$40:$O$100,EFEITO!G22,CUSTOS!$S$40:$S$100,EFEITO!B22,CUSTOS!$R$40:$R$100,"Energia"))</f>
        <v>402.21148439999996</v>
      </c>
      <c r="P22" s="4">
        <v>0</v>
      </c>
      <c r="Q22" s="3" t="s">
        <v>59</v>
      </c>
      <c r="R22" s="3">
        <v>5343</v>
      </c>
      <c r="S22" s="4">
        <v>0</v>
      </c>
      <c r="T22" s="4">
        <v>0</v>
      </c>
      <c r="U22" s="4">
        <v>54</v>
      </c>
      <c r="V22" s="4">
        <f>IF(ISERROR(VLOOKUP($S$22,'TAR FIN'!$A$1:$O$91,15,0)),0,VLOOKUP($S$22,'TAR FIN'!$A$1:$O$91,15,0))</f>
        <v>0</v>
      </c>
      <c r="W22" s="4">
        <f>IF(ISERROR(VLOOKUP($T$22,'TAR FIN'!$A$1:$O$91,15,0)),0,VLOOKUP($T$22,'TAR FIN'!$A$1:$O$91,15,0))</f>
        <v>0</v>
      </c>
      <c r="X22" s="4">
        <f>IF(ISERROR(VLOOKUP($U$22,'TAR FIN'!$A$1:$O$91,15,0)),0,VLOOKUP($U$22,'TAR FIN'!$A$1:$O$91,15,0))</f>
        <v>215.96</v>
      </c>
      <c r="Y22" s="4">
        <f ca="1">0.72*('TUSD BE'!$AM$9+'TUSD BF'!$AM$9+'TUSD CVA'!$AM$9)*1+('TUSD BE'!$AM$10+'TUSD BF'!$AM$10+'TUSD CVA'!$AM$10)*1</f>
        <v>54.216386816965695</v>
      </c>
      <c r="Z22" s="4">
        <f ca="1">('TUSD BE'!$AM$11+'TUSD BF'!$AM$11+'TUSD CVA'!$AM$11)*1</f>
        <v>11.103927165111529</v>
      </c>
      <c r="AA22" s="4">
        <f>('TE BE'!$AB$9+'TE BF'!$AB$9+'TE CVA'!$AB$9)*1</f>
        <v>233.70080441251889</v>
      </c>
      <c r="AB22" s="4">
        <f>$K$22*$V$22</f>
        <v>0</v>
      </c>
      <c r="AC22" s="4">
        <f>$M$22*$W$22</f>
        <v>0</v>
      </c>
      <c r="AD22" s="4">
        <f>$O$22*$X$22</f>
        <v>86861.592171023993</v>
      </c>
      <c r="AE22" s="4">
        <f ca="1">$K$22*$Y$22</f>
        <v>0</v>
      </c>
      <c r="AF22" s="4">
        <f ca="1">$M$22*$Z$22</f>
        <v>0</v>
      </c>
      <c r="AG22" s="4">
        <f>$O$22*$AA$22</f>
        <v>93997.147448233285</v>
      </c>
    </row>
    <row r="23" spans="1:33" ht="11.25" customHeight="1" x14ac:dyDescent="0.3">
      <c r="A23" s="3" t="s">
        <v>21</v>
      </c>
      <c r="B23" s="3" t="s">
        <v>39</v>
      </c>
      <c r="C23" s="3" t="s">
        <v>56</v>
      </c>
      <c r="D23" s="3" t="s">
        <v>25</v>
      </c>
      <c r="E23" s="3" t="s">
        <v>25</v>
      </c>
      <c r="F23" s="3" t="s">
        <v>57</v>
      </c>
      <c r="G23" s="3" t="s">
        <v>58</v>
      </c>
      <c r="H23" s="3" t="s">
        <v>25</v>
      </c>
      <c r="I23" s="6">
        <v>44652</v>
      </c>
      <c r="J23" s="4">
        <v>0</v>
      </c>
      <c r="K23" s="18">
        <f>J23*(1-SUMIFS(CUSTOS!$T$40:$T$100,CUSTOS!$O$40:$O$100,EFEITO!G23,CUSTOS!$S$40:$S$100,EFEITO!B23,CUSTOS!$R$40:$R$100,"Potência"))</f>
        <v>0</v>
      </c>
      <c r="L23" s="4">
        <v>0</v>
      </c>
      <c r="M23" s="18">
        <f>L23*(1-SUMIFS(CUSTOS!$T$40:$T$100,CUSTOS!$O$40:$O$100,EFEITO!G23,CUSTOS!$S$40:$S$100,EFEITO!B23,CUSTOS!$R$40:$R$100,"Potência"))</f>
        <v>0</v>
      </c>
      <c r="N23" s="4">
        <v>444.86500000000001</v>
      </c>
      <c r="O23" s="18">
        <f>N23*(1-SUMIFS(CUSTOS!$T$40:$T$100,CUSTOS!$O$40:$O$100,EFEITO!G23,CUSTOS!$S$40:$S$100,EFEITO!B23,CUSTOS!$R$40:$R$100,"Energia"))</f>
        <v>381.42725099999996</v>
      </c>
      <c r="P23" s="4">
        <v>0</v>
      </c>
      <c r="Q23" s="3" t="s">
        <v>59</v>
      </c>
      <c r="R23" s="3">
        <v>5343</v>
      </c>
      <c r="S23" s="4">
        <v>0</v>
      </c>
      <c r="T23" s="4">
        <v>0</v>
      </c>
      <c r="U23" s="4">
        <v>54</v>
      </c>
      <c r="V23" s="4">
        <f>IF(ISERROR(VLOOKUP($S$23,'TAR FIN'!$A$1:$O$91,15,0)),0,VLOOKUP($S$23,'TAR FIN'!$A$1:$O$91,15,0))</f>
        <v>0</v>
      </c>
      <c r="W23" s="4">
        <f>IF(ISERROR(VLOOKUP($T$23,'TAR FIN'!$A$1:$O$91,15,0)),0,VLOOKUP($T$23,'TAR FIN'!$A$1:$O$91,15,0))</f>
        <v>0</v>
      </c>
      <c r="X23" s="4">
        <f>IF(ISERROR(VLOOKUP($U$23,'TAR FIN'!$A$1:$O$91,15,0)),0,VLOOKUP($U$23,'TAR FIN'!$A$1:$O$91,15,0))</f>
        <v>215.96</v>
      </c>
      <c r="Y23" s="4">
        <f ca="1">0.72*('TUSD BE'!$AM$9+'TUSD BF'!$AM$9+'TUSD CVA'!$AM$9)*1+('TUSD BE'!$AM$10+'TUSD BF'!$AM$10+'TUSD CVA'!$AM$10)*1</f>
        <v>54.216386816965695</v>
      </c>
      <c r="Z23" s="4">
        <f ca="1">('TUSD BE'!$AM$11+'TUSD BF'!$AM$11+'TUSD CVA'!$AM$11)*1</f>
        <v>11.103927165111529</v>
      </c>
      <c r="AA23" s="4">
        <f>('TE BE'!$AB$9+'TE BF'!$AB$9+'TE CVA'!$AB$9)*1</f>
        <v>233.70080441251889</v>
      </c>
      <c r="AB23" s="4">
        <f>$K$23*$V$23</f>
        <v>0</v>
      </c>
      <c r="AC23" s="4">
        <f>$M$23*$W$23</f>
        <v>0</v>
      </c>
      <c r="AD23" s="4">
        <f>$O$23*$X$23</f>
        <v>82373.029125959991</v>
      </c>
      <c r="AE23" s="4">
        <f ca="1">$K$23*$Y$23</f>
        <v>0</v>
      </c>
      <c r="AF23" s="4">
        <f ca="1">$M$23*$Z$23</f>
        <v>0</v>
      </c>
      <c r="AG23" s="4">
        <f>$O$23*$AA$23</f>
        <v>89139.85538355574</v>
      </c>
    </row>
    <row r="24" spans="1:33" ht="11.25" customHeight="1" x14ac:dyDescent="0.3">
      <c r="A24" s="3" t="s">
        <v>21</v>
      </c>
      <c r="B24" s="3" t="s">
        <v>39</v>
      </c>
      <c r="C24" s="3" t="s">
        <v>56</v>
      </c>
      <c r="D24" s="3" t="s">
        <v>25</v>
      </c>
      <c r="E24" s="3" t="s">
        <v>25</v>
      </c>
      <c r="F24" s="3" t="s">
        <v>57</v>
      </c>
      <c r="G24" s="3" t="s">
        <v>58</v>
      </c>
      <c r="H24" s="3" t="s">
        <v>25</v>
      </c>
      <c r="I24" s="6">
        <v>44682</v>
      </c>
      <c r="J24" s="4">
        <v>0</v>
      </c>
      <c r="K24" s="18">
        <f>J24*(1-SUMIFS(CUSTOS!$T$40:$T$100,CUSTOS!$O$40:$O$100,EFEITO!G24,CUSTOS!$S$40:$S$100,EFEITO!B24,CUSTOS!$R$40:$R$100,"Potência"))</f>
        <v>0</v>
      </c>
      <c r="L24" s="4">
        <v>0</v>
      </c>
      <c r="M24" s="18">
        <f>L24*(1-SUMIFS(CUSTOS!$T$40:$T$100,CUSTOS!$O$40:$O$100,EFEITO!G24,CUSTOS!$S$40:$S$100,EFEITO!B24,CUSTOS!$R$40:$R$100,"Potência"))</f>
        <v>0</v>
      </c>
      <c r="N24" s="4">
        <v>398.43</v>
      </c>
      <c r="O24" s="18">
        <f>N24*(1-SUMIFS(CUSTOS!$T$40:$T$100,CUSTOS!$O$40:$O$100,EFEITO!G24,CUSTOS!$S$40:$S$100,EFEITO!B24,CUSTOS!$R$40:$R$100,"Energia"))</f>
        <v>341.61388199999999</v>
      </c>
      <c r="P24" s="4">
        <v>0</v>
      </c>
      <c r="Q24" s="3" t="s">
        <v>59</v>
      </c>
      <c r="R24" s="3">
        <v>5343</v>
      </c>
      <c r="S24" s="4">
        <v>0</v>
      </c>
      <c r="T24" s="4">
        <v>0</v>
      </c>
      <c r="U24" s="4">
        <v>54</v>
      </c>
      <c r="V24" s="4">
        <f>IF(ISERROR(VLOOKUP($S$24,'TAR FIN'!$A$1:$O$91,15,0)),0,VLOOKUP($S$24,'TAR FIN'!$A$1:$O$91,15,0))</f>
        <v>0</v>
      </c>
      <c r="W24" s="4">
        <f>IF(ISERROR(VLOOKUP($T$24,'TAR FIN'!$A$1:$O$91,15,0)),0,VLOOKUP($T$24,'TAR FIN'!$A$1:$O$91,15,0))</f>
        <v>0</v>
      </c>
      <c r="X24" s="4">
        <f>IF(ISERROR(VLOOKUP($U$24,'TAR FIN'!$A$1:$O$91,15,0)),0,VLOOKUP($U$24,'TAR FIN'!$A$1:$O$91,15,0))</f>
        <v>215.96</v>
      </c>
      <c r="Y24" s="4">
        <f ca="1">0.72*('TUSD BE'!$AM$9+'TUSD BF'!$AM$9+'TUSD CVA'!$AM$9)*1+('TUSD BE'!$AM$10+'TUSD BF'!$AM$10+'TUSD CVA'!$AM$10)*1</f>
        <v>54.216386816965695</v>
      </c>
      <c r="Z24" s="4">
        <f ca="1">('TUSD BE'!$AM$11+'TUSD BF'!$AM$11+'TUSD CVA'!$AM$11)*1</f>
        <v>11.103927165111529</v>
      </c>
      <c r="AA24" s="4">
        <f>('TE BE'!$AB$9+'TE BF'!$AB$9+'TE CVA'!$AB$9)*1</f>
        <v>233.70080441251889</v>
      </c>
      <c r="AB24" s="4">
        <f>$K$24*$V$24</f>
        <v>0</v>
      </c>
      <c r="AC24" s="4">
        <f>$M$24*$W$24</f>
        <v>0</v>
      </c>
      <c r="AD24" s="4">
        <f>$O$24*$X$24</f>
        <v>73774.933956720008</v>
      </c>
      <c r="AE24" s="4">
        <f ca="1">$K$24*$Y$24</f>
        <v>0</v>
      </c>
      <c r="AF24" s="4">
        <f ca="1">$M$24*$Z$24</f>
        <v>0</v>
      </c>
      <c r="AG24" s="4">
        <f>$O$24*$AA$24</f>
        <v>79835.4390218833</v>
      </c>
    </row>
    <row r="25" spans="1:33" ht="11.25" customHeight="1" x14ac:dyDescent="0.3">
      <c r="A25" s="3" t="s">
        <v>21</v>
      </c>
      <c r="B25" s="3" t="s">
        <v>39</v>
      </c>
      <c r="C25" s="3" t="s">
        <v>56</v>
      </c>
      <c r="D25" s="3" t="s">
        <v>25</v>
      </c>
      <c r="E25" s="3" t="s">
        <v>25</v>
      </c>
      <c r="F25" s="3" t="s">
        <v>57</v>
      </c>
      <c r="G25" s="3" t="s">
        <v>58</v>
      </c>
      <c r="H25" s="3" t="s">
        <v>25</v>
      </c>
      <c r="I25" s="6">
        <v>44713</v>
      </c>
      <c r="J25" s="4">
        <v>0</v>
      </c>
      <c r="K25" s="18">
        <f>J25*(1-SUMIFS(CUSTOS!$T$40:$T$100,CUSTOS!$O$40:$O$100,EFEITO!G25,CUSTOS!$S$40:$S$100,EFEITO!B25,CUSTOS!$R$40:$R$100,"Potência"))</f>
        <v>0</v>
      </c>
      <c r="L25" s="4">
        <v>0</v>
      </c>
      <c r="M25" s="18">
        <f>L25*(1-SUMIFS(CUSTOS!$T$40:$T$100,CUSTOS!$O$40:$O$100,EFEITO!G25,CUSTOS!$S$40:$S$100,EFEITO!B25,CUSTOS!$R$40:$R$100,"Potência"))</f>
        <v>0</v>
      </c>
      <c r="N25" s="4">
        <v>404.363</v>
      </c>
      <c r="O25" s="18">
        <f>N25*(1-SUMIFS(CUSTOS!$T$40:$T$100,CUSTOS!$O$40:$O$100,EFEITO!G25,CUSTOS!$S$40:$S$100,EFEITO!B25,CUSTOS!$R$40:$R$100,"Energia"))</f>
        <v>346.70083619999997</v>
      </c>
      <c r="P25" s="4">
        <v>0</v>
      </c>
      <c r="Q25" s="3" t="s">
        <v>59</v>
      </c>
      <c r="R25" s="3">
        <v>5343</v>
      </c>
      <c r="S25" s="4">
        <v>0</v>
      </c>
      <c r="T25" s="4">
        <v>0</v>
      </c>
      <c r="U25" s="4">
        <v>54</v>
      </c>
      <c r="V25" s="4">
        <f>IF(ISERROR(VLOOKUP($S$25,'TAR FIN'!$A$1:$O$91,15,0)),0,VLOOKUP($S$25,'TAR FIN'!$A$1:$O$91,15,0))</f>
        <v>0</v>
      </c>
      <c r="W25" s="4">
        <f>IF(ISERROR(VLOOKUP($T$25,'TAR FIN'!$A$1:$O$91,15,0)),0,VLOOKUP($T$25,'TAR FIN'!$A$1:$O$91,15,0))</f>
        <v>0</v>
      </c>
      <c r="X25" s="4">
        <f>IF(ISERROR(VLOOKUP($U$25,'TAR FIN'!$A$1:$O$91,15,0)),0,VLOOKUP($U$25,'TAR FIN'!$A$1:$O$91,15,0))</f>
        <v>215.96</v>
      </c>
      <c r="Y25" s="4">
        <f ca="1">0.72*('TUSD BE'!$AM$9+'TUSD BF'!$AM$9+'TUSD CVA'!$AM$9)*1+('TUSD BE'!$AM$10+'TUSD BF'!$AM$10+'TUSD CVA'!$AM$10)*1</f>
        <v>54.216386816965695</v>
      </c>
      <c r="Z25" s="4">
        <f ca="1">('TUSD BE'!$AM$11+'TUSD BF'!$AM$11+'TUSD CVA'!$AM$11)*1</f>
        <v>11.103927165111529</v>
      </c>
      <c r="AA25" s="4">
        <f>('TE BE'!$AB$9+'TE BF'!$AB$9+'TE CVA'!$AB$9)*1</f>
        <v>233.70080441251889</v>
      </c>
      <c r="AB25" s="4">
        <f>$K$25*$V$25</f>
        <v>0</v>
      </c>
      <c r="AC25" s="4">
        <f>$M$25*$W$25</f>
        <v>0</v>
      </c>
      <c r="AD25" s="4">
        <f>$O$25*$X$25</f>
        <v>74873.512585752003</v>
      </c>
      <c r="AE25" s="4">
        <f ca="1">$K$25*$Y$25</f>
        <v>0</v>
      </c>
      <c r="AF25" s="4">
        <f ca="1">$M$25*$Z$25</f>
        <v>0</v>
      </c>
      <c r="AG25" s="4">
        <f>$O$25*$AA$25</f>
        <v>81024.264310432947</v>
      </c>
    </row>
    <row r="26" spans="1:33" ht="11.25" customHeight="1" x14ac:dyDescent="0.3">
      <c r="A26" s="3" t="s">
        <v>21</v>
      </c>
      <c r="B26" s="3" t="s">
        <v>39</v>
      </c>
      <c r="C26" s="3" t="s">
        <v>56</v>
      </c>
      <c r="D26" s="3" t="s">
        <v>25</v>
      </c>
      <c r="E26" s="3" t="s">
        <v>25</v>
      </c>
      <c r="F26" s="3" t="s">
        <v>57</v>
      </c>
      <c r="G26" s="3" t="s">
        <v>58</v>
      </c>
      <c r="H26" s="3" t="s">
        <v>34</v>
      </c>
      <c r="I26" s="6">
        <v>44378</v>
      </c>
      <c r="J26" s="4">
        <v>1074</v>
      </c>
      <c r="K26" s="18">
        <f>J26*(1-SUMIFS(CUSTOS!$T$40:$T$100,CUSTOS!$O$40:$O$100,EFEITO!G26,CUSTOS!$S$40:$S$100,EFEITO!B26,CUSTOS!$R$40:$R$100,"Potência"))</f>
        <v>1074</v>
      </c>
      <c r="L26" s="4">
        <v>50.149000000000001</v>
      </c>
      <c r="M26" s="18">
        <f>L26*(1-SUMIFS(CUSTOS!$T$40:$T$100,CUSTOS!$O$40:$O$100,EFEITO!G26,CUSTOS!$S$40:$S$100,EFEITO!B26,CUSTOS!$R$40:$R$100,"Potência"))</f>
        <v>50.149000000000001</v>
      </c>
      <c r="N26" s="4">
        <v>0</v>
      </c>
      <c r="O26" s="18">
        <f>N26*(1-SUMIFS(CUSTOS!$T$40:$T$100,CUSTOS!$O$40:$O$100,EFEITO!G26,CUSTOS!$S$40:$S$100,EFEITO!B26,CUSTOS!$R$40:$R$100,"Energia"))</f>
        <v>0</v>
      </c>
      <c r="P26" s="4">
        <v>0</v>
      </c>
      <c r="Q26" s="3" t="s">
        <v>59</v>
      </c>
      <c r="R26" s="3">
        <v>5343</v>
      </c>
      <c r="S26" s="4">
        <v>5</v>
      </c>
      <c r="T26" s="4">
        <v>7</v>
      </c>
      <c r="U26" s="4">
        <v>0</v>
      </c>
      <c r="V26" s="4">
        <f>IF(ISERROR(VLOOKUP($S$26,'TAR FIN'!$A$1:$O$91,15,0)),0,VLOOKUP($S$26,'TAR FIN'!$A$1:$O$91,15,0))</f>
        <v>23.23</v>
      </c>
      <c r="W26" s="4">
        <f>IF(ISERROR(VLOOKUP($T$26,'TAR FIN'!$A$1:$O$91,15,0)),0,VLOOKUP($T$26,'TAR FIN'!$A$1:$O$91,15,0))</f>
        <v>12.96</v>
      </c>
      <c r="X26" s="4">
        <f>IF(ISERROR(VLOOKUP($U$26,'TAR FIN'!$A$1:$O$91,15,0)),0,VLOOKUP($U$26,'TAR FIN'!$A$1:$O$91,15,0))</f>
        <v>0</v>
      </c>
      <c r="Y26" s="4">
        <f ca="1">('TUSD BE'!$AM$9+'TUSD BF'!$AM$9+'TUSD CVA'!$AM$9)*1</f>
        <v>42.217604655437526</v>
      </c>
      <c r="Z26" s="4">
        <f ca="1">('TUSD BE'!$AM$11+'TUSD BF'!$AM$11+'TUSD CVA'!$AM$11)*1</f>
        <v>11.103927165111529</v>
      </c>
      <c r="AA26" s="4">
        <f>('TE BE'!$AB$9+'TE BF'!$AB$9+'TE CVA'!$AB$9)*1</f>
        <v>233.70080441251889</v>
      </c>
      <c r="AB26" s="4">
        <f>$K$26*$V$26</f>
        <v>24949.02</v>
      </c>
      <c r="AC26" s="4">
        <f>$M$26*$W$26</f>
        <v>649.93104000000005</v>
      </c>
      <c r="AD26" s="4">
        <f>$O$26*$X$26</f>
        <v>0</v>
      </c>
      <c r="AE26" s="4">
        <f ca="1">$K$26*$Y$26</f>
        <v>45341.7073999399</v>
      </c>
      <c r="AF26" s="4">
        <f ca="1">$M$26*$Z$26</f>
        <v>556.85084340317803</v>
      </c>
      <c r="AG26" s="4">
        <f>$O$26*$AA$26</f>
        <v>0</v>
      </c>
    </row>
    <row r="27" spans="1:33" ht="11.25" customHeight="1" x14ac:dyDescent="0.3">
      <c r="A27" s="3" t="s">
        <v>21</v>
      </c>
      <c r="B27" s="3" t="s">
        <v>39</v>
      </c>
      <c r="C27" s="3" t="s">
        <v>56</v>
      </c>
      <c r="D27" s="3" t="s">
        <v>25</v>
      </c>
      <c r="E27" s="3" t="s">
        <v>25</v>
      </c>
      <c r="F27" s="3" t="s">
        <v>57</v>
      </c>
      <c r="G27" s="3" t="s">
        <v>58</v>
      </c>
      <c r="H27" s="3" t="s">
        <v>34</v>
      </c>
      <c r="I27" s="6">
        <v>44409</v>
      </c>
      <c r="J27" s="4">
        <v>1206</v>
      </c>
      <c r="K27" s="18">
        <f>J27*(1-SUMIFS(CUSTOS!$T$40:$T$100,CUSTOS!$O$40:$O$100,EFEITO!G27,CUSTOS!$S$40:$S$100,EFEITO!B27,CUSTOS!$R$40:$R$100,"Potência"))</f>
        <v>1206</v>
      </c>
      <c r="L27" s="4">
        <v>53.573</v>
      </c>
      <c r="M27" s="18">
        <f>L27*(1-SUMIFS(CUSTOS!$T$40:$T$100,CUSTOS!$O$40:$O$100,EFEITO!G27,CUSTOS!$S$40:$S$100,EFEITO!B27,CUSTOS!$R$40:$R$100,"Potência"))</f>
        <v>53.573</v>
      </c>
      <c r="N27" s="4">
        <v>0</v>
      </c>
      <c r="O27" s="18">
        <f>N27*(1-SUMIFS(CUSTOS!$T$40:$T$100,CUSTOS!$O$40:$O$100,EFEITO!G27,CUSTOS!$S$40:$S$100,EFEITO!B27,CUSTOS!$R$40:$R$100,"Energia"))</f>
        <v>0</v>
      </c>
      <c r="P27" s="4">
        <v>0</v>
      </c>
      <c r="Q27" s="3" t="s">
        <v>59</v>
      </c>
      <c r="R27" s="3">
        <v>5343</v>
      </c>
      <c r="S27" s="4">
        <v>5</v>
      </c>
      <c r="T27" s="4">
        <v>7</v>
      </c>
      <c r="U27" s="4">
        <v>0</v>
      </c>
      <c r="V27" s="4">
        <f>IF(ISERROR(VLOOKUP($S$27,'TAR FIN'!$A$1:$O$91,15,0)),0,VLOOKUP($S$27,'TAR FIN'!$A$1:$O$91,15,0))</f>
        <v>23.23</v>
      </c>
      <c r="W27" s="4">
        <f>IF(ISERROR(VLOOKUP($T$27,'TAR FIN'!$A$1:$O$91,15,0)),0,VLOOKUP($T$27,'TAR FIN'!$A$1:$O$91,15,0))</f>
        <v>12.96</v>
      </c>
      <c r="X27" s="4">
        <f>IF(ISERROR(VLOOKUP($U$27,'TAR FIN'!$A$1:$O$91,15,0)),0,VLOOKUP($U$27,'TAR FIN'!$A$1:$O$91,15,0))</f>
        <v>0</v>
      </c>
      <c r="Y27" s="4">
        <f ca="1">('TUSD BE'!$AM$9+'TUSD BF'!$AM$9+'TUSD CVA'!$AM$9)*1</f>
        <v>42.217604655437526</v>
      </c>
      <c r="Z27" s="4">
        <f ca="1">('TUSD BE'!$AM$11+'TUSD BF'!$AM$11+'TUSD CVA'!$AM$11)*1</f>
        <v>11.103927165111529</v>
      </c>
      <c r="AA27" s="4">
        <f>('TE BE'!$AB$9+'TE BF'!$AB$9+'TE CVA'!$AB$9)*1</f>
        <v>233.70080441251889</v>
      </c>
      <c r="AB27" s="4">
        <f>$K$27*$V$27</f>
        <v>28015.38</v>
      </c>
      <c r="AC27" s="4">
        <f>$M$27*$W$27</f>
        <v>694.30608000000007</v>
      </c>
      <c r="AD27" s="4">
        <f>$O$27*$X$27</f>
        <v>0</v>
      </c>
      <c r="AE27" s="4">
        <f ca="1">$K$27*$Y$27</f>
        <v>50914.431214457654</v>
      </c>
      <c r="AF27" s="4">
        <f ca="1">$M$27*$Z$27</f>
        <v>594.87069001651992</v>
      </c>
      <c r="AG27" s="4">
        <f>$O$27*$AA$27</f>
        <v>0</v>
      </c>
    </row>
    <row r="28" spans="1:33" ht="11.25" customHeight="1" x14ac:dyDescent="0.3">
      <c r="A28" s="3" t="s">
        <v>21</v>
      </c>
      <c r="B28" s="3" t="s">
        <v>39</v>
      </c>
      <c r="C28" s="3" t="s">
        <v>56</v>
      </c>
      <c r="D28" s="3" t="s">
        <v>25</v>
      </c>
      <c r="E28" s="3" t="s">
        <v>25</v>
      </c>
      <c r="F28" s="3" t="s">
        <v>57</v>
      </c>
      <c r="G28" s="3" t="s">
        <v>58</v>
      </c>
      <c r="H28" s="3" t="s">
        <v>34</v>
      </c>
      <c r="I28" s="6">
        <v>44440</v>
      </c>
      <c r="J28" s="4">
        <v>1022</v>
      </c>
      <c r="K28" s="18">
        <f>J28*(1-SUMIFS(CUSTOS!$T$40:$T$100,CUSTOS!$O$40:$O$100,EFEITO!G28,CUSTOS!$S$40:$S$100,EFEITO!B28,CUSTOS!$R$40:$R$100,"Potência"))</f>
        <v>1022</v>
      </c>
      <c r="L28" s="4">
        <v>46.192</v>
      </c>
      <c r="M28" s="18">
        <f>L28*(1-SUMIFS(CUSTOS!$T$40:$T$100,CUSTOS!$O$40:$O$100,EFEITO!G28,CUSTOS!$S$40:$S$100,EFEITO!B28,CUSTOS!$R$40:$R$100,"Potência"))</f>
        <v>46.192</v>
      </c>
      <c r="N28" s="4">
        <v>0</v>
      </c>
      <c r="O28" s="18">
        <f>N28*(1-SUMIFS(CUSTOS!$T$40:$T$100,CUSTOS!$O$40:$O$100,EFEITO!G28,CUSTOS!$S$40:$S$100,EFEITO!B28,CUSTOS!$R$40:$R$100,"Energia"))</f>
        <v>0</v>
      </c>
      <c r="P28" s="4">
        <v>0</v>
      </c>
      <c r="Q28" s="3" t="s">
        <v>59</v>
      </c>
      <c r="R28" s="3">
        <v>5343</v>
      </c>
      <c r="S28" s="4">
        <v>5</v>
      </c>
      <c r="T28" s="4">
        <v>7</v>
      </c>
      <c r="U28" s="4">
        <v>0</v>
      </c>
      <c r="V28" s="4">
        <f>IF(ISERROR(VLOOKUP($S$28,'TAR FIN'!$A$1:$O$91,15,0)),0,VLOOKUP($S$28,'TAR FIN'!$A$1:$O$91,15,0))</f>
        <v>23.23</v>
      </c>
      <c r="W28" s="4">
        <f>IF(ISERROR(VLOOKUP($T$28,'TAR FIN'!$A$1:$O$91,15,0)),0,VLOOKUP($T$28,'TAR FIN'!$A$1:$O$91,15,0))</f>
        <v>12.96</v>
      </c>
      <c r="X28" s="4">
        <f>IF(ISERROR(VLOOKUP($U$28,'TAR FIN'!$A$1:$O$91,15,0)),0,VLOOKUP($U$28,'TAR FIN'!$A$1:$O$91,15,0))</f>
        <v>0</v>
      </c>
      <c r="Y28" s="4">
        <f ca="1">('TUSD BE'!$AM$9+'TUSD BF'!$AM$9+'TUSD CVA'!$AM$9)*1</f>
        <v>42.217604655437526</v>
      </c>
      <c r="Z28" s="4">
        <f ca="1">('TUSD BE'!$AM$11+'TUSD BF'!$AM$11+'TUSD CVA'!$AM$11)*1</f>
        <v>11.103927165111529</v>
      </c>
      <c r="AA28" s="4">
        <f>('TE BE'!$AB$9+'TE BF'!$AB$9+'TE CVA'!$AB$9)*1</f>
        <v>233.70080441251889</v>
      </c>
      <c r="AB28" s="4">
        <f>$K$28*$V$28</f>
        <v>23741.06</v>
      </c>
      <c r="AC28" s="4">
        <f>$M$28*$W$28</f>
        <v>598.64832000000001</v>
      </c>
      <c r="AD28" s="4">
        <f>$O$28*$X$28</f>
        <v>0</v>
      </c>
      <c r="AE28" s="4">
        <f ca="1">$K$28*$Y$28</f>
        <v>43146.391957857151</v>
      </c>
      <c r="AF28" s="4">
        <f ca="1">$M$28*$Z$28</f>
        <v>512.91260361083175</v>
      </c>
      <c r="AG28" s="4">
        <f>$O$28*$AA$28</f>
        <v>0</v>
      </c>
    </row>
    <row r="29" spans="1:33" ht="11.25" customHeight="1" x14ac:dyDescent="0.3">
      <c r="A29" s="3" t="s">
        <v>21</v>
      </c>
      <c r="B29" s="3" t="s">
        <v>39</v>
      </c>
      <c r="C29" s="3" t="s">
        <v>56</v>
      </c>
      <c r="D29" s="3" t="s">
        <v>25</v>
      </c>
      <c r="E29" s="3" t="s">
        <v>25</v>
      </c>
      <c r="F29" s="3" t="s">
        <v>57</v>
      </c>
      <c r="G29" s="3" t="s">
        <v>58</v>
      </c>
      <c r="H29" s="3" t="s">
        <v>34</v>
      </c>
      <c r="I29" s="6">
        <v>44470</v>
      </c>
      <c r="J29" s="4">
        <v>1327</v>
      </c>
      <c r="K29" s="18">
        <f>J29*(1-SUMIFS(CUSTOS!$T$40:$T$100,CUSTOS!$O$40:$O$100,EFEITO!G29,CUSTOS!$S$40:$S$100,EFEITO!B29,CUSTOS!$R$40:$R$100,"Potência"))</f>
        <v>1327</v>
      </c>
      <c r="L29" s="4">
        <v>47.36</v>
      </c>
      <c r="M29" s="18">
        <f>L29*(1-SUMIFS(CUSTOS!$T$40:$T$100,CUSTOS!$O$40:$O$100,EFEITO!G29,CUSTOS!$S$40:$S$100,EFEITO!B29,CUSTOS!$R$40:$R$100,"Potência"))</f>
        <v>47.36</v>
      </c>
      <c r="N29" s="4">
        <v>0</v>
      </c>
      <c r="O29" s="18">
        <f>N29*(1-SUMIFS(CUSTOS!$T$40:$T$100,CUSTOS!$O$40:$O$100,EFEITO!G29,CUSTOS!$S$40:$S$100,EFEITO!B29,CUSTOS!$R$40:$R$100,"Energia"))</f>
        <v>0</v>
      </c>
      <c r="P29" s="4">
        <v>0</v>
      </c>
      <c r="Q29" s="3" t="s">
        <v>59</v>
      </c>
      <c r="R29" s="3">
        <v>5343</v>
      </c>
      <c r="S29" s="4">
        <v>5</v>
      </c>
      <c r="T29" s="4">
        <v>7</v>
      </c>
      <c r="U29" s="4">
        <v>0</v>
      </c>
      <c r="V29" s="4">
        <f>IF(ISERROR(VLOOKUP($S$29,'TAR FIN'!$A$1:$O$91,15,0)),0,VLOOKUP($S$29,'TAR FIN'!$A$1:$O$91,15,0))</f>
        <v>23.23</v>
      </c>
      <c r="W29" s="4">
        <f>IF(ISERROR(VLOOKUP($T$29,'TAR FIN'!$A$1:$O$91,15,0)),0,VLOOKUP($T$29,'TAR FIN'!$A$1:$O$91,15,0))</f>
        <v>12.96</v>
      </c>
      <c r="X29" s="4">
        <f>IF(ISERROR(VLOOKUP($U$29,'TAR FIN'!$A$1:$O$91,15,0)),0,VLOOKUP($U$29,'TAR FIN'!$A$1:$O$91,15,0))</f>
        <v>0</v>
      </c>
      <c r="Y29" s="4">
        <f ca="1">('TUSD BE'!$AM$9+'TUSD BF'!$AM$9+'TUSD CVA'!$AM$9)*1</f>
        <v>42.217604655437526</v>
      </c>
      <c r="Z29" s="4">
        <f ca="1">('TUSD BE'!$AM$11+'TUSD BF'!$AM$11+'TUSD CVA'!$AM$11)*1</f>
        <v>11.103927165111529</v>
      </c>
      <c r="AA29" s="4">
        <f>('TE BE'!$AB$9+'TE BF'!$AB$9+'TE CVA'!$AB$9)*1</f>
        <v>233.70080441251889</v>
      </c>
      <c r="AB29" s="4">
        <f>$K$29*$V$29</f>
        <v>30826.21</v>
      </c>
      <c r="AC29" s="4">
        <f>$M$29*$W$29</f>
        <v>613.78560000000004</v>
      </c>
      <c r="AD29" s="4">
        <f>$O$29*$X$29</f>
        <v>0</v>
      </c>
      <c r="AE29" s="4">
        <f ca="1">$K$29*$Y$29</f>
        <v>56022.761377765601</v>
      </c>
      <c r="AF29" s="4">
        <f ca="1">$M$29*$Z$29</f>
        <v>525.88199053968196</v>
      </c>
      <c r="AG29" s="4">
        <f>$O$29*$AA$29</f>
        <v>0</v>
      </c>
    </row>
    <row r="30" spans="1:33" ht="11.25" customHeight="1" x14ac:dyDescent="0.3">
      <c r="A30" s="3" t="s">
        <v>21</v>
      </c>
      <c r="B30" s="3" t="s">
        <v>39</v>
      </c>
      <c r="C30" s="3" t="s">
        <v>56</v>
      </c>
      <c r="D30" s="3" t="s">
        <v>25</v>
      </c>
      <c r="E30" s="3" t="s">
        <v>25</v>
      </c>
      <c r="F30" s="3" t="s">
        <v>57</v>
      </c>
      <c r="G30" s="3" t="s">
        <v>58</v>
      </c>
      <c r="H30" s="3" t="s">
        <v>34</v>
      </c>
      <c r="I30" s="6">
        <v>44501</v>
      </c>
      <c r="J30" s="4">
        <v>1479</v>
      </c>
      <c r="K30" s="18">
        <f>J30*(1-SUMIFS(CUSTOS!$T$40:$T$100,CUSTOS!$O$40:$O$100,EFEITO!G30,CUSTOS!$S$40:$S$100,EFEITO!B30,CUSTOS!$R$40:$R$100,"Potência"))</f>
        <v>1479</v>
      </c>
      <c r="L30" s="4">
        <v>59.170999999999999</v>
      </c>
      <c r="M30" s="18">
        <f>L30*(1-SUMIFS(CUSTOS!$T$40:$T$100,CUSTOS!$O$40:$O$100,EFEITO!G30,CUSTOS!$S$40:$S$100,EFEITO!B30,CUSTOS!$R$40:$R$100,"Potência"))</f>
        <v>59.170999999999999</v>
      </c>
      <c r="N30" s="4">
        <v>0</v>
      </c>
      <c r="O30" s="18">
        <f>N30*(1-SUMIFS(CUSTOS!$T$40:$T$100,CUSTOS!$O$40:$O$100,EFEITO!G30,CUSTOS!$S$40:$S$100,EFEITO!B30,CUSTOS!$R$40:$R$100,"Energia"))</f>
        <v>0</v>
      </c>
      <c r="P30" s="4">
        <v>0</v>
      </c>
      <c r="Q30" s="3" t="s">
        <v>59</v>
      </c>
      <c r="R30" s="3">
        <v>5343</v>
      </c>
      <c r="S30" s="4">
        <v>5</v>
      </c>
      <c r="T30" s="4">
        <v>7</v>
      </c>
      <c r="U30" s="4">
        <v>0</v>
      </c>
      <c r="V30" s="4">
        <f>IF(ISERROR(VLOOKUP($S$30,'TAR FIN'!$A$1:$O$91,15,0)),0,VLOOKUP($S$30,'TAR FIN'!$A$1:$O$91,15,0))</f>
        <v>23.23</v>
      </c>
      <c r="W30" s="4">
        <f>IF(ISERROR(VLOOKUP($T$30,'TAR FIN'!$A$1:$O$91,15,0)),0,VLOOKUP($T$30,'TAR FIN'!$A$1:$O$91,15,0))</f>
        <v>12.96</v>
      </c>
      <c r="X30" s="4">
        <f>IF(ISERROR(VLOOKUP($U$30,'TAR FIN'!$A$1:$O$91,15,0)),0,VLOOKUP($U$30,'TAR FIN'!$A$1:$O$91,15,0))</f>
        <v>0</v>
      </c>
      <c r="Y30" s="4">
        <f ca="1">('TUSD BE'!$AM$9+'TUSD BF'!$AM$9+'TUSD CVA'!$AM$9)*1</f>
        <v>42.217604655437526</v>
      </c>
      <c r="Z30" s="4">
        <f ca="1">('TUSD BE'!$AM$11+'TUSD BF'!$AM$11+'TUSD CVA'!$AM$11)*1</f>
        <v>11.103927165111529</v>
      </c>
      <c r="AA30" s="4">
        <f>('TE BE'!$AB$9+'TE BF'!$AB$9+'TE CVA'!$AB$9)*1</f>
        <v>233.70080441251889</v>
      </c>
      <c r="AB30" s="4">
        <f>$K$30*$V$30</f>
        <v>34357.17</v>
      </c>
      <c r="AC30" s="4">
        <f>$M$30*$W$30</f>
        <v>766.85616000000005</v>
      </c>
      <c r="AD30" s="4">
        <f>$O$30*$X$30</f>
        <v>0</v>
      </c>
      <c r="AE30" s="4">
        <f ca="1">$K$30*$Y$30</f>
        <v>62439.837285392103</v>
      </c>
      <c r="AF30" s="4">
        <f ca="1">$M$30*$Z$30</f>
        <v>657.0304742868143</v>
      </c>
      <c r="AG30" s="4">
        <f>$O$30*$AA$30</f>
        <v>0</v>
      </c>
    </row>
    <row r="31" spans="1:33" ht="11.25" customHeight="1" x14ac:dyDescent="0.3">
      <c r="A31" s="3" t="s">
        <v>21</v>
      </c>
      <c r="B31" s="3" t="s">
        <v>39</v>
      </c>
      <c r="C31" s="3" t="s">
        <v>56</v>
      </c>
      <c r="D31" s="3" t="s">
        <v>25</v>
      </c>
      <c r="E31" s="3" t="s">
        <v>25</v>
      </c>
      <c r="F31" s="3" t="s">
        <v>57</v>
      </c>
      <c r="G31" s="3" t="s">
        <v>58</v>
      </c>
      <c r="H31" s="3" t="s">
        <v>34</v>
      </c>
      <c r="I31" s="6">
        <v>44531</v>
      </c>
      <c r="J31" s="4">
        <v>1755</v>
      </c>
      <c r="K31" s="18">
        <f>J31*(1-SUMIFS(CUSTOS!$T$40:$T$100,CUSTOS!$O$40:$O$100,EFEITO!G31,CUSTOS!$S$40:$S$100,EFEITO!B31,CUSTOS!$R$40:$R$100,"Potência"))</f>
        <v>1755</v>
      </c>
      <c r="L31" s="4">
        <v>78.418000000000006</v>
      </c>
      <c r="M31" s="18">
        <f>L31*(1-SUMIFS(CUSTOS!$T$40:$T$100,CUSTOS!$O$40:$O$100,EFEITO!G31,CUSTOS!$S$40:$S$100,EFEITO!B31,CUSTOS!$R$40:$R$100,"Potência"))</f>
        <v>78.418000000000006</v>
      </c>
      <c r="N31" s="4">
        <v>0</v>
      </c>
      <c r="O31" s="18">
        <f>N31*(1-SUMIFS(CUSTOS!$T$40:$T$100,CUSTOS!$O$40:$O$100,EFEITO!G31,CUSTOS!$S$40:$S$100,EFEITO!B31,CUSTOS!$R$40:$R$100,"Energia"))</f>
        <v>0</v>
      </c>
      <c r="P31" s="4">
        <v>0</v>
      </c>
      <c r="Q31" s="3" t="s">
        <v>59</v>
      </c>
      <c r="R31" s="3">
        <v>5343</v>
      </c>
      <c r="S31" s="4">
        <v>5</v>
      </c>
      <c r="T31" s="4">
        <v>7</v>
      </c>
      <c r="U31" s="4">
        <v>0</v>
      </c>
      <c r="V31" s="4">
        <f>IF(ISERROR(VLOOKUP($S$31,'TAR FIN'!$A$1:$O$91,15,0)),0,VLOOKUP($S$31,'TAR FIN'!$A$1:$O$91,15,0))</f>
        <v>23.23</v>
      </c>
      <c r="W31" s="4">
        <f>IF(ISERROR(VLOOKUP($T$31,'TAR FIN'!$A$1:$O$91,15,0)),0,VLOOKUP($T$31,'TAR FIN'!$A$1:$O$91,15,0))</f>
        <v>12.96</v>
      </c>
      <c r="X31" s="4">
        <f>IF(ISERROR(VLOOKUP($U$31,'TAR FIN'!$A$1:$O$91,15,0)),0,VLOOKUP($U$31,'TAR FIN'!$A$1:$O$91,15,0))</f>
        <v>0</v>
      </c>
      <c r="Y31" s="4">
        <f ca="1">('TUSD BE'!$AM$9+'TUSD BF'!$AM$9+'TUSD CVA'!$AM$9)*1</f>
        <v>42.217604655437526</v>
      </c>
      <c r="Z31" s="4">
        <f ca="1">('TUSD BE'!$AM$11+'TUSD BF'!$AM$11+'TUSD CVA'!$AM$11)*1</f>
        <v>11.103927165111529</v>
      </c>
      <c r="AA31" s="4">
        <f>('TE BE'!$AB$9+'TE BF'!$AB$9+'TE CVA'!$AB$9)*1</f>
        <v>233.70080441251889</v>
      </c>
      <c r="AB31" s="4">
        <f>$K$31*$V$31</f>
        <v>40768.65</v>
      </c>
      <c r="AC31" s="4">
        <f>$M$31*$W$31</f>
        <v>1016.2972800000001</v>
      </c>
      <c r="AD31" s="4">
        <f>$O$31*$X$31</f>
        <v>0</v>
      </c>
      <c r="AE31" s="4">
        <f ca="1">$K$31*$Y$31</f>
        <v>74091.896170292865</v>
      </c>
      <c r="AF31" s="4">
        <f ca="1">$M$31*$Z$31</f>
        <v>870.74776043371594</v>
      </c>
      <c r="AG31" s="4">
        <f>$O$31*$AA$31</f>
        <v>0</v>
      </c>
    </row>
    <row r="32" spans="1:33" ht="11.25" customHeight="1" x14ac:dyDescent="0.3">
      <c r="A32" s="3" t="s">
        <v>21</v>
      </c>
      <c r="B32" s="3" t="s">
        <v>39</v>
      </c>
      <c r="C32" s="3" t="s">
        <v>56</v>
      </c>
      <c r="D32" s="3" t="s">
        <v>25</v>
      </c>
      <c r="E32" s="3" t="s">
        <v>25</v>
      </c>
      <c r="F32" s="3" t="s">
        <v>57</v>
      </c>
      <c r="G32" s="3" t="s">
        <v>58</v>
      </c>
      <c r="H32" s="3" t="s">
        <v>34</v>
      </c>
      <c r="I32" s="6">
        <v>44562</v>
      </c>
      <c r="J32" s="4">
        <v>2111</v>
      </c>
      <c r="K32" s="18">
        <f>J32*(1-SUMIFS(CUSTOS!$T$40:$T$100,CUSTOS!$O$40:$O$100,EFEITO!G32,CUSTOS!$S$40:$S$100,EFEITO!B32,CUSTOS!$R$40:$R$100,"Potência"))</f>
        <v>2111</v>
      </c>
      <c r="L32" s="4">
        <v>76.768000000000001</v>
      </c>
      <c r="M32" s="18">
        <f>L32*(1-SUMIFS(CUSTOS!$T$40:$T$100,CUSTOS!$O$40:$O$100,EFEITO!G32,CUSTOS!$S$40:$S$100,EFEITO!B32,CUSTOS!$R$40:$R$100,"Potência"))</f>
        <v>76.768000000000001</v>
      </c>
      <c r="N32" s="4">
        <v>0</v>
      </c>
      <c r="O32" s="18">
        <f>N32*(1-SUMIFS(CUSTOS!$T$40:$T$100,CUSTOS!$O$40:$O$100,EFEITO!G32,CUSTOS!$S$40:$S$100,EFEITO!B32,CUSTOS!$R$40:$R$100,"Energia"))</f>
        <v>0</v>
      </c>
      <c r="P32" s="4">
        <v>0</v>
      </c>
      <c r="Q32" s="3" t="s">
        <v>59</v>
      </c>
      <c r="R32" s="3">
        <v>5343</v>
      </c>
      <c r="S32" s="4">
        <v>5</v>
      </c>
      <c r="T32" s="4">
        <v>7</v>
      </c>
      <c r="U32" s="4">
        <v>0</v>
      </c>
      <c r="V32" s="4">
        <f>IF(ISERROR(VLOOKUP($S$32,'TAR FIN'!$A$1:$O$91,15,0)),0,VLOOKUP($S$32,'TAR FIN'!$A$1:$O$91,15,0))</f>
        <v>23.23</v>
      </c>
      <c r="W32" s="4">
        <f>IF(ISERROR(VLOOKUP($T$32,'TAR FIN'!$A$1:$O$91,15,0)),0,VLOOKUP($T$32,'TAR FIN'!$A$1:$O$91,15,0))</f>
        <v>12.96</v>
      </c>
      <c r="X32" s="4">
        <f>IF(ISERROR(VLOOKUP($U$32,'TAR FIN'!$A$1:$O$91,15,0)),0,VLOOKUP($U$32,'TAR FIN'!$A$1:$O$91,15,0))</f>
        <v>0</v>
      </c>
      <c r="Y32" s="4">
        <f ca="1">('TUSD BE'!$AM$9+'TUSD BF'!$AM$9+'TUSD CVA'!$AM$9)*1</f>
        <v>42.217604655437526</v>
      </c>
      <c r="Z32" s="4">
        <f ca="1">('TUSD BE'!$AM$11+'TUSD BF'!$AM$11+'TUSD CVA'!$AM$11)*1</f>
        <v>11.103927165111529</v>
      </c>
      <c r="AA32" s="4">
        <f>('TE BE'!$AB$9+'TE BF'!$AB$9+'TE CVA'!$AB$9)*1</f>
        <v>233.70080441251889</v>
      </c>
      <c r="AB32" s="4">
        <f>$K$32*$V$32</f>
        <v>49038.53</v>
      </c>
      <c r="AC32" s="4">
        <f>$M$32*$W$32</f>
        <v>994.9132800000001</v>
      </c>
      <c r="AD32" s="4">
        <f>$O$32*$X$32</f>
        <v>0</v>
      </c>
      <c r="AE32" s="4">
        <f ca="1">$K$32*$Y$32</f>
        <v>89121.363427628618</v>
      </c>
      <c r="AF32" s="4">
        <f ca="1">$M$32*$Z$32</f>
        <v>852.42628061128187</v>
      </c>
      <c r="AG32" s="4">
        <f>$O$32*$AA$32</f>
        <v>0</v>
      </c>
    </row>
    <row r="33" spans="1:33" ht="11.25" customHeight="1" x14ac:dyDescent="0.3">
      <c r="A33" s="3" t="s">
        <v>21</v>
      </c>
      <c r="B33" s="3" t="s">
        <v>39</v>
      </c>
      <c r="C33" s="3" t="s">
        <v>56</v>
      </c>
      <c r="D33" s="3" t="s">
        <v>25</v>
      </c>
      <c r="E33" s="3" t="s">
        <v>25</v>
      </c>
      <c r="F33" s="3" t="s">
        <v>57</v>
      </c>
      <c r="G33" s="3" t="s">
        <v>58</v>
      </c>
      <c r="H33" s="3" t="s">
        <v>34</v>
      </c>
      <c r="I33" s="6">
        <v>44593</v>
      </c>
      <c r="J33" s="4">
        <v>1529</v>
      </c>
      <c r="K33" s="18">
        <f>J33*(1-SUMIFS(CUSTOS!$T$40:$T$100,CUSTOS!$O$40:$O$100,EFEITO!G33,CUSTOS!$S$40:$S$100,EFEITO!B33,CUSTOS!$R$40:$R$100,"Potência"))</f>
        <v>1529</v>
      </c>
      <c r="L33" s="4">
        <v>60.723999999999997</v>
      </c>
      <c r="M33" s="18">
        <f>L33*(1-SUMIFS(CUSTOS!$T$40:$T$100,CUSTOS!$O$40:$O$100,EFEITO!G33,CUSTOS!$S$40:$S$100,EFEITO!B33,CUSTOS!$R$40:$R$100,"Potência"))</f>
        <v>60.723999999999997</v>
      </c>
      <c r="N33" s="4">
        <v>0</v>
      </c>
      <c r="O33" s="18">
        <f>N33*(1-SUMIFS(CUSTOS!$T$40:$T$100,CUSTOS!$O$40:$O$100,EFEITO!G33,CUSTOS!$S$40:$S$100,EFEITO!B33,CUSTOS!$R$40:$R$100,"Energia"))</f>
        <v>0</v>
      </c>
      <c r="P33" s="4">
        <v>0</v>
      </c>
      <c r="Q33" s="3" t="s">
        <v>59</v>
      </c>
      <c r="R33" s="3">
        <v>5343</v>
      </c>
      <c r="S33" s="4">
        <v>5</v>
      </c>
      <c r="T33" s="4">
        <v>7</v>
      </c>
      <c r="U33" s="4">
        <v>0</v>
      </c>
      <c r="V33" s="4">
        <f>IF(ISERROR(VLOOKUP($S$33,'TAR FIN'!$A$1:$O$91,15,0)),0,VLOOKUP($S$33,'TAR FIN'!$A$1:$O$91,15,0))</f>
        <v>23.23</v>
      </c>
      <c r="W33" s="4">
        <f>IF(ISERROR(VLOOKUP($T$33,'TAR FIN'!$A$1:$O$91,15,0)),0,VLOOKUP($T$33,'TAR FIN'!$A$1:$O$91,15,0))</f>
        <v>12.96</v>
      </c>
      <c r="X33" s="4">
        <f>IF(ISERROR(VLOOKUP($U$33,'TAR FIN'!$A$1:$O$91,15,0)),0,VLOOKUP($U$33,'TAR FIN'!$A$1:$O$91,15,0))</f>
        <v>0</v>
      </c>
      <c r="Y33" s="4">
        <f ca="1">('TUSD BE'!$AM$9+'TUSD BF'!$AM$9+'TUSD CVA'!$AM$9)*1</f>
        <v>42.217604655437526</v>
      </c>
      <c r="Z33" s="4">
        <f ca="1">('TUSD BE'!$AM$11+'TUSD BF'!$AM$11+'TUSD CVA'!$AM$11)*1</f>
        <v>11.103927165111529</v>
      </c>
      <c r="AA33" s="4">
        <f>('TE BE'!$AB$9+'TE BF'!$AB$9+'TE CVA'!$AB$9)*1</f>
        <v>233.70080441251889</v>
      </c>
      <c r="AB33" s="4">
        <f>$K$33*$V$33</f>
        <v>35518.67</v>
      </c>
      <c r="AC33" s="4">
        <f>$M$33*$W$33</f>
        <v>786.98303999999996</v>
      </c>
      <c r="AD33" s="4">
        <f>$O$33*$X$33</f>
        <v>0</v>
      </c>
      <c r="AE33" s="4">
        <f ca="1">$K$33*$Y$33</f>
        <v>64550.717518163976</v>
      </c>
      <c r="AF33" s="4">
        <f ca="1">$M$33*$Z$33</f>
        <v>674.27487317423243</v>
      </c>
      <c r="AG33" s="4">
        <f>$O$33*$AA$33</f>
        <v>0</v>
      </c>
    </row>
    <row r="34" spans="1:33" ht="11.25" customHeight="1" x14ac:dyDescent="0.3">
      <c r="A34" s="3" t="s">
        <v>21</v>
      </c>
      <c r="B34" s="3" t="s">
        <v>39</v>
      </c>
      <c r="C34" s="3" t="s">
        <v>56</v>
      </c>
      <c r="D34" s="3" t="s">
        <v>25</v>
      </c>
      <c r="E34" s="3" t="s">
        <v>25</v>
      </c>
      <c r="F34" s="3" t="s">
        <v>57</v>
      </c>
      <c r="G34" s="3" t="s">
        <v>58</v>
      </c>
      <c r="H34" s="3" t="s">
        <v>34</v>
      </c>
      <c r="I34" s="6">
        <v>44621</v>
      </c>
      <c r="J34" s="4">
        <v>1264</v>
      </c>
      <c r="K34" s="18">
        <f>J34*(1-SUMIFS(CUSTOS!$T$40:$T$100,CUSTOS!$O$40:$O$100,EFEITO!G34,CUSTOS!$S$40:$S$100,EFEITO!B34,CUSTOS!$R$40:$R$100,"Potência"))</f>
        <v>1264</v>
      </c>
      <c r="L34" s="4">
        <v>58.777000000000001</v>
      </c>
      <c r="M34" s="18">
        <f>L34*(1-SUMIFS(CUSTOS!$T$40:$T$100,CUSTOS!$O$40:$O$100,EFEITO!G34,CUSTOS!$S$40:$S$100,EFEITO!B34,CUSTOS!$R$40:$R$100,"Potência"))</f>
        <v>58.777000000000001</v>
      </c>
      <c r="N34" s="4">
        <v>0</v>
      </c>
      <c r="O34" s="18">
        <f>N34*(1-SUMIFS(CUSTOS!$T$40:$T$100,CUSTOS!$O$40:$O$100,EFEITO!G34,CUSTOS!$S$40:$S$100,EFEITO!B34,CUSTOS!$R$40:$R$100,"Energia"))</f>
        <v>0</v>
      </c>
      <c r="P34" s="4">
        <v>0</v>
      </c>
      <c r="Q34" s="3" t="s">
        <v>59</v>
      </c>
      <c r="R34" s="3">
        <v>5343</v>
      </c>
      <c r="S34" s="4">
        <v>5</v>
      </c>
      <c r="T34" s="4">
        <v>7</v>
      </c>
      <c r="U34" s="4">
        <v>0</v>
      </c>
      <c r="V34" s="4">
        <f>IF(ISERROR(VLOOKUP($S$34,'TAR FIN'!$A$1:$O$91,15,0)),0,VLOOKUP($S$34,'TAR FIN'!$A$1:$O$91,15,0))</f>
        <v>23.23</v>
      </c>
      <c r="W34" s="4">
        <f>IF(ISERROR(VLOOKUP($T$34,'TAR FIN'!$A$1:$O$91,15,0)),0,VLOOKUP($T$34,'TAR FIN'!$A$1:$O$91,15,0))</f>
        <v>12.96</v>
      </c>
      <c r="X34" s="4">
        <f>IF(ISERROR(VLOOKUP($U$34,'TAR FIN'!$A$1:$O$91,15,0)),0,VLOOKUP($U$34,'TAR FIN'!$A$1:$O$91,15,0))</f>
        <v>0</v>
      </c>
      <c r="Y34" s="4">
        <f ca="1">('TUSD BE'!$AM$9+'TUSD BF'!$AM$9+'TUSD CVA'!$AM$9)*1</f>
        <v>42.217604655437526</v>
      </c>
      <c r="Z34" s="4">
        <f ca="1">('TUSD BE'!$AM$11+'TUSD BF'!$AM$11+'TUSD CVA'!$AM$11)*1</f>
        <v>11.103927165111529</v>
      </c>
      <c r="AA34" s="4">
        <f>('TE BE'!$AB$9+'TE BF'!$AB$9+'TE CVA'!$AB$9)*1</f>
        <v>233.70080441251889</v>
      </c>
      <c r="AB34" s="4">
        <f>$K$34*$V$34</f>
        <v>29362.720000000001</v>
      </c>
      <c r="AC34" s="4">
        <f>$M$34*$W$34</f>
        <v>761.74992000000009</v>
      </c>
      <c r="AD34" s="4">
        <f>$O$34*$X$34</f>
        <v>0</v>
      </c>
      <c r="AE34" s="4">
        <f ca="1">$K$34*$Y$34</f>
        <v>53363.052284473029</v>
      </c>
      <c r="AF34" s="4">
        <f ca="1">$M$34*$Z$34</f>
        <v>652.6555269837603</v>
      </c>
      <c r="AG34" s="4">
        <f>$O$34*$AA$34</f>
        <v>0</v>
      </c>
    </row>
    <row r="35" spans="1:33" ht="11.25" customHeight="1" x14ac:dyDescent="0.3">
      <c r="A35" s="3" t="s">
        <v>21</v>
      </c>
      <c r="B35" s="3" t="s">
        <v>39</v>
      </c>
      <c r="C35" s="3" t="s">
        <v>56</v>
      </c>
      <c r="D35" s="3" t="s">
        <v>25</v>
      </c>
      <c r="E35" s="3" t="s">
        <v>25</v>
      </c>
      <c r="F35" s="3" t="s">
        <v>57</v>
      </c>
      <c r="G35" s="3" t="s">
        <v>58</v>
      </c>
      <c r="H35" s="3" t="s">
        <v>34</v>
      </c>
      <c r="I35" s="6">
        <v>44652</v>
      </c>
      <c r="J35" s="4">
        <v>1361</v>
      </c>
      <c r="K35" s="18">
        <f>J35*(1-SUMIFS(CUSTOS!$T$40:$T$100,CUSTOS!$O$40:$O$100,EFEITO!G35,CUSTOS!$S$40:$S$100,EFEITO!B35,CUSTOS!$R$40:$R$100,"Potência"))</f>
        <v>1361</v>
      </c>
      <c r="L35" s="4">
        <v>49.344999999999999</v>
      </c>
      <c r="M35" s="18">
        <f>L35*(1-SUMIFS(CUSTOS!$T$40:$T$100,CUSTOS!$O$40:$O$100,EFEITO!G35,CUSTOS!$S$40:$S$100,EFEITO!B35,CUSTOS!$R$40:$R$100,"Potência"))</f>
        <v>49.344999999999999</v>
      </c>
      <c r="N35" s="4">
        <v>0</v>
      </c>
      <c r="O35" s="18">
        <f>N35*(1-SUMIFS(CUSTOS!$T$40:$T$100,CUSTOS!$O$40:$O$100,EFEITO!G35,CUSTOS!$S$40:$S$100,EFEITO!B35,CUSTOS!$R$40:$R$100,"Energia"))</f>
        <v>0</v>
      </c>
      <c r="P35" s="4">
        <v>0</v>
      </c>
      <c r="Q35" s="3" t="s">
        <v>59</v>
      </c>
      <c r="R35" s="3">
        <v>5343</v>
      </c>
      <c r="S35" s="4">
        <v>5</v>
      </c>
      <c r="T35" s="4">
        <v>7</v>
      </c>
      <c r="U35" s="4">
        <v>0</v>
      </c>
      <c r="V35" s="4">
        <f>IF(ISERROR(VLOOKUP($S$35,'TAR FIN'!$A$1:$O$91,15,0)),0,VLOOKUP($S$35,'TAR FIN'!$A$1:$O$91,15,0))</f>
        <v>23.23</v>
      </c>
      <c r="W35" s="4">
        <f>IF(ISERROR(VLOOKUP($T$35,'TAR FIN'!$A$1:$O$91,15,0)),0,VLOOKUP($T$35,'TAR FIN'!$A$1:$O$91,15,0))</f>
        <v>12.96</v>
      </c>
      <c r="X35" s="4">
        <f>IF(ISERROR(VLOOKUP($U$35,'TAR FIN'!$A$1:$O$91,15,0)),0,VLOOKUP($U$35,'TAR FIN'!$A$1:$O$91,15,0))</f>
        <v>0</v>
      </c>
      <c r="Y35" s="4">
        <f ca="1">('TUSD BE'!$AM$9+'TUSD BF'!$AM$9+'TUSD CVA'!$AM$9)*1</f>
        <v>42.217604655437526</v>
      </c>
      <c r="Z35" s="4">
        <f ca="1">('TUSD BE'!$AM$11+'TUSD BF'!$AM$11+'TUSD CVA'!$AM$11)*1</f>
        <v>11.103927165111529</v>
      </c>
      <c r="AA35" s="4">
        <f>('TE BE'!$AB$9+'TE BF'!$AB$9+'TE CVA'!$AB$9)*1</f>
        <v>233.70080441251889</v>
      </c>
      <c r="AB35" s="4">
        <f>$K$35*$V$35</f>
        <v>31616.03</v>
      </c>
      <c r="AC35" s="4">
        <f>$M$35*$W$35</f>
        <v>639.51120000000003</v>
      </c>
      <c r="AD35" s="4">
        <f>$O$35*$X$35</f>
        <v>0</v>
      </c>
      <c r="AE35" s="4">
        <f ca="1">$K$35*$Y$35</f>
        <v>57458.15993605047</v>
      </c>
      <c r="AF35" s="4">
        <f ca="1">$M$35*$Z$35</f>
        <v>547.92328596242839</v>
      </c>
      <c r="AG35" s="4">
        <f>$O$35*$AA$35</f>
        <v>0</v>
      </c>
    </row>
    <row r="36" spans="1:33" ht="11.25" customHeight="1" x14ac:dyDescent="0.3">
      <c r="A36" s="3" t="s">
        <v>21</v>
      </c>
      <c r="B36" s="3" t="s">
        <v>39</v>
      </c>
      <c r="C36" s="3" t="s">
        <v>56</v>
      </c>
      <c r="D36" s="3" t="s">
        <v>25</v>
      </c>
      <c r="E36" s="3" t="s">
        <v>25</v>
      </c>
      <c r="F36" s="3" t="s">
        <v>57</v>
      </c>
      <c r="G36" s="3" t="s">
        <v>58</v>
      </c>
      <c r="H36" s="3" t="s">
        <v>34</v>
      </c>
      <c r="I36" s="6">
        <v>44682</v>
      </c>
      <c r="J36" s="4">
        <v>1251</v>
      </c>
      <c r="K36" s="18">
        <f>J36*(1-SUMIFS(CUSTOS!$T$40:$T$100,CUSTOS!$O$40:$O$100,EFEITO!G36,CUSTOS!$S$40:$S$100,EFEITO!B36,CUSTOS!$R$40:$R$100,"Potência"))</f>
        <v>1251</v>
      </c>
      <c r="L36" s="4">
        <v>50.286000000000001</v>
      </c>
      <c r="M36" s="18">
        <f>L36*(1-SUMIFS(CUSTOS!$T$40:$T$100,CUSTOS!$O$40:$O$100,EFEITO!G36,CUSTOS!$S$40:$S$100,EFEITO!B36,CUSTOS!$R$40:$R$100,"Potência"))</f>
        <v>50.286000000000001</v>
      </c>
      <c r="N36" s="4">
        <v>0</v>
      </c>
      <c r="O36" s="18">
        <f>N36*(1-SUMIFS(CUSTOS!$T$40:$T$100,CUSTOS!$O$40:$O$100,EFEITO!G36,CUSTOS!$S$40:$S$100,EFEITO!B36,CUSTOS!$R$40:$R$100,"Energia"))</f>
        <v>0</v>
      </c>
      <c r="P36" s="4">
        <v>0</v>
      </c>
      <c r="Q36" s="3" t="s">
        <v>59</v>
      </c>
      <c r="R36" s="3">
        <v>5343</v>
      </c>
      <c r="S36" s="4">
        <v>5</v>
      </c>
      <c r="T36" s="4">
        <v>7</v>
      </c>
      <c r="U36" s="4">
        <v>0</v>
      </c>
      <c r="V36" s="4">
        <f>IF(ISERROR(VLOOKUP($S$36,'TAR FIN'!$A$1:$O$91,15,0)),0,VLOOKUP($S$36,'TAR FIN'!$A$1:$O$91,15,0))</f>
        <v>23.23</v>
      </c>
      <c r="W36" s="4">
        <f>IF(ISERROR(VLOOKUP($T$36,'TAR FIN'!$A$1:$O$91,15,0)),0,VLOOKUP($T$36,'TAR FIN'!$A$1:$O$91,15,0))</f>
        <v>12.96</v>
      </c>
      <c r="X36" s="4">
        <f>IF(ISERROR(VLOOKUP($U$36,'TAR FIN'!$A$1:$O$91,15,0)),0,VLOOKUP($U$36,'TAR FIN'!$A$1:$O$91,15,0))</f>
        <v>0</v>
      </c>
      <c r="Y36" s="4">
        <f ca="1">('TUSD BE'!$AM$9+'TUSD BF'!$AM$9+'TUSD CVA'!$AM$9)*1</f>
        <v>42.217604655437526</v>
      </c>
      <c r="Z36" s="4">
        <f ca="1">('TUSD BE'!$AM$11+'TUSD BF'!$AM$11+'TUSD CVA'!$AM$11)*1</f>
        <v>11.103927165111529</v>
      </c>
      <c r="AA36" s="4">
        <f>('TE BE'!$AB$9+'TE BF'!$AB$9+'TE CVA'!$AB$9)*1</f>
        <v>233.70080441251889</v>
      </c>
      <c r="AB36" s="4">
        <f>$K$36*$V$36</f>
        <v>29060.73</v>
      </c>
      <c r="AC36" s="4">
        <f>$M$36*$W$36</f>
        <v>651.70656000000008</v>
      </c>
      <c r="AD36" s="4">
        <f>$O$36*$X$36</f>
        <v>0</v>
      </c>
      <c r="AE36" s="4">
        <f ca="1">$K$36*$Y$36</f>
        <v>52814.223423952346</v>
      </c>
      <c r="AF36" s="4">
        <f ca="1">$M$36*$Z$36</f>
        <v>558.37208142479835</v>
      </c>
      <c r="AG36" s="4">
        <f>$O$36*$AA$36</f>
        <v>0</v>
      </c>
    </row>
    <row r="37" spans="1:33" ht="11.25" customHeight="1" x14ac:dyDescent="0.3">
      <c r="A37" s="3" t="s">
        <v>21</v>
      </c>
      <c r="B37" s="3" t="s">
        <v>39</v>
      </c>
      <c r="C37" s="3" t="s">
        <v>56</v>
      </c>
      <c r="D37" s="3" t="s">
        <v>25</v>
      </c>
      <c r="E37" s="3" t="s">
        <v>25</v>
      </c>
      <c r="F37" s="3" t="s">
        <v>57</v>
      </c>
      <c r="G37" s="3" t="s">
        <v>58</v>
      </c>
      <c r="H37" s="3" t="s">
        <v>34</v>
      </c>
      <c r="I37" s="6">
        <v>44713</v>
      </c>
      <c r="J37" s="4">
        <v>1161</v>
      </c>
      <c r="K37" s="18">
        <f>J37*(1-SUMIFS(CUSTOS!$T$40:$T$100,CUSTOS!$O$40:$O$100,EFEITO!G37,CUSTOS!$S$40:$S$100,EFEITO!B37,CUSTOS!$R$40:$R$100,"Potência"))</f>
        <v>1161</v>
      </c>
      <c r="L37" s="4">
        <v>50.335000000000001</v>
      </c>
      <c r="M37" s="18">
        <f>L37*(1-SUMIFS(CUSTOS!$T$40:$T$100,CUSTOS!$O$40:$O$100,EFEITO!G37,CUSTOS!$S$40:$S$100,EFEITO!B37,CUSTOS!$R$40:$R$100,"Potência"))</f>
        <v>50.335000000000001</v>
      </c>
      <c r="N37" s="4">
        <v>0</v>
      </c>
      <c r="O37" s="18">
        <f>N37*(1-SUMIFS(CUSTOS!$T$40:$T$100,CUSTOS!$O$40:$O$100,EFEITO!G37,CUSTOS!$S$40:$S$100,EFEITO!B37,CUSTOS!$R$40:$R$100,"Energia"))</f>
        <v>0</v>
      </c>
      <c r="P37" s="4">
        <v>0</v>
      </c>
      <c r="Q37" s="3" t="s">
        <v>59</v>
      </c>
      <c r="R37" s="3">
        <v>5343</v>
      </c>
      <c r="S37" s="4">
        <v>5</v>
      </c>
      <c r="T37" s="4">
        <v>7</v>
      </c>
      <c r="U37" s="4">
        <v>0</v>
      </c>
      <c r="V37" s="4">
        <f>IF(ISERROR(VLOOKUP($S$37,'TAR FIN'!$A$1:$O$91,15,0)),0,VLOOKUP($S$37,'TAR FIN'!$A$1:$O$91,15,0))</f>
        <v>23.23</v>
      </c>
      <c r="W37" s="4">
        <f>IF(ISERROR(VLOOKUP($T$37,'TAR FIN'!$A$1:$O$91,15,0)),0,VLOOKUP($T$37,'TAR FIN'!$A$1:$O$91,15,0))</f>
        <v>12.96</v>
      </c>
      <c r="X37" s="4">
        <f>IF(ISERROR(VLOOKUP($U$37,'TAR FIN'!$A$1:$O$91,15,0)),0,VLOOKUP($U$37,'TAR FIN'!$A$1:$O$91,15,0))</f>
        <v>0</v>
      </c>
      <c r="Y37" s="4">
        <f ca="1">('TUSD BE'!$AM$9+'TUSD BF'!$AM$9+'TUSD CVA'!$AM$9)*1</f>
        <v>42.217604655437526</v>
      </c>
      <c r="Z37" s="4">
        <f ca="1">('TUSD BE'!$AM$11+'TUSD BF'!$AM$11+'TUSD CVA'!$AM$11)*1</f>
        <v>11.103927165111529</v>
      </c>
      <c r="AA37" s="4">
        <f>('TE BE'!$AB$9+'TE BF'!$AB$9+'TE CVA'!$AB$9)*1</f>
        <v>233.70080441251889</v>
      </c>
      <c r="AB37" s="4">
        <f>$K$37*$V$37</f>
        <v>26970.03</v>
      </c>
      <c r="AC37" s="4">
        <f>$M$37*$W$37</f>
        <v>652.34160000000008</v>
      </c>
      <c r="AD37" s="4">
        <f>$O$37*$X$37</f>
        <v>0</v>
      </c>
      <c r="AE37" s="4">
        <f ca="1">$K$37*$Y$37</f>
        <v>49014.63900496297</v>
      </c>
      <c r="AF37" s="4">
        <f ca="1">$M$37*$Z$37</f>
        <v>558.91617385588881</v>
      </c>
      <c r="AG37" s="4">
        <f>$O$37*$AA$37</f>
        <v>0</v>
      </c>
    </row>
    <row r="38" spans="1:33" ht="11.25" customHeight="1" x14ac:dyDescent="0.3">
      <c r="A38" s="3" t="s">
        <v>21</v>
      </c>
      <c r="B38" s="3" t="s">
        <v>39</v>
      </c>
      <c r="C38" s="3" t="s">
        <v>40</v>
      </c>
      <c r="D38" s="3" t="s">
        <v>41</v>
      </c>
      <c r="E38" s="3" t="s">
        <v>25</v>
      </c>
      <c r="F38" s="3" t="s">
        <v>25</v>
      </c>
      <c r="G38" s="3" t="s">
        <v>25</v>
      </c>
      <c r="H38" s="3" t="s">
        <v>35</v>
      </c>
      <c r="I38" s="6">
        <v>44378</v>
      </c>
      <c r="J38" s="4">
        <v>0</v>
      </c>
      <c r="K38" s="4">
        <v>0</v>
      </c>
      <c r="L38" s="4">
        <v>381.26100000000002</v>
      </c>
      <c r="M38" s="4">
        <v>381.26100000000002</v>
      </c>
      <c r="N38" s="4">
        <v>381.26100000000002</v>
      </c>
      <c r="O38" s="4">
        <v>381.26100000000002</v>
      </c>
      <c r="P38" s="4">
        <v>0</v>
      </c>
      <c r="Q38" s="3" t="s">
        <v>26</v>
      </c>
      <c r="R38" s="3">
        <v>0</v>
      </c>
      <c r="S38" s="4">
        <v>0</v>
      </c>
      <c r="T38" s="4">
        <v>11</v>
      </c>
      <c r="U38" s="4">
        <v>52</v>
      </c>
      <c r="V38" s="4">
        <f>IF(ISERROR(VLOOKUP($S$38,'TAR FIN'!$A$1:$O$91,15,0)),0,VLOOKUP($S$38,'TAR FIN'!$A$1:$O$91,15,0))</f>
        <v>0</v>
      </c>
      <c r="W38" s="4">
        <f>IF(ISERROR(VLOOKUP($T$38,'TAR FIN'!$A$1:$O$91,15,0)),0,VLOOKUP($T$38,'TAR FIN'!$A$1:$O$91,15,0))</f>
        <v>90.54</v>
      </c>
      <c r="X38" s="4">
        <f>IF(ISERROR(VLOOKUP($U$38,'TAR FIN'!$A$1:$O$91,15,0)),0,VLOOKUP($U$38,'TAR FIN'!$A$1:$O$91,15,0))</f>
        <v>189.96</v>
      </c>
      <c r="Y38" s="4"/>
      <c r="Z38" s="4">
        <f ca="1">('TUSD BE'!$AM$15+'TUSD BF'!$AM$15+'TUSD CVA'!$AM$15)*1</f>
        <v>104.1465119197419</v>
      </c>
      <c r="AA38" s="4">
        <f>('TE BE'!$AB$6+'TE BF'!$AB$6+'TE CVA'!$AB$6)*1</f>
        <v>195.89707226799715</v>
      </c>
      <c r="AB38" s="4">
        <f>$K$38*$V$38</f>
        <v>0</v>
      </c>
      <c r="AC38" s="4">
        <f>$M$38*$W$38</f>
        <v>34519.370940000008</v>
      </c>
      <c r="AD38" s="4">
        <f>$O$38*$X$38</f>
        <v>72424.339560000008</v>
      </c>
      <c r="AE38" s="4">
        <f>$K$38*$Y$38</f>
        <v>0</v>
      </c>
      <c r="AF38" s="4">
        <f ca="1">$M$38*$Z$38</f>
        <v>39707.003281032717</v>
      </c>
      <c r="AG38" s="4">
        <f>$O$38*$AA$38</f>
        <v>74687.913669968868</v>
      </c>
    </row>
    <row r="39" spans="1:33" ht="11.25" customHeight="1" x14ac:dyDescent="0.3">
      <c r="A39" s="3" t="s">
        <v>27</v>
      </c>
      <c r="B39" s="3" t="s">
        <v>39</v>
      </c>
      <c r="C39" s="3" t="s">
        <v>40</v>
      </c>
      <c r="D39" s="3" t="s">
        <v>41</v>
      </c>
      <c r="E39" s="3" t="s">
        <v>25</v>
      </c>
      <c r="F39" s="3" t="s">
        <v>25</v>
      </c>
      <c r="G39" s="3" t="s">
        <v>25</v>
      </c>
      <c r="H39" s="3" t="s">
        <v>35</v>
      </c>
      <c r="I39" s="6">
        <v>44378</v>
      </c>
      <c r="J39" s="4">
        <v>0</v>
      </c>
      <c r="K39" s="4">
        <v>0</v>
      </c>
      <c r="L39" s="4">
        <v>-61.5</v>
      </c>
      <c r="M39" s="4">
        <v>-61.5</v>
      </c>
      <c r="N39" s="4">
        <v>-61.5</v>
      </c>
      <c r="O39" s="4">
        <v>-61.5</v>
      </c>
      <c r="P39" s="4">
        <v>0</v>
      </c>
      <c r="Q39" s="3" t="s">
        <v>26</v>
      </c>
      <c r="R39" s="3">
        <v>0</v>
      </c>
      <c r="S39" s="4">
        <v>0</v>
      </c>
      <c r="T39" s="4">
        <v>11</v>
      </c>
      <c r="U39" s="4">
        <v>52</v>
      </c>
      <c r="V39" s="4">
        <f>IF(ISERROR(VLOOKUP($S$39,'TAR FIN'!$A$1:$O$91,15,0)),0,VLOOKUP($S$39,'TAR FIN'!$A$1:$O$91,15,0))</f>
        <v>0</v>
      </c>
      <c r="W39" s="4">
        <f>IF(ISERROR(VLOOKUP($T$39,'TAR FIN'!$A$1:$O$91,15,0)),0,VLOOKUP($T$39,'TAR FIN'!$A$1:$O$91,15,0))</f>
        <v>90.54</v>
      </c>
      <c r="X39" s="4">
        <f>IF(ISERROR(VLOOKUP($U$39,'TAR FIN'!$A$1:$O$91,15,0)),0,VLOOKUP($U$39,'TAR FIN'!$A$1:$O$91,15,0))</f>
        <v>189.96</v>
      </c>
      <c r="Y39" s="4"/>
      <c r="Z39" s="4">
        <f ca="1">('TUSD BE'!$AM$15+'TUSD BF'!$AM$15+'TUSD CVA'!$AM$15)*1</f>
        <v>104.1465119197419</v>
      </c>
      <c r="AA39" s="4">
        <f>('TE BE'!$AB$6+'TE BF'!$AB$6+'TE CVA'!$AB$6)*1</f>
        <v>195.89707226799715</v>
      </c>
      <c r="AB39" s="4">
        <f>$K$39*$V$39</f>
        <v>0</v>
      </c>
      <c r="AC39" s="4">
        <f>$M$39*$W$39</f>
        <v>-5568.21</v>
      </c>
      <c r="AD39" s="4">
        <f>$O$39*$X$39</f>
        <v>-11682.54</v>
      </c>
      <c r="AE39" s="4">
        <f>$K$39*$Y$39</f>
        <v>0</v>
      </c>
      <c r="AF39" s="4">
        <f ca="1">$M$39*$Z$39</f>
        <v>-6405.0104830641267</v>
      </c>
      <c r="AG39" s="4">
        <f>$O$39*$AA$39</f>
        <v>-12047.669944481824</v>
      </c>
    </row>
    <row r="40" spans="1:33" ht="11.25" customHeight="1" x14ac:dyDescent="0.3">
      <c r="A40" s="3" t="s">
        <v>28</v>
      </c>
      <c r="B40" s="3" t="s">
        <v>39</v>
      </c>
      <c r="C40" s="3" t="s">
        <v>40</v>
      </c>
      <c r="D40" s="3" t="s">
        <v>41</v>
      </c>
      <c r="E40" s="3" t="s">
        <v>25</v>
      </c>
      <c r="F40" s="3" t="s">
        <v>25</v>
      </c>
      <c r="G40" s="3" t="s">
        <v>25</v>
      </c>
      <c r="H40" s="3" t="s">
        <v>35</v>
      </c>
      <c r="I40" s="6">
        <v>44378</v>
      </c>
      <c r="J40" s="4">
        <v>0</v>
      </c>
      <c r="K40" s="4">
        <v>0</v>
      </c>
      <c r="L40" s="4">
        <v>3.1920000000000002</v>
      </c>
      <c r="M40" s="4">
        <v>3.1920000000000002</v>
      </c>
      <c r="N40" s="4">
        <v>3.1920000000000002</v>
      </c>
      <c r="O40" s="4">
        <v>3.1920000000000002</v>
      </c>
      <c r="P40" s="4">
        <v>0</v>
      </c>
      <c r="Q40" s="3" t="s">
        <v>26</v>
      </c>
      <c r="R40" s="3">
        <v>0</v>
      </c>
      <c r="S40" s="4">
        <v>0</v>
      </c>
      <c r="T40" s="4">
        <v>11</v>
      </c>
      <c r="U40" s="4">
        <v>52</v>
      </c>
      <c r="V40" s="4">
        <f>IF(ISERROR(VLOOKUP($S$40,'TAR FIN'!$A$1:$O$91,15,0)),0,VLOOKUP($S$40,'TAR FIN'!$A$1:$O$91,15,0))</f>
        <v>0</v>
      </c>
      <c r="W40" s="4">
        <f>IF(ISERROR(VLOOKUP($T$40,'TAR FIN'!$A$1:$O$91,15,0)),0,VLOOKUP($T$40,'TAR FIN'!$A$1:$O$91,15,0))</f>
        <v>90.54</v>
      </c>
      <c r="X40" s="4">
        <f>IF(ISERROR(VLOOKUP($U$40,'TAR FIN'!$A$1:$O$91,15,0)),0,VLOOKUP($U$40,'TAR FIN'!$A$1:$O$91,15,0))</f>
        <v>189.96</v>
      </c>
      <c r="Y40" s="4"/>
      <c r="Z40" s="4">
        <f ca="1">('TUSD BE'!$AM$15+'TUSD BF'!$AM$15+'TUSD CVA'!$AM$15)*1</f>
        <v>104.1465119197419</v>
      </c>
      <c r="AA40" s="4">
        <f>('TE BE'!$AB$6+'TE BF'!$AB$6+'TE CVA'!$AB$6)*1</f>
        <v>195.89707226799715</v>
      </c>
      <c r="AB40" s="4">
        <f>$K$40*$V$40</f>
        <v>0</v>
      </c>
      <c r="AC40" s="4">
        <f>$M$40*$W$40</f>
        <v>289.00368000000003</v>
      </c>
      <c r="AD40" s="4">
        <f>$O$40*$X$40</f>
        <v>606.35232000000008</v>
      </c>
      <c r="AE40" s="4">
        <f>$K$40*$Y$40</f>
        <v>0</v>
      </c>
      <c r="AF40" s="4">
        <f ca="1">$M$40*$Z$40</f>
        <v>332.43566604781614</v>
      </c>
      <c r="AG40" s="4">
        <f>$O$40*$AA$40</f>
        <v>625.30345467944687</v>
      </c>
    </row>
    <row r="41" spans="1:33" ht="11.25" customHeight="1" x14ac:dyDescent="0.3">
      <c r="A41" s="3" t="s">
        <v>21</v>
      </c>
      <c r="B41" s="3" t="s">
        <v>39</v>
      </c>
      <c r="C41" s="3" t="s">
        <v>40</v>
      </c>
      <c r="D41" s="3" t="s">
        <v>41</v>
      </c>
      <c r="E41" s="3" t="s">
        <v>25</v>
      </c>
      <c r="F41" s="3" t="s">
        <v>25</v>
      </c>
      <c r="G41" s="3" t="s">
        <v>25</v>
      </c>
      <c r="H41" s="3" t="s">
        <v>35</v>
      </c>
      <c r="I41" s="6">
        <v>44409</v>
      </c>
      <c r="J41" s="4">
        <v>0</v>
      </c>
      <c r="K41" s="4">
        <v>0</v>
      </c>
      <c r="L41" s="4">
        <v>263.887</v>
      </c>
      <c r="M41" s="4">
        <v>263.887</v>
      </c>
      <c r="N41" s="4">
        <v>263.887</v>
      </c>
      <c r="O41" s="4">
        <v>263.887</v>
      </c>
      <c r="P41" s="4">
        <v>0</v>
      </c>
      <c r="Q41" s="3" t="s">
        <v>26</v>
      </c>
      <c r="R41" s="3">
        <v>0</v>
      </c>
      <c r="S41" s="4">
        <v>0</v>
      </c>
      <c r="T41" s="4">
        <v>11</v>
      </c>
      <c r="U41" s="4">
        <v>52</v>
      </c>
      <c r="V41" s="4">
        <f>IF(ISERROR(VLOOKUP($S$41,'TAR FIN'!$A$1:$O$91,15,0)),0,VLOOKUP($S$41,'TAR FIN'!$A$1:$O$91,15,0))</f>
        <v>0</v>
      </c>
      <c r="W41" s="4">
        <f>IF(ISERROR(VLOOKUP($T$41,'TAR FIN'!$A$1:$O$91,15,0)),0,VLOOKUP($T$41,'TAR FIN'!$A$1:$O$91,15,0))</f>
        <v>90.54</v>
      </c>
      <c r="X41" s="4">
        <f>IF(ISERROR(VLOOKUP($U$41,'TAR FIN'!$A$1:$O$91,15,0)),0,VLOOKUP($U$41,'TAR FIN'!$A$1:$O$91,15,0))</f>
        <v>189.96</v>
      </c>
      <c r="Y41" s="4"/>
      <c r="Z41" s="4">
        <f ca="1">('TUSD BE'!$AM$15+'TUSD BF'!$AM$15+'TUSD CVA'!$AM$15)*1</f>
        <v>104.1465119197419</v>
      </c>
      <c r="AA41" s="4">
        <f>('TE BE'!$AB$6+'TE BF'!$AB$6+'TE CVA'!$AB$6)*1</f>
        <v>195.89707226799715</v>
      </c>
      <c r="AB41" s="4">
        <f>$K$41*$V$41</f>
        <v>0</v>
      </c>
      <c r="AC41" s="4">
        <f>$M$41*$W$41</f>
        <v>23892.328980000002</v>
      </c>
      <c r="AD41" s="4">
        <f>$O$41*$X$41</f>
        <v>50127.974520000003</v>
      </c>
      <c r="AE41" s="4">
        <f>$K$41*$Y$41</f>
        <v>0</v>
      </c>
      <c r="AF41" s="4">
        <f ca="1">$M$41*$Z$41</f>
        <v>27482.91059096493</v>
      </c>
      <c r="AG41" s="4">
        <f>$O$41*$AA$41</f>
        <v>51694.69070958496</v>
      </c>
    </row>
    <row r="42" spans="1:33" ht="11.25" customHeight="1" x14ac:dyDescent="0.3">
      <c r="A42" s="3" t="s">
        <v>27</v>
      </c>
      <c r="B42" s="3" t="s">
        <v>39</v>
      </c>
      <c r="C42" s="3" t="s">
        <v>40</v>
      </c>
      <c r="D42" s="3" t="s">
        <v>41</v>
      </c>
      <c r="E42" s="3" t="s">
        <v>25</v>
      </c>
      <c r="F42" s="3" t="s">
        <v>25</v>
      </c>
      <c r="G42" s="3" t="s">
        <v>25</v>
      </c>
      <c r="H42" s="3" t="s">
        <v>35</v>
      </c>
      <c r="I42" s="6">
        <v>44409</v>
      </c>
      <c r="J42" s="4">
        <v>0</v>
      </c>
      <c r="K42" s="4">
        <v>0</v>
      </c>
      <c r="L42" s="4">
        <v>-61.5</v>
      </c>
      <c r="M42" s="4">
        <v>-61.5</v>
      </c>
      <c r="N42" s="4">
        <v>-61.5</v>
      </c>
      <c r="O42" s="4">
        <v>-61.5</v>
      </c>
      <c r="P42" s="4">
        <v>0</v>
      </c>
      <c r="Q42" s="3" t="s">
        <v>26</v>
      </c>
      <c r="R42" s="3">
        <v>0</v>
      </c>
      <c r="S42" s="4">
        <v>0</v>
      </c>
      <c r="T42" s="4">
        <v>11</v>
      </c>
      <c r="U42" s="4">
        <v>52</v>
      </c>
      <c r="V42" s="4">
        <f>IF(ISERROR(VLOOKUP($S$42,'TAR FIN'!$A$1:$O$91,15,0)),0,VLOOKUP($S$42,'TAR FIN'!$A$1:$O$91,15,0))</f>
        <v>0</v>
      </c>
      <c r="W42" s="4">
        <f>IF(ISERROR(VLOOKUP($T$42,'TAR FIN'!$A$1:$O$91,15,0)),0,VLOOKUP($T$42,'TAR FIN'!$A$1:$O$91,15,0))</f>
        <v>90.54</v>
      </c>
      <c r="X42" s="4">
        <f>IF(ISERROR(VLOOKUP($U$42,'TAR FIN'!$A$1:$O$91,15,0)),0,VLOOKUP($U$42,'TAR FIN'!$A$1:$O$91,15,0))</f>
        <v>189.96</v>
      </c>
      <c r="Y42" s="4"/>
      <c r="Z42" s="4">
        <f ca="1">('TUSD BE'!$AM$15+'TUSD BF'!$AM$15+'TUSD CVA'!$AM$15)*1</f>
        <v>104.1465119197419</v>
      </c>
      <c r="AA42" s="4">
        <f>('TE BE'!$AB$6+'TE BF'!$AB$6+'TE CVA'!$AB$6)*1</f>
        <v>195.89707226799715</v>
      </c>
      <c r="AB42" s="4">
        <f>$K$42*$V$42</f>
        <v>0</v>
      </c>
      <c r="AC42" s="4">
        <f>$M$42*$W$42</f>
        <v>-5568.21</v>
      </c>
      <c r="AD42" s="4">
        <f>$O$42*$X$42</f>
        <v>-11682.54</v>
      </c>
      <c r="AE42" s="4">
        <f>$K$42*$Y$42</f>
        <v>0</v>
      </c>
      <c r="AF42" s="4">
        <f ca="1">$M$42*$Z$42</f>
        <v>-6405.0104830641267</v>
      </c>
      <c r="AG42" s="4">
        <f>$O$42*$AA$42</f>
        <v>-12047.669944481824</v>
      </c>
    </row>
    <row r="43" spans="1:33" ht="11.25" customHeight="1" x14ac:dyDescent="0.3">
      <c r="A43" s="3" t="s">
        <v>28</v>
      </c>
      <c r="B43" s="3" t="s">
        <v>39</v>
      </c>
      <c r="C43" s="3" t="s">
        <v>40</v>
      </c>
      <c r="D43" s="3" t="s">
        <v>41</v>
      </c>
      <c r="E43" s="3" t="s">
        <v>25</v>
      </c>
      <c r="F43" s="3" t="s">
        <v>25</v>
      </c>
      <c r="G43" s="3" t="s">
        <v>25</v>
      </c>
      <c r="H43" s="3" t="s">
        <v>35</v>
      </c>
      <c r="I43" s="6">
        <v>44409</v>
      </c>
      <c r="J43" s="4">
        <v>0</v>
      </c>
      <c r="K43" s="4">
        <v>0</v>
      </c>
      <c r="L43" s="4">
        <v>0.71099999999999997</v>
      </c>
      <c r="M43" s="4">
        <v>0.71099999999999997</v>
      </c>
      <c r="N43" s="4">
        <v>0.71099999999999997</v>
      </c>
      <c r="O43" s="4">
        <v>0.71099999999999997</v>
      </c>
      <c r="P43" s="4">
        <v>0</v>
      </c>
      <c r="Q43" s="3" t="s">
        <v>26</v>
      </c>
      <c r="R43" s="3">
        <v>0</v>
      </c>
      <c r="S43" s="4">
        <v>0</v>
      </c>
      <c r="T43" s="4">
        <v>11</v>
      </c>
      <c r="U43" s="4">
        <v>52</v>
      </c>
      <c r="V43" s="4">
        <f>IF(ISERROR(VLOOKUP($S$43,'TAR FIN'!$A$1:$O$91,15,0)),0,VLOOKUP($S$43,'TAR FIN'!$A$1:$O$91,15,0))</f>
        <v>0</v>
      </c>
      <c r="W43" s="4">
        <f>IF(ISERROR(VLOOKUP($T$43,'TAR FIN'!$A$1:$O$91,15,0)),0,VLOOKUP($T$43,'TAR FIN'!$A$1:$O$91,15,0))</f>
        <v>90.54</v>
      </c>
      <c r="X43" s="4">
        <f>IF(ISERROR(VLOOKUP($U$43,'TAR FIN'!$A$1:$O$91,15,0)),0,VLOOKUP($U$43,'TAR FIN'!$A$1:$O$91,15,0))</f>
        <v>189.96</v>
      </c>
      <c r="Y43" s="4"/>
      <c r="Z43" s="4">
        <f ca="1">('TUSD BE'!$AM$15+'TUSD BF'!$AM$15+'TUSD CVA'!$AM$15)*1</f>
        <v>104.1465119197419</v>
      </c>
      <c r="AA43" s="4">
        <f>('TE BE'!$AB$6+'TE BF'!$AB$6+'TE CVA'!$AB$6)*1</f>
        <v>195.89707226799715</v>
      </c>
      <c r="AB43" s="4">
        <f>$K$43*$V$43</f>
        <v>0</v>
      </c>
      <c r="AC43" s="4">
        <f>$M$43*$W$43</f>
        <v>64.373940000000005</v>
      </c>
      <c r="AD43" s="4">
        <f>$O$43*$X$43</f>
        <v>135.06155999999999</v>
      </c>
      <c r="AE43" s="4">
        <f>$K$43*$Y$43</f>
        <v>0</v>
      </c>
      <c r="AF43" s="4">
        <f ca="1">$M$43*$Z$43</f>
        <v>74.048169974936485</v>
      </c>
      <c r="AG43" s="4">
        <f>$O$43*$AA$43</f>
        <v>139.28281838254597</v>
      </c>
    </row>
    <row r="44" spans="1:33" ht="11.25" customHeight="1" x14ac:dyDescent="0.3">
      <c r="A44" s="3" t="s">
        <v>21</v>
      </c>
      <c r="B44" s="3" t="s">
        <v>39</v>
      </c>
      <c r="C44" s="3" t="s">
        <v>40</v>
      </c>
      <c r="D44" s="3" t="s">
        <v>41</v>
      </c>
      <c r="E44" s="3" t="s">
        <v>25</v>
      </c>
      <c r="F44" s="3" t="s">
        <v>25</v>
      </c>
      <c r="G44" s="3" t="s">
        <v>25</v>
      </c>
      <c r="H44" s="3" t="s">
        <v>35</v>
      </c>
      <c r="I44" s="6">
        <v>44440</v>
      </c>
      <c r="J44" s="4">
        <v>0</v>
      </c>
      <c r="K44" s="4">
        <v>0</v>
      </c>
      <c r="L44" s="4">
        <v>287.11900000000003</v>
      </c>
      <c r="M44" s="4">
        <v>287.11900000000003</v>
      </c>
      <c r="N44" s="4">
        <v>287.11900000000003</v>
      </c>
      <c r="O44" s="4">
        <v>287.11900000000003</v>
      </c>
      <c r="P44" s="4">
        <v>0</v>
      </c>
      <c r="Q44" s="3" t="s">
        <v>26</v>
      </c>
      <c r="R44" s="3">
        <v>0</v>
      </c>
      <c r="S44" s="4">
        <v>0</v>
      </c>
      <c r="T44" s="4">
        <v>11</v>
      </c>
      <c r="U44" s="4">
        <v>52</v>
      </c>
      <c r="V44" s="4">
        <f>IF(ISERROR(VLOOKUP($S$44,'TAR FIN'!$A$1:$O$91,15,0)),0,VLOOKUP($S$44,'TAR FIN'!$A$1:$O$91,15,0))</f>
        <v>0</v>
      </c>
      <c r="W44" s="4">
        <f>IF(ISERROR(VLOOKUP($T$44,'TAR FIN'!$A$1:$O$91,15,0)),0,VLOOKUP($T$44,'TAR FIN'!$A$1:$O$91,15,0))</f>
        <v>90.54</v>
      </c>
      <c r="X44" s="4">
        <f>IF(ISERROR(VLOOKUP($U$44,'TAR FIN'!$A$1:$O$91,15,0)),0,VLOOKUP($U$44,'TAR FIN'!$A$1:$O$91,15,0))</f>
        <v>189.96</v>
      </c>
      <c r="Y44" s="4"/>
      <c r="Z44" s="4">
        <f ca="1">('TUSD BE'!$AM$15+'TUSD BF'!$AM$15+'TUSD CVA'!$AM$15)*1</f>
        <v>104.1465119197419</v>
      </c>
      <c r="AA44" s="4">
        <f>('TE BE'!$AB$6+'TE BF'!$AB$6+'TE CVA'!$AB$6)*1</f>
        <v>195.89707226799715</v>
      </c>
      <c r="AB44" s="4">
        <f>$K$44*$V$44</f>
        <v>0</v>
      </c>
      <c r="AC44" s="4">
        <f>$M$44*$W$44</f>
        <v>25995.754260000005</v>
      </c>
      <c r="AD44" s="4">
        <f>$O$44*$X$44</f>
        <v>54541.125240000008</v>
      </c>
      <c r="AE44" s="4">
        <f>$K$44*$Y$44</f>
        <v>0</v>
      </c>
      <c r="AF44" s="4">
        <f ca="1">$M$44*$Z$44</f>
        <v>29902.442355884377</v>
      </c>
      <c r="AG44" s="4">
        <f>$O$44*$AA$44</f>
        <v>56245.771492515079</v>
      </c>
    </row>
    <row r="45" spans="1:33" ht="11.25" customHeight="1" x14ac:dyDescent="0.3">
      <c r="A45" s="3" t="s">
        <v>21</v>
      </c>
      <c r="B45" s="3" t="s">
        <v>39</v>
      </c>
      <c r="C45" s="3" t="s">
        <v>40</v>
      </c>
      <c r="D45" s="3" t="s">
        <v>41</v>
      </c>
      <c r="E45" s="3" t="s">
        <v>25</v>
      </c>
      <c r="F45" s="3" t="s">
        <v>25</v>
      </c>
      <c r="G45" s="3" t="s">
        <v>25</v>
      </c>
      <c r="H45" s="3" t="s">
        <v>35</v>
      </c>
      <c r="I45" s="6">
        <v>44470</v>
      </c>
      <c r="J45" s="4">
        <v>0</v>
      </c>
      <c r="K45" s="4">
        <v>0</v>
      </c>
      <c r="L45" s="4">
        <v>333.03199999999998</v>
      </c>
      <c r="M45" s="4">
        <v>333.03199999999998</v>
      </c>
      <c r="N45" s="4">
        <v>333.03199999999998</v>
      </c>
      <c r="O45" s="4">
        <v>333.03199999999998</v>
      </c>
      <c r="P45" s="4">
        <v>0</v>
      </c>
      <c r="Q45" s="3" t="s">
        <v>26</v>
      </c>
      <c r="R45" s="3">
        <v>0</v>
      </c>
      <c r="S45" s="4">
        <v>0</v>
      </c>
      <c r="T45" s="4">
        <v>11</v>
      </c>
      <c r="U45" s="4">
        <v>52</v>
      </c>
      <c r="V45" s="4">
        <f>IF(ISERROR(VLOOKUP($S$45,'TAR FIN'!$A$1:$O$91,15,0)),0,VLOOKUP($S$45,'TAR FIN'!$A$1:$O$91,15,0))</f>
        <v>0</v>
      </c>
      <c r="W45" s="4">
        <f>IF(ISERROR(VLOOKUP($T$45,'TAR FIN'!$A$1:$O$91,15,0)),0,VLOOKUP($T$45,'TAR FIN'!$A$1:$O$91,15,0))</f>
        <v>90.54</v>
      </c>
      <c r="X45" s="4">
        <f>IF(ISERROR(VLOOKUP($U$45,'TAR FIN'!$A$1:$O$91,15,0)),0,VLOOKUP($U$45,'TAR FIN'!$A$1:$O$91,15,0))</f>
        <v>189.96</v>
      </c>
      <c r="Y45" s="4"/>
      <c r="Z45" s="4">
        <f ca="1">('TUSD BE'!$AM$15+'TUSD BF'!$AM$15+'TUSD CVA'!$AM$15)*1</f>
        <v>104.1465119197419</v>
      </c>
      <c r="AA45" s="4">
        <f>('TE BE'!$AB$6+'TE BF'!$AB$6+'TE CVA'!$AB$6)*1</f>
        <v>195.89707226799715</v>
      </c>
      <c r="AB45" s="4">
        <f>$K$45*$V$45</f>
        <v>0</v>
      </c>
      <c r="AC45" s="4">
        <f>$M$45*$W$45</f>
        <v>30152.717280000001</v>
      </c>
      <c r="AD45" s="4">
        <f>$O$45*$X$45</f>
        <v>63262.758719999998</v>
      </c>
      <c r="AE45" s="4">
        <f>$K$45*$Y$45</f>
        <v>0</v>
      </c>
      <c r="AF45" s="4">
        <f ca="1">$M$45*$Z$45</f>
        <v>34684.121157655485</v>
      </c>
      <c r="AG45" s="4">
        <f>$O$45*$AA$45</f>
        <v>65239.993771555623</v>
      </c>
    </row>
    <row r="46" spans="1:33" ht="11.25" customHeight="1" x14ac:dyDescent="0.3">
      <c r="A46" s="3" t="s">
        <v>21</v>
      </c>
      <c r="B46" s="3" t="s">
        <v>39</v>
      </c>
      <c r="C46" s="3" t="s">
        <v>40</v>
      </c>
      <c r="D46" s="3" t="s">
        <v>41</v>
      </c>
      <c r="E46" s="3" t="s">
        <v>25</v>
      </c>
      <c r="F46" s="3" t="s">
        <v>25</v>
      </c>
      <c r="G46" s="3" t="s">
        <v>25</v>
      </c>
      <c r="H46" s="3" t="s">
        <v>35</v>
      </c>
      <c r="I46" s="6">
        <v>44501</v>
      </c>
      <c r="J46" s="4">
        <v>0</v>
      </c>
      <c r="K46" s="4">
        <v>0</v>
      </c>
      <c r="L46" s="4">
        <v>368.75799999999998</v>
      </c>
      <c r="M46" s="4">
        <v>368.75799999999998</v>
      </c>
      <c r="N46" s="4">
        <v>368.75799999999998</v>
      </c>
      <c r="O46" s="4">
        <v>368.75799999999998</v>
      </c>
      <c r="P46" s="4">
        <v>0</v>
      </c>
      <c r="Q46" s="3" t="s">
        <v>26</v>
      </c>
      <c r="R46" s="3">
        <v>0</v>
      </c>
      <c r="S46" s="4">
        <v>0</v>
      </c>
      <c r="T46" s="4">
        <v>11</v>
      </c>
      <c r="U46" s="4">
        <v>52</v>
      </c>
      <c r="V46" s="4">
        <f>IF(ISERROR(VLOOKUP($S$46,'TAR FIN'!$A$1:$O$91,15,0)),0,VLOOKUP($S$46,'TAR FIN'!$A$1:$O$91,15,0))</f>
        <v>0</v>
      </c>
      <c r="W46" s="4">
        <f>IF(ISERROR(VLOOKUP($T$46,'TAR FIN'!$A$1:$O$91,15,0)),0,VLOOKUP($T$46,'TAR FIN'!$A$1:$O$91,15,0))</f>
        <v>90.54</v>
      </c>
      <c r="X46" s="4">
        <f>IF(ISERROR(VLOOKUP($U$46,'TAR FIN'!$A$1:$O$91,15,0)),0,VLOOKUP($U$46,'TAR FIN'!$A$1:$O$91,15,0))</f>
        <v>189.96</v>
      </c>
      <c r="Y46" s="4"/>
      <c r="Z46" s="4">
        <f ca="1">('TUSD BE'!$AM$15+'TUSD BF'!$AM$15+'TUSD CVA'!$AM$15)*1</f>
        <v>104.1465119197419</v>
      </c>
      <c r="AA46" s="4">
        <f>('TE BE'!$AB$6+'TE BF'!$AB$6+'TE CVA'!$AB$6)*1</f>
        <v>195.89707226799715</v>
      </c>
      <c r="AB46" s="4">
        <f>$K$46*$V$46</f>
        <v>0</v>
      </c>
      <c r="AC46" s="4">
        <f>$M$46*$W$46</f>
        <v>33387.349320000001</v>
      </c>
      <c r="AD46" s="4">
        <f>$O$46*$X$46</f>
        <v>70049.269679999998</v>
      </c>
      <c r="AE46" s="4">
        <f>$K$46*$Y$46</f>
        <v>0</v>
      </c>
      <c r="AF46" s="4">
        <f ca="1">$M$46*$Z$46</f>
        <v>38404.859442500179</v>
      </c>
      <c r="AG46" s="4">
        <f>$O$46*$AA$46</f>
        <v>72238.61257540209</v>
      </c>
    </row>
    <row r="47" spans="1:33" ht="11.25" customHeight="1" x14ac:dyDescent="0.3">
      <c r="A47" s="3" t="s">
        <v>21</v>
      </c>
      <c r="B47" s="3" t="s">
        <v>39</v>
      </c>
      <c r="C47" s="3" t="s">
        <v>40</v>
      </c>
      <c r="D47" s="3" t="s">
        <v>41</v>
      </c>
      <c r="E47" s="3" t="s">
        <v>25</v>
      </c>
      <c r="F47" s="3" t="s">
        <v>25</v>
      </c>
      <c r="G47" s="3" t="s">
        <v>25</v>
      </c>
      <c r="H47" s="3" t="s">
        <v>35</v>
      </c>
      <c r="I47" s="6">
        <v>44531</v>
      </c>
      <c r="J47" s="4">
        <v>0</v>
      </c>
      <c r="K47" s="4">
        <v>0</v>
      </c>
      <c r="L47" s="4">
        <v>427.34500000000003</v>
      </c>
      <c r="M47" s="4">
        <v>427.34500000000003</v>
      </c>
      <c r="N47" s="4">
        <v>427.34500000000003</v>
      </c>
      <c r="O47" s="4">
        <v>427.34500000000003</v>
      </c>
      <c r="P47" s="4">
        <v>0</v>
      </c>
      <c r="Q47" s="3" t="s">
        <v>26</v>
      </c>
      <c r="R47" s="3">
        <v>0</v>
      </c>
      <c r="S47" s="4">
        <v>0</v>
      </c>
      <c r="T47" s="4">
        <v>11</v>
      </c>
      <c r="U47" s="4">
        <v>52</v>
      </c>
      <c r="V47" s="4">
        <f>IF(ISERROR(VLOOKUP($S$47,'TAR FIN'!$A$1:$O$91,15,0)),0,VLOOKUP($S$47,'TAR FIN'!$A$1:$O$91,15,0))</f>
        <v>0</v>
      </c>
      <c r="W47" s="4">
        <f>IF(ISERROR(VLOOKUP($T$47,'TAR FIN'!$A$1:$O$91,15,0)),0,VLOOKUP($T$47,'TAR FIN'!$A$1:$O$91,15,0))</f>
        <v>90.54</v>
      </c>
      <c r="X47" s="4">
        <f>IF(ISERROR(VLOOKUP($U$47,'TAR FIN'!$A$1:$O$91,15,0)),0,VLOOKUP($U$47,'TAR FIN'!$A$1:$O$91,15,0))</f>
        <v>189.96</v>
      </c>
      <c r="Y47" s="4"/>
      <c r="Z47" s="4">
        <f ca="1">('TUSD BE'!$AM$15+'TUSD BF'!$AM$15+'TUSD CVA'!$AM$15)*1</f>
        <v>104.1465119197419</v>
      </c>
      <c r="AA47" s="4">
        <f>('TE BE'!$AB$6+'TE BF'!$AB$6+'TE CVA'!$AB$6)*1</f>
        <v>195.89707226799715</v>
      </c>
      <c r="AB47" s="4">
        <f>$K$47*$V$47</f>
        <v>0</v>
      </c>
      <c r="AC47" s="4">
        <f>$M$47*$W$47</f>
        <v>38691.816300000006</v>
      </c>
      <c r="AD47" s="4">
        <f>$O$47*$X$47</f>
        <v>81178.456200000015</v>
      </c>
      <c r="AE47" s="4">
        <f>$K$47*$Y$47</f>
        <v>0</v>
      </c>
      <c r="AF47" s="4">
        <f ca="1">$M$47*$Z$47</f>
        <v>44506.491136342105</v>
      </c>
      <c r="AG47" s="4">
        <f>$O$47*$AA$47</f>
        <v>83715.634348367239</v>
      </c>
    </row>
    <row r="48" spans="1:33" ht="11.25" customHeight="1" x14ac:dyDescent="0.3">
      <c r="A48" s="3" t="s">
        <v>21</v>
      </c>
      <c r="B48" s="3" t="s">
        <v>39</v>
      </c>
      <c r="C48" s="3" t="s">
        <v>40</v>
      </c>
      <c r="D48" s="3" t="s">
        <v>41</v>
      </c>
      <c r="E48" s="3" t="s">
        <v>25</v>
      </c>
      <c r="F48" s="3" t="s">
        <v>25</v>
      </c>
      <c r="G48" s="3" t="s">
        <v>25</v>
      </c>
      <c r="H48" s="3" t="s">
        <v>35</v>
      </c>
      <c r="I48" s="6">
        <v>44562</v>
      </c>
      <c r="J48" s="4">
        <v>0</v>
      </c>
      <c r="K48" s="4">
        <v>0</v>
      </c>
      <c r="L48" s="4">
        <v>474.13299999999998</v>
      </c>
      <c r="M48" s="4">
        <v>474.13299999999998</v>
      </c>
      <c r="N48" s="4">
        <v>474.13299999999998</v>
      </c>
      <c r="O48" s="4">
        <v>474.13299999999998</v>
      </c>
      <c r="P48" s="4">
        <v>0</v>
      </c>
      <c r="Q48" s="3" t="s">
        <v>26</v>
      </c>
      <c r="R48" s="3">
        <v>0</v>
      </c>
      <c r="S48" s="4">
        <v>0</v>
      </c>
      <c r="T48" s="4">
        <v>11</v>
      </c>
      <c r="U48" s="4">
        <v>52</v>
      </c>
      <c r="V48" s="4">
        <f>IF(ISERROR(VLOOKUP($S$48,'TAR FIN'!$A$1:$O$91,15,0)),0,VLOOKUP($S$48,'TAR FIN'!$A$1:$O$91,15,0))</f>
        <v>0</v>
      </c>
      <c r="W48" s="4">
        <f>IF(ISERROR(VLOOKUP($T$48,'TAR FIN'!$A$1:$O$91,15,0)),0,VLOOKUP($T$48,'TAR FIN'!$A$1:$O$91,15,0))</f>
        <v>90.54</v>
      </c>
      <c r="X48" s="4">
        <f>IF(ISERROR(VLOOKUP($U$48,'TAR FIN'!$A$1:$O$91,15,0)),0,VLOOKUP($U$48,'TAR FIN'!$A$1:$O$91,15,0))</f>
        <v>189.96</v>
      </c>
      <c r="Y48" s="4"/>
      <c r="Z48" s="4">
        <f ca="1">('TUSD BE'!$AM$15+'TUSD BF'!$AM$15+'TUSD CVA'!$AM$15)*1</f>
        <v>104.1465119197419</v>
      </c>
      <c r="AA48" s="4">
        <f>('TE BE'!$AB$6+'TE BF'!$AB$6+'TE CVA'!$AB$6)*1</f>
        <v>195.89707226799715</v>
      </c>
      <c r="AB48" s="4">
        <f>$K$48*$V$48</f>
        <v>0</v>
      </c>
      <c r="AC48" s="4">
        <f>$M$48*$W$48</f>
        <v>42928.001819999998</v>
      </c>
      <c r="AD48" s="4">
        <f>$O$48*$X$48</f>
        <v>90066.304680000001</v>
      </c>
      <c r="AE48" s="4">
        <f>$K$48*$Y$48</f>
        <v>0</v>
      </c>
      <c r="AF48" s="4">
        <f ca="1">$M$48*$Z$48</f>
        <v>49379.298136042984</v>
      </c>
      <c r="AG48" s="4">
        <f>$O$48*$AA$48</f>
        <v>92881.266565642291</v>
      </c>
    </row>
    <row r="49" spans="1:33" ht="11.25" customHeight="1" x14ac:dyDescent="0.3">
      <c r="A49" s="3" t="s">
        <v>21</v>
      </c>
      <c r="B49" s="3" t="s">
        <v>39</v>
      </c>
      <c r="C49" s="3" t="s">
        <v>40</v>
      </c>
      <c r="D49" s="3" t="s">
        <v>41</v>
      </c>
      <c r="E49" s="3" t="s">
        <v>25</v>
      </c>
      <c r="F49" s="3" t="s">
        <v>25</v>
      </c>
      <c r="G49" s="3" t="s">
        <v>25</v>
      </c>
      <c r="H49" s="3" t="s">
        <v>35</v>
      </c>
      <c r="I49" s="6">
        <v>44593</v>
      </c>
      <c r="J49" s="4">
        <v>0</v>
      </c>
      <c r="K49" s="4">
        <v>0</v>
      </c>
      <c r="L49" s="4">
        <v>421.13200000000001</v>
      </c>
      <c r="M49" s="4">
        <v>421.13200000000001</v>
      </c>
      <c r="N49" s="4">
        <v>421.13200000000001</v>
      </c>
      <c r="O49" s="4">
        <v>421.13200000000001</v>
      </c>
      <c r="P49" s="4">
        <v>0</v>
      </c>
      <c r="Q49" s="3" t="s">
        <v>26</v>
      </c>
      <c r="R49" s="3">
        <v>0</v>
      </c>
      <c r="S49" s="4">
        <v>0</v>
      </c>
      <c r="T49" s="4">
        <v>11</v>
      </c>
      <c r="U49" s="4">
        <v>52</v>
      </c>
      <c r="V49" s="4">
        <f>IF(ISERROR(VLOOKUP($S$49,'TAR FIN'!$A$1:$O$91,15,0)),0,VLOOKUP($S$49,'TAR FIN'!$A$1:$O$91,15,0))</f>
        <v>0</v>
      </c>
      <c r="W49" s="4">
        <f>IF(ISERROR(VLOOKUP($T$49,'TAR FIN'!$A$1:$O$91,15,0)),0,VLOOKUP($T$49,'TAR FIN'!$A$1:$O$91,15,0))</f>
        <v>90.54</v>
      </c>
      <c r="X49" s="4">
        <f>IF(ISERROR(VLOOKUP($U$49,'TAR FIN'!$A$1:$O$91,15,0)),0,VLOOKUP($U$49,'TAR FIN'!$A$1:$O$91,15,0))</f>
        <v>189.96</v>
      </c>
      <c r="Y49" s="4"/>
      <c r="Z49" s="4">
        <f ca="1">('TUSD BE'!$AM$15+'TUSD BF'!$AM$15+'TUSD CVA'!$AM$15)*1</f>
        <v>104.1465119197419</v>
      </c>
      <c r="AA49" s="4">
        <f>('TE BE'!$AB$6+'TE BF'!$AB$6+'TE CVA'!$AB$6)*1</f>
        <v>195.89707226799715</v>
      </c>
      <c r="AB49" s="4">
        <f>$K$49*$V$49</f>
        <v>0</v>
      </c>
      <c r="AC49" s="4">
        <f>$M$49*$W$49</f>
        <v>38129.291280000005</v>
      </c>
      <c r="AD49" s="4">
        <f>$O$49*$X$49</f>
        <v>79998.234720000008</v>
      </c>
      <c r="AE49" s="4">
        <f>$K$49*$Y$49</f>
        <v>0</v>
      </c>
      <c r="AF49" s="4">
        <f ca="1">$M$49*$Z$49</f>
        <v>43859.428857784747</v>
      </c>
      <c r="AG49" s="4">
        <f>$O$49*$AA$49</f>
        <v>82498.525838366171</v>
      </c>
    </row>
    <row r="50" spans="1:33" ht="11.25" customHeight="1" x14ac:dyDescent="0.3">
      <c r="A50" s="3" t="s">
        <v>21</v>
      </c>
      <c r="B50" s="3" t="s">
        <v>39</v>
      </c>
      <c r="C50" s="3" t="s">
        <v>40</v>
      </c>
      <c r="D50" s="3" t="s">
        <v>41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44621</v>
      </c>
      <c r="J50" s="4">
        <v>0</v>
      </c>
      <c r="K50" s="4">
        <v>0</v>
      </c>
      <c r="L50" s="4">
        <v>502.01299999999998</v>
      </c>
      <c r="M50" s="4">
        <v>502.01299999999998</v>
      </c>
      <c r="N50" s="4">
        <v>502.01299999999998</v>
      </c>
      <c r="O50" s="4">
        <v>502.01299999999998</v>
      </c>
      <c r="P50" s="4">
        <v>0</v>
      </c>
      <c r="Q50" s="3" t="s">
        <v>26</v>
      </c>
      <c r="R50" s="3">
        <v>0</v>
      </c>
      <c r="S50" s="4">
        <v>0</v>
      </c>
      <c r="T50" s="4">
        <v>11</v>
      </c>
      <c r="U50" s="4">
        <v>52</v>
      </c>
      <c r="V50" s="4">
        <f>IF(ISERROR(VLOOKUP($S$50,'TAR FIN'!$A$1:$O$91,15,0)),0,VLOOKUP($S$50,'TAR FIN'!$A$1:$O$91,15,0))</f>
        <v>0</v>
      </c>
      <c r="W50" s="4">
        <f>IF(ISERROR(VLOOKUP($T$50,'TAR FIN'!$A$1:$O$91,15,0)),0,VLOOKUP($T$50,'TAR FIN'!$A$1:$O$91,15,0))</f>
        <v>90.54</v>
      </c>
      <c r="X50" s="4">
        <f>IF(ISERROR(VLOOKUP($U$50,'TAR FIN'!$A$1:$O$91,15,0)),0,VLOOKUP($U$50,'TAR FIN'!$A$1:$O$91,15,0))</f>
        <v>189.96</v>
      </c>
      <c r="Y50" s="4"/>
      <c r="Z50" s="4">
        <f ca="1">('TUSD BE'!$AM$15+'TUSD BF'!$AM$15+'TUSD CVA'!$AM$15)*1</f>
        <v>104.1465119197419</v>
      </c>
      <c r="AA50" s="4">
        <f>('TE BE'!$AB$6+'TE BF'!$AB$6+'TE CVA'!$AB$6)*1</f>
        <v>195.89707226799715</v>
      </c>
      <c r="AB50" s="4">
        <f>$K$50*$V$50</f>
        <v>0</v>
      </c>
      <c r="AC50" s="4">
        <f>$M$50*$W$50</f>
        <v>45452.257020000005</v>
      </c>
      <c r="AD50" s="4">
        <f>$O$50*$X$50</f>
        <v>95362.389479999998</v>
      </c>
      <c r="AE50" s="4">
        <f>$K$50*$Y$50</f>
        <v>0</v>
      </c>
      <c r="AF50" s="4">
        <f ca="1">$M$50*$Z$50</f>
        <v>52282.902888365388</v>
      </c>
      <c r="AG50" s="4">
        <f>$O$50*$AA$50</f>
        <v>98342.876940474045</v>
      </c>
    </row>
    <row r="51" spans="1:33" ht="11.25" customHeight="1" x14ac:dyDescent="0.3">
      <c r="A51" s="3" t="s">
        <v>21</v>
      </c>
      <c r="B51" s="3" t="s">
        <v>39</v>
      </c>
      <c r="C51" s="3" t="s">
        <v>40</v>
      </c>
      <c r="D51" s="3" t="s">
        <v>41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44652</v>
      </c>
      <c r="J51" s="4">
        <v>0</v>
      </c>
      <c r="K51" s="4">
        <v>0</v>
      </c>
      <c r="L51" s="4">
        <v>547.298</v>
      </c>
      <c r="M51" s="4">
        <v>547.298</v>
      </c>
      <c r="N51" s="4">
        <v>547.298</v>
      </c>
      <c r="O51" s="4">
        <v>547.298</v>
      </c>
      <c r="P51" s="4">
        <v>0</v>
      </c>
      <c r="Q51" s="3" t="s">
        <v>26</v>
      </c>
      <c r="R51" s="3">
        <v>0</v>
      </c>
      <c r="S51" s="4">
        <v>0</v>
      </c>
      <c r="T51" s="4">
        <v>11</v>
      </c>
      <c r="U51" s="4">
        <v>52</v>
      </c>
      <c r="V51" s="4">
        <f>IF(ISERROR(VLOOKUP($S$51,'TAR FIN'!$A$1:$O$91,15,0)),0,VLOOKUP($S$51,'TAR FIN'!$A$1:$O$91,15,0))</f>
        <v>0</v>
      </c>
      <c r="W51" s="4">
        <f>IF(ISERROR(VLOOKUP($T$51,'TAR FIN'!$A$1:$O$91,15,0)),0,VLOOKUP($T$51,'TAR FIN'!$A$1:$O$91,15,0))</f>
        <v>90.54</v>
      </c>
      <c r="X51" s="4">
        <f>IF(ISERROR(VLOOKUP($U$51,'TAR FIN'!$A$1:$O$91,15,0)),0,VLOOKUP($U$51,'TAR FIN'!$A$1:$O$91,15,0))</f>
        <v>189.96</v>
      </c>
      <c r="Y51" s="4"/>
      <c r="Z51" s="4">
        <f ca="1">('TUSD BE'!$AM$15+'TUSD BF'!$AM$15+'TUSD CVA'!$AM$15)*1</f>
        <v>104.1465119197419</v>
      </c>
      <c r="AA51" s="4">
        <f>('TE BE'!$AB$6+'TE BF'!$AB$6+'TE CVA'!$AB$6)*1</f>
        <v>195.89707226799715</v>
      </c>
      <c r="AB51" s="4">
        <f>$K$51*$V$51</f>
        <v>0</v>
      </c>
      <c r="AC51" s="4">
        <f>$M$51*$W$51</f>
        <v>49552.360920000006</v>
      </c>
      <c r="AD51" s="4">
        <f>$O$51*$X$51</f>
        <v>103964.72808</v>
      </c>
      <c r="AE51" s="4">
        <f>$K$51*$Y$51</f>
        <v>0</v>
      </c>
      <c r="AF51" s="4">
        <f ca="1">$M$51*$Z$51</f>
        <v>56999.177680650901</v>
      </c>
      <c r="AG51" s="4">
        <f>$O$51*$AA$51</f>
        <v>107214.07585813031</v>
      </c>
    </row>
    <row r="52" spans="1:33" ht="11.25" customHeight="1" x14ac:dyDescent="0.3">
      <c r="A52" s="3" t="s">
        <v>21</v>
      </c>
      <c r="B52" s="3" t="s">
        <v>39</v>
      </c>
      <c r="C52" s="3" t="s">
        <v>40</v>
      </c>
      <c r="D52" s="3" t="s">
        <v>41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44682</v>
      </c>
      <c r="J52" s="4">
        <v>0</v>
      </c>
      <c r="K52" s="4">
        <v>0</v>
      </c>
      <c r="L52" s="4">
        <v>493.75799999999998</v>
      </c>
      <c r="M52" s="4">
        <v>493.75799999999998</v>
      </c>
      <c r="N52" s="4">
        <v>493.75799999999998</v>
      </c>
      <c r="O52" s="4">
        <v>493.75799999999998</v>
      </c>
      <c r="P52" s="4">
        <v>0</v>
      </c>
      <c r="Q52" s="3" t="s">
        <v>26</v>
      </c>
      <c r="R52" s="3">
        <v>0</v>
      </c>
      <c r="S52" s="4">
        <v>0</v>
      </c>
      <c r="T52" s="4">
        <v>11</v>
      </c>
      <c r="U52" s="4">
        <v>52</v>
      </c>
      <c r="V52" s="4">
        <f>IF(ISERROR(VLOOKUP($S$52,'TAR FIN'!$A$1:$O$91,15,0)),0,VLOOKUP($S$52,'TAR FIN'!$A$1:$O$91,15,0))</f>
        <v>0</v>
      </c>
      <c r="W52" s="4">
        <f>IF(ISERROR(VLOOKUP($T$52,'TAR FIN'!$A$1:$O$91,15,0)),0,VLOOKUP($T$52,'TAR FIN'!$A$1:$O$91,15,0))</f>
        <v>90.54</v>
      </c>
      <c r="X52" s="4">
        <f>IF(ISERROR(VLOOKUP($U$52,'TAR FIN'!$A$1:$O$91,15,0)),0,VLOOKUP($U$52,'TAR FIN'!$A$1:$O$91,15,0))</f>
        <v>189.96</v>
      </c>
      <c r="Y52" s="4"/>
      <c r="Z52" s="4">
        <f ca="1">('TUSD BE'!$AM$15+'TUSD BF'!$AM$15+'TUSD CVA'!$AM$15)*1</f>
        <v>104.1465119197419</v>
      </c>
      <c r="AA52" s="4">
        <f>('TE BE'!$AB$6+'TE BF'!$AB$6+'TE CVA'!$AB$6)*1</f>
        <v>195.89707226799715</v>
      </c>
      <c r="AB52" s="4">
        <f>$K$52*$V$52</f>
        <v>0</v>
      </c>
      <c r="AC52" s="4">
        <f>$M$52*$W$52</f>
        <v>44704.849320000001</v>
      </c>
      <c r="AD52" s="4">
        <f>$O$52*$X$52</f>
        <v>93794.269679999998</v>
      </c>
      <c r="AE52" s="4">
        <f>$K$52*$Y$52</f>
        <v>0</v>
      </c>
      <c r="AF52" s="4">
        <f ca="1">$M$52*$Z$52</f>
        <v>51423.17343246792</v>
      </c>
      <c r="AG52" s="4">
        <f>$O$52*$AA$52</f>
        <v>96725.746608901725</v>
      </c>
    </row>
    <row r="53" spans="1:33" ht="11.25" customHeight="1" x14ac:dyDescent="0.3">
      <c r="A53" s="3" t="s">
        <v>21</v>
      </c>
      <c r="B53" s="3" t="s">
        <v>39</v>
      </c>
      <c r="C53" s="3" t="s">
        <v>40</v>
      </c>
      <c r="D53" s="3" t="s">
        <v>41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44713</v>
      </c>
      <c r="J53" s="4">
        <v>0</v>
      </c>
      <c r="K53" s="4">
        <v>0</v>
      </c>
      <c r="L53" s="4">
        <v>409.387</v>
      </c>
      <c r="M53" s="4">
        <v>409.387</v>
      </c>
      <c r="N53" s="4">
        <v>409.387</v>
      </c>
      <c r="O53" s="4">
        <v>409.387</v>
      </c>
      <c r="P53" s="4">
        <v>0</v>
      </c>
      <c r="Q53" s="3" t="s">
        <v>26</v>
      </c>
      <c r="R53" s="3">
        <v>0</v>
      </c>
      <c r="S53" s="4">
        <v>0</v>
      </c>
      <c r="T53" s="4">
        <v>11</v>
      </c>
      <c r="U53" s="4">
        <v>52</v>
      </c>
      <c r="V53" s="4">
        <f>IF(ISERROR(VLOOKUP($S$53,'TAR FIN'!$A$1:$O$91,15,0)),0,VLOOKUP($S$53,'TAR FIN'!$A$1:$O$91,15,0))</f>
        <v>0</v>
      </c>
      <c r="W53" s="4">
        <f>IF(ISERROR(VLOOKUP($T$53,'TAR FIN'!$A$1:$O$91,15,0)),0,VLOOKUP($T$53,'TAR FIN'!$A$1:$O$91,15,0))</f>
        <v>90.54</v>
      </c>
      <c r="X53" s="4">
        <f>IF(ISERROR(VLOOKUP($U$53,'TAR FIN'!$A$1:$O$91,15,0)),0,VLOOKUP($U$53,'TAR FIN'!$A$1:$O$91,15,0))</f>
        <v>189.96</v>
      </c>
      <c r="Y53" s="4"/>
      <c r="Z53" s="4">
        <f ca="1">('TUSD BE'!$AM$15+'TUSD BF'!$AM$15+'TUSD CVA'!$AM$15)*1</f>
        <v>104.1465119197419</v>
      </c>
      <c r="AA53" s="4">
        <f>('TE BE'!$AB$6+'TE BF'!$AB$6+'TE CVA'!$AB$6)*1</f>
        <v>195.89707226799715</v>
      </c>
      <c r="AB53" s="4">
        <f>$K$53*$V$53</f>
        <v>0</v>
      </c>
      <c r="AC53" s="4">
        <f>$M$53*$W$53</f>
        <v>37065.898980000005</v>
      </c>
      <c r="AD53" s="4">
        <f>$O$53*$X$53</f>
        <v>77767.154519999996</v>
      </c>
      <c r="AE53" s="4">
        <f>$K$53*$Y$53</f>
        <v>0</v>
      </c>
      <c r="AF53" s="4">
        <f ca="1">$M$53*$Z$53</f>
        <v>42636.228075287378</v>
      </c>
      <c r="AG53" s="4">
        <f>$O$53*$AA$53</f>
        <v>80197.714724578545</v>
      </c>
    </row>
    <row r="54" spans="1:33" ht="11.25" customHeight="1" x14ac:dyDescent="0.3">
      <c r="A54" s="3" t="s">
        <v>28</v>
      </c>
      <c r="B54" s="3" t="s">
        <v>39</v>
      </c>
      <c r="C54" s="3" t="s">
        <v>40</v>
      </c>
      <c r="D54" s="3" t="s">
        <v>41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44713</v>
      </c>
      <c r="J54" s="4">
        <v>0</v>
      </c>
      <c r="K54" s="4">
        <v>0</v>
      </c>
      <c r="L54" s="4">
        <v>2.411</v>
      </c>
      <c r="M54" s="4">
        <v>2.411</v>
      </c>
      <c r="N54" s="4">
        <v>2.411</v>
      </c>
      <c r="O54" s="4">
        <v>2.411</v>
      </c>
      <c r="P54" s="4">
        <v>0</v>
      </c>
      <c r="Q54" s="3" t="s">
        <v>26</v>
      </c>
      <c r="R54" s="3">
        <v>0</v>
      </c>
      <c r="S54" s="4">
        <v>0</v>
      </c>
      <c r="T54" s="4">
        <v>11</v>
      </c>
      <c r="U54" s="4">
        <v>52</v>
      </c>
      <c r="V54" s="4">
        <f>IF(ISERROR(VLOOKUP($S$54,'TAR FIN'!$A$1:$O$91,15,0)),0,VLOOKUP($S$54,'TAR FIN'!$A$1:$O$91,15,0))</f>
        <v>0</v>
      </c>
      <c r="W54" s="4">
        <f>IF(ISERROR(VLOOKUP($T$54,'TAR FIN'!$A$1:$O$91,15,0)),0,VLOOKUP($T$54,'TAR FIN'!$A$1:$O$91,15,0))</f>
        <v>90.54</v>
      </c>
      <c r="X54" s="4">
        <f>IF(ISERROR(VLOOKUP($U$54,'TAR FIN'!$A$1:$O$91,15,0)),0,VLOOKUP($U$54,'TAR FIN'!$A$1:$O$91,15,0))</f>
        <v>189.96</v>
      </c>
      <c r="Y54" s="4"/>
      <c r="Z54" s="4">
        <f ca="1">('TUSD BE'!$AM$15+'TUSD BF'!$AM$15+'TUSD CVA'!$AM$15)*1</f>
        <v>104.1465119197419</v>
      </c>
      <c r="AA54" s="4">
        <f>('TE BE'!$AB$6+'TE BF'!$AB$6+'TE CVA'!$AB$6)*1</f>
        <v>195.89707226799715</v>
      </c>
      <c r="AB54" s="4">
        <f>$K$54*$V$54</f>
        <v>0</v>
      </c>
      <c r="AC54" s="4">
        <f>$M$54*$W$54</f>
        <v>218.29194000000001</v>
      </c>
      <c r="AD54" s="4">
        <f>$O$54*$X$54</f>
        <v>457.99356</v>
      </c>
      <c r="AE54" s="4">
        <f>$K$54*$Y$54</f>
        <v>0</v>
      </c>
      <c r="AF54" s="4">
        <f ca="1">$M$54*$Z$54</f>
        <v>251.0972402384977</v>
      </c>
      <c r="AG54" s="4">
        <f>$O$54*$AA$54</f>
        <v>472.30784123814112</v>
      </c>
    </row>
    <row r="55" spans="1:33" ht="11.25" customHeight="1" x14ac:dyDescent="0.3">
      <c r="A55" s="3" t="s">
        <v>21</v>
      </c>
      <c r="B55" s="3" t="s">
        <v>39</v>
      </c>
      <c r="C55" s="3" t="s">
        <v>40</v>
      </c>
      <c r="D55" s="3" t="s">
        <v>41</v>
      </c>
      <c r="E55" s="3" t="s">
        <v>25</v>
      </c>
      <c r="F55" s="3" t="s">
        <v>25</v>
      </c>
      <c r="G55" s="3" t="s">
        <v>25</v>
      </c>
      <c r="H55" s="3" t="s">
        <v>25</v>
      </c>
      <c r="I55" s="6">
        <v>44378</v>
      </c>
      <c r="J55" s="4">
        <v>2876</v>
      </c>
      <c r="K55" s="4">
        <v>2876</v>
      </c>
      <c r="L55" s="4">
        <v>0</v>
      </c>
      <c r="M55" s="4">
        <v>0</v>
      </c>
      <c r="N55" s="4">
        <v>0</v>
      </c>
      <c r="O55" s="4">
        <v>0</v>
      </c>
      <c r="P55" s="4">
        <v>23</v>
      </c>
      <c r="Q55" s="3" t="s">
        <v>26</v>
      </c>
      <c r="R55" s="3">
        <v>0</v>
      </c>
      <c r="S55" s="4">
        <v>9</v>
      </c>
      <c r="T55" s="4">
        <v>0</v>
      </c>
      <c r="U55" s="4">
        <v>0</v>
      </c>
      <c r="V55" s="4">
        <f>IF(ISERROR(VLOOKUP($S$55,'TAR FIN'!$A$1:$O$91,15,0)),0,VLOOKUP($S$55,'TAR FIN'!$A$1:$O$91,15,0))</f>
        <v>33.97</v>
      </c>
      <c r="W55" s="4">
        <f>IF(ISERROR(VLOOKUP($T$55,'TAR FIN'!$A$1:$O$91,15,0)),0,VLOOKUP($T$55,'TAR FIN'!$A$1:$O$91,15,0))</f>
        <v>0</v>
      </c>
      <c r="X55" s="4">
        <f>IF(ISERROR(VLOOKUP($U$55,'TAR FIN'!$A$1:$O$91,15,0)),0,VLOOKUP($U$55,'TAR FIN'!$A$1:$O$91,15,0))</f>
        <v>0</v>
      </c>
      <c r="Y55" s="4">
        <f ca="1">('TUSD BE'!$AM$13+'TUSD BF'!$AM$13+'TUSD CVA'!$AM$13)*1</f>
        <v>39.117234382623039</v>
      </c>
      <c r="Z55" s="4"/>
      <c r="AA55" s="4"/>
      <c r="AB55" s="4">
        <f>$K$55*$V$55</f>
        <v>97697.72</v>
      </c>
      <c r="AC55" s="4">
        <f>$M$55*$W$55</f>
        <v>0</v>
      </c>
      <c r="AD55" s="4">
        <f>$O$55*$X$55</f>
        <v>0</v>
      </c>
      <c r="AE55" s="4">
        <f ca="1">$K$55*$Y$55</f>
        <v>112501.16608442386</v>
      </c>
      <c r="AF55" s="4">
        <f>$M$55*$Z$55</f>
        <v>0</v>
      </c>
      <c r="AG55" s="4">
        <f>$O$55*$AA$55</f>
        <v>0</v>
      </c>
    </row>
    <row r="56" spans="1:33" ht="11.25" customHeight="1" x14ac:dyDescent="0.3">
      <c r="A56" s="3" t="s">
        <v>28</v>
      </c>
      <c r="B56" s="3" t="s">
        <v>39</v>
      </c>
      <c r="C56" s="3" t="s">
        <v>40</v>
      </c>
      <c r="D56" s="3" t="s">
        <v>41</v>
      </c>
      <c r="E56" s="3" t="s">
        <v>25</v>
      </c>
      <c r="F56" s="3" t="s">
        <v>25</v>
      </c>
      <c r="G56" s="3" t="s">
        <v>25</v>
      </c>
      <c r="H56" s="3" t="s">
        <v>25</v>
      </c>
      <c r="I56" s="6">
        <v>44378</v>
      </c>
      <c r="J56" s="4">
        <v>54</v>
      </c>
      <c r="K56" s="4">
        <v>54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3" t="s">
        <v>26</v>
      </c>
      <c r="R56" s="3">
        <v>0</v>
      </c>
      <c r="S56" s="4">
        <v>9</v>
      </c>
      <c r="T56" s="4">
        <v>0</v>
      </c>
      <c r="U56" s="4">
        <v>0</v>
      </c>
      <c r="V56" s="4">
        <f>IF(ISERROR(VLOOKUP($S$56,'TAR FIN'!$A$1:$O$91,15,0)),0,VLOOKUP($S$56,'TAR FIN'!$A$1:$O$91,15,0))</f>
        <v>33.97</v>
      </c>
      <c r="W56" s="4">
        <f>IF(ISERROR(VLOOKUP($T$56,'TAR FIN'!$A$1:$O$91,15,0)),0,VLOOKUP($T$56,'TAR FIN'!$A$1:$O$91,15,0))</f>
        <v>0</v>
      </c>
      <c r="X56" s="4">
        <f>IF(ISERROR(VLOOKUP($U$56,'TAR FIN'!$A$1:$O$91,15,0)),0,VLOOKUP($U$56,'TAR FIN'!$A$1:$O$91,15,0))</f>
        <v>0</v>
      </c>
      <c r="Y56" s="4">
        <f ca="1">('TUSD BE'!$AM$13+'TUSD BF'!$AM$13+'TUSD CVA'!$AM$13)*1</f>
        <v>39.117234382623039</v>
      </c>
      <c r="Z56" s="4"/>
      <c r="AA56" s="4"/>
      <c r="AB56" s="4">
        <f>$K$56*$V$56</f>
        <v>1834.3799999999999</v>
      </c>
      <c r="AC56" s="4">
        <f>$M$56*$W$56</f>
        <v>0</v>
      </c>
      <c r="AD56" s="4">
        <f>$O$56*$X$56</f>
        <v>0</v>
      </c>
      <c r="AE56" s="4">
        <f ca="1">$K$56*$Y$56</f>
        <v>2112.3306566616443</v>
      </c>
      <c r="AF56" s="4">
        <f>$M$56*$Z$56</f>
        <v>0</v>
      </c>
      <c r="AG56" s="4">
        <f>$O$56*$AA$56</f>
        <v>0</v>
      </c>
    </row>
    <row r="57" spans="1:33" ht="11.25" customHeight="1" x14ac:dyDescent="0.3">
      <c r="A57" s="3" t="s">
        <v>21</v>
      </c>
      <c r="B57" s="3" t="s">
        <v>39</v>
      </c>
      <c r="C57" s="3" t="s">
        <v>40</v>
      </c>
      <c r="D57" s="3" t="s">
        <v>41</v>
      </c>
      <c r="E57" s="3" t="s">
        <v>25</v>
      </c>
      <c r="F57" s="3" t="s">
        <v>25</v>
      </c>
      <c r="G57" s="3" t="s">
        <v>25</v>
      </c>
      <c r="H57" s="3" t="s">
        <v>25</v>
      </c>
      <c r="I57" s="6">
        <v>44409</v>
      </c>
      <c r="J57" s="4">
        <v>2539</v>
      </c>
      <c r="K57" s="4">
        <v>2539</v>
      </c>
      <c r="L57" s="4">
        <v>0</v>
      </c>
      <c r="M57" s="4">
        <v>0</v>
      </c>
      <c r="N57" s="4">
        <v>0</v>
      </c>
      <c r="O57" s="4">
        <v>0</v>
      </c>
      <c r="P57" s="4">
        <v>22</v>
      </c>
      <c r="Q57" s="3" t="s">
        <v>26</v>
      </c>
      <c r="R57" s="3">
        <v>0</v>
      </c>
      <c r="S57" s="4">
        <v>9</v>
      </c>
      <c r="T57" s="4">
        <v>0</v>
      </c>
      <c r="U57" s="4">
        <v>0</v>
      </c>
      <c r="V57" s="4">
        <f>IF(ISERROR(VLOOKUP($S$57,'TAR FIN'!$A$1:$O$91,15,0)),0,VLOOKUP($S$57,'TAR FIN'!$A$1:$O$91,15,0))</f>
        <v>33.97</v>
      </c>
      <c r="W57" s="4">
        <f>IF(ISERROR(VLOOKUP($T$57,'TAR FIN'!$A$1:$O$91,15,0)),0,VLOOKUP($T$57,'TAR FIN'!$A$1:$O$91,15,0))</f>
        <v>0</v>
      </c>
      <c r="X57" s="4">
        <f>IF(ISERROR(VLOOKUP($U$57,'TAR FIN'!$A$1:$O$91,15,0)),0,VLOOKUP($U$57,'TAR FIN'!$A$1:$O$91,15,0))</f>
        <v>0</v>
      </c>
      <c r="Y57" s="4">
        <f ca="1">('TUSD BE'!$AM$13+'TUSD BF'!$AM$13+'TUSD CVA'!$AM$13)*1</f>
        <v>39.117234382623039</v>
      </c>
      <c r="Z57" s="4"/>
      <c r="AA57" s="4"/>
      <c r="AB57" s="4">
        <f>$K$57*$V$57</f>
        <v>86249.83</v>
      </c>
      <c r="AC57" s="4">
        <f>$M$57*$W$57</f>
        <v>0</v>
      </c>
      <c r="AD57" s="4">
        <f>$O$57*$X$57</f>
        <v>0</v>
      </c>
      <c r="AE57" s="4">
        <f ca="1">$K$57*$Y$57</f>
        <v>99318.6580974799</v>
      </c>
      <c r="AF57" s="4">
        <f>$M$57*$Z$57</f>
        <v>0</v>
      </c>
      <c r="AG57" s="4">
        <f>$O$57*$AA$57</f>
        <v>0</v>
      </c>
    </row>
    <row r="58" spans="1:33" ht="11.25" customHeight="1" x14ac:dyDescent="0.3">
      <c r="A58" s="3" t="s">
        <v>28</v>
      </c>
      <c r="B58" s="3" t="s">
        <v>39</v>
      </c>
      <c r="C58" s="3" t="s">
        <v>40</v>
      </c>
      <c r="D58" s="3" t="s">
        <v>41</v>
      </c>
      <c r="E58" s="3" t="s">
        <v>25</v>
      </c>
      <c r="F58" s="3" t="s">
        <v>25</v>
      </c>
      <c r="G58" s="3" t="s">
        <v>25</v>
      </c>
      <c r="H58" s="3" t="s">
        <v>25</v>
      </c>
      <c r="I58" s="6">
        <v>44409</v>
      </c>
      <c r="J58" s="4">
        <v>53</v>
      </c>
      <c r="K58" s="4">
        <v>53</v>
      </c>
      <c r="L58" s="4">
        <v>0</v>
      </c>
      <c r="M58" s="4">
        <v>0</v>
      </c>
      <c r="N58" s="4">
        <v>0</v>
      </c>
      <c r="O58" s="4">
        <v>0</v>
      </c>
      <c r="P58" s="4">
        <v>1</v>
      </c>
      <c r="Q58" s="3" t="s">
        <v>26</v>
      </c>
      <c r="R58" s="3">
        <v>0</v>
      </c>
      <c r="S58" s="4">
        <v>9</v>
      </c>
      <c r="T58" s="4">
        <v>0</v>
      </c>
      <c r="U58" s="4">
        <v>0</v>
      </c>
      <c r="V58" s="4">
        <f>IF(ISERROR(VLOOKUP($S$58,'TAR FIN'!$A$1:$O$91,15,0)),0,VLOOKUP($S$58,'TAR FIN'!$A$1:$O$91,15,0))</f>
        <v>33.97</v>
      </c>
      <c r="W58" s="4">
        <f>IF(ISERROR(VLOOKUP($T$58,'TAR FIN'!$A$1:$O$91,15,0)),0,VLOOKUP($T$58,'TAR FIN'!$A$1:$O$91,15,0))</f>
        <v>0</v>
      </c>
      <c r="X58" s="4">
        <f>IF(ISERROR(VLOOKUP($U$58,'TAR FIN'!$A$1:$O$91,15,0)),0,VLOOKUP($U$58,'TAR FIN'!$A$1:$O$91,15,0))</f>
        <v>0</v>
      </c>
      <c r="Y58" s="4">
        <f ca="1">('TUSD BE'!$AM$13+'TUSD BF'!$AM$13+'TUSD CVA'!$AM$13)*1</f>
        <v>39.117234382623039</v>
      </c>
      <c r="Z58" s="4"/>
      <c r="AA58" s="4"/>
      <c r="AB58" s="4">
        <f>$K$58*$V$58</f>
        <v>1800.4099999999999</v>
      </c>
      <c r="AC58" s="4">
        <f>$M$58*$W$58</f>
        <v>0</v>
      </c>
      <c r="AD58" s="4">
        <f>$O$58*$X$58</f>
        <v>0</v>
      </c>
      <c r="AE58" s="4">
        <f ca="1">$K$58*$Y$58</f>
        <v>2073.213422279021</v>
      </c>
      <c r="AF58" s="4">
        <f>$M$58*$Z$58</f>
        <v>0</v>
      </c>
      <c r="AG58" s="4">
        <f>$O$58*$AA$58</f>
        <v>0</v>
      </c>
    </row>
    <row r="59" spans="1:33" ht="11.25" customHeight="1" x14ac:dyDescent="0.3">
      <c r="A59" s="3" t="s">
        <v>21</v>
      </c>
      <c r="B59" s="3" t="s">
        <v>39</v>
      </c>
      <c r="C59" s="3" t="s">
        <v>40</v>
      </c>
      <c r="D59" s="3" t="s">
        <v>41</v>
      </c>
      <c r="E59" s="3" t="s">
        <v>25</v>
      </c>
      <c r="F59" s="3" t="s">
        <v>25</v>
      </c>
      <c r="G59" s="3" t="s">
        <v>25</v>
      </c>
      <c r="H59" s="3" t="s">
        <v>25</v>
      </c>
      <c r="I59" s="6">
        <v>44440</v>
      </c>
      <c r="J59" s="4">
        <v>2605</v>
      </c>
      <c r="K59" s="4">
        <v>2605</v>
      </c>
      <c r="L59" s="4">
        <v>0</v>
      </c>
      <c r="M59" s="4">
        <v>0</v>
      </c>
      <c r="N59" s="4">
        <v>0</v>
      </c>
      <c r="O59" s="4">
        <v>0</v>
      </c>
      <c r="P59" s="4">
        <v>22</v>
      </c>
      <c r="Q59" s="3" t="s">
        <v>26</v>
      </c>
      <c r="R59" s="3">
        <v>0</v>
      </c>
      <c r="S59" s="4">
        <v>9</v>
      </c>
      <c r="T59" s="4">
        <v>0</v>
      </c>
      <c r="U59" s="4">
        <v>0</v>
      </c>
      <c r="V59" s="4">
        <f>IF(ISERROR(VLOOKUP($S$59,'TAR FIN'!$A$1:$O$91,15,0)),0,VLOOKUP($S$59,'TAR FIN'!$A$1:$O$91,15,0))</f>
        <v>33.97</v>
      </c>
      <c r="W59" s="4">
        <f>IF(ISERROR(VLOOKUP($T$59,'TAR FIN'!$A$1:$O$91,15,0)),0,VLOOKUP($T$59,'TAR FIN'!$A$1:$O$91,15,0))</f>
        <v>0</v>
      </c>
      <c r="X59" s="4">
        <f>IF(ISERROR(VLOOKUP($U$59,'TAR FIN'!$A$1:$O$91,15,0)),0,VLOOKUP($U$59,'TAR FIN'!$A$1:$O$91,15,0))</f>
        <v>0</v>
      </c>
      <c r="Y59" s="4">
        <f ca="1">('TUSD BE'!$AM$13+'TUSD BF'!$AM$13+'TUSD CVA'!$AM$13)*1</f>
        <v>39.117234382623039</v>
      </c>
      <c r="Z59" s="4"/>
      <c r="AA59" s="4"/>
      <c r="AB59" s="4">
        <f>$K$59*$V$59</f>
        <v>88491.849999999991</v>
      </c>
      <c r="AC59" s="4">
        <f>$M$59*$W$59</f>
        <v>0</v>
      </c>
      <c r="AD59" s="4">
        <f>$O$59*$X$59</f>
        <v>0</v>
      </c>
      <c r="AE59" s="4">
        <f ca="1">$K$59*$Y$59</f>
        <v>101900.39556673302</v>
      </c>
      <c r="AF59" s="4">
        <f>$M$59*$Z$59</f>
        <v>0</v>
      </c>
      <c r="AG59" s="4">
        <f>$O$59*$AA$59</f>
        <v>0</v>
      </c>
    </row>
    <row r="60" spans="1:33" ht="11.25" customHeight="1" x14ac:dyDescent="0.3">
      <c r="A60" s="3" t="s">
        <v>28</v>
      </c>
      <c r="B60" s="3" t="s">
        <v>39</v>
      </c>
      <c r="C60" s="3" t="s">
        <v>40</v>
      </c>
      <c r="D60" s="3" t="s">
        <v>41</v>
      </c>
      <c r="E60" s="3" t="s">
        <v>25</v>
      </c>
      <c r="F60" s="3" t="s">
        <v>25</v>
      </c>
      <c r="G60" s="3" t="s">
        <v>25</v>
      </c>
      <c r="H60" s="3" t="s">
        <v>25</v>
      </c>
      <c r="I60" s="6">
        <v>44440</v>
      </c>
      <c r="J60" s="4">
        <v>31</v>
      </c>
      <c r="K60" s="4">
        <v>31</v>
      </c>
      <c r="L60" s="4">
        <v>0</v>
      </c>
      <c r="M60" s="4">
        <v>0</v>
      </c>
      <c r="N60" s="4">
        <v>0</v>
      </c>
      <c r="O60" s="4">
        <v>0</v>
      </c>
      <c r="P60" s="4">
        <v>1</v>
      </c>
      <c r="Q60" s="3" t="s">
        <v>26</v>
      </c>
      <c r="R60" s="3">
        <v>0</v>
      </c>
      <c r="S60" s="4">
        <v>9</v>
      </c>
      <c r="T60" s="4">
        <v>0</v>
      </c>
      <c r="U60" s="4">
        <v>0</v>
      </c>
      <c r="V60" s="4">
        <f>IF(ISERROR(VLOOKUP($S$60,'TAR FIN'!$A$1:$O$91,15,0)),0,VLOOKUP($S$60,'TAR FIN'!$A$1:$O$91,15,0))</f>
        <v>33.97</v>
      </c>
      <c r="W60" s="4">
        <f>IF(ISERROR(VLOOKUP($T$60,'TAR FIN'!$A$1:$O$91,15,0)),0,VLOOKUP($T$60,'TAR FIN'!$A$1:$O$91,15,0))</f>
        <v>0</v>
      </c>
      <c r="X60" s="4">
        <f>IF(ISERROR(VLOOKUP($U$60,'TAR FIN'!$A$1:$O$91,15,0)),0,VLOOKUP($U$60,'TAR FIN'!$A$1:$O$91,15,0))</f>
        <v>0</v>
      </c>
      <c r="Y60" s="4">
        <f ca="1">('TUSD BE'!$AM$13+'TUSD BF'!$AM$13+'TUSD CVA'!$AM$13)*1</f>
        <v>39.117234382623039</v>
      </c>
      <c r="Z60" s="4"/>
      <c r="AA60" s="4"/>
      <c r="AB60" s="4">
        <f>$K$60*$V$60</f>
        <v>1053.07</v>
      </c>
      <c r="AC60" s="4">
        <f>$M$60*$W$60</f>
        <v>0</v>
      </c>
      <c r="AD60" s="4">
        <f>$O$60*$X$60</f>
        <v>0</v>
      </c>
      <c r="AE60" s="4">
        <f ca="1">$K$60*$Y$60</f>
        <v>1212.6342658613141</v>
      </c>
      <c r="AF60" s="4">
        <f>$M$60*$Z$60</f>
        <v>0</v>
      </c>
      <c r="AG60" s="4">
        <f>$O$60*$AA$60</f>
        <v>0</v>
      </c>
    </row>
    <row r="61" spans="1:33" ht="11.25" customHeight="1" x14ac:dyDescent="0.3">
      <c r="A61" s="3" t="s">
        <v>21</v>
      </c>
      <c r="B61" s="3" t="s">
        <v>39</v>
      </c>
      <c r="C61" s="3" t="s">
        <v>40</v>
      </c>
      <c r="D61" s="3" t="s">
        <v>41</v>
      </c>
      <c r="E61" s="3" t="s">
        <v>25</v>
      </c>
      <c r="F61" s="3" t="s">
        <v>25</v>
      </c>
      <c r="G61" s="3" t="s">
        <v>25</v>
      </c>
      <c r="H61" s="3" t="s">
        <v>25</v>
      </c>
      <c r="I61" s="6">
        <v>44470</v>
      </c>
      <c r="J61" s="4">
        <v>2778</v>
      </c>
      <c r="K61" s="4">
        <v>2778</v>
      </c>
      <c r="L61" s="4">
        <v>0</v>
      </c>
      <c r="M61" s="4">
        <v>0</v>
      </c>
      <c r="N61" s="4">
        <v>0</v>
      </c>
      <c r="O61" s="4">
        <v>0</v>
      </c>
      <c r="P61" s="4">
        <v>22</v>
      </c>
      <c r="Q61" s="3" t="s">
        <v>26</v>
      </c>
      <c r="R61" s="3">
        <v>0</v>
      </c>
      <c r="S61" s="4">
        <v>9</v>
      </c>
      <c r="T61" s="4">
        <v>0</v>
      </c>
      <c r="U61" s="4">
        <v>0</v>
      </c>
      <c r="V61" s="4">
        <f>IF(ISERROR(VLOOKUP($S$61,'TAR FIN'!$A$1:$O$91,15,0)),0,VLOOKUP($S$61,'TAR FIN'!$A$1:$O$91,15,0))</f>
        <v>33.97</v>
      </c>
      <c r="W61" s="4">
        <f>IF(ISERROR(VLOOKUP($T$61,'TAR FIN'!$A$1:$O$91,15,0)),0,VLOOKUP($T$61,'TAR FIN'!$A$1:$O$91,15,0))</f>
        <v>0</v>
      </c>
      <c r="X61" s="4">
        <f>IF(ISERROR(VLOOKUP($U$61,'TAR FIN'!$A$1:$O$91,15,0)),0,VLOOKUP($U$61,'TAR FIN'!$A$1:$O$91,15,0))</f>
        <v>0</v>
      </c>
      <c r="Y61" s="4">
        <f ca="1">('TUSD BE'!$AM$13+'TUSD BF'!$AM$13+'TUSD CVA'!$AM$13)*1</f>
        <v>39.117234382623039</v>
      </c>
      <c r="Z61" s="4"/>
      <c r="AA61" s="4"/>
      <c r="AB61" s="4">
        <f>$K$61*$V$61</f>
        <v>94368.66</v>
      </c>
      <c r="AC61" s="4">
        <f>$M$61*$W$61</f>
        <v>0</v>
      </c>
      <c r="AD61" s="4">
        <f>$O$61*$X$61</f>
        <v>0</v>
      </c>
      <c r="AE61" s="4">
        <f ca="1">$K$61*$Y$61</f>
        <v>108667.6771149268</v>
      </c>
      <c r="AF61" s="4">
        <f>$M$61*$Z$61</f>
        <v>0</v>
      </c>
      <c r="AG61" s="4">
        <f>$O$61*$AA$61</f>
        <v>0</v>
      </c>
    </row>
    <row r="62" spans="1:33" ht="11.25" customHeight="1" x14ac:dyDescent="0.3">
      <c r="A62" s="3" t="s">
        <v>28</v>
      </c>
      <c r="B62" s="3" t="s">
        <v>39</v>
      </c>
      <c r="C62" s="3" t="s">
        <v>40</v>
      </c>
      <c r="D62" s="3" t="s">
        <v>41</v>
      </c>
      <c r="E62" s="3" t="s">
        <v>25</v>
      </c>
      <c r="F62" s="3" t="s">
        <v>25</v>
      </c>
      <c r="G62" s="3" t="s">
        <v>25</v>
      </c>
      <c r="H62" s="3" t="s">
        <v>25</v>
      </c>
      <c r="I62" s="6">
        <v>44470</v>
      </c>
      <c r="J62" s="4">
        <v>30</v>
      </c>
      <c r="K62" s="4">
        <v>30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3" t="s">
        <v>26</v>
      </c>
      <c r="R62" s="3">
        <v>0</v>
      </c>
      <c r="S62" s="4">
        <v>9</v>
      </c>
      <c r="T62" s="4">
        <v>0</v>
      </c>
      <c r="U62" s="4">
        <v>0</v>
      </c>
      <c r="V62" s="4">
        <f>IF(ISERROR(VLOOKUP($S$62,'TAR FIN'!$A$1:$O$91,15,0)),0,VLOOKUP($S$62,'TAR FIN'!$A$1:$O$91,15,0))</f>
        <v>33.97</v>
      </c>
      <c r="W62" s="4">
        <f>IF(ISERROR(VLOOKUP($T$62,'TAR FIN'!$A$1:$O$91,15,0)),0,VLOOKUP($T$62,'TAR FIN'!$A$1:$O$91,15,0))</f>
        <v>0</v>
      </c>
      <c r="X62" s="4">
        <f>IF(ISERROR(VLOOKUP($U$62,'TAR FIN'!$A$1:$O$91,15,0)),0,VLOOKUP($U$62,'TAR FIN'!$A$1:$O$91,15,0))</f>
        <v>0</v>
      </c>
      <c r="Y62" s="4">
        <f ca="1">('TUSD BE'!$AM$13+'TUSD BF'!$AM$13+'TUSD CVA'!$AM$13)*1</f>
        <v>39.117234382623039</v>
      </c>
      <c r="Z62" s="4"/>
      <c r="AA62" s="4"/>
      <c r="AB62" s="4">
        <f>$K$62*$V$62</f>
        <v>1019.0999999999999</v>
      </c>
      <c r="AC62" s="4">
        <f>$M$62*$W$62</f>
        <v>0</v>
      </c>
      <c r="AD62" s="4">
        <f>$O$62*$X$62</f>
        <v>0</v>
      </c>
      <c r="AE62" s="4">
        <f ca="1">$K$62*$Y$62</f>
        <v>1173.5170314786913</v>
      </c>
      <c r="AF62" s="4">
        <f>$M$62*$Z$62</f>
        <v>0</v>
      </c>
      <c r="AG62" s="4">
        <f>$O$62*$AA$62</f>
        <v>0</v>
      </c>
    </row>
    <row r="63" spans="1:33" ht="11.25" customHeight="1" x14ac:dyDescent="0.3">
      <c r="A63" s="3" t="s">
        <v>21</v>
      </c>
      <c r="B63" s="3" t="s">
        <v>39</v>
      </c>
      <c r="C63" s="3" t="s">
        <v>40</v>
      </c>
      <c r="D63" s="3" t="s">
        <v>41</v>
      </c>
      <c r="E63" s="3" t="s">
        <v>25</v>
      </c>
      <c r="F63" s="3" t="s">
        <v>25</v>
      </c>
      <c r="G63" s="3" t="s">
        <v>25</v>
      </c>
      <c r="H63" s="3" t="s">
        <v>25</v>
      </c>
      <c r="I63" s="6">
        <v>44501</v>
      </c>
      <c r="J63" s="4">
        <v>2850</v>
      </c>
      <c r="K63" s="4">
        <v>2850</v>
      </c>
      <c r="L63" s="4">
        <v>0</v>
      </c>
      <c r="M63" s="4">
        <v>0</v>
      </c>
      <c r="N63" s="4">
        <v>0</v>
      </c>
      <c r="O63" s="4">
        <v>0</v>
      </c>
      <c r="P63" s="4">
        <v>22</v>
      </c>
      <c r="Q63" s="3" t="s">
        <v>26</v>
      </c>
      <c r="R63" s="3">
        <v>0</v>
      </c>
      <c r="S63" s="4">
        <v>9</v>
      </c>
      <c r="T63" s="4">
        <v>0</v>
      </c>
      <c r="U63" s="4">
        <v>0</v>
      </c>
      <c r="V63" s="4">
        <f>IF(ISERROR(VLOOKUP($S$63,'TAR FIN'!$A$1:$O$91,15,0)),0,VLOOKUP($S$63,'TAR FIN'!$A$1:$O$91,15,0))</f>
        <v>33.97</v>
      </c>
      <c r="W63" s="4">
        <f>IF(ISERROR(VLOOKUP($T$63,'TAR FIN'!$A$1:$O$91,15,0)),0,VLOOKUP($T$63,'TAR FIN'!$A$1:$O$91,15,0))</f>
        <v>0</v>
      </c>
      <c r="X63" s="4">
        <f>IF(ISERROR(VLOOKUP($U$63,'TAR FIN'!$A$1:$O$91,15,0)),0,VLOOKUP($U$63,'TAR FIN'!$A$1:$O$91,15,0))</f>
        <v>0</v>
      </c>
      <c r="Y63" s="4">
        <f ca="1">('TUSD BE'!$AM$13+'TUSD BF'!$AM$13+'TUSD CVA'!$AM$13)*1</f>
        <v>39.117234382623039</v>
      </c>
      <c r="Z63" s="4"/>
      <c r="AA63" s="4"/>
      <c r="AB63" s="4">
        <f>$K$63*$V$63</f>
        <v>96814.5</v>
      </c>
      <c r="AC63" s="4">
        <f>$M$63*$W$63</f>
        <v>0</v>
      </c>
      <c r="AD63" s="4">
        <f>$O$63*$X$63</f>
        <v>0</v>
      </c>
      <c r="AE63" s="4">
        <f ca="1">$K$63*$Y$63</f>
        <v>111484.11799047566</v>
      </c>
      <c r="AF63" s="4">
        <f>$M$63*$Z$63</f>
        <v>0</v>
      </c>
      <c r="AG63" s="4">
        <f>$O$63*$AA$63</f>
        <v>0</v>
      </c>
    </row>
    <row r="64" spans="1:33" ht="11.25" customHeight="1" x14ac:dyDescent="0.3">
      <c r="A64" s="3" t="s">
        <v>28</v>
      </c>
      <c r="B64" s="3" t="s">
        <v>39</v>
      </c>
      <c r="C64" s="3" t="s">
        <v>40</v>
      </c>
      <c r="D64" s="3" t="s">
        <v>41</v>
      </c>
      <c r="E64" s="3" t="s">
        <v>25</v>
      </c>
      <c r="F64" s="3" t="s">
        <v>25</v>
      </c>
      <c r="G64" s="3" t="s">
        <v>25</v>
      </c>
      <c r="H64" s="3" t="s">
        <v>25</v>
      </c>
      <c r="I64" s="6">
        <v>44501</v>
      </c>
      <c r="J64" s="4">
        <v>35</v>
      </c>
      <c r="K64" s="4">
        <v>35</v>
      </c>
      <c r="L64" s="4">
        <v>0</v>
      </c>
      <c r="M64" s="4">
        <v>0</v>
      </c>
      <c r="N64" s="4">
        <v>0</v>
      </c>
      <c r="O64" s="4">
        <v>0</v>
      </c>
      <c r="P64" s="4">
        <v>1</v>
      </c>
      <c r="Q64" s="3" t="s">
        <v>26</v>
      </c>
      <c r="R64" s="3">
        <v>0</v>
      </c>
      <c r="S64" s="4">
        <v>9</v>
      </c>
      <c r="T64" s="4">
        <v>0</v>
      </c>
      <c r="U64" s="4">
        <v>0</v>
      </c>
      <c r="V64" s="4">
        <f>IF(ISERROR(VLOOKUP($S$64,'TAR FIN'!$A$1:$O$91,15,0)),0,VLOOKUP($S$64,'TAR FIN'!$A$1:$O$91,15,0))</f>
        <v>33.97</v>
      </c>
      <c r="W64" s="4">
        <f>IF(ISERROR(VLOOKUP($T$64,'TAR FIN'!$A$1:$O$91,15,0)),0,VLOOKUP($T$64,'TAR FIN'!$A$1:$O$91,15,0))</f>
        <v>0</v>
      </c>
      <c r="X64" s="4">
        <f>IF(ISERROR(VLOOKUP($U$64,'TAR FIN'!$A$1:$O$91,15,0)),0,VLOOKUP($U$64,'TAR FIN'!$A$1:$O$91,15,0))</f>
        <v>0</v>
      </c>
      <c r="Y64" s="4">
        <f ca="1">('TUSD BE'!$AM$13+'TUSD BF'!$AM$13+'TUSD CVA'!$AM$13)*1</f>
        <v>39.117234382623039</v>
      </c>
      <c r="Z64" s="4"/>
      <c r="AA64" s="4"/>
      <c r="AB64" s="4">
        <f>$K$64*$V$64</f>
        <v>1188.95</v>
      </c>
      <c r="AC64" s="4">
        <f>$M$64*$W$64</f>
        <v>0</v>
      </c>
      <c r="AD64" s="4">
        <f>$O$64*$X$64</f>
        <v>0</v>
      </c>
      <c r="AE64" s="4">
        <f ca="1">$K$64*$Y$64</f>
        <v>1369.1032033918063</v>
      </c>
      <c r="AF64" s="4">
        <f>$M$64*$Z$64</f>
        <v>0</v>
      </c>
      <c r="AG64" s="4">
        <f>$O$64*$AA$64</f>
        <v>0</v>
      </c>
    </row>
    <row r="65" spans="1:33" ht="11.25" customHeight="1" x14ac:dyDescent="0.3">
      <c r="A65" s="3" t="s">
        <v>21</v>
      </c>
      <c r="B65" s="3" t="s">
        <v>39</v>
      </c>
      <c r="C65" s="3" t="s">
        <v>40</v>
      </c>
      <c r="D65" s="3" t="s">
        <v>41</v>
      </c>
      <c r="E65" s="3" t="s">
        <v>25</v>
      </c>
      <c r="F65" s="3" t="s">
        <v>25</v>
      </c>
      <c r="G65" s="3" t="s">
        <v>25</v>
      </c>
      <c r="H65" s="3" t="s">
        <v>25</v>
      </c>
      <c r="I65" s="6">
        <v>44531</v>
      </c>
      <c r="J65" s="4">
        <v>3018</v>
      </c>
      <c r="K65" s="4">
        <v>3018</v>
      </c>
      <c r="L65" s="4">
        <v>0</v>
      </c>
      <c r="M65" s="4">
        <v>0</v>
      </c>
      <c r="N65" s="4">
        <v>0</v>
      </c>
      <c r="O65" s="4">
        <v>0</v>
      </c>
      <c r="P65" s="4">
        <v>22</v>
      </c>
      <c r="Q65" s="3" t="s">
        <v>26</v>
      </c>
      <c r="R65" s="3">
        <v>0</v>
      </c>
      <c r="S65" s="4">
        <v>9</v>
      </c>
      <c r="T65" s="4">
        <v>0</v>
      </c>
      <c r="U65" s="4">
        <v>0</v>
      </c>
      <c r="V65" s="4">
        <f>IF(ISERROR(VLOOKUP($S$65,'TAR FIN'!$A$1:$O$91,15,0)),0,VLOOKUP($S$65,'TAR FIN'!$A$1:$O$91,15,0))</f>
        <v>33.97</v>
      </c>
      <c r="W65" s="4">
        <f>IF(ISERROR(VLOOKUP($T$65,'TAR FIN'!$A$1:$O$91,15,0)),0,VLOOKUP($T$65,'TAR FIN'!$A$1:$O$91,15,0))</f>
        <v>0</v>
      </c>
      <c r="X65" s="4">
        <f>IF(ISERROR(VLOOKUP($U$65,'TAR FIN'!$A$1:$O$91,15,0)),0,VLOOKUP($U$65,'TAR FIN'!$A$1:$O$91,15,0))</f>
        <v>0</v>
      </c>
      <c r="Y65" s="4">
        <f ca="1">('TUSD BE'!$AM$13+'TUSD BF'!$AM$13+'TUSD CVA'!$AM$13)*1</f>
        <v>39.117234382623039</v>
      </c>
      <c r="Z65" s="4"/>
      <c r="AA65" s="4"/>
      <c r="AB65" s="4">
        <f>$K$65*$V$65</f>
        <v>102521.45999999999</v>
      </c>
      <c r="AC65" s="4">
        <f>$M$65*$W$65</f>
        <v>0</v>
      </c>
      <c r="AD65" s="4">
        <f>$O$65*$X$65</f>
        <v>0</v>
      </c>
      <c r="AE65" s="4">
        <f ca="1">$K$65*$Y$65</f>
        <v>118055.81336675634</v>
      </c>
      <c r="AF65" s="4">
        <f>$M$65*$Z$65</f>
        <v>0</v>
      </c>
      <c r="AG65" s="4">
        <f>$O$65*$AA$65</f>
        <v>0</v>
      </c>
    </row>
    <row r="66" spans="1:33" ht="11.25" customHeight="1" x14ac:dyDescent="0.3">
      <c r="A66" s="3" t="s">
        <v>28</v>
      </c>
      <c r="B66" s="3" t="s">
        <v>39</v>
      </c>
      <c r="C66" s="3" t="s">
        <v>40</v>
      </c>
      <c r="D66" s="3" t="s">
        <v>41</v>
      </c>
      <c r="E66" s="3" t="s">
        <v>25</v>
      </c>
      <c r="F66" s="3" t="s">
        <v>25</v>
      </c>
      <c r="G66" s="3" t="s">
        <v>25</v>
      </c>
      <c r="H66" s="3" t="s">
        <v>25</v>
      </c>
      <c r="I66" s="6">
        <v>44531</v>
      </c>
      <c r="J66" s="4">
        <v>31</v>
      </c>
      <c r="K66" s="4">
        <v>31</v>
      </c>
      <c r="L66" s="4">
        <v>0</v>
      </c>
      <c r="M66" s="4">
        <v>0</v>
      </c>
      <c r="N66" s="4">
        <v>0</v>
      </c>
      <c r="O66" s="4">
        <v>0</v>
      </c>
      <c r="P66" s="4">
        <v>1</v>
      </c>
      <c r="Q66" s="3" t="s">
        <v>26</v>
      </c>
      <c r="R66" s="3">
        <v>0</v>
      </c>
      <c r="S66" s="4">
        <v>9</v>
      </c>
      <c r="T66" s="4">
        <v>0</v>
      </c>
      <c r="U66" s="4">
        <v>0</v>
      </c>
      <c r="V66" s="4">
        <f>IF(ISERROR(VLOOKUP($S$66,'TAR FIN'!$A$1:$O$91,15,0)),0,VLOOKUP($S$66,'TAR FIN'!$A$1:$O$91,15,0))</f>
        <v>33.97</v>
      </c>
      <c r="W66" s="4">
        <f>IF(ISERROR(VLOOKUP($T$66,'TAR FIN'!$A$1:$O$91,15,0)),0,VLOOKUP($T$66,'TAR FIN'!$A$1:$O$91,15,0))</f>
        <v>0</v>
      </c>
      <c r="X66" s="4">
        <f>IF(ISERROR(VLOOKUP($U$66,'TAR FIN'!$A$1:$O$91,15,0)),0,VLOOKUP($U$66,'TAR FIN'!$A$1:$O$91,15,0))</f>
        <v>0</v>
      </c>
      <c r="Y66" s="4">
        <f ca="1">('TUSD BE'!$AM$13+'TUSD BF'!$AM$13+'TUSD CVA'!$AM$13)*1</f>
        <v>39.117234382623039</v>
      </c>
      <c r="Z66" s="4"/>
      <c r="AA66" s="4"/>
      <c r="AB66" s="4">
        <f>$K$66*$V$66</f>
        <v>1053.07</v>
      </c>
      <c r="AC66" s="4">
        <f>$M$66*$W$66</f>
        <v>0</v>
      </c>
      <c r="AD66" s="4">
        <f>$O$66*$X$66</f>
        <v>0</v>
      </c>
      <c r="AE66" s="4">
        <f ca="1">$K$66*$Y$66</f>
        <v>1212.6342658613141</v>
      </c>
      <c r="AF66" s="4">
        <f>$M$66*$Z$66</f>
        <v>0</v>
      </c>
      <c r="AG66" s="4">
        <f>$O$66*$AA$66</f>
        <v>0</v>
      </c>
    </row>
    <row r="67" spans="1:33" ht="11.25" customHeight="1" x14ac:dyDescent="0.3">
      <c r="A67" s="3" t="s">
        <v>21</v>
      </c>
      <c r="B67" s="3" t="s">
        <v>39</v>
      </c>
      <c r="C67" s="3" t="s">
        <v>40</v>
      </c>
      <c r="D67" s="3" t="s">
        <v>41</v>
      </c>
      <c r="E67" s="3" t="s">
        <v>25</v>
      </c>
      <c r="F67" s="3" t="s">
        <v>25</v>
      </c>
      <c r="G67" s="3" t="s">
        <v>25</v>
      </c>
      <c r="H67" s="3" t="s">
        <v>25</v>
      </c>
      <c r="I67" s="6">
        <v>44562</v>
      </c>
      <c r="J67" s="4">
        <v>3076</v>
      </c>
      <c r="K67" s="4">
        <v>3076</v>
      </c>
      <c r="L67" s="4">
        <v>0</v>
      </c>
      <c r="M67" s="4">
        <v>0</v>
      </c>
      <c r="N67" s="4">
        <v>0</v>
      </c>
      <c r="O67" s="4">
        <v>0</v>
      </c>
      <c r="P67" s="4">
        <v>22</v>
      </c>
      <c r="Q67" s="3" t="s">
        <v>26</v>
      </c>
      <c r="R67" s="3">
        <v>0</v>
      </c>
      <c r="S67" s="4">
        <v>9</v>
      </c>
      <c r="T67" s="4">
        <v>0</v>
      </c>
      <c r="U67" s="4">
        <v>0</v>
      </c>
      <c r="V67" s="4">
        <f>IF(ISERROR(VLOOKUP($S$67,'TAR FIN'!$A$1:$O$91,15,0)),0,VLOOKUP($S$67,'TAR FIN'!$A$1:$O$91,15,0))</f>
        <v>33.97</v>
      </c>
      <c r="W67" s="4">
        <f>IF(ISERROR(VLOOKUP($T$67,'TAR FIN'!$A$1:$O$91,15,0)),0,VLOOKUP($T$67,'TAR FIN'!$A$1:$O$91,15,0))</f>
        <v>0</v>
      </c>
      <c r="X67" s="4">
        <f>IF(ISERROR(VLOOKUP($U$67,'TAR FIN'!$A$1:$O$91,15,0)),0,VLOOKUP($U$67,'TAR FIN'!$A$1:$O$91,15,0))</f>
        <v>0</v>
      </c>
      <c r="Y67" s="4">
        <f ca="1">('TUSD BE'!$AM$13+'TUSD BF'!$AM$13+'TUSD CVA'!$AM$13)*1</f>
        <v>39.117234382623039</v>
      </c>
      <c r="Z67" s="4"/>
      <c r="AA67" s="4"/>
      <c r="AB67" s="4">
        <f>$K$67*$V$67</f>
        <v>104491.72</v>
      </c>
      <c r="AC67" s="4">
        <f>$M$67*$W$67</f>
        <v>0</v>
      </c>
      <c r="AD67" s="4">
        <f>$O$67*$X$67</f>
        <v>0</v>
      </c>
      <c r="AE67" s="4">
        <f ca="1">$K$67*$Y$67</f>
        <v>120324.61296094846</v>
      </c>
      <c r="AF67" s="4">
        <f>$M$67*$Z$67</f>
        <v>0</v>
      </c>
      <c r="AG67" s="4">
        <f>$O$67*$AA$67</f>
        <v>0</v>
      </c>
    </row>
    <row r="68" spans="1:33" ht="11.25" customHeight="1" x14ac:dyDescent="0.3">
      <c r="A68" s="3" t="s">
        <v>28</v>
      </c>
      <c r="B68" s="3" t="s">
        <v>39</v>
      </c>
      <c r="C68" s="3" t="s">
        <v>40</v>
      </c>
      <c r="D68" s="3" t="s">
        <v>41</v>
      </c>
      <c r="E68" s="3" t="s">
        <v>25</v>
      </c>
      <c r="F68" s="3" t="s">
        <v>25</v>
      </c>
      <c r="G68" s="3" t="s">
        <v>25</v>
      </c>
      <c r="H68" s="3" t="s">
        <v>25</v>
      </c>
      <c r="I68" s="6">
        <v>44562</v>
      </c>
      <c r="J68" s="4">
        <v>40</v>
      </c>
      <c r="K68" s="4">
        <v>40</v>
      </c>
      <c r="L68" s="4">
        <v>0</v>
      </c>
      <c r="M68" s="4">
        <v>0</v>
      </c>
      <c r="N68" s="4">
        <v>0</v>
      </c>
      <c r="O68" s="4">
        <v>0</v>
      </c>
      <c r="P68" s="4">
        <v>1</v>
      </c>
      <c r="Q68" s="3" t="s">
        <v>26</v>
      </c>
      <c r="R68" s="3">
        <v>0</v>
      </c>
      <c r="S68" s="4">
        <v>9</v>
      </c>
      <c r="T68" s="4">
        <v>0</v>
      </c>
      <c r="U68" s="4">
        <v>0</v>
      </c>
      <c r="V68" s="4">
        <f>IF(ISERROR(VLOOKUP($S$68,'TAR FIN'!$A$1:$O$91,15,0)),0,VLOOKUP($S$68,'TAR FIN'!$A$1:$O$91,15,0))</f>
        <v>33.97</v>
      </c>
      <c r="W68" s="4">
        <f>IF(ISERROR(VLOOKUP($T$68,'TAR FIN'!$A$1:$O$91,15,0)),0,VLOOKUP($T$68,'TAR FIN'!$A$1:$O$91,15,0))</f>
        <v>0</v>
      </c>
      <c r="X68" s="4">
        <f>IF(ISERROR(VLOOKUP($U$68,'TAR FIN'!$A$1:$O$91,15,0)),0,VLOOKUP($U$68,'TAR FIN'!$A$1:$O$91,15,0))</f>
        <v>0</v>
      </c>
      <c r="Y68" s="4">
        <f ca="1">('TUSD BE'!$AM$13+'TUSD BF'!$AM$13+'TUSD CVA'!$AM$13)*1</f>
        <v>39.117234382623039</v>
      </c>
      <c r="Z68" s="4"/>
      <c r="AA68" s="4"/>
      <c r="AB68" s="4">
        <f>$K$68*$V$68</f>
        <v>1358.8</v>
      </c>
      <c r="AC68" s="4">
        <f>$M$68*$W$68</f>
        <v>0</v>
      </c>
      <c r="AD68" s="4">
        <f>$O$68*$X$68</f>
        <v>0</v>
      </c>
      <c r="AE68" s="4">
        <f ca="1">$K$68*$Y$68</f>
        <v>1564.6893753049217</v>
      </c>
      <c r="AF68" s="4">
        <f>$M$68*$Z$68</f>
        <v>0</v>
      </c>
      <c r="AG68" s="4">
        <f>$O$68*$AA$68</f>
        <v>0</v>
      </c>
    </row>
    <row r="69" spans="1:33" ht="11.25" customHeight="1" x14ac:dyDescent="0.3">
      <c r="A69" s="3" t="s">
        <v>21</v>
      </c>
      <c r="B69" s="3" t="s">
        <v>39</v>
      </c>
      <c r="C69" s="3" t="s">
        <v>40</v>
      </c>
      <c r="D69" s="3" t="s">
        <v>41</v>
      </c>
      <c r="E69" s="3" t="s">
        <v>25</v>
      </c>
      <c r="F69" s="3" t="s">
        <v>25</v>
      </c>
      <c r="G69" s="3" t="s">
        <v>25</v>
      </c>
      <c r="H69" s="3" t="s">
        <v>25</v>
      </c>
      <c r="I69" s="6">
        <v>44593</v>
      </c>
      <c r="J69" s="4">
        <v>3078</v>
      </c>
      <c r="K69" s="4">
        <v>3078</v>
      </c>
      <c r="L69" s="4">
        <v>0</v>
      </c>
      <c r="M69" s="4">
        <v>0</v>
      </c>
      <c r="N69" s="4">
        <v>0</v>
      </c>
      <c r="O69" s="4">
        <v>0</v>
      </c>
      <c r="P69" s="4">
        <v>21</v>
      </c>
      <c r="Q69" s="3" t="s">
        <v>26</v>
      </c>
      <c r="R69" s="3">
        <v>0</v>
      </c>
      <c r="S69" s="4">
        <v>9</v>
      </c>
      <c r="T69" s="4">
        <v>0</v>
      </c>
      <c r="U69" s="4">
        <v>0</v>
      </c>
      <c r="V69" s="4">
        <f>IF(ISERROR(VLOOKUP($S$69,'TAR FIN'!$A$1:$O$91,15,0)),0,VLOOKUP($S$69,'TAR FIN'!$A$1:$O$91,15,0))</f>
        <v>33.97</v>
      </c>
      <c r="W69" s="4">
        <f>IF(ISERROR(VLOOKUP($T$69,'TAR FIN'!$A$1:$O$91,15,0)),0,VLOOKUP($T$69,'TAR FIN'!$A$1:$O$91,15,0))</f>
        <v>0</v>
      </c>
      <c r="X69" s="4">
        <f>IF(ISERROR(VLOOKUP($U$69,'TAR FIN'!$A$1:$O$91,15,0)),0,VLOOKUP($U$69,'TAR FIN'!$A$1:$O$91,15,0))</f>
        <v>0</v>
      </c>
      <c r="Y69" s="4">
        <f ca="1">('TUSD BE'!$AM$13+'TUSD BF'!$AM$13+'TUSD CVA'!$AM$13)*1</f>
        <v>39.117234382623039</v>
      </c>
      <c r="Z69" s="4"/>
      <c r="AA69" s="4"/>
      <c r="AB69" s="4">
        <f>$K$69*$V$69</f>
        <v>104559.66</v>
      </c>
      <c r="AC69" s="4">
        <f>$M$69*$W$69</f>
        <v>0</v>
      </c>
      <c r="AD69" s="4">
        <f>$O$69*$X$69</f>
        <v>0</v>
      </c>
      <c r="AE69" s="4">
        <f ca="1">$K$69*$Y$69</f>
        <v>120402.84742971371</v>
      </c>
      <c r="AF69" s="4">
        <f>$M$69*$Z$69</f>
        <v>0</v>
      </c>
      <c r="AG69" s="4">
        <f>$O$69*$AA$69</f>
        <v>0</v>
      </c>
    </row>
    <row r="70" spans="1:33" ht="11.25" customHeight="1" x14ac:dyDescent="0.3">
      <c r="A70" s="3" t="s">
        <v>28</v>
      </c>
      <c r="B70" s="3" t="s">
        <v>39</v>
      </c>
      <c r="C70" s="3" t="s">
        <v>40</v>
      </c>
      <c r="D70" s="3" t="s">
        <v>41</v>
      </c>
      <c r="E70" s="3" t="s">
        <v>25</v>
      </c>
      <c r="F70" s="3" t="s">
        <v>25</v>
      </c>
      <c r="G70" s="3" t="s">
        <v>25</v>
      </c>
      <c r="H70" s="3" t="s">
        <v>25</v>
      </c>
      <c r="I70" s="6">
        <v>44593</v>
      </c>
      <c r="J70" s="4">
        <v>40</v>
      </c>
      <c r="K70" s="4">
        <v>40</v>
      </c>
      <c r="L70" s="4">
        <v>0</v>
      </c>
      <c r="M70" s="4">
        <v>0</v>
      </c>
      <c r="N70" s="4">
        <v>0</v>
      </c>
      <c r="O70" s="4">
        <v>0</v>
      </c>
      <c r="P70" s="4">
        <v>1</v>
      </c>
      <c r="Q70" s="3" t="s">
        <v>26</v>
      </c>
      <c r="R70" s="3">
        <v>0</v>
      </c>
      <c r="S70" s="4">
        <v>9</v>
      </c>
      <c r="T70" s="4">
        <v>0</v>
      </c>
      <c r="U70" s="4">
        <v>0</v>
      </c>
      <c r="V70" s="4">
        <f>IF(ISERROR(VLOOKUP($S$70,'TAR FIN'!$A$1:$O$91,15,0)),0,VLOOKUP($S$70,'TAR FIN'!$A$1:$O$91,15,0))</f>
        <v>33.97</v>
      </c>
      <c r="W70" s="4">
        <f>IF(ISERROR(VLOOKUP($T$70,'TAR FIN'!$A$1:$O$91,15,0)),0,VLOOKUP($T$70,'TAR FIN'!$A$1:$O$91,15,0))</f>
        <v>0</v>
      </c>
      <c r="X70" s="4">
        <f>IF(ISERROR(VLOOKUP($U$70,'TAR FIN'!$A$1:$O$91,15,0)),0,VLOOKUP($U$70,'TAR FIN'!$A$1:$O$91,15,0))</f>
        <v>0</v>
      </c>
      <c r="Y70" s="4">
        <f ca="1">('TUSD BE'!$AM$13+'TUSD BF'!$AM$13+'TUSD CVA'!$AM$13)*1</f>
        <v>39.117234382623039</v>
      </c>
      <c r="Z70" s="4"/>
      <c r="AA70" s="4"/>
      <c r="AB70" s="4">
        <f>$K$70*$V$70</f>
        <v>1358.8</v>
      </c>
      <c r="AC70" s="4">
        <f>$M$70*$W$70</f>
        <v>0</v>
      </c>
      <c r="AD70" s="4">
        <f>$O$70*$X$70</f>
        <v>0</v>
      </c>
      <c r="AE70" s="4">
        <f ca="1">$K$70*$Y$70</f>
        <v>1564.6893753049217</v>
      </c>
      <c r="AF70" s="4">
        <f>$M$70*$Z$70</f>
        <v>0</v>
      </c>
      <c r="AG70" s="4">
        <f>$O$70*$AA$70</f>
        <v>0</v>
      </c>
    </row>
    <row r="71" spans="1:33" ht="11.25" customHeight="1" x14ac:dyDescent="0.3">
      <c r="A71" s="3" t="s">
        <v>21</v>
      </c>
      <c r="B71" s="3" t="s">
        <v>39</v>
      </c>
      <c r="C71" s="3" t="s">
        <v>40</v>
      </c>
      <c r="D71" s="3" t="s">
        <v>41</v>
      </c>
      <c r="E71" s="3" t="s">
        <v>25</v>
      </c>
      <c r="F71" s="3" t="s">
        <v>25</v>
      </c>
      <c r="G71" s="3" t="s">
        <v>25</v>
      </c>
      <c r="H71" s="3" t="s">
        <v>25</v>
      </c>
      <c r="I71" s="6">
        <v>44621</v>
      </c>
      <c r="J71" s="4">
        <v>3372</v>
      </c>
      <c r="K71" s="4">
        <v>3372</v>
      </c>
      <c r="L71" s="4">
        <v>0</v>
      </c>
      <c r="M71" s="4">
        <v>0</v>
      </c>
      <c r="N71" s="4">
        <v>0</v>
      </c>
      <c r="O71" s="4">
        <v>0</v>
      </c>
      <c r="P71" s="4">
        <v>21</v>
      </c>
      <c r="Q71" s="3" t="s">
        <v>26</v>
      </c>
      <c r="R71" s="3">
        <v>0</v>
      </c>
      <c r="S71" s="4">
        <v>9</v>
      </c>
      <c r="T71" s="4">
        <v>0</v>
      </c>
      <c r="U71" s="4">
        <v>0</v>
      </c>
      <c r="V71" s="4">
        <f>IF(ISERROR(VLOOKUP($S$71,'TAR FIN'!$A$1:$O$91,15,0)),0,VLOOKUP($S$71,'TAR FIN'!$A$1:$O$91,15,0))</f>
        <v>33.97</v>
      </c>
      <c r="W71" s="4">
        <f>IF(ISERROR(VLOOKUP($T$71,'TAR FIN'!$A$1:$O$91,15,0)),0,VLOOKUP($T$71,'TAR FIN'!$A$1:$O$91,15,0))</f>
        <v>0</v>
      </c>
      <c r="X71" s="4">
        <f>IF(ISERROR(VLOOKUP($U$71,'TAR FIN'!$A$1:$O$91,15,0)),0,VLOOKUP($U$71,'TAR FIN'!$A$1:$O$91,15,0))</f>
        <v>0</v>
      </c>
      <c r="Y71" s="4">
        <f ca="1">('TUSD BE'!$AM$13+'TUSD BF'!$AM$13+'TUSD CVA'!$AM$13)*1</f>
        <v>39.117234382623039</v>
      </c>
      <c r="Z71" s="4"/>
      <c r="AA71" s="4"/>
      <c r="AB71" s="4">
        <f>$K$71*$V$71</f>
        <v>114546.84</v>
      </c>
      <c r="AC71" s="4">
        <f>$M$71*$W$71</f>
        <v>0</v>
      </c>
      <c r="AD71" s="4">
        <f>$O$71*$X$71</f>
        <v>0</v>
      </c>
      <c r="AE71" s="4">
        <f ca="1">$K$71*$Y$71</f>
        <v>131903.31433820489</v>
      </c>
      <c r="AF71" s="4">
        <f>$M$71*$Z$71</f>
        <v>0</v>
      </c>
      <c r="AG71" s="4">
        <f>$O$71*$AA$71</f>
        <v>0</v>
      </c>
    </row>
    <row r="72" spans="1:33" ht="11.25" customHeight="1" x14ac:dyDescent="0.3">
      <c r="A72" s="3" t="s">
        <v>28</v>
      </c>
      <c r="B72" s="3" t="s">
        <v>39</v>
      </c>
      <c r="C72" s="3" t="s">
        <v>40</v>
      </c>
      <c r="D72" s="3" t="s">
        <v>41</v>
      </c>
      <c r="E72" s="3" t="s">
        <v>25</v>
      </c>
      <c r="F72" s="3" t="s">
        <v>25</v>
      </c>
      <c r="G72" s="3" t="s">
        <v>25</v>
      </c>
      <c r="H72" s="3" t="s">
        <v>25</v>
      </c>
      <c r="I72" s="6">
        <v>44621</v>
      </c>
      <c r="J72" s="4">
        <v>36</v>
      </c>
      <c r="K72" s="4">
        <v>36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3" t="s">
        <v>26</v>
      </c>
      <c r="R72" s="3">
        <v>0</v>
      </c>
      <c r="S72" s="4">
        <v>9</v>
      </c>
      <c r="T72" s="4">
        <v>0</v>
      </c>
      <c r="U72" s="4">
        <v>0</v>
      </c>
      <c r="V72" s="4">
        <f>IF(ISERROR(VLOOKUP($S$72,'TAR FIN'!$A$1:$O$91,15,0)),0,VLOOKUP($S$72,'TAR FIN'!$A$1:$O$91,15,0))</f>
        <v>33.97</v>
      </c>
      <c r="W72" s="4">
        <f>IF(ISERROR(VLOOKUP($T$72,'TAR FIN'!$A$1:$O$91,15,0)),0,VLOOKUP($T$72,'TAR FIN'!$A$1:$O$91,15,0))</f>
        <v>0</v>
      </c>
      <c r="X72" s="4">
        <f>IF(ISERROR(VLOOKUP($U$72,'TAR FIN'!$A$1:$O$91,15,0)),0,VLOOKUP($U$72,'TAR FIN'!$A$1:$O$91,15,0))</f>
        <v>0</v>
      </c>
      <c r="Y72" s="4">
        <f ca="1">('TUSD BE'!$AM$13+'TUSD BF'!$AM$13+'TUSD CVA'!$AM$13)*1</f>
        <v>39.117234382623039</v>
      </c>
      <c r="Z72" s="4"/>
      <c r="AA72" s="4"/>
      <c r="AB72" s="4">
        <f>$K$72*$V$72</f>
        <v>1222.92</v>
      </c>
      <c r="AC72" s="4">
        <f>$M$72*$W$72</f>
        <v>0</v>
      </c>
      <c r="AD72" s="4">
        <f>$O$72*$X$72</f>
        <v>0</v>
      </c>
      <c r="AE72" s="4">
        <f ca="1">$K$72*$Y$72</f>
        <v>1408.2204377744295</v>
      </c>
      <c r="AF72" s="4">
        <f>$M$72*$Z$72</f>
        <v>0</v>
      </c>
      <c r="AG72" s="4">
        <f>$O$72*$AA$72</f>
        <v>0</v>
      </c>
    </row>
    <row r="73" spans="1:33" ht="11.25" customHeight="1" x14ac:dyDescent="0.3">
      <c r="A73" s="3" t="s">
        <v>21</v>
      </c>
      <c r="B73" s="3" t="s">
        <v>39</v>
      </c>
      <c r="C73" s="3" t="s">
        <v>40</v>
      </c>
      <c r="D73" s="3" t="s">
        <v>41</v>
      </c>
      <c r="E73" s="3" t="s">
        <v>25</v>
      </c>
      <c r="F73" s="3" t="s">
        <v>25</v>
      </c>
      <c r="G73" s="3" t="s">
        <v>25</v>
      </c>
      <c r="H73" s="3" t="s">
        <v>25</v>
      </c>
      <c r="I73" s="6">
        <v>44652</v>
      </c>
      <c r="J73" s="4">
        <v>3218</v>
      </c>
      <c r="K73" s="4">
        <v>3218</v>
      </c>
      <c r="L73" s="4">
        <v>0</v>
      </c>
      <c r="M73" s="4">
        <v>0</v>
      </c>
      <c r="N73" s="4">
        <v>0</v>
      </c>
      <c r="O73" s="4">
        <v>0</v>
      </c>
      <c r="P73" s="4">
        <v>21</v>
      </c>
      <c r="Q73" s="3" t="s">
        <v>26</v>
      </c>
      <c r="R73" s="3">
        <v>0</v>
      </c>
      <c r="S73" s="4">
        <v>9</v>
      </c>
      <c r="T73" s="4">
        <v>0</v>
      </c>
      <c r="U73" s="4">
        <v>0</v>
      </c>
      <c r="V73" s="4">
        <f>IF(ISERROR(VLOOKUP($S$73,'TAR FIN'!$A$1:$O$91,15,0)),0,VLOOKUP($S$73,'TAR FIN'!$A$1:$O$91,15,0))</f>
        <v>33.97</v>
      </c>
      <c r="W73" s="4">
        <f>IF(ISERROR(VLOOKUP($T$73,'TAR FIN'!$A$1:$O$91,15,0)),0,VLOOKUP($T$73,'TAR FIN'!$A$1:$O$91,15,0))</f>
        <v>0</v>
      </c>
      <c r="X73" s="4">
        <f>IF(ISERROR(VLOOKUP($U$73,'TAR FIN'!$A$1:$O$91,15,0)),0,VLOOKUP($U$73,'TAR FIN'!$A$1:$O$91,15,0))</f>
        <v>0</v>
      </c>
      <c r="Y73" s="4">
        <f ca="1">('TUSD BE'!$AM$13+'TUSD BF'!$AM$13+'TUSD CVA'!$AM$13)*1</f>
        <v>39.117234382623039</v>
      </c>
      <c r="Z73" s="4"/>
      <c r="AA73" s="4"/>
      <c r="AB73" s="4">
        <f>$K$73*$V$73</f>
        <v>109315.45999999999</v>
      </c>
      <c r="AC73" s="4">
        <f>$M$73*$W$73</f>
        <v>0</v>
      </c>
      <c r="AD73" s="4">
        <f>$O$73*$X$73</f>
        <v>0</v>
      </c>
      <c r="AE73" s="4">
        <f ca="1">$K$73*$Y$73</f>
        <v>125879.26024328094</v>
      </c>
      <c r="AF73" s="4">
        <f>$M$73*$Z$73</f>
        <v>0</v>
      </c>
      <c r="AG73" s="4">
        <f>$O$73*$AA$73</f>
        <v>0</v>
      </c>
    </row>
    <row r="74" spans="1:33" ht="11.25" customHeight="1" x14ac:dyDescent="0.3">
      <c r="A74" s="3" t="s">
        <v>28</v>
      </c>
      <c r="B74" s="3" t="s">
        <v>39</v>
      </c>
      <c r="C74" s="3" t="s">
        <v>40</v>
      </c>
      <c r="D74" s="3" t="s">
        <v>41</v>
      </c>
      <c r="E74" s="3" t="s">
        <v>25</v>
      </c>
      <c r="F74" s="3" t="s">
        <v>25</v>
      </c>
      <c r="G74" s="3" t="s">
        <v>25</v>
      </c>
      <c r="H74" s="3" t="s">
        <v>25</v>
      </c>
      <c r="I74" s="6">
        <v>44652</v>
      </c>
      <c r="J74" s="4">
        <v>68</v>
      </c>
      <c r="K74" s="4">
        <v>68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3" t="s">
        <v>26</v>
      </c>
      <c r="R74" s="3">
        <v>0</v>
      </c>
      <c r="S74" s="4">
        <v>9</v>
      </c>
      <c r="T74" s="4">
        <v>0</v>
      </c>
      <c r="U74" s="4">
        <v>0</v>
      </c>
      <c r="V74" s="4">
        <f>IF(ISERROR(VLOOKUP($S$74,'TAR FIN'!$A$1:$O$91,15,0)),0,VLOOKUP($S$74,'TAR FIN'!$A$1:$O$91,15,0))</f>
        <v>33.97</v>
      </c>
      <c r="W74" s="4">
        <f>IF(ISERROR(VLOOKUP($T$74,'TAR FIN'!$A$1:$O$91,15,0)),0,VLOOKUP($T$74,'TAR FIN'!$A$1:$O$91,15,0))</f>
        <v>0</v>
      </c>
      <c r="X74" s="4">
        <f>IF(ISERROR(VLOOKUP($U$74,'TAR FIN'!$A$1:$O$91,15,0)),0,VLOOKUP($U$74,'TAR FIN'!$A$1:$O$91,15,0))</f>
        <v>0</v>
      </c>
      <c r="Y74" s="4">
        <f ca="1">('TUSD BE'!$AM$13+'TUSD BF'!$AM$13+'TUSD CVA'!$AM$13)*1</f>
        <v>39.117234382623039</v>
      </c>
      <c r="Z74" s="4"/>
      <c r="AA74" s="4"/>
      <c r="AB74" s="4">
        <f>$K$74*$V$74</f>
        <v>2309.96</v>
      </c>
      <c r="AC74" s="4">
        <f>$M$74*$W$74</f>
        <v>0</v>
      </c>
      <c r="AD74" s="4">
        <f>$O$74*$X$74</f>
        <v>0</v>
      </c>
      <c r="AE74" s="4">
        <f ca="1">$K$74*$Y$74</f>
        <v>2659.9719380183665</v>
      </c>
      <c r="AF74" s="4">
        <f>$M$74*$Z$74</f>
        <v>0</v>
      </c>
      <c r="AG74" s="4">
        <f>$O$74*$AA$74</f>
        <v>0</v>
      </c>
    </row>
    <row r="75" spans="1:33" ht="11.25" customHeight="1" x14ac:dyDescent="0.3">
      <c r="A75" s="3" t="s">
        <v>21</v>
      </c>
      <c r="B75" s="3" t="s">
        <v>39</v>
      </c>
      <c r="C75" s="3" t="s">
        <v>40</v>
      </c>
      <c r="D75" s="3" t="s">
        <v>41</v>
      </c>
      <c r="E75" s="3" t="s">
        <v>25</v>
      </c>
      <c r="F75" s="3" t="s">
        <v>25</v>
      </c>
      <c r="G75" s="3" t="s">
        <v>25</v>
      </c>
      <c r="H75" s="3" t="s">
        <v>25</v>
      </c>
      <c r="I75" s="6">
        <v>44682</v>
      </c>
      <c r="J75" s="4">
        <v>3318</v>
      </c>
      <c r="K75" s="4">
        <v>3318</v>
      </c>
      <c r="L75" s="4">
        <v>0</v>
      </c>
      <c r="M75" s="4">
        <v>0</v>
      </c>
      <c r="N75" s="4">
        <v>0</v>
      </c>
      <c r="O75" s="4">
        <v>0</v>
      </c>
      <c r="P75" s="4">
        <v>21</v>
      </c>
      <c r="Q75" s="3" t="s">
        <v>26</v>
      </c>
      <c r="R75" s="3">
        <v>0</v>
      </c>
      <c r="S75" s="4">
        <v>9</v>
      </c>
      <c r="T75" s="4">
        <v>0</v>
      </c>
      <c r="U75" s="4">
        <v>0</v>
      </c>
      <c r="V75" s="4">
        <f>IF(ISERROR(VLOOKUP($S$75,'TAR FIN'!$A$1:$O$91,15,0)),0,VLOOKUP($S$75,'TAR FIN'!$A$1:$O$91,15,0))</f>
        <v>33.97</v>
      </c>
      <c r="W75" s="4">
        <f>IF(ISERROR(VLOOKUP($T$75,'TAR FIN'!$A$1:$O$91,15,0)),0,VLOOKUP($T$75,'TAR FIN'!$A$1:$O$91,15,0))</f>
        <v>0</v>
      </c>
      <c r="X75" s="4">
        <f>IF(ISERROR(VLOOKUP($U$75,'TAR FIN'!$A$1:$O$91,15,0)),0,VLOOKUP($U$75,'TAR FIN'!$A$1:$O$91,15,0))</f>
        <v>0</v>
      </c>
      <c r="Y75" s="4">
        <f ca="1">('TUSD BE'!$AM$13+'TUSD BF'!$AM$13+'TUSD CVA'!$AM$13)*1</f>
        <v>39.117234382623039</v>
      </c>
      <c r="Z75" s="4"/>
      <c r="AA75" s="4"/>
      <c r="AB75" s="4">
        <f>$K$75*$V$75</f>
        <v>112712.45999999999</v>
      </c>
      <c r="AC75" s="4">
        <f>$M$75*$W$75</f>
        <v>0</v>
      </c>
      <c r="AD75" s="4">
        <f>$O$75*$X$75</f>
        <v>0</v>
      </c>
      <c r="AE75" s="4">
        <f ca="1">$K$75*$Y$75</f>
        <v>129790.98368154325</v>
      </c>
      <c r="AF75" s="4">
        <f>$M$75*$Z$75</f>
        <v>0</v>
      </c>
      <c r="AG75" s="4">
        <f>$O$75*$AA$75</f>
        <v>0</v>
      </c>
    </row>
    <row r="76" spans="1:33" ht="11.25" customHeight="1" x14ac:dyDescent="0.3">
      <c r="A76" s="3" t="s">
        <v>28</v>
      </c>
      <c r="B76" s="3" t="s">
        <v>39</v>
      </c>
      <c r="C76" s="3" t="s">
        <v>40</v>
      </c>
      <c r="D76" s="3" t="s">
        <v>41</v>
      </c>
      <c r="E76" s="3" t="s">
        <v>25</v>
      </c>
      <c r="F76" s="3" t="s">
        <v>25</v>
      </c>
      <c r="G76" s="3" t="s">
        <v>25</v>
      </c>
      <c r="H76" s="3" t="s">
        <v>25</v>
      </c>
      <c r="I76" s="6">
        <v>44682</v>
      </c>
      <c r="J76" s="4">
        <v>50</v>
      </c>
      <c r="K76" s="4">
        <v>50</v>
      </c>
      <c r="L76" s="4">
        <v>0</v>
      </c>
      <c r="M76" s="4">
        <v>0</v>
      </c>
      <c r="N76" s="4">
        <v>0</v>
      </c>
      <c r="O76" s="4">
        <v>0</v>
      </c>
      <c r="P76" s="4">
        <v>1</v>
      </c>
      <c r="Q76" s="3" t="s">
        <v>26</v>
      </c>
      <c r="R76" s="3">
        <v>0</v>
      </c>
      <c r="S76" s="4">
        <v>9</v>
      </c>
      <c r="T76" s="4">
        <v>0</v>
      </c>
      <c r="U76" s="4">
        <v>0</v>
      </c>
      <c r="V76" s="4">
        <f>IF(ISERROR(VLOOKUP($S$76,'TAR FIN'!$A$1:$O$91,15,0)),0,VLOOKUP($S$76,'TAR FIN'!$A$1:$O$91,15,0))</f>
        <v>33.97</v>
      </c>
      <c r="W76" s="4">
        <f>IF(ISERROR(VLOOKUP($T$76,'TAR FIN'!$A$1:$O$91,15,0)),0,VLOOKUP($T$76,'TAR FIN'!$A$1:$O$91,15,0))</f>
        <v>0</v>
      </c>
      <c r="X76" s="4">
        <f>IF(ISERROR(VLOOKUP($U$76,'TAR FIN'!$A$1:$O$91,15,0)),0,VLOOKUP($U$76,'TAR FIN'!$A$1:$O$91,15,0))</f>
        <v>0</v>
      </c>
      <c r="Y76" s="4">
        <f ca="1">('TUSD BE'!$AM$13+'TUSD BF'!$AM$13+'TUSD CVA'!$AM$13)*1</f>
        <v>39.117234382623039</v>
      </c>
      <c r="Z76" s="4"/>
      <c r="AA76" s="4"/>
      <c r="AB76" s="4">
        <f>$K$76*$V$76</f>
        <v>1698.5</v>
      </c>
      <c r="AC76" s="4">
        <f>$M$76*$W$76</f>
        <v>0</v>
      </c>
      <c r="AD76" s="4">
        <f>$O$76*$X$76</f>
        <v>0</v>
      </c>
      <c r="AE76" s="4">
        <f ca="1">$K$76*$Y$76</f>
        <v>1955.8617191311519</v>
      </c>
      <c r="AF76" s="4">
        <f>$M$76*$Z$76</f>
        <v>0</v>
      </c>
      <c r="AG76" s="4">
        <f>$O$76*$AA$76</f>
        <v>0</v>
      </c>
    </row>
    <row r="77" spans="1:33" ht="11.25" customHeight="1" x14ac:dyDescent="0.3">
      <c r="A77" s="3" t="s">
        <v>21</v>
      </c>
      <c r="B77" s="3" t="s">
        <v>39</v>
      </c>
      <c r="C77" s="3" t="s">
        <v>40</v>
      </c>
      <c r="D77" s="3" t="s">
        <v>41</v>
      </c>
      <c r="E77" s="3" t="s">
        <v>25</v>
      </c>
      <c r="F77" s="3" t="s">
        <v>25</v>
      </c>
      <c r="G77" s="3" t="s">
        <v>25</v>
      </c>
      <c r="H77" s="3" t="s">
        <v>25</v>
      </c>
      <c r="I77" s="6">
        <v>44713</v>
      </c>
      <c r="J77" s="4">
        <v>3163</v>
      </c>
      <c r="K77" s="4">
        <v>3163</v>
      </c>
      <c r="L77" s="4">
        <v>0</v>
      </c>
      <c r="M77" s="4">
        <v>0</v>
      </c>
      <c r="N77" s="4">
        <v>0</v>
      </c>
      <c r="O77" s="4">
        <v>0</v>
      </c>
      <c r="P77" s="4">
        <v>21</v>
      </c>
      <c r="Q77" s="3" t="s">
        <v>26</v>
      </c>
      <c r="R77" s="3">
        <v>0</v>
      </c>
      <c r="S77" s="4">
        <v>9</v>
      </c>
      <c r="T77" s="4">
        <v>0</v>
      </c>
      <c r="U77" s="4">
        <v>0</v>
      </c>
      <c r="V77" s="4">
        <f>IF(ISERROR(VLOOKUP($S$77,'TAR FIN'!$A$1:$O$91,15,0)),0,VLOOKUP($S$77,'TAR FIN'!$A$1:$O$91,15,0))</f>
        <v>33.97</v>
      </c>
      <c r="W77" s="4">
        <f>IF(ISERROR(VLOOKUP($T$77,'TAR FIN'!$A$1:$O$91,15,0)),0,VLOOKUP($T$77,'TAR FIN'!$A$1:$O$91,15,0))</f>
        <v>0</v>
      </c>
      <c r="X77" s="4">
        <f>IF(ISERROR(VLOOKUP($U$77,'TAR FIN'!$A$1:$O$91,15,0)),0,VLOOKUP($U$77,'TAR FIN'!$A$1:$O$91,15,0))</f>
        <v>0</v>
      </c>
      <c r="Y77" s="4">
        <f ca="1">('TUSD BE'!$AM$13+'TUSD BF'!$AM$13+'TUSD CVA'!$AM$13)*1</f>
        <v>39.117234382623039</v>
      </c>
      <c r="Z77" s="4"/>
      <c r="AA77" s="4"/>
      <c r="AB77" s="4">
        <f>$K$77*$V$77</f>
        <v>107447.11</v>
      </c>
      <c r="AC77" s="4">
        <f>$M$77*$W$77</f>
        <v>0</v>
      </c>
      <c r="AD77" s="4">
        <f>$O$77*$X$77</f>
        <v>0</v>
      </c>
      <c r="AE77" s="4">
        <f ca="1">$K$77*$Y$77</f>
        <v>123727.81235223667</v>
      </c>
      <c r="AF77" s="4">
        <f>$M$77*$Z$77</f>
        <v>0</v>
      </c>
      <c r="AG77" s="4">
        <f>$O$77*$AA$77</f>
        <v>0</v>
      </c>
    </row>
    <row r="78" spans="1:33" ht="11.25" customHeight="1" x14ac:dyDescent="0.3">
      <c r="A78" s="3" t="s">
        <v>28</v>
      </c>
      <c r="B78" s="3" t="s">
        <v>39</v>
      </c>
      <c r="C78" s="3" t="s">
        <v>40</v>
      </c>
      <c r="D78" s="3" t="s">
        <v>41</v>
      </c>
      <c r="E78" s="3" t="s">
        <v>25</v>
      </c>
      <c r="F78" s="3" t="s">
        <v>25</v>
      </c>
      <c r="G78" s="3" t="s">
        <v>25</v>
      </c>
      <c r="H78" s="3" t="s">
        <v>25</v>
      </c>
      <c r="I78" s="6">
        <v>44713</v>
      </c>
      <c r="J78" s="4">
        <v>54</v>
      </c>
      <c r="K78" s="4">
        <v>54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3" t="s">
        <v>26</v>
      </c>
      <c r="R78" s="3">
        <v>0</v>
      </c>
      <c r="S78" s="4">
        <v>9</v>
      </c>
      <c r="T78" s="4">
        <v>0</v>
      </c>
      <c r="U78" s="4">
        <v>0</v>
      </c>
      <c r="V78" s="4">
        <f>IF(ISERROR(VLOOKUP($S$78,'TAR FIN'!$A$1:$O$91,15,0)),0,VLOOKUP($S$78,'TAR FIN'!$A$1:$O$91,15,0))</f>
        <v>33.97</v>
      </c>
      <c r="W78" s="4">
        <f>IF(ISERROR(VLOOKUP($T$78,'TAR FIN'!$A$1:$O$91,15,0)),0,VLOOKUP($T$78,'TAR FIN'!$A$1:$O$91,15,0))</f>
        <v>0</v>
      </c>
      <c r="X78" s="4">
        <f>IF(ISERROR(VLOOKUP($U$78,'TAR FIN'!$A$1:$O$91,15,0)),0,VLOOKUP($U$78,'TAR FIN'!$A$1:$O$91,15,0))</f>
        <v>0</v>
      </c>
      <c r="Y78" s="4">
        <f ca="1">('TUSD BE'!$AM$13+'TUSD BF'!$AM$13+'TUSD CVA'!$AM$13)*1</f>
        <v>39.117234382623039</v>
      </c>
      <c r="Z78" s="4"/>
      <c r="AA78" s="4"/>
      <c r="AB78" s="4">
        <f>$K$78*$V$78</f>
        <v>1834.3799999999999</v>
      </c>
      <c r="AC78" s="4">
        <f>$M$78*$W$78</f>
        <v>0</v>
      </c>
      <c r="AD78" s="4">
        <f>$O$78*$X$78</f>
        <v>0</v>
      </c>
      <c r="AE78" s="4">
        <f ca="1">$K$78*$Y$78</f>
        <v>2112.3306566616443</v>
      </c>
      <c r="AF78" s="4">
        <f>$M$78*$Z$78</f>
        <v>0</v>
      </c>
      <c r="AG78" s="4">
        <f>$O$78*$AA$78</f>
        <v>0</v>
      </c>
    </row>
    <row r="79" spans="1:33" ht="11.25" customHeight="1" x14ac:dyDescent="0.3">
      <c r="A79" s="3" t="s">
        <v>21</v>
      </c>
      <c r="B79" s="3" t="s">
        <v>39</v>
      </c>
      <c r="C79" s="3" t="s">
        <v>40</v>
      </c>
      <c r="D79" s="3" t="s">
        <v>41</v>
      </c>
      <c r="E79" s="3" t="s">
        <v>25</v>
      </c>
      <c r="F79" s="3" t="s">
        <v>25</v>
      </c>
      <c r="G79" s="3" t="s">
        <v>25</v>
      </c>
      <c r="H79" s="3" t="s">
        <v>34</v>
      </c>
      <c r="I79" s="6">
        <v>44378</v>
      </c>
      <c r="J79" s="4">
        <v>0</v>
      </c>
      <c r="K79" s="4">
        <v>0</v>
      </c>
      <c r="L79" s="4">
        <v>23.748999999999999</v>
      </c>
      <c r="M79" s="4">
        <v>23.748999999999999</v>
      </c>
      <c r="N79" s="4">
        <v>23.748999999999999</v>
      </c>
      <c r="O79" s="4">
        <v>23.748999999999999</v>
      </c>
      <c r="P79" s="4">
        <v>0</v>
      </c>
      <c r="Q79" s="3" t="s">
        <v>26</v>
      </c>
      <c r="R79" s="3">
        <v>0</v>
      </c>
      <c r="S79" s="4">
        <v>0</v>
      </c>
      <c r="T79" s="4">
        <v>10</v>
      </c>
      <c r="U79" s="4">
        <v>51</v>
      </c>
      <c r="V79" s="4">
        <f>IF(ISERROR(VLOOKUP($S$79,'TAR FIN'!$A$1:$O$91,15,0)),0,VLOOKUP($S$79,'TAR FIN'!$A$1:$O$91,15,0))</f>
        <v>0</v>
      </c>
      <c r="W79" s="4">
        <f>IF(ISERROR(VLOOKUP($T$79,'TAR FIN'!$A$1:$O$91,15,0)),0,VLOOKUP($T$79,'TAR FIN'!$A$1:$O$91,15,0))</f>
        <v>1755.54</v>
      </c>
      <c r="X79" s="4">
        <f>IF(ISERROR(VLOOKUP($U$79,'TAR FIN'!$A$1:$O$91,15,0)),0,VLOOKUP($U$79,'TAR FIN'!$A$1:$O$91,15,0))</f>
        <v>298.83999999999997</v>
      </c>
      <c r="Y79" s="4"/>
      <c r="Z79" s="4">
        <f ca="1">('TUSD BE'!$AM$14+'TUSD BF'!$AM$14+'TUSD CVA'!$AM$14)*1</f>
        <v>1891.4266775287376</v>
      </c>
      <c r="AA79" s="4">
        <f>('TE BE'!$AB$5+'TE BF'!$AB$5+'TE CVA'!$AB$5)*1</f>
        <v>311.4117891483653</v>
      </c>
      <c r="AB79" s="4">
        <f>$K$79*$V$79</f>
        <v>0</v>
      </c>
      <c r="AC79" s="4">
        <f>$M$79*$W$79</f>
        <v>41692.319459999999</v>
      </c>
      <c r="AD79" s="4">
        <f>$O$79*$X$79</f>
        <v>7097.1511599999994</v>
      </c>
      <c r="AE79" s="4">
        <f>$K$79*$Y$79</f>
        <v>0</v>
      </c>
      <c r="AF79" s="4">
        <f ca="1">$M$79*$Z$79</f>
        <v>44919.492164629984</v>
      </c>
      <c r="AG79" s="4">
        <f>$O$79*$AA$79</f>
        <v>7395.7185804845276</v>
      </c>
    </row>
    <row r="80" spans="1:33" ht="11.25" customHeight="1" x14ac:dyDescent="0.3">
      <c r="A80" s="3" t="s">
        <v>28</v>
      </c>
      <c r="B80" s="3" t="s">
        <v>39</v>
      </c>
      <c r="C80" s="3" t="s">
        <v>40</v>
      </c>
      <c r="D80" s="3" t="s">
        <v>41</v>
      </c>
      <c r="E80" s="3" t="s">
        <v>25</v>
      </c>
      <c r="F80" s="3" t="s">
        <v>25</v>
      </c>
      <c r="G80" s="3" t="s">
        <v>25</v>
      </c>
      <c r="H80" s="3" t="s">
        <v>34</v>
      </c>
      <c r="I80" s="6">
        <v>44378</v>
      </c>
      <c r="J80" s="4">
        <v>0</v>
      </c>
      <c r="K80" s="4">
        <v>0</v>
      </c>
      <c r="L80" s="4">
        <v>1.258</v>
      </c>
      <c r="M80" s="4">
        <v>1.258</v>
      </c>
      <c r="N80" s="4">
        <v>1.258</v>
      </c>
      <c r="O80" s="4">
        <v>1.258</v>
      </c>
      <c r="P80" s="4">
        <v>0</v>
      </c>
      <c r="Q80" s="3" t="s">
        <v>26</v>
      </c>
      <c r="R80" s="3">
        <v>0</v>
      </c>
      <c r="S80" s="4">
        <v>0</v>
      </c>
      <c r="T80" s="4">
        <v>10</v>
      </c>
      <c r="U80" s="4">
        <v>51</v>
      </c>
      <c r="V80" s="4">
        <f>IF(ISERROR(VLOOKUP($S$80,'TAR FIN'!$A$1:$O$91,15,0)),0,VLOOKUP($S$80,'TAR FIN'!$A$1:$O$91,15,0))</f>
        <v>0</v>
      </c>
      <c r="W80" s="4">
        <f>IF(ISERROR(VLOOKUP($T$80,'TAR FIN'!$A$1:$O$91,15,0)),0,VLOOKUP($T$80,'TAR FIN'!$A$1:$O$91,15,0))</f>
        <v>1755.54</v>
      </c>
      <c r="X80" s="4">
        <f>IF(ISERROR(VLOOKUP($U$80,'TAR FIN'!$A$1:$O$91,15,0)),0,VLOOKUP($U$80,'TAR FIN'!$A$1:$O$91,15,0))</f>
        <v>298.83999999999997</v>
      </c>
      <c r="Y80" s="4"/>
      <c r="Z80" s="4">
        <f ca="1">('TUSD BE'!$AM$14+'TUSD BF'!$AM$14+'TUSD CVA'!$AM$14)*1</f>
        <v>1891.4266775287376</v>
      </c>
      <c r="AA80" s="4">
        <f>('TE BE'!$AB$5+'TE BF'!$AB$5+'TE CVA'!$AB$5)*1</f>
        <v>311.4117891483653</v>
      </c>
      <c r="AB80" s="4">
        <f>$K$80*$V$80</f>
        <v>0</v>
      </c>
      <c r="AC80" s="4">
        <f>$M$80*$W$80</f>
        <v>2208.4693200000002</v>
      </c>
      <c r="AD80" s="4">
        <f>$O$80*$X$80</f>
        <v>375.94072</v>
      </c>
      <c r="AE80" s="4">
        <f>$K$80*$Y$80</f>
        <v>0</v>
      </c>
      <c r="AF80" s="4">
        <f ca="1">$M$80*$Z$80</f>
        <v>2379.4147603311521</v>
      </c>
      <c r="AG80" s="4">
        <f>$O$80*$AA$80</f>
        <v>391.75603074864352</v>
      </c>
    </row>
    <row r="81" spans="1:33" ht="11.25" customHeight="1" x14ac:dyDescent="0.3">
      <c r="A81" s="3" t="s">
        <v>21</v>
      </c>
      <c r="B81" s="3" t="s">
        <v>39</v>
      </c>
      <c r="C81" s="3" t="s">
        <v>40</v>
      </c>
      <c r="D81" s="3" t="s">
        <v>41</v>
      </c>
      <c r="E81" s="3" t="s">
        <v>25</v>
      </c>
      <c r="F81" s="3" t="s">
        <v>25</v>
      </c>
      <c r="G81" s="3" t="s">
        <v>25</v>
      </c>
      <c r="H81" s="3" t="s">
        <v>34</v>
      </c>
      <c r="I81" s="6">
        <v>44409</v>
      </c>
      <c r="J81" s="4">
        <v>0</v>
      </c>
      <c r="K81" s="4">
        <v>0</v>
      </c>
      <c r="L81" s="4">
        <v>19.725999999999999</v>
      </c>
      <c r="M81" s="4">
        <v>19.725999999999999</v>
      </c>
      <c r="N81" s="4">
        <v>19.725999999999999</v>
      </c>
      <c r="O81" s="4">
        <v>19.725999999999999</v>
      </c>
      <c r="P81" s="4">
        <v>0</v>
      </c>
      <c r="Q81" s="3" t="s">
        <v>26</v>
      </c>
      <c r="R81" s="3">
        <v>0</v>
      </c>
      <c r="S81" s="4">
        <v>0</v>
      </c>
      <c r="T81" s="4">
        <v>10</v>
      </c>
      <c r="U81" s="4">
        <v>51</v>
      </c>
      <c r="V81" s="4">
        <f>IF(ISERROR(VLOOKUP($S$81,'TAR FIN'!$A$1:$O$91,15,0)),0,VLOOKUP($S$81,'TAR FIN'!$A$1:$O$91,15,0))</f>
        <v>0</v>
      </c>
      <c r="W81" s="4">
        <f>IF(ISERROR(VLOOKUP($T$81,'TAR FIN'!$A$1:$O$91,15,0)),0,VLOOKUP($T$81,'TAR FIN'!$A$1:$O$91,15,0))</f>
        <v>1755.54</v>
      </c>
      <c r="X81" s="4">
        <f>IF(ISERROR(VLOOKUP($U$81,'TAR FIN'!$A$1:$O$91,15,0)),0,VLOOKUP($U$81,'TAR FIN'!$A$1:$O$91,15,0))</f>
        <v>298.83999999999997</v>
      </c>
      <c r="Y81" s="4"/>
      <c r="Z81" s="4">
        <f ca="1">('TUSD BE'!$AM$14+'TUSD BF'!$AM$14+'TUSD CVA'!$AM$14)*1</f>
        <v>1891.4266775287376</v>
      </c>
      <c r="AA81" s="4">
        <f>('TE BE'!$AB$5+'TE BF'!$AB$5+'TE CVA'!$AB$5)*1</f>
        <v>311.4117891483653</v>
      </c>
      <c r="AB81" s="4">
        <f>$K$81*$V$81</f>
        <v>0</v>
      </c>
      <c r="AC81" s="4">
        <f>$M$81*$W$81</f>
        <v>34629.782039999998</v>
      </c>
      <c r="AD81" s="4">
        <f>$O$81*$X$81</f>
        <v>5894.9178399999992</v>
      </c>
      <c r="AE81" s="4">
        <f>$K$81*$Y$81</f>
        <v>0</v>
      </c>
      <c r="AF81" s="4">
        <f ca="1">$M$81*$Z$81</f>
        <v>37310.282640931873</v>
      </c>
      <c r="AG81" s="4">
        <f>$O$81*$AA$81</f>
        <v>6142.9089527406541</v>
      </c>
    </row>
    <row r="82" spans="1:33" ht="11.25" customHeight="1" x14ac:dyDescent="0.3">
      <c r="A82" s="3" t="s">
        <v>28</v>
      </c>
      <c r="B82" s="3" t="s">
        <v>39</v>
      </c>
      <c r="C82" s="3" t="s">
        <v>40</v>
      </c>
      <c r="D82" s="3" t="s">
        <v>41</v>
      </c>
      <c r="E82" s="3" t="s">
        <v>25</v>
      </c>
      <c r="F82" s="3" t="s">
        <v>25</v>
      </c>
      <c r="G82" s="3" t="s">
        <v>25</v>
      </c>
      <c r="H82" s="3" t="s">
        <v>34</v>
      </c>
      <c r="I82" s="6">
        <v>44409</v>
      </c>
      <c r="J82" s="4">
        <v>0</v>
      </c>
      <c r="K82" s="4">
        <v>0</v>
      </c>
      <c r="L82" s="4">
        <v>1.046</v>
      </c>
      <c r="M82" s="4">
        <v>1.046</v>
      </c>
      <c r="N82" s="4">
        <v>1.046</v>
      </c>
      <c r="O82" s="4">
        <v>1.046</v>
      </c>
      <c r="P82" s="4">
        <v>0</v>
      </c>
      <c r="Q82" s="3" t="s">
        <v>26</v>
      </c>
      <c r="R82" s="3">
        <v>0</v>
      </c>
      <c r="S82" s="4">
        <v>0</v>
      </c>
      <c r="T82" s="4">
        <v>10</v>
      </c>
      <c r="U82" s="4">
        <v>51</v>
      </c>
      <c r="V82" s="4">
        <f>IF(ISERROR(VLOOKUP($S$82,'TAR FIN'!$A$1:$O$91,15,0)),0,VLOOKUP($S$82,'TAR FIN'!$A$1:$O$91,15,0))</f>
        <v>0</v>
      </c>
      <c r="W82" s="4">
        <f>IF(ISERROR(VLOOKUP($T$82,'TAR FIN'!$A$1:$O$91,15,0)),0,VLOOKUP($T$82,'TAR FIN'!$A$1:$O$91,15,0))</f>
        <v>1755.54</v>
      </c>
      <c r="X82" s="4">
        <f>IF(ISERROR(VLOOKUP($U$82,'TAR FIN'!$A$1:$O$91,15,0)),0,VLOOKUP($U$82,'TAR FIN'!$A$1:$O$91,15,0))</f>
        <v>298.83999999999997</v>
      </c>
      <c r="Y82" s="4"/>
      <c r="Z82" s="4">
        <f ca="1">('TUSD BE'!$AM$14+'TUSD BF'!$AM$14+'TUSD CVA'!$AM$14)*1</f>
        <v>1891.4266775287376</v>
      </c>
      <c r="AA82" s="4">
        <f>('TE BE'!$AB$5+'TE BF'!$AB$5+'TE CVA'!$AB$5)*1</f>
        <v>311.4117891483653</v>
      </c>
      <c r="AB82" s="4">
        <f>$K$82*$V$82</f>
        <v>0</v>
      </c>
      <c r="AC82" s="4">
        <f>$M$82*$W$82</f>
        <v>1836.29484</v>
      </c>
      <c r="AD82" s="4">
        <f>$O$82*$X$82</f>
        <v>312.58663999999999</v>
      </c>
      <c r="AE82" s="4">
        <f>$K$82*$Y$82</f>
        <v>0</v>
      </c>
      <c r="AF82" s="4">
        <f ca="1">$M$82*$Z$82</f>
        <v>1978.4323046950597</v>
      </c>
      <c r="AG82" s="4">
        <f>$O$82*$AA$82</f>
        <v>325.73673144919013</v>
      </c>
    </row>
    <row r="83" spans="1:33" ht="11.25" customHeight="1" x14ac:dyDescent="0.3">
      <c r="A83" s="3" t="s">
        <v>21</v>
      </c>
      <c r="B83" s="3" t="s">
        <v>39</v>
      </c>
      <c r="C83" s="3" t="s">
        <v>40</v>
      </c>
      <c r="D83" s="3" t="s">
        <v>41</v>
      </c>
      <c r="E83" s="3" t="s">
        <v>25</v>
      </c>
      <c r="F83" s="3" t="s">
        <v>25</v>
      </c>
      <c r="G83" s="3" t="s">
        <v>25</v>
      </c>
      <c r="H83" s="3" t="s">
        <v>34</v>
      </c>
      <c r="I83" s="6">
        <v>44440</v>
      </c>
      <c r="J83" s="4">
        <v>0</v>
      </c>
      <c r="K83" s="4">
        <v>0</v>
      </c>
      <c r="L83" s="4">
        <v>21.129000000000001</v>
      </c>
      <c r="M83" s="4">
        <v>21.129000000000001</v>
      </c>
      <c r="N83" s="4">
        <v>21.129000000000001</v>
      </c>
      <c r="O83" s="4">
        <v>21.129000000000001</v>
      </c>
      <c r="P83" s="4">
        <v>0</v>
      </c>
      <c r="Q83" s="3" t="s">
        <v>26</v>
      </c>
      <c r="R83" s="3">
        <v>0</v>
      </c>
      <c r="S83" s="4">
        <v>0</v>
      </c>
      <c r="T83" s="4">
        <v>10</v>
      </c>
      <c r="U83" s="4">
        <v>51</v>
      </c>
      <c r="V83" s="4">
        <f>IF(ISERROR(VLOOKUP($S$83,'TAR FIN'!$A$1:$O$91,15,0)),0,VLOOKUP($S$83,'TAR FIN'!$A$1:$O$91,15,0))</f>
        <v>0</v>
      </c>
      <c r="W83" s="4">
        <f>IF(ISERROR(VLOOKUP($T$83,'TAR FIN'!$A$1:$O$91,15,0)),0,VLOOKUP($T$83,'TAR FIN'!$A$1:$O$91,15,0))</f>
        <v>1755.54</v>
      </c>
      <c r="X83" s="4">
        <f>IF(ISERROR(VLOOKUP($U$83,'TAR FIN'!$A$1:$O$91,15,0)),0,VLOOKUP($U$83,'TAR FIN'!$A$1:$O$91,15,0))</f>
        <v>298.83999999999997</v>
      </c>
      <c r="Y83" s="4"/>
      <c r="Z83" s="4">
        <f ca="1">('TUSD BE'!$AM$14+'TUSD BF'!$AM$14+'TUSD CVA'!$AM$14)*1</f>
        <v>1891.4266775287376</v>
      </c>
      <c r="AA83" s="4">
        <f>('TE BE'!$AB$5+'TE BF'!$AB$5+'TE CVA'!$AB$5)*1</f>
        <v>311.4117891483653</v>
      </c>
      <c r="AB83" s="4">
        <f>$K$83*$V$83</f>
        <v>0</v>
      </c>
      <c r="AC83" s="4">
        <f>$M$83*$W$83</f>
        <v>37092.804660000002</v>
      </c>
      <c r="AD83" s="4">
        <f>$O$83*$X$83</f>
        <v>6314.1903599999996</v>
      </c>
      <c r="AE83" s="4">
        <f>$K$83*$Y$83</f>
        <v>0</v>
      </c>
      <c r="AF83" s="4">
        <f ca="1">$M$83*$Z$83</f>
        <v>39963.954269504698</v>
      </c>
      <c r="AG83" s="4">
        <f>$O$83*$AA$83</f>
        <v>6579.8196929158112</v>
      </c>
    </row>
    <row r="84" spans="1:33" ht="11.25" customHeight="1" x14ac:dyDescent="0.3">
      <c r="A84" s="3" t="s">
        <v>21</v>
      </c>
      <c r="B84" s="3" t="s">
        <v>39</v>
      </c>
      <c r="C84" s="3" t="s">
        <v>40</v>
      </c>
      <c r="D84" s="3" t="s">
        <v>41</v>
      </c>
      <c r="E84" s="3" t="s">
        <v>25</v>
      </c>
      <c r="F84" s="3" t="s">
        <v>25</v>
      </c>
      <c r="G84" s="3" t="s">
        <v>25</v>
      </c>
      <c r="H84" s="3" t="s">
        <v>34</v>
      </c>
      <c r="I84" s="6">
        <v>44470</v>
      </c>
      <c r="J84" s="4">
        <v>0</v>
      </c>
      <c r="K84" s="4">
        <v>0</v>
      </c>
      <c r="L84" s="4">
        <v>23.539000000000001</v>
      </c>
      <c r="M84" s="4">
        <v>23.539000000000001</v>
      </c>
      <c r="N84" s="4">
        <v>23.539000000000001</v>
      </c>
      <c r="O84" s="4">
        <v>23.539000000000001</v>
      </c>
      <c r="P84" s="4">
        <v>0</v>
      </c>
      <c r="Q84" s="3" t="s">
        <v>26</v>
      </c>
      <c r="R84" s="3">
        <v>0</v>
      </c>
      <c r="S84" s="4">
        <v>0</v>
      </c>
      <c r="T84" s="4">
        <v>10</v>
      </c>
      <c r="U84" s="4">
        <v>51</v>
      </c>
      <c r="V84" s="4">
        <f>IF(ISERROR(VLOOKUP($S$84,'TAR FIN'!$A$1:$O$91,15,0)),0,VLOOKUP($S$84,'TAR FIN'!$A$1:$O$91,15,0))</f>
        <v>0</v>
      </c>
      <c r="W84" s="4">
        <f>IF(ISERROR(VLOOKUP($T$84,'TAR FIN'!$A$1:$O$91,15,0)),0,VLOOKUP($T$84,'TAR FIN'!$A$1:$O$91,15,0))</f>
        <v>1755.54</v>
      </c>
      <c r="X84" s="4">
        <f>IF(ISERROR(VLOOKUP($U$84,'TAR FIN'!$A$1:$O$91,15,0)),0,VLOOKUP($U$84,'TAR FIN'!$A$1:$O$91,15,0))</f>
        <v>298.83999999999997</v>
      </c>
      <c r="Y84" s="4"/>
      <c r="Z84" s="4">
        <f ca="1">('TUSD BE'!$AM$14+'TUSD BF'!$AM$14+'TUSD CVA'!$AM$14)*1</f>
        <v>1891.4266775287376</v>
      </c>
      <c r="AA84" s="4">
        <f>('TE BE'!$AB$5+'TE BF'!$AB$5+'TE CVA'!$AB$5)*1</f>
        <v>311.4117891483653</v>
      </c>
      <c r="AB84" s="4">
        <f>$K$84*$V$84</f>
        <v>0</v>
      </c>
      <c r="AC84" s="4">
        <f>$M$84*$W$84</f>
        <v>41323.656060000001</v>
      </c>
      <c r="AD84" s="4">
        <f>$O$84*$X$84</f>
        <v>7034.3947600000001</v>
      </c>
      <c r="AE84" s="4">
        <f>$K$84*$Y$84</f>
        <v>0</v>
      </c>
      <c r="AF84" s="4">
        <f ca="1">$M$84*$Z$84</f>
        <v>44522.292562348957</v>
      </c>
      <c r="AG84" s="4">
        <f>$O$84*$AA$84</f>
        <v>7330.3221047633715</v>
      </c>
    </row>
    <row r="85" spans="1:33" ht="11.25" customHeight="1" x14ac:dyDescent="0.3">
      <c r="A85" s="3" t="s">
        <v>21</v>
      </c>
      <c r="B85" s="3" t="s">
        <v>39</v>
      </c>
      <c r="C85" s="3" t="s">
        <v>40</v>
      </c>
      <c r="D85" s="3" t="s">
        <v>41</v>
      </c>
      <c r="E85" s="3" t="s">
        <v>25</v>
      </c>
      <c r="F85" s="3" t="s">
        <v>25</v>
      </c>
      <c r="G85" s="3" t="s">
        <v>25</v>
      </c>
      <c r="H85" s="3" t="s">
        <v>34</v>
      </c>
      <c r="I85" s="6">
        <v>44501</v>
      </c>
      <c r="J85" s="4">
        <v>0</v>
      </c>
      <c r="K85" s="4">
        <v>0</v>
      </c>
      <c r="L85" s="4">
        <v>28.260999999999999</v>
      </c>
      <c r="M85" s="4">
        <v>28.260999999999999</v>
      </c>
      <c r="N85" s="4">
        <v>28.260999999999999</v>
      </c>
      <c r="O85" s="4">
        <v>28.260999999999999</v>
      </c>
      <c r="P85" s="4">
        <v>0</v>
      </c>
      <c r="Q85" s="3" t="s">
        <v>26</v>
      </c>
      <c r="R85" s="3">
        <v>0</v>
      </c>
      <c r="S85" s="4">
        <v>0</v>
      </c>
      <c r="T85" s="4">
        <v>10</v>
      </c>
      <c r="U85" s="4">
        <v>51</v>
      </c>
      <c r="V85" s="4">
        <f>IF(ISERROR(VLOOKUP($S$85,'TAR FIN'!$A$1:$O$91,15,0)),0,VLOOKUP($S$85,'TAR FIN'!$A$1:$O$91,15,0))</f>
        <v>0</v>
      </c>
      <c r="W85" s="4">
        <f>IF(ISERROR(VLOOKUP($T$85,'TAR FIN'!$A$1:$O$91,15,0)),0,VLOOKUP($T$85,'TAR FIN'!$A$1:$O$91,15,0))</f>
        <v>1755.54</v>
      </c>
      <c r="X85" s="4">
        <f>IF(ISERROR(VLOOKUP($U$85,'TAR FIN'!$A$1:$O$91,15,0)),0,VLOOKUP($U$85,'TAR FIN'!$A$1:$O$91,15,0))</f>
        <v>298.83999999999997</v>
      </c>
      <c r="Y85" s="4"/>
      <c r="Z85" s="4">
        <f ca="1">('TUSD BE'!$AM$14+'TUSD BF'!$AM$14+'TUSD CVA'!$AM$14)*1</f>
        <v>1891.4266775287376</v>
      </c>
      <c r="AA85" s="4">
        <f>('TE BE'!$AB$5+'TE BF'!$AB$5+'TE CVA'!$AB$5)*1</f>
        <v>311.4117891483653</v>
      </c>
      <c r="AB85" s="4">
        <f>$K$85*$V$85</f>
        <v>0</v>
      </c>
      <c r="AC85" s="4">
        <f>$M$85*$W$85</f>
        <v>49613.31594</v>
      </c>
      <c r="AD85" s="4">
        <f>$O$85*$X$85</f>
        <v>8445.5172399999992</v>
      </c>
      <c r="AE85" s="4">
        <f>$K$85*$Y$85</f>
        <v>0</v>
      </c>
      <c r="AF85" s="4">
        <f ca="1">$M$85*$Z$85</f>
        <v>53453.609333639652</v>
      </c>
      <c r="AG85" s="4">
        <f>$O$85*$AA$85</f>
        <v>8800.8085731219508</v>
      </c>
    </row>
    <row r="86" spans="1:33" ht="11.25" customHeight="1" x14ac:dyDescent="0.3">
      <c r="A86" s="3" t="s">
        <v>21</v>
      </c>
      <c r="B86" s="3" t="s">
        <v>39</v>
      </c>
      <c r="C86" s="3" t="s">
        <v>40</v>
      </c>
      <c r="D86" s="3" t="s">
        <v>41</v>
      </c>
      <c r="E86" s="3" t="s">
        <v>25</v>
      </c>
      <c r="F86" s="3" t="s">
        <v>25</v>
      </c>
      <c r="G86" s="3" t="s">
        <v>25</v>
      </c>
      <c r="H86" s="3" t="s">
        <v>34</v>
      </c>
      <c r="I86" s="6">
        <v>44531</v>
      </c>
      <c r="J86" s="4">
        <v>0</v>
      </c>
      <c r="K86" s="4">
        <v>0</v>
      </c>
      <c r="L86" s="4">
        <v>35.386000000000003</v>
      </c>
      <c r="M86" s="4">
        <v>35.386000000000003</v>
      </c>
      <c r="N86" s="4">
        <v>35.386000000000003</v>
      </c>
      <c r="O86" s="4">
        <v>35.386000000000003</v>
      </c>
      <c r="P86" s="4">
        <v>0</v>
      </c>
      <c r="Q86" s="3" t="s">
        <v>26</v>
      </c>
      <c r="R86" s="3">
        <v>0</v>
      </c>
      <c r="S86" s="4">
        <v>0</v>
      </c>
      <c r="T86" s="4">
        <v>10</v>
      </c>
      <c r="U86" s="4">
        <v>51</v>
      </c>
      <c r="V86" s="4">
        <f>IF(ISERROR(VLOOKUP($S$86,'TAR FIN'!$A$1:$O$91,15,0)),0,VLOOKUP($S$86,'TAR FIN'!$A$1:$O$91,15,0))</f>
        <v>0</v>
      </c>
      <c r="W86" s="4">
        <f>IF(ISERROR(VLOOKUP($T$86,'TAR FIN'!$A$1:$O$91,15,0)),0,VLOOKUP($T$86,'TAR FIN'!$A$1:$O$91,15,0))</f>
        <v>1755.54</v>
      </c>
      <c r="X86" s="4">
        <f>IF(ISERROR(VLOOKUP($U$86,'TAR FIN'!$A$1:$O$91,15,0)),0,VLOOKUP($U$86,'TAR FIN'!$A$1:$O$91,15,0))</f>
        <v>298.83999999999997</v>
      </c>
      <c r="Y86" s="4"/>
      <c r="Z86" s="4">
        <f ca="1">('TUSD BE'!$AM$14+'TUSD BF'!$AM$14+'TUSD CVA'!$AM$14)*1</f>
        <v>1891.4266775287376</v>
      </c>
      <c r="AA86" s="4">
        <f>('TE BE'!$AB$5+'TE BF'!$AB$5+'TE CVA'!$AB$5)*1</f>
        <v>311.4117891483653</v>
      </c>
      <c r="AB86" s="4">
        <f>$K$86*$V$86</f>
        <v>0</v>
      </c>
      <c r="AC86" s="4">
        <f>$M$86*$W$86</f>
        <v>62121.538440000004</v>
      </c>
      <c r="AD86" s="4">
        <f>$O$86*$X$86</f>
        <v>10574.75224</v>
      </c>
      <c r="AE86" s="4">
        <f>$K$86*$Y$86</f>
        <v>0</v>
      </c>
      <c r="AF86" s="4">
        <f ca="1">$M$86*$Z$86</f>
        <v>66930.024411031918</v>
      </c>
      <c r="AG86" s="4">
        <f>$O$86*$AA$86</f>
        <v>11019.617570804056</v>
      </c>
    </row>
    <row r="87" spans="1:33" ht="11.25" customHeight="1" x14ac:dyDescent="0.3">
      <c r="A87" s="3" t="s">
        <v>21</v>
      </c>
      <c r="B87" s="3" t="s">
        <v>39</v>
      </c>
      <c r="C87" s="3" t="s">
        <v>40</v>
      </c>
      <c r="D87" s="3" t="s">
        <v>41</v>
      </c>
      <c r="E87" s="3" t="s">
        <v>25</v>
      </c>
      <c r="F87" s="3" t="s">
        <v>25</v>
      </c>
      <c r="G87" s="3" t="s">
        <v>25</v>
      </c>
      <c r="H87" s="3" t="s">
        <v>34</v>
      </c>
      <c r="I87" s="6">
        <v>44562</v>
      </c>
      <c r="J87" s="4">
        <v>0</v>
      </c>
      <c r="K87" s="4">
        <v>0</v>
      </c>
      <c r="L87" s="4">
        <v>30.181999999999999</v>
      </c>
      <c r="M87" s="4">
        <v>30.181999999999999</v>
      </c>
      <c r="N87" s="4">
        <v>30.181999999999999</v>
      </c>
      <c r="O87" s="4">
        <v>30.181999999999999</v>
      </c>
      <c r="P87" s="4">
        <v>0</v>
      </c>
      <c r="Q87" s="3" t="s">
        <v>26</v>
      </c>
      <c r="R87" s="3">
        <v>0</v>
      </c>
      <c r="S87" s="4">
        <v>0</v>
      </c>
      <c r="T87" s="4">
        <v>10</v>
      </c>
      <c r="U87" s="4">
        <v>51</v>
      </c>
      <c r="V87" s="4">
        <f>IF(ISERROR(VLOOKUP($S$87,'TAR FIN'!$A$1:$O$91,15,0)),0,VLOOKUP($S$87,'TAR FIN'!$A$1:$O$91,15,0))</f>
        <v>0</v>
      </c>
      <c r="W87" s="4">
        <f>IF(ISERROR(VLOOKUP($T$87,'TAR FIN'!$A$1:$O$91,15,0)),0,VLOOKUP($T$87,'TAR FIN'!$A$1:$O$91,15,0))</f>
        <v>1755.54</v>
      </c>
      <c r="X87" s="4">
        <f>IF(ISERROR(VLOOKUP($U$87,'TAR FIN'!$A$1:$O$91,15,0)),0,VLOOKUP($U$87,'TAR FIN'!$A$1:$O$91,15,0))</f>
        <v>298.83999999999997</v>
      </c>
      <c r="Y87" s="4"/>
      <c r="Z87" s="4">
        <f ca="1">('TUSD BE'!$AM$14+'TUSD BF'!$AM$14+'TUSD CVA'!$AM$14)*1</f>
        <v>1891.4266775287376</v>
      </c>
      <c r="AA87" s="4">
        <f>('TE BE'!$AB$5+'TE BF'!$AB$5+'TE CVA'!$AB$5)*1</f>
        <v>311.4117891483653</v>
      </c>
      <c r="AB87" s="4">
        <f>$K$87*$V$87</f>
        <v>0</v>
      </c>
      <c r="AC87" s="4">
        <f>$M$87*$W$87</f>
        <v>52985.708279999999</v>
      </c>
      <c r="AD87" s="4">
        <f>$O$87*$X$87</f>
        <v>9019.5888799999993</v>
      </c>
      <c r="AE87" s="4">
        <f>$K$87*$Y$87</f>
        <v>0</v>
      </c>
      <c r="AF87" s="4">
        <f ca="1">$M$87*$Z$87</f>
        <v>57087.039981172355</v>
      </c>
      <c r="AG87" s="4">
        <f>$O$87*$AA$87</f>
        <v>9399.0306200759605</v>
      </c>
    </row>
    <row r="88" spans="1:33" ht="11.25" customHeight="1" x14ac:dyDescent="0.3">
      <c r="A88" s="3" t="s">
        <v>21</v>
      </c>
      <c r="B88" s="3" t="s">
        <v>39</v>
      </c>
      <c r="C88" s="3" t="s">
        <v>40</v>
      </c>
      <c r="D88" s="3" t="s">
        <v>41</v>
      </c>
      <c r="E88" s="3" t="s">
        <v>25</v>
      </c>
      <c r="F88" s="3" t="s">
        <v>25</v>
      </c>
      <c r="G88" s="3" t="s">
        <v>25</v>
      </c>
      <c r="H88" s="3" t="s">
        <v>34</v>
      </c>
      <c r="I88" s="6">
        <v>44593</v>
      </c>
      <c r="J88" s="4">
        <v>0</v>
      </c>
      <c r="K88" s="4">
        <v>0</v>
      </c>
      <c r="L88" s="4">
        <v>30.413</v>
      </c>
      <c r="M88" s="4">
        <v>30.413</v>
      </c>
      <c r="N88" s="4">
        <v>30.413</v>
      </c>
      <c r="O88" s="4">
        <v>30.413</v>
      </c>
      <c r="P88" s="4">
        <v>0</v>
      </c>
      <c r="Q88" s="3" t="s">
        <v>26</v>
      </c>
      <c r="R88" s="3">
        <v>0</v>
      </c>
      <c r="S88" s="4">
        <v>0</v>
      </c>
      <c r="T88" s="4">
        <v>10</v>
      </c>
      <c r="U88" s="4">
        <v>51</v>
      </c>
      <c r="V88" s="4">
        <f>IF(ISERROR(VLOOKUP($S$88,'TAR FIN'!$A$1:$O$91,15,0)),0,VLOOKUP($S$88,'TAR FIN'!$A$1:$O$91,15,0))</f>
        <v>0</v>
      </c>
      <c r="W88" s="4">
        <f>IF(ISERROR(VLOOKUP($T$88,'TAR FIN'!$A$1:$O$91,15,0)),0,VLOOKUP($T$88,'TAR FIN'!$A$1:$O$91,15,0))</f>
        <v>1755.54</v>
      </c>
      <c r="X88" s="4">
        <f>IF(ISERROR(VLOOKUP($U$88,'TAR FIN'!$A$1:$O$91,15,0)),0,VLOOKUP($U$88,'TAR FIN'!$A$1:$O$91,15,0))</f>
        <v>298.83999999999997</v>
      </c>
      <c r="Y88" s="4"/>
      <c r="Z88" s="4">
        <f ca="1">('TUSD BE'!$AM$14+'TUSD BF'!$AM$14+'TUSD CVA'!$AM$14)*1</f>
        <v>1891.4266775287376</v>
      </c>
      <c r="AA88" s="4">
        <f>('TE BE'!$AB$5+'TE BF'!$AB$5+'TE CVA'!$AB$5)*1</f>
        <v>311.4117891483653</v>
      </c>
      <c r="AB88" s="4">
        <f>$K$88*$V$88</f>
        <v>0</v>
      </c>
      <c r="AC88" s="4">
        <f>$M$88*$W$88</f>
        <v>53391.238019999997</v>
      </c>
      <c r="AD88" s="4">
        <f>$O$88*$X$88</f>
        <v>9088.6209199999994</v>
      </c>
      <c r="AE88" s="4">
        <f>$K$88*$Y$88</f>
        <v>0</v>
      </c>
      <c r="AF88" s="4">
        <f ca="1">$M$88*$Z$88</f>
        <v>57523.9595436815</v>
      </c>
      <c r="AG88" s="4">
        <f>$O$88*$AA$88</f>
        <v>9470.9667433692339</v>
      </c>
    </row>
    <row r="89" spans="1:33" ht="11.25" customHeight="1" x14ac:dyDescent="0.3">
      <c r="A89" s="3" t="s">
        <v>21</v>
      </c>
      <c r="B89" s="3" t="s">
        <v>39</v>
      </c>
      <c r="C89" s="3" t="s">
        <v>40</v>
      </c>
      <c r="D89" s="3" t="s">
        <v>41</v>
      </c>
      <c r="E89" s="3" t="s">
        <v>25</v>
      </c>
      <c r="F89" s="3" t="s">
        <v>25</v>
      </c>
      <c r="G89" s="3" t="s">
        <v>25</v>
      </c>
      <c r="H89" s="3" t="s">
        <v>34</v>
      </c>
      <c r="I89" s="6">
        <v>44621</v>
      </c>
      <c r="J89" s="4">
        <v>0</v>
      </c>
      <c r="K89" s="4">
        <v>0</v>
      </c>
      <c r="L89" s="4">
        <v>43.679000000000002</v>
      </c>
      <c r="M89" s="4">
        <v>43.679000000000002</v>
      </c>
      <c r="N89" s="4">
        <v>43.679000000000002</v>
      </c>
      <c r="O89" s="4">
        <v>43.679000000000002</v>
      </c>
      <c r="P89" s="4">
        <v>0</v>
      </c>
      <c r="Q89" s="3" t="s">
        <v>26</v>
      </c>
      <c r="R89" s="3">
        <v>0</v>
      </c>
      <c r="S89" s="4">
        <v>0</v>
      </c>
      <c r="T89" s="4">
        <v>10</v>
      </c>
      <c r="U89" s="4">
        <v>51</v>
      </c>
      <c r="V89" s="4">
        <f>IF(ISERROR(VLOOKUP($S$89,'TAR FIN'!$A$1:$O$91,15,0)),0,VLOOKUP($S$89,'TAR FIN'!$A$1:$O$91,15,0))</f>
        <v>0</v>
      </c>
      <c r="W89" s="4">
        <f>IF(ISERROR(VLOOKUP($T$89,'TAR FIN'!$A$1:$O$91,15,0)),0,VLOOKUP($T$89,'TAR FIN'!$A$1:$O$91,15,0))</f>
        <v>1755.54</v>
      </c>
      <c r="X89" s="4">
        <f>IF(ISERROR(VLOOKUP($U$89,'TAR FIN'!$A$1:$O$91,15,0)),0,VLOOKUP($U$89,'TAR FIN'!$A$1:$O$91,15,0))</f>
        <v>298.83999999999997</v>
      </c>
      <c r="Y89" s="4"/>
      <c r="Z89" s="4">
        <f ca="1">('TUSD BE'!$AM$14+'TUSD BF'!$AM$14+'TUSD CVA'!$AM$14)*1</f>
        <v>1891.4266775287376</v>
      </c>
      <c r="AA89" s="4">
        <f>('TE BE'!$AB$5+'TE BF'!$AB$5+'TE CVA'!$AB$5)*1</f>
        <v>311.4117891483653</v>
      </c>
      <c r="AB89" s="4">
        <f>$K$89*$V$89</f>
        <v>0</v>
      </c>
      <c r="AC89" s="4">
        <f>$M$89*$W$89</f>
        <v>76680.231660000005</v>
      </c>
      <c r="AD89" s="4">
        <f>$O$89*$X$89</f>
        <v>13053.032359999999</v>
      </c>
      <c r="AE89" s="4">
        <f>$K$89*$Y$89</f>
        <v>0</v>
      </c>
      <c r="AF89" s="4">
        <f ca="1">$M$89*$Z$89</f>
        <v>82615.62584777773</v>
      </c>
      <c r="AG89" s="4">
        <f>$O$89*$AA$89</f>
        <v>13602.155538211449</v>
      </c>
    </row>
    <row r="90" spans="1:33" ht="11.25" customHeight="1" x14ac:dyDescent="0.3">
      <c r="A90" s="3" t="s">
        <v>21</v>
      </c>
      <c r="B90" s="3" t="s">
        <v>39</v>
      </c>
      <c r="C90" s="3" t="s">
        <v>40</v>
      </c>
      <c r="D90" s="3" t="s">
        <v>41</v>
      </c>
      <c r="E90" s="3" t="s">
        <v>25</v>
      </c>
      <c r="F90" s="3" t="s">
        <v>25</v>
      </c>
      <c r="G90" s="3" t="s">
        <v>25</v>
      </c>
      <c r="H90" s="3" t="s">
        <v>34</v>
      </c>
      <c r="I90" s="6">
        <v>44652</v>
      </c>
      <c r="J90" s="4">
        <v>0</v>
      </c>
      <c r="K90" s="4">
        <v>0</v>
      </c>
      <c r="L90" s="4">
        <v>39.534999999999997</v>
      </c>
      <c r="M90" s="4">
        <v>39.534999999999997</v>
      </c>
      <c r="N90" s="4">
        <v>39.534999999999997</v>
      </c>
      <c r="O90" s="4">
        <v>39.534999999999997</v>
      </c>
      <c r="P90" s="4">
        <v>0</v>
      </c>
      <c r="Q90" s="3" t="s">
        <v>26</v>
      </c>
      <c r="R90" s="3">
        <v>0</v>
      </c>
      <c r="S90" s="4">
        <v>0</v>
      </c>
      <c r="T90" s="4">
        <v>10</v>
      </c>
      <c r="U90" s="4">
        <v>51</v>
      </c>
      <c r="V90" s="4">
        <f>IF(ISERROR(VLOOKUP($S$90,'TAR FIN'!$A$1:$O$91,15,0)),0,VLOOKUP($S$90,'TAR FIN'!$A$1:$O$91,15,0))</f>
        <v>0</v>
      </c>
      <c r="W90" s="4">
        <f>IF(ISERROR(VLOOKUP($T$90,'TAR FIN'!$A$1:$O$91,15,0)),0,VLOOKUP($T$90,'TAR FIN'!$A$1:$O$91,15,0))</f>
        <v>1755.54</v>
      </c>
      <c r="X90" s="4">
        <f>IF(ISERROR(VLOOKUP($U$90,'TAR FIN'!$A$1:$O$91,15,0)),0,VLOOKUP($U$90,'TAR FIN'!$A$1:$O$91,15,0))</f>
        <v>298.83999999999997</v>
      </c>
      <c r="Y90" s="4"/>
      <c r="Z90" s="4">
        <f ca="1">('TUSD BE'!$AM$14+'TUSD BF'!$AM$14+'TUSD CVA'!$AM$14)*1</f>
        <v>1891.4266775287376</v>
      </c>
      <c r="AA90" s="4">
        <f>('TE BE'!$AB$5+'TE BF'!$AB$5+'TE CVA'!$AB$5)*1</f>
        <v>311.4117891483653</v>
      </c>
      <c r="AB90" s="4">
        <f>$K$90*$V$90</f>
        <v>0</v>
      </c>
      <c r="AC90" s="4">
        <f>$M$90*$W$90</f>
        <v>69405.273899999986</v>
      </c>
      <c r="AD90" s="4">
        <f>$O$90*$X$90</f>
        <v>11814.639399999998</v>
      </c>
      <c r="AE90" s="4">
        <f>$K$90*$Y$90</f>
        <v>0</v>
      </c>
      <c r="AF90" s="4">
        <f ca="1">$M$90*$Z$90</f>
        <v>74777.553696098636</v>
      </c>
      <c r="AG90" s="4">
        <f>$O$90*$AA$90</f>
        <v>12311.665083980621</v>
      </c>
    </row>
    <row r="91" spans="1:33" ht="11.25" customHeight="1" x14ac:dyDescent="0.3">
      <c r="A91" s="3" t="s">
        <v>21</v>
      </c>
      <c r="B91" s="3" t="s">
        <v>39</v>
      </c>
      <c r="C91" s="3" t="s">
        <v>40</v>
      </c>
      <c r="D91" s="3" t="s">
        <v>41</v>
      </c>
      <c r="E91" s="3" t="s">
        <v>25</v>
      </c>
      <c r="F91" s="3" t="s">
        <v>25</v>
      </c>
      <c r="G91" s="3" t="s">
        <v>25</v>
      </c>
      <c r="H91" s="3" t="s">
        <v>34</v>
      </c>
      <c r="I91" s="6">
        <v>44682</v>
      </c>
      <c r="J91" s="4">
        <v>0</v>
      </c>
      <c r="K91" s="4">
        <v>0</v>
      </c>
      <c r="L91" s="4">
        <v>40.744999999999997</v>
      </c>
      <c r="M91" s="4">
        <v>40.744999999999997</v>
      </c>
      <c r="N91" s="4">
        <v>40.744999999999997</v>
      </c>
      <c r="O91" s="4">
        <v>40.744999999999997</v>
      </c>
      <c r="P91" s="4">
        <v>0</v>
      </c>
      <c r="Q91" s="3" t="s">
        <v>26</v>
      </c>
      <c r="R91" s="3">
        <v>0</v>
      </c>
      <c r="S91" s="4">
        <v>0</v>
      </c>
      <c r="T91" s="4">
        <v>10</v>
      </c>
      <c r="U91" s="4">
        <v>51</v>
      </c>
      <c r="V91" s="4">
        <f>IF(ISERROR(VLOOKUP($S$91,'TAR FIN'!$A$1:$O$91,15,0)),0,VLOOKUP($S$91,'TAR FIN'!$A$1:$O$91,15,0))</f>
        <v>0</v>
      </c>
      <c r="W91" s="4">
        <f>IF(ISERROR(VLOOKUP($T$91,'TAR FIN'!$A$1:$O$91,15,0)),0,VLOOKUP($T$91,'TAR FIN'!$A$1:$O$91,15,0))</f>
        <v>1755.54</v>
      </c>
      <c r="X91" s="4">
        <f>IF(ISERROR(VLOOKUP($U$91,'TAR FIN'!$A$1:$O$91,15,0)),0,VLOOKUP($U$91,'TAR FIN'!$A$1:$O$91,15,0))</f>
        <v>298.83999999999997</v>
      </c>
      <c r="Y91" s="4"/>
      <c r="Z91" s="4">
        <f ca="1">('TUSD BE'!$AM$14+'TUSD BF'!$AM$14+'TUSD CVA'!$AM$14)*1</f>
        <v>1891.4266775287376</v>
      </c>
      <c r="AA91" s="4">
        <f>('TE BE'!$AB$5+'TE BF'!$AB$5+'TE CVA'!$AB$5)*1</f>
        <v>311.4117891483653</v>
      </c>
      <c r="AB91" s="4">
        <f>$K$91*$V$91</f>
        <v>0</v>
      </c>
      <c r="AC91" s="4">
        <f>$M$91*$W$91</f>
        <v>71529.477299999999</v>
      </c>
      <c r="AD91" s="4">
        <f>$O$91*$X$91</f>
        <v>12176.235799999999</v>
      </c>
      <c r="AE91" s="4">
        <f>$K$91*$Y$91</f>
        <v>0</v>
      </c>
      <c r="AF91" s="4">
        <f ca="1">$M$91*$Z$91</f>
        <v>77066.17997590841</v>
      </c>
      <c r="AG91" s="4">
        <f>$O$91*$AA$91</f>
        <v>12688.473348850144</v>
      </c>
    </row>
    <row r="92" spans="1:33" ht="11.25" customHeight="1" x14ac:dyDescent="0.3">
      <c r="A92" s="3" t="s">
        <v>21</v>
      </c>
      <c r="B92" s="3" t="s">
        <v>39</v>
      </c>
      <c r="C92" s="3" t="s">
        <v>40</v>
      </c>
      <c r="D92" s="3" t="s">
        <v>41</v>
      </c>
      <c r="E92" s="3" t="s">
        <v>25</v>
      </c>
      <c r="F92" s="3" t="s">
        <v>25</v>
      </c>
      <c r="G92" s="3" t="s">
        <v>25</v>
      </c>
      <c r="H92" s="3" t="s">
        <v>34</v>
      </c>
      <c r="I92" s="6">
        <v>44713</v>
      </c>
      <c r="J92" s="4">
        <v>0</v>
      </c>
      <c r="K92" s="4">
        <v>0</v>
      </c>
      <c r="L92" s="4">
        <v>33.603999999999999</v>
      </c>
      <c r="M92" s="4">
        <v>33.603999999999999</v>
      </c>
      <c r="N92" s="4">
        <v>33.603999999999999</v>
      </c>
      <c r="O92" s="4">
        <v>33.603999999999999</v>
      </c>
      <c r="P92" s="4">
        <v>0</v>
      </c>
      <c r="Q92" s="3" t="s">
        <v>26</v>
      </c>
      <c r="R92" s="3">
        <v>0</v>
      </c>
      <c r="S92" s="4">
        <v>0</v>
      </c>
      <c r="T92" s="4">
        <v>10</v>
      </c>
      <c r="U92" s="4">
        <v>51</v>
      </c>
      <c r="V92" s="4">
        <f>IF(ISERROR(VLOOKUP($S$92,'TAR FIN'!$A$1:$O$91,15,0)),0,VLOOKUP($S$92,'TAR FIN'!$A$1:$O$91,15,0))</f>
        <v>0</v>
      </c>
      <c r="W92" s="4">
        <f>IF(ISERROR(VLOOKUP($T$92,'TAR FIN'!$A$1:$O$91,15,0)),0,VLOOKUP($T$92,'TAR FIN'!$A$1:$O$91,15,0))</f>
        <v>1755.54</v>
      </c>
      <c r="X92" s="4">
        <f>IF(ISERROR(VLOOKUP($U$92,'TAR FIN'!$A$1:$O$91,15,0)),0,VLOOKUP($U$92,'TAR FIN'!$A$1:$O$91,15,0))</f>
        <v>298.83999999999997</v>
      </c>
      <c r="Y92" s="4"/>
      <c r="Z92" s="4">
        <f ca="1">('TUSD BE'!$AM$14+'TUSD BF'!$AM$14+'TUSD CVA'!$AM$14)*1</f>
        <v>1891.4266775287376</v>
      </c>
      <c r="AA92" s="4">
        <f>('TE BE'!$AB$5+'TE BF'!$AB$5+'TE CVA'!$AB$5)*1</f>
        <v>311.4117891483653</v>
      </c>
      <c r="AB92" s="4">
        <f>$K$92*$V$92</f>
        <v>0</v>
      </c>
      <c r="AC92" s="4">
        <f>$M$92*$W$92</f>
        <v>58993.166160000001</v>
      </c>
      <c r="AD92" s="4">
        <f>$O$92*$X$92</f>
        <v>10042.219359999999</v>
      </c>
      <c r="AE92" s="4">
        <f>$K$92*$Y$92</f>
        <v>0</v>
      </c>
      <c r="AF92" s="4">
        <f ca="1">$M$92*$Z$92</f>
        <v>63559.502071675699</v>
      </c>
      <c r="AG92" s="4">
        <f>$O$92*$AA$92</f>
        <v>10464.681762541668</v>
      </c>
    </row>
    <row r="93" spans="1:33" ht="11.25" customHeight="1" x14ac:dyDescent="0.3">
      <c r="A93" s="3" t="s">
        <v>28</v>
      </c>
      <c r="B93" s="3" t="s">
        <v>39</v>
      </c>
      <c r="C93" s="3" t="s">
        <v>40</v>
      </c>
      <c r="D93" s="3" t="s">
        <v>41</v>
      </c>
      <c r="E93" s="3" t="s">
        <v>25</v>
      </c>
      <c r="F93" s="3" t="s">
        <v>25</v>
      </c>
      <c r="G93" s="3" t="s">
        <v>25</v>
      </c>
      <c r="H93" s="3" t="s">
        <v>34</v>
      </c>
      <c r="I93" s="6">
        <v>44713</v>
      </c>
      <c r="J93" s="4">
        <v>0</v>
      </c>
      <c r="K93" s="4">
        <v>0</v>
      </c>
      <c r="L93" s="4">
        <v>1.1970000000000001</v>
      </c>
      <c r="M93" s="4">
        <v>1.1970000000000001</v>
      </c>
      <c r="N93" s="4">
        <v>1.1970000000000001</v>
      </c>
      <c r="O93" s="4">
        <v>1.1970000000000001</v>
      </c>
      <c r="P93" s="4">
        <v>0</v>
      </c>
      <c r="Q93" s="3" t="s">
        <v>26</v>
      </c>
      <c r="R93" s="3">
        <v>0</v>
      </c>
      <c r="S93" s="4">
        <v>0</v>
      </c>
      <c r="T93" s="4">
        <v>10</v>
      </c>
      <c r="U93" s="4">
        <v>51</v>
      </c>
      <c r="V93" s="4">
        <f>IF(ISERROR(VLOOKUP($S$93,'TAR FIN'!$A$1:$O$91,15,0)),0,VLOOKUP($S$93,'TAR FIN'!$A$1:$O$91,15,0))</f>
        <v>0</v>
      </c>
      <c r="W93" s="4">
        <f>IF(ISERROR(VLOOKUP($T$93,'TAR FIN'!$A$1:$O$91,15,0)),0,VLOOKUP($T$93,'TAR FIN'!$A$1:$O$91,15,0))</f>
        <v>1755.54</v>
      </c>
      <c r="X93" s="4">
        <f>IF(ISERROR(VLOOKUP($U$93,'TAR FIN'!$A$1:$O$91,15,0)),0,VLOOKUP($U$93,'TAR FIN'!$A$1:$O$91,15,0))</f>
        <v>298.83999999999997</v>
      </c>
      <c r="Y93" s="4"/>
      <c r="Z93" s="4">
        <f ca="1">('TUSD BE'!$AM$14+'TUSD BF'!$AM$14+'TUSD CVA'!$AM$14)*1</f>
        <v>1891.4266775287376</v>
      </c>
      <c r="AA93" s="4">
        <f>('TE BE'!$AB$5+'TE BF'!$AB$5+'TE CVA'!$AB$5)*1</f>
        <v>311.4117891483653</v>
      </c>
      <c r="AB93" s="4">
        <f>$K$93*$V$93</f>
        <v>0</v>
      </c>
      <c r="AC93" s="4">
        <f>$M$93*$W$93</f>
        <v>2101.3813800000003</v>
      </c>
      <c r="AD93" s="4">
        <f>$O$93*$X$93</f>
        <v>357.71147999999999</v>
      </c>
      <c r="AE93" s="4">
        <f>$K$93*$Y$93</f>
        <v>0</v>
      </c>
      <c r="AF93" s="4">
        <f ca="1">$M$93*$Z$93</f>
        <v>2264.0377330018991</v>
      </c>
      <c r="AG93" s="4">
        <f>$O$93*$AA$93</f>
        <v>372.75991161059329</v>
      </c>
    </row>
    <row r="94" spans="1:33" ht="11.25" customHeight="1" x14ac:dyDescent="0.3">
      <c r="A94" s="3" t="s">
        <v>21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54</v>
      </c>
      <c r="G94" s="3" t="s">
        <v>25</v>
      </c>
      <c r="H94" s="3" t="s">
        <v>35</v>
      </c>
      <c r="I94" s="6">
        <v>44378</v>
      </c>
      <c r="J94" s="4">
        <v>0</v>
      </c>
      <c r="K94" s="4">
        <v>0</v>
      </c>
      <c r="L94" s="4">
        <v>576.83600000000001</v>
      </c>
      <c r="M94" s="4">
        <v>576.83600000000001</v>
      </c>
      <c r="N94" s="4">
        <v>0</v>
      </c>
      <c r="O94" s="4">
        <v>0</v>
      </c>
      <c r="P94" s="4">
        <v>0</v>
      </c>
      <c r="Q94" s="3" t="s">
        <v>55</v>
      </c>
      <c r="R94" s="3">
        <v>0</v>
      </c>
      <c r="S94" s="4">
        <v>0</v>
      </c>
      <c r="T94" s="4">
        <v>11</v>
      </c>
      <c r="U94" s="4">
        <v>0</v>
      </c>
      <c r="V94" s="4">
        <f>IF(ISERROR(VLOOKUP($S$94,'TAR FIN'!$A$1:$O$91,15,0)),0,VLOOKUP($S$94,'TAR FIN'!$A$1:$O$91,15,0))</f>
        <v>0</v>
      </c>
      <c r="W94" s="4">
        <f>IF(ISERROR(VLOOKUP($T$94,'TAR FIN'!$A$1:$O$91,15,0)),0,VLOOKUP($T$94,'TAR FIN'!$A$1:$O$91,15,0))</f>
        <v>90.54</v>
      </c>
      <c r="X94" s="4">
        <f>IF(ISERROR(VLOOKUP($U$94,'TAR FIN'!$A$1:$O$91,15,0)),0,VLOOKUP($U$94,'TAR FIN'!$A$1:$O$91,15,0))</f>
        <v>0</v>
      </c>
      <c r="Y94" s="4"/>
      <c r="Z94" s="4">
        <f ca="1">('TUSD BE'!$AM$15+'TUSD BF'!$AM$15+'TUSD CVA'!$AM$15)*1</f>
        <v>104.1465119197419</v>
      </c>
      <c r="AA94" s="4"/>
      <c r="AB94" s="4">
        <f>$K$94*$V$94</f>
        <v>0</v>
      </c>
      <c r="AC94" s="4">
        <f>$M$94*$W$94</f>
        <v>52226.731440000003</v>
      </c>
      <c r="AD94" s="4">
        <f>$O$94*$X$94</f>
        <v>0</v>
      </c>
      <c r="AE94" s="4">
        <f>$K$94*$Y$94</f>
        <v>0</v>
      </c>
      <c r="AF94" s="4">
        <f ca="1">$M$94*$Z$94</f>
        <v>60075.457349736236</v>
      </c>
      <c r="AG94" s="4">
        <f>$O$94*$AA$94</f>
        <v>0</v>
      </c>
    </row>
    <row r="95" spans="1:33" ht="11.25" customHeight="1" x14ac:dyDescent="0.3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54</v>
      </c>
      <c r="G95" s="3" t="s">
        <v>25</v>
      </c>
      <c r="H95" s="3" t="s">
        <v>35</v>
      </c>
      <c r="I95" s="6">
        <v>44409</v>
      </c>
      <c r="J95" s="4">
        <v>0</v>
      </c>
      <c r="K95" s="4">
        <v>0</v>
      </c>
      <c r="L95" s="4">
        <v>659.55899999999997</v>
      </c>
      <c r="M95" s="4">
        <v>659.55899999999997</v>
      </c>
      <c r="N95" s="4">
        <v>0</v>
      </c>
      <c r="O95" s="4">
        <v>0</v>
      </c>
      <c r="P95" s="4">
        <v>0</v>
      </c>
      <c r="Q95" s="3" t="s">
        <v>55</v>
      </c>
      <c r="R95" s="3">
        <v>0</v>
      </c>
      <c r="S95" s="4">
        <v>0</v>
      </c>
      <c r="T95" s="4">
        <v>11</v>
      </c>
      <c r="U95" s="4">
        <v>0</v>
      </c>
      <c r="V95" s="4">
        <f>IF(ISERROR(VLOOKUP($S$95,'TAR FIN'!$A$1:$O$91,15,0)),0,VLOOKUP($S$95,'TAR FIN'!$A$1:$O$91,15,0))</f>
        <v>0</v>
      </c>
      <c r="W95" s="4">
        <f>IF(ISERROR(VLOOKUP($T$95,'TAR FIN'!$A$1:$O$91,15,0)),0,VLOOKUP($T$95,'TAR FIN'!$A$1:$O$91,15,0))</f>
        <v>90.54</v>
      </c>
      <c r="X95" s="4">
        <f>IF(ISERROR(VLOOKUP($U$95,'TAR FIN'!$A$1:$O$91,15,0)),0,VLOOKUP($U$95,'TAR FIN'!$A$1:$O$91,15,0))</f>
        <v>0</v>
      </c>
      <c r="Y95" s="4"/>
      <c r="Z95" s="4">
        <f ca="1">('TUSD BE'!$AM$15+'TUSD BF'!$AM$15+'TUSD CVA'!$AM$15)*1</f>
        <v>104.1465119197419</v>
      </c>
      <c r="AA95" s="4"/>
      <c r="AB95" s="4">
        <f>$K$95*$V$95</f>
        <v>0</v>
      </c>
      <c r="AC95" s="4">
        <f>$M$95*$W$95</f>
        <v>59716.471859999998</v>
      </c>
      <c r="AD95" s="4">
        <f>$O$95*$X$95</f>
        <v>0</v>
      </c>
      <c r="AE95" s="4">
        <f>$K$95*$Y$95</f>
        <v>0</v>
      </c>
      <c r="AF95" s="4">
        <f ca="1">$M$95*$Z$95</f>
        <v>68690.769255273044</v>
      </c>
      <c r="AG95" s="4">
        <f>$O$95*$AA$95</f>
        <v>0</v>
      </c>
    </row>
    <row r="96" spans="1:33" ht="11.25" customHeight="1" x14ac:dyDescent="0.3">
      <c r="A96" s="3" t="s">
        <v>21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54</v>
      </c>
      <c r="G96" s="3" t="s">
        <v>25</v>
      </c>
      <c r="H96" s="3" t="s">
        <v>35</v>
      </c>
      <c r="I96" s="6">
        <v>44440</v>
      </c>
      <c r="J96" s="4">
        <v>0</v>
      </c>
      <c r="K96" s="4">
        <v>0</v>
      </c>
      <c r="L96" s="4">
        <v>566.03899999999999</v>
      </c>
      <c r="M96" s="4">
        <v>566.03899999999999</v>
      </c>
      <c r="N96" s="4">
        <v>0</v>
      </c>
      <c r="O96" s="4">
        <v>0</v>
      </c>
      <c r="P96" s="4">
        <v>0</v>
      </c>
      <c r="Q96" s="3" t="s">
        <v>55</v>
      </c>
      <c r="R96" s="3">
        <v>0</v>
      </c>
      <c r="S96" s="4">
        <v>0</v>
      </c>
      <c r="T96" s="4">
        <v>11</v>
      </c>
      <c r="U96" s="4">
        <v>0</v>
      </c>
      <c r="V96" s="4">
        <f>IF(ISERROR(VLOOKUP($S$96,'TAR FIN'!$A$1:$O$91,15,0)),0,VLOOKUP($S$96,'TAR FIN'!$A$1:$O$91,15,0))</f>
        <v>0</v>
      </c>
      <c r="W96" s="4">
        <f>IF(ISERROR(VLOOKUP($T$96,'TAR FIN'!$A$1:$O$91,15,0)),0,VLOOKUP($T$96,'TAR FIN'!$A$1:$O$91,15,0))</f>
        <v>90.54</v>
      </c>
      <c r="X96" s="4">
        <f>IF(ISERROR(VLOOKUP($U$96,'TAR FIN'!$A$1:$O$91,15,0)),0,VLOOKUP($U$96,'TAR FIN'!$A$1:$O$91,15,0))</f>
        <v>0</v>
      </c>
      <c r="Y96" s="4"/>
      <c r="Z96" s="4">
        <f ca="1">('TUSD BE'!$AM$15+'TUSD BF'!$AM$15+'TUSD CVA'!$AM$15)*1</f>
        <v>104.1465119197419</v>
      </c>
      <c r="AA96" s="4"/>
      <c r="AB96" s="4">
        <f>$K$96*$V$96</f>
        <v>0</v>
      </c>
      <c r="AC96" s="4">
        <f>$M$96*$W$96</f>
        <v>51249.171060000001</v>
      </c>
      <c r="AD96" s="4">
        <f>$O$96*$X$96</f>
        <v>0</v>
      </c>
      <c r="AE96" s="4">
        <f>$K$96*$Y$96</f>
        <v>0</v>
      </c>
      <c r="AF96" s="4">
        <f ca="1">$M$96*$Z$96</f>
        <v>58950.987460538781</v>
      </c>
      <c r="AG96" s="4">
        <f>$O$96*$AA$96</f>
        <v>0</v>
      </c>
    </row>
    <row r="97" spans="1:33" ht="11.25" customHeight="1" x14ac:dyDescent="0.3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54</v>
      </c>
      <c r="G97" s="3" t="s">
        <v>25</v>
      </c>
      <c r="H97" s="3" t="s">
        <v>35</v>
      </c>
      <c r="I97" s="6">
        <v>44470</v>
      </c>
      <c r="J97" s="4">
        <v>0</v>
      </c>
      <c r="K97" s="4">
        <v>0</v>
      </c>
      <c r="L97" s="4">
        <v>480.84199999999998</v>
      </c>
      <c r="M97" s="4">
        <v>480.84199999999998</v>
      </c>
      <c r="N97" s="4">
        <v>0</v>
      </c>
      <c r="O97" s="4">
        <v>0</v>
      </c>
      <c r="P97" s="4">
        <v>0</v>
      </c>
      <c r="Q97" s="3" t="s">
        <v>55</v>
      </c>
      <c r="R97" s="3">
        <v>0</v>
      </c>
      <c r="S97" s="4">
        <v>0</v>
      </c>
      <c r="T97" s="4">
        <v>11</v>
      </c>
      <c r="U97" s="4">
        <v>0</v>
      </c>
      <c r="V97" s="4">
        <f>IF(ISERROR(VLOOKUP($S$97,'TAR FIN'!$A$1:$O$91,15,0)),0,VLOOKUP($S$97,'TAR FIN'!$A$1:$O$91,15,0))</f>
        <v>0</v>
      </c>
      <c r="W97" s="4">
        <f>IF(ISERROR(VLOOKUP($T$97,'TAR FIN'!$A$1:$O$91,15,0)),0,VLOOKUP($T$97,'TAR FIN'!$A$1:$O$91,15,0))</f>
        <v>90.54</v>
      </c>
      <c r="X97" s="4">
        <f>IF(ISERROR(VLOOKUP($U$97,'TAR FIN'!$A$1:$O$91,15,0)),0,VLOOKUP($U$97,'TAR FIN'!$A$1:$O$91,15,0))</f>
        <v>0</v>
      </c>
      <c r="Y97" s="4"/>
      <c r="Z97" s="4">
        <f ca="1">('TUSD BE'!$AM$15+'TUSD BF'!$AM$15+'TUSD CVA'!$AM$15)*1</f>
        <v>104.1465119197419</v>
      </c>
      <c r="AA97" s="4"/>
      <c r="AB97" s="4">
        <f>$K$97*$V$97</f>
        <v>0</v>
      </c>
      <c r="AC97" s="4">
        <f>$M$97*$W$97</f>
        <v>43535.434679999998</v>
      </c>
      <c r="AD97" s="4">
        <f>$O$97*$X$97</f>
        <v>0</v>
      </c>
      <c r="AE97" s="4">
        <f>$K$97*$Y$97</f>
        <v>0</v>
      </c>
      <c r="AF97" s="4">
        <f ca="1">$M$97*$Z$97</f>
        <v>50078.017084512532</v>
      </c>
      <c r="AG97" s="4">
        <f>$O$97*$AA$97</f>
        <v>0</v>
      </c>
    </row>
    <row r="98" spans="1:33" ht="11.25" customHeight="1" x14ac:dyDescent="0.3">
      <c r="A98" s="3" t="s">
        <v>21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54</v>
      </c>
      <c r="G98" s="3" t="s">
        <v>25</v>
      </c>
      <c r="H98" s="3" t="s">
        <v>35</v>
      </c>
      <c r="I98" s="6">
        <v>44501</v>
      </c>
      <c r="J98" s="4">
        <v>0</v>
      </c>
      <c r="K98" s="4">
        <v>0</v>
      </c>
      <c r="L98" s="4">
        <v>584.78099999999995</v>
      </c>
      <c r="M98" s="4">
        <v>584.78099999999995</v>
      </c>
      <c r="N98" s="4">
        <v>0</v>
      </c>
      <c r="O98" s="4">
        <v>0</v>
      </c>
      <c r="P98" s="4">
        <v>0</v>
      </c>
      <c r="Q98" s="3" t="s">
        <v>55</v>
      </c>
      <c r="R98" s="3">
        <v>0</v>
      </c>
      <c r="S98" s="4">
        <v>0</v>
      </c>
      <c r="T98" s="4">
        <v>11</v>
      </c>
      <c r="U98" s="4">
        <v>0</v>
      </c>
      <c r="V98" s="4">
        <f>IF(ISERROR(VLOOKUP($S$98,'TAR FIN'!$A$1:$O$91,15,0)),0,VLOOKUP($S$98,'TAR FIN'!$A$1:$O$91,15,0))</f>
        <v>0</v>
      </c>
      <c r="W98" s="4">
        <f>IF(ISERROR(VLOOKUP($T$98,'TAR FIN'!$A$1:$O$91,15,0)),0,VLOOKUP($T$98,'TAR FIN'!$A$1:$O$91,15,0))</f>
        <v>90.54</v>
      </c>
      <c r="X98" s="4">
        <f>IF(ISERROR(VLOOKUP($U$98,'TAR FIN'!$A$1:$O$91,15,0)),0,VLOOKUP($U$98,'TAR FIN'!$A$1:$O$91,15,0))</f>
        <v>0</v>
      </c>
      <c r="Y98" s="4"/>
      <c r="Z98" s="4">
        <f ca="1">('TUSD BE'!$AM$15+'TUSD BF'!$AM$15+'TUSD CVA'!$AM$15)*1</f>
        <v>104.1465119197419</v>
      </c>
      <c r="AA98" s="4"/>
      <c r="AB98" s="4">
        <f>$K$98*$V$98</f>
        <v>0</v>
      </c>
      <c r="AC98" s="4">
        <f>$M$98*$W$98</f>
        <v>52946.071739999999</v>
      </c>
      <c r="AD98" s="4">
        <f>$O$98*$X$98</f>
        <v>0</v>
      </c>
      <c r="AE98" s="4">
        <f>$K$98*$Y$98</f>
        <v>0</v>
      </c>
      <c r="AF98" s="4">
        <f ca="1">$M$98*$Z$98</f>
        <v>60902.901386938582</v>
      </c>
      <c r="AG98" s="4">
        <f>$O$98*$AA$98</f>
        <v>0</v>
      </c>
    </row>
    <row r="99" spans="1:33" ht="11.25" customHeight="1" x14ac:dyDescent="0.3">
      <c r="A99" s="3" t="s">
        <v>21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54</v>
      </c>
      <c r="G99" s="3" t="s">
        <v>25</v>
      </c>
      <c r="H99" s="3" t="s">
        <v>35</v>
      </c>
      <c r="I99" s="6">
        <v>44531</v>
      </c>
      <c r="J99" s="4">
        <v>0</v>
      </c>
      <c r="K99" s="4">
        <v>0</v>
      </c>
      <c r="L99" s="4">
        <v>625.28099999999995</v>
      </c>
      <c r="M99" s="4">
        <v>625.28099999999995</v>
      </c>
      <c r="N99" s="4">
        <v>0</v>
      </c>
      <c r="O99" s="4">
        <v>0</v>
      </c>
      <c r="P99" s="4">
        <v>0</v>
      </c>
      <c r="Q99" s="3" t="s">
        <v>55</v>
      </c>
      <c r="R99" s="3">
        <v>0</v>
      </c>
      <c r="S99" s="4">
        <v>0</v>
      </c>
      <c r="T99" s="4">
        <v>11</v>
      </c>
      <c r="U99" s="4">
        <v>0</v>
      </c>
      <c r="V99" s="4">
        <f>IF(ISERROR(VLOOKUP($S$99,'TAR FIN'!$A$1:$O$91,15,0)),0,VLOOKUP($S$99,'TAR FIN'!$A$1:$O$91,15,0))</f>
        <v>0</v>
      </c>
      <c r="W99" s="4">
        <f>IF(ISERROR(VLOOKUP($T$99,'TAR FIN'!$A$1:$O$91,15,0)),0,VLOOKUP($T$99,'TAR FIN'!$A$1:$O$91,15,0))</f>
        <v>90.54</v>
      </c>
      <c r="X99" s="4">
        <f>IF(ISERROR(VLOOKUP($U$99,'TAR FIN'!$A$1:$O$91,15,0)),0,VLOOKUP($U$99,'TAR FIN'!$A$1:$O$91,15,0))</f>
        <v>0</v>
      </c>
      <c r="Y99" s="4"/>
      <c r="Z99" s="4">
        <f ca="1">('TUSD BE'!$AM$15+'TUSD BF'!$AM$15+'TUSD CVA'!$AM$15)*1</f>
        <v>104.1465119197419</v>
      </c>
      <c r="AA99" s="4"/>
      <c r="AB99" s="4">
        <f>$K$99*$V$99</f>
        <v>0</v>
      </c>
      <c r="AC99" s="4">
        <f>$M$99*$W$99</f>
        <v>56612.941740000002</v>
      </c>
      <c r="AD99" s="4">
        <f>$O$99*$X$99</f>
        <v>0</v>
      </c>
      <c r="AE99" s="4">
        <f>$K$99*$Y$99</f>
        <v>0</v>
      </c>
      <c r="AF99" s="4">
        <f ca="1">$M$99*$Z$99</f>
        <v>65120.835119688127</v>
      </c>
      <c r="AG99" s="4">
        <f>$O$99*$AA$99</f>
        <v>0</v>
      </c>
    </row>
    <row r="100" spans="1:33" ht="11.25" customHeight="1" x14ac:dyDescent="0.3">
      <c r="A100" s="3" t="s">
        <v>21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54</v>
      </c>
      <c r="G100" s="3" t="s">
        <v>25</v>
      </c>
      <c r="H100" s="3" t="s">
        <v>35</v>
      </c>
      <c r="I100" s="6">
        <v>44562</v>
      </c>
      <c r="J100" s="4">
        <v>0</v>
      </c>
      <c r="K100" s="4">
        <v>0</v>
      </c>
      <c r="L100" s="4">
        <v>608.40499999999997</v>
      </c>
      <c r="M100" s="4">
        <v>608.40499999999997</v>
      </c>
      <c r="N100" s="4">
        <v>0</v>
      </c>
      <c r="O100" s="4">
        <v>0</v>
      </c>
      <c r="P100" s="4">
        <v>0</v>
      </c>
      <c r="Q100" s="3" t="s">
        <v>55</v>
      </c>
      <c r="R100" s="3">
        <v>0</v>
      </c>
      <c r="S100" s="4">
        <v>0</v>
      </c>
      <c r="T100" s="4">
        <v>11</v>
      </c>
      <c r="U100" s="4">
        <v>0</v>
      </c>
      <c r="V100" s="4">
        <f>IF(ISERROR(VLOOKUP($S$100,'TAR FIN'!$A$1:$O$91,15,0)),0,VLOOKUP($S$100,'TAR FIN'!$A$1:$O$91,15,0))</f>
        <v>0</v>
      </c>
      <c r="W100" s="4">
        <f>IF(ISERROR(VLOOKUP($T$100,'TAR FIN'!$A$1:$O$91,15,0)),0,VLOOKUP($T$100,'TAR FIN'!$A$1:$O$91,15,0))</f>
        <v>90.54</v>
      </c>
      <c r="X100" s="4">
        <f>IF(ISERROR(VLOOKUP($U$100,'TAR FIN'!$A$1:$O$91,15,0)),0,VLOOKUP($U$100,'TAR FIN'!$A$1:$O$91,15,0))</f>
        <v>0</v>
      </c>
      <c r="Y100" s="4"/>
      <c r="Z100" s="4">
        <f ca="1">('TUSD BE'!$AM$15+'TUSD BF'!$AM$15+'TUSD CVA'!$AM$15)*1</f>
        <v>104.1465119197419</v>
      </c>
      <c r="AA100" s="4"/>
      <c r="AB100" s="4">
        <f>$K$100*$V$100</f>
        <v>0</v>
      </c>
      <c r="AC100" s="4">
        <f>$M$100*$W$100</f>
        <v>55084.988700000002</v>
      </c>
      <c r="AD100" s="4">
        <f>$O$100*$X$100</f>
        <v>0</v>
      </c>
      <c r="AE100" s="4">
        <f>$K$100*$Y$100</f>
        <v>0</v>
      </c>
      <c r="AF100" s="4">
        <f ca="1">$M$100*$Z$100</f>
        <v>63363.258584530566</v>
      </c>
      <c r="AG100" s="4">
        <f>$O$100*$AA$100</f>
        <v>0</v>
      </c>
    </row>
    <row r="101" spans="1:33" ht="11.25" customHeight="1" x14ac:dyDescent="0.3">
      <c r="A101" s="3" t="s">
        <v>21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54</v>
      </c>
      <c r="G101" s="3" t="s">
        <v>25</v>
      </c>
      <c r="H101" s="3" t="s">
        <v>35</v>
      </c>
      <c r="I101" s="6">
        <v>44593</v>
      </c>
      <c r="J101" s="4">
        <v>0</v>
      </c>
      <c r="K101" s="4">
        <v>0</v>
      </c>
      <c r="L101" s="4">
        <v>526.81399999999996</v>
      </c>
      <c r="M101" s="4">
        <v>526.81399999999996</v>
      </c>
      <c r="N101" s="4">
        <v>0</v>
      </c>
      <c r="O101" s="4">
        <v>0</v>
      </c>
      <c r="P101" s="4">
        <v>0</v>
      </c>
      <c r="Q101" s="3" t="s">
        <v>55</v>
      </c>
      <c r="R101" s="3">
        <v>0</v>
      </c>
      <c r="S101" s="4">
        <v>0</v>
      </c>
      <c r="T101" s="4">
        <v>11</v>
      </c>
      <c r="U101" s="4">
        <v>0</v>
      </c>
      <c r="V101" s="4">
        <f>IF(ISERROR(VLOOKUP($S$101,'TAR FIN'!$A$1:$O$91,15,0)),0,VLOOKUP($S$101,'TAR FIN'!$A$1:$O$91,15,0))</f>
        <v>0</v>
      </c>
      <c r="W101" s="4">
        <f>IF(ISERROR(VLOOKUP($T$101,'TAR FIN'!$A$1:$O$91,15,0)),0,VLOOKUP($T$101,'TAR FIN'!$A$1:$O$91,15,0))</f>
        <v>90.54</v>
      </c>
      <c r="X101" s="4">
        <f>IF(ISERROR(VLOOKUP($U$101,'TAR FIN'!$A$1:$O$91,15,0)),0,VLOOKUP($U$101,'TAR FIN'!$A$1:$O$91,15,0))</f>
        <v>0</v>
      </c>
      <c r="Y101" s="4"/>
      <c r="Z101" s="4">
        <f ca="1">('TUSD BE'!$AM$15+'TUSD BF'!$AM$15+'TUSD CVA'!$AM$15)*1</f>
        <v>104.1465119197419</v>
      </c>
      <c r="AA101" s="4"/>
      <c r="AB101" s="4">
        <f>$K$101*$V$101</f>
        <v>0</v>
      </c>
      <c r="AC101" s="4">
        <f>$M$101*$W$101</f>
        <v>47697.739560000002</v>
      </c>
      <c r="AD101" s="4">
        <f>$O$101*$X$101</f>
        <v>0</v>
      </c>
      <c r="AE101" s="4">
        <f>$K$101*$Y$101</f>
        <v>0</v>
      </c>
      <c r="AF101" s="4">
        <f ca="1">$M$101*$Z$101</f>
        <v>54865.840530486901</v>
      </c>
      <c r="AG101" s="4">
        <f>$O$101*$AA$101</f>
        <v>0</v>
      </c>
    </row>
    <row r="102" spans="1:33" ht="11.25" customHeight="1" x14ac:dyDescent="0.3">
      <c r="A102" s="3" t="s">
        <v>21</v>
      </c>
      <c r="B102" s="3" t="s">
        <v>39</v>
      </c>
      <c r="C102" s="3" t="s">
        <v>40</v>
      </c>
      <c r="D102" s="3" t="s">
        <v>38</v>
      </c>
      <c r="E102" s="3" t="s">
        <v>25</v>
      </c>
      <c r="F102" s="3" t="s">
        <v>54</v>
      </c>
      <c r="G102" s="3" t="s">
        <v>25</v>
      </c>
      <c r="H102" s="3" t="s">
        <v>35</v>
      </c>
      <c r="I102" s="6">
        <v>44621</v>
      </c>
      <c r="J102" s="4">
        <v>0</v>
      </c>
      <c r="K102" s="4">
        <v>0</v>
      </c>
      <c r="L102" s="4">
        <v>1022.5549999999999</v>
      </c>
      <c r="M102" s="4">
        <v>1022.5549999999999</v>
      </c>
      <c r="N102" s="4">
        <v>0</v>
      </c>
      <c r="O102" s="4">
        <v>0</v>
      </c>
      <c r="P102" s="4">
        <v>0</v>
      </c>
      <c r="Q102" s="3" t="s">
        <v>55</v>
      </c>
      <c r="R102" s="3">
        <v>0</v>
      </c>
      <c r="S102" s="4">
        <v>0</v>
      </c>
      <c r="T102" s="4">
        <v>11</v>
      </c>
      <c r="U102" s="4">
        <v>0</v>
      </c>
      <c r="V102" s="4">
        <f>IF(ISERROR(VLOOKUP($S$102,'TAR FIN'!$A$1:$O$91,15,0)),0,VLOOKUP($S$102,'TAR FIN'!$A$1:$O$91,15,0))</f>
        <v>0</v>
      </c>
      <c r="W102" s="4">
        <f>IF(ISERROR(VLOOKUP($T$102,'TAR FIN'!$A$1:$O$91,15,0)),0,VLOOKUP($T$102,'TAR FIN'!$A$1:$O$91,15,0))</f>
        <v>90.54</v>
      </c>
      <c r="X102" s="4">
        <f>IF(ISERROR(VLOOKUP($U$102,'TAR FIN'!$A$1:$O$91,15,0)),0,VLOOKUP($U$102,'TAR FIN'!$A$1:$O$91,15,0))</f>
        <v>0</v>
      </c>
      <c r="Y102" s="4"/>
      <c r="Z102" s="4">
        <f ca="1">('TUSD BE'!$AM$15+'TUSD BF'!$AM$15+'TUSD CVA'!$AM$15)*1</f>
        <v>104.1465119197419</v>
      </c>
      <c r="AA102" s="4"/>
      <c r="AB102" s="4">
        <f>$K$102*$V$102</f>
        <v>0</v>
      </c>
      <c r="AC102" s="4">
        <f>$M$102*$W$102</f>
        <v>92582.129700000005</v>
      </c>
      <c r="AD102" s="4">
        <f>$O$102*$X$102</f>
        <v>0</v>
      </c>
      <c r="AE102" s="4">
        <f>$K$102*$Y$102</f>
        <v>0</v>
      </c>
      <c r="AF102" s="4">
        <f ca="1">$M$102*$Z$102</f>
        <v>106495.53649609168</v>
      </c>
      <c r="AG102" s="4">
        <f>$O$102*$AA$102</f>
        <v>0</v>
      </c>
    </row>
    <row r="103" spans="1:33" ht="11.25" customHeight="1" x14ac:dyDescent="0.3">
      <c r="A103" s="3" t="s">
        <v>21</v>
      </c>
      <c r="B103" s="3" t="s">
        <v>39</v>
      </c>
      <c r="C103" s="3" t="s">
        <v>40</v>
      </c>
      <c r="D103" s="3" t="s">
        <v>38</v>
      </c>
      <c r="E103" s="3" t="s">
        <v>25</v>
      </c>
      <c r="F103" s="3" t="s">
        <v>54</v>
      </c>
      <c r="G103" s="3" t="s">
        <v>25</v>
      </c>
      <c r="H103" s="3" t="s">
        <v>35</v>
      </c>
      <c r="I103" s="6">
        <v>44652</v>
      </c>
      <c r="J103" s="4">
        <v>0</v>
      </c>
      <c r="K103" s="4">
        <v>0</v>
      </c>
      <c r="L103" s="4">
        <v>677.24199999999996</v>
      </c>
      <c r="M103" s="4">
        <v>677.24199999999996</v>
      </c>
      <c r="N103" s="4">
        <v>0</v>
      </c>
      <c r="O103" s="4">
        <v>0</v>
      </c>
      <c r="P103" s="4">
        <v>0</v>
      </c>
      <c r="Q103" s="3" t="s">
        <v>55</v>
      </c>
      <c r="R103" s="3">
        <v>0</v>
      </c>
      <c r="S103" s="4">
        <v>0</v>
      </c>
      <c r="T103" s="4">
        <v>11</v>
      </c>
      <c r="U103" s="4">
        <v>0</v>
      </c>
      <c r="V103" s="4">
        <f>IF(ISERROR(VLOOKUP($S$103,'TAR FIN'!$A$1:$O$91,15,0)),0,VLOOKUP($S$103,'TAR FIN'!$A$1:$O$91,15,0))</f>
        <v>0</v>
      </c>
      <c r="W103" s="4">
        <f>IF(ISERROR(VLOOKUP($T$103,'TAR FIN'!$A$1:$O$91,15,0)),0,VLOOKUP($T$103,'TAR FIN'!$A$1:$O$91,15,0))</f>
        <v>90.54</v>
      </c>
      <c r="X103" s="4">
        <f>IF(ISERROR(VLOOKUP($U$103,'TAR FIN'!$A$1:$O$91,15,0)),0,VLOOKUP($U$103,'TAR FIN'!$A$1:$O$91,15,0))</f>
        <v>0</v>
      </c>
      <c r="Y103" s="4"/>
      <c r="Z103" s="4">
        <f ca="1">('TUSD BE'!$AM$15+'TUSD BF'!$AM$15+'TUSD CVA'!$AM$15)*1</f>
        <v>104.1465119197419</v>
      </c>
      <c r="AA103" s="4"/>
      <c r="AB103" s="4">
        <f>$K$103*$V$103</f>
        <v>0</v>
      </c>
      <c r="AC103" s="4">
        <f>$M$103*$W$103</f>
        <v>61317.490680000003</v>
      </c>
      <c r="AD103" s="4">
        <f>$O$103*$X$103</f>
        <v>0</v>
      </c>
      <c r="AE103" s="4">
        <f>$K$103*$Y$103</f>
        <v>0</v>
      </c>
      <c r="AF103" s="4">
        <f ca="1">$M$103*$Z$103</f>
        <v>70532.392025549838</v>
      </c>
      <c r="AG103" s="4">
        <f>$O$103*$AA$103</f>
        <v>0</v>
      </c>
    </row>
    <row r="104" spans="1:33" ht="11.25" customHeight="1" x14ac:dyDescent="0.3">
      <c r="A104" s="3" t="s">
        <v>21</v>
      </c>
      <c r="B104" s="3" t="s">
        <v>39</v>
      </c>
      <c r="C104" s="3" t="s">
        <v>40</v>
      </c>
      <c r="D104" s="3" t="s">
        <v>38</v>
      </c>
      <c r="E104" s="3" t="s">
        <v>25</v>
      </c>
      <c r="F104" s="3" t="s">
        <v>54</v>
      </c>
      <c r="G104" s="3" t="s">
        <v>25</v>
      </c>
      <c r="H104" s="3" t="s">
        <v>35</v>
      </c>
      <c r="I104" s="6">
        <v>44682</v>
      </c>
      <c r="J104" s="4">
        <v>0</v>
      </c>
      <c r="K104" s="4">
        <v>0</v>
      </c>
      <c r="L104" s="4">
        <v>790.68499999999995</v>
      </c>
      <c r="M104" s="4">
        <v>790.68499999999995</v>
      </c>
      <c r="N104" s="4">
        <v>0</v>
      </c>
      <c r="O104" s="4">
        <v>0</v>
      </c>
      <c r="P104" s="4">
        <v>0</v>
      </c>
      <c r="Q104" s="3" t="s">
        <v>55</v>
      </c>
      <c r="R104" s="3">
        <v>0</v>
      </c>
      <c r="S104" s="4">
        <v>0</v>
      </c>
      <c r="T104" s="4">
        <v>11</v>
      </c>
      <c r="U104" s="4">
        <v>0</v>
      </c>
      <c r="V104" s="4">
        <f>IF(ISERROR(VLOOKUP($S$104,'TAR FIN'!$A$1:$O$91,15,0)),0,VLOOKUP($S$104,'TAR FIN'!$A$1:$O$91,15,0))</f>
        <v>0</v>
      </c>
      <c r="W104" s="4">
        <f>IF(ISERROR(VLOOKUP($T$104,'TAR FIN'!$A$1:$O$91,15,0)),0,VLOOKUP($T$104,'TAR FIN'!$A$1:$O$91,15,0))</f>
        <v>90.54</v>
      </c>
      <c r="X104" s="4">
        <f>IF(ISERROR(VLOOKUP($U$104,'TAR FIN'!$A$1:$O$91,15,0)),0,VLOOKUP($U$104,'TAR FIN'!$A$1:$O$91,15,0))</f>
        <v>0</v>
      </c>
      <c r="Y104" s="4"/>
      <c r="Z104" s="4">
        <f ca="1">('TUSD BE'!$AM$15+'TUSD BF'!$AM$15+'TUSD CVA'!$AM$15)*1</f>
        <v>104.1465119197419</v>
      </c>
      <c r="AA104" s="4"/>
      <c r="AB104" s="4">
        <f>$K$104*$V$104</f>
        <v>0</v>
      </c>
      <c r="AC104" s="4">
        <f>$M$104*$W$104</f>
        <v>71588.619900000005</v>
      </c>
      <c r="AD104" s="4">
        <f>$O$104*$X$104</f>
        <v>0</v>
      </c>
      <c r="AE104" s="4">
        <f>$K$104*$Y$104</f>
        <v>0</v>
      </c>
      <c r="AF104" s="4">
        <f ca="1">$M$104*$Z$104</f>
        <v>82347.084777261116</v>
      </c>
      <c r="AG104" s="4">
        <f>$O$104*$AA$104</f>
        <v>0</v>
      </c>
    </row>
    <row r="105" spans="1:33" ht="11.25" customHeight="1" x14ac:dyDescent="0.3">
      <c r="A105" s="3" t="s">
        <v>21</v>
      </c>
      <c r="B105" s="3" t="s">
        <v>39</v>
      </c>
      <c r="C105" s="3" t="s">
        <v>40</v>
      </c>
      <c r="D105" s="3" t="s">
        <v>38</v>
      </c>
      <c r="E105" s="3" t="s">
        <v>25</v>
      </c>
      <c r="F105" s="3" t="s">
        <v>54</v>
      </c>
      <c r="G105" s="3" t="s">
        <v>25</v>
      </c>
      <c r="H105" s="3" t="s">
        <v>35</v>
      </c>
      <c r="I105" s="6">
        <v>44713</v>
      </c>
      <c r="J105" s="4">
        <v>0</v>
      </c>
      <c r="K105" s="4">
        <v>0</v>
      </c>
      <c r="L105" s="4">
        <v>784.33</v>
      </c>
      <c r="M105" s="4">
        <v>784.33</v>
      </c>
      <c r="N105" s="4">
        <v>0</v>
      </c>
      <c r="O105" s="4">
        <v>0</v>
      </c>
      <c r="P105" s="4">
        <v>0</v>
      </c>
      <c r="Q105" s="3" t="s">
        <v>55</v>
      </c>
      <c r="R105" s="3">
        <v>0</v>
      </c>
      <c r="S105" s="4">
        <v>0</v>
      </c>
      <c r="T105" s="4">
        <v>11</v>
      </c>
      <c r="U105" s="4">
        <v>0</v>
      </c>
      <c r="V105" s="4">
        <f>IF(ISERROR(VLOOKUP($S$105,'TAR FIN'!$A$1:$O$91,15,0)),0,VLOOKUP($S$105,'TAR FIN'!$A$1:$O$91,15,0))</f>
        <v>0</v>
      </c>
      <c r="W105" s="4">
        <f>IF(ISERROR(VLOOKUP($T$105,'TAR FIN'!$A$1:$O$91,15,0)),0,VLOOKUP($T$105,'TAR FIN'!$A$1:$O$91,15,0))</f>
        <v>90.54</v>
      </c>
      <c r="X105" s="4">
        <f>IF(ISERROR(VLOOKUP($U$105,'TAR FIN'!$A$1:$O$91,15,0)),0,VLOOKUP($U$105,'TAR FIN'!$A$1:$O$91,15,0))</f>
        <v>0</v>
      </c>
      <c r="Y105" s="4"/>
      <c r="Z105" s="4">
        <f ca="1">('TUSD BE'!$AM$15+'TUSD BF'!$AM$15+'TUSD CVA'!$AM$15)*1</f>
        <v>104.1465119197419</v>
      </c>
      <c r="AA105" s="4"/>
      <c r="AB105" s="4">
        <f>$K$105*$V$105</f>
        <v>0</v>
      </c>
      <c r="AC105" s="4">
        <f>$M$105*$W$105</f>
        <v>71013.238200000007</v>
      </c>
      <c r="AD105" s="4">
        <f>$O$105*$X$105</f>
        <v>0</v>
      </c>
      <c r="AE105" s="4">
        <f>$K$105*$Y$105</f>
        <v>0</v>
      </c>
      <c r="AF105" s="4">
        <f ca="1">$M$105*$Z$105</f>
        <v>81685.233694011171</v>
      </c>
      <c r="AG105" s="4">
        <f>$O$105*$AA$105</f>
        <v>0</v>
      </c>
    </row>
    <row r="106" spans="1:33" ht="11.25" customHeight="1" x14ac:dyDescent="0.3">
      <c r="A106" s="3" t="s">
        <v>21</v>
      </c>
      <c r="B106" s="3" t="s">
        <v>39</v>
      </c>
      <c r="C106" s="3" t="s">
        <v>40</v>
      </c>
      <c r="D106" s="3" t="s">
        <v>38</v>
      </c>
      <c r="E106" s="3" t="s">
        <v>25</v>
      </c>
      <c r="F106" s="3" t="s">
        <v>54</v>
      </c>
      <c r="G106" s="3" t="s">
        <v>25</v>
      </c>
      <c r="H106" s="3" t="s">
        <v>25</v>
      </c>
      <c r="I106" s="6">
        <v>44378</v>
      </c>
      <c r="J106" s="4">
        <v>3029</v>
      </c>
      <c r="K106" s="4">
        <v>816.91287938000005</v>
      </c>
      <c r="L106" s="4">
        <v>0</v>
      </c>
      <c r="M106" s="4">
        <v>0</v>
      </c>
      <c r="N106" s="4">
        <v>0</v>
      </c>
      <c r="O106" s="4">
        <v>0</v>
      </c>
      <c r="P106" s="4">
        <v>6</v>
      </c>
      <c r="Q106" s="3" t="s">
        <v>55</v>
      </c>
      <c r="R106" s="3">
        <v>0</v>
      </c>
      <c r="S106" s="4">
        <v>9</v>
      </c>
      <c r="T106" s="4">
        <v>0</v>
      </c>
      <c r="U106" s="4">
        <v>0</v>
      </c>
      <c r="V106" s="4">
        <f>IF(ISERROR(VLOOKUP($S$106,'TAR FIN'!$A$1:$O$91,15,0)),0,VLOOKUP($S$106,'TAR FIN'!$A$1:$O$91,15,0))</f>
        <v>33.97</v>
      </c>
      <c r="W106" s="4">
        <f>IF(ISERROR(VLOOKUP($T$106,'TAR FIN'!$A$1:$O$91,15,0)),0,VLOOKUP($T$106,'TAR FIN'!$A$1:$O$91,15,0))</f>
        <v>0</v>
      </c>
      <c r="X106" s="4">
        <f>IF(ISERROR(VLOOKUP($U$106,'TAR FIN'!$A$1:$O$91,15,0)),0,VLOOKUP($U$106,'TAR FIN'!$A$1:$O$91,15,0))</f>
        <v>0</v>
      </c>
      <c r="Y106" s="4">
        <f ca="1">('TUSD BE'!$AM$13+'TUSD BF'!$AM$13+'TUSD CVA'!$AM$13)*1</f>
        <v>39.117234382623039</v>
      </c>
      <c r="Z106" s="4"/>
      <c r="AA106" s="4"/>
      <c r="AB106" s="4">
        <f>$K$106*$V$106</f>
        <v>27750.5305125386</v>
      </c>
      <c r="AC106" s="4">
        <f>$M$106*$W$106</f>
        <v>0</v>
      </c>
      <c r="AD106" s="4">
        <f>$O$106*$X$106</f>
        <v>0</v>
      </c>
      <c r="AE106" s="4">
        <f ca="1">$K$106*$Y$106</f>
        <v>31955.372572890927</v>
      </c>
      <c r="AF106" s="4">
        <f>$M$106*$Z$106</f>
        <v>0</v>
      </c>
      <c r="AG106" s="4">
        <f>$O$106*$AA$106</f>
        <v>0</v>
      </c>
    </row>
    <row r="107" spans="1:33" ht="11.25" customHeight="1" x14ac:dyDescent="0.3">
      <c r="A107" s="3" t="s">
        <v>21</v>
      </c>
      <c r="B107" s="3" t="s">
        <v>39</v>
      </c>
      <c r="C107" s="3" t="s">
        <v>40</v>
      </c>
      <c r="D107" s="3" t="s">
        <v>38</v>
      </c>
      <c r="E107" s="3" t="s">
        <v>25</v>
      </c>
      <c r="F107" s="3" t="s">
        <v>54</v>
      </c>
      <c r="G107" s="3" t="s">
        <v>25</v>
      </c>
      <c r="H107" s="3" t="s">
        <v>25</v>
      </c>
      <c r="I107" s="6">
        <v>44409</v>
      </c>
      <c r="J107" s="4">
        <v>3396</v>
      </c>
      <c r="K107" s="4">
        <v>915.89175911999996</v>
      </c>
      <c r="L107" s="4">
        <v>0</v>
      </c>
      <c r="M107" s="4">
        <v>0</v>
      </c>
      <c r="N107" s="4">
        <v>0</v>
      </c>
      <c r="O107" s="4">
        <v>0</v>
      </c>
      <c r="P107" s="4">
        <v>8</v>
      </c>
      <c r="Q107" s="3" t="s">
        <v>55</v>
      </c>
      <c r="R107" s="3">
        <v>0</v>
      </c>
      <c r="S107" s="4">
        <v>9</v>
      </c>
      <c r="T107" s="4">
        <v>0</v>
      </c>
      <c r="U107" s="4">
        <v>0</v>
      </c>
      <c r="V107" s="4">
        <f>IF(ISERROR(VLOOKUP($S$107,'TAR FIN'!$A$1:$O$91,15,0)),0,VLOOKUP($S$107,'TAR FIN'!$A$1:$O$91,15,0))</f>
        <v>33.97</v>
      </c>
      <c r="W107" s="4">
        <f>IF(ISERROR(VLOOKUP($T$107,'TAR FIN'!$A$1:$O$91,15,0)),0,VLOOKUP($T$107,'TAR FIN'!$A$1:$O$91,15,0))</f>
        <v>0</v>
      </c>
      <c r="X107" s="4">
        <f>IF(ISERROR(VLOOKUP($U$107,'TAR FIN'!$A$1:$O$91,15,0)),0,VLOOKUP($U$107,'TAR FIN'!$A$1:$O$91,15,0))</f>
        <v>0</v>
      </c>
      <c r="Y107" s="4">
        <f ca="1">('TUSD BE'!$AM$13+'TUSD BF'!$AM$13+'TUSD CVA'!$AM$13)*1</f>
        <v>39.117234382623039</v>
      </c>
      <c r="Z107" s="4"/>
      <c r="AA107" s="4"/>
      <c r="AB107" s="4">
        <f>$K$107*$V$107</f>
        <v>31112.843057306396</v>
      </c>
      <c r="AC107" s="4">
        <f>$M$107*$W$107</f>
        <v>0</v>
      </c>
      <c r="AD107" s="4">
        <f>$O$107*$X$107</f>
        <v>0</v>
      </c>
      <c r="AE107" s="4">
        <f ca="1">$K$107*$Y$107</f>
        <v>35827.152610609963</v>
      </c>
      <c r="AF107" s="4">
        <f>$M$107*$Z$107</f>
        <v>0</v>
      </c>
      <c r="AG107" s="4">
        <f>$O$107*$AA$107</f>
        <v>0</v>
      </c>
    </row>
    <row r="108" spans="1:33" ht="11.25" customHeight="1" x14ac:dyDescent="0.3">
      <c r="A108" s="3" t="s">
        <v>21</v>
      </c>
      <c r="B108" s="3" t="s">
        <v>39</v>
      </c>
      <c r="C108" s="3" t="s">
        <v>40</v>
      </c>
      <c r="D108" s="3" t="s">
        <v>38</v>
      </c>
      <c r="E108" s="3" t="s">
        <v>25</v>
      </c>
      <c r="F108" s="3" t="s">
        <v>54</v>
      </c>
      <c r="G108" s="3" t="s">
        <v>25</v>
      </c>
      <c r="H108" s="3" t="s">
        <v>25</v>
      </c>
      <c r="I108" s="6">
        <v>44440</v>
      </c>
      <c r="J108" s="4">
        <v>3368</v>
      </c>
      <c r="K108" s="4">
        <v>908.34023695999997</v>
      </c>
      <c r="L108" s="4">
        <v>0</v>
      </c>
      <c r="M108" s="4">
        <v>0</v>
      </c>
      <c r="N108" s="4">
        <v>0</v>
      </c>
      <c r="O108" s="4">
        <v>0</v>
      </c>
      <c r="P108" s="4">
        <v>8</v>
      </c>
      <c r="Q108" s="3" t="s">
        <v>55</v>
      </c>
      <c r="R108" s="3">
        <v>0</v>
      </c>
      <c r="S108" s="4">
        <v>9</v>
      </c>
      <c r="T108" s="4">
        <v>0</v>
      </c>
      <c r="U108" s="4">
        <v>0</v>
      </c>
      <c r="V108" s="4">
        <f>IF(ISERROR(VLOOKUP($S$108,'TAR FIN'!$A$1:$O$91,15,0)),0,VLOOKUP($S$108,'TAR FIN'!$A$1:$O$91,15,0))</f>
        <v>33.97</v>
      </c>
      <c r="W108" s="4">
        <f>IF(ISERROR(VLOOKUP($T$108,'TAR FIN'!$A$1:$O$91,15,0)),0,VLOOKUP($T$108,'TAR FIN'!$A$1:$O$91,15,0))</f>
        <v>0</v>
      </c>
      <c r="X108" s="4">
        <f>IF(ISERROR(VLOOKUP($U$108,'TAR FIN'!$A$1:$O$91,15,0)),0,VLOOKUP($U$108,'TAR FIN'!$A$1:$O$91,15,0))</f>
        <v>0</v>
      </c>
      <c r="Y108" s="4">
        <f ca="1">('TUSD BE'!$AM$13+'TUSD BF'!$AM$13+'TUSD CVA'!$AM$13)*1</f>
        <v>39.117234382623039</v>
      </c>
      <c r="Z108" s="4"/>
      <c r="AA108" s="4"/>
      <c r="AB108" s="4">
        <f>$K$108*$V$108</f>
        <v>30856.317849531199</v>
      </c>
      <c r="AC108" s="4">
        <f>$M$108*$W$108</f>
        <v>0</v>
      </c>
      <c r="AD108" s="4">
        <f>$O$108*$X$108</f>
        <v>0</v>
      </c>
      <c r="AE108" s="4">
        <f ca="1">$K$108*$Y$108</f>
        <v>35531.757948331666</v>
      </c>
      <c r="AF108" s="4">
        <f>$M$108*$Z$108</f>
        <v>0</v>
      </c>
      <c r="AG108" s="4">
        <f>$O$108*$AA$108</f>
        <v>0</v>
      </c>
    </row>
    <row r="109" spans="1:33" ht="11.25" customHeight="1" x14ac:dyDescent="0.3">
      <c r="A109" s="3" t="s">
        <v>21</v>
      </c>
      <c r="B109" s="3" t="s">
        <v>39</v>
      </c>
      <c r="C109" s="3" t="s">
        <v>40</v>
      </c>
      <c r="D109" s="3" t="s">
        <v>38</v>
      </c>
      <c r="E109" s="3" t="s">
        <v>25</v>
      </c>
      <c r="F109" s="3" t="s">
        <v>54</v>
      </c>
      <c r="G109" s="3" t="s">
        <v>25</v>
      </c>
      <c r="H109" s="3" t="s">
        <v>25</v>
      </c>
      <c r="I109" s="6">
        <v>44470</v>
      </c>
      <c r="J109" s="4">
        <v>3368</v>
      </c>
      <c r="K109" s="4">
        <v>908.34023695999997</v>
      </c>
      <c r="L109" s="4">
        <v>0</v>
      </c>
      <c r="M109" s="4">
        <v>0</v>
      </c>
      <c r="N109" s="4">
        <v>0</v>
      </c>
      <c r="O109" s="4">
        <v>0</v>
      </c>
      <c r="P109" s="4">
        <v>8</v>
      </c>
      <c r="Q109" s="3" t="s">
        <v>55</v>
      </c>
      <c r="R109" s="3">
        <v>0</v>
      </c>
      <c r="S109" s="4">
        <v>9</v>
      </c>
      <c r="T109" s="4">
        <v>0</v>
      </c>
      <c r="U109" s="4">
        <v>0</v>
      </c>
      <c r="V109" s="4">
        <f>IF(ISERROR(VLOOKUP($S$109,'TAR FIN'!$A$1:$O$91,15,0)),0,VLOOKUP($S$109,'TAR FIN'!$A$1:$O$91,15,0))</f>
        <v>33.97</v>
      </c>
      <c r="W109" s="4">
        <f>IF(ISERROR(VLOOKUP($T$109,'TAR FIN'!$A$1:$O$91,15,0)),0,VLOOKUP($T$109,'TAR FIN'!$A$1:$O$91,15,0))</f>
        <v>0</v>
      </c>
      <c r="X109" s="4">
        <f>IF(ISERROR(VLOOKUP($U$109,'TAR FIN'!$A$1:$O$91,15,0)),0,VLOOKUP($U$109,'TAR FIN'!$A$1:$O$91,15,0))</f>
        <v>0</v>
      </c>
      <c r="Y109" s="4">
        <f ca="1">('TUSD BE'!$AM$13+'TUSD BF'!$AM$13+'TUSD CVA'!$AM$13)*1</f>
        <v>39.117234382623039</v>
      </c>
      <c r="Z109" s="4"/>
      <c r="AA109" s="4"/>
      <c r="AB109" s="4">
        <f>$K$109*$V$109</f>
        <v>30856.317849531199</v>
      </c>
      <c r="AC109" s="4">
        <f>$M$109*$W$109</f>
        <v>0</v>
      </c>
      <c r="AD109" s="4">
        <f>$O$109*$X$109</f>
        <v>0</v>
      </c>
      <c r="AE109" s="4">
        <f ca="1">$K$109*$Y$109</f>
        <v>35531.757948331666</v>
      </c>
      <c r="AF109" s="4">
        <f>$M$109*$Z$109</f>
        <v>0</v>
      </c>
      <c r="AG109" s="4">
        <f>$O$109*$AA$109</f>
        <v>0</v>
      </c>
    </row>
    <row r="110" spans="1:33" ht="11.25" customHeight="1" x14ac:dyDescent="0.3">
      <c r="A110" s="3" t="s">
        <v>21</v>
      </c>
      <c r="B110" s="3" t="s">
        <v>39</v>
      </c>
      <c r="C110" s="3" t="s">
        <v>40</v>
      </c>
      <c r="D110" s="3" t="s">
        <v>38</v>
      </c>
      <c r="E110" s="3" t="s">
        <v>25</v>
      </c>
      <c r="F110" s="3" t="s">
        <v>54</v>
      </c>
      <c r="G110" s="3" t="s">
        <v>25</v>
      </c>
      <c r="H110" s="3" t="s">
        <v>25</v>
      </c>
      <c r="I110" s="6">
        <v>44501</v>
      </c>
      <c r="J110" s="4">
        <v>3368</v>
      </c>
      <c r="K110" s="4">
        <v>908.34023695999997</v>
      </c>
      <c r="L110" s="4">
        <v>0</v>
      </c>
      <c r="M110" s="4">
        <v>0</v>
      </c>
      <c r="N110" s="4">
        <v>0</v>
      </c>
      <c r="O110" s="4">
        <v>0</v>
      </c>
      <c r="P110" s="4">
        <v>8</v>
      </c>
      <c r="Q110" s="3" t="s">
        <v>55</v>
      </c>
      <c r="R110" s="3">
        <v>0</v>
      </c>
      <c r="S110" s="4">
        <v>9</v>
      </c>
      <c r="T110" s="4">
        <v>0</v>
      </c>
      <c r="U110" s="4">
        <v>0</v>
      </c>
      <c r="V110" s="4">
        <f>IF(ISERROR(VLOOKUP($S$110,'TAR FIN'!$A$1:$O$91,15,0)),0,VLOOKUP($S$110,'TAR FIN'!$A$1:$O$91,15,0))</f>
        <v>33.97</v>
      </c>
      <c r="W110" s="4">
        <f>IF(ISERROR(VLOOKUP($T$110,'TAR FIN'!$A$1:$O$91,15,0)),0,VLOOKUP($T$110,'TAR FIN'!$A$1:$O$91,15,0))</f>
        <v>0</v>
      </c>
      <c r="X110" s="4">
        <f>IF(ISERROR(VLOOKUP($U$110,'TAR FIN'!$A$1:$O$91,15,0)),0,VLOOKUP($U$110,'TAR FIN'!$A$1:$O$91,15,0))</f>
        <v>0</v>
      </c>
      <c r="Y110" s="4">
        <f ca="1">('TUSD BE'!$AM$13+'TUSD BF'!$AM$13+'TUSD CVA'!$AM$13)*1</f>
        <v>39.117234382623039</v>
      </c>
      <c r="Z110" s="4"/>
      <c r="AA110" s="4"/>
      <c r="AB110" s="4">
        <f>$K$110*$V$110</f>
        <v>30856.317849531199</v>
      </c>
      <c r="AC110" s="4">
        <f>$M$110*$W$110</f>
        <v>0</v>
      </c>
      <c r="AD110" s="4">
        <f>$O$110*$X$110</f>
        <v>0</v>
      </c>
      <c r="AE110" s="4">
        <f ca="1">$K$110*$Y$110</f>
        <v>35531.757948331666</v>
      </c>
      <c r="AF110" s="4">
        <f>$M$110*$Z$110</f>
        <v>0</v>
      </c>
      <c r="AG110" s="4">
        <f>$O$110*$AA$110</f>
        <v>0</v>
      </c>
    </row>
    <row r="111" spans="1:33" ht="11.25" customHeight="1" x14ac:dyDescent="0.3">
      <c r="A111" s="3" t="s">
        <v>21</v>
      </c>
      <c r="B111" s="3" t="s">
        <v>39</v>
      </c>
      <c r="C111" s="3" t="s">
        <v>40</v>
      </c>
      <c r="D111" s="3" t="s">
        <v>38</v>
      </c>
      <c r="E111" s="3" t="s">
        <v>25</v>
      </c>
      <c r="F111" s="3" t="s">
        <v>54</v>
      </c>
      <c r="G111" s="3" t="s">
        <v>25</v>
      </c>
      <c r="H111" s="3" t="s">
        <v>25</v>
      </c>
      <c r="I111" s="6">
        <v>44531</v>
      </c>
      <c r="J111" s="4">
        <v>3368</v>
      </c>
      <c r="K111" s="4">
        <v>908.34023695999997</v>
      </c>
      <c r="L111" s="4">
        <v>0</v>
      </c>
      <c r="M111" s="4">
        <v>0</v>
      </c>
      <c r="N111" s="4">
        <v>0</v>
      </c>
      <c r="O111" s="4">
        <v>0</v>
      </c>
      <c r="P111" s="4">
        <v>8</v>
      </c>
      <c r="Q111" s="3" t="s">
        <v>55</v>
      </c>
      <c r="R111" s="3">
        <v>0</v>
      </c>
      <c r="S111" s="4">
        <v>9</v>
      </c>
      <c r="T111" s="4">
        <v>0</v>
      </c>
      <c r="U111" s="4">
        <v>0</v>
      </c>
      <c r="V111" s="4">
        <f>IF(ISERROR(VLOOKUP($S$111,'TAR FIN'!$A$1:$O$91,15,0)),0,VLOOKUP($S$111,'TAR FIN'!$A$1:$O$91,15,0))</f>
        <v>33.97</v>
      </c>
      <c r="W111" s="4">
        <f>IF(ISERROR(VLOOKUP($T$111,'TAR FIN'!$A$1:$O$91,15,0)),0,VLOOKUP($T$111,'TAR FIN'!$A$1:$O$91,15,0))</f>
        <v>0</v>
      </c>
      <c r="X111" s="4">
        <f>IF(ISERROR(VLOOKUP($U$111,'TAR FIN'!$A$1:$O$91,15,0)),0,VLOOKUP($U$111,'TAR FIN'!$A$1:$O$91,15,0))</f>
        <v>0</v>
      </c>
      <c r="Y111" s="4">
        <f ca="1">('TUSD BE'!$AM$13+'TUSD BF'!$AM$13+'TUSD CVA'!$AM$13)*1</f>
        <v>39.117234382623039</v>
      </c>
      <c r="Z111" s="4"/>
      <c r="AA111" s="4"/>
      <c r="AB111" s="4">
        <f>$K$111*$V$111</f>
        <v>30856.317849531199</v>
      </c>
      <c r="AC111" s="4">
        <f>$M$111*$W$111</f>
        <v>0</v>
      </c>
      <c r="AD111" s="4">
        <f>$O$111*$X$111</f>
        <v>0</v>
      </c>
      <c r="AE111" s="4">
        <f ca="1">$K$111*$Y$111</f>
        <v>35531.757948331666</v>
      </c>
      <c r="AF111" s="4">
        <f>$M$111*$Z$111</f>
        <v>0</v>
      </c>
      <c r="AG111" s="4">
        <f>$O$111*$AA$111</f>
        <v>0</v>
      </c>
    </row>
    <row r="112" spans="1:33" ht="11.25" customHeight="1" x14ac:dyDescent="0.3">
      <c r="A112" s="3" t="s">
        <v>21</v>
      </c>
      <c r="B112" s="3" t="s">
        <v>39</v>
      </c>
      <c r="C112" s="3" t="s">
        <v>40</v>
      </c>
      <c r="D112" s="3" t="s">
        <v>38</v>
      </c>
      <c r="E112" s="3" t="s">
        <v>25</v>
      </c>
      <c r="F112" s="3" t="s">
        <v>54</v>
      </c>
      <c r="G112" s="3" t="s">
        <v>25</v>
      </c>
      <c r="H112" s="3" t="s">
        <v>25</v>
      </c>
      <c r="I112" s="6">
        <v>44562</v>
      </c>
      <c r="J112" s="4">
        <v>3368</v>
      </c>
      <c r="K112" s="4">
        <v>908.34023695999997</v>
      </c>
      <c r="L112" s="4">
        <v>0</v>
      </c>
      <c r="M112" s="4">
        <v>0</v>
      </c>
      <c r="N112" s="4">
        <v>0</v>
      </c>
      <c r="O112" s="4">
        <v>0</v>
      </c>
      <c r="P112" s="4">
        <v>8</v>
      </c>
      <c r="Q112" s="3" t="s">
        <v>55</v>
      </c>
      <c r="R112" s="3">
        <v>0</v>
      </c>
      <c r="S112" s="4">
        <v>9</v>
      </c>
      <c r="T112" s="4">
        <v>0</v>
      </c>
      <c r="U112" s="4">
        <v>0</v>
      </c>
      <c r="V112" s="4">
        <f>IF(ISERROR(VLOOKUP($S$112,'TAR FIN'!$A$1:$O$91,15,0)),0,VLOOKUP($S$112,'TAR FIN'!$A$1:$O$91,15,0))</f>
        <v>33.97</v>
      </c>
      <c r="W112" s="4">
        <f>IF(ISERROR(VLOOKUP($T$112,'TAR FIN'!$A$1:$O$91,15,0)),0,VLOOKUP($T$112,'TAR FIN'!$A$1:$O$91,15,0))</f>
        <v>0</v>
      </c>
      <c r="X112" s="4">
        <f>IF(ISERROR(VLOOKUP($U$112,'TAR FIN'!$A$1:$O$91,15,0)),0,VLOOKUP($U$112,'TAR FIN'!$A$1:$O$91,15,0))</f>
        <v>0</v>
      </c>
      <c r="Y112" s="4">
        <f ca="1">('TUSD BE'!$AM$13+'TUSD BF'!$AM$13+'TUSD CVA'!$AM$13)*1</f>
        <v>39.117234382623039</v>
      </c>
      <c r="Z112" s="4"/>
      <c r="AA112" s="4"/>
      <c r="AB112" s="4">
        <f>$K$112*$V$112</f>
        <v>30856.317849531199</v>
      </c>
      <c r="AC112" s="4">
        <f>$M$112*$W$112</f>
        <v>0</v>
      </c>
      <c r="AD112" s="4">
        <f>$O$112*$X$112</f>
        <v>0</v>
      </c>
      <c r="AE112" s="4">
        <f ca="1">$K$112*$Y$112</f>
        <v>35531.757948331666</v>
      </c>
      <c r="AF112" s="4">
        <f>$M$112*$Z$112</f>
        <v>0</v>
      </c>
      <c r="AG112" s="4">
        <f>$O$112*$AA$112</f>
        <v>0</v>
      </c>
    </row>
    <row r="113" spans="1:33" ht="11.25" customHeight="1" x14ac:dyDescent="0.3">
      <c r="A113" s="3" t="s">
        <v>21</v>
      </c>
      <c r="B113" s="3" t="s">
        <v>39</v>
      </c>
      <c r="C113" s="3" t="s">
        <v>40</v>
      </c>
      <c r="D113" s="3" t="s">
        <v>38</v>
      </c>
      <c r="E113" s="3" t="s">
        <v>25</v>
      </c>
      <c r="F113" s="3" t="s">
        <v>54</v>
      </c>
      <c r="G113" s="3" t="s">
        <v>25</v>
      </c>
      <c r="H113" s="3" t="s">
        <v>25</v>
      </c>
      <c r="I113" s="6">
        <v>44593</v>
      </c>
      <c r="J113" s="4">
        <v>3168</v>
      </c>
      <c r="K113" s="4">
        <v>854.40079295999999</v>
      </c>
      <c r="L113" s="4">
        <v>0</v>
      </c>
      <c r="M113" s="4">
        <v>0</v>
      </c>
      <c r="N113" s="4">
        <v>0</v>
      </c>
      <c r="O113" s="4">
        <v>0</v>
      </c>
      <c r="P113" s="4">
        <v>8</v>
      </c>
      <c r="Q113" s="3" t="s">
        <v>55</v>
      </c>
      <c r="R113" s="3">
        <v>0</v>
      </c>
      <c r="S113" s="4">
        <v>9</v>
      </c>
      <c r="T113" s="4">
        <v>0</v>
      </c>
      <c r="U113" s="4">
        <v>0</v>
      </c>
      <c r="V113" s="4">
        <f>IF(ISERROR(VLOOKUP($S$113,'TAR FIN'!$A$1:$O$91,15,0)),0,VLOOKUP($S$113,'TAR FIN'!$A$1:$O$91,15,0))</f>
        <v>33.97</v>
      </c>
      <c r="W113" s="4">
        <f>IF(ISERROR(VLOOKUP($T$113,'TAR FIN'!$A$1:$O$91,15,0)),0,VLOOKUP($T$113,'TAR FIN'!$A$1:$O$91,15,0))</f>
        <v>0</v>
      </c>
      <c r="X113" s="4">
        <f>IF(ISERROR(VLOOKUP($U$113,'TAR FIN'!$A$1:$O$91,15,0)),0,VLOOKUP($U$113,'TAR FIN'!$A$1:$O$91,15,0))</f>
        <v>0</v>
      </c>
      <c r="Y113" s="4">
        <f ca="1">('TUSD BE'!$AM$13+'TUSD BF'!$AM$13+'TUSD CVA'!$AM$13)*1</f>
        <v>39.117234382623039</v>
      </c>
      <c r="Z113" s="4"/>
      <c r="AA113" s="4"/>
      <c r="AB113" s="4">
        <f>$K$113*$V$113</f>
        <v>29023.994936851199</v>
      </c>
      <c r="AC113" s="4">
        <f>$M$113*$W$113</f>
        <v>0</v>
      </c>
      <c r="AD113" s="4">
        <f>$O$113*$X$113</f>
        <v>0</v>
      </c>
      <c r="AE113" s="4">
        <f ca="1">$K$113*$Y$113</f>
        <v>33421.796074915299</v>
      </c>
      <c r="AF113" s="4">
        <f>$M$113*$Z$113</f>
        <v>0</v>
      </c>
      <c r="AG113" s="4">
        <f>$O$113*$AA$113</f>
        <v>0</v>
      </c>
    </row>
    <row r="114" spans="1:33" ht="11.25" customHeight="1" x14ac:dyDescent="0.3">
      <c r="A114" s="3" t="s">
        <v>21</v>
      </c>
      <c r="B114" s="3" t="s">
        <v>39</v>
      </c>
      <c r="C114" s="3" t="s">
        <v>40</v>
      </c>
      <c r="D114" s="3" t="s">
        <v>38</v>
      </c>
      <c r="E114" s="3" t="s">
        <v>25</v>
      </c>
      <c r="F114" s="3" t="s">
        <v>54</v>
      </c>
      <c r="G114" s="3" t="s">
        <v>25</v>
      </c>
      <c r="H114" s="3" t="s">
        <v>25</v>
      </c>
      <c r="I114" s="6">
        <v>44621</v>
      </c>
      <c r="J114" s="4">
        <v>3457</v>
      </c>
      <c r="K114" s="4">
        <v>932.34328954</v>
      </c>
      <c r="L114" s="4">
        <v>0</v>
      </c>
      <c r="M114" s="4">
        <v>0</v>
      </c>
      <c r="N114" s="4">
        <v>0</v>
      </c>
      <c r="O114" s="4">
        <v>0</v>
      </c>
      <c r="P114" s="4">
        <v>8</v>
      </c>
      <c r="Q114" s="3" t="s">
        <v>55</v>
      </c>
      <c r="R114" s="3">
        <v>0</v>
      </c>
      <c r="S114" s="4">
        <v>9</v>
      </c>
      <c r="T114" s="4">
        <v>0</v>
      </c>
      <c r="U114" s="4">
        <v>0</v>
      </c>
      <c r="V114" s="4">
        <f>IF(ISERROR(VLOOKUP($S$114,'TAR FIN'!$A$1:$O$91,15,0)),0,VLOOKUP($S$114,'TAR FIN'!$A$1:$O$91,15,0))</f>
        <v>33.97</v>
      </c>
      <c r="W114" s="4">
        <f>IF(ISERROR(VLOOKUP($T$114,'TAR FIN'!$A$1:$O$91,15,0)),0,VLOOKUP($T$114,'TAR FIN'!$A$1:$O$91,15,0))</f>
        <v>0</v>
      </c>
      <c r="X114" s="4">
        <f>IF(ISERROR(VLOOKUP($U$114,'TAR FIN'!$A$1:$O$91,15,0)),0,VLOOKUP($U$114,'TAR FIN'!$A$1:$O$91,15,0))</f>
        <v>0</v>
      </c>
      <c r="Y114" s="4">
        <f ca="1">('TUSD BE'!$AM$13+'TUSD BF'!$AM$13+'TUSD CVA'!$AM$13)*1</f>
        <v>39.117234382623039</v>
      </c>
      <c r="Z114" s="4"/>
      <c r="AA114" s="4"/>
      <c r="AB114" s="4">
        <f>$K$114*$V$114</f>
        <v>31671.701545673797</v>
      </c>
      <c r="AC114" s="4">
        <f>$M$114*$W$114</f>
        <v>0</v>
      </c>
      <c r="AD114" s="4">
        <f>$O$114*$X$114</f>
        <v>0</v>
      </c>
      <c r="AE114" s="4">
        <f ca="1">$K$114*$Y$114</f>
        <v>36470.690982001957</v>
      </c>
      <c r="AF114" s="4">
        <f>$M$114*$Z$114</f>
        <v>0</v>
      </c>
      <c r="AG114" s="4">
        <f>$O$114*$AA$114</f>
        <v>0</v>
      </c>
    </row>
    <row r="115" spans="1:33" ht="11.25" customHeight="1" x14ac:dyDescent="0.3">
      <c r="A115" s="3" t="s">
        <v>21</v>
      </c>
      <c r="B115" s="3" t="s">
        <v>39</v>
      </c>
      <c r="C115" s="3" t="s">
        <v>40</v>
      </c>
      <c r="D115" s="3" t="s">
        <v>38</v>
      </c>
      <c r="E115" s="3" t="s">
        <v>25</v>
      </c>
      <c r="F115" s="3" t="s">
        <v>54</v>
      </c>
      <c r="G115" s="3" t="s">
        <v>25</v>
      </c>
      <c r="H115" s="3" t="s">
        <v>25</v>
      </c>
      <c r="I115" s="6">
        <v>44652</v>
      </c>
      <c r="J115" s="4">
        <v>3507</v>
      </c>
      <c r="K115" s="4">
        <v>945.82815054000002</v>
      </c>
      <c r="L115" s="4">
        <v>0</v>
      </c>
      <c r="M115" s="4">
        <v>0</v>
      </c>
      <c r="N115" s="4">
        <v>0</v>
      </c>
      <c r="O115" s="4">
        <v>0</v>
      </c>
      <c r="P115" s="4">
        <v>8</v>
      </c>
      <c r="Q115" s="3" t="s">
        <v>55</v>
      </c>
      <c r="R115" s="3">
        <v>0</v>
      </c>
      <c r="S115" s="4">
        <v>9</v>
      </c>
      <c r="T115" s="4">
        <v>0</v>
      </c>
      <c r="U115" s="4">
        <v>0</v>
      </c>
      <c r="V115" s="4">
        <f>IF(ISERROR(VLOOKUP($S$115,'TAR FIN'!$A$1:$O$91,15,0)),0,VLOOKUP($S$115,'TAR FIN'!$A$1:$O$91,15,0))</f>
        <v>33.97</v>
      </c>
      <c r="W115" s="4">
        <f>IF(ISERROR(VLOOKUP($T$115,'TAR FIN'!$A$1:$O$91,15,0)),0,VLOOKUP($T$115,'TAR FIN'!$A$1:$O$91,15,0))</f>
        <v>0</v>
      </c>
      <c r="X115" s="4">
        <f>IF(ISERROR(VLOOKUP($U$115,'TAR FIN'!$A$1:$O$91,15,0)),0,VLOOKUP($U$115,'TAR FIN'!$A$1:$O$91,15,0))</f>
        <v>0</v>
      </c>
      <c r="Y115" s="4">
        <f ca="1">('TUSD BE'!$AM$13+'TUSD BF'!$AM$13+'TUSD CVA'!$AM$13)*1</f>
        <v>39.117234382623039</v>
      </c>
      <c r="Z115" s="4"/>
      <c r="AA115" s="4"/>
      <c r="AB115" s="4">
        <f>$K$115*$V$115</f>
        <v>32129.782273843801</v>
      </c>
      <c r="AC115" s="4">
        <f>$M$115*$W$115</f>
        <v>0</v>
      </c>
      <c r="AD115" s="4">
        <f>$O$115*$X$115</f>
        <v>0</v>
      </c>
      <c r="AE115" s="4">
        <f ca="1">$K$115*$Y$115</f>
        <v>36998.181450356045</v>
      </c>
      <c r="AF115" s="4">
        <f>$M$115*$Z$115</f>
        <v>0</v>
      </c>
      <c r="AG115" s="4">
        <f>$O$115*$AA$115</f>
        <v>0</v>
      </c>
    </row>
    <row r="116" spans="1:33" ht="11.25" customHeight="1" x14ac:dyDescent="0.3">
      <c r="A116" s="3" t="s">
        <v>21</v>
      </c>
      <c r="B116" s="3" t="s">
        <v>39</v>
      </c>
      <c r="C116" s="3" t="s">
        <v>40</v>
      </c>
      <c r="D116" s="3" t="s">
        <v>38</v>
      </c>
      <c r="E116" s="3" t="s">
        <v>25</v>
      </c>
      <c r="F116" s="3" t="s">
        <v>54</v>
      </c>
      <c r="G116" s="3" t="s">
        <v>25</v>
      </c>
      <c r="H116" s="3" t="s">
        <v>25</v>
      </c>
      <c r="I116" s="6">
        <v>44682</v>
      </c>
      <c r="J116" s="4">
        <v>3585</v>
      </c>
      <c r="K116" s="4">
        <v>966.86453370000004</v>
      </c>
      <c r="L116" s="4">
        <v>0</v>
      </c>
      <c r="M116" s="4">
        <v>0</v>
      </c>
      <c r="N116" s="4">
        <v>0</v>
      </c>
      <c r="O116" s="4">
        <v>0</v>
      </c>
      <c r="P116" s="4">
        <v>8</v>
      </c>
      <c r="Q116" s="3" t="s">
        <v>55</v>
      </c>
      <c r="R116" s="3">
        <v>0</v>
      </c>
      <c r="S116" s="4">
        <v>9</v>
      </c>
      <c r="T116" s="4">
        <v>0</v>
      </c>
      <c r="U116" s="4">
        <v>0</v>
      </c>
      <c r="V116" s="4">
        <f>IF(ISERROR(VLOOKUP($S$116,'TAR FIN'!$A$1:$O$91,15,0)),0,VLOOKUP($S$116,'TAR FIN'!$A$1:$O$91,15,0))</f>
        <v>33.97</v>
      </c>
      <c r="W116" s="4">
        <f>IF(ISERROR(VLOOKUP($T$116,'TAR FIN'!$A$1:$O$91,15,0)),0,VLOOKUP($T$116,'TAR FIN'!$A$1:$O$91,15,0))</f>
        <v>0</v>
      </c>
      <c r="X116" s="4">
        <f>IF(ISERROR(VLOOKUP($U$116,'TAR FIN'!$A$1:$O$91,15,0)),0,VLOOKUP($U$116,'TAR FIN'!$A$1:$O$91,15,0))</f>
        <v>0</v>
      </c>
      <c r="Y116" s="4">
        <f ca="1">('TUSD BE'!$AM$13+'TUSD BF'!$AM$13+'TUSD CVA'!$AM$13)*1</f>
        <v>39.117234382623039</v>
      </c>
      <c r="Z116" s="4"/>
      <c r="AA116" s="4"/>
      <c r="AB116" s="4">
        <f>$K$116*$V$116</f>
        <v>32844.388209789002</v>
      </c>
      <c r="AC116" s="4">
        <f>$M$116*$W$116</f>
        <v>0</v>
      </c>
      <c r="AD116" s="4">
        <f>$O$116*$X$116</f>
        <v>0</v>
      </c>
      <c r="AE116" s="4">
        <f ca="1">$K$116*$Y$116</f>
        <v>37821.06658098843</v>
      </c>
      <c r="AF116" s="4">
        <f>$M$116*$Z$116</f>
        <v>0</v>
      </c>
      <c r="AG116" s="4">
        <f>$O$116*$AA$116</f>
        <v>0</v>
      </c>
    </row>
    <row r="117" spans="1:33" ht="11.25" customHeight="1" x14ac:dyDescent="0.3">
      <c r="A117" s="3" t="s">
        <v>21</v>
      </c>
      <c r="B117" s="3" t="s">
        <v>39</v>
      </c>
      <c r="C117" s="3" t="s">
        <v>40</v>
      </c>
      <c r="D117" s="3" t="s">
        <v>38</v>
      </c>
      <c r="E117" s="3" t="s">
        <v>25</v>
      </c>
      <c r="F117" s="3" t="s">
        <v>54</v>
      </c>
      <c r="G117" s="3" t="s">
        <v>25</v>
      </c>
      <c r="H117" s="3" t="s">
        <v>25</v>
      </c>
      <c r="I117" s="6">
        <v>44713</v>
      </c>
      <c r="J117" s="4">
        <v>3577</v>
      </c>
      <c r="K117" s="4">
        <v>964.70695593999994</v>
      </c>
      <c r="L117" s="4">
        <v>0</v>
      </c>
      <c r="M117" s="4">
        <v>0</v>
      </c>
      <c r="N117" s="4">
        <v>0</v>
      </c>
      <c r="O117" s="4">
        <v>0</v>
      </c>
      <c r="P117" s="4">
        <v>8</v>
      </c>
      <c r="Q117" s="3" t="s">
        <v>55</v>
      </c>
      <c r="R117" s="3">
        <v>0</v>
      </c>
      <c r="S117" s="4">
        <v>9</v>
      </c>
      <c r="T117" s="4">
        <v>0</v>
      </c>
      <c r="U117" s="4">
        <v>0</v>
      </c>
      <c r="V117" s="4">
        <f>IF(ISERROR(VLOOKUP($S$117,'TAR FIN'!$A$1:$O$91,15,0)),0,VLOOKUP($S$117,'TAR FIN'!$A$1:$O$91,15,0))</f>
        <v>33.97</v>
      </c>
      <c r="W117" s="4">
        <f>IF(ISERROR(VLOOKUP($T$117,'TAR FIN'!$A$1:$O$91,15,0)),0,VLOOKUP($T$117,'TAR FIN'!$A$1:$O$91,15,0))</f>
        <v>0</v>
      </c>
      <c r="X117" s="4">
        <f>IF(ISERROR(VLOOKUP($U$117,'TAR FIN'!$A$1:$O$91,15,0)),0,VLOOKUP($U$117,'TAR FIN'!$A$1:$O$91,15,0))</f>
        <v>0</v>
      </c>
      <c r="Y117" s="4">
        <f ca="1">('TUSD BE'!$AM$13+'TUSD BF'!$AM$13+'TUSD CVA'!$AM$13)*1</f>
        <v>39.117234382623039</v>
      </c>
      <c r="Z117" s="4"/>
      <c r="AA117" s="4"/>
      <c r="AB117" s="4">
        <f>$K$117*$V$117</f>
        <v>32771.095293281796</v>
      </c>
      <c r="AC117" s="4">
        <f>$M$117*$W$117</f>
        <v>0</v>
      </c>
      <c r="AD117" s="4">
        <f>$O$117*$X$117</f>
        <v>0</v>
      </c>
      <c r="AE117" s="4">
        <f ca="1">$K$117*$Y$117</f>
        <v>37736.668106051773</v>
      </c>
      <c r="AF117" s="4">
        <f>$M$117*$Z$117</f>
        <v>0</v>
      </c>
      <c r="AG117" s="4">
        <f>$O$117*$AA$117</f>
        <v>0</v>
      </c>
    </row>
    <row r="118" spans="1:33" ht="11.25" customHeight="1" x14ac:dyDescent="0.3">
      <c r="A118" s="3" t="s">
        <v>21</v>
      </c>
      <c r="B118" s="3" t="s">
        <v>39</v>
      </c>
      <c r="C118" s="3" t="s">
        <v>40</v>
      </c>
      <c r="D118" s="3" t="s">
        <v>38</v>
      </c>
      <c r="E118" s="3" t="s">
        <v>25</v>
      </c>
      <c r="F118" s="3" t="s">
        <v>54</v>
      </c>
      <c r="G118" s="3" t="s">
        <v>25</v>
      </c>
      <c r="H118" s="3" t="s">
        <v>34</v>
      </c>
      <c r="I118" s="6">
        <v>44378</v>
      </c>
      <c r="J118" s="4">
        <v>0</v>
      </c>
      <c r="K118" s="4">
        <v>0</v>
      </c>
      <c r="L118" s="4">
        <v>31.003</v>
      </c>
      <c r="M118" s="4">
        <v>9.8979709654699999</v>
      </c>
      <c r="N118" s="4">
        <v>0</v>
      </c>
      <c r="O118" s="4">
        <v>0</v>
      </c>
      <c r="P118" s="4">
        <v>0</v>
      </c>
      <c r="Q118" s="3" t="s">
        <v>55</v>
      </c>
      <c r="R118" s="3">
        <v>0</v>
      </c>
      <c r="S118" s="4">
        <v>0</v>
      </c>
      <c r="T118" s="4">
        <v>10</v>
      </c>
      <c r="U118" s="4">
        <v>0</v>
      </c>
      <c r="V118" s="4">
        <f>IF(ISERROR(VLOOKUP($S$118,'TAR FIN'!$A$1:$O$91,15,0)),0,VLOOKUP($S$118,'TAR FIN'!$A$1:$O$91,15,0))</f>
        <v>0</v>
      </c>
      <c r="W118" s="4">
        <f>IF(ISERROR(VLOOKUP($T$118,'TAR FIN'!$A$1:$O$91,15,0)),0,VLOOKUP($T$118,'TAR FIN'!$A$1:$O$91,15,0))</f>
        <v>1755.54</v>
      </c>
      <c r="X118" s="4">
        <f>IF(ISERROR(VLOOKUP($U$118,'TAR FIN'!$A$1:$O$91,15,0)),0,VLOOKUP($U$118,'TAR FIN'!$A$1:$O$91,15,0))</f>
        <v>0</v>
      </c>
      <c r="Y118" s="4"/>
      <c r="Z118" s="4">
        <f ca="1">('TUSD BE'!$AM$14+'TUSD BF'!$AM$14+'TUSD CVA'!$AM$14)*1</f>
        <v>1891.4266775287376</v>
      </c>
      <c r="AA118" s="4"/>
      <c r="AB118" s="4">
        <f>$K$118*$V$118</f>
        <v>0</v>
      </c>
      <c r="AC118" s="4">
        <f>$M$118*$W$118</f>
        <v>17376.283948721204</v>
      </c>
      <c r="AD118" s="4">
        <f>$O$118*$X$118</f>
        <v>0</v>
      </c>
      <c r="AE118" s="4">
        <f>$K$118*$Y$118</f>
        <v>0</v>
      </c>
      <c r="AF118" s="4">
        <f ca="1">$M$118*$Z$118</f>
        <v>18721.286337494832</v>
      </c>
      <c r="AG118" s="4">
        <f>$O$118*$AA$118</f>
        <v>0</v>
      </c>
    </row>
    <row r="119" spans="1:33" ht="11.25" customHeight="1" x14ac:dyDescent="0.3">
      <c r="A119" s="3" t="s">
        <v>21</v>
      </c>
      <c r="B119" s="3" t="s">
        <v>39</v>
      </c>
      <c r="C119" s="3" t="s">
        <v>40</v>
      </c>
      <c r="D119" s="3" t="s">
        <v>38</v>
      </c>
      <c r="E119" s="3" t="s">
        <v>25</v>
      </c>
      <c r="F119" s="3" t="s">
        <v>54</v>
      </c>
      <c r="G119" s="3" t="s">
        <v>25</v>
      </c>
      <c r="H119" s="3" t="s">
        <v>34</v>
      </c>
      <c r="I119" s="6">
        <v>44409</v>
      </c>
      <c r="J119" s="4">
        <v>0</v>
      </c>
      <c r="K119" s="4">
        <v>0</v>
      </c>
      <c r="L119" s="4">
        <v>33.430999999999997</v>
      </c>
      <c r="M119" s="4">
        <v>10.67313057919</v>
      </c>
      <c r="N119" s="4">
        <v>0</v>
      </c>
      <c r="O119" s="4">
        <v>0</v>
      </c>
      <c r="P119" s="4">
        <v>0</v>
      </c>
      <c r="Q119" s="3" t="s">
        <v>55</v>
      </c>
      <c r="R119" s="3">
        <v>0</v>
      </c>
      <c r="S119" s="4">
        <v>0</v>
      </c>
      <c r="T119" s="4">
        <v>10</v>
      </c>
      <c r="U119" s="4">
        <v>0</v>
      </c>
      <c r="V119" s="4">
        <f>IF(ISERROR(VLOOKUP($S$119,'TAR FIN'!$A$1:$O$91,15,0)),0,VLOOKUP($S$119,'TAR FIN'!$A$1:$O$91,15,0))</f>
        <v>0</v>
      </c>
      <c r="W119" s="4">
        <f>IF(ISERROR(VLOOKUP($T$119,'TAR FIN'!$A$1:$O$91,15,0)),0,VLOOKUP($T$119,'TAR FIN'!$A$1:$O$91,15,0))</f>
        <v>1755.54</v>
      </c>
      <c r="X119" s="4">
        <f>IF(ISERROR(VLOOKUP($U$119,'TAR FIN'!$A$1:$O$91,15,0)),0,VLOOKUP($U$119,'TAR FIN'!$A$1:$O$91,15,0))</f>
        <v>0</v>
      </c>
      <c r="Y119" s="4"/>
      <c r="Z119" s="4">
        <f ca="1">('TUSD BE'!$AM$14+'TUSD BF'!$AM$14+'TUSD CVA'!$AM$14)*1</f>
        <v>1891.4266775287376</v>
      </c>
      <c r="AA119" s="4"/>
      <c r="AB119" s="4">
        <f>$K$119*$V$119</f>
        <v>0</v>
      </c>
      <c r="AC119" s="4">
        <f>$M$119*$W$119</f>
        <v>18737.107656991211</v>
      </c>
      <c r="AD119" s="4">
        <f>$O$119*$X$119</f>
        <v>0</v>
      </c>
      <c r="AE119" s="4">
        <f>$K$119*$Y$119</f>
        <v>0</v>
      </c>
      <c r="AF119" s="4">
        <f ca="1">$M$119*$Z$119</f>
        <v>20187.44391022771</v>
      </c>
      <c r="AG119" s="4">
        <f>$O$119*$AA$119</f>
        <v>0</v>
      </c>
    </row>
    <row r="120" spans="1:33" ht="11.25" customHeight="1" x14ac:dyDescent="0.3">
      <c r="A120" s="3" t="s">
        <v>21</v>
      </c>
      <c r="B120" s="3" t="s">
        <v>39</v>
      </c>
      <c r="C120" s="3" t="s">
        <v>40</v>
      </c>
      <c r="D120" s="3" t="s">
        <v>38</v>
      </c>
      <c r="E120" s="3" t="s">
        <v>25</v>
      </c>
      <c r="F120" s="3" t="s">
        <v>54</v>
      </c>
      <c r="G120" s="3" t="s">
        <v>25</v>
      </c>
      <c r="H120" s="3" t="s">
        <v>34</v>
      </c>
      <c r="I120" s="6">
        <v>44440</v>
      </c>
      <c r="J120" s="4">
        <v>0</v>
      </c>
      <c r="K120" s="4">
        <v>0</v>
      </c>
      <c r="L120" s="4">
        <v>19.898</v>
      </c>
      <c r="M120" s="4">
        <v>6.35260543402</v>
      </c>
      <c r="N120" s="4">
        <v>0</v>
      </c>
      <c r="O120" s="4">
        <v>0</v>
      </c>
      <c r="P120" s="4">
        <v>0</v>
      </c>
      <c r="Q120" s="3" t="s">
        <v>55</v>
      </c>
      <c r="R120" s="3">
        <v>0</v>
      </c>
      <c r="S120" s="4">
        <v>0</v>
      </c>
      <c r="T120" s="4">
        <v>10</v>
      </c>
      <c r="U120" s="4">
        <v>0</v>
      </c>
      <c r="V120" s="4">
        <f>IF(ISERROR(VLOOKUP($S$120,'TAR FIN'!$A$1:$O$91,15,0)),0,VLOOKUP($S$120,'TAR FIN'!$A$1:$O$91,15,0))</f>
        <v>0</v>
      </c>
      <c r="W120" s="4">
        <f>IF(ISERROR(VLOOKUP($T$120,'TAR FIN'!$A$1:$O$91,15,0)),0,VLOOKUP($T$120,'TAR FIN'!$A$1:$O$91,15,0))</f>
        <v>1755.54</v>
      </c>
      <c r="X120" s="4">
        <f>IF(ISERROR(VLOOKUP($U$120,'TAR FIN'!$A$1:$O$91,15,0)),0,VLOOKUP($U$120,'TAR FIN'!$A$1:$O$91,15,0))</f>
        <v>0</v>
      </c>
      <c r="Y120" s="4"/>
      <c r="Z120" s="4">
        <f ca="1">('TUSD BE'!$AM$14+'TUSD BF'!$AM$14+'TUSD CVA'!$AM$14)*1</f>
        <v>1891.4266775287376</v>
      </c>
      <c r="AA120" s="4"/>
      <c r="AB120" s="4">
        <f>$K$120*$V$120</f>
        <v>0</v>
      </c>
      <c r="AC120" s="4">
        <f>$M$120*$W$120</f>
        <v>11152.252943639471</v>
      </c>
      <c r="AD120" s="4">
        <f>$O$120*$X$120</f>
        <v>0</v>
      </c>
      <c r="AE120" s="4">
        <f>$K$120*$Y$120</f>
        <v>0</v>
      </c>
      <c r="AF120" s="4">
        <f ca="1">$M$120*$Z$120</f>
        <v>12015.487389719452</v>
      </c>
      <c r="AG120" s="4">
        <f>$O$120*$AA$120</f>
        <v>0</v>
      </c>
    </row>
    <row r="121" spans="1:33" ht="11.25" customHeight="1" x14ac:dyDescent="0.3">
      <c r="A121" s="3" t="s">
        <v>21</v>
      </c>
      <c r="B121" s="3" t="s">
        <v>39</v>
      </c>
      <c r="C121" s="3" t="s">
        <v>40</v>
      </c>
      <c r="D121" s="3" t="s">
        <v>38</v>
      </c>
      <c r="E121" s="3" t="s">
        <v>25</v>
      </c>
      <c r="F121" s="3" t="s">
        <v>54</v>
      </c>
      <c r="G121" s="3" t="s">
        <v>25</v>
      </c>
      <c r="H121" s="3" t="s">
        <v>34</v>
      </c>
      <c r="I121" s="6">
        <v>44470</v>
      </c>
      <c r="J121" s="4">
        <v>0</v>
      </c>
      <c r="K121" s="4">
        <v>0</v>
      </c>
      <c r="L121" s="4">
        <v>20.74</v>
      </c>
      <c r="M121" s="4">
        <v>6.6214210826000004</v>
      </c>
      <c r="N121" s="4">
        <v>0</v>
      </c>
      <c r="O121" s="4">
        <v>0</v>
      </c>
      <c r="P121" s="4">
        <v>0</v>
      </c>
      <c r="Q121" s="3" t="s">
        <v>55</v>
      </c>
      <c r="R121" s="3">
        <v>0</v>
      </c>
      <c r="S121" s="4">
        <v>0</v>
      </c>
      <c r="T121" s="4">
        <v>10</v>
      </c>
      <c r="U121" s="4">
        <v>0</v>
      </c>
      <c r="V121" s="4">
        <f>IF(ISERROR(VLOOKUP($S$121,'TAR FIN'!$A$1:$O$91,15,0)),0,VLOOKUP($S$121,'TAR FIN'!$A$1:$O$91,15,0))</f>
        <v>0</v>
      </c>
      <c r="W121" s="4">
        <f>IF(ISERROR(VLOOKUP($T$121,'TAR FIN'!$A$1:$O$91,15,0)),0,VLOOKUP($T$121,'TAR FIN'!$A$1:$O$91,15,0))</f>
        <v>1755.54</v>
      </c>
      <c r="X121" s="4">
        <f>IF(ISERROR(VLOOKUP($U$121,'TAR FIN'!$A$1:$O$91,15,0)),0,VLOOKUP($U$121,'TAR FIN'!$A$1:$O$91,15,0))</f>
        <v>0</v>
      </c>
      <c r="Y121" s="4"/>
      <c r="Z121" s="4">
        <f ca="1">('TUSD BE'!$AM$14+'TUSD BF'!$AM$14+'TUSD CVA'!$AM$14)*1</f>
        <v>1891.4266775287376</v>
      </c>
      <c r="AA121" s="4"/>
      <c r="AB121" s="4">
        <f>$K$121*$V$121</f>
        <v>0</v>
      </c>
      <c r="AC121" s="4">
        <f>$M$121*$W$121</f>
        <v>11624.169567347604</v>
      </c>
      <c r="AD121" s="4">
        <f>$O$121*$X$121</f>
        <v>0</v>
      </c>
      <c r="AE121" s="4">
        <f>$K$121*$Y$121</f>
        <v>0</v>
      </c>
      <c r="AF121" s="4">
        <f ca="1">$M$121*$Z$121</f>
        <v>12523.932478780856</v>
      </c>
      <c r="AG121" s="4">
        <f>$O$121*$AA$121</f>
        <v>0</v>
      </c>
    </row>
    <row r="122" spans="1:33" ht="11.25" customHeight="1" x14ac:dyDescent="0.3">
      <c r="A122" s="3" t="s">
        <v>21</v>
      </c>
      <c r="B122" s="3" t="s">
        <v>39</v>
      </c>
      <c r="C122" s="3" t="s">
        <v>40</v>
      </c>
      <c r="D122" s="3" t="s">
        <v>38</v>
      </c>
      <c r="E122" s="3" t="s">
        <v>25</v>
      </c>
      <c r="F122" s="3" t="s">
        <v>54</v>
      </c>
      <c r="G122" s="3" t="s">
        <v>25</v>
      </c>
      <c r="H122" s="3" t="s">
        <v>34</v>
      </c>
      <c r="I122" s="6">
        <v>44501</v>
      </c>
      <c r="J122" s="4">
        <v>0</v>
      </c>
      <c r="K122" s="4">
        <v>0</v>
      </c>
      <c r="L122" s="4">
        <v>23.716999999999999</v>
      </c>
      <c r="M122" s="4">
        <v>7.5718536073299996</v>
      </c>
      <c r="N122" s="4">
        <v>0</v>
      </c>
      <c r="O122" s="4">
        <v>0</v>
      </c>
      <c r="P122" s="4">
        <v>0</v>
      </c>
      <c r="Q122" s="3" t="s">
        <v>55</v>
      </c>
      <c r="R122" s="3">
        <v>0</v>
      </c>
      <c r="S122" s="4">
        <v>0</v>
      </c>
      <c r="T122" s="4">
        <v>10</v>
      </c>
      <c r="U122" s="4">
        <v>0</v>
      </c>
      <c r="V122" s="4">
        <f>IF(ISERROR(VLOOKUP($S$122,'TAR FIN'!$A$1:$O$91,15,0)),0,VLOOKUP($S$122,'TAR FIN'!$A$1:$O$91,15,0))</f>
        <v>0</v>
      </c>
      <c r="W122" s="4">
        <f>IF(ISERROR(VLOOKUP($T$122,'TAR FIN'!$A$1:$O$91,15,0)),0,VLOOKUP($T$122,'TAR FIN'!$A$1:$O$91,15,0))</f>
        <v>1755.54</v>
      </c>
      <c r="X122" s="4">
        <f>IF(ISERROR(VLOOKUP($U$122,'TAR FIN'!$A$1:$O$91,15,0)),0,VLOOKUP($U$122,'TAR FIN'!$A$1:$O$91,15,0))</f>
        <v>0</v>
      </c>
      <c r="Y122" s="4"/>
      <c r="Z122" s="4">
        <f ca="1">('TUSD BE'!$AM$14+'TUSD BF'!$AM$14+'TUSD CVA'!$AM$14)*1</f>
        <v>1891.4266775287376</v>
      </c>
      <c r="AA122" s="4"/>
      <c r="AB122" s="4">
        <f>$K$122*$V$122</f>
        <v>0</v>
      </c>
      <c r="AC122" s="4">
        <f>$M$122*$W$122</f>
        <v>13292.691881812107</v>
      </c>
      <c r="AD122" s="4">
        <f>$O$122*$X$122</f>
        <v>0</v>
      </c>
      <c r="AE122" s="4">
        <f>$K$122*$Y$122</f>
        <v>0</v>
      </c>
      <c r="AF122" s="4">
        <f ca="1">$M$122*$Z$122</f>
        <v>14321.605911246168</v>
      </c>
      <c r="AG122" s="4">
        <f>$O$122*$AA$122</f>
        <v>0</v>
      </c>
    </row>
    <row r="123" spans="1:33" ht="11.25" customHeight="1" x14ac:dyDescent="0.3">
      <c r="A123" s="3" t="s">
        <v>21</v>
      </c>
      <c r="B123" s="3" t="s">
        <v>39</v>
      </c>
      <c r="C123" s="3" t="s">
        <v>40</v>
      </c>
      <c r="D123" s="3" t="s">
        <v>38</v>
      </c>
      <c r="E123" s="3" t="s">
        <v>25</v>
      </c>
      <c r="F123" s="3" t="s">
        <v>54</v>
      </c>
      <c r="G123" s="3" t="s">
        <v>25</v>
      </c>
      <c r="H123" s="3" t="s">
        <v>34</v>
      </c>
      <c r="I123" s="6">
        <v>44531</v>
      </c>
      <c r="J123" s="4">
        <v>0</v>
      </c>
      <c r="K123" s="4">
        <v>0</v>
      </c>
      <c r="L123" s="4">
        <v>28.638999999999999</v>
      </c>
      <c r="M123" s="4">
        <v>9.1432438951100004</v>
      </c>
      <c r="N123" s="4">
        <v>0</v>
      </c>
      <c r="O123" s="4">
        <v>0</v>
      </c>
      <c r="P123" s="4">
        <v>0</v>
      </c>
      <c r="Q123" s="3" t="s">
        <v>55</v>
      </c>
      <c r="R123" s="3">
        <v>0</v>
      </c>
      <c r="S123" s="4">
        <v>0</v>
      </c>
      <c r="T123" s="4">
        <v>10</v>
      </c>
      <c r="U123" s="4">
        <v>0</v>
      </c>
      <c r="V123" s="4">
        <f>IF(ISERROR(VLOOKUP($S$123,'TAR FIN'!$A$1:$O$91,15,0)),0,VLOOKUP($S$123,'TAR FIN'!$A$1:$O$91,15,0))</f>
        <v>0</v>
      </c>
      <c r="W123" s="4">
        <f>IF(ISERROR(VLOOKUP($T$123,'TAR FIN'!$A$1:$O$91,15,0)),0,VLOOKUP($T$123,'TAR FIN'!$A$1:$O$91,15,0))</f>
        <v>1755.54</v>
      </c>
      <c r="X123" s="4">
        <f>IF(ISERROR(VLOOKUP($U$123,'TAR FIN'!$A$1:$O$91,15,0)),0,VLOOKUP($U$123,'TAR FIN'!$A$1:$O$91,15,0))</f>
        <v>0</v>
      </c>
      <c r="Y123" s="4"/>
      <c r="Z123" s="4">
        <f ca="1">('TUSD BE'!$AM$14+'TUSD BF'!$AM$14+'TUSD CVA'!$AM$14)*1</f>
        <v>1891.4266775287376</v>
      </c>
      <c r="AA123" s="4"/>
      <c r="AB123" s="4">
        <f>$K$123*$V$123</f>
        <v>0</v>
      </c>
      <c r="AC123" s="4">
        <f>$M$123*$W$123</f>
        <v>16051.33038762141</v>
      </c>
      <c r="AD123" s="4">
        <f>$O$123*$X$123</f>
        <v>0</v>
      </c>
      <c r="AE123" s="4">
        <f>$K$123*$Y$123</f>
        <v>0</v>
      </c>
      <c r="AF123" s="4">
        <f ca="1">$M$123*$Z$123</f>
        <v>17293.775422362822</v>
      </c>
      <c r="AG123" s="4">
        <f>$O$123*$AA$123</f>
        <v>0</v>
      </c>
    </row>
    <row r="124" spans="1:33" ht="11.25" customHeight="1" x14ac:dyDescent="0.3">
      <c r="A124" s="3" t="s">
        <v>21</v>
      </c>
      <c r="B124" s="3" t="s">
        <v>39</v>
      </c>
      <c r="C124" s="3" t="s">
        <v>40</v>
      </c>
      <c r="D124" s="3" t="s">
        <v>38</v>
      </c>
      <c r="E124" s="3" t="s">
        <v>25</v>
      </c>
      <c r="F124" s="3" t="s">
        <v>54</v>
      </c>
      <c r="G124" s="3" t="s">
        <v>25</v>
      </c>
      <c r="H124" s="3" t="s">
        <v>34</v>
      </c>
      <c r="I124" s="6">
        <v>44562</v>
      </c>
      <c r="J124" s="4">
        <v>0</v>
      </c>
      <c r="K124" s="4">
        <v>0</v>
      </c>
      <c r="L124" s="4">
        <v>29.315000000000001</v>
      </c>
      <c r="M124" s="4">
        <v>9.3590626343499999</v>
      </c>
      <c r="N124" s="4">
        <v>0</v>
      </c>
      <c r="O124" s="4">
        <v>0</v>
      </c>
      <c r="P124" s="4">
        <v>0</v>
      </c>
      <c r="Q124" s="3" t="s">
        <v>55</v>
      </c>
      <c r="R124" s="3">
        <v>0</v>
      </c>
      <c r="S124" s="4">
        <v>0</v>
      </c>
      <c r="T124" s="4">
        <v>10</v>
      </c>
      <c r="U124" s="4">
        <v>0</v>
      </c>
      <c r="V124" s="4">
        <f>IF(ISERROR(VLOOKUP($S$124,'TAR FIN'!$A$1:$O$91,15,0)),0,VLOOKUP($S$124,'TAR FIN'!$A$1:$O$91,15,0))</f>
        <v>0</v>
      </c>
      <c r="W124" s="4">
        <f>IF(ISERROR(VLOOKUP($T$124,'TAR FIN'!$A$1:$O$91,15,0)),0,VLOOKUP($T$124,'TAR FIN'!$A$1:$O$91,15,0))</f>
        <v>1755.54</v>
      </c>
      <c r="X124" s="4">
        <f>IF(ISERROR(VLOOKUP($U$124,'TAR FIN'!$A$1:$O$91,15,0)),0,VLOOKUP($U$124,'TAR FIN'!$A$1:$O$91,15,0))</f>
        <v>0</v>
      </c>
      <c r="Y124" s="4"/>
      <c r="Z124" s="4">
        <f ca="1">('TUSD BE'!$AM$14+'TUSD BF'!$AM$14+'TUSD CVA'!$AM$14)*1</f>
        <v>1891.4266775287376</v>
      </c>
      <c r="AA124" s="4"/>
      <c r="AB124" s="4">
        <f>$K$124*$V$124</f>
        <v>0</v>
      </c>
      <c r="AC124" s="4">
        <f>$M$124*$W$124</f>
        <v>16430.208817106799</v>
      </c>
      <c r="AD124" s="4">
        <f>$O$124*$X$124</f>
        <v>0</v>
      </c>
      <c r="AE124" s="4">
        <f>$K$124*$Y$124</f>
        <v>0</v>
      </c>
      <c r="AF124" s="4">
        <f ca="1">$M$124*$Z$124</f>
        <v>17701.980743271975</v>
      </c>
      <c r="AG124" s="4">
        <f>$O$124*$AA$124</f>
        <v>0</v>
      </c>
    </row>
    <row r="125" spans="1:33" ht="11.25" customHeight="1" x14ac:dyDescent="0.3">
      <c r="A125" s="3" t="s">
        <v>21</v>
      </c>
      <c r="B125" s="3" t="s">
        <v>39</v>
      </c>
      <c r="C125" s="3" t="s">
        <v>40</v>
      </c>
      <c r="D125" s="3" t="s">
        <v>38</v>
      </c>
      <c r="E125" s="3" t="s">
        <v>25</v>
      </c>
      <c r="F125" s="3" t="s">
        <v>54</v>
      </c>
      <c r="G125" s="3" t="s">
        <v>25</v>
      </c>
      <c r="H125" s="3" t="s">
        <v>34</v>
      </c>
      <c r="I125" s="6">
        <v>44593</v>
      </c>
      <c r="J125" s="4">
        <v>0</v>
      </c>
      <c r="K125" s="4">
        <v>0</v>
      </c>
      <c r="L125" s="4">
        <v>29</v>
      </c>
      <c r="M125" s="4">
        <v>9.2584962100000006</v>
      </c>
      <c r="N125" s="4">
        <v>0</v>
      </c>
      <c r="O125" s="4">
        <v>0</v>
      </c>
      <c r="P125" s="4">
        <v>0</v>
      </c>
      <c r="Q125" s="3" t="s">
        <v>55</v>
      </c>
      <c r="R125" s="3">
        <v>0</v>
      </c>
      <c r="S125" s="4">
        <v>0</v>
      </c>
      <c r="T125" s="4">
        <v>10</v>
      </c>
      <c r="U125" s="4">
        <v>0</v>
      </c>
      <c r="V125" s="4">
        <f>IF(ISERROR(VLOOKUP($S$125,'TAR FIN'!$A$1:$O$91,15,0)),0,VLOOKUP($S$125,'TAR FIN'!$A$1:$O$91,15,0))</f>
        <v>0</v>
      </c>
      <c r="W125" s="4">
        <f>IF(ISERROR(VLOOKUP($T$125,'TAR FIN'!$A$1:$O$91,15,0)),0,VLOOKUP($T$125,'TAR FIN'!$A$1:$O$91,15,0))</f>
        <v>1755.54</v>
      </c>
      <c r="X125" s="4">
        <f>IF(ISERROR(VLOOKUP($U$125,'TAR FIN'!$A$1:$O$91,15,0)),0,VLOOKUP($U$125,'TAR FIN'!$A$1:$O$91,15,0))</f>
        <v>0</v>
      </c>
      <c r="Y125" s="4"/>
      <c r="Z125" s="4">
        <f ca="1">('TUSD BE'!$AM$14+'TUSD BF'!$AM$14+'TUSD CVA'!$AM$14)*1</f>
        <v>1891.4266775287376</v>
      </c>
      <c r="AA125" s="4"/>
      <c r="AB125" s="4">
        <f>$K$125*$V$125</f>
        <v>0</v>
      </c>
      <c r="AC125" s="4">
        <f>$M$125*$W$125</f>
        <v>16253.6604365034</v>
      </c>
      <c r="AD125" s="4">
        <f>$O$125*$X$125</f>
        <v>0</v>
      </c>
      <c r="AE125" s="4">
        <f>$K$125*$Y$125</f>
        <v>0</v>
      </c>
      <c r="AF125" s="4">
        <f ca="1">$M$125*$Z$125</f>
        <v>17511.76672539271</v>
      </c>
      <c r="AG125" s="4">
        <f>$O$125*$AA$125</f>
        <v>0</v>
      </c>
    </row>
    <row r="126" spans="1:33" ht="11.25" customHeight="1" x14ac:dyDescent="0.3">
      <c r="A126" s="3" t="s">
        <v>21</v>
      </c>
      <c r="B126" s="3" t="s">
        <v>39</v>
      </c>
      <c r="C126" s="3" t="s">
        <v>40</v>
      </c>
      <c r="D126" s="3" t="s">
        <v>38</v>
      </c>
      <c r="E126" s="3" t="s">
        <v>25</v>
      </c>
      <c r="F126" s="3" t="s">
        <v>54</v>
      </c>
      <c r="G126" s="3" t="s">
        <v>25</v>
      </c>
      <c r="H126" s="3" t="s">
        <v>34</v>
      </c>
      <c r="I126" s="6">
        <v>44621</v>
      </c>
      <c r="J126" s="4">
        <v>0</v>
      </c>
      <c r="K126" s="4">
        <v>0</v>
      </c>
      <c r="L126" s="4">
        <v>72.227000000000004</v>
      </c>
      <c r="M126" s="4">
        <v>23.05908295723</v>
      </c>
      <c r="N126" s="4">
        <v>0</v>
      </c>
      <c r="O126" s="4">
        <v>0</v>
      </c>
      <c r="P126" s="4">
        <v>0</v>
      </c>
      <c r="Q126" s="3" t="s">
        <v>55</v>
      </c>
      <c r="R126" s="3">
        <v>0</v>
      </c>
      <c r="S126" s="4">
        <v>0</v>
      </c>
      <c r="T126" s="4">
        <v>10</v>
      </c>
      <c r="U126" s="4">
        <v>0</v>
      </c>
      <c r="V126" s="4">
        <f>IF(ISERROR(VLOOKUP($S$126,'TAR FIN'!$A$1:$O$91,15,0)),0,VLOOKUP($S$126,'TAR FIN'!$A$1:$O$91,15,0))</f>
        <v>0</v>
      </c>
      <c r="W126" s="4">
        <f>IF(ISERROR(VLOOKUP($T$126,'TAR FIN'!$A$1:$O$91,15,0)),0,VLOOKUP($T$126,'TAR FIN'!$A$1:$O$91,15,0))</f>
        <v>1755.54</v>
      </c>
      <c r="X126" s="4">
        <f>IF(ISERROR(VLOOKUP($U$126,'TAR FIN'!$A$1:$O$91,15,0)),0,VLOOKUP($U$126,'TAR FIN'!$A$1:$O$91,15,0))</f>
        <v>0</v>
      </c>
      <c r="Y126" s="4"/>
      <c r="Z126" s="4">
        <f ca="1">('TUSD BE'!$AM$14+'TUSD BF'!$AM$14+'TUSD CVA'!$AM$14)*1</f>
        <v>1891.4266775287376</v>
      </c>
      <c r="AA126" s="4"/>
      <c r="AB126" s="4">
        <f>$K$126*$V$126</f>
        <v>0</v>
      </c>
      <c r="AC126" s="4">
        <f>$M$126*$W$126</f>
        <v>40481.142494735555</v>
      </c>
      <c r="AD126" s="4">
        <f>$O$126*$X$126</f>
        <v>0</v>
      </c>
      <c r="AE126" s="4">
        <f>$K$126*$Y$126</f>
        <v>0</v>
      </c>
      <c r="AF126" s="4">
        <f ca="1">$M$126*$Z$126</f>
        <v>43614.56466465308</v>
      </c>
      <c r="AG126" s="4">
        <f>$O$126*$AA$126</f>
        <v>0</v>
      </c>
    </row>
    <row r="127" spans="1:33" ht="11.25" customHeight="1" x14ac:dyDescent="0.3">
      <c r="A127" s="3" t="s">
        <v>21</v>
      </c>
      <c r="B127" s="3" t="s">
        <v>39</v>
      </c>
      <c r="C127" s="3" t="s">
        <v>40</v>
      </c>
      <c r="D127" s="3" t="s">
        <v>38</v>
      </c>
      <c r="E127" s="3" t="s">
        <v>25</v>
      </c>
      <c r="F127" s="3" t="s">
        <v>54</v>
      </c>
      <c r="G127" s="3" t="s">
        <v>25</v>
      </c>
      <c r="H127" s="3" t="s">
        <v>34</v>
      </c>
      <c r="I127" s="6">
        <v>44652</v>
      </c>
      <c r="J127" s="4">
        <v>0</v>
      </c>
      <c r="K127" s="4">
        <v>0</v>
      </c>
      <c r="L127" s="4">
        <v>42.276000000000003</v>
      </c>
      <c r="M127" s="4">
        <v>13.49697192324</v>
      </c>
      <c r="N127" s="4">
        <v>0</v>
      </c>
      <c r="O127" s="4">
        <v>0</v>
      </c>
      <c r="P127" s="4">
        <v>0</v>
      </c>
      <c r="Q127" s="3" t="s">
        <v>55</v>
      </c>
      <c r="R127" s="3">
        <v>0</v>
      </c>
      <c r="S127" s="4">
        <v>0</v>
      </c>
      <c r="T127" s="4">
        <v>10</v>
      </c>
      <c r="U127" s="4">
        <v>0</v>
      </c>
      <c r="V127" s="4">
        <f>IF(ISERROR(VLOOKUP($S$127,'TAR FIN'!$A$1:$O$91,15,0)),0,VLOOKUP($S$127,'TAR FIN'!$A$1:$O$91,15,0))</f>
        <v>0</v>
      </c>
      <c r="W127" s="4">
        <f>IF(ISERROR(VLOOKUP($T$127,'TAR FIN'!$A$1:$O$91,15,0)),0,VLOOKUP($T$127,'TAR FIN'!$A$1:$O$91,15,0))</f>
        <v>1755.54</v>
      </c>
      <c r="X127" s="4">
        <f>IF(ISERROR(VLOOKUP($U$127,'TAR FIN'!$A$1:$O$91,15,0)),0,VLOOKUP($U$127,'TAR FIN'!$A$1:$O$91,15,0))</f>
        <v>0</v>
      </c>
      <c r="Y127" s="4"/>
      <c r="Z127" s="4">
        <f ca="1">('TUSD BE'!$AM$14+'TUSD BF'!$AM$14+'TUSD CVA'!$AM$14)*1</f>
        <v>1891.4266775287376</v>
      </c>
      <c r="AA127" s="4"/>
      <c r="AB127" s="4">
        <f>$K$127*$V$127</f>
        <v>0</v>
      </c>
      <c r="AC127" s="4">
        <f>$M$127*$W$127</f>
        <v>23694.47409012475</v>
      </c>
      <c r="AD127" s="4">
        <f>$O$127*$X$127</f>
        <v>0</v>
      </c>
      <c r="AE127" s="4">
        <f>$K$127*$Y$127</f>
        <v>0</v>
      </c>
      <c r="AF127" s="4">
        <f ca="1">$M$127*$Z$127</f>
        <v>25528.532761472488</v>
      </c>
      <c r="AG127" s="4">
        <f>$O$127*$AA$127</f>
        <v>0</v>
      </c>
    </row>
    <row r="128" spans="1:33" ht="11.25" customHeight="1" x14ac:dyDescent="0.3">
      <c r="A128" s="3" t="s">
        <v>21</v>
      </c>
      <c r="B128" s="3" t="s">
        <v>39</v>
      </c>
      <c r="C128" s="3" t="s">
        <v>40</v>
      </c>
      <c r="D128" s="3" t="s">
        <v>38</v>
      </c>
      <c r="E128" s="3" t="s">
        <v>25</v>
      </c>
      <c r="F128" s="3" t="s">
        <v>54</v>
      </c>
      <c r="G128" s="3" t="s">
        <v>25</v>
      </c>
      <c r="H128" s="3" t="s">
        <v>34</v>
      </c>
      <c r="I128" s="6">
        <v>44682</v>
      </c>
      <c r="J128" s="4">
        <v>0</v>
      </c>
      <c r="K128" s="4">
        <v>0</v>
      </c>
      <c r="L128" s="4">
        <v>53.362000000000002</v>
      </c>
      <c r="M128" s="4">
        <v>17.03627154338</v>
      </c>
      <c r="N128" s="4">
        <v>0</v>
      </c>
      <c r="O128" s="4">
        <v>0</v>
      </c>
      <c r="P128" s="4">
        <v>0</v>
      </c>
      <c r="Q128" s="3" t="s">
        <v>55</v>
      </c>
      <c r="R128" s="3">
        <v>0</v>
      </c>
      <c r="S128" s="4">
        <v>0</v>
      </c>
      <c r="T128" s="4">
        <v>10</v>
      </c>
      <c r="U128" s="4">
        <v>0</v>
      </c>
      <c r="V128" s="4">
        <f>IF(ISERROR(VLOOKUP($S$128,'TAR FIN'!$A$1:$O$91,15,0)),0,VLOOKUP($S$128,'TAR FIN'!$A$1:$O$91,15,0))</f>
        <v>0</v>
      </c>
      <c r="W128" s="4">
        <f>IF(ISERROR(VLOOKUP($T$128,'TAR FIN'!$A$1:$O$91,15,0)),0,VLOOKUP($T$128,'TAR FIN'!$A$1:$O$91,15,0))</f>
        <v>1755.54</v>
      </c>
      <c r="X128" s="4">
        <f>IF(ISERROR(VLOOKUP($U$128,'TAR FIN'!$A$1:$O$91,15,0)),0,VLOOKUP($U$128,'TAR FIN'!$A$1:$O$91,15,0))</f>
        <v>0</v>
      </c>
      <c r="Y128" s="4"/>
      <c r="Z128" s="4">
        <f ca="1">('TUSD BE'!$AM$14+'TUSD BF'!$AM$14+'TUSD CVA'!$AM$14)*1</f>
        <v>1891.4266775287376</v>
      </c>
      <c r="AA128" s="4"/>
      <c r="AB128" s="4">
        <f>$K$128*$V$128</f>
        <v>0</v>
      </c>
      <c r="AC128" s="4">
        <f>$M$128*$W$128</f>
        <v>29907.856145265323</v>
      </c>
      <c r="AD128" s="4">
        <f>$O$128*$X$128</f>
        <v>0</v>
      </c>
      <c r="AE128" s="4">
        <f>$K$128*$Y$128</f>
        <v>0</v>
      </c>
      <c r="AF128" s="4">
        <f ca="1">$M$128*$Z$128</f>
        <v>32222.858482772612</v>
      </c>
      <c r="AG128" s="4">
        <f>$O$128*$AA$128</f>
        <v>0</v>
      </c>
    </row>
    <row r="129" spans="1:33" ht="11.25" customHeight="1" x14ac:dyDescent="0.3">
      <c r="A129" s="3" t="s">
        <v>21</v>
      </c>
      <c r="B129" s="3" t="s">
        <v>39</v>
      </c>
      <c r="C129" s="3" t="s">
        <v>40</v>
      </c>
      <c r="D129" s="3" t="s">
        <v>38</v>
      </c>
      <c r="E129" s="3" t="s">
        <v>25</v>
      </c>
      <c r="F129" s="3" t="s">
        <v>54</v>
      </c>
      <c r="G129" s="3" t="s">
        <v>25</v>
      </c>
      <c r="H129" s="3" t="s">
        <v>34</v>
      </c>
      <c r="I129" s="6">
        <v>44713</v>
      </c>
      <c r="J129" s="4">
        <v>0</v>
      </c>
      <c r="K129" s="4">
        <v>0</v>
      </c>
      <c r="L129" s="4">
        <v>50.908999999999999</v>
      </c>
      <c r="M129" s="4">
        <v>16.253130467409999</v>
      </c>
      <c r="N129" s="4">
        <v>0</v>
      </c>
      <c r="O129" s="4">
        <v>0</v>
      </c>
      <c r="P129" s="4">
        <v>0</v>
      </c>
      <c r="Q129" s="3" t="s">
        <v>55</v>
      </c>
      <c r="R129" s="3">
        <v>0</v>
      </c>
      <c r="S129" s="4">
        <v>0</v>
      </c>
      <c r="T129" s="4">
        <v>10</v>
      </c>
      <c r="U129" s="4">
        <v>0</v>
      </c>
      <c r="V129" s="4">
        <f>IF(ISERROR(VLOOKUP($S$129,'TAR FIN'!$A$1:$O$91,15,0)),0,VLOOKUP($S$129,'TAR FIN'!$A$1:$O$91,15,0))</f>
        <v>0</v>
      </c>
      <c r="W129" s="4">
        <f>IF(ISERROR(VLOOKUP($T$129,'TAR FIN'!$A$1:$O$91,15,0)),0,VLOOKUP($T$129,'TAR FIN'!$A$1:$O$91,15,0))</f>
        <v>1755.54</v>
      </c>
      <c r="X129" s="4">
        <f>IF(ISERROR(VLOOKUP($U$129,'TAR FIN'!$A$1:$O$91,15,0)),0,VLOOKUP($U$129,'TAR FIN'!$A$1:$O$91,15,0))</f>
        <v>0</v>
      </c>
      <c r="Y129" s="4"/>
      <c r="Z129" s="4">
        <f ca="1">('TUSD BE'!$AM$14+'TUSD BF'!$AM$14+'TUSD CVA'!$AM$14)*1</f>
        <v>1891.4266775287376</v>
      </c>
      <c r="AA129" s="4"/>
      <c r="AB129" s="4">
        <f>$K$129*$V$129</f>
        <v>0</v>
      </c>
      <c r="AC129" s="4">
        <f>$M$129*$W$129</f>
        <v>28533.020660756949</v>
      </c>
      <c r="AD129" s="4">
        <f>$O$129*$X$129</f>
        <v>0</v>
      </c>
      <c r="AE129" s="4">
        <f>$K$129*$Y$129</f>
        <v>0</v>
      </c>
      <c r="AF129" s="4">
        <f ca="1">$M$129*$Z$129</f>
        <v>30741.604559414394</v>
      </c>
      <c r="AG129" s="4">
        <f>$O$129*$AA$129</f>
        <v>0</v>
      </c>
    </row>
    <row r="130" spans="1:33" ht="11.25" customHeight="1" x14ac:dyDescent="0.3">
      <c r="A130" s="3" t="s">
        <v>21</v>
      </c>
      <c r="B130" s="3" t="s">
        <v>39</v>
      </c>
      <c r="C130" s="3" t="s">
        <v>40</v>
      </c>
      <c r="D130" s="3" t="s">
        <v>38</v>
      </c>
      <c r="E130" s="3" t="s">
        <v>25</v>
      </c>
      <c r="F130" s="3" t="s">
        <v>25</v>
      </c>
      <c r="G130" s="3" t="s">
        <v>25</v>
      </c>
      <c r="H130" s="3" t="s">
        <v>35</v>
      </c>
      <c r="I130" s="6">
        <v>44378</v>
      </c>
      <c r="J130" s="4">
        <v>0</v>
      </c>
      <c r="K130" s="4">
        <v>0</v>
      </c>
      <c r="L130" s="4">
        <v>621.16399999999999</v>
      </c>
      <c r="M130" s="4">
        <v>621.16399999999999</v>
      </c>
      <c r="N130" s="4">
        <v>621.16399999999999</v>
      </c>
      <c r="O130" s="4">
        <v>621.16399999999999</v>
      </c>
      <c r="P130" s="4">
        <v>0</v>
      </c>
      <c r="Q130" s="3" t="s">
        <v>26</v>
      </c>
      <c r="R130" s="3">
        <v>0</v>
      </c>
      <c r="S130" s="4">
        <v>0</v>
      </c>
      <c r="T130" s="4">
        <v>11</v>
      </c>
      <c r="U130" s="4">
        <v>52</v>
      </c>
      <c r="V130" s="4">
        <f>IF(ISERROR(VLOOKUP($S$130,'TAR FIN'!$A$1:$O$91,15,0)),0,VLOOKUP($S$130,'TAR FIN'!$A$1:$O$91,15,0))</f>
        <v>0</v>
      </c>
      <c r="W130" s="4">
        <f>IF(ISERROR(VLOOKUP($T$130,'TAR FIN'!$A$1:$O$91,15,0)),0,VLOOKUP($T$130,'TAR FIN'!$A$1:$O$91,15,0))</f>
        <v>90.54</v>
      </c>
      <c r="X130" s="4">
        <f>IF(ISERROR(VLOOKUP($U$130,'TAR FIN'!$A$1:$O$91,15,0)),0,VLOOKUP($U$130,'TAR FIN'!$A$1:$O$91,15,0))</f>
        <v>189.96</v>
      </c>
      <c r="Y130" s="4"/>
      <c r="Z130" s="4">
        <f ca="1">('TUSD BE'!$AM$15+'TUSD BF'!$AM$15+'TUSD CVA'!$AM$15)*1</f>
        <v>104.1465119197419</v>
      </c>
      <c r="AA130" s="4">
        <f>('TE BE'!$AB$6+'TE BF'!$AB$6+'TE CVA'!$AB$6)*1</f>
        <v>195.89707226799715</v>
      </c>
      <c r="AB130" s="4">
        <f>$K$130*$V$130</f>
        <v>0</v>
      </c>
      <c r="AC130" s="4">
        <f>$M$130*$W$130</f>
        <v>56240.188560000002</v>
      </c>
      <c r="AD130" s="4">
        <f>$O$130*$X$130</f>
        <v>117996.31344</v>
      </c>
      <c r="AE130" s="4">
        <f>$K$130*$Y$130</f>
        <v>0</v>
      </c>
      <c r="AF130" s="4">
        <f ca="1">$M$130*$Z$130</f>
        <v>64692.063930114557</v>
      </c>
      <c r="AG130" s="4">
        <f>$O$130*$AA$130</f>
        <v>121684.20899827818</v>
      </c>
    </row>
    <row r="131" spans="1:33" ht="11.25" customHeight="1" x14ac:dyDescent="0.3">
      <c r="A131" s="3" t="s">
        <v>21</v>
      </c>
      <c r="B131" s="3" t="s">
        <v>39</v>
      </c>
      <c r="C131" s="3" t="s">
        <v>40</v>
      </c>
      <c r="D131" s="3" t="s">
        <v>38</v>
      </c>
      <c r="E131" s="3" t="s">
        <v>25</v>
      </c>
      <c r="F131" s="3" t="s">
        <v>25</v>
      </c>
      <c r="G131" s="3" t="s">
        <v>25</v>
      </c>
      <c r="H131" s="3" t="s">
        <v>35</v>
      </c>
      <c r="I131" s="6">
        <v>44409</v>
      </c>
      <c r="J131" s="4">
        <v>0</v>
      </c>
      <c r="K131" s="4">
        <v>0</v>
      </c>
      <c r="L131" s="4">
        <v>503.04599999999999</v>
      </c>
      <c r="M131" s="4">
        <v>503.04599999999999</v>
      </c>
      <c r="N131" s="4">
        <v>503.04599999999999</v>
      </c>
      <c r="O131" s="4">
        <v>503.04599999999999</v>
      </c>
      <c r="P131" s="4">
        <v>0</v>
      </c>
      <c r="Q131" s="3" t="s">
        <v>26</v>
      </c>
      <c r="R131" s="3">
        <v>0</v>
      </c>
      <c r="S131" s="4">
        <v>0</v>
      </c>
      <c r="T131" s="4">
        <v>11</v>
      </c>
      <c r="U131" s="4">
        <v>52</v>
      </c>
      <c r="V131" s="4">
        <f>IF(ISERROR(VLOOKUP($S$131,'TAR FIN'!$A$1:$O$91,15,0)),0,VLOOKUP($S$131,'TAR FIN'!$A$1:$O$91,15,0))</f>
        <v>0</v>
      </c>
      <c r="W131" s="4">
        <f>IF(ISERROR(VLOOKUP($T$131,'TAR FIN'!$A$1:$O$91,15,0)),0,VLOOKUP($T$131,'TAR FIN'!$A$1:$O$91,15,0))</f>
        <v>90.54</v>
      </c>
      <c r="X131" s="4">
        <f>IF(ISERROR(VLOOKUP($U$131,'TAR FIN'!$A$1:$O$91,15,0)),0,VLOOKUP($U$131,'TAR FIN'!$A$1:$O$91,15,0))</f>
        <v>189.96</v>
      </c>
      <c r="Y131" s="4"/>
      <c r="Z131" s="4">
        <f ca="1">('TUSD BE'!$AM$15+'TUSD BF'!$AM$15+'TUSD CVA'!$AM$15)*1</f>
        <v>104.1465119197419</v>
      </c>
      <c r="AA131" s="4">
        <f>('TE BE'!$AB$6+'TE BF'!$AB$6+'TE CVA'!$AB$6)*1</f>
        <v>195.89707226799715</v>
      </c>
      <c r="AB131" s="4">
        <f>$K$131*$V$131</f>
        <v>0</v>
      </c>
      <c r="AC131" s="4">
        <f>$M$131*$W$131</f>
        <v>45545.78484</v>
      </c>
      <c r="AD131" s="4">
        <f>$O$131*$X$131</f>
        <v>95558.618159999998</v>
      </c>
      <c r="AE131" s="4">
        <f>$K$131*$Y$131</f>
        <v>0</v>
      </c>
      <c r="AF131" s="4">
        <f ca="1">$M$131*$Z$131</f>
        <v>52390.486235178483</v>
      </c>
      <c r="AG131" s="4">
        <f>$O$131*$AA$131</f>
        <v>98545.238616126895</v>
      </c>
    </row>
    <row r="132" spans="1:33" ht="11.25" customHeight="1" x14ac:dyDescent="0.3">
      <c r="A132" s="3" t="s">
        <v>21</v>
      </c>
      <c r="B132" s="3" t="s">
        <v>39</v>
      </c>
      <c r="C132" s="3" t="s">
        <v>40</v>
      </c>
      <c r="D132" s="3" t="s">
        <v>38</v>
      </c>
      <c r="E132" s="3" t="s">
        <v>25</v>
      </c>
      <c r="F132" s="3" t="s">
        <v>25</v>
      </c>
      <c r="G132" s="3" t="s">
        <v>25</v>
      </c>
      <c r="H132" s="3" t="s">
        <v>35</v>
      </c>
      <c r="I132" s="6">
        <v>44440</v>
      </c>
      <c r="J132" s="4">
        <v>0</v>
      </c>
      <c r="K132" s="4">
        <v>0</v>
      </c>
      <c r="L132" s="4">
        <v>525.95500000000004</v>
      </c>
      <c r="M132" s="4">
        <v>525.95500000000004</v>
      </c>
      <c r="N132" s="4">
        <v>525.95500000000004</v>
      </c>
      <c r="O132" s="4">
        <v>525.95500000000004</v>
      </c>
      <c r="P132" s="4">
        <v>0</v>
      </c>
      <c r="Q132" s="3" t="s">
        <v>26</v>
      </c>
      <c r="R132" s="3">
        <v>0</v>
      </c>
      <c r="S132" s="4">
        <v>0</v>
      </c>
      <c r="T132" s="4">
        <v>11</v>
      </c>
      <c r="U132" s="4">
        <v>52</v>
      </c>
      <c r="V132" s="4">
        <f>IF(ISERROR(VLOOKUP($S$132,'TAR FIN'!$A$1:$O$91,15,0)),0,VLOOKUP($S$132,'TAR FIN'!$A$1:$O$91,15,0))</f>
        <v>0</v>
      </c>
      <c r="W132" s="4">
        <f>IF(ISERROR(VLOOKUP($T$132,'TAR FIN'!$A$1:$O$91,15,0)),0,VLOOKUP($T$132,'TAR FIN'!$A$1:$O$91,15,0))</f>
        <v>90.54</v>
      </c>
      <c r="X132" s="4">
        <f>IF(ISERROR(VLOOKUP($U$132,'TAR FIN'!$A$1:$O$91,15,0)),0,VLOOKUP($U$132,'TAR FIN'!$A$1:$O$91,15,0))</f>
        <v>189.96</v>
      </c>
      <c r="Y132" s="4"/>
      <c r="Z132" s="4">
        <f ca="1">('TUSD BE'!$AM$15+'TUSD BF'!$AM$15+'TUSD CVA'!$AM$15)*1</f>
        <v>104.1465119197419</v>
      </c>
      <c r="AA132" s="4">
        <f>('TE BE'!$AB$6+'TE BF'!$AB$6+'TE CVA'!$AB$6)*1</f>
        <v>195.89707226799715</v>
      </c>
      <c r="AB132" s="4">
        <f>$K$132*$V$132</f>
        <v>0</v>
      </c>
      <c r="AC132" s="4">
        <f>$M$132*$W$132</f>
        <v>47619.965700000008</v>
      </c>
      <c r="AD132" s="4">
        <f>$O$132*$X$132</f>
        <v>99910.411800000016</v>
      </c>
      <c r="AE132" s="4">
        <f>$K$132*$Y$132</f>
        <v>0</v>
      </c>
      <c r="AF132" s="4">
        <f ca="1">$M$132*$Z$132</f>
        <v>54776.378676747852</v>
      </c>
      <c r="AG132" s="4">
        <f>$O$132*$AA$132</f>
        <v>103033.04464471445</v>
      </c>
    </row>
    <row r="133" spans="1:33" ht="11.25" customHeight="1" x14ac:dyDescent="0.3">
      <c r="A133" s="3" t="s">
        <v>21</v>
      </c>
      <c r="B133" s="3" t="s">
        <v>39</v>
      </c>
      <c r="C133" s="3" t="s">
        <v>40</v>
      </c>
      <c r="D133" s="3" t="s">
        <v>38</v>
      </c>
      <c r="E133" s="3" t="s">
        <v>25</v>
      </c>
      <c r="F133" s="3" t="s">
        <v>25</v>
      </c>
      <c r="G133" s="3" t="s">
        <v>25</v>
      </c>
      <c r="H133" s="3" t="s">
        <v>35</v>
      </c>
      <c r="I133" s="6">
        <v>44470</v>
      </c>
      <c r="J133" s="4">
        <v>0</v>
      </c>
      <c r="K133" s="4">
        <v>0</v>
      </c>
      <c r="L133" s="4">
        <v>494.71499999999997</v>
      </c>
      <c r="M133" s="4">
        <v>494.71499999999997</v>
      </c>
      <c r="N133" s="4">
        <v>494.71499999999997</v>
      </c>
      <c r="O133" s="4">
        <v>494.71499999999997</v>
      </c>
      <c r="P133" s="4">
        <v>0</v>
      </c>
      <c r="Q133" s="3" t="s">
        <v>26</v>
      </c>
      <c r="R133" s="3">
        <v>0</v>
      </c>
      <c r="S133" s="4">
        <v>0</v>
      </c>
      <c r="T133" s="4">
        <v>11</v>
      </c>
      <c r="U133" s="4">
        <v>52</v>
      </c>
      <c r="V133" s="4">
        <f>IF(ISERROR(VLOOKUP($S$133,'TAR FIN'!$A$1:$O$91,15,0)),0,VLOOKUP($S$133,'TAR FIN'!$A$1:$O$91,15,0))</f>
        <v>0</v>
      </c>
      <c r="W133" s="4">
        <f>IF(ISERROR(VLOOKUP($T$133,'TAR FIN'!$A$1:$O$91,15,0)),0,VLOOKUP($T$133,'TAR FIN'!$A$1:$O$91,15,0))</f>
        <v>90.54</v>
      </c>
      <c r="X133" s="4">
        <f>IF(ISERROR(VLOOKUP($U$133,'TAR FIN'!$A$1:$O$91,15,0)),0,VLOOKUP($U$133,'TAR FIN'!$A$1:$O$91,15,0))</f>
        <v>189.96</v>
      </c>
      <c r="Y133" s="4"/>
      <c r="Z133" s="4">
        <f ca="1">('TUSD BE'!$AM$15+'TUSD BF'!$AM$15+'TUSD CVA'!$AM$15)*1</f>
        <v>104.1465119197419</v>
      </c>
      <c r="AA133" s="4">
        <f>('TE BE'!$AB$6+'TE BF'!$AB$6+'TE CVA'!$AB$6)*1</f>
        <v>195.89707226799715</v>
      </c>
      <c r="AB133" s="4">
        <f>$K$133*$V$133</f>
        <v>0</v>
      </c>
      <c r="AC133" s="4">
        <f>$M$133*$W$133</f>
        <v>44791.496100000004</v>
      </c>
      <c r="AD133" s="4">
        <f>$O$133*$X$133</f>
        <v>93976.061400000006</v>
      </c>
      <c r="AE133" s="4">
        <f>$K$133*$Y$133</f>
        <v>0</v>
      </c>
      <c r="AF133" s="4">
        <f ca="1">$M$133*$Z$133</f>
        <v>51522.841644375112</v>
      </c>
      <c r="AG133" s="4">
        <f>$O$133*$AA$133</f>
        <v>96913.220107062196</v>
      </c>
    </row>
    <row r="134" spans="1:33" ht="11.25" customHeight="1" x14ac:dyDescent="0.3">
      <c r="A134" s="3" t="s">
        <v>21</v>
      </c>
      <c r="B134" s="3" t="s">
        <v>39</v>
      </c>
      <c r="C134" s="3" t="s">
        <v>40</v>
      </c>
      <c r="D134" s="3" t="s">
        <v>38</v>
      </c>
      <c r="E134" s="3" t="s">
        <v>25</v>
      </c>
      <c r="F134" s="3" t="s">
        <v>25</v>
      </c>
      <c r="G134" s="3" t="s">
        <v>25</v>
      </c>
      <c r="H134" s="3" t="s">
        <v>35</v>
      </c>
      <c r="I134" s="6">
        <v>44501</v>
      </c>
      <c r="J134" s="4">
        <v>0</v>
      </c>
      <c r="K134" s="4">
        <v>0</v>
      </c>
      <c r="L134" s="4">
        <v>503.90899999999999</v>
      </c>
      <c r="M134" s="4">
        <v>503.90899999999999</v>
      </c>
      <c r="N134" s="4">
        <v>503.90899999999999</v>
      </c>
      <c r="O134" s="4">
        <v>503.90899999999999</v>
      </c>
      <c r="P134" s="4">
        <v>0</v>
      </c>
      <c r="Q134" s="3" t="s">
        <v>26</v>
      </c>
      <c r="R134" s="3">
        <v>0</v>
      </c>
      <c r="S134" s="4">
        <v>0</v>
      </c>
      <c r="T134" s="4">
        <v>11</v>
      </c>
      <c r="U134" s="4">
        <v>52</v>
      </c>
      <c r="V134" s="4">
        <f>IF(ISERROR(VLOOKUP($S$134,'TAR FIN'!$A$1:$O$91,15,0)),0,VLOOKUP($S$134,'TAR FIN'!$A$1:$O$91,15,0))</f>
        <v>0</v>
      </c>
      <c r="W134" s="4">
        <f>IF(ISERROR(VLOOKUP($T$134,'TAR FIN'!$A$1:$O$91,15,0)),0,VLOOKUP($T$134,'TAR FIN'!$A$1:$O$91,15,0))</f>
        <v>90.54</v>
      </c>
      <c r="X134" s="4">
        <f>IF(ISERROR(VLOOKUP($U$134,'TAR FIN'!$A$1:$O$91,15,0)),0,VLOOKUP($U$134,'TAR FIN'!$A$1:$O$91,15,0))</f>
        <v>189.96</v>
      </c>
      <c r="Y134" s="4"/>
      <c r="Z134" s="4">
        <f ca="1">('TUSD BE'!$AM$15+'TUSD BF'!$AM$15+'TUSD CVA'!$AM$15)*1</f>
        <v>104.1465119197419</v>
      </c>
      <c r="AA134" s="4">
        <f>('TE BE'!$AB$6+'TE BF'!$AB$6+'TE CVA'!$AB$6)*1</f>
        <v>195.89707226799715</v>
      </c>
      <c r="AB134" s="4">
        <f>$K$134*$V$134</f>
        <v>0</v>
      </c>
      <c r="AC134" s="4">
        <f>$M$134*$W$134</f>
        <v>45623.920860000006</v>
      </c>
      <c r="AD134" s="4">
        <f>$O$134*$X$134</f>
        <v>95722.553639999998</v>
      </c>
      <c r="AE134" s="4">
        <f>$K$134*$Y$134</f>
        <v>0</v>
      </c>
      <c r="AF134" s="4">
        <f ca="1">$M$134*$Z$134</f>
        <v>52480.364674965218</v>
      </c>
      <c r="AG134" s="4">
        <f>$O$134*$AA$134</f>
        <v>98714.297789494172</v>
      </c>
    </row>
    <row r="135" spans="1:33" ht="11.25" customHeight="1" x14ac:dyDescent="0.3">
      <c r="A135" s="3" t="s">
        <v>21</v>
      </c>
      <c r="B135" s="3" t="s">
        <v>39</v>
      </c>
      <c r="C135" s="3" t="s">
        <v>40</v>
      </c>
      <c r="D135" s="3" t="s">
        <v>38</v>
      </c>
      <c r="E135" s="3" t="s">
        <v>25</v>
      </c>
      <c r="F135" s="3" t="s">
        <v>25</v>
      </c>
      <c r="G135" s="3" t="s">
        <v>25</v>
      </c>
      <c r="H135" s="3" t="s">
        <v>35</v>
      </c>
      <c r="I135" s="6">
        <v>44531</v>
      </c>
      <c r="J135" s="4">
        <v>0</v>
      </c>
      <c r="K135" s="4">
        <v>0</v>
      </c>
      <c r="L135" s="4">
        <v>412.214</v>
      </c>
      <c r="M135" s="4">
        <v>412.214</v>
      </c>
      <c r="N135" s="4">
        <v>412.214</v>
      </c>
      <c r="O135" s="4">
        <v>412.214</v>
      </c>
      <c r="P135" s="4">
        <v>0</v>
      </c>
      <c r="Q135" s="3" t="s">
        <v>26</v>
      </c>
      <c r="R135" s="3">
        <v>0</v>
      </c>
      <c r="S135" s="4">
        <v>0</v>
      </c>
      <c r="T135" s="4">
        <v>11</v>
      </c>
      <c r="U135" s="4">
        <v>52</v>
      </c>
      <c r="V135" s="4">
        <f>IF(ISERROR(VLOOKUP($S$135,'TAR FIN'!$A$1:$O$91,15,0)),0,VLOOKUP($S$135,'TAR FIN'!$A$1:$O$91,15,0))</f>
        <v>0</v>
      </c>
      <c r="W135" s="4">
        <f>IF(ISERROR(VLOOKUP($T$135,'TAR FIN'!$A$1:$O$91,15,0)),0,VLOOKUP($T$135,'TAR FIN'!$A$1:$O$91,15,0))</f>
        <v>90.54</v>
      </c>
      <c r="X135" s="4">
        <f>IF(ISERROR(VLOOKUP($U$135,'TAR FIN'!$A$1:$O$91,15,0)),0,VLOOKUP($U$135,'TAR FIN'!$A$1:$O$91,15,0))</f>
        <v>189.96</v>
      </c>
      <c r="Y135" s="4"/>
      <c r="Z135" s="4">
        <f ca="1">('TUSD BE'!$AM$15+'TUSD BF'!$AM$15+'TUSD CVA'!$AM$15)*1</f>
        <v>104.1465119197419</v>
      </c>
      <c r="AA135" s="4">
        <f>('TE BE'!$AB$6+'TE BF'!$AB$6+'TE CVA'!$AB$6)*1</f>
        <v>195.89707226799715</v>
      </c>
      <c r="AB135" s="4">
        <f>$K$135*$V$135</f>
        <v>0</v>
      </c>
      <c r="AC135" s="4">
        <f>$M$135*$W$135</f>
        <v>37321.855560000004</v>
      </c>
      <c r="AD135" s="4">
        <f>$O$135*$X$135</f>
        <v>78304.171440000006</v>
      </c>
      <c r="AE135" s="4">
        <f>$K$135*$Y$135</f>
        <v>0</v>
      </c>
      <c r="AF135" s="4">
        <f ca="1">$M$135*$Z$135</f>
        <v>42930.650264484488</v>
      </c>
      <c r="AG135" s="4">
        <f>$O$135*$AA$135</f>
        <v>80751.51574788017</v>
      </c>
    </row>
    <row r="136" spans="1:33" ht="11.25" customHeight="1" x14ac:dyDescent="0.3">
      <c r="A136" s="3" t="s">
        <v>28</v>
      </c>
      <c r="B136" s="3" t="s">
        <v>39</v>
      </c>
      <c r="C136" s="3" t="s">
        <v>40</v>
      </c>
      <c r="D136" s="3" t="s">
        <v>38</v>
      </c>
      <c r="E136" s="3" t="s">
        <v>25</v>
      </c>
      <c r="F136" s="3" t="s">
        <v>25</v>
      </c>
      <c r="G136" s="3" t="s">
        <v>25</v>
      </c>
      <c r="H136" s="3" t="s">
        <v>35</v>
      </c>
      <c r="I136" s="6">
        <v>44531</v>
      </c>
      <c r="J136" s="4">
        <v>0</v>
      </c>
      <c r="K136" s="4">
        <v>0</v>
      </c>
      <c r="L136" s="4">
        <v>61.837000000000003</v>
      </c>
      <c r="M136" s="4">
        <v>61.837000000000003</v>
      </c>
      <c r="N136" s="4">
        <v>61.837000000000003</v>
      </c>
      <c r="O136" s="4">
        <v>61.837000000000003</v>
      </c>
      <c r="P136" s="4">
        <v>0</v>
      </c>
      <c r="Q136" s="3" t="s">
        <v>26</v>
      </c>
      <c r="R136" s="3">
        <v>0</v>
      </c>
      <c r="S136" s="4">
        <v>0</v>
      </c>
      <c r="T136" s="4">
        <v>11</v>
      </c>
      <c r="U136" s="4">
        <v>52</v>
      </c>
      <c r="V136" s="4">
        <f>IF(ISERROR(VLOOKUP($S$136,'TAR FIN'!$A$1:$O$91,15,0)),0,VLOOKUP($S$136,'TAR FIN'!$A$1:$O$91,15,0))</f>
        <v>0</v>
      </c>
      <c r="W136" s="4">
        <f>IF(ISERROR(VLOOKUP($T$136,'TAR FIN'!$A$1:$O$91,15,0)),0,VLOOKUP($T$136,'TAR FIN'!$A$1:$O$91,15,0))</f>
        <v>90.54</v>
      </c>
      <c r="X136" s="4">
        <f>IF(ISERROR(VLOOKUP($U$136,'TAR FIN'!$A$1:$O$91,15,0)),0,VLOOKUP($U$136,'TAR FIN'!$A$1:$O$91,15,0))</f>
        <v>189.96</v>
      </c>
      <c r="Y136" s="4"/>
      <c r="Z136" s="4">
        <f ca="1">('TUSD BE'!$AM$15+'TUSD BF'!$AM$15+'TUSD CVA'!$AM$15)*1</f>
        <v>104.1465119197419</v>
      </c>
      <c r="AA136" s="4">
        <f>('TE BE'!$AB$6+'TE BF'!$AB$6+'TE CVA'!$AB$6)*1</f>
        <v>195.89707226799715</v>
      </c>
      <c r="AB136" s="4">
        <f>$K$136*$V$136</f>
        <v>0</v>
      </c>
      <c r="AC136" s="4">
        <f>$M$136*$W$136</f>
        <v>5598.7219800000003</v>
      </c>
      <c r="AD136" s="4">
        <f>$O$136*$X$136</f>
        <v>11746.556520000002</v>
      </c>
      <c r="AE136" s="4">
        <f>$K$136*$Y$136</f>
        <v>0</v>
      </c>
      <c r="AF136" s="4">
        <f ca="1">$M$136*$Z$136</f>
        <v>6440.1078575810798</v>
      </c>
      <c r="AG136" s="4">
        <f>$O$136*$AA$136</f>
        <v>12113.68725783614</v>
      </c>
    </row>
    <row r="137" spans="1:33" ht="11.25" customHeight="1" x14ac:dyDescent="0.3">
      <c r="A137" s="3" t="s">
        <v>21</v>
      </c>
      <c r="B137" s="3" t="s">
        <v>39</v>
      </c>
      <c r="C137" s="3" t="s">
        <v>40</v>
      </c>
      <c r="D137" s="3" t="s">
        <v>38</v>
      </c>
      <c r="E137" s="3" t="s">
        <v>25</v>
      </c>
      <c r="F137" s="3" t="s">
        <v>25</v>
      </c>
      <c r="G137" s="3" t="s">
        <v>25</v>
      </c>
      <c r="H137" s="3" t="s">
        <v>35</v>
      </c>
      <c r="I137" s="6">
        <v>44562</v>
      </c>
      <c r="J137" s="4">
        <v>0</v>
      </c>
      <c r="K137" s="4">
        <v>0</v>
      </c>
      <c r="L137" s="4">
        <v>388.90199999999999</v>
      </c>
      <c r="M137" s="4">
        <v>388.90199999999999</v>
      </c>
      <c r="N137" s="4">
        <v>388.90199999999999</v>
      </c>
      <c r="O137" s="4">
        <v>388.90199999999999</v>
      </c>
      <c r="P137" s="4">
        <v>0</v>
      </c>
      <c r="Q137" s="3" t="s">
        <v>26</v>
      </c>
      <c r="R137" s="3">
        <v>0</v>
      </c>
      <c r="S137" s="4">
        <v>0</v>
      </c>
      <c r="T137" s="4">
        <v>11</v>
      </c>
      <c r="U137" s="4">
        <v>52</v>
      </c>
      <c r="V137" s="4">
        <f>IF(ISERROR(VLOOKUP($S$137,'TAR FIN'!$A$1:$O$91,15,0)),0,VLOOKUP($S$137,'TAR FIN'!$A$1:$O$91,15,0))</f>
        <v>0</v>
      </c>
      <c r="W137" s="4">
        <f>IF(ISERROR(VLOOKUP($T$137,'TAR FIN'!$A$1:$O$91,15,0)),0,VLOOKUP($T$137,'TAR FIN'!$A$1:$O$91,15,0))</f>
        <v>90.54</v>
      </c>
      <c r="X137" s="4">
        <f>IF(ISERROR(VLOOKUP($U$137,'TAR FIN'!$A$1:$O$91,15,0)),0,VLOOKUP($U$137,'TAR FIN'!$A$1:$O$91,15,0))</f>
        <v>189.96</v>
      </c>
      <c r="Y137" s="4"/>
      <c r="Z137" s="4">
        <f ca="1">('TUSD BE'!$AM$15+'TUSD BF'!$AM$15+'TUSD CVA'!$AM$15)*1</f>
        <v>104.1465119197419</v>
      </c>
      <c r="AA137" s="4">
        <f>('TE BE'!$AB$6+'TE BF'!$AB$6+'TE CVA'!$AB$6)*1</f>
        <v>195.89707226799715</v>
      </c>
      <c r="AB137" s="4">
        <f>$K$137*$V$137</f>
        <v>0</v>
      </c>
      <c r="AC137" s="4">
        <f>$M$137*$W$137</f>
        <v>35211.187080000003</v>
      </c>
      <c r="AD137" s="4">
        <f>$O$137*$X$137</f>
        <v>73875.823919999995</v>
      </c>
      <c r="AE137" s="4">
        <f>$K$137*$Y$137</f>
        <v>0</v>
      </c>
      <c r="AF137" s="4">
        <f ca="1">$M$137*$Z$137</f>
        <v>40502.786778611458</v>
      </c>
      <c r="AG137" s="4">
        <f>$O$137*$AA$137</f>
        <v>76184.763199168621</v>
      </c>
    </row>
    <row r="138" spans="1:33" ht="11.25" customHeight="1" x14ac:dyDescent="0.3">
      <c r="A138" s="3" t="s">
        <v>28</v>
      </c>
      <c r="B138" s="3" t="s">
        <v>39</v>
      </c>
      <c r="C138" s="3" t="s">
        <v>40</v>
      </c>
      <c r="D138" s="3" t="s">
        <v>38</v>
      </c>
      <c r="E138" s="3" t="s">
        <v>25</v>
      </c>
      <c r="F138" s="3" t="s">
        <v>25</v>
      </c>
      <c r="G138" s="3" t="s">
        <v>25</v>
      </c>
      <c r="H138" s="3" t="s">
        <v>35</v>
      </c>
      <c r="I138" s="6">
        <v>44562</v>
      </c>
      <c r="J138" s="4">
        <v>0</v>
      </c>
      <c r="K138" s="4">
        <v>0</v>
      </c>
      <c r="L138" s="4">
        <v>29.521000000000001</v>
      </c>
      <c r="M138" s="4">
        <v>29.521000000000001</v>
      </c>
      <c r="N138" s="4">
        <v>29.521000000000001</v>
      </c>
      <c r="O138" s="4">
        <v>29.521000000000001</v>
      </c>
      <c r="P138" s="4">
        <v>0</v>
      </c>
      <c r="Q138" s="3" t="s">
        <v>26</v>
      </c>
      <c r="R138" s="3">
        <v>0</v>
      </c>
      <c r="S138" s="4">
        <v>0</v>
      </c>
      <c r="T138" s="4">
        <v>11</v>
      </c>
      <c r="U138" s="4">
        <v>52</v>
      </c>
      <c r="V138" s="4">
        <f>IF(ISERROR(VLOOKUP($S$138,'TAR FIN'!$A$1:$O$91,15,0)),0,VLOOKUP($S$138,'TAR FIN'!$A$1:$O$91,15,0))</f>
        <v>0</v>
      </c>
      <c r="W138" s="4">
        <f>IF(ISERROR(VLOOKUP($T$138,'TAR FIN'!$A$1:$O$91,15,0)),0,VLOOKUP($T$138,'TAR FIN'!$A$1:$O$91,15,0))</f>
        <v>90.54</v>
      </c>
      <c r="X138" s="4">
        <f>IF(ISERROR(VLOOKUP($U$138,'TAR FIN'!$A$1:$O$91,15,0)),0,VLOOKUP($U$138,'TAR FIN'!$A$1:$O$91,15,0))</f>
        <v>189.96</v>
      </c>
      <c r="Y138" s="4"/>
      <c r="Z138" s="4">
        <f ca="1">('TUSD BE'!$AM$15+'TUSD BF'!$AM$15+'TUSD CVA'!$AM$15)*1</f>
        <v>104.1465119197419</v>
      </c>
      <c r="AA138" s="4">
        <f>('TE BE'!$AB$6+'TE BF'!$AB$6+'TE CVA'!$AB$6)*1</f>
        <v>195.89707226799715</v>
      </c>
      <c r="AB138" s="4">
        <f>$K$138*$V$138</f>
        <v>0</v>
      </c>
      <c r="AC138" s="4">
        <f>$M$138*$W$138</f>
        <v>2672.8313400000002</v>
      </c>
      <c r="AD138" s="4">
        <f>$O$138*$X$138</f>
        <v>5607.8091600000007</v>
      </c>
      <c r="AE138" s="4">
        <f>$K$138*$Y$138</f>
        <v>0</v>
      </c>
      <c r="AF138" s="4">
        <f ca="1">$M$138*$Z$138</f>
        <v>3074.5091783827006</v>
      </c>
      <c r="AG138" s="4">
        <f>$O$138*$AA$138</f>
        <v>5783.0774704235437</v>
      </c>
    </row>
    <row r="139" spans="1:33" ht="11.25" customHeight="1" x14ac:dyDescent="0.3">
      <c r="A139" s="3" t="s">
        <v>21</v>
      </c>
      <c r="B139" s="3" t="s">
        <v>39</v>
      </c>
      <c r="C139" s="3" t="s">
        <v>40</v>
      </c>
      <c r="D139" s="3" t="s">
        <v>38</v>
      </c>
      <c r="E139" s="3" t="s">
        <v>25</v>
      </c>
      <c r="F139" s="3" t="s">
        <v>25</v>
      </c>
      <c r="G139" s="3" t="s">
        <v>25</v>
      </c>
      <c r="H139" s="3" t="s">
        <v>35</v>
      </c>
      <c r="I139" s="6">
        <v>44593</v>
      </c>
      <c r="J139" s="4">
        <v>0</v>
      </c>
      <c r="K139" s="4">
        <v>0</v>
      </c>
      <c r="L139" s="4">
        <v>426.92399999999998</v>
      </c>
      <c r="M139" s="4">
        <v>426.92399999999998</v>
      </c>
      <c r="N139" s="4">
        <v>426.92399999999998</v>
      </c>
      <c r="O139" s="4">
        <v>426.92399999999998</v>
      </c>
      <c r="P139" s="4">
        <v>0</v>
      </c>
      <c r="Q139" s="3" t="s">
        <v>26</v>
      </c>
      <c r="R139" s="3">
        <v>0</v>
      </c>
      <c r="S139" s="4">
        <v>0</v>
      </c>
      <c r="T139" s="4">
        <v>11</v>
      </c>
      <c r="U139" s="4">
        <v>52</v>
      </c>
      <c r="V139" s="4">
        <f>IF(ISERROR(VLOOKUP($S$139,'TAR FIN'!$A$1:$O$91,15,0)),0,VLOOKUP($S$139,'TAR FIN'!$A$1:$O$91,15,0))</f>
        <v>0</v>
      </c>
      <c r="W139" s="4">
        <f>IF(ISERROR(VLOOKUP($T$139,'TAR FIN'!$A$1:$O$91,15,0)),0,VLOOKUP($T$139,'TAR FIN'!$A$1:$O$91,15,0))</f>
        <v>90.54</v>
      </c>
      <c r="X139" s="4">
        <f>IF(ISERROR(VLOOKUP($U$139,'TAR FIN'!$A$1:$O$91,15,0)),0,VLOOKUP($U$139,'TAR FIN'!$A$1:$O$91,15,0))</f>
        <v>189.96</v>
      </c>
      <c r="Y139" s="4"/>
      <c r="Z139" s="4">
        <f ca="1">('TUSD BE'!$AM$15+'TUSD BF'!$AM$15+'TUSD CVA'!$AM$15)*1</f>
        <v>104.1465119197419</v>
      </c>
      <c r="AA139" s="4">
        <f>('TE BE'!$AB$6+'TE BF'!$AB$6+'TE CVA'!$AB$6)*1</f>
        <v>195.89707226799715</v>
      </c>
      <c r="AB139" s="4">
        <f>$K$139*$V$139</f>
        <v>0</v>
      </c>
      <c r="AC139" s="4">
        <f>$M$139*$W$139</f>
        <v>38653.698960000002</v>
      </c>
      <c r="AD139" s="4">
        <f>$O$139*$X$139</f>
        <v>81098.483040000006</v>
      </c>
      <c r="AE139" s="4">
        <f>$K$139*$Y$139</f>
        <v>0</v>
      </c>
      <c r="AF139" s="4">
        <f ca="1">$M$139*$Z$139</f>
        <v>44462.645454823891</v>
      </c>
      <c r="AG139" s="4">
        <f>$O$139*$AA$139</f>
        <v>83633.161680942416</v>
      </c>
    </row>
    <row r="140" spans="1:33" ht="11.25" customHeight="1" x14ac:dyDescent="0.3">
      <c r="A140" s="3" t="s">
        <v>28</v>
      </c>
      <c r="B140" s="3" t="s">
        <v>39</v>
      </c>
      <c r="C140" s="3" t="s">
        <v>40</v>
      </c>
      <c r="D140" s="3" t="s">
        <v>38</v>
      </c>
      <c r="E140" s="3" t="s">
        <v>25</v>
      </c>
      <c r="F140" s="3" t="s">
        <v>25</v>
      </c>
      <c r="G140" s="3" t="s">
        <v>25</v>
      </c>
      <c r="H140" s="3" t="s">
        <v>35</v>
      </c>
      <c r="I140" s="6">
        <v>44593</v>
      </c>
      <c r="J140" s="4">
        <v>0</v>
      </c>
      <c r="K140" s="4">
        <v>0</v>
      </c>
      <c r="L140" s="4">
        <v>8.1969999999999992</v>
      </c>
      <c r="M140" s="4">
        <v>8.1969999999999992</v>
      </c>
      <c r="N140" s="4">
        <v>8.1969999999999992</v>
      </c>
      <c r="O140" s="4">
        <v>8.1969999999999992</v>
      </c>
      <c r="P140" s="4">
        <v>0</v>
      </c>
      <c r="Q140" s="3" t="s">
        <v>26</v>
      </c>
      <c r="R140" s="3">
        <v>0</v>
      </c>
      <c r="S140" s="4">
        <v>0</v>
      </c>
      <c r="T140" s="4">
        <v>11</v>
      </c>
      <c r="U140" s="4">
        <v>52</v>
      </c>
      <c r="V140" s="4">
        <f>IF(ISERROR(VLOOKUP($S$140,'TAR FIN'!$A$1:$O$91,15,0)),0,VLOOKUP($S$140,'TAR FIN'!$A$1:$O$91,15,0))</f>
        <v>0</v>
      </c>
      <c r="W140" s="4">
        <f>IF(ISERROR(VLOOKUP($T$140,'TAR FIN'!$A$1:$O$91,15,0)),0,VLOOKUP($T$140,'TAR FIN'!$A$1:$O$91,15,0))</f>
        <v>90.54</v>
      </c>
      <c r="X140" s="4">
        <f>IF(ISERROR(VLOOKUP($U$140,'TAR FIN'!$A$1:$O$91,15,0)),0,VLOOKUP($U$140,'TAR FIN'!$A$1:$O$91,15,0))</f>
        <v>189.96</v>
      </c>
      <c r="Y140" s="4"/>
      <c r="Z140" s="4">
        <f ca="1">('TUSD BE'!$AM$15+'TUSD BF'!$AM$15+'TUSD CVA'!$AM$15)*1</f>
        <v>104.1465119197419</v>
      </c>
      <c r="AA140" s="4">
        <f>('TE BE'!$AB$6+'TE BF'!$AB$6+'TE CVA'!$AB$6)*1</f>
        <v>195.89707226799715</v>
      </c>
      <c r="AB140" s="4">
        <f>$K$140*$V$140</f>
        <v>0</v>
      </c>
      <c r="AC140" s="4">
        <f>$M$140*$W$140</f>
        <v>742.15638000000001</v>
      </c>
      <c r="AD140" s="4">
        <f>$O$140*$X$140</f>
        <v>1557.10212</v>
      </c>
      <c r="AE140" s="4">
        <f>$K$140*$Y$140</f>
        <v>0</v>
      </c>
      <c r="AF140" s="4">
        <f ca="1">$M$140*$Z$140</f>
        <v>853.6889582061242</v>
      </c>
      <c r="AG140" s="4">
        <f>$O$140*$AA$140</f>
        <v>1605.7683013807725</v>
      </c>
    </row>
    <row r="141" spans="1:33" ht="11.25" customHeight="1" x14ac:dyDescent="0.3">
      <c r="A141" s="3" t="s">
        <v>21</v>
      </c>
      <c r="B141" s="3" t="s">
        <v>39</v>
      </c>
      <c r="C141" s="3" t="s">
        <v>40</v>
      </c>
      <c r="D141" s="3" t="s">
        <v>38</v>
      </c>
      <c r="E141" s="3" t="s">
        <v>25</v>
      </c>
      <c r="F141" s="3" t="s">
        <v>25</v>
      </c>
      <c r="G141" s="3" t="s">
        <v>25</v>
      </c>
      <c r="H141" s="3" t="s">
        <v>35</v>
      </c>
      <c r="I141" s="6">
        <v>44621</v>
      </c>
      <c r="J141" s="4">
        <v>0</v>
      </c>
      <c r="K141" s="4">
        <v>0</v>
      </c>
      <c r="L141" s="4">
        <v>462.54199999999997</v>
      </c>
      <c r="M141" s="4">
        <v>462.54199999999997</v>
      </c>
      <c r="N141" s="4">
        <v>462.54199999999997</v>
      </c>
      <c r="O141" s="4">
        <v>462.54199999999997</v>
      </c>
      <c r="P141" s="4">
        <v>0</v>
      </c>
      <c r="Q141" s="3" t="s">
        <v>26</v>
      </c>
      <c r="R141" s="3">
        <v>0</v>
      </c>
      <c r="S141" s="4">
        <v>0</v>
      </c>
      <c r="T141" s="4">
        <v>11</v>
      </c>
      <c r="U141" s="4">
        <v>52</v>
      </c>
      <c r="V141" s="4">
        <f>IF(ISERROR(VLOOKUP($S$141,'TAR FIN'!$A$1:$O$91,15,0)),0,VLOOKUP($S$141,'TAR FIN'!$A$1:$O$91,15,0))</f>
        <v>0</v>
      </c>
      <c r="W141" s="4">
        <f>IF(ISERROR(VLOOKUP($T$141,'TAR FIN'!$A$1:$O$91,15,0)),0,VLOOKUP($T$141,'TAR FIN'!$A$1:$O$91,15,0))</f>
        <v>90.54</v>
      </c>
      <c r="X141" s="4">
        <f>IF(ISERROR(VLOOKUP($U$141,'TAR FIN'!$A$1:$O$91,15,0)),0,VLOOKUP($U$141,'TAR FIN'!$A$1:$O$91,15,0))</f>
        <v>189.96</v>
      </c>
      <c r="Y141" s="4"/>
      <c r="Z141" s="4">
        <f ca="1">('TUSD BE'!$AM$15+'TUSD BF'!$AM$15+'TUSD CVA'!$AM$15)*1</f>
        <v>104.1465119197419</v>
      </c>
      <c r="AA141" s="4">
        <f>('TE BE'!$AB$6+'TE BF'!$AB$6+'TE CVA'!$AB$6)*1</f>
        <v>195.89707226799715</v>
      </c>
      <c r="AB141" s="4">
        <f>$K$141*$V$141</f>
        <v>0</v>
      </c>
      <c r="AC141" s="4">
        <f>$M$141*$W$141</f>
        <v>41878.552680000001</v>
      </c>
      <c r="AD141" s="4">
        <f>$O$141*$X$141</f>
        <v>87864.478319999995</v>
      </c>
      <c r="AE141" s="4">
        <f>$K$141*$Y$141</f>
        <v>0</v>
      </c>
      <c r="AF141" s="4">
        <f ca="1">$M$141*$Z$141</f>
        <v>48172.135916381252</v>
      </c>
      <c r="AG141" s="4">
        <f>$O$141*$AA$141</f>
        <v>90610.623600983934</v>
      </c>
    </row>
    <row r="142" spans="1:33" ht="11.25" customHeight="1" x14ac:dyDescent="0.3">
      <c r="A142" s="3" t="s">
        <v>28</v>
      </c>
      <c r="B142" s="3" t="s">
        <v>39</v>
      </c>
      <c r="C142" s="3" t="s">
        <v>40</v>
      </c>
      <c r="D142" s="3" t="s">
        <v>38</v>
      </c>
      <c r="E142" s="3" t="s">
        <v>25</v>
      </c>
      <c r="F142" s="3" t="s">
        <v>25</v>
      </c>
      <c r="G142" s="3" t="s">
        <v>25</v>
      </c>
      <c r="H142" s="3" t="s">
        <v>35</v>
      </c>
      <c r="I142" s="6">
        <v>44621</v>
      </c>
      <c r="J142" s="4">
        <v>0</v>
      </c>
      <c r="K142" s="4">
        <v>0</v>
      </c>
      <c r="L142" s="4">
        <v>46.783999999999999</v>
      </c>
      <c r="M142" s="4">
        <v>46.783999999999999</v>
      </c>
      <c r="N142" s="4">
        <v>46.783999999999999</v>
      </c>
      <c r="O142" s="4">
        <v>46.783999999999999</v>
      </c>
      <c r="P142" s="4">
        <v>0</v>
      </c>
      <c r="Q142" s="3" t="s">
        <v>26</v>
      </c>
      <c r="R142" s="3">
        <v>0</v>
      </c>
      <c r="S142" s="4">
        <v>0</v>
      </c>
      <c r="T142" s="4">
        <v>11</v>
      </c>
      <c r="U142" s="4">
        <v>52</v>
      </c>
      <c r="V142" s="4">
        <f>IF(ISERROR(VLOOKUP($S$142,'TAR FIN'!$A$1:$O$91,15,0)),0,VLOOKUP($S$142,'TAR FIN'!$A$1:$O$91,15,0))</f>
        <v>0</v>
      </c>
      <c r="W142" s="4">
        <f>IF(ISERROR(VLOOKUP($T$142,'TAR FIN'!$A$1:$O$91,15,0)),0,VLOOKUP($T$142,'TAR FIN'!$A$1:$O$91,15,0))</f>
        <v>90.54</v>
      </c>
      <c r="X142" s="4">
        <f>IF(ISERROR(VLOOKUP($U$142,'TAR FIN'!$A$1:$O$91,15,0)),0,VLOOKUP($U$142,'TAR FIN'!$A$1:$O$91,15,0))</f>
        <v>189.96</v>
      </c>
      <c r="Y142" s="4"/>
      <c r="Z142" s="4">
        <f ca="1">('TUSD BE'!$AM$15+'TUSD BF'!$AM$15+'TUSD CVA'!$AM$15)*1</f>
        <v>104.1465119197419</v>
      </c>
      <c r="AA142" s="4">
        <f>('TE BE'!$AB$6+'TE BF'!$AB$6+'TE CVA'!$AB$6)*1</f>
        <v>195.89707226799715</v>
      </c>
      <c r="AB142" s="4">
        <f>$K$142*$V$142</f>
        <v>0</v>
      </c>
      <c r="AC142" s="4">
        <f>$M$142*$W$142</f>
        <v>4235.8233600000003</v>
      </c>
      <c r="AD142" s="4">
        <f>$O$142*$X$142</f>
        <v>8887.0886399999999</v>
      </c>
      <c r="AE142" s="4">
        <f>$K$142*$Y$142</f>
        <v>0</v>
      </c>
      <c r="AF142" s="4">
        <f ca="1">$M$142*$Z$142</f>
        <v>4872.3904136532046</v>
      </c>
      <c r="AG142" s="4">
        <f>$O$142*$AA$142</f>
        <v>9164.8486289859775</v>
      </c>
    </row>
    <row r="143" spans="1:33" ht="11.25" customHeight="1" x14ac:dyDescent="0.3">
      <c r="A143" s="3" t="s">
        <v>21</v>
      </c>
      <c r="B143" s="3" t="s">
        <v>39</v>
      </c>
      <c r="C143" s="3" t="s">
        <v>40</v>
      </c>
      <c r="D143" s="3" t="s">
        <v>38</v>
      </c>
      <c r="E143" s="3" t="s">
        <v>25</v>
      </c>
      <c r="F143" s="3" t="s">
        <v>25</v>
      </c>
      <c r="G143" s="3" t="s">
        <v>25</v>
      </c>
      <c r="H143" s="3" t="s">
        <v>35</v>
      </c>
      <c r="I143" s="6">
        <v>44652</v>
      </c>
      <c r="J143" s="4">
        <v>0</v>
      </c>
      <c r="K143" s="4">
        <v>0</v>
      </c>
      <c r="L143" s="4">
        <v>412.99400000000003</v>
      </c>
      <c r="M143" s="4">
        <v>412.99400000000003</v>
      </c>
      <c r="N143" s="4">
        <v>412.99400000000003</v>
      </c>
      <c r="O143" s="4">
        <v>412.99400000000003</v>
      </c>
      <c r="P143" s="4">
        <v>0</v>
      </c>
      <c r="Q143" s="3" t="s">
        <v>26</v>
      </c>
      <c r="R143" s="3">
        <v>0</v>
      </c>
      <c r="S143" s="4">
        <v>0</v>
      </c>
      <c r="T143" s="4">
        <v>11</v>
      </c>
      <c r="U143" s="4">
        <v>52</v>
      </c>
      <c r="V143" s="4">
        <f>IF(ISERROR(VLOOKUP($S$143,'TAR FIN'!$A$1:$O$91,15,0)),0,VLOOKUP($S$143,'TAR FIN'!$A$1:$O$91,15,0))</f>
        <v>0</v>
      </c>
      <c r="W143" s="4">
        <f>IF(ISERROR(VLOOKUP($T$143,'TAR FIN'!$A$1:$O$91,15,0)),0,VLOOKUP($T$143,'TAR FIN'!$A$1:$O$91,15,0))</f>
        <v>90.54</v>
      </c>
      <c r="X143" s="4">
        <f>IF(ISERROR(VLOOKUP($U$143,'TAR FIN'!$A$1:$O$91,15,0)),0,VLOOKUP($U$143,'TAR FIN'!$A$1:$O$91,15,0))</f>
        <v>189.96</v>
      </c>
      <c r="Y143" s="4"/>
      <c r="Z143" s="4">
        <f ca="1">('TUSD BE'!$AM$15+'TUSD BF'!$AM$15+'TUSD CVA'!$AM$15)*1</f>
        <v>104.1465119197419</v>
      </c>
      <c r="AA143" s="4">
        <f>('TE BE'!$AB$6+'TE BF'!$AB$6+'TE CVA'!$AB$6)*1</f>
        <v>195.89707226799715</v>
      </c>
      <c r="AB143" s="4">
        <f>$K$143*$V$143</f>
        <v>0</v>
      </c>
      <c r="AC143" s="4">
        <f>$M$143*$W$143</f>
        <v>37392.476760000005</v>
      </c>
      <c r="AD143" s="4">
        <f>$O$143*$X$143</f>
        <v>78452.340240000005</v>
      </c>
      <c r="AE143" s="4">
        <f>$K$143*$Y$143</f>
        <v>0</v>
      </c>
      <c r="AF143" s="4">
        <f ca="1">$M$143*$Z$143</f>
        <v>43011.884543781889</v>
      </c>
      <c r="AG143" s="4">
        <f>$O$143*$AA$143</f>
        <v>80904.315464249215</v>
      </c>
    </row>
    <row r="144" spans="1:33" ht="11.25" customHeight="1" x14ac:dyDescent="0.3">
      <c r="A144" s="3" t="s">
        <v>28</v>
      </c>
      <c r="B144" s="3" t="s">
        <v>39</v>
      </c>
      <c r="C144" s="3" t="s">
        <v>40</v>
      </c>
      <c r="D144" s="3" t="s">
        <v>38</v>
      </c>
      <c r="E144" s="3" t="s">
        <v>25</v>
      </c>
      <c r="F144" s="3" t="s">
        <v>25</v>
      </c>
      <c r="G144" s="3" t="s">
        <v>25</v>
      </c>
      <c r="H144" s="3" t="s">
        <v>35</v>
      </c>
      <c r="I144" s="6">
        <v>44652</v>
      </c>
      <c r="J144" s="4">
        <v>0</v>
      </c>
      <c r="K144" s="4">
        <v>0</v>
      </c>
      <c r="L144" s="4">
        <v>69.320999999999998</v>
      </c>
      <c r="M144" s="4">
        <v>69.320999999999998</v>
      </c>
      <c r="N144" s="4">
        <v>69.320999999999998</v>
      </c>
      <c r="O144" s="4">
        <v>69.320999999999998</v>
      </c>
      <c r="P144" s="4">
        <v>0</v>
      </c>
      <c r="Q144" s="3" t="s">
        <v>26</v>
      </c>
      <c r="R144" s="3">
        <v>0</v>
      </c>
      <c r="S144" s="4">
        <v>0</v>
      </c>
      <c r="T144" s="4">
        <v>11</v>
      </c>
      <c r="U144" s="4">
        <v>52</v>
      </c>
      <c r="V144" s="4">
        <f>IF(ISERROR(VLOOKUP($S$144,'TAR FIN'!$A$1:$O$91,15,0)),0,VLOOKUP($S$144,'TAR FIN'!$A$1:$O$91,15,0))</f>
        <v>0</v>
      </c>
      <c r="W144" s="4">
        <f>IF(ISERROR(VLOOKUP($T$144,'TAR FIN'!$A$1:$O$91,15,0)),0,VLOOKUP($T$144,'TAR FIN'!$A$1:$O$91,15,0))</f>
        <v>90.54</v>
      </c>
      <c r="X144" s="4">
        <f>IF(ISERROR(VLOOKUP($U$144,'TAR FIN'!$A$1:$O$91,15,0)),0,VLOOKUP($U$144,'TAR FIN'!$A$1:$O$91,15,0))</f>
        <v>189.96</v>
      </c>
      <c r="Y144" s="4"/>
      <c r="Z144" s="4">
        <f ca="1">('TUSD BE'!$AM$15+'TUSD BF'!$AM$15+'TUSD CVA'!$AM$15)*1</f>
        <v>104.1465119197419</v>
      </c>
      <c r="AA144" s="4">
        <f>('TE BE'!$AB$6+'TE BF'!$AB$6+'TE CVA'!$AB$6)*1</f>
        <v>195.89707226799715</v>
      </c>
      <c r="AB144" s="4">
        <f>$K$144*$V$144</f>
        <v>0</v>
      </c>
      <c r="AC144" s="4">
        <f>$M$144*$W$144</f>
        <v>6276.3233399999999</v>
      </c>
      <c r="AD144" s="4">
        <f>$O$144*$X$144</f>
        <v>13168.21716</v>
      </c>
      <c r="AE144" s="4">
        <f>$K$144*$Y$144</f>
        <v>0</v>
      </c>
      <c r="AF144" s="4">
        <f ca="1">$M$144*$Z$144</f>
        <v>7219.5403527884282</v>
      </c>
      <c r="AG144" s="4">
        <f>$O$144*$AA$144</f>
        <v>13579.780946689829</v>
      </c>
    </row>
    <row r="145" spans="1:33" ht="11.25" customHeight="1" x14ac:dyDescent="0.3">
      <c r="A145" s="3" t="s">
        <v>21</v>
      </c>
      <c r="B145" s="3" t="s">
        <v>39</v>
      </c>
      <c r="C145" s="3" t="s">
        <v>40</v>
      </c>
      <c r="D145" s="3" t="s">
        <v>38</v>
      </c>
      <c r="E145" s="3" t="s">
        <v>25</v>
      </c>
      <c r="F145" s="3" t="s">
        <v>25</v>
      </c>
      <c r="G145" s="3" t="s">
        <v>25</v>
      </c>
      <c r="H145" s="3" t="s">
        <v>35</v>
      </c>
      <c r="I145" s="6">
        <v>44682</v>
      </c>
      <c r="J145" s="4">
        <v>0</v>
      </c>
      <c r="K145" s="4">
        <v>0</v>
      </c>
      <c r="L145" s="4">
        <v>494.01600000000002</v>
      </c>
      <c r="M145" s="4">
        <v>494.01600000000002</v>
      </c>
      <c r="N145" s="4">
        <v>494.01600000000002</v>
      </c>
      <c r="O145" s="4">
        <v>494.01600000000002</v>
      </c>
      <c r="P145" s="4">
        <v>0</v>
      </c>
      <c r="Q145" s="3" t="s">
        <v>26</v>
      </c>
      <c r="R145" s="3">
        <v>0</v>
      </c>
      <c r="S145" s="4">
        <v>0</v>
      </c>
      <c r="T145" s="4">
        <v>11</v>
      </c>
      <c r="U145" s="4">
        <v>52</v>
      </c>
      <c r="V145" s="4">
        <f>IF(ISERROR(VLOOKUP($S$145,'TAR FIN'!$A$1:$O$91,15,0)),0,VLOOKUP($S$145,'TAR FIN'!$A$1:$O$91,15,0))</f>
        <v>0</v>
      </c>
      <c r="W145" s="4">
        <f>IF(ISERROR(VLOOKUP($T$145,'TAR FIN'!$A$1:$O$91,15,0)),0,VLOOKUP($T$145,'TAR FIN'!$A$1:$O$91,15,0))</f>
        <v>90.54</v>
      </c>
      <c r="X145" s="4">
        <f>IF(ISERROR(VLOOKUP($U$145,'TAR FIN'!$A$1:$O$91,15,0)),0,VLOOKUP($U$145,'TAR FIN'!$A$1:$O$91,15,0))</f>
        <v>189.96</v>
      </c>
      <c r="Y145" s="4"/>
      <c r="Z145" s="4">
        <f ca="1">('TUSD BE'!$AM$15+'TUSD BF'!$AM$15+'TUSD CVA'!$AM$15)*1</f>
        <v>104.1465119197419</v>
      </c>
      <c r="AA145" s="4">
        <f>('TE BE'!$AB$6+'TE BF'!$AB$6+'TE CVA'!$AB$6)*1</f>
        <v>195.89707226799715</v>
      </c>
      <c r="AB145" s="4">
        <f>$K$145*$V$145</f>
        <v>0</v>
      </c>
      <c r="AC145" s="4">
        <f>$M$145*$W$145</f>
        <v>44728.208640000004</v>
      </c>
      <c r="AD145" s="4">
        <f>$O$145*$X$145</f>
        <v>93843.27936</v>
      </c>
      <c r="AE145" s="4">
        <f>$K$145*$Y$145</f>
        <v>0</v>
      </c>
      <c r="AF145" s="4">
        <f ca="1">$M$145*$Z$145</f>
        <v>51450.043232543212</v>
      </c>
      <c r="AG145" s="4">
        <f>$O$145*$AA$145</f>
        <v>96776.288053546887</v>
      </c>
    </row>
    <row r="146" spans="1:33" ht="11.25" customHeight="1" x14ac:dyDescent="0.3">
      <c r="A146" s="3" t="s">
        <v>28</v>
      </c>
      <c r="B146" s="3" t="s">
        <v>39</v>
      </c>
      <c r="C146" s="3" t="s">
        <v>40</v>
      </c>
      <c r="D146" s="3" t="s">
        <v>38</v>
      </c>
      <c r="E146" s="3" t="s">
        <v>25</v>
      </c>
      <c r="F146" s="3" t="s">
        <v>25</v>
      </c>
      <c r="G146" s="3" t="s">
        <v>25</v>
      </c>
      <c r="H146" s="3" t="s">
        <v>35</v>
      </c>
      <c r="I146" s="6">
        <v>44682</v>
      </c>
      <c r="J146" s="4">
        <v>0</v>
      </c>
      <c r="K146" s="4">
        <v>0</v>
      </c>
      <c r="L146" s="4">
        <v>64.748999999999995</v>
      </c>
      <c r="M146" s="4">
        <v>64.748999999999995</v>
      </c>
      <c r="N146" s="4">
        <v>64.748999999999995</v>
      </c>
      <c r="O146" s="4">
        <v>64.748999999999995</v>
      </c>
      <c r="P146" s="4">
        <v>0</v>
      </c>
      <c r="Q146" s="3" t="s">
        <v>26</v>
      </c>
      <c r="R146" s="3">
        <v>0</v>
      </c>
      <c r="S146" s="4">
        <v>0</v>
      </c>
      <c r="T146" s="4">
        <v>11</v>
      </c>
      <c r="U146" s="4">
        <v>52</v>
      </c>
      <c r="V146" s="4">
        <f>IF(ISERROR(VLOOKUP($S$146,'TAR FIN'!$A$1:$O$91,15,0)),0,VLOOKUP($S$146,'TAR FIN'!$A$1:$O$91,15,0))</f>
        <v>0</v>
      </c>
      <c r="W146" s="4">
        <f>IF(ISERROR(VLOOKUP($T$146,'TAR FIN'!$A$1:$O$91,15,0)),0,VLOOKUP($T$146,'TAR FIN'!$A$1:$O$91,15,0))</f>
        <v>90.54</v>
      </c>
      <c r="X146" s="4">
        <f>IF(ISERROR(VLOOKUP($U$146,'TAR FIN'!$A$1:$O$91,15,0)),0,VLOOKUP($U$146,'TAR FIN'!$A$1:$O$91,15,0))</f>
        <v>189.96</v>
      </c>
      <c r="Y146" s="4"/>
      <c r="Z146" s="4">
        <f ca="1">('TUSD BE'!$AM$15+'TUSD BF'!$AM$15+'TUSD CVA'!$AM$15)*1</f>
        <v>104.1465119197419</v>
      </c>
      <c r="AA146" s="4">
        <f>('TE BE'!$AB$6+'TE BF'!$AB$6+'TE CVA'!$AB$6)*1</f>
        <v>195.89707226799715</v>
      </c>
      <c r="AB146" s="4">
        <f>$K$146*$V$146</f>
        <v>0</v>
      </c>
      <c r="AC146" s="4">
        <f>$M$146*$W$146</f>
        <v>5862.37446</v>
      </c>
      <c r="AD146" s="4">
        <f>$O$146*$X$146</f>
        <v>12299.72004</v>
      </c>
      <c r="AE146" s="4">
        <f>$K$146*$Y$146</f>
        <v>0</v>
      </c>
      <c r="AF146" s="4">
        <f ca="1">$M$146*$Z$146</f>
        <v>6743.3825002913673</v>
      </c>
      <c r="AG146" s="4">
        <f>$O$146*$AA$146</f>
        <v>12684.139532280546</v>
      </c>
    </row>
    <row r="147" spans="1:33" ht="11.25" customHeight="1" x14ac:dyDescent="0.3">
      <c r="A147" s="3" t="s">
        <v>21</v>
      </c>
      <c r="B147" s="3" t="s">
        <v>39</v>
      </c>
      <c r="C147" s="3" t="s">
        <v>40</v>
      </c>
      <c r="D147" s="3" t="s">
        <v>38</v>
      </c>
      <c r="E147" s="3" t="s">
        <v>25</v>
      </c>
      <c r="F147" s="3" t="s">
        <v>25</v>
      </c>
      <c r="G147" s="3" t="s">
        <v>25</v>
      </c>
      <c r="H147" s="3" t="s">
        <v>35</v>
      </c>
      <c r="I147" s="6">
        <v>44713</v>
      </c>
      <c r="J147" s="4">
        <v>0</v>
      </c>
      <c r="K147" s="4">
        <v>0</v>
      </c>
      <c r="L147" s="4">
        <v>362.99599999999998</v>
      </c>
      <c r="M147" s="4">
        <v>362.99599999999998</v>
      </c>
      <c r="N147" s="4">
        <v>362.99599999999998</v>
      </c>
      <c r="O147" s="4">
        <v>362.99599999999998</v>
      </c>
      <c r="P147" s="4">
        <v>0</v>
      </c>
      <c r="Q147" s="3" t="s">
        <v>26</v>
      </c>
      <c r="R147" s="3">
        <v>0</v>
      </c>
      <c r="S147" s="4">
        <v>0</v>
      </c>
      <c r="T147" s="4">
        <v>11</v>
      </c>
      <c r="U147" s="4">
        <v>52</v>
      </c>
      <c r="V147" s="4">
        <f>IF(ISERROR(VLOOKUP($S$147,'TAR FIN'!$A$1:$O$91,15,0)),0,VLOOKUP($S$147,'TAR FIN'!$A$1:$O$91,15,0))</f>
        <v>0</v>
      </c>
      <c r="W147" s="4">
        <f>IF(ISERROR(VLOOKUP($T$147,'TAR FIN'!$A$1:$O$91,15,0)),0,VLOOKUP($T$147,'TAR FIN'!$A$1:$O$91,15,0))</f>
        <v>90.54</v>
      </c>
      <c r="X147" s="4">
        <f>IF(ISERROR(VLOOKUP($U$147,'TAR FIN'!$A$1:$O$91,15,0)),0,VLOOKUP($U$147,'TAR FIN'!$A$1:$O$91,15,0))</f>
        <v>189.96</v>
      </c>
      <c r="Y147" s="4"/>
      <c r="Z147" s="4">
        <f ca="1">('TUSD BE'!$AM$15+'TUSD BF'!$AM$15+'TUSD CVA'!$AM$15)*1</f>
        <v>104.1465119197419</v>
      </c>
      <c r="AA147" s="4">
        <f>('TE BE'!$AB$6+'TE BF'!$AB$6+'TE CVA'!$AB$6)*1</f>
        <v>195.89707226799715</v>
      </c>
      <c r="AB147" s="4">
        <f>$K$147*$V$147</f>
        <v>0</v>
      </c>
      <c r="AC147" s="4">
        <f>$M$147*$W$147</f>
        <v>32865.65784</v>
      </c>
      <c r="AD147" s="4">
        <f>$O$147*$X$147</f>
        <v>68954.720159999997</v>
      </c>
      <c r="AE147" s="4">
        <f>$K$147*$Y$147</f>
        <v>0</v>
      </c>
      <c r="AF147" s="4">
        <f ca="1">$M$147*$Z$147</f>
        <v>37804.767240818626</v>
      </c>
      <c r="AG147" s="4">
        <f>$O$147*$AA$147</f>
        <v>71109.853644993884</v>
      </c>
    </row>
    <row r="148" spans="1:33" ht="11.25" customHeight="1" x14ac:dyDescent="0.3">
      <c r="A148" s="3" t="s">
        <v>28</v>
      </c>
      <c r="B148" s="3" t="s">
        <v>39</v>
      </c>
      <c r="C148" s="3" t="s">
        <v>40</v>
      </c>
      <c r="D148" s="3" t="s">
        <v>38</v>
      </c>
      <c r="E148" s="3" t="s">
        <v>25</v>
      </c>
      <c r="F148" s="3" t="s">
        <v>25</v>
      </c>
      <c r="G148" s="3" t="s">
        <v>25</v>
      </c>
      <c r="H148" s="3" t="s">
        <v>35</v>
      </c>
      <c r="I148" s="6">
        <v>44713</v>
      </c>
      <c r="J148" s="4">
        <v>0</v>
      </c>
      <c r="K148" s="4">
        <v>0</v>
      </c>
      <c r="L148" s="4">
        <v>59.744</v>
      </c>
      <c r="M148" s="4">
        <v>59.744</v>
      </c>
      <c r="N148" s="4">
        <v>59.744</v>
      </c>
      <c r="O148" s="4">
        <v>59.744</v>
      </c>
      <c r="P148" s="4">
        <v>0</v>
      </c>
      <c r="Q148" s="3" t="s">
        <v>26</v>
      </c>
      <c r="R148" s="3">
        <v>0</v>
      </c>
      <c r="S148" s="4">
        <v>0</v>
      </c>
      <c r="T148" s="4">
        <v>11</v>
      </c>
      <c r="U148" s="4">
        <v>52</v>
      </c>
      <c r="V148" s="4">
        <f>IF(ISERROR(VLOOKUP($S$148,'TAR FIN'!$A$1:$O$91,15,0)),0,VLOOKUP($S$148,'TAR FIN'!$A$1:$O$91,15,0))</f>
        <v>0</v>
      </c>
      <c r="W148" s="4">
        <f>IF(ISERROR(VLOOKUP($T$148,'TAR FIN'!$A$1:$O$91,15,0)),0,VLOOKUP($T$148,'TAR FIN'!$A$1:$O$91,15,0))</f>
        <v>90.54</v>
      </c>
      <c r="X148" s="4">
        <f>IF(ISERROR(VLOOKUP($U$148,'TAR FIN'!$A$1:$O$91,15,0)),0,VLOOKUP($U$148,'TAR FIN'!$A$1:$O$91,15,0))</f>
        <v>189.96</v>
      </c>
      <c r="Y148" s="4"/>
      <c r="Z148" s="4">
        <f ca="1">('TUSD BE'!$AM$15+'TUSD BF'!$AM$15+'TUSD CVA'!$AM$15)*1</f>
        <v>104.1465119197419</v>
      </c>
      <c r="AA148" s="4">
        <f>('TE BE'!$AB$6+'TE BF'!$AB$6+'TE CVA'!$AB$6)*1</f>
        <v>195.89707226799715</v>
      </c>
      <c r="AB148" s="4">
        <f>$K$148*$V$148</f>
        <v>0</v>
      </c>
      <c r="AC148" s="4">
        <f>$M$148*$W$148</f>
        <v>5409.2217600000004</v>
      </c>
      <c r="AD148" s="4">
        <f>$O$148*$X$148</f>
        <v>11348.970240000001</v>
      </c>
      <c r="AE148" s="4">
        <f>$K$148*$Y$148</f>
        <v>0</v>
      </c>
      <c r="AF148" s="4">
        <f ca="1">$M$148*$Z$148</f>
        <v>6222.1292081330603</v>
      </c>
      <c r="AG148" s="4">
        <f>$O$148*$AA$148</f>
        <v>11703.674685579221</v>
      </c>
    </row>
    <row r="149" spans="1:33" ht="11.25" customHeight="1" x14ac:dyDescent="0.3">
      <c r="A149" s="3" t="s">
        <v>21</v>
      </c>
      <c r="B149" s="3" t="s">
        <v>39</v>
      </c>
      <c r="C149" s="3" t="s">
        <v>40</v>
      </c>
      <c r="D149" s="3" t="s">
        <v>38</v>
      </c>
      <c r="E149" s="3" t="s">
        <v>25</v>
      </c>
      <c r="F149" s="3" t="s">
        <v>25</v>
      </c>
      <c r="G149" s="3" t="s">
        <v>25</v>
      </c>
      <c r="H149" s="3" t="s">
        <v>25</v>
      </c>
      <c r="I149" s="6">
        <v>44378</v>
      </c>
      <c r="J149" s="4">
        <v>3473</v>
      </c>
      <c r="K149" s="4">
        <v>3473</v>
      </c>
      <c r="L149" s="4">
        <v>0</v>
      </c>
      <c r="M149" s="4">
        <v>0</v>
      </c>
      <c r="N149" s="4">
        <v>0</v>
      </c>
      <c r="O149" s="4">
        <v>0</v>
      </c>
      <c r="P149" s="4">
        <v>21</v>
      </c>
      <c r="Q149" s="3" t="s">
        <v>26</v>
      </c>
      <c r="R149" s="3">
        <v>0</v>
      </c>
      <c r="S149" s="4">
        <v>9</v>
      </c>
      <c r="T149" s="4">
        <v>0</v>
      </c>
      <c r="U149" s="4">
        <v>0</v>
      </c>
      <c r="V149" s="4">
        <f>IF(ISERROR(VLOOKUP($S$149,'TAR FIN'!$A$1:$O$91,15,0)),0,VLOOKUP($S$149,'TAR FIN'!$A$1:$O$91,15,0))</f>
        <v>33.97</v>
      </c>
      <c r="W149" s="4">
        <f>IF(ISERROR(VLOOKUP($T$149,'TAR FIN'!$A$1:$O$91,15,0)),0,VLOOKUP($T$149,'TAR FIN'!$A$1:$O$91,15,0))</f>
        <v>0</v>
      </c>
      <c r="X149" s="4">
        <f>IF(ISERROR(VLOOKUP($U$149,'TAR FIN'!$A$1:$O$91,15,0)),0,VLOOKUP($U$149,'TAR FIN'!$A$1:$O$91,15,0))</f>
        <v>0</v>
      </c>
      <c r="Y149" s="4">
        <f ca="1">('TUSD BE'!$AM$13+'TUSD BF'!$AM$13+'TUSD CVA'!$AM$13)*1</f>
        <v>39.117234382623039</v>
      </c>
      <c r="Z149" s="4"/>
      <c r="AA149" s="4"/>
      <c r="AB149" s="4">
        <f>$K$149*$V$149</f>
        <v>117977.81</v>
      </c>
      <c r="AC149" s="4">
        <f>$M$149*$W$149</f>
        <v>0</v>
      </c>
      <c r="AD149" s="4">
        <f>$O$149*$X$149</f>
        <v>0</v>
      </c>
      <c r="AE149" s="4">
        <f ca="1">$K$149*$Y$149</f>
        <v>135854.15501084982</v>
      </c>
      <c r="AF149" s="4">
        <f>$M$149*$Z$149</f>
        <v>0</v>
      </c>
      <c r="AG149" s="4">
        <f>$O$149*$AA$149</f>
        <v>0</v>
      </c>
    </row>
    <row r="150" spans="1:33" ht="11.25" customHeight="1" x14ac:dyDescent="0.3">
      <c r="A150" s="3" t="s">
        <v>21</v>
      </c>
      <c r="B150" s="3" t="s">
        <v>39</v>
      </c>
      <c r="C150" s="3" t="s">
        <v>40</v>
      </c>
      <c r="D150" s="3" t="s">
        <v>38</v>
      </c>
      <c r="E150" s="3" t="s">
        <v>25</v>
      </c>
      <c r="F150" s="3" t="s">
        <v>25</v>
      </c>
      <c r="G150" s="3" t="s">
        <v>25</v>
      </c>
      <c r="H150" s="3" t="s">
        <v>25</v>
      </c>
      <c r="I150" s="6">
        <v>44409</v>
      </c>
      <c r="J150" s="4">
        <v>3138</v>
      </c>
      <c r="K150" s="4">
        <v>3138</v>
      </c>
      <c r="L150" s="4">
        <v>0</v>
      </c>
      <c r="M150" s="4">
        <v>0</v>
      </c>
      <c r="N150" s="4">
        <v>0</v>
      </c>
      <c r="O150" s="4">
        <v>0</v>
      </c>
      <c r="P150" s="4">
        <v>20</v>
      </c>
      <c r="Q150" s="3" t="s">
        <v>26</v>
      </c>
      <c r="R150" s="3">
        <v>0</v>
      </c>
      <c r="S150" s="4">
        <v>9</v>
      </c>
      <c r="T150" s="4">
        <v>0</v>
      </c>
      <c r="U150" s="4">
        <v>0</v>
      </c>
      <c r="V150" s="4">
        <f>IF(ISERROR(VLOOKUP($S$150,'TAR FIN'!$A$1:$O$91,15,0)),0,VLOOKUP($S$150,'TAR FIN'!$A$1:$O$91,15,0))</f>
        <v>33.97</v>
      </c>
      <c r="W150" s="4">
        <f>IF(ISERROR(VLOOKUP($T$150,'TAR FIN'!$A$1:$O$91,15,0)),0,VLOOKUP($T$150,'TAR FIN'!$A$1:$O$91,15,0))</f>
        <v>0</v>
      </c>
      <c r="X150" s="4">
        <f>IF(ISERROR(VLOOKUP($U$150,'TAR FIN'!$A$1:$O$91,15,0)),0,VLOOKUP($U$150,'TAR FIN'!$A$1:$O$91,15,0))</f>
        <v>0</v>
      </c>
      <c r="Y150" s="4">
        <f ca="1">('TUSD BE'!$AM$13+'TUSD BF'!$AM$13+'TUSD CVA'!$AM$13)*1</f>
        <v>39.117234382623039</v>
      </c>
      <c r="Z150" s="4"/>
      <c r="AA150" s="4"/>
      <c r="AB150" s="4">
        <f>$K$150*$V$150</f>
        <v>106597.86</v>
      </c>
      <c r="AC150" s="4">
        <f>$M$150*$W$150</f>
        <v>0</v>
      </c>
      <c r="AD150" s="4">
        <f>$O$150*$X$150</f>
        <v>0</v>
      </c>
      <c r="AE150" s="4">
        <f ca="1">$K$150*$Y$150</f>
        <v>122749.88149267109</v>
      </c>
      <c r="AF150" s="4">
        <f>$M$150*$Z$150</f>
        <v>0</v>
      </c>
      <c r="AG150" s="4">
        <f>$O$150*$AA$150</f>
        <v>0</v>
      </c>
    </row>
    <row r="151" spans="1:33" ht="11.25" customHeight="1" x14ac:dyDescent="0.3">
      <c r="A151" s="3" t="s">
        <v>21</v>
      </c>
      <c r="B151" s="3" t="s">
        <v>39</v>
      </c>
      <c r="C151" s="3" t="s">
        <v>40</v>
      </c>
      <c r="D151" s="3" t="s">
        <v>38</v>
      </c>
      <c r="E151" s="3" t="s">
        <v>25</v>
      </c>
      <c r="F151" s="3" t="s">
        <v>25</v>
      </c>
      <c r="G151" s="3" t="s">
        <v>25</v>
      </c>
      <c r="H151" s="3" t="s">
        <v>25</v>
      </c>
      <c r="I151" s="6">
        <v>44440</v>
      </c>
      <c r="J151" s="4">
        <v>3201</v>
      </c>
      <c r="K151" s="4">
        <v>3201</v>
      </c>
      <c r="L151" s="4">
        <v>0</v>
      </c>
      <c r="M151" s="4">
        <v>0</v>
      </c>
      <c r="N151" s="4">
        <v>0</v>
      </c>
      <c r="O151" s="4">
        <v>0</v>
      </c>
      <c r="P151" s="4">
        <v>20</v>
      </c>
      <c r="Q151" s="3" t="s">
        <v>26</v>
      </c>
      <c r="R151" s="3">
        <v>0</v>
      </c>
      <c r="S151" s="4">
        <v>9</v>
      </c>
      <c r="T151" s="4">
        <v>0</v>
      </c>
      <c r="U151" s="4">
        <v>0</v>
      </c>
      <c r="V151" s="4">
        <f>IF(ISERROR(VLOOKUP($S$151,'TAR FIN'!$A$1:$O$91,15,0)),0,VLOOKUP($S$151,'TAR FIN'!$A$1:$O$91,15,0))</f>
        <v>33.97</v>
      </c>
      <c r="W151" s="4">
        <f>IF(ISERROR(VLOOKUP($T$151,'TAR FIN'!$A$1:$O$91,15,0)),0,VLOOKUP($T$151,'TAR FIN'!$A$1:$O$91,15,0))</f>
        <v>0</v>
      </c>
      <c r="X151" s="4">
        <f>IF(ISERROR(VLOOKUP($U$151,'TAR FIN'!$A$1:$O$91,15,0)),0,VLOOKUP($U$151,'TAR FIN'!$A$1:$O$91,15,0))</f>
        <v>0</v>
      </c>
      <c r="Y151" s="4">
        <f ca="1">('TUSD BE'!$AM$13+'TUSD BF'!$AM$13+'TUSD CVA'!$AM$13)*1</f>
        <v>39.117234382623039</v>
      </c>
      <c r="Z151" s="4"/>
      <c r="AA151" s="4"/>
      <c r="AB151" s="4">
        <f>$K$151*$V$151</f>
        <v>108737.97</v>
      </c>
      <c r="AC151" s="4">
        <f>$M$151*$W$151</f>
        <v>0</v>
      </c>
      <c r="AD151" s="4">
        <f>$O$151*$X$151</f>
        <v>0</v>
      </c>
      <c r="AE151" s="4">
        <f ca="1">$K$151*$Y$151</f>
        <v>125214.26725877635</v>
      </c>
      <c r="AF151" s="4">
        <f>$M$151*$Z$151</f>
        <v>0</v>
      </c>
      <c r="AG151" s="4">
        <f>$O$151*$AA$151</f>
        <v>0</v>
      </c>
    </row>
    <row r="152" spans="1:33" ht="11.25" customHeight="1" x14ac:dyDescent="0.3">
      <c r="A152" s="3" t="s">
        <v>21</v>
      </c>
      <c r="B152" s="3" t="s">
        <v>39</v>
      </c>
      <c r="C152" s="3" t="s">
        <v>40</v>
      </c>
      <c r="D152" s="3" t="s">
        <v>38</v>
      </c>
      <c r="E152" s="3" t="s">
        <v>25</v>
      </c>
      <c r="F152" s="3" t="s">
        <v>25</v>
      </c>
      <c r="G152" s="3" t="s">
        <v>25</v>
      </c>
      <c r="H152" s="3" t="s">
        <v>25</v>
      </c>
      <c r="I152" s="6">
        <v>44470</v>
      </c>
      <c r="J152" s="4">
        <v>3185</v>
      </c>
      <c r="K152" s="4">
        <v>3185</v>
      </c>
      <c r="L152" s="4">
        <v>0</v>
      </c>
      <c r="M152" s="4">
        <v>0</v>
      </c>
      <c r="N152" s="4">
        <v>0</v>
      </c>
      <c r="O152" s="4">
        <v>0</v>
      </c>
      <c r="P152" s="4">
        <v>20</v>
      </c>
      <c r="Q152" s="3" t="s">
        <v>26</v>
      </c>
      <c r="R152" s="3">
        <v>0</v>
      </c>
      <c r="S152" s="4">
        <v>9</v>
      </c>
      <c r="T152" s="4">
        <v>0</v>
      </c>
      <c r="U152" s="4">
        <v>0</v>
      </c>
      <c r="V152" s="4">
        <f>IF(ISERROR(VLOOKUP($S$152,'TAR FIN'!$A$1:$O$91,15,0)),0,VLOOKUP($S$152,'TAR FIN'!$A$1:$O$91,15,0))</f>
        <v>33.97</v>
      </c>
      <c r="W152" s="4">
        <f>IF(ISERROR(VLOOKUP($T$152,'TAR FIN'!$A$1:$O$91,15,0)),0,VLOOKUP($T$152,'TAR FIN'!$A$1:$O$91,15,0))</f>
        <v>0</v>
      </c>
      <c r="X152" s="4">
        <f>IF(ISERROR(VLOOKUP($U$152,'TAR FIN'!$A$1:$O$91,15,0)),0,VLOOKUP($U$152,'TAR FIN'!$A$1:$O$91,15,0))</f>
        <v>0</v>
      </c>
      <c r="Y152" s="4">
        <f ca="1">('TUSD BE'!$AM$13+'TUSD BF'!$AM$13+'TUSD CVA'!$AM$13)*1</f>
        <v>39.117234382623039</v>
      </c>
      <c r="Z152" s="4"/>
      <c r="AA152" s="4"/>
      <c r="AB152" s="4">
        <f>$K$152*$V$152</f>
        <v>108194.45</v>
      </c>
      <c r="AC152" s="4">
        <f>$M$152*$W$152</f>
        <v>0</v>
      </c>
      <c r="AD152" s="4">
        <f>$O$152*$X$152</f>
        <v>0</v>
      </c>
      <c r="AE152" s="4">
        <f ca="1">$K$152*$Y$152</f>
        <v>124588.39150865439</v>
      </c>
      <c r="AF152" s="4">
        <f>$M$152*$Z$152</f>
        <v>0</v>
      </c>
      <c r="AG152" s="4">
        <f>$O$152*$AA$152</f>
        <v>0</v>
      </c>
    </row>
    <row r="153" spans="1:33" ht="11.25" customHeight="1" x14ac:dyDescent="0.3">
      <c r="A153" s="3" t="s">
        <v>21</v>
      </c>
      <c r="B153" s="3" t="s">
        <v>39</v>
      </c>
      <c r="C153" s="3" t="s">
        <v>40</v>
      </c>
      <c r="D153" s="3" t="s">
        <v>38</v>
      </c>
      <c r="E153" s="3" t="s">
        <v>25</v>
      </c>
      <c r="F153" s="3" t="s">
        <v>25</v>
      </c>
      <c r="G153" s="3" t="s">
        <v>25</v>
      </c>
      <c r="H153" s="3" t="s">
        <v>25</v>
      </c>
      <c r="I153" s="6">
        <v>44501</v>
      </c>
      <c r="J153" s="4">
        <v>3171</v>
      </c>
      <c r="K153" s="4">
        <v>3171</v>
      </c>
      <c r="L153" s="4">
        <v>0</v>
      </c>
      <c r="M153" s="4">
        <v>0</v>
      </c>
      <c r="N153" s="4">
        <v>0</v>
      </c>
      <c r="O153" s="4">
        <v>0</v>
      </c>
      <c r="P153" s="4">
        <v>19</v>
      </c>
      <c r="Q153" s="3" t="s">
        <v>26</v>
      </c>
      <c r="R153" s="3">
        <v>0</v>
      </c>
      <c r="S153" s="4">
        <v>9</v>
      </c>
      <c r="T153" s="4">
        <v>0</v>
      </c>
      <c r="U153" s="4">
        <v>0</v>
      </c>
      <c r="V153" s="4">
        <f>IF(ISERROR(VLOOKUP($S$153,'TAR FIN'!$A$1:$O$91,15,0)),0,VLOOKUP($S$153,'TAR FIN'!$A$1:$O$91,15,0))</f>
        <v>33.97</v>
      </c>
      <c r="W153" s="4">
        <f>IF(ISERROR(VLOOKUP($T$153,'TAR FIN'!$A$1:$O$91,15,0)),0,VLOOKUP($T$153,'TAR FIN'!$A$1:$O$91,15,0))</f>
        <v>0</v>
      </c>
      <c r="X153" s="4">
        <f>IF(ISERROR(VLOOKUP($U$153,'TAR FIN'!$A$1:$O$91,15,0)),0,VLOOKUP($U$153,'TAR FIN'!$A$1:$O$91,15,0))</f>
        <v>0</v>
      </c>
      <c r="Y153" s="4">
        <f ca="1">('TUSD BE'!$AM$13+'TUSD BF'!$AM$13+'TUSD CVA'!$AM$13)*1</f>
        <v>39.117234382623039</v>
      </c>
      <c r="Z153" s="4"/>
      <c r="AA153" s="4"/>
      <c r="AB153" s="4">
        <f>$K$153*$V$153</f>
        <v>107718.87</v>
      </c>
      <c r="AC153" s="4">
        <f>$M$153*$W$153</f>
        <v>0</v>
      </c>
      <c r="AD153" s="4">
        <f>$O$153*$X$153</f>
        <v>0</v>
      </c>
      <c r="AE153" s="4">
        <f ca="1">$K$153*$Y$153</f>
        <v>124040.75022729766</v>
      </c>
      <c r="AF153" s="4">
        <f>$M$153*$Z$153</f>
        <v>0</v>
      </c>
      <c r="AG153" s="4">
        <f>$O$153*$AA$153</f>
        <v>0</v>
      </c>
    </row>
    <row r="154" spans="1:33" ht="11.25" customHeight="1" x14ac:dyDescent="0.3">
      <c r="A154" s="3" t="s">
        <v>21</v>
      </c>
      <c r="B154" s="3" t="s">
        <v>39</v>
      </c>
      <c r="C154" s="3" t="s">
        <v>40</v>
      </c>
      <c r="D154" s="3" t="s">
        <v>38</v>
      </c>
      <c r="E154" s="3" t="s">
        <v>25</v>
      </c>
      <c r="F154" s="3" t="s">
        <v>25</v>
      </c>
      <c r="G154" s="3" t="s">
        <v>25</v>
      </c>
      <c r="H154" s="3" t="s">
        <v>25</v>
      </c>
      <c r="I154" s="6">
        <v>44531</v>
      </c>
      <c r="J154" s="4">
        <v>2834</v>
      </c>
      <c r="K154" s="4">
        <v>2834</v>
      </c>
      <c r="L154" s="4">
        <v>0</v>
      </c>
      <c r="M154" s="4">
        <v>0</v>
      </c>
      <c r="N154" s="4">
        <v>0</v>
      </c>
      <c r="O154" s="4">
        <v>0</v>
      </c>
      <c r="P154" s="4">
        <v>18</v>
      </c>
      <c r="Q154" s="3" t="s">
        <v>26</v>
      </c>
      <c r="R154" s="3">
        <v>0</v>
      </c>
      <c r="S154" s="4">
        <v>9</v>
      </c>
      <c r="T154" s="4">
        <v>0</v>
      </c>
      <c r="U154" s="4">
        <v>0</v>
      </c>
      <c r="V154" s="4">
        <f>IF(ISERROR(VLOOKUP($S$154,'TAR FIN'!$A$1:$O$91,15,0)),0,VLOOKUP($S$154,'TAR FIN'!$A$1:$O$91,15,0))</f>
        <v>33.97</v>
      </c>
      <c r="W154" s="4">
        <f>IF(ISERROR(VLOOKUP($T$154,'TAR FIN'!$A$1:$O$91,15,0)),0,VLOOKUP($T$154,'TAR FIN'!$A$1:$O$91,15,0))</f>
        <v>0</v>
      </c>
      <c r="X154" s="4">
        <f>IF(ISERROR(VLOOKUP($U$154,'TAR FIN'!$A$1:$O$91,15,0)),0,VLOOKUP($U$154,'TAR FIN'!$A$1:$O$91,15,0))</f>
        <v>0</v>
      </c>
      <c r="Y154" s="4">
        <f ca="1">('TUSD BE'!$AM$13+'TUSD BF'!$AM$13+'TUSD CVA'!$AM$13)*1</f>
        <v>39.117234382623039</v>
      </c>
      <c r="Z154" s="4"/>
      <c r="AA154" s="4"/>
      <c r="AB154" s="4">
        <f>$K$154*$V$154</f>
        <v>96270.98</v>
      </c>
      <c r="AC154" s="4">
        <f>$M$154*$W$154</f>
        <v>0</v>
      </c>
      <c r="AD154" s="4">
        <f>$O$154*$X$154</f>
        <v>0</v>
      </c>
      <c r="AE154" s="4">
        <f ca="1">$K$154*$Y$154</f>
        <v>110858.24224035369</v>
      </c>
      <c r="AF154" s="4">
        <f>$M$154*$Z$154</f>
        <v>0</v>
      </c>
      <c r="AG154" s="4">
        <f>$O$154*$AA$154</f>
        <v>0</v>
      </c>
    </row>
    <row r="155" spans="1:33" ht="11.25" customHeight="1" x14ac:dyDescent="0.3">
      <c r="A155" s="3" t="s">
        <v>28</v>
      </c>
      <c r="B155" s="3" t="s">
        <v>39</v>
      </c>
      <c r="C155" s="3" t="s">
        <v>40</v>
      </c>
      <c r="D155" s="3" t="s">
        <v>38</v>
      </c>
      <c r="E155" s="3" t="s">
        <v>25</v>
      </c>
      <c r="F155" s="3" t="s">
        <v>25</v>
      </c>
      <c r="G155" s="3" t="s">
        <v>25</v>
      </c>
      <c r="H155" s="3" t="s">
        <v>25</v>
      </c>
      <c r="I155" s="6">
        <v>44531</v>
      </c>
      <c r="J155" s="4">
        <v>290</v>
      </c>
      <c r="K155" s="4">
        <v>290</v>
      </c>
      <c r="L155" s="4">
        <v>0</v>
      </c>
      <c r="M155" s="4">
        <v>0</v>
      </c>
      <c r="N155" s="4">
        <v>0</v>
      </c>
      <c r="O155" s="4">
        <v>0</v>
      </c>
      <c r="P155" s="4">
        <v>1</v>
      </c>
      <c r="Q155" s="3" t="s">
        <v>26</v>
      </c>
      <c r="R155" s="3">
        <v>0</v>
      </c>
      <c r="S155" s="4">
        <v>9</v>
      </c>
      <c r="T155" s="4">
        <v>0</v>
      </c>
      <c r="U155" s="4">
        <v>0</v>
      </c>
      <c r="V155" s="4">
        <f>IF(ISERROR(VLOOKUP($S$155,'TAR FIN'!$A$1:$O$91,15,0)),0,VLOOKUP($S$155,'TAR FIN'!$A$1:$O$91,15,0))</f>
        <v>33.97</v>
      </c>
      <c r="W155" s="4">
        <f>IF(ISERROR(VLOOKUP($T$155,'TAR FIN'!$A$1:$O$91,15,0)),0,VLOOKUP($T$155,'TAR FIN'!$A$1:$O$91,15,0))</f>
        <v>0</v>
      </c>
      <c r="X155" s="4">
        <f>IF(ISERROR(VLOOKUP($U$155,'TAR FIN'!$A$1:$O$91,15,0)),0,VLOOKUP($U$155,'TAR FIN'!$A$1:$O$91,15,0))</f>
        <v>0</v>
      </c>
      <c r="Y155" s="4">
        <f ca="1">('TUSD BE'!$AM$13+'TUSD BF'!$AM$13+'TUSD CVA'!$AM$13)*1</f>
        <v>39.117234382623039</v>
      </c>
      <c r="Z155" s="4"/>
      <c r="AA155" s="4"/>
      <c r="AB155" s="4">
        <f>$K$155*$V$155</f>
        <v>9851.2999999999993</v>
      </c>
      <c r="AC155" s="4">
        <f>$M$155*$W$155</f>
        <v>0</v>
      </c>
      <c r="AD155" s="4">
        <f>$O$155*$X$155</f>
        <v>0</v>
      </c>
      <c r="AE155" s="4">
        <f ca="1">$K$155*$Y$155</f>
        <v>11343.997970960681</v>
      </c>
      <c r="AF155" s="4">
        <f>$M$155*$Z$155</f>
        <v>0</v>
      </c>
      <c r="AG155" s="4">
        <f>$O$155*$AA$155</f>
        <v>0</v>
      </c>
    </row>
    <row r="156" spans="1:33" ht="11.25" customHeight="1" x14ac:dyDescent="0.3">
      <c r="A156" s="3" t="s">
        <v>21</v>
      </c>
      <c r="B156" s="3" t="s">
        <v>39</v>
      </c>
      <c r="C156" s="3" t="s">
        <v>40</v>
      </c>
      <c r="D156" s="3" t="s">
        <v>38</v>
      </c>
      <c r="E156" s="3" t="s">
        <v>25</v>
      </c>
      <c r="F156" s="3" t="s">
        <v>25</v>
      </c>
      <c r="G156" s="3" t="s">
        <v>25</v>
      </c>
      <c r="H156" s="3" t="s">
        <v>25</v>
      </c>
      <c r="I156" s="6">
        <v>44562</v>
      </c>
      <c r="J156" s="4">
        <v>2862</v>
      </c>
      <c r="K156" s="4">
        <v>2862</v>
      </c>
      <c r="L156" s="4">
        <v>0</v>
      </c>
      <c r="M156" s="4">
        <v>0</v>
      </c>
      <c r="N156" s="4">
        <v>0</v>
      </c>
      <c r="O156" s="4">
        <v>0</v>
      </c>
      <c r="P156" s="4">
        <v>18</v>
      </c>
      <c r="Q156" s="3" t="s">
        <v>26</v>
      </c>
      <c r="R156" s="3">
        <v>0</v>
      </c>
      <c r="S156" s="4">
        <v>9</v>
      </c>
      <c r="T156" s="4">
        <v>0</v>
      </c>
      <c r="U156" s="4">
        <v>0</v>
      </c>
      <c r="V156" s="4">
        <f>IF(ISERROR(VLOOKUP($S$156,'TAR FIN'!$A$1:$O$91,15,0)),0,VLOOKUP($S$156,'TAR FIN'!$A$1:$O$91,15,0))</f>
        <v>33.97</v>
      </c>
      <c r="W156" s="4">
        <f>IF(ISERROR(VLOOKUP($T$156,'TAR FIN'!$A$1:$O$91,15,0)),0,VLOOKUP($T$156,'TAR FIN'!$A$1:$O$91,15,0))</f>
        <v>0</v>
      </c>
      <c r="X156" s="4">
        <f>IF(ISERROR(VLOOKUP($U$156,'TAR FIN'!$A$1:$O$91,15,0)),0,VLOOKUP($U$156,'TAR FIN'!$A$1:$O$91,15,0))</f>
        <v>0</v>
      </c>
      <c r="Y156" s="4">
        <f ca="1">('TUSD BE'!$AM$13+'TUSD BF'!$AM$13+'TUSD CVA'!$AM$13)*1</f>
        <v>39.117234382623039</v>
      </c>
      <c r="Z156" s="4"/>
      <c r="AA156" s="4"/>
      <c r="AB156" s="4">
        <f>$K$156*$V$156</f>
        <v>97222.14</v>
      </c>
      <c r="AC156" s="4">
        <f>$M$156*$W$156</f>
        <v>0</v>
      </c>
      <c r="AD156" s="4">
        <f>$O$156*$X$156</f>
        <v>0</v>
      </c>
      <c r="AE156" s="4">
        <f ca="1">$K$156*$Y$156</f>
        <v>111953.52480306714</v>
      </c>
      <c r="AF156" s="4">
        <f>$M$156*$Z$156</f>
        <v>0</v>
      </c>
      <c r="AG156" s="4">
        <f>$O$156*$AA$156</f>
        <v>0</v>
      </c>
    </row>
    <row r="157" spans="1:33" ht="11.25" customHeight="1" x14ac:dyDescent="0.3">
      <c r="A157" s="3" t="s">
        <v>27</v>
      </c>
      <c r="B157" s="3" t="s">
        <v>39</v>
      </c>
      <c r="C157" s="3" t="s">
        <v>40</v>
      </c>
      <c r="D157" s="3" t="s">
        <v>38</v>
      </c>
      <c r="E157" s="3" t="s">
        <v>25</v>
      </c>
      <c r="F157" s="3" t="s">
        <v>25</v>
      </c>
      <c r="G157" s="3" t="s">
        <v>25</v>
      </c>
      <c r="H157" s="3" t="s">
        <v>25</v>
      </c>
      <c r="I157" s="6">
        <v>44562</v>
      </c>
      <c r="J157" s="4">
        <v>-40</v>
      </c>
      <c r="K157" s="4">
        <v>-40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26</v>
      </c>
      <c r="R157" s="3">
        <v>0</v>
      </c>
      <c r="S157" s="4">
        <v>9</v>
      </c>
      <c r="T157" s="4">
        <v>0</v>
      </c>
      <c r="U157" s="4">
        <v>0</v>
      </c>
      <c r="V157" s="4">
        <f>IF(ISERROR(VLOOKUP($S$157,'TAR FIN'!$A$1:$O$91,15,0)),0,VLOOKUP($S$157,'TAR FIN'!$A$1:$O$91,15,0))</f>
        <v>33.97</v>
      </c>
      <c r="W157" s="4">
        <f>IF(ISERROR(VLOOKUP($T$157,'TAR FIN'!$A$1:$O$91,15,0)),0,VLOOKUP($T$157,'TAR FIN'!$A$1:$O$91,15,0))</f>
        <v>0</v>
      </c>
      <c r="X157" s="4">
        <f>IF(ISERROR(VLOOKUP($U$157,'TAR FIN'!$A$1:$O$91,15,0)),0,VLOOKUP($U$157,'TAR FIN'!$A$1:$O$91,15,0))</f>
        <v>0</v>
      </c>
      <c r="Y157" s="4">
        <f ca="1">('TUSD BE'!$AM$13+'TUSD BF'!$AM$13+'TUSD CVA'!$AM$13)*1</f>
        <v>39.117234382623039</v>
      </c>
      <c r="Z157" s="4"/>
      <c r="AA157" s="4"/>
      <c r="AB157" s="4">
        <f>$K$157*$V$157</f>
        <v>-1358.8</v>
      </c>
      <c r="AC157" s="4">
        <f>$M$157*$W$157</f>
        <v>0</v>
      </c>
      <c r="AD157" s="4">
        <f>$O$157*$X$157</f>
        <v>0</v>
      </c>
      <c r="AE157" s="4">
        <f ca="1">$K$157*$Y$157</f>
        <v>-1564.6893753049217</v>
      </c>
      <c r="AF157" s="4">
        <f>$M$157*$Z$157</f>
        <v>0</v>
      </c>
      <c r="AG157" s="4">
        <f>$O$157*$AA$157</f>
        <v>0</v>
      </c>
    </row>
    <row r="158" spans="1:33" ht="11.25" customHeight="1" x14ac:dyDescent="0.3">
      <c r="A158" s="3" t="s">
        <v>28</v>
      </c>
      <c r="B158" s="3" t="s">
        <v>39</v>
      </c>
      <c r="C158" s="3" t="s">
        <v>40</v>
      </c>
      <c r="D158" s="3" t="s">
        <v>38</v>
      </c>
      <c r="E158" s="3" t="s">
        <v>25</v>
      </c>
      <c r="F158" s="3" t="s">
        <v>25</v>
      </c>
      <c r="G158" s="3" t="s">
        <v>25</v>
      </c>
      <c r="H158" s="3" t="s">
        <v>25</v>
      </c>
      <c r="I158" s="6">
        <v>44562</v>
      </c>
      <c r="J158" s="4">
        <v>268</v>
      </c>
      <c r="K158" s="4">
        <v>268</v>
      </c>
      <c r="L158" s="4">
        <v>0</v>
      </c>
      <c r="M158" s="4">
        <v>0</v>
      </c>
      <c r="N158" s="4">
        <v>0</v>
      </c>
      <c r="O158" s="4">
        <v>0</v>
      </c>
      <c r="P158" s="4">
        <v>1</v>
      </c>
      <c r="Q158" s="3" t="s">
        <v>26</v>
      </c>
      <c r="R158" s="3">
        <v>0</v>
      </c>
      <c r="S158" s="4">
        <v>9</v>
      </c>
      <c r="T158" s="4">
        <v>0</v>
      </c>
      <c r="U158" s="4">
        <v>0</v>
      </c>
      <c r="V158" s="4">
        <f>IF(ISERROR(VLOOKUP($S$158,'TAR FIN'!$A$1:$O$91,15,0)),0,VLOOKUP($S$158,'TAR FIN'!$A$1:$O$91,15,0))</f>
        <v>33.97</v>
      </c>
      <c r="W158" s="4">
        <f>IF(ISERROR(VLOOKUP($T$158,'TAR FIN'!$A$1:$O$91,15,0)),0,VLOOKUP($T$158,'TAR FIN'!$A$1:$O$91,15,0))</f>
        <v>0</v>
      </c>
      <c r="X158" s="4">
        <f>IF(ISERROR(VLOOKUP($U$158,'TAR FIN'!$A$1:$O$91,15,0)),0,VLOOKUP($U$158,'TAR FIN'!$A$1:$O$91,15,0))</f>
        <v>0</v>
      </c>
      <c r="Y158" s="4">
        <f ca="1">('TUSD BE'!$AM$13+'TUSD BF'!$AM$13+'TUSD CVA'!$AM$13)*1</f>
        <v>39.117234382623039</v>
      </c>
      <c r="Z158" s="4"/>
      <c r="AA158" s="4"/>
      <c r="AB158" s="4">
        <f>$K$158*$V$158</f>
        <v>9103.9599999999991</v>
      </c>
      <c r="AC158" s="4">
        <f>$M$158*$W$158</f>
        <v>0</v>
      </c>
      <c r="AD158" s="4">
        <f>$O$158*$X$158</f>
        <v>0</v>
      </c>
      <c r="AE158" s="4">
        <f ca="1">$K$158*$Y$158</f>
        <v>10483.418814542974</v>
      </c>
      <c r="AF158" s="4">
        <f>$M$158*$Z$158</f>
        <v>0</v>
      </c>
      <c r="AG158" s="4">
        <f>$O$158*$AA$158</f>
        <v>0</v>
      </c>
    </row>
    <row r="159" spans="1:33" ht="11.25" customHeight="1" x14ac:dyDescent="0.3">
      <c r="A159" s="3" t="s">
        <v>21</v>
      </c>
      <c r="B159" s="3" t="s">
        <v>39</v>
      </c>
      <c r="C159" s="3" t="s">
        <v>40</v>
      </c>
      <c r="D159" s="3" t="s">
        <v>38</v>
      </c>
      <c r="E159" s="3" t="s">
        <v>25</v>
      </c>
      <c r="F159" s="3" t="s">
        <v>25</v>
      </c>
      <c r="G159" s="3" t="s">
        <v>25</v>
      </c>
      <c r="H159" s="3" t="s">
        <v>25</v>
      </c>
      <c r="I159" s="6">
        <v>44593</v>
      </c>
      <c r="J159" s="4">
        <v>3012</v>
      </c>
      <c r="K159" s="4">
        <v>3012</v>
      </c>
      <c r="L159" s="4">
        <v>0</v>
      </c>
      <c r="M159" s="4">
        <v>0</v>
      </c>
      <c r="N159" s="4">
        <v>0</v>
      </c>
      <c r="O159" s="4">
        <v>0</v>
      </c>
      <c r="P159" s="4">
        <v>19</v>
      </c>
      <c r="Q159" s="3" t="s">
        <v>26</v>
      </c>
      <c r="R159" s="3">
        <v>0</v>
      </c>
      <c r="S159" s="4">
        <v>9</v>
      </c>
      <c r="T159" s="4">
        <v>0</v>
      </c>
      <c r="U159" s="4">
        <v>0</v>
      </c>
      <c r="V159" s="4">
        <f>IF(ISERROR(VLOOKUP($S$159,'TAR FIN'!$A$1:$O$91,15,0)),0,VLOOKUP($S$159,'TAR FIN'!$A$1:$O$91,15,0))</f>
        <v>33.97</v>
      </c>
      <c r="W159" s="4">
        <f>IF(ISERROR(VLOOKUP($T$159,'TAR FIN'!$A$1:$O$91,15,0)),0,VLOOKUP($T$159,'TAR FIN'!$A$1:$O$91,15,0))</f>
        <v>0</v>
      </c>
      <c r="X159" s="4">
        <f>IF(ISERROR(VLOOKUP($U$159,'TAR FIN'!$A$1:$O$91,15,0)),0,VLOOKUP($U$159,'TAR FIN'!$A$1:$O$91,15,0))</f>
        <v>0</v>
      </c>
      <c r="Y159" s="4">
        <f ca="1">('TUSD BE'!$AM$13+'TUSD BF'!$AM$13+'TUSD CVA'!$AM$13)*1</f>
        <v>39.117234382623039</v>
      </c>
      <c r="Z159" s="4"/>
      <c r="AA159" s="4"/>
      <c r="AB159" s="4">
        <f>$K$159*$V$159</f>
        <v>102317.64</v>
      </c>
      <c r="AC159" s="4">
        <f>$M$159*$W$159</f>
        <v>0</v>
      </c>
      <c r="AD159" s="4">
        <f>$O$159*$X$159</f>
        <v>0</v>
      </c>
      <c r="AE159" s="4">
        <f ca="1">$K$159*$Y$159</f>
        <v>117821.1099604606</v>
      </c>
      <c r="AF159" s="4">
        <f>$M$159*$Z$159</f>
        <v>0</v>
      </c>
      <c r="AG159" s="4">
        <f>$O$159*$AA$159</f>
        <v>0</v>
      </c>
    </row>
    <row r="160" spans="1:33" ht="11.25" customHeight="1" x14ac:dyDescent="0.3">
      <c r="A160" s="3" t="s">
        <v>28</v>
      </c>
      <c r="B160" s="3" t="s">
        <v>39</v>
      </c>
      <c r="C160" s="3" t="s">
        <v>40</v>
      </c>
      <c r="D160" s="3" t="s">
        <v>38</v>
      </c>
      <c r="E160" s="3" t="s">
        <v>25</v>
      </c>
      <c r="F160" s="3" t="s">
        <v>25</v>
      </c>
      <c r="G160" s="3" t="s">
        <v>25</v>
      </c>
      <c r="H160" s="3" t="s">
        <v>25</v>
      </c>
      <c r="I160" s="6">
        <v>44593</v>
      </c>
      <c r="J160" s="4">
        <v>262</v>
      </c>
      <c r="K160" s="4">
        <v>262</v>
      </c>
      <c r="L160" s="4">
        <v>0</v>
      </c>
      <c r="M160" s="4">
        <v>0</v>
      </c>
      <c r="N160" s="4">
        <v>0</v>
      </c>
      <c r="O160" s="4">
        <v>0</v>
      </c>
      <c r="P160" s="4">
        <v>1</v>
      </c>
      <c r="Q160" s="3" t="s">
        <v>26</v>
      </c>
      <c r="R160" s="3">
        <v>0</v>
      </c>
      <c r="S160" s="4">
        <v>9</v>
      </c>
      <c r="T160" s="4">
        <v>0</v>
      </c>
      <c r="U160" s="4">
        <v>0</v>
      </c>
      <c r="V160" s="4">
        <f>IF(ISERROR(VLOOKUP($S$160,'TAR FIN'!$A$1:$O$91,15,0)),0,VLOOKUP($S$160,'TAR FIN'!$A$1:$O$91,15,0))</f>
        <v>33.97</v>
      </c>
      <c r="W160" s="4">
        <f>IF(ISERROR(VLOOKUP($T$160,'TAR FIN'!$A$1:$O$91,15,0)),0,VLOOKUP($T$160,'TAR FIN'!$A$1:$O$91,15,0))</f>
        <v>0</v>
      </c>
      <c r="X160" s="4">
        <f>IF(ISERROR(VLOOKUP($U$160,'TAR FIN'!$A$1:$O$91,15,0)),0,VLOOKUP($U$160,'TAR FIN'!$A$1:$O$91,15,0))</f>
        <v>0</v>
      </c>
      <c r="Y160" s="4">
        <f ca="1">('TUSD BE'!$AM$13+'TUSD BF'!$AM$13+'TUSD CVA'!$AM$13)*1</f>
        <v>39.117234382623039</v>
      </c>
      <c r="Z160" s="4"/>
      <c r="AA160" s="4"/>
      <c r="AB160" s="4">
        <f>$K$160*$V$160</f>
        <v>8900.14</v>
      </c>
      <c r="AC160" s="4">
        <f>$M$160*$W$160</f>
        <v>0</v>
      </c>
      <c r="AD160" s="4">
        <f>$O$160*$X$160</f>
        <v>0</v>
      </c>
      <c r="AE160" s="4">
        <f ca="1">$K$160*$Y$160</f>
        <v>10248.715408247237</v>
      </c>
      <c r="AF160" s="4">
        <f>$M$160*$Z$160</f>
        <v>0</v>
      </c>
      <c r="AG160" s="4">
        <f>$O$160*$AA$160</f>
        <v>0</v>
      </c>
    </row>
    <row r="161" spans="1:33" ht="11.25" customHeight="1" x14ac:dyDescent="0.3">
      <c r="A161" s="3" t="s">
        <v>21</v>
      </c>
      <c r="B161" s="3" t="s">
        <v>39</v>
      </c>
      <c r="C161" s="3" t="s">
        <v>40</v>
      </c>
      <c r="D161" s="3" t="s">
        <v>38</v>
      </c>
      <c r="E161" s="3" t="s">
        <v>25</v>
      </c>
      <c r="F161" s="3" t="s">
        <v>25</v>
      </c>
      <c r="G161" s="3" t="s">
        <v>25</v>
      </c>
      <c r="H161" s="3" t="s">
        <v>25</v>
      </c>
      <c r="I161" s="6">
        <v>44621</v>
      </c>
      <c r="J161" s="4">
        <v>3139</v>
      </c>
      <c r="K161" s="4">
        <v>3139</v>
      </c>
      <c r="L161" s="4">
        <v>0</v>
      </c>
      <c r="M161" s="4">
        <v>0</v>
      </c>
      <c r="N161" s="4">
        <v>0</v>
      </c>
      <c r="O161" s="4">
        <v>0</v>
      </c>
      <c r="P161" s="4">
        <v>19</v>
      </c>
      <c r="Q161" s="3" t="s">
        <v>26</v>
      </c>
      <c r="R161" s="3">
        <v>0</v>
      </c>
      <c r="S161" s="4">
        <v>9</v>
      </c>
      <c r="T161" s="4">
        <v>0</v>
      </c>
      <c r="U161" s="4">
        <v>0</v>
      </c>
      <c r="V161" s="4">
        <f>IF(ISERROR(VLOOKUP($S$161,'TAR FIN'!$A$1:$O$91,15,0)),0,VLOOKUP($S$161,'TAR FIN'!$A$1:$O$91,15,0))</f>
        <v>33.97</v>
      </c>
      <c r="W161" s="4">
        <f>IF(ISERROR(VLOOKUP($T$161,'TAR FIN'!$A$1:$O$91,15,0)),0,VLOOKUP($T$161,'TAR FIN'!$A$1:$O$91,15,0))</f>
        <v>0</v>
      </c>
      <c r="X161" s="4">
        <f>IF(ISERROR(VLOOKUP($U$161,'TAR FIN'!$A$1:$O$91,15,0)),0,VLOOKUP($U$161,'TAR FIN'!$A$1:$O$91,15,0))</f>
        <v>0</v>
      </c>
      <c r="Y161" s="4">
        <f ca="1">('TUSD BE'!$AM$13+'TUSD BF'!$AM$13+'TUSD CVA'!$AM$13)*1</f>
        <v>39.117234382623039</v>
      </c>
      <c r="Z161" s="4"/>
      <c r="AA161" s="4"/>
      <c r="AB161" s="4">
        <f>$K$161*$V$161</f>
        <v>106631.83</v>
      </c>
      <c r="AC161" s="4">
        <f>$M$161*$W$161</f>
        <v>0</v>
      </c>
      <c r="AD161" s="4">
        <f>$O$161*$X$161</f>
        <v>0</v>
      </c>
      <c r="AE161" s="4">
        <f ca="1">$K$161*$Y$161</f>
        <v>122788.99872705372</v>
      </c>
      <c r="AF161" s="4">
        <f>$M$161*$Z$161</f>
        <v>0</v>
      </c>
      <c r="AG161" s="4">
        <f>$O$161*$AA$161</f>
        <v>0</v>
      </c>
    </row>
    <row r="162" spans="1:33" ht="11.25" customHeight="1" x14ac:dyDescent="0.3">
      <c r="A162" s="3" t="s">
        <v>28</v>
      </c>
      <c r="B162" s="3" t="s">
        <v>39</v>
      </c>
      <c r="C162" s="3" t="s">
        <v>40</v>
      </c>
      <c r="D162" s="3" t="s">
        <v>38</v>
      </c>
      <c r="E162" s="3" t="s">
        <v>25</v>
      </c>
      <c r="F162" s="3" t="s">
        <v>25</v>
      </c>
      <c r="G162" s="3" t="s">
        <v>25</v>
      </c>
      <c r="H162" s="3" t="s">
        <v>25</v>
      </c>
      <c r="I162" s="6">
        <v>44621</v>
      </c>
      <c r="J162" s="4">
        <v>282</v>
      </c>
      <c r="K162" s="4">
        <v>282</v>
      </c>
      <c r="L162" s="4">
        <v>0</v>
      </c>
      <c r="M162" s="4">
        <v>0</v>
      </c>
      <c r="N162" s="4">
        <v>0</v>
      </c>
      <c r="O162" s="4">
        <v>0</v>
      </c>
      <c r="P162" s="4">
        <v>1</v>
      </c>
      <c r="Q162" s="3" t="s">
        <v>26</v>
      </c>
      <c r="R162" s="3">
        <v>0</v>
      </c>
      <c r="S162" s="4">
        <v>9</v>
      </c>
      <c r="T162" s="4">
        <v>0</v>
      </c>
      <c r="U162" s="4">
        <v>0</v>
      </c>
      <c r="V162" s="4">
        <f>IF(ISERROR(VLOOKUP($S$162,'TAR FIN'!$A$1:$O$91,15,0)),0,VLOOKUP($S$162,'TAR FIN'!$A$1:$O$91,15,0))</f>
        <v>33.97</v>
      </c>
      <c r="W162" s="4">
        <f>IF(ISERROR(VLOOKUP($T$162,'TAR FIN'!$A$1:$O$91,15,0)),0,VLOOKUP($T$162,'TAR FIN'!$A$1:$O$91,15,0))</f>
        <v>0</v>
      </c>
      <c r="X162" s="4">
        <f>IF(ISERROR(VLOOKUP($U$162,'TAR FIN'!$A$1:$O$91,15,0)),0,VLOOKUP($U$162,'TAR FIN'!$A$1:$O$91,15,0))</f>
        <v>0</v>
      </c>
      <c r="Y162" s="4">
        <f ca="1">('TUSD BE'!$AM$13+'TUSD BF'!$AM$13+'TUSD CVA'!$AM$13)*1</f>
        <v>39.117234382623039</v>
      </c>
      <c r="Z162" s="4"/>
      <c r="AA162" s="4"/>
      <c r="AB162" s="4">
        <f>$K$162*$V$162</f>
        <v>9579.5399999999991</v>
      </c>
      <c r="AC162" s="4">
        <f>$M$162*$W$162</f>
        <v>0</v>
      </c>
      <c r="AD162" s="4">
        <f>$O$162*$X$162</f>
        <v>0</v>
      </c>
      <c r="AE162" s="4">
        <f ca="1">$K$162*$Y$162</f>
        <v>11031.060095899697</v>
      </c>
      <c r="AF162" s="4">
        <f>$M$162*$Z$162</f>
        <v>0</v>
      </c>
      <c r="AG162" s="4">
        <f>$O$162*$AA$162</f>
        <v>0</v>
      </c>
    </row>
    <row r="163" spans="1:33" ht="11.25" customHeight="1" x14ac:dyDescent="0.3">
      <c r="A163" s="3" t="s">
        <v>21</v>
      </c>
      <c r="B163" s="3" t="s">
        <v>39</v>
      </c>
      <c r="C163" s="3" t="s">
        <v>40</v>
      </c>
      <c r="D163" s="3" t="s">
        <v>38</v>
      </c>
      <c r="E163" s="3" t="s">
        <v>25</v>
      </c>
      <c r="F163" s="3" t="s">
        <v>25</v>
      </c>
      <c r="G163" s="3" t="s">
        <v>25</v>
      </c>
      <c r="H163" s="3" t="s">
        <v>25</v>
      </c>
      <c r="I163" s="6">
        <v>44652</v>
      </c>
      <c r="J163" s="4">
        <v>3130</v>
      </c>
      <c r="K163" s="4">
        <v>3130</v>
      </c>
      <c r="L163" s="4">
        <v>0</v>
      </c>
      <c r="M163" s="4">
        <v>0</v>
      </c>
      <c r="N163" s="4">
        <v>0</v>
      </c>
      <c r="O163" s="4">
        <v>0</v>
      </c>
      <c r="P163" s="4">
        <v>19</v>
      </c>
      <c r="Q163" s="3" t="s">
        <v>26</v>
      </c>
      <c r="R163" s="3">
        <v>0</v>
      </c>
      <c r="S163" s="4">
        <v>9</v>
      </c>
      <c r="T163" s="4">
        <v>0</v>
      </c>
      <c r="U163" s="4">
        <v>0</v>
      </c>
      <c r="V163" s="4">
        <f>IF(ISERROR(VLOOKUP($S$163,'TAR FIN'!$A$1:$O$91,15,0)),0,VLOOKUP($S$163,'TAR FIN'!$A$1:$O$91,15,0))</f>
        <v>33.97</v>
      </c>
      <c r="W163" s="4">
        <f>IF(ISERROR(VLOOKUP($T$163,'TAR FIN'!$A$1:$O$91,15,0)),0,VLOOKUP($T$163,'TAR FIN'!$A$1:$O$91,15,0))</f>
        <v>0</v>
      </c>
      <c r="X163" s="4">
        <f>IF(ISERROR(VLOOKUP($U$163,'TAR FIN'!$A$1:$O$91,15,0)),0,VLOOKUP($U$163,'TAR FIN'!$A$1:$O$91,15,0))</f>
        <v>0</v>
      </c>
      <c r="Y163" s="4">
        <f ca="1">('TUSD BE'!$AM$13+'TUSD BF'!$AM$13+'TUSD CVA'!$AM$13)*1</f>
        <v>39.117234382623039</v>
      </c>
      <c r="Z163" s="4"/>
      <c r="AA163" s="4"/>
      <c r="AB163" s="4">
        <f>$K$163*$V$163</f>
        <v>106326.09999999999</v>
      </c>
      <c r="AC163" s="4">
        <f>$M$163*$W$163</f>
        <v>0</v>
      </c>
      <c r="AD163" s="4">
        <f>$O$163*$X$163</f>
        <v>0</v>
      </c>
      <c r="AE163" s="4">
        <f ca="1">$K$163*$Y$163</f>
        <v>122436.94361761012</v>
      </c>
      <c r="AF163" s="4">
        <f>$M$163*$Z$163</f>
        <v>0</v>
      </c>
      <c r="AG163" s="4">
        <f>$O$163*$AA$163</f>
        <v>0</v>
      </c>
    </row>
    <row r="164" spans="1:33" ht="11.25" customHeight="1" x14ac:dyDescent="0.3">
      <c r="A164" s="3" t="s">
        <v>28</v>
      </c>
      <c r="B164" s="3" t="s">
        <v>39</v>
      </c>
      <c r="C164" s="3" t="s">
        <v>40</v>
      </c>
      <c r="D164" s="3" t="s">
        <v>38</v>
      </c>
      <c r="E164" s="3" t="s">
        <v>25</v>
      </c>
      <c r="F164" s="3" t="s">
        <v>25</v>
      </c>
      <c r="G164" s="3" t="s">
        <v>25</v>
      </c>
      <c r="H164" s="3" t="s">
        <v>25</v>
      </c>
      <c r="I164" s="6">
        <v>44652</v>
      </c>
      <c r="J164" s="4">
        <v>348</v>
      </c>
      <c r="K164" s="4">
        <v>348</v>
      </c>
      <c r="L164" s="4">
        <v>0</v>
      </c>
      <c r="M164" s="4">
        <v>0</v>
      </c>
      <c r="N164" s="4">
        <v>0</v>
      </c>
      <c r="O164" s="4">
        <v>0</v>
      </c>
      <c r="P164" s="4">
        <v>1</v>
      </c>
      <c r="Q164" s="3" t="s">
        <v>26</v>
      </c>
      <c r="R164" s="3">
        <v>0</v>
      </c>
      <c r="S164" s="4">
        <v>9</v>
      </c>
      <c r="T164" s="4">
        <v>0</v>
      </c>
      <c r="U164" s="4">
        <v>0</v>
      </c>
      <c r="V164" s="4">
        <f>IF(ISERROR(VLOOKUP($S$164,'TAR FIN'!$A$1:$O$91,15,0)),0,VLOOKUP($S$164,'TAR FIN'!$A$1:$O$91,15,0))</f>
        <v>33.97</v>
      </c>
      <c r="W164" s="4">
        <f>IF(ISERROR(VLOOKUP($T$164,'TAR FIN'!$A$1:$O$91,15,0)),0,VLOOKUP($T$164,'TAR FIN'!$A$1:$O$91,15,0))</f>
        <v>0</v>
      </c>
      <c r="X164" s="4">
        <f>IF(ISERROR(VLOOKUP($U$164,'TAR FIN'!$A$1:$O$91,15,0)),0,VLOOKUP($U$164,'TAR FIN'!$A$1:$O$91,15,0))</f>
        <v>0</v>
      </c>
      <c r="Y164" s="4">
        <f ca="1">('TUSD BE'!$AM$13+'TUSD BF'!$AM$13+'TUSD CVA'!$AM$13)*1</f>
        <v>39.117234382623039</v>
      </c>
      <c r="Z164" s="4"/>
      <c r="AA164" s="4"/>
      <c r="AB164" s="4">
        <f>$K$164*$V$164</f>
        <v>11821.56</v>
      </c>
      <c r="AC164" s="4">
        <f>$M$164*$W$164</f>
        <v>0</v>
      </c>
      <c r="AD164" s="4">
        <f>$O$164*$X$164</f>
        <v>0</v>
      </c>
      <c r="AE164" s="4">
        <f ca="1">$K$164*$Y$164</f>
        <v>13612.797565152818</v>
      </c>
      <c r="AF164" s="4">
        <f>$M$164*$Z$164</f>
        <v>0</v>
      </c>
      <c r="AG164" s="4">
        <f>$O$164*$AA$164</f>
        <v>0</v>
      </c>
    </row>
    <row r="165" spans="1:33" ht="11.25" customHeight="1" x14ac:dyDescent="0.3">
      <c r="A165" s="3" t="s">
        <v>21</v>
      </c>
      <c r="B165" s="3" t="s">
        <v>39</v>
      </c>
      <c r="C165" s="3" t="s">
        <v>40</v>
      </c>
      <c r="D165" s="3" t="s">
        <v>38</v>
      </c>
      <c r="E165" s="3" t="s">
        <v>25</v>
      </c>
      <c r="F165" s="3" t="s">
        <v>25</v>
      </c>
      <c r="G165" s="3" t="s">
        <v>25</v>
      </c>
      <c r="H165" s="3" t="s">
        <v>25</v>
      </c>
      <c r="I165" s="6">
        <v>44682</v>
      </c>
      <c r="J165" s="4">
        <v>3100</v>
      </c>
      <c r="K165" s="4">
        <v>3100</v>
      </c>
      <c r="L165" s="4">
        <v>0</v>
      </c>
      <c r="M165" s="4">
        <v>0</v>
      </c>
      <c r="N165" s="4">
        <v>0</v>
      </c>
      <c r="O165" s="4">
        <v>0</v>
      </c>
      <c r="P165" s="4">
        <v>19</v>
      </c>
      <c r="Q165" s="3" t="s">
        <v>26</v>
      </c>
      <c r="R165" s="3">
        <v>0</v>
      </c>
      <c r="S165" s="4">
        <v>9</v>
      </c>
      <c r="T165" s="4">
        <v>0</v>
      </c>
      <c r="U165" s="4">
        <v>0</v>
      </c>
      <c r="V165" s="4">
        <f>IF(ISERROR(VLOOKUP($S$165,'TAR FIN'!$A$1:$O$91,15,0)),0,VLOOKUP($S$165,'TAR FIN'!$A$1:$O$91,15,0))</f>
        <v>33.97</v>
      </c>
      <c r="W165" s="4">
        <f>IF(ISERROR(VLOOKUP($T$165,'TAR FIN'!$A$1:$O$91,15,0)),0,VLOOKUP($T$165,'TAR FIN'!$A$1:$O$91,15,0))</f>
        <v>0</v>
      </c>
      <c r="X165" s="4">
        <f>IF(ISERROR(VLOOKUP($U$165,'TAR FIN'!$A$1:$O$91,15,0)),0,VLOOKUP($U$165,'TAR FIN'!$A$1:$O$91,15,0))</f>
        <v>0</v>
      </c>
      <c r="Y165" s="4">
        <f ca="1">('TUSD BE'!$AM$13+'TUSD BF'!$AM$13+'TUSD CVA'!$AM$13)*1</f>
        <v>39.117234382623039</v>
      </c>
      <c r="Z165" s="4"/>
      <c r="AA165" s="4"/>
      <c r="AB165" s="4">
        <f>$K$165*$V$165</f>
        <v>105307</v>
      </c>
      <c r="AC165" s="4">
        <f>$M$165*$W$165</f>
        <v>0</v>
      </c>
      <c r="AD165" s="4">
        <f>$O$165*$X$165</f>
        <v>0</v>
      </c>
      <c r="AE165" s="4">
        <f ca="1">$K$165*$Y$165</f>
        <v>121263.42658613142</v>
      </c>
      <c r="AF165" s="4">
        <f>$M$165*$Z$165</f>
        <v>0</v>
      </c>
      <c r="AG165" s="4">
        <f>$O$165*$AA$165</f>
        <v>0</v>
      </c>
    </row>
    <row r="166" spans="1:33" ht="11.25" customHeight="1" x14ac:dyDescent="0.3">
      <c r="A166" s="3" t="s">
        <v>28</v>
      </c>
      <c r="B166" s="3" t="s">
        <v>39</v>
      </c>
      <c r="C166" s="3" t="s">
        <v>40</v>
      </c>
      <c r="D166" s="3" t="s">
        <v>38</v>
      </c>
      <c r="E166" s="3" t="s">
        <v>25</v>
      </c>
      <c r="F166" s="3" t="s">
        <v>25</v>
      </c>
      <c r="G166" s="3" t="s">
        <v>25</v>
      </c>
      <c r="H166" s="3" t="s">
        <v>25</v>
      </c>
      <c r="I166" s="6">
        <v>44682</v>
      </c>
      <c r="J166" s="4">
        <v>348</v>
      </c>
      <c r="K166" s="4">
        <v>348</v>
      </c>
      <c r="L166" s="4">
        <v>0</v>
      </c>
      <c r="M166" s="4">
        <v>0</v>
      </c>
      <c r="N166" s="4">
        <v>0</v>
      </c>
      <c r="O166" s="4">
        <v>0</v>
      </c>
      <c r="P166" s="4">
        <v>1</v>
      </c>
      <c r="Q166" s="3" t="s">
        <v>26</v>
      </c>
      <c r="R166" s="3">
        <v>0</v>
      </c>
      <c r="S166" s="4">
        <v>9</v>
      </c>
      <c r="T166" s="4">
        <v>0</v>
      </c>
      <c r="U166" s="4">
        <v>0</v>
      </c>
      <c r="V166" s="4">
        <f>IF(ISERROR(VLOOKUP($S$166,'TAR FIN'!$A$1:$O$91,15,0)),0,VLOOKUP($S$166,'TAR FIN'!$A$1:$O$91,15,0))</f>
        <v>33.97</v>
      </c>
      <c r="W166" s="4">
        <f>IF(ISERROR(VLOOKUP($T$166,'TAR FIN'!$A$1:$O$91,15,0)),0,VLOOKUP($T$166,'TAR FIN'!$A$1:$O$91,15,0))</f>
        <v>0</v>
      </c>
      <c r="X166" s="4">
        <f>IF(ISERROR(VLOOKUP($U$166,'TAR FIN'!$A$1:$O$91,15,0)),0,VLOOKUP($U$166,'TAR FIN'!$A$1:$O$91,15,0))</f>
        <v>0</v>
      </c>
      <c r="Y166" s="4">
        <f ca="1">('TUSD BE'!$AM$13+'TUSD BF'!$AM$13+'TUSD CVA'!$AM$13)*1</f>
        <v>39.117234382623039</v>
      </c>
      <c r="Z166" s="4"/>
      <c r="AA166" s="4"/>
      <c r="AB166" s="4">
        <f>$K$166*$V$166</f>
        <v>11821.56</v>
      </c>
      <c r="AC166" s="4">
        <f>$M$166*$W$166</f>
        <v>0</v>
      </c>
      <c r="AD166" s="4">
        <f>$O$166*$X$166</f>
        <v>0</v>
      </c>
      <c r="AE166" s="4">
        <f ca="1">$K$166*$Y$166</f>
        <v>13612.797565152818</v>
      </c>
      <c r="AF166" s="4">
        <f>$M$166*$Z$166</f>
        <v>0</v>
      </c>
      <c r="AG166" s="4">
        <f>$O$166*$AA$166</f>
        <v>0</v>
      </c>
    </row>
    <row r="167" spans="1:33" ht="11.25" customHeight="1" x14ac:dyDescent="0.3">
      <c r="A167" s="3" t="s">
        <v>21</v>
      </c>
      <c r="B167" s="3" t="s">
        <v>39</v>
      </c>
      <c r="C167" s="3" t="s">
        <v>40</v>
      </c>
      <c r="D167" s="3" t="s">
        <v>38</v>
      </c>
      <c r="E167" s="3" t="s">
        <v>25</v>
      </c>
      <c r="F167" s="3" t="s">
        <v>25</v>
      </c>
      <c r="G167" s="3" t="s">
        <v>25</v>
      </c>
      <c r="H167" s="3" t="s">
        <v>25</v>
      </c>
      <c r="I167" s="6">
        <v>44713</v>
      </c>
      <c r="J167" s="4">
        <v>3088</v>
      </c>
      <c r="K167" s="4">
        <v>3088</v>
      </c>
      <c r="L167" s="4">
        <v>0</v>
      </c>
      <c r="M167" s="4">
        <v>0</v>
      </c>
      <c r="N167" s="4">
        <v>0</v>
      </c>
      <c r="O167" s="4">
        <v>0</v>
      </c>
      <c r="P167" s="4">
        <v>18</v>
      </c>
      <c r="Q167" s="3" t="s">
        <v>26</v>
      </c>
      <c r="R167" s="3">
        <v>0</v>
      </c>
      <c r="S167" s="4">
        <v>9</v>
      </c>
      <c r="T167" s="4">
        <v>0</v>
      </c>
      <c r="U167" s="4">
        <v>0</v>
      </c>
      <c r="V167" s="4">
        <f>IF(ISERROR(VLOOKUP($S$167,'TAR FIN'!$A$1:$O$91,15,0)),0,VLOOKUP($S$167,'TAR FIN'!$A$1:$O$91,15,0))</f>
        <v>33.97</v>
      </c>
      <c r="W167" s="4">
        <f>IF(ISERROR(VLOOKUP($T$167,'TAR FIN'!$A$1:$O$91,15,0)),0,VLOOKUP($T$167,'TAR FIN'!$A$1:$O$91,15,0))</f>
        <v>0</v>
      </c>
      <c r="X167" s="4">
        <f>IF(ISERROR(VLOOKUP($U$167,'TAR FIN'!$A$1:$O$91,15,0)),0,VLOOKUP($U$167,'TAR FIN'!$A$1:$O$91,15,0))</f>
        <v>0</v>
      </c>
      <c r="Y167" s="4">
        <f ca="1">('TUSD BE'!$AM$13+'TUSD BF'!$AM$13+'TUSD CVA'!$AM$13)*1</f>
        <v>39.117234382623039</v>
      </c>
      <c r="Z167" s="4"/>
      <c r="AA167" s="4"/>
      <c r="AB167" s="4">
        <f>$K$167*$V$167</f>
        <v>104899.36</v>
      </c>
      <c r="AC167" s="4">
        <f>$M$167*$W$167</f>
        <v>0</v>
      </c>
      <c r="AD167" s="4">
        <f>$O$167*$X$167</f>
        <v>0</v>
      </c>
      <c r="AE167" s="4">
        <f ca="1">$K$167*$Y$167</f>
        <v>120794.01977353994</v>
      </c>
      <c r="AF167" s="4">
        <f>$M$167*$Z$167</f>
        <v>0</v>
      </c>
      <c r="AG167" s="4">
        <f>$O$167*$AA$167</f>
        <v>0</v>
      </c>
    </row>
    <row r="168" spans="1:33" ht="11.25" customHeight="1" x14ac:dyDescent="0.3">
      <c r="A168" s="3" t="s">
        <v>28</v>
      </c>
      <c r="B168" s="3" t="s">
        <v>39</v>
      </c>
      <c r="C168" s="3" t="s">
        <v>40</v>
      </c>
      <c r="D168" s="3" t="s">
        <v>38</v>
      </c>
      <c r="E168" s="3" t="s">
        <v>25</v>
      </c>
      <c r="F168" s="3" t="s">
        <v>25</v>
      </c>
      <c r="G168" s="3" t="s">
        <v>25</v>
      </c>
      <c r="H168" s="3" t="s">
        <v>25</v>
      </c>
      <c r="I168" s="6">
        <v>44713</v>
      </c>
      <c r="J168" s="4">
        <v>378</v>
      </c>
      <c r="K168" s="4">
        <v>378</v>
      </c>
      <c r="L168" s="4">
        <v>0</v>
      </c>
      <c r="M168" s="4">
        <v>0</v>
      </c>
      <c r="N168" s="4">
        <v>0</v>
      </c>
      <c r="O168" s="4">
        <v>0</v>
      </c>
      <c r="P168" s="4">
        <v>2</v>
      </c>
      <c r="Q168" s="3" t="s">
        <v>26</v>
      </c>
      <c r="R168" s="3">
        <v>0</v>
      </c>
      <c r="S168" s="4">
        <v>9</v>
      </c>
      <c r="T168" s="4">
        <v>0</v>
      </c>
      <c r="U168" s="4">
        <v>0</v>
      </c>
      <c r="V168" s="4">
        <f>IF(ISERROR(VLOOKUP($S$168,'TAR FIN'!$A$1:$O$91,15,0)),0,VLOOKUP($S$168,'TAR FIN'!$A$1:$O$91,15,0))</f>
        <v>33.97</v>
      </c>
      <c r="W168" s="4">
        <f>IF(ISERROR(VLOOKUP($T$168,'TAR FIN'!$A$1:$O$91,15,0)),0,VLOOKUP($T$168,'TAR FIN'!$A$1:$O$91,15,0))</f>
        <v>0</v>
      </c>
      <c r="X168" s="4">
        <f>IF(ISERROR(VLOOKUP($U$168,'TAR FIN'!$A$1:$O$91,15,0)),0,VLOOKUP($U$168,'TAR FIN'!$A$1:$O$91,15,0))</f>
        <v>0</v>
      </c>
      <c r="Y168" s="4">
        <f ca="1">('TUSD BE'!$AM$13+'TUSD BF'!$AM$13+'TUSD CVA'!$AM$13)*1</f>
        <v>39.117234382623039</v>
      </c>
      <c r="Z168" s="4"/>
      <c r="AA168" s="4"/>
      <c r="AB168" s="4">
        <f>$K$168*$V$168</f>
        <v>12840.66</v>
      </c>
      <c r="AC168" s="4">
        <f>$M$168*$W$168</f>
        <v>0</v>
      </c>
      <c r="AD168" s="4">
        <f>$O$168*$X$168</f>
        <v>0</v>
      </c>
      <c r="AE168" s="4">
        <f ca="1">$K$168*$Y$168</f>
        <v>14786.314596631508</v>
      </c>
      <c r="AF168" s="4">
        <f>$M$168*$Z$168</f>
        <v>0</v>
      </c>
      <c r="AG168" s="4">
        <f>$O$168*$AA$168</f>
        <v>0</v>
      </c>
    </row>
    <row r="169" spans="1:33" ht="11.25" customHeight="1" x14ac:dyDescent="0.3">
      <c r="A169" s="3" t="s">
        <v>21</v>
      </c>
      <c r="B169" s="3" t="s">
        <v>39</v>
      </c>
      <c r="C169" s="3" t="s">
        <v>40</v>
      </c>
      <c r="D169" s="3" t="s">
        <v>38</v>
      </c>
      <c r="E169" s="3" t="s">
        <v>25</v>
      </c>
      <c r="F169" s="3" t="s">
        <v>25</v>
      </c>
      <c r="G169" s="3" t="s">
        <v>25</v>
      </c>
      <c r="H169" s="3" t="s">
        <v>34</v>
      </c>
      <c r="I169" s="6">
        <v>44378</v>
      </c>
      <c r="J169" s="4">
        <v>0</v>
      </c>
      <c r="K169" s="4">
        <v>0</v>
      </c>
      <c r="L169" s="4">
        <v>12.768000000000001</v>
      </c>
      <c r="M169" s="4">
        <v>12.768000000000001</v>
      </c>
      <c r="N169" s="4">
        <v>12.768000000000001</v>
      </c>
      <c r="O169" s="4">
        <v>12.768000000000001</v>
      </c>
      <c r="P169" s="4">
        <v>0</v>
      </c>
      <c r="Q169" s="3" t="s">
        <v>26</v>
      </c>
      <c r="R169" s="3">
        <v>0</v>
      </c>
      <c r="S169" s="4">
        <v>0</v>
      </c>
      <c r="T169" s="4">
        <v>10</v>
      </c>
      <c r="U169" s="4">
        <v>51</v>
      </c>
      <c r="V169" s="4">
        <f>IF(ISERROR(VLOOKUP($S$169,'TAR FIN'!$A$1:$O$91,15,0)),0,VLOOKUP($S$169,'TAR FIN'!$A$1:$O$91,15,0))</f>
        <v>0</v>
      </c>
      <c r="W169" s="4">
        <f>IF(ISERROR(VLOOKUP($T$169,'TAR FIN'!$A$1:$O$91,15,0)),0,VLOOKUP($T$169,'TAR FIN'!$A$1:$O$91,15,0))</f>
        <v>1755.54</v>
      </c>
      <c r="X169" s="4">
        <f>IF(ISERROR(VLOOKUP($U$169,'TAR FIN'!$A$1:$O$91,15,0)),0,VLOOKUP($U$169,'TAR FIN'!$A$1:$O$91,15,0))</f>
        <v>298.83999999999997</v>
      </c>
      <c r="Y169" s="4"/>
      <c r="Z169" s="4">
        <f ca="1">('TUSD BE'!$AM$14+'TUSD BF'!$AM$14+'TUSD CVA'!$AM$14)*1</f>
        <v>1891.4266775287376</v>
      </c>
      <c r="AA169" s="4">
        <f>('TE BE'!$AB$5+'TE BF'!$AB$5+'TE CVA'!$AB$5)*1</f>
        <v>311.4117891483653</v>
      </c>
      <c r="AB169" s="4">
        <f>$K$169*$V$169</f>
        <v>0</v>
      </c>
      <c r="AC169" s="4">
        <f>$M$169*$W$169</f>
        <v>22414.73472</v>
      </c>
      <c r="AD169" s="4">
        <f>$O$169*$X$169</f>
        <v>3815.5891200000001</v>
      </c>
      <c r="AE169" s="4">
        <f>$K$169*$Y$169</f>
        <v>0</v>
      </c>
      <c r="AF169" s="4">
        <f ca="1">$M$169*$Z$169</f>
        <v>24149.735818686924</v>
      </c>
      <c r="AG169" s="4">
        <f>$O$169*$AA$169</f>
        <v>3976.1057238463286</v>
      </c>
    </row>
    <row r="170" spans="1:33" ht="11.25" customHeight="1" x14ac:dyDescent="0.3">
      <c r="A170" s="3" t="s">
        <v>21</v>
      </c>
      <c r="B170" s="3" t="s">
        <v>39</v>
      </c>
      <c r="C170" s="3" t="s">
        <v>40</v>
      </c>
      <c r="D170" s="3" t="s">
        <v>38</v>
      </c>
      <c r="E170" s="3" t="s">
        <v>25</v>
      </c>
      <c r="F170" s="3" t="s">
        <v>25</v>
      </c>
      <c r="G170" s="3" t="s">
        <v>25</v>
      </c>
      <c r="H170" s="3" t="s">
        <v>34</v>
      </c>
      <c r="I170" s="6">
        <v>44409</v>
      </c>
      <c r="J170" s="4">
        <v>0</v>
      </c>
      <c r="K170" s="4">
        <v>0</v>
      </c>
      <c r="L170" s="4">
        <v>10.007</v>
      </c>
      <c r="M170" s="4">
        <v>10.007</v>
      </c>
      <c r="N170" s="4">
        <v>10.007</v>
      </c>
      <c r="O170" s="4">
        <v>10.007</v>
      </c>
      <c r="P170" s="4">
        <v>0</v>
      </c>
      <c r="Q170" s="3" t="s">
        <v>26</v>
      </c>
      <c r="R170" s="3">
        <v>0</v>
      </c>
      <c r="S170" s="4">
        <v>0</v>
      </c>
      <c r="T170" s="4">
        <v>10</v>
      </c>
      <c r="U170" s="4">
        <v>51</v>
      </c>
      <c r="V170" s="4">
        <f>IF(ISERROR(VLOOKUP($S$170,'TAR FIN'!$A$1:$O$91,15,0)),0,VLOOKUP($S$170,'TAR FIN'!$A$1:$O$91,15,0))</f>
        <v>0</v>
      </c>
      <c r="W170" s="4">
        <f>IF(ISERROR(VLOOKUP($T$170,'TAR FIN'!$A$1:$O$91,15,0)),0,VLOOKUP($T$170,'TAR FIN'!$A$1:$O$91,15,0))</f>
        <v>1755.54</v>
      </c>
      <c r="X170" s="4">
        <f>IF(ISERROR(VLOOKUP($U$170,'TAR FIN'!$A$1:$O$91,15,0)),0,VLOOKUP($U$170,'TAR FIN'!$A$1:$O$91,15,0))</f>
        <v>298.83999999999997</v>
      </c>
      <c r="Y170" s="4"/>
      <c r="Z170" s="4">
        <f ca="1">('TUSD BE'!$AM$14+'TUSD BF'!$AM$14+'TUSD CVA'!$AM$14)*1</f>
        <v>1891.4266775287376</v>
      </c>
      <c r="AA170" s="4">
        <f>('TE BE'!$AB$5+'TE BF'!$AB$5+'TE CVA'!$AB$5)*1</f>
        <v>311.4117891483653</v>
      </c>
      <c r="AB170" s="4">
        <f>$K$170*$V$170</f>
        <v>0</v>
      </c>
      <c r="AC170" s="4">
        <f>$M$170*$W$170</f>
        <v>17567.68878</v>
      </c>
      <c r="AD170" s="4">
        <f>$O$170*$X$170</f>
        <v>2990.4918799999996</v>
      </c>
      <c r="AE170" s="4">
        <f>$K$170*$Y$170</f>
        <v>0</v>
      </c>
      <c r="AF170" s="4">
        <f ca="1">$M$170*$Z$170</f>
        <v>18927.506762030076</v>
      </c>
      <c r="AG170" s="4">
        <f>$O$170*$AA$170</f>
        <v>3116.2977740076913</v>
      </c>
    </row>
    <row r="171" spans="1:33" ht="11.25" customHeight="1" x14ac:dyDescent="0.3">
      <c r="A171" s="3" t="s">
        <v>21</v>
      </c>
      <c r="B171" s="3" t="s">
        <v>39</v>
      </c>
      <c r="C171" s="3" t="s">
        <v>40</v>
      </c>
      <c r="D171" s="3" t="s">
        <v>38</v>
      </c>
      <c r="E171" s="3" t="s">
        <v>25</v>
      </c>
      <c r="F171" s="3" t="s">
        <v>25</v>
      </c>
      <c r="G171" s="3" t="s">
        <v>25</v>
      </c>
      <c r="H171" s="3" t="s">
        <v>34</v>
      </c>
      <c r="I171" s="6">
        <v>44440</v>
      </c>
      <c r="J171" s="4">
        <v>0</v>
      </c>
      <c r="K171" s="4">
        <v>0</v>
      </c>
      <c r="L171" s="4">
        <v>10.247</v>
      </c>
      <c r="M171" s="4">
        <v>10.247</v>
      </c>
      <c r="N171" s="4">
        <v>10.247</v>
      </c>
      <c r="O171" s="4">
        <v>10.247</v>
      </c>
      <c r="P171" s="4">
        <v>0</v>
      </c>
      <c r="Q171" s="3" t="s">
        <v>26</v>
      </c>
      <c r="R171" s="3">
        <v>0</v>
      </c>
      <c r="S171" s="4">
        <v>0</v>
      </c>
      <c r="T171" s="4">
        <v>10</v>
      </c>
      <c r="U171" s="4">
        <v>51</v>
      </c>
      <c r="V171" s="4">
        <f>IF(ISERROR(VLOOKUP($S$171,'TAR FIN'!$A$1:$O$91,15,0)),0,VLOOKUP($S$171,'TAR FIN'!$A$1:$O$91,15,0))</f>
        <v>0</v>
      </c>
      <c r="W171" s="4">
        <f>IF(ISERROR(VLOOKUP($T$171,'TAR FIN'!$A$1:$O$91,15,0)),0,VLOOKUP($T$171,'TAR FIN'!$A$1:$O$91,15,0))</f>
        <v>1755.54</v>
      </c>
      <c r="X171" s="4">
        <f>IF(ISERROR(VLOOKUP($U$171,'TAR FIN'!$A$1:$O$91,15,0)),0,VLOOKUP($U$171,'TAR FIN'!$A$1:$O$91,15,0))</f>
        <v>298.83999999999997</v>
      </c>
      <c r="Y171" s="4"/>
      <c r="Z171" s="4">
        <f ca="1">('TUSD BE'!$AM$14+'TUSD BF'!$AM$14+'TUSD CVA'!$AM$14)*1</f>
        <v>1891.4266775287376</v>
      </c>
      <c r="AA171" s="4">
        <f>('TE BE'!$AB$5+'TE BF'!$AB$5+'TE CVA'!$AB$5)*1</f>
        <v>311.4117891483653</v>
      </c>
      <c r="AB171" s="4">
        <f>$K$171*$V$171</f>
        <v>0</v>
      </c>
      <c r="AC171" s="4">
        <f>$M$171*$W$171</f>
        <v>17989.018379999998</v>
      </c>
      <c r="AD171" s="4">
        <f>$O$171*$X$171</f>
        <v>3062.2134799999999</v>
      </c>
      <c r="AE171" s="4">
        <f>$K$171*$Y$171</f>
        <v>0</v>
      </c>
      <c r="AF171" s="4">
        <f ca="1">$M$171*$Z$171</f>
        <v>19381.449164636975</v>
      </c>
      <c r="AG171" s="4">
        <f>$O$171*$AA$171</f>
        <v>3191.0366034032991</v>
      </c>
    </row>
    <row r="172" spans="1:33" ht="11.25" customHeight="1" x14ac:dyDescent="0.3">
      <c r="A172" s="3" t="s">
        <v>21</v>
      </c>
      <c r="B172" s="3" t="s">
        <v>39</v>
      </c>
      <c r="C172" s="3" t="s">
        <v>40</v>
      </c>
      <c r="D172" s="3" t="s">
        <v>38</v>
      </c>
      <c r="E172" s="3" t="s">
        <v>25</v>
      </c>
      <c r="F172" s="3" t="s">
        <v>25</v>
      </c>
      <c r="G172" s="3" t="s">
        <v>25</v>
      </c>
      <c r="H172" s="3" t="s">
        <v>34</v>
      </c>
      <c r="I172" s="6">
        <v>44470</v>
      </c>
      <c r="J172" s="4">
        <v>0</v>
      </c>
      <c r="K172" s="4">
        <v>0</v>
      </c>
      <c r="L172" s="4">
        <v>8.77</v>
      </c>
      <c r="M172" s="4">
        <v>8.77</v>
      </c>
      <c r="N172" s="4">
        <v>8.77</v>
      </c>
      <c r="O172" s="4">
        <v>8.77</v>
      </c>
      <c r="P172" s="4">
        <v>0</v>
      </c>
      <c r="Q172" s="3" t="s">
        <v>26</v>
      </c>
      <c r="R172" s="3">
        <v>0</v>
      </c>
      <c r="S172" s="4">
        <v>0</v>
      </c>
      <c r="T172" s="4">
        <v>10</v>
      </c>
      <c r="U172" s="4">
        <v>51</v>
      </c>
      <c r="V172" s="4">
        <f>IF(ISERROR(VLOOKUP($S$172,'TAR FIN'!$A$1:$O$91,15,0)),0,VLOOKUP($S$172,'TAR FIN'!$A$1:$O$91,15,0))</f>
        <v>0</v>
      </c>
      <c r="W172" s="4">
        <f>IF(ISERROR(VLOOKUP($T$172,'TAR FIN'!$A$1:$O$91,15,0)),0,VLOOKUP($T$172,'TAR FIN'!$A$1:$O$91,15,0))</f>
        <v>1755.54</v>
      </c>
      <c r="X172" s="4">
        <f>IF(ISERROR(VLOOKUP($U$172,'TAR FIN'!$A$1:$O$91,15,0)),0,VLOOKUP($U$172,'TAR FIN'!$A$1:$O$91,15,0))</f>
        <v>298.83999999999997</v>
      </c>
      <c r="Y172" s="4"/>
      <c r="Z172" s="4">
        <f ca="1">('TUSD BE'!$AM$14+'TUSD BF'!$AM$14+'TUSD CVA'!$AM$14)*1</f>
        <v>1891.4266775287376</v>
      </c>
      <c r="AA172" s="4">
        <f>('TE BE'!$AB$5+'TE BF'!$AB$5+'TE CVA'!$AB$5)*1</f>
        <v>311.4117891483653</v>
      </c>
      <c r="AB172" s="4">
        <f>$K$172*$V$172</f>
        <v>0</v>
      </c>
      <c r="AC172" s="4">
        <f>$M$172*$W$172</f>
        <v>15396.085799999999</v>
      </c>
      <c r="AD172" s="4">
        <f>$O$172*$X$172</f>
        <v>2620.8267999999998</v>
      </c>
      <c r="AE172" s="4">
        <f>$K$172*$Y$172</f>
        <v>0</v>
      </c>
      <c r="AF172" s="4">
        <f ca="1">$M$172*$Z$172</f>
        <v>16587.811961927029</v>
      </c>
      <c r="AG172" s="4">
        <f>$O$172*$AA$172</f>
        <v>2731.0813908311634</v>
      </c>
    </row>
    <row r="173" spans="1:33" ht="11.25" customHeight="1" x14ac:dyDescent="0.3">
      <c r="A173" s="3" t="s">
        <v>21</v>
      </c>
      <c r="B173" s="3" t="s">
        <v>39</v>
      </c>
      <c r="C173" s="3" t="s">
        <v>40</v>
      </c>
      <c r="D173" s="3" t="s">
        <v>38</v>
      </c>
      <c r="E173" s="3" t="s">
        <v>25</v>
      </c>
      <c r="F173" s="3" t="s">
        <v>25</v>
      </c>
      <c r="G173" s="3" t="s">
        <v>25</v>
      </c>
      <c r="H173" s="3" t="s">
        <v>34</v>
      </c>
      <c r="I173" s="6">
        <v>44501</v>
      </c>
      <c r="J173" s="4">
        <v>0</v>
      </c>
      <c r="K173" s="4">
        <v>0</v>
      </c>
      <c r="L173" s="4">
        <v>10.711</v>
      </c>
      <c r="M173" s="4">
        <v>10.711</v>
      </c>
      <c r="N173" s="4">
        <v>10.711</v>
      </c>
      <c r="O173" s="4">
        <v>10.711</v>
      </c>
      <c r="P173" s="4">
        <v>0</v>
      </c>
      <c r="Q173" s="3" t="s">
        <v>26</v>
      </c>
      <c r="R173" s="3">
        <v>0</v>
      </c>
      <c r="S173" s="4">
        <v>0</v>
      </c>
      <c r="T173" s="4">
        <v>10</v>
      </c>
      <c r="U173" s="4">
        <v>51</v>
      </c>
      <c r="V173" s="4">
        <f>IF(ISERROR(VLOOKUP($S$173,'TAR FIN'!$A$1:$O$91,15,0)),0,VLOOKUP($S$173,'TAR FIN'!$A$1:$O$91,15,0))</f>
        <v>0</v>
      </c>
      <c r="W173" s="4">
        <f>IF(ISERROR(VLOOKUP($T$173,'TAR FIN'!$A$1:$O$91,15,0)),0,VLOOKUP($T$173,'TAR FIN'!$A$1:$O$91,15,0))</f>
        <v>1755.54</v>
      </c>
      <c r="X173" s="4">
        <f>IF(ISERROR(VLOOKUP($U$173,'TAR FIN'!$A$1:$O$91,15,0)),0,VLOOKUP($U$173,'TAR FIN'!$A$1:$O$91,15,0))</f>
        <v>298.83999999999997</v>
      </c>
      <c r="Y173" s="4"/>
      <c r="Z173" s="4">
        <f ca="1">('TUSD BE'!$AM$14+'TUSD BF'!$AM$14+'TUSD CVA'!$AM$14)*1</f>
        <v>1891.4266775287376</v>
      </c>
      <c r="AA173" s="4">
        <f>('TE BE'!$AB$5+'TE BF'!$AB$5+'TE CVA'!$AB$5)*1</f>
        <v>311.4117891483653</v>
      </c>
      <c r="AB173" s="4">
        <f>$K$173*$V$173</f>
        <v>0</v>
      </c>
      <c r="AC173" s="4">
        <f>$M$173*$W$173</f>
        <v>18803.588940000001</v>
      </c>
      <c r="AD173" s="4">
        <f>$O$173*$X$173</f>
        <v>3200.8752399999998</v>
      </c>
      <c r="AE173" s="4">
        <f>$K$173*$Y$173</f>
        <v>0</v>
      </c>
      <c r="AF173" s="4">
        <f ca="1">$M$173*$Z$173</f>
        <v>20259.071143010311</v>
      </c>
      <c r="AG173" s="4">
        <f>$O$173*$AA$173</f>
        <v>3335.5316735681408</v>
      </c>
    </row>
    <row r="174" spans="1:33" ht="11.25" customHeight="1" x14ac:dyDescent="0.3">
      <c r="A174" s="3" t="s">
        <v>21</v>
      </c>
      <c r="B174" s="3" t="s">
        <v>39</v>
      </c>
      <c r="C174" s="3" t="s">
        <v>40</v>
      </c>
      <c r="D174" s="3" t="s">
        <v>38</v>
      </c>
      <c r="E174" s="3" t="s">
        <v>25</v>
      </c>
      <c r="F174" s="3" t="s">
        <v>25</v>
      </c>
      <c r="G174" s="3" t="s">
        <v>25</v>
      </c>
      <c r="H174" s="3" t="s">
        <v>34</v>
      </c>
      <c r="I174" s="6">
        <v>44531</v>
      </c>
      <c r="J174" s="4">
        <v>0</v>
      </c>
      <c r="K174" s="4">
        <v>0</v>
      </c>
      <c r="L174" s="4">
        <v>11.702</v>
      </c>
      <c r="M174" s="4">
        <v>11.702</v>
      </c>
      <c r="N174" s="4">
        <v>11.702</v>
      </c>
      <c r="O174" s="4">
        <v>11.702</v>
      </c>
      <c r="P174" s="4">
        <v>0</v>
      </c>
      <c r="Q174" s="3" t="s">
        <v>26</v>
      </c>
      <c r="R174" s="3">
        <v>0</v>
      </c>
      <c r="S174" s="4">
        <v>0</v>
      </c>
      <c r="T174" s="4">
        <v>10</v>
      </c>
      <c r="U174" s="4">
        <v>51</v>
      </c>
      <c r="V174" s="4">
        <f>IF(ISERROR(VLOOKUP($S$174,'TAR FIN'!$A$1:$O$91,15,0)),0,VLOOKUP($S$174,'TAR FIN'!$A$1:$O$91,15,0))</f>
        <v>0</v>
      </c>
      <c r="W174" s="4">
        <f>IF(ISERROR(VLOOKUP($T$174,'TAR FIN'!$A$1:$O$91,15,0)),0,VLOOKUP($T$174,'TAR FIN'!$A$1:$O$91,15,0))</f>
        <v>1755.54</v>
      </c>
      <c r="X174" s="4">
        <f>IF(ISERROR(VLOOKUP($U$174,'TAR FIN'!$A$1:$O$91,15,0)),0,VLOOKUP($U$174,'TAR FIN'!$A$1:$O$91,15,0))</f>
        <v>298.83999999999997</v>
      </c>
      <c r="Y174" s="4"/>
      <c r="Z174" s="4">
        <f ca="1">('TUSD BE'!$AM$14+'TUSD BF'!$AM$14+'TUSD CVA'!$AM$14)*1</f>
        <v>1891.4266775287376</v>
      </c>
      <c r="AA174" s="4">
        <f>('TE BE'!$AB$5+'TE BF'!$AB$5+'TE CVA'!$AB$5)*1</f>
        <v>311.4117891483653</v>
      </c>
      <c r="AB174" s="4">
        <f>$K$174*$V$174</f>
        <v>0</v>
      </c>
      <c r="AC174" s="4">
        <f>$M$174*$W$174</f>
        <v>20543.32908</v>
      </c>
      <c r="AD174" s="4">
        <f>$O$174*$X$174</f>
        <v>3497.0256799999997</v>
      </c>
      <c r="AE174" s="4">
        <f>$K$174*$Y$174</f>
        <v>0</v>
      </c>
      <c r="AF174" s="4">
        <f ca="1">$M$174*$Z$174</f>
        <v>22133.474980441286</v>
      </c>
      <c r="AG174" s="4">
        <f>$O$174*$AA$174</f>
        <v>3644.1407566141706</v>
      </c>
    </row>
    <row r="175" spans="1:33" ht="11.25" customHeight="1" x14ac:dyDescent="0.3">
      <c r="A175" s="3" t="s">
        <v>28</v>
      </c>
      <c r="B175" s="3" t="s">
        <v>39</v>
      </c>
      <c r="C175" s="3" t="s">
        <v>40</v>
      </c>
      <c r="D175" s="3" t="s">
        <v>38</v>
      </c>
      <c r="E175" s="3" t="s">
        <v>25</v>
      </c>
      <c r="F175" s="3" t="s">
        <v>25</v>
      </c>
      <c r="G175" s="3" t="s">
        <v>25</v>
      </c>
      <c r="H175" s="3" t="s">
        <v>34</v>
      </c>
      <c r="I175" s="6">
        <v>44531</v>
      </c>
      <c r="J175" s="4">
        <v>0</v>
      </c>
      <c r="K175" s="4">
        <v>0</v>
      </c>
      <c r="L175" s="4">
        <v>5.7000000000000002E-2</v>
      </c>
      <c r="M175" s="4">
        <v>5.7000000000000002E-2</v>
      </c>
      <c r="N175" s="4">
        <v>5.7000000000000002E-2</v>
      </c>
      <c r="O175" s="4">
        <v>5.7000000000000002E-2</v>
      </c>
      <c r="P175" s="4">
        <v>0</v>
      </c>
      <c r="Q175" s="3" t="s">
        <v>26</v>
      </c>
      <c r="R175" s="3">
        <v>0</v>
      </c>
      <c r="S175" s="4">
        <v>0</v>
      </c>
      <c r="T175" s="4">
        <v>10</v>
      </c>
      <c r="U175" s="4">
        <v>51</v>
      </c>
      <c r="V175" s="4">
        <f>IF(ISERROR(VLOOKUP($S$175,'TAR FIN'!$A$1:$O$91,15,0)),0,VLOOKUP($S$175,'TAR FIN'!$A$1:$O$91,15,0))</f>
        <v>0</v>
      </c>
      <c r="W175" s="4">
        <f>IF(ISERROR(VLOOKUP($T$175,'TAR FIN'!$A$1:$O$91,15,0)),0,VLOOKUP($T$175,'TAR FIN'!$A$1:$O$91,15,0))</f>
        <v>1755.54</v>
      </c>
      <c r="X175" s="4">
        <f>IF(ISERROR(VLOOKUP($U$175,'TAR FIN'!$A$1:$O$91,15,0)),0,VLOOKUP($U$175,'TAR FIN'!$A$1:$O$91,15,0))</f>
        <v>298.83999999999997</v>
      </c>
      <c r="Y175" s="4"/>
      <c r="Z175" s="4">
        <f ca="1">('TUSD BE'!$AM$14+'TUSD BF'!$AM$14+'TUSD CVA'!$AM$14)*1</f>
        <v>1891.4266775287376</v>
      </c>
      <c r="AA175" s="4">
        <f>('TE BE'!$AB$5+'TE BF'!$AB$5+'TE CVA'!$AB$5)*1</f>
        <v>311.4117891483653</v>
      </c>
      <c r="AB175" s="4">
        <f>$K$175*$V$175</f>
        <v>0</v>
      </c>
      <c r="AC175" s="4">
        <f>$M$175*$W$175</f>
        <v>100.06578</v>
      </c>
      <c r="AD175" s="4">
        <f>$O$175*$X$175</f>
        <v>17.03388</v>
      </c>
      <c r="AE175" s="4">
        <f>$K$175*$Y$175</f>
        <v>0</v>
      </c>
      <c r="AF175" s="4">
        <f ca="1">$M$175*$Z$175</f>
        <v>107.81132061913804</v>
      </c>
      <c r="AG175" s="4">
        <f>$O$175*$AA$175</f>
        <v>17.750471981456823</v>
      </c>
    </row>
    <row r="176" spans="1:33" ht="11.25" customHeight="1" x14ac:dyDescent="0.3">
      <c r="A176" s="3" t="s">
        <v>21</v>
      </c>
      <c r="B176" s="3" t="s">
        <v>39</v>
      </c>
      <c r="C176" s="3" t="s">
        <v>40</v>
      </c>
      <c r="D176" s="3" t="s">
        <v>38</v>
      </c>
      <c r="E176" s="3" t="s">
        <v>25</v>
      </c>
      <c r="F176" s="3" t="s">
        <v>25</v>
      </c>
      <c r="G176" s="3" t="s">
        <v>25</v>
      </c>
      <c r="H176" s="3" t="s">
        <v>34</v>
      </c>
      <c r="I176" s="6">
        <v>44562</v>
      </c>
      <c r="J176" s="4">
        <v>0</v>
      </c>
      <c r="K176" s="4">
        <v>0</v>
      </c>
      <c r="L176" s="4">
        <v>10.856999999999999</v>
      </c>
      <c r="M176" s="4">
        <v>10.856999999999999</v>
      </c>
      <c r="N176" s="4">
        <v>10.856999999999999</v>
      </c>
      <c r="O176" s="4">
        <v>10.856999999999999</v>
      </c>
      <c r="P176" s="4">
        <v>0</v>
      </c>
      <c r="Q176" s="3" t="s">
        <v>26</v>
      </c>
      <c r="R176" s="3">
        <v>0</v>
      </c>
      <c r="S176" s="4">
        <v>0</v>
      </c>
      <c r="T176" s="4">
        <v>10</v>
      </c>
      <c r="U176" s="4">
        <v>51</v>
      </c>
      <c r="V176" s="4">
        <f>IF(ISERROR(VLOOKUP($S$176,'TAR FIN'!$A$1:$O$91,15,0)),0,VLOOKUP($S$176,'TAR FIN'!$A$1:$O$91,15,0))</f>
        <v>0</v>
      </c>
      <c r="W176" s="4">
        <f>IF(ISERROR(VLOOKUP($T$176,'TAR FIN'!$A$1:$O$91,15,0)),0,VLOOKUP($T$176,'TAR FIN'!$A$1:$O$91,15,0))</f>
        <v>1755.54</v>
      </c>
      <c r="X176" s="4">
        <f>IF(ISERROR(VLOOKUP($U$176,'TAR FIN'!$A$1:$O$91,15,0)),0,VLOOKUP($U$176,'TAR FIN'!$A$1:$O$91,15,0))</f>
        <v>298.83999999999997</v>
      </c>
      <c r="Y176" s="4"/>
      <c r="Z176" s="4">
        <f ca="1">('TUSD BE'!$AM$14+'TUSD BF'!$AM$14+'TUSD CVA'!$AM$14)*1</f>
        <v>1891.4266775287376</v>
      </c>
      <c r="AA176" s="4">
        <f>('TE BE'!$AB$5+'TE BF'!$AB$5+'TE CVA'!$AB$5)*1</f>
        <v>311.4117891483653</v>
      </c>
      <c r="AB176" s="4">
        <f>$K$176*$V$176</f>
        <v>0</v>
      </c>
      <c r="AC176" s="4">
        <f>$M$176*$W$176</f>
        <v>19059.897779999999</v>
      </c>
      <c r="AD176" s="4">
        <f>$O$176*$X$176</f>
        <v>3244.5058799999997</v>
      </c>
      <c r="AE176" s="4">
        <f>$K$176*$Y$176</f>
        <v>0</v>
      </c>
      <c r="AF176" s="4">
        <f ca="1">$M$176*$Z$176</f>
        <v>20535.219437929503</v>
      </c>
      <c r="AG176" s="4">
        <f>$O$176*$AA$176</f>
        <v>3380.997794783802</v>
      </c>
    </row>
    <row r="177" spans="1:33" ht="11.25" customHeight="1" x14ac:dyDescent="0.3">
      <c r="A177" s="3" t="s">
        <v>21</v>
      </c>
      <c r="B177" s="3" t="s">
        <v>39</v>
      </c>
      <c r="C177" s="3" t="s">
        <v>40</v>
      </c>
      <c r="D177" s="3" t="s">
        <v>38</v>
      </c>
      <c r="E177" s="3" t="s">
        <v>25</v>
      </c>
      <c r="F177" s="3" t="s">
        <v>25</v>
      </c>
      <c r="G177" s="3" t="s">
        <v>25</v>
      </c>
      <c r="H177" s="3" t="s">
        <v>34</v>
      </c>
      <c r="I177" s="6">
        <v>44593</v>
      </c>
      <c r="J177" s="4">
        <v>0</v>
      </c>
      <c r="K177" s="4">
        <v>0</v>
      </c>
      <c r="L177" s="4">
        <v>10.52</v>
      </c>
      <c r="M177" s="4">
        <v>10.52</v>
      </c>
      <c r="N177" s="4">
        <v>10.52</v>
      </c>
      <c r="O177" s="4">
        <v>10.52</v>
      </c>
      <c r="P177" s="4">
        <v>0</v>
      </c>
      <c r="Q177" s="3" t="s">
        <v>26</v>
      </c>
      <c r="R177" s="3">
        <v>0</v>
      </c>
      <c r="S177" s="4">
        <v>0</v>
      </c>
      <c r="T177" s="4">
        <v>10</v>
      </c>
      <c r="U177" s="4">
        <v>51</v>
      </c>
      <c r="V177" s="4">
        <f>IF(ISERROR(VLOOKUP($S$177,'TAR FIN'!$A$1:$O$91,15,0)),0,VLOOKUP($S$177,'TAR FIN'!$A$1:$O$91,15,0))</f>
        <v>0</v>
      </c>
      <c r="W177" s="4">
        <f>IF(ISERROR(VLOOKUP($T$177,'TAR FIN'!$A$1:$O$91,15,0)),0,VLOOKUP($T$177,'TAR FIN'!$A$1:$O$91,15,0))</f>
        <v>1755.54</v>
      </c>
      <c r="X177" s="4">
        <f>IF(ISERROR(VLOOKUP($U$177,'TAR FIN'!$A$1:$O$91,15,0)),0,VLOOKUP($U$177,'TAR FIN'!$A$1:$O$91,15,0))</f>
        <v>298.83999999999997</v>
      </c>
      <c r="Y177" s="4"/>
      <c r="Z177" s="4">
        <f ca="1">('TUSD BE'!$AM$14+'TUSD BF'!$AM$14+'TUSD CVA'!$AM$14)*1</f>
        <v>1891.4266775287376</v>
      </c>
      <c r="AA177" s="4">
        <f>('TE BE'!$AB$5+'TE BF'!$AB$5+'TE CVA'!$AB$5)*1</f>
        <v>311.4117891483653</v>
      </c>
      <c r="AB177" s="4">
        <f>$K$177*$V$177</f>
        <v>0</v>
      </c>
      <c r="AC177" s="4">
        <f>$M$177*$W$177</f>
        <v>18468.2808</v>
      </c>
      <c r="AD177" s="4">
        <f>$O$177*$X$177</f>
        <v>3143.7967999999996</v>
      </c>
      <c r="AE177" s="4">
        <f>$K$177*$Y$177</f>
        <v>0</v>
      </c>
      <c r="AF177" s="4">
        <f ca="1">$M$177*$Z$177</f>
        <v>19897.80864760232</v>
      </c>
      <c r="AG177" s="4">
        <f>$O$177*$AA$177</f>
        <v>3276.0520218408028</v>
      </c>
    </row>
    <row r="178" spans="1:33" ht="11.25" customHeight="1" x14ac:dyDescent="0.3">
      <c r="A178" s="3" t="s">
        <v>28</v>
      </c>
      <c r="B178" s="3" t="s">
        <v>39</v>
      </c>
      <c r="C178" s="3" t="s">
        <v>40</v>
      </c>
      <c r="D178" s="3" t="s">
        <v>38</v>
      </c>
      <c r="E178" s="3" t="s">
        <v>25</v>
      </c>
      <c r="F178" s="3" t="s">
        <v>25</v>
      </c>
      <c r="G178" s="3" t="s">
        <v>25</v>
      </c>
      <c r="H178" s="3" t="s">
        <v>34</v>
      </c>
      <c r="I178" s="6">
        <v>44593</v>
      </c>
      <c r="J178" s="4">
        <v>0</v>
      </c>
      <c r="K178" s="4">
        <v>0</v>
      </c>
      <c r="L178" s="4">
        <v>0.16200000000000001</v>
      </c>
      <c r="M178" s="4">
        <v>0.16200000000000001</v>
      </c>
      <c r="N178" s="4">
        <v>0.16200000000000001</v>
      </c>
      <c r="O178" s="4">
        <v>0.16200000000000001</v>
      </c>
      <c r="P178" s="4">
        <v>0</v>
      </c>
      <c r="Q178" s="3" t="s">
        <v>26</v>
      </c>
      <c r="R178" s="3">
        <v>0</v>
      </c>
      <c r="S178" s="4">
        <v>0</v>
      </c>
      <c r="T178" s="4">
        <v>10</v>
      </c>
      <c r="U178" s="4">
        <v>51</v>
      </c>
      <c r="V178" s="4">
        <f>IF(ISERROR(VLOOKUP($S$178,'TAR FIN'!$A$1:$O$91,15,0)),0,VLOOKUP($S$178,'TAR FIN'!$A$1:$O$91,15,0))</f>
        <v>0</v>
      </c>
      <c r="W178" s="4">
        <f>IF(ISERROR(VLOOKUP($T$178,'TAR FIN'!$A$1:$O$91,15,0)),0,VLOOKUP($T$178,'TAR FIN'!$A$1:$O$91,15,0))</f>
        <v>1755.54</v>
      </c>
      <c r="X178" s="4">
        <f>IF(ISERROR(VLOOKUP($U$178,'TAR FIN'!$A$1:$O$91,15,0)),0,VLOOKUP($U$178,'TAR FIN'!$A$1:$O$91,15,0))</f>
        <v>298.83999999999997</v>
      </c>
      <c r="Y178" s="4"/>
      <c r="Z178" s="4">
        <f ca="1">('TUSD BE'!$AM$14+'TUSD BF'!$AM$14+'TUSD CVA'!$AM$14)*1</f>
        <v>1891.4266775287376</v>
      </c>
      <c r="AA178" s="4">
        <f>('TE BE'!$AB$5+'TE BF'!$AB$5+'TE CVA'!$AB$5)*1</f>
        <v>311.4117891483653</v>
      </c>
      <c r="AB178" s="4">
        <f>$K$178*$V$178</f>
        <v>0</v>
      </c>
      <c r="AC178" s="4">
        <f>$M$178*$W$178</f>
        <v>284.39748000000003</v>
      </c>
      <c r="AD178" s="4">
        <f>$O$178*$X$178</f>
        <v>48.412079999999996</v>
      </c>
      <c r="AE178" s="4">
        <f>$K$178*$Y$178</f>
        <v>0</v>
      </c>
      <c r="AF178" s="4">
        <f ca="1">$M$178*$Z$178</f>
        <v>306.41112175965549</v>
      </c>
      <c r="AG178" s="4">
        <f>$O$178*$AA$178</f>
        <v>50.448709842035178</v>
      </c>
    </row>
    <row r="179" spans="1:33" ht="11.25" customHeight="1" x14ac:dyDescent="0.3">
      <c r="A179" s="3" t="s">
        <v>21</v>
      </c>
      <c r="B179" s="3" t="s">
        <v>39</v>
      </c>
      <c r="C179" s="3" t="s">
        <v>40</v>
      </c>
      <c r="D179" s="3" t="s">
        <v>38</v>
      </c>
      <c r="E179" s="3" t="s">
        <v>25</v>
      </c>
      <c r="F179" s="3" t="s">
        <v>25</v>
      </c>
      <c r="G179" s="3" t="s">
        <v>25</v>
      </c>
      <c r="H179" s="3" t="s">
        <v>34</v>
      </c>
      <c r="I179" s="6">
        <v>44621</v>
      </c>
      <c r="J179" s="4">
        <v>0</v>
      </c>
      <c r="K179" s="4">
        <v>0</v>
      </c>
      <c r="L179" s="4">
        <v>12.288</v>
      </c>
      <c r="M179" s="4">
        <v>12.288</v>
      </c>
      <c r="N179" s="4">
        <v>12.288</v>
      </c>
      <c r="O179" s="4">
        <v>12.288</v>
      </c>
      <c r="P179" s="4">
        <v>0</v>
      </c>
      <c r="Q179" s="3" t="s">
        <v>26</v>
      </c>
      <c r="R179" s="3">
        <v>0</v>
      </c>
      <c r="S179" s="4">
        <v>0</v>
      </c>
      <c r="T179" s="4">
        <v>10</v>
      </c>
      <c r="U179" s="4">
        <v>51</v>
      </c>
      <c r="V179" s="4">
        <f>IF(ISERROR(VLOOKUP($S$179,'TAR FIN'!$A$1:$O$91,15,0)),0,VLOOKUP($S$179,'TAR FIN'!$A$1:$O$91,15,0))</f>
        <v>0</v>
      </c>
      <c r="W179" s="4">
        <f>IF(ISERROR(VLOOKUP($T$179,'TAR FIN'!$A$1:$O$91,15,0)),0,VLOOKUP($T$179,'TAR FIN'!$A$1:$O$91,15,0))</f>
        <v>1755.54</v>
      </c>
      <c r="X179" s="4">
        <f>IF(ISERROR(VLOOKUP($U$179,'TAR FIN'!$A$1:$O$91,15,0)),0,VLOOKUP($U$179,'TAR FIN'!$A$1:$O$91,15,0))</f>
        <v>298.83999999999997</v>
      </c>
      <c r="Y179" s="4"/>
      <c r="Z179" s="4">
        <f ca="1">('TUSD BE'!$AM$14+'TUSD BF'!$AM$14+'TUSD CVA'!$AM$14)*1</f>
        <v>1891.4266775287376</v>
      </c>
      <c r="AA179" s="4">
        <f>('TE BE'!$AB$5+'TE BF'!$AB$5+'TE CVA'!$AB$5)*1</f>
        <v>311.4117891483653</v>
      </c>
      <c r="AB179" s="4">
        <f>$K$179*$V$179</f>
        <v>0</v>
      </c>
      <c r="AC179" s="4">
        <f>$M$179*$W$179</f>
        <v>21572.075519999999</v>
      </c>
      <c r="AD179" s="4">
        <f>$O$179*$X$179</f>
        <v>3672.1459199999999</v>
      </c>
      <c r="AE179" s="4">
        <f>$K$179*$Y$179</f>
        <v>0</v>
      </c>
      <c r="AF179" s="4">
        <f ca="1">$M$179*$Z$179</f>
        <v>23241.85101347313</v>
      </c>
      <c r="AG179" s="4">
        <f>$O$179*$AA$179</f>
        <v>3826.628065055113</v>
      </c>
    </row>
    <row r="180" spans="1:33" ht="11.25" customHeight="1" x14ac:dyDescent="0.3">
      <c r="A180" s="3" t="s">
        <v>28</v>
      </c>
      <c r="B180" s="3" t="s">
        <v>39</v>
      </c>
      <c r="C180" s="3" t="s">
        <v>40</v>
      </c>
      <c r="D180" s="3" t="s">
        <v>38</v>
      </c>
      <c r="E180" s="3" t="s">
        <v>25</v>
      </c>
      <c r="F180" s="3" t="s">
        <v>25</v>
      </c>
      <c r="G180" s="3" t="s">
        <v>25</v>
      </c>
      <c r="H180" s="3" t="s">
        <v>34</v>
      </c>
      <c r="I180" s="6">
        <v>44621</v>
      </c>
      <c r="J180" s="4">
        <v>0</v>
      </c>
      <c r="K180" s="4">
        <v>0</v>
      </c>
      <c r="L180" s="4">
        <v>1.0920000000000001</v>
      </c>
      <c r="M180" s="4">
        <v>1.0920000000000001</v>
      </c>
      <c r="N180" s="4">
        <v>1.0920000000000001</v>
      </c>
      <c r="O180" s="4">
        <v>1.0920000000000001</v>
      </c>
      <c r="P180" s="4">
        <v>0</v>
      </c>
      <c r="Q180" s="3" t="s">
        <v>26</v>
      </c>
      <c r="R180" s="3">
        <v>0</v>
      </c>
      <c r="S180" s="4">
        <v>0</v>
      </c>
      <c r="T180" s="4">
        <v>10</v>
      </c>
      <c r="U180" s="4">
        <v>51</v>
      </c>
      <c r="V180" s="4">
        <f>IF(ISERROR(VLOOKUP($S$180,'TAR FIN'!$A$1:$O$91,15,0)),0,VLOOKUP($S$180,'TAR FIN'!$A$1:$O$91,15,0))</f>
        <v>0</v>
      </c>
      <c r="W180" s="4">
        <f>IF(ISERROR(VLOOKUP($T$180,'TAR FIN'!$A$1:$O$91,15,0)),0,VLOOKUP($T$180,'TAR FIN'!$A$1:$O$91,15,0))</f>
        <v>1755.54</v>
      </c>
      <c r="X180" s="4">
        <f>IF(ISERROR(VLOOKUP($U$180,'TAR FIN'!$A$1:$O$91,15,0)),0,VLOOKUP($U$180,'TAR FIN'!$A$1:$O$91,15,0))</f>
        <v>298.83999999999997</v>
      </c>
      <c r="Y180" s="4"/>
      <c r="Z180" s="4">
        <f ca="1">('TUSD BE'!$AM$14+'TUSD BF'!$AM$14+'TUSD CVA'!$AM$14)*1</f>
        <v>1891.4266775287376</v>
      </c>
      <c r="AA180" s="4">
        <f>('TE BE'!$AB$5+'TE BF'!$AB$5+'TE CVA'!$AB$5)*1</f>
        <v>311.4117891483653</v>
      </c>
      <c r="AB180" s="4">
        <f>$K$180*$V$180</f>
        <v>0</v>
      </c>
      <c r="AC180" s="4">
        <f>$M$180*$W$180</f>
        <v>1917.0496800000001</v>
      </c>
      <c r="AD180" s="4">
        <f>$O$180*$X$180</f>
        <v>326.33328</v>
      </c>
      <c r="AE180" s="4">
        <f>$K$180*$Y$180</f>
        <v>0</v>
      </c>
      <c r="AF180" s="4">
        <f ca="1">$M$180*$Z$180</f>
        <v>2065.4379318613815</v>
      </c>
      <c r="AG180" s="4">
        <f>$O$180*$AA$180</f>
        <v>340.06167375001496</v>
      </c>
    </row>
    <row r="181" spans="1:33" ht="11.25" customHeight="1" x14ac:dyDescent="0.3">
      <c r="A181" s="3" t="s">
        <v>21</v>
      </c>
      <c r="B181" s="3" t="s">
        <v>39</v>
      </c>
      <c r="C181" s="3" t="s">
        <v>40</v>
      </c>
      <c r="D181" s="3" t="s">
        <v>38</v>
      </c>
      <c r="E181" s="3" t="s">
        <v>25</v>
      </c>
      <c r="F181" s="3" t="s">
        <v>25</v>
      </c>
      <c r="G181" s="3" t="s">
        <v>25</v>
      </c>
      <c r="H181" s="3" t="s">
        <v>34</v>
      </c>
      <c r="I181" s="6">
        <v>44652</v>
      </c>
      <c r="J181" s="4">
        <v>0</v>
      </c>
      <c r="K181" s="4">
        <v>0</v>
      </c>
      <c r="L181" s="4">
        <v>10.167</v>
      </c>
      <c r="M181" s="4">
        <v>10.167</v>
      </c>
      <c r="N181" s="4">
        <v>10.167</v>
      </c>
      <c r="O181" s="4">
        <v>10.167</v>
      </c>
      <c r="P181" s="4">
        <v>0</v>
      </c>
      <c r="Q181" s="3" t="s">
        <v>26</v>
      </c>
      <c r="R181" s="3">
        <v>0</v>
      </c>
      <c r="S181" s="4">
        <v>0</v>
      </c>
      <c r="T181" s="4">
        <v>10</v>
      </c>
      <c r="U181" s="4">
        <v>51</v>
      </c>
      <c r="V181" s="4">
        <f>IF(ISERROR(VLOOKUP($S$181,'TAR FIN'!$A$1:$O$91,15,0)),0,VLOOKUP($S$181,'TAR FIN'!$A$1:$O$91,15,0))</f>
        <v>0</v>
      </c>
      <c r="W181" s="4">
        <f>IF(ISERROR(VLOOKUP($T$181,'TAR FIN'!$A$1:$O$91,15,0)),0,VLOOKUP($T$181,'TAR FIN'!$A$1:$O$91,15,0))</f>
        <v>1755.54</v>
      </c>
      <c r="X181" s="4">
        <f>IF(ISERROR(VLOOKUP($U$181,'TAR FIN'!$A$1:$O$91,15,0)),0,VLOOKUP($U$181,'TAR FIN'!$A$1:$O$91,15,0))</f>
        <v>298.83999999999997</v>
      </c>
      <c r="Y181" s="4"/>
      <c r="Z181" s="4">
        <f ca="1">('TUSD BE'!$AM$14+'TUSD BF'!$AM$14+'TUSD CVA'!$AM$14)*1</f>
        <v>1891.4266775287376</v>
      </c>
      <c r="AA181" s="4">
        <f>('TE BE'!$AB$5+'TE BF'!$AB$5+'TE CVA'!$AB$5)*1</f>
        <v>311.4117891483653</v>
      </c>
      <c r="AB181" s="4">
        <f>$K$181*$V$181</f>
        <v>0</v>
      </c>
      <c r="AC181" s="4">
        <f>$M$181*$W$181</f>
        <v>17848.57518</v>
      </c>
      <c r="AD181" s="4">
        <f>$O$181*$X$181</f>
        <v>3038.3062799999998</v>
      </c>
      <c r="AE181" s="4">
        <f>$K$181*$Y$181</f>
        <v>0</v>
      </c>
      <c r="AF181" s="4">
        <f ca="1">$M$181*$Z$181</f>
        <v>19230.135030434674</v>
      </c>
      <c r="AG181" s="4">
        <f>$O$181*$AA$181</f>
        <v>3166.1236602714298</v>
      </c>
    </row>
    <row r="182" spans="1:33" ht="11.25" customHeight="1" x14ac:dyDescent="0.3">
      <c r="A182" s="3" t="s">
        <v>28</v>
      </c>
      <c r="B182" s="3" t="s">
        <v>39</v>
      </c>
      <c r="C182" s="3" t="s">
        <v>40</v>
      </c>
      <c r="D182" s="3" t="s">
        <v>38</v>
      </c>
      <c r="E182" s="3" t="s">
        <v>25</v>
      </c>
      <c r="F182" s="3" t="s">
        <v>25</v>
      </c>
      <c r="G182" s="3" t="s">
        <v>25</v>
      </c>
      <c r="H182" s="3" t="s">
        <v>34</v>
      </c>
      <c r="I182" s="6">
        <v>44652</v>
      </c>
      <c r="J182" s="4">
        <v>0</v>
      </c>
      <c r="K182" s="4">
        <v>0</v>
      </c>
      <c r="L182" s="4">
        <v>1.2410000000000001</v>
      </c>
      <c r="M182" s="4">
        <v>1.2410000000000001</v>
      </c>
      <c r="N182" s="4">
        <v>1.2410000000000001</v>
      </c>
      <c r="O182" s="4">
        <v>1.2410000000000001</v>
      </c>
      <c r="P182" s="4">
        <v>0</v>
      </c>
      <c r="Q182" s="3" t="s">
        <v>26</v>
      </c>
      <c r="R182" s="3">
        <v>0</v>
      </c>
      <c r="S182" s="4">
        <v>0</v>
      </c>
      <c r="T182" s="4">
        <v>10</v>
      </c>
      <c r="U182" s="4">
        <v>51</v>
      </c>
      <c r="V182" s="4">
        <f>IF(ISERROR(VLOOKUP($S$182,'TAR FIN'!$A$1:$O$91,15,0)),0,VLOOKUP($S$182,'TAR FIN'!$A$1:$O$91,15,0))</f>
        <v>0</v>
      </c>
      <c r="W182" s="4">
        <f>IF(ISERROR(VLOOKUP($T$182,'TAR FIN'!$A$1:$O$91,15,0)),0,VLOOKUP($T$182,'TAR FIN'!$A$1:$O$91,15,0))</f>
        <v>1755.54</v>
      </c>
      <c r="X182" s="4">
        <f>IF(ISERROR(VLOOKUP($U$182,'TAR FIN'!$A$1:$O$91,15,0)),0,VLOOKUP($U$182,'TAR FIN'!$A$1:$O$91,15,0))</f>
        <v>298.83999999999997</v>
      </c>
      <c r="Y182" s="4"/>
      <c r="Z182" s="4">
        <f ca="1">('TUSD BE'!$AM$14+'TUSD BF'!$AM$14+'TUSD CVA'!$AM$14)*1</f>
        <v>1891.4266775287376</v>
      </c>
      <c r="AA182" s="4">
        <f>('TE BE'!$AB$5+'TE BF'!$AB$5+'TE CVA'!$AB$5)*1</f>
        <v>311.4117891483653</v>
      </c>
      <c r="AB182" s="4">
        <f>$K$182*$V$182</f>
        <v>0</v>
      </c>
      <c r="AC182" s="4">
        <f>$M$182*$W$182</f>
        <v>2178.6251400000001</v>
      </c>
      <c r="AD182" s="4">
        <f>$O$182*$X$182</f>
        <v>370.86043999999998</v>
      </c>
      <c r="AE182" s="4">
        <f>$K$182*$Y$182</f>
        <v>0</v>
      </c>
      <c r="AF182" s="4">
        <f ca="1">$M$182*$Z$182</f>
        <v>2347.2605068131634</v>
      </c>
      <c r="AG182" s="4">
        <f>$O$182*$AA$182</f>
        <v>386.46203033312139</v>
      </c>
    </row>
    <row r="183" spans="1:33" ht="11.25" customHeight="1" x14ac:dyDescent="0.3">
      <c r="A183" s="3" t="s">
        <v>21</v>
      </c>
      <c r="B183" s="3" t="s">
        <v>39</v>
      </c>
      <c r="C183" s="3" t="s">
        <v>40</v>
      </c>
      <c r="D183" s="3" t="s">
        <v>38</v>
      </c>
      <c r="E183" s="3" t="s">
        <v>25</v>
      </c>
      <c r="F183" s="3" t="s">
        <v>25</v>
      </c>
      <c r="G183" s="3" t="s">
        <v>25</v>
      </c>
      <c r="H183" s="3" t="s">
        <v>34</v>
      </c>
      <c r="I183" s="6">
        <v>44682</v>
      </c>
      <c r="J183" s="4">
        <v>0</v>
      </c>
      <c r="K183" s="4">
        <v>0</v>
      </c>
      <c r="L183" s="4">
        <v>12.448</v>
      </c>
      <c r="M183" s="4">
        <v>12.448</v>
      </c>
      <c r="N183" s="4">
        <v>12.448</v>
      </c>
      <c r="O183" s="4">
        <v>12.448</v>
      </c>
      <c r="P183" s="4">
        <v>0</v>
      </c>
      <c r="Q183" s="3" t="s">
        <v>26</v>
      </c>
      <c r="R183" s="3">
        <v>0</v>
      </c>
      <c r="S183" s="4">
        <v>0</v>
      </c>
      <c r="T183" s="4">
        <v>10</v>
      </c>
      <c r="U183" s="4">
        <v>51</v>
      </c>
      <c r="V183" s="4">
        <f>IF(ISERROR(VLOOKUP($S$183,'TAR FIN'!$A$1:$O$91,15,0)),0,VLOOKUP($S$183,'TAR FIN'!$A$1:$O$91,15,0))</f>
        <v>0</v>
      </c>
      <c r="W183" s="4">
        <f>IF(ISERROR(VLOOKUP($T$183,'TAR FIN'!$A$1:$O$91,15,0)),0,VLOOKUP($T$183,'TAR FIN'!$A$1:$O$91,15,0))</f>
        <v>1755.54</v>
      </c>
      <c r="X183" s="4">
        <f>IF(ISERROR(VLOOKUP($U$183,'TAR FIN'!$A$1:$O$91,15,0)),0,VLOOKUP($U$183,'TAR FIN'!$A$1:$O$91,15,0))</f>
        <v>298.83999999999997</v>
      </c>
      <c r="Y183" s="4"/>
      <c r="Z183" s="4">
        <f ca="1">('TUSD BE'!$AM$14+'TUSD BF'!$AM$14+'TUSD CVA'!$AM$14)*1</f>
        <v>1891.4266775287376</v>
      </c>
      <c r="AA183" s="4">
        <f>('TE BE'!$AB$5+'TE BF'!$AB$5+'TE CVA'!$AB$5)*1</f>
        <v>311.4117891483653</v>
      </c>
      <c r="AB183" s="4">
        <f>$K$183*$V$183</f>
        <v>0</v>
      </c>
      <c r="AC183" s="4">
        <f>$M$183*$W$183</f>
        <v>21852.961920000002</v>
      </c>
      <c r="AD183" s="4">
        <f>$O$183*$X$183</f>
        <v>3719.9603199999997</v>
      </c>
      <c r="AE183" s="4">
        <f>$K$183*$Y$183</f>
        <v>0</v>
      </c>
      <c r="AF183" s="4">
        <f ca="1">$M$183*$Z$183</f>
        <v>23544.479281877728</v>
      </c>
      <c r="AG183" s="4">
        <f>$O$183*$AA$183</f>
        <v>3876.4539513188515</v>
      </c>
    </row>
    <row r="184" spans="1:33" ht="11.25" customHeight="1" x14ac:dyDescent="0.3">
      <c r="A184" s="3" t="s">
        <v>28</v>
      </c>
      <c r="B184" s="3" t="s">
        <v>39</v>
      </c>
      <c r="C184" s="3" t="s">
        <v>40</v>
      </c>
      <c r="D184" s="3" t="s">
        <v>38</v>
      </c>
      <c r="E184" s="3" t="s">
        <v>25</v>
      </c>
      <c r="F184" s="3" t="s">
        <v>25</v>
      </c>
      <c r="G184" s="3" t="s">
        <v>25</v>
      </c>
      <c r="H184" s="3" t="s">
        <v>34</v>
      </c>
      <c r="I184" s="6">
        <v>44682</v>
      </c>
      <c r="J184" s="4">
        <v>0</v>
      </c>
      <c r="K184" s="4">
        <v>0</v>
      </c>
      <c r="L184" s="4">
        <v>0.84899999999999998</v>
      </c>
      <c r="M184" s="4">
        <v>0.84899999999999998</v>
      </c>
      <c r="N184" s="4">
        <v>0.84899999999999998</v>
      </c>
      <c r="O184" s="4">
        <v>0.84899999999999998</v>
      </c>
      <c r="P184" s="4">
        <v>0</v>
      </c>
      <c r="Q184" s="3" t="s">
        <v>26</v>
      </c>
      <c r="R184" s="3">
        <v>0</v>
      </c>
      <c r="S184" s="4">
        <v>0</v>
      </c>
      <c r="T184" s="4">
        <v>10</v>
      </c>
      <c r="U184" s="4">
        <v>51</v>
      </c>
      <c r="V184" s="4">
        <f>IF(ISERROR(VLOOKUP($S$184,'TAR FIN'!$A$1:$O$91,15,0)),0,VLOOKUP($S$184,'TAR FIN'!$A$1:$O$91,15,0))</f>
        <v>0</v>
      </c>
      <c r="W184" s="4">
        <f>IF(ISERROR(VLOOKUP($T$184,'TAR FIN'!$A$1:$O$91,15,0)),0,VLOOKUP($T$184,'TAR FIN'!$A$1:$O$91,15,0))</f>
        <v>1755.54</v>
      </c>
      <c r="X184" s="4">
        <f>IF(ISERROR(VLOOKUP($U$184,'TAR FIN'!$A$1:$O$91,15,0)),0,VLOOKUP($U$184,'TAR FIN'!$A$1:$O$91,15,0))</f>
        <v>298.83999999999997</v>
      </c>
      <c r="Y184" s="4"/>
      <c r="Z184" s="4">
        <f ca="1">('TUSD BE'!$AM$14+'TUSD BF'!$AM$14+'TUSD CVA'!$AM$14)*1</f>
        <v>1891.4266775287376</v>
      </c>
      <c r="AA184" s="4">
        <f>('TE BE'!$AB$5+'TE BF'!$AB$5+'TE CVA'!$AB$5)*1</f>
        <v>311.4117891483653</v>
      </c>
      <c r="AB184" s="4">
        <f>$K$184*$V$184</f>
        <v>0</v>
      </c>
      <c r="AC184" s="4">
        <f>$M$184*$W$184</f>
        <v>1490.45346</v>
      </c>
      <c r="AD184" s="4">
        <f>$O$184*$X$184</f>
        <v>253.71515999999997</v>
      </c>
      <c r="AE184" s="4">
        <f>$K$184*$Y$184</f>
        <v>0</v>
      </c>
      <c r="AF184" s="4">
        <f ca="1">$M$184*$Z$184</f>
        <v>1605.8212492218981</v>
      </c>
      <c r="AG184" s="4">
        <f>$O$184*$AA$184</f>
        <v>264.38860898696214</v>
      </c>
    </row>
    <row r="185" spans="1:33" ht="11.25" customHeight="1" x14ac:dyDescent="0.3">
      <c r="A185" s="3" t="s">
        <v>21</v>
      </c>
      <c r="B185" s="3" t="s">
        <v>39</v>
      </c>
      <c r="C185" s="3" t="s">
        <v>40</v>
      </c>
      <c r="D185" s="3" t="s">
        <v>38</v>
      </c>
      <c r="E185" s="3" t="s">
        <v>25</v>
      </c>
      <c r="F185" s="3" t="s">
        <v>25</v>
      </c>
      <c r="G185" s="3" t="s">
        <v>25</v>
      </c>
      <c r="H185" s="3" t="s">
        <v>34</v>
      </c>
      <c r="I185" s="6">
        <v>44713</v>
      </c>
      <c r="J185" s="4">
        <v>0</v>
      </c>
      <c r="K185" s="4">
        <v>0</v>
      </c>
      <c r="L185" s="4">
        <v>11.606999999999999</v>
      </c>
      <c r="M185" s="4">
        <v>11.606999999999999</v>
      </c>
      <c r="N185" s="4">
        <v>11.606999999999999</v>
      </c>
      <c r="O185" s="4">
        <v>11.606999999999999</v>
      </c>
      <c r="P185" s="4">
        <v>0</v>
      </c>
      <c r="Q185" s="3" t="s">
        <v>26</v>
      </c>
      <c r="R185" s="3">
        <v>0</v>
      </c>
      <c r="S185" s="4">
        <v>0</v>
      </c>
      <c r="T185" s="4">
        <v>10</v>
      </c>
      <c r="U185" s="4">
        <v>51</v>
      </c>
      <c r="V185" s="4">
        <f>IF(ISERROR(VLOOKUP($S$185,'TAR FIN'!$A$1:$O$91,15,0)),0,VLOOKUP($S$185,'TAR FIN'!$A$1:$O$91,15,0))</f>
        <v>0</v>
      </c>
      <c r="W185" s="4">
        <f>IF(ISERROR(VLOOKUP($T$185,'TAR FIN'!$A$1:$O$91,15,0)),0,VLOOKUP($T$185,'TAR FIN'!$A$1:$O$91,15,0))</f>
        <v>1755.54</v>
      </c>
      <c r="X185" s="4">
        <f>IF(ISERROR(VLOOKUP($U$185,'TAR FIN'!$A$1:$O$91,15,0)),0,VLOOKUP($U$185,'TAR FIN'!$A$1:$O$91,15,0))</f>
        <v>298.83999999999997</v>
      </c>
      <c r="Y185" s="4"/>
      <c r="Z185" s="4">
        <f ca="1">('TUSD BE'!$AM$14+'TUSD BF'!$AM$14+'TUSD CVA'!$AM$14)*1</f>
        <v>1891.4266775287376</v>
      </c>
      <c r="AA185" s="4">
        <f>('TE BE'!$AB$5+'TE BF'!$AB$5+'TE CVA'!$AB$5)*1</f>
        <v>311.4117891483653</v>
      </c>
      <c r="AB185" s="4">
        <f>$K$185*$V$185</f>
        <v>0</v>
      </c>
      <c r="AC185" s="4">
        <f>$M$185*$W$185</f>
        <v>20376.552779999998</v>
      </c>
      <c r="AD185" s="4">
        <f>$O$185*$X$185</f>
        <v>3468.6358799999994</v>
      </c>
      <c r="AE185" s="4">
        <f>$K$185*$Y$185</f>
        <v>0</v>
      </c>
      <c r="AF185" s="4">
        <f ca="1">$M$185*$Z$185</f>
        <v>21953.789446076058</v>
      </c>
      <c r="AG185" s="4">
        <f>$O$185*$AA$185</f>
        <v>3614.5566366450757</v>
      </c>
    </row>
    <row r="186" spans="1:33" ht="11.25" customHeight="1" x14ac:dyDescent="0.3">
      <c r="A186" s="3" t="s">
        <v>28</v>
      </c>
      <c r="B186" s="3" t="s">
        <v>39</v>
      </c>
      <c r="C186" s="3" t="s">
        <v>40</v>
      </c>
      <c r="D186" s="3" t="s">
        <v>38</v>
      </c>
      <c r="E186" s="3" t="s">
        <v>25</v>
      </c>
      <c r="F186" s="3" t="s">
        <v>25</v>
      </c>
      <c r="G186" s="3" t="s">
        <v>25</v>
      </c>
      <c r="H186" s="3" t="s">
        <v>34</v>
      </c>
      <c r="I186" s="6">
        <v>44713</v>
      </c>
      <c r="J186" s="4">
        <v>0</v>
      </c>
      <c r="K186" s="4">
        <v>0</v>
      </c>
      <c r="L186" s="4">
        <v>0.255</v>
      </c>
      <c r="M186" s="4">
        <v>0.255</v>
      </c>
      <c r="N186" s="4">
        <v>0.255</v>
      </c>
      <c r="O186" s="4">
        <v>0.255</v>
      </c>
      <c r="P186" s="4">
        <v>0</v>
      </c>
      <c r="Q186" s="3" t="s">
        <v>26</v>
      </c>
      <c r="R186" s="3">
        <v>0</v>
      </c>
      <c r="S186" s="4">
        <v>0</v>
      </c>
      <c r="T186" s="4">
        <v>10</v>
      </c>
      <c r="U186" s="4">
        <v>51</v>
      </c>
      <c r="V186" s="4">
        <f>IF(ISERROR(VLOOKUP($S$186,'TAR FIN'!$A$1:$O$91,15,0)),0,VLOOKUP($S$186,'TAR FIN'!$A$1:$O$91,15,0))</f>
        <v>0</v>
      </c>
      <c r="W186" s="4">
        <f>IF(ISERROR(VLOOKUP($T$186,'TAR FIN'!$A$1:$O$91,15,0)),0,VLOOKUP($T$186,'TAR FIN'!$A$1:$O$91,15,0))</f>
        <v>1755.54</v>
      </c>
      <c r="X186" s="4">
        <f>IF(ISERROR(VLOOKUP($U$186,'TAR FIN'!$A$1:$O$91,15,0)),0,VLOOKUP($U$186,'TAR FIN'!$A$1:$O$91,15,0))</f>
        <v>298.83999999999997</v>
      </c>
      <c r="Y186" s="4"/>
      <c r="Z186" s="4">
        <f ca="1">('TUSD BE'!$AM$14+'TUSD BF'!$AM$14+'TUSD CVA'!$AM$14)*1</f>
        <v>1891.4266775287376</v>
      </c>
      <c r="AA186" s="4">
        <f>('TE BE'!$AB$5+'TE BF'!$AB$5+'TE CVA'!$AB$5)*1</f>
        <v>311.4117891483653</v>
      </c>
      <c r="AB186" s="4">
        <f>$K$186*$V$186</f>
        <v>0</v>
      </c>
      <c r="AC186" s="4">
        <f>$M$186*$W$186</f>
        <v>447.66269999999997</v>
      </c>
      <c r="AD186" s="4">
        <f>$O$186*$X$186</f>
        <v>76.2042</v>
      </c>
      <c r="AE186" s="4">
        <f>$K$186*$Y$186</f>
        <v>0</v>
      </c>
      <c r="AF186" s="4">
        <f ca="1">$M$186*$Z$186</f>
        <v>482.3138027698281</v>
      </c>
      <c r="AG186" s="4">
        <f>$O$186*$AA$186</f>
        <v>79.410006232833155</v>
      </c>
    </row>
    <row r="187" spans="1:33" ht="11.25" customHeight="1" x14ac:dyDescent="0.3">
      <c r="A187" s="3" t="s">
        <v>21</v>
      </c>
      <c r="B187" s="3" t="s">
        <v>39</v>
      </c>
      <c r="C187" s="3" t="s">
        <v>40</v>
      </c>
      <c r="D187" s="3" t="s">
        <v>44</v>
      </c>
      <c r="E187" s="3" t="s">
        <v>25</v>
      </c>
      <c r="F187" s="3" t="s">
        <v>25</v>
      </c>
      <c r="G187" s="3" t="s">
        <v>25</v>
      </c>
      <c r="H187" s="3" t="s">
        <v>35</v>
      </c>
      <c r="I187" s="6">
        <v>44378</v>
      </c>
      <c r="J187" s="4">
        <v>0</v>
      </c>
      <c r="K187" s="4">
        <v>0</v>
      </c>
      <c r="L187" s="4">
        <v>8.4309999999999992</v>
      </c>
      <c r="M187" s="4">
        <v>8.4309999999999992</v>
      </c>
      <c r="N187" s="4">
        <v>8.4309999999999992</v>
      </c>
      <c r="O187" s="4">
        <v>8.4309999999999992</v>
      </c>
      <c r="P187" s="4">
        <v>0</v>
      </c>
      <c r="Q187" s="3" t="s">
        <v>26</v>
      </c>
      <c r="R187" s="3">
        <v>0</v>
      </c>
      <c r="S187" s="4">
        <v>0</v>
      </c>
      <c r="T187" s="4">
        <v>11</v>
      </c>
      <c r="U187" s="4">
        <v>52</v>
      </c>
      <c r="V187" s="4">
        <f>IF(ISERROR(VLOOKUP($S$187,'TAR FIN'!$A$1:$O$91,15,0)),0,VLOOKUP($S$187,'TAR FIN'!$A$1:$O$91,15,0))</f>
        <v>0</v>
      </c>
      <c r="W187" s="4">
        <f>IF(ISERROR(VLOOKUP($T$187,'TAR FIN'!$A$1:$O$91,15,0)),0,VLOOKUP($T$187,'TAR FIN'!$A$1:$O$91,15,0))</f>
        <v>90.54</v>
      </c>
      <c r="X187" s="4">
        <f>IF(ISERROR(VLOOKUP($U$187,'TAR FIN'!$A$1:$O$91,15,0)),0,VLOOKUP($U$187,'TAR FIN'!$A$1:$O$91,15,0))</f>
        <v>189.96</v>
      </c>
      <c r="Y187" s="4"/>
      <c r="Z187" s="4">
        <f ca="1">('TUSD BE'!$AM$15+'TUSD BF'!$AM$15+'TUSD CVA'!$AM$15)*1</f>
        <v>104.1465119197419</v>
      </c>
      <c r="AA187" s="4">
        <f>('TE BE'!$AB$6+'TE BF'!$AB$6+'TE CVA'!$AB$6)*1</f>
        <v>195.89707226799715</v>
      </c>
      <c r="AB187" s="4">
        <f>$K$187*$V$187</f>
        <v>0</v>
      </c>
      <c r="AC187" s="4">
        <f>$M$187*$W$187</f>
        <v>763.34273999999994</v>
      </c>
      <c r="AD187" s="4">
        <f>$O$187*$X$187</f>
        <v>1601.5527599999998</v>
      </c>
      <c r="AE187" s="4">
        <f>$K$187*$Y$187</f>
        <v>0</v>
      </c>
      <c r="AF187" s="4">
        <f ca="1">$M$187*$Z$187</f>
        <v>878.05924199534388</v>
      </c>
      <c r="AG187" s="4">
        <f>$O$187*$AA$187</f>
        <v>1651.6082162914838</v>
      </c>
    </row>
    <row r="188" spans="1:33" ht="11.25" customHeight="1" x14ac:dyDescent="0.3">
      <c r="A188" s="3" t="s">
        <v>21</v>
      </c>
      <c r="B188" s="3" t="s">
        <v>39</v>
      </c>
      <c r="C188" s="3" t="s">
        <v>40</v>
      </c>
      <c r="D188" s="3" t="s">
        <v>44</v>
      </c>
      <c r="E188" s="3" t="s">
        <v>25</v>
      </c>
      <c r="F188" s="3" t="s">
        <v>25</v>
      </c>
      <c r="G188" s="3" t="s">
        <v>25</v>
      </c>
      <c r="H188" s="3" t="s">
        <v>35</v>
      </c>
      <c r="I188" s="6">
        <v>44409</v>
      </c>
      <c r="J188" s="4">
        <v>0</v>
      </c>
      <c r="K188" s="4">
        <v>0</v>
      </c>
      <c r="L188" s="4">
        <v>8.1370000000000005</v>
      </c>
      <c r="M188" s="4">
        <v>8.1370000000000005</v>
      </c>
      <c r="N188" s="4">
        <v>8.1370000000000005</v>
      </c>
      <c r="O188" s="4">
        <v>8.1370000000000005</v>
      </c>
      <c r="P188" s="4">
        <v>0</v>
      </c>
      <c r="Q188" s="3" t="s">
        <v>26</v>
      </c>
      <c r="R188" s="3">
        <v>0</v>
      </c>
      <c r="S188" s="4">
        <v>0</v>
      </c>
      <c r="T188" s="4">
        <v>11</v>
      </c>
      <c r="U188" s="4">
        <v>52</v>
      </c>
      <c r="V188" s="4">
        <f>IF(ISERROR(VLOOKUP($S$188,'TAR FIN'!$A$1:$O$91,15,0)),0,VLOOKUP($S$188,'TAR FIN'!$A$1:$O$91,15,0))</f>
        <v>0</v>
      </c>
      <c r="W188" s="4">
        <f>IF(ISERROR(VLOOKUP($T$188,'TAR FIN'!$A$1:$O$91,15,0)),0,VLOOKUP($T$188,'TAR FIN'!$A$1:$O$91,15,0))</f>
        <v>90.54</v>
      </c>
      <c r="X188" s="4">
        <f>IF(ISERROR(VLOOKUP($U$188,'TAR FIN'!$A$1:$O$91,15,0)),0,VLOOKUP($U$188,'TAR FIN'!$A$1:$O$91,15,0))</f>
        <v>189.96</v>
      </c>
      <c r="Y188" s="4"/>
      <c r="Z188" s="4">
        <f ca="1">('TUSD BE'!$AM$15+'TUSD BF'!$AM$15+'TUSD CVA'!$AM$15)*1</f>
        <v>104.1465119197419</v>
      </c>
      <c r="AA188" s="4">
        <f>('TE BE'!$AB$6+'TE BF'!$AB$6+'TE CVA'!$AB$6)*1</f>
        <v>195.89707226799715</v>
      </c>
      <c r="AB188" s="4">
        <f>$K$188*$V$188</f>
        <v>0</v>
      </c>
      <c r="AC188" s="4">
        <f>$M$188*$W$188</f>
        <v>736.7239800000001</v>
      </c>
      <c r="AD188" s="4">
        <f>$O$188*$X$188</f>
        <v>1545.7045200000002</v>
      </c>
      <c r="AE188" s="4">
        <f>$K$188*$Y$188</f>
        <v>0</v>
      </c>
      <c r="AF188" s="4">
        <f ca="1">$M$188*$Z$188</f>
        <v>847.44016749093987</v>
      </c>
      <c r="AG188" s="4">
        <f>$O$188*$AA$188</f>
        <v>1594.014477044693</v>
      </c>
    </row>
    <row r="189" spans="1:33" ht="11.25" customHeight="1" x14ac:dyDescent="0.3">
      <c r="A189" s="3" t="s">
        <v>21</v>
      </c>
      <c r="B189" s="3" t="s">
        <v>39</v>
      </c>
      <c r="C189" s="3" t="s">
        <v>40</v>
      </c>
      <c r="D189" s="3" t="s">
        <v>44</v>
      </c>
      <c r="E189" s="3" t="s">
        <v>25</v>
      </c>
      <c r="F189" s="3" t="s">
        <v>25</v>
      </c>
      <c r="G189" s="3" t="s">
        <v>25</v>
      </c>
      <c r="H189" s="3" t="s">
        <v>35</v>
      </c>
      <c r="I189" s="6">
        <v>44440</v>
      </c>
      <c r="J189" s="4">
        <v>0</v>
      </c>
      <c r="K189" s="4">
        <v>0</v>
      </c>
      <c r="L189" s="4">
        <v>7.1059999999999999</v>
      </c>
      <c r="M189" s="4">
        <v>7.1059999999999999</v>
      </c>
      <c r="N189" s="4">
        <v>7.1059999999999999</v>
      </c>
      <c r="O189" s="4">
        <v>7.1059999999999999</v>
      </c>
      <c r="P189" s="4">
        <v>0</v>
      </c>
      <c r="Q189" s="3" t="s">
        <v>26</v>
      </c>
      <c r="R189" s="3">
        <v>0</v>
      </c>
      <c r="S189" s="4">
        <v>0</v>
      </c>
      <c r="T189" s="4">
        <v>11</v>
      </c>
      <c r="U189" s="4">
        <v>52</v>
      </c>
      <c r="V189" s="4">
        <f>IF(ISERROR(VLOOKUP($S$189,'TAR FIN'!$A$1:$O$91,15,0)),0,VLOOKUP($S$189,'TAR FIN'!$A$1:$O$91,15,0))</f>
        <v>0</v>
      </c>
      <c r="W189" s="4">
        <f>IF(ISERROR(VLOOKUP($T$189,'TAR FIN'!$A$1:$O$91,15,0)),0,VLOOKUP($T$189,'TAR FIN'!$A$1:$O$91,15,0))</f>
        <v>90.54</v>
      </c>
      <c r="X189" s="4">
        <f>IF(ISERROR(VLOOKUP($U$189,'TAR FIN'!$A$1:$O$91,15,0)),0,VLOOKUP($U$189,'TAR FIN'!$A$1:$O$91,15,0))</f>
        <v>189.96</v>
      </c>
      <c r="Y189" s="4"/>
      <c r="Z189" s="4">
        <f ca="1">('TUSD BE'!$AM$15+'TUSD BF'!$AM$15+'TUSD CVA'!$AM$15)*1</f>
        <v>104.1465119197419</v>
      </c>
      <c r="AA189" s="4">
        <f>('TE BE'!$AB$6+'TE BF'!$AB$6+'TE CVA'!$AB$6)*1</f>
        <v>195.89707226799715</v>
      </c>
      <c r="AB189" s="4">
        <f>$K$189*$V$189</f>
        <v>0</v>
      </c>
      <c r="AC189" s="4">
        <f>$M$189*$W$189</f>
        <v>643.37724000000003</v>
      </c>
      <c r="AD189" s="4">
        <f>$O$189*$X$189</f>
        <v>1349.8557600000001</v>
      </c>
      <c r="AE189" s="4">
        <f>$K$189*$Y$189</f>
        <v>0</v>
      </c>
      <c r="AF189" s="4">
        <f ca="1">$M$189*$Z$189</f>
        <v>740.06511370168596</v>
      </c>
      <c r="AG189" s="4">
        <f>$O$189*$AA$189</f>
        <v>1392.0445955363878</v>
      </c>
    </row>
    <row r="190" spans="1:33" ht="11.25" customHeight="1" x14ac:dyDescent="0.3">
      <c r="A190" s="3" t="s">
        <v>21</v>
      </c>
      <c r="B190" s="3" t="s">
        <v>39</v>
      </c>
      <c r="C190" s="3" t="s">
        <v>40</v>
      </c>
      <c r="D190" s="3" t="s">
        <v>44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44470</v>
      </c>
      <c r="J190" s="4">
        <v>0</v>
      </c>
      <c r="K190" s="4">
        <v>0</v>
      </c>
      <c r="L190" s="4">
        <v>7.2560000000000002</v>
      </c>
      <c r="M190" s="4">
        <v>7.2560000000000002</v>
      </c>
      <c r="N190" s="4">
        <v>7.2560000000000002</v>
      </c>
      <c r="O190" s="4">
        <v>7.2560000000000002</v>
      </c>
      <c r="P190" s="4">
        <v>0</v>
      </c>
      <c r="Q190" s="3" t="s">
        <v>26</v>
      </c>
      <c r="R190" s="3">
        <v>0</v>
      </c>
      <c r="S190" s="4">
        <v>0</v>
      </c>
      <c r="T190" s="4">
        <v>11</v>
      </c>
      <c r="U190" s="4">
        <v>52</v>
      </c>
      <c r="V190" s="4">
        <f>IF(ISERROR(VLOOKUP($S$190,'TAR FIN'!$A$1:$O$91,15,0)),0,VLOOKUP($S$190,'TAR FIN'!$A$1:$O$91,15,0))</f>
        <v>0</v>
      </c>
      <c r="W190" s="4">
        <f>IF(ISERROR(VLOOKUP($T$190,'TAR FIN'!$A$1:$O$91,15,0)),0,VLOOKUP($T$190,'TAR FIN'!$A$1:$O$91,15,0))</f>
        <v>90.54</v>
      </c>
      <c r="X190" s="4">
        <f>IF(ISERROR(VLOOKUP($U$190,'TAR FIN'!$A$1:$O$91,15,0)),0,VLOOKUP($U$190,'TAR FIN'!$A$1:$O$91,15,0))</f>
        <v>189.96</v>
      </c>
      <c r="Y190" s="4"/>
      <c r="Z190" s="4">
        <f ca="1">('TUSD BE'!$AM$15+'TUSD BF'!$AM$15+'TUSD CVA'!$AM$15)*1</f>
        <v>104.1465119197419</v>
      </c>
      <c r="AA190" s="4">
        <f>('TE BE'!$AB$6+'TE BF'!$AB$6+'TE CVA'!$AB$6)*1</f>
        <v>195.89707226799715</v>
      </c>
      <c r="AB190" s="4">
        <f>$K$190*$V$190</f>
        <v>0</v>
      </c>
      <c r="AC190" s="4">
        <f>$M$190*$W$190</f>
        <v>656.95824000000005</v>
      </c>
      <c r="AD190" s="4">
        <f>$O$190*$X$190</f>
        <v>1378.3497600000001</v>
      </c>
      <c r="AE190" s="4">
        <f>$K$190*$Y$190</f>
        <v>0</v>
      </c>
      <c r="AF190" s="4">
        <f ca="1">$M$190*$Z$190</f>
        <v>755.68709048964718</v>
      </c>
      <c r="AG190" s="4">
        <f>$O$190*$AA$190</f>
        <v>1421.4291563765873</v>
      </c>
    </row>
    <row r="191" spans="1:33" ht="11.25" customHeight="1" x14ac:dyDescent="0.3">
      <c r="A191" s="3" t="s">
        <v>21</v>
      </c>
      <c r="B191" s="3" t="s">
        <v>39</v>
      </c>
      <c r="C191" s="3" t="s">
        <v>40</v>
      </c>
      <c r="D191" s="3" t="s">
        <v>44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44501</v>
      </c>
      <c r="J191" s="4">
        <v>0</v>
      </c>
      <c r="K191" s="4">
        <v>0</v>
      </c>
      <c r="L191" s="4">
        <v>8.3689999999999998</v>
      </c>
      <c r="M191" s="4">
        <v>8.3689999999999998</v>
      </c>
      <c r="N191" s="4">
        <v>8.3689999999999998</v>
      </c>
      <c r="O191" s="4">
        <v>8.3689999999999998</v>
      </c>
      <c r="P191" s="4">
        <v>0</v>
      </c>
      <c r="Q191" s="3" t="s">
        <v>26</v>
      </c>
      <c r="R191" s="3">
        <v>0</v>
      </c>
      <c r="S191" s="4">
        <v>0</v>
      </c>
      <c r="T191" s="4">
        <v>11</v>
      </c>
      <c r="U191" s="4">
        <v>52</v>
      </c>
      <c r="V191" s="4">
        <f>IF(ISERROR(VLOOKUP($S$191,'TAR FIN'!$A$1:$O$91,15,0)),0,VLOOKUP($S$191,'TAR FIN'!$A$1:$O$91,15,0))</f>
        <v>0</v>
      </c>
      <c r="W191" s="4">
        <f>IF(ISERROR(VLOOKUP($T$191,'TAR FIN'!$A$1:$O$91,15,0)),0,VLOOKUP($T$191,'TAR FIN'!$A$1:$O$91,15,0))</f>
        <v>90.54</v>
      </c>
      <c r="X191" s="4">
        <f>IF(ISERROR(VLOOKUP($U$191,'TAR FIN'!$A$1:$O$91,15,0)),0,VLOOKUP($U$191,'TAR FIN'!$A$1:$O$91,15,0))</f>
        <v>189.96</v>
      </c>
      <c r="Y191" s="4"/>
      <c r="Z191" s="4">
        <f ca="1">('TUSD BE'!$AM$15+'TUSD BF'!$AM$15+'TUSD CVA'!$AM$15)*1</f>
        <v>104.1465119197419</v>
      </c>
      <c r="AA191" s="4">
        <f>('TE BE'!$AB$6+'TE BF'!$AB$6+'TE CVA'!$AB$6)*1</f>
        <v>195.89707226799715</v>
      </c>
      <c r="AB191" s="4">
        <f>$K$191*$V$191</f>
        <v>0</v>
      </c>
      <c r="AC191" s="4">
        <f>$M$191*$W$191</f>
        <v>757.72926000000007</v>
      </c>
      <c r="AD191" s="4">
        <f>$O$191*$X$191</f>
        <v>1589.7752399999999</v>
      </c>
      <c r="AE191" s="4">
        <f>$K$191*$Y$191</f>
        <v>0</v>
      </c>
      <c r="AF191" s="4">
        <f ca="1">$M$191*$Z$191</f>
        <v>871.60215825631997</v>
      </c>
      <c r="AG191" s="4">
        <f>$O$191*$AA$191</f>
        <v>1639.4625978108681</v>
      </c>
    </row>
    <row r="192" spans="1:33" ht="11.25" customHeight="1" x14ac:dyDescent="0.3">
      <c r="A192" s="3" t="s">
        <v>21</v>
      </c>
      <c r="B192" s="3" t="s">
        <v>39</v>
      </c>
      <c r="C192" s="3" t="s">
        <v>40</v>
      </c>
      <c r="D192" s="3" t="s">
        <v>44</v>
      </c>
      <c r="E192" s="3" t="s">
        <v>25</v>
      </c>
      <c r="F192" s="3" t="s">
        <v>25</v>
      </c>
      <c r="G192" s="3" t="s">
        <v>25</v>
      </c>
      <c r="H192" s="3" t="s">
        <v>35</v>
      </c>
      <c r="I192" s="6">
        <v>44531</v>
      </c>
      <c r="J192" s="4">
        <v>0</v>
      </c>
      <c r="K192" s="4">
        <v>0</v>
      </c>
      <c r="L192" s="4">
        <v>8.6419999999999995</v>
      </c>
      <c r="M192" s="4">
        <v>8.6419999999999995</v>
      </c>
      <c r="N192" s="4">
        <v>8.6419999999999995</v>
      </c>
      <c r="O192" s="4">
        <v>8.6419999999999995</v>
      </c>
      <c r="P192" s="4">
        <v>0</v>
      </c>
      <c r="Q192" s="3" t="s">
        <v>26</v>
      </c>
      <c r="R192" s="3">
        <v>0</v>
      </c>
      <c r="S192" s="4">
        <v>0</v>
      </c>
      <c r="T192" s="4">
        <v>11</v>
      </c>
      <c r="U192" s="4">
        <v>52</v>
      </c>
      <c r="V192" s="4">
        <f>IF(ISERROR(VLOOKUP($S$192,'TAR FIN'!$A$1:$O$91,15,0)),0,VLOOKUP($S$192,'TAR FIN'!$A$1:$O$91,15,0))</f>
        <v>0</v>
      </c>
      <c r="W192" s="4">
        <f>IF(ISERROR(VLOOKUP($T$192,'TAR FIN'!$A$1:$O$91,15,0)),0,VLOOKUP($T$192,'TAR FIN'!$A$1:$O$91,15,0))</f>
        <v>90.54</v>
      </c>
      <c r="X192" s="4">
        <f>IF(ISERROR(VLOOKUP($U$192,'TAR FIN'!$A$1:$O$91,15,0)),0,VLOOKUP($U$192,'TAR FIN'!$A$1:$O$91,15,0))</f>
        <v>189.96</v>
      </c>
      <c r="Y192" s="4"/>
      <c r="Z192" s="4">
        <f ca="1">('TUSD BE'!$AM$15+'TUSD BF'!$AM$15+'TUSD CVA'!$AM$15)*1</f>
        <v>104.1465119197419</v>
      </c>
      <c r="AA192" s="4">
        <f>('TE BE'!$AB$6+'TE BF'!$AB$6+'TE CVA'!$AB$6)*1</f>
        <v>195.89707226799715</v>
      </c>
      <c r="AB192" s="4">
        <f>$K$192*$V$192</f>
        <v>0</v>
      </c>
      <c r="AC192" s="4">
        <f>$M$192*$W$192</f>
        <v>782.44668000000001</v>
      </c>
      <c r="AD192" s="4">
        <f>$O$192*$X$192</f>
        <v>1641.6343199999999</v>
      </c>
      <c r="AE192" s="4">
        <f>$K$192*$Y$192</f>
        <v>0</v>
      </c>
      <c r="AF192" s="4">
        <f ca="1">$M$192*$Z$192</f>
        <v>900.03415601040945</v>
      </c>
      <c r="AG192" s="4">
        <f>$O$192*$AA$192</f>
        <v>1692.9424985400312</v>
      </c>
    </row>
    <row r="193" spans="1:33" ht="11.25" customHeight="1" x14ac:dyDescent="0.3">
      <c r="A193" s="3" t="s">
        <v>21</v>
      </c>
      <c r="B193" s="3" t="s">
        <v>39</v>
      </c>
      <c r="C193" s="3" t="s">
        <v>40</v>
      </c>
      <c r="D193" s="3" t="s">
        <v>44</v>
      </c>
      <c r="E193" s="3" t="s">
        <v>25</v>
      </c>
      <c r="F193" s="3" t="s">
        <v>25</v>
      </c>
      <c r="G193" s="3" t="s">
        <v>25</v>
      </c>
      <c r="H193" s="3" t="s">
        <v>35</v>
      </c>
      <c r="I193" s="6">
        <v>44562</v>
      </c>
      <c r="J193" s="4">
        <v>0</v>
      </c>
      <c r="K193" s="4">
        <v>0</v>
      </c>
      <c r="L193" s="4">
        <v>10.266999999999999</v>
      </c>
      <c r="M193" s="4">
        <v>10.266999999999999</v>
      </c>
      <c r="N193" s="4">
        <v>10.266999999999999</v>
      </c>
      <c r="O193" s="4">
        <v>10.266999999999999</v>
      </c>
      <c r="P193" s="4">
        <v>0</v>
      </c>
      <c r="Q193" s="3" t="s">
        <v>26</v>
      </c>
      <c r="R193" s="3">
        <v>0</v>
      </c>
      <c r="S193" s="4">
        <v>0</v>
      </c>
      <c r="T193" s="4">
        <v>11</v>
      </c>
      <c r="U193" s="4">
        <v>52</v>
      </c>
      <c r="V193" s="4">
        <f>IF(ISERROR(VLOOKUP($S$193,'TAR FIN'!$A$1:$O$91,15,0)),0,VLOOKUP($S$193,'TAR FIN'!$A$1:$O$91,15,0))</f>
        <v>0</v>
      </c>
      <c r="W193" s="4">
        <f>IF(ISERROR(VLOOKUP($T$193,'TAR FIN'!$A$1:$O$91,15,0)),0,VLOOKUP($T$193,'TAR FIN'!$A$1:$O$91,15,0))</f>
        <v>90.54</v>
      </c>
      <c r="X193" s="4">
        <f>IF(ISERROR(VLOOKUP($U$193,'TAR FIN'!$A$1:$O$91,15,0)),0,VLOOKUP($U$193,'TAR FIN'!$A$1:$O$91,15,0))</f>
        <v>189.96</v>
      </c>
      <c r="Y193" s="4"/>
      <c r="Z193" s="4">
        <f ca="1">('TUSD BE'!$AM$15+'TUSD BF'!$AM$15+'TUSD CVA'!$AM$15)*1</f>
        <v>104.1465119197419</v>
      </c>
      <c r="AA193" s="4">
        <f>('TE BE'!$AB$6+'TE BF'!$AB$6+'TE CVA'!$AB$6)*1</f>
        <v>195.89707226799715</v>
      </c>
      <c r="AB193" s="4">
        <f>$K$193*$V$193</f>
        <v>0</v>
      </c>
      <c r="AC193" s="4">
        <f>$M$193*$W$193</f>
        <v>929.57418000000007</v>
      </c>
      <c r="AD193" s="4">
        <f>$O$193*$X$193</f>
        <v>1950.3193200000001</v>
      </c>
      <c r="AE193" s="4">
        <f>$K$193*$Y$193</f>
        <v>0</v>
      </c>
      <c r="AF193" s="4">
        <f ca="1">$M$193*$Z$193</f>
        <v>1069.2722378799899</v>
      </c>
      <c r="AG193" s="4">
        <f>$O$193*$AA$193</f>
        <v>2011.2752409755267</v>
      </c>
    </row>
    <row r="194" spans="1:33" ht="11.25" customHeight="1" x14ac:dyDescent="0.3">
      <c r="A194" s="3" t="s">
        <v>21</v>
      </c>
      <c r="B194" s="3" t="s">
        <v>39</v>
      </c>
      <c r="C194" s="3" t="s">
        <v>40</v>
      </c>
      <c r="D194" s="3" t="s">
        <v>44</v>
      </c>
      <c r="E194" s="3" t="s">
        <v>25</v>
      </c>
      <c r="F194" s="3" t="s">
        <v>25</v>
      </c>
      <c r="G194" s="3" t="s">
        <v>25</v>
      </c>
      <c r="H194" s="3" t="s">
        <v>35</v>
      </c>
      <c r="I194" s="6">
        <v>44593</v>
      </c>
      <c r="J194" s="4">
        <v>0</v>
      </c>
      <c r="K194" s="4">
        <v>0</v>
      </c>
      <c r="L194" s="4">
        <v>9.8369999999999997</v>
      </c>
      <c r="M194" s="4">
        <v>9.8369999999999997</v>
      </c>
      <c r="N194" s="4">
        <v>9.8369999999999997</v>
      </c>
      <c r="O194" s="4">
        <v>9.8369999999999997</v>
      </c>
      <c r="P194" s="4">
        <v>0</v>
      </c>
      <c r="Q194" s="3" t="s">
        <v>26</v>
      </c>
      <c r="R194" s="3">
        <v>0</v>
      </c>
      <c r="S194" s="4">
        <v>0</v>
      </c>
      <c r="T194" s="4">
        <v>11</v>
      </c>
      <c r="U194" s="4">
        <v>52</v>
      </c>
      <c r="V194" s="4">
        <f>IF(ISERROR(VLOOKUP($S$194,'TAR FIN'!$A$1:$O$91,15,0)),0,VLOOKUP($S$194,'TAR FIN'!$A$1:$O$91,15,0))</f>
        <v>0</v>
      </c>
      <c r="W194" s="4">
        <f>IF(ISERROR(VLOOKUP($T$194,'TAR FIN'!$A$1:$O$91,15,0)),0,VLOOKUP($T$194,'TAR FIN'!$A$1:$O$91,15,0))</f>
        <v>90.54</v>
      </c>
      <c r="X194" s="4">
        <f>IF(ISERROR(VLOOKUP($U$194,'TAR FIN'!$A$1:$O$91,15,0)),0,VLOOKUP($U$194,'TAR FIN'!$A$1:$O$91,15,0))</f>
        <v>189.96</v>
      </c>
      <c r="Y194" s="4"/>
      <c r="Z194" s="4">
        <f ca="1">('TUSD BE'!$AM$15+'TUSD BF'!$AM$15+'TUSD CVA'!$AM$15)*1</f>
        <v>104.1465119197419</v>
      </c>
      <c r="AA194" s="4">
        <f>('TE BE'!$AB$6+'TE BF'!$AB$6+'TE CVA'!$AB$6)*1</f>
        <v>195.89707226799715</v>
      </c>
      <c r="AB194" s="4">
        <f>$K$194*$V$194</f>
        <v>0</v>
      </c>
      <c r="AC194" s="4">
        <f>$M$194*$W$194</f>
        <v>890.64197999999999</v>
      </c>
      <c r="AD194" s="4">
        <f>$O$194*$X$194</f>
        <v>1868.63652</v>
      </c>
      <c r="AE194" s="4">
        <f>$K$194*$Y$194</f>
        <v>0</v>
      </c>
      <c r="AF194" s="4">
        <f ca="1">$M$194*$Z$194</f>
        <v>1024.4892377545011</v>
      </c>
      <c r="AG194" s="4">
        <f>$O$194*$AA$194</f>
        <v>1927.0394999002879</v>
      </c>
    </row>
    <row r="195" spans="1:33" ht="11.25" customHeight="1" x14ac:dyDescent="0.3">
      <c r="A195" s="3" t="s">
        <v>21</v>
      </c>
      <c r="B195" s="3" t="s">
        <v>39</v>
      </c>
      <c r="C195" s="3" t="s">
        <v>40</v>
      </c>
      <c r="D195" s="3" t="s">
        <v>44</v>
      </c>
      <c r="E195" s="3" t="s">
        <v>25</v>
      </c>
      <c r="F195" s="3" t="s">
        <v>25</v>
      </c>
      <c r="G195" s="3" t="s">
        <v>25</v>
      </c>
      <c r="H195" s="3" t="s">
        <v>35</v>
      </c>
      <c r="I195" s="6">
        <v>44621</v>
      </c>
      <c r="J195" s="4">
        <v>0</v>
      </c>
      <c r="K195" s="4">
        <v>0</v>
      </c>
      <c r="L195" s="4">
        <v>10.686999999999999</v>
      </c>
      <c r="M195" s="4">
        <v>10.686999999999999</v>
      </c>
      <c r="N195" s="4">
        <v>10.686999999999999</v>
      </c>
      <c r="O195" s="4">
        <v>10.686999999999999</v>
      </c>
      <c r="P195" s="4">
        <v>0</v>
      </c>
      <c r="Q195" s="3" t="s">
        <v>26</v>
      </c>
      <c r="R195" s="3">
        <v>0</v>
      </c>
      <c r="S195" s="4">
        <v>0</v>
      </c>
      <c r="T195" s="4">
        <v>11</v>
      </c>
      <c r="U195" s="4">
        <v>52</v>
      </c>
      <c r="V195" s="4">
        <f>IF(ISERROR(VLOOKUP($S$195,'TAR FIN'!$A$1:$O$91,15,0)),0,VLOOKUP($S$195,'TAR FIN'!$A$1:$O$91,15,0))</f>
        <v>0</v>
      </c>
      <c r="W195" s="4">
        <f>IF(ISERROR(VLOOKUP($T$195,'TAR FIN'!$A$1:$O$91,15,0)),0,VLOOKUP($T$195,'TAR FIN'!$A$1:$O$91,15,0))</f>
        <v>90.54</v>
      </c>
      <c r="X195" s="4">
        <f>IF(ISERROR(VLOOKUP($U$195,'TAR FIN'!$A$1:$O$91,15,0)),0,VLOOKUP($U$195,'TAR FIN'!$A$1:$O$91,15,0))</f>
        <v>189.96</v>
      </c>
      <c r="Y195" s="4"/>
      <c r="Z195" s="4">
        <f ca="1">('TUSD BE'!$AM$15+'TUSD BF'!$AM$15+'TUSD CVA'!$AM$15)*1</f>
        <v>104.1465119197419</v>
      </c>
      <c r="AA195" s="4">
        <f>('TE BE'!$AB$6+'TE BF'!$AB$6+'TE CVA'!$AB$6)*1</f>
        <v>195.89707226799715</v>
      </c>
      <c r="AB195" s="4">
        <f>$K$195*$V$195</f>
        <v>0</v>
      </c>
      <c r="AC195" s="4">
        <f>$M$195*$W$195</f>
        <v>967.60098000000005</v>
      </c>
      <c r="AD195" s="4">
        <f>$O$195*$X$195</f>
        <v>2030.1025199999999</v>
      </c>
      <c r="AE195" s="4">
        <f>$K$195*$Y$195</f>
        <v>0</v>
      </c>
      <c r="AF195" s="4">
        <f ca="1">$M$195*$Z$195</f>
        <v>1113.0137728862817</v>
      </c>
      <c r="AG195" s="4">
        <f>$O$195*$AA$195</f>
        <v>2093.5520113280854</v>
      </c>
    </row>
    <row r="196" spans="1:33" ht="11.25" customHeight="1" x14ac:dyDescent="0.3">
      <c r="A196" s="3" t="s">
        <v>21</v>
      </c>
      <c r="B196" s="3" t="s">
        <v>39</v>
      </c>
      <c r="C196" s="3" t="s">
        <v>40</v>
      </c>
      <c r="D196" s="3" t="s">
        <v>44</v>
      </c>
      <c r="E196" s="3" t="s">
        <v>25</v>
      </c>
      <c r="F196" s="3" t="s">
        <v>25</v>
      </c>
      <c r="G196" s="3" t="s">
        <v>25</v>
      </c>
      <c r="H196" s="3" t="s">
        <v>35</v>
      </c>
      <c r="I196" s="6">
        <v>44652</v>
      </c>
      <c r="J196" s="4">
        <v>0</v>
      </c>
      <c r="K196" s="4">
        <v>0</v>
      </c>
      <c r="L196" s="4">
        <v>7.8630000000000004</v>
      </c>
      <c r="M196" s="4">
        <v>7.8630000000000004</v>
      </c>
      <c r="N196" s="4">
        <v>7.8630000000000004</v>
      </c>
      <c r="O196" s="4">
        <v>7.8630000000000004</v>
      </c>
      <c r="P196" s="4">
        <v>0</v>
      </c>
      <c r="Q196" s="3" t="s">
        <v>26</v>
      </c>
      <c r="R196" s="3">
        <v>0</v>
      </c>
      <c r="S196" s="4">
        <v>0</v>
      </c>
      <c r="T196" s="4">
        <v>11</v>
      </c>
      <c r="U196" s="4">
        <v>52</v>
      </c>
      <c r="V196" s="4">
        <f>IF(ISERROR(VLOOKUP($S$196,'TAR FIN'!$A$1:$O$91,15,0)),0,VLOOKUP($S$196,'TAR FIN'!$A$1:$O$91,15,0))</f>
        <v>0</v>
      </c>
      <c r="W196" s="4">
        <f>IF(ISERROR(VLOOKUP($T$196,'TAR FIN'!$A$1:$O$91,15,0)),0,VLOOKUP($T$196,'TAR FIN'!$A$1:$O$91,15,0))</f>
        <v>90.54</v>
      </c>
      <c r="X196" s="4">
        <f>IF(ISERROR(VLOOKUP($U$196,'TAR FIN'!$A$1:$O$91,15,0)),0,VLOOKUP($U$196,'TAR FIN'!$A$1:$O$91,15,0))</f>
        <v>189.96</v>
      </c>
      <c r="Y196" s="4"/>
      <c r="Z196" s="4">
        <f ca="1">('TUSD BE'!$AM$15+'TUSD BF'!$AM$15+'TUSD CVA'!$AM$15)*1</f>
        <v>104.1465119197419</v>
      </c>
      <c r="AA196" s="4">
        <f>('TE BE'!$AB$6+'TE BF'!$AB$6+'TE CVA'!$AB$6)*1</f>
        <v>195.89707226799715</v>
      </c>
      <c r="AB196" s="4">
        <f>$K$196*$V$196</f>
        <v>0</v>
      </c>
      <c r="AC196" s="4">
        <f>$M$196*$W$196</f>
        <v>711.91602000000012</v>
      </c>
      <c r="AD196" s="4">
        <f>$O$196*$X$196</f>
        <v>1493.6554800000001</v>
      </c>
      <c r="AE196" s="4">
        <f>$K$196*$Y$196</f>
        <v>0</v>
      </c>
      <c r="AF196" s="4">
        <f ca="1">$M$196*$Z$196</f>
        <v>818.9040232249306</v>
      </c>
      <c r="AG196" s="4">
        <f>$O$196*$AA$196</f>
        <v>1540.3386792432616</v>
      </c>
    </row>
    <row r="197" spans="1:33" ht="11.25" customHeight="1" x14ac:dyDescent="0.3">
      <c r="A197" s="3" t="s">
        <v>21</v>
      </c>
      <c r="B197" s="3" t="s">
        <v>39</v>
      </c>
      <c r="C197" s="3" t="s">
        <v>40</v>
      </c>
      <c r="D197" s="3" t="s">
        <v>44</v>
      </c>
      <c r="E197" s="3" t="s">
        <v>25</v>
      </c>
      <c r="F197" s="3" t="s">
        <v>25</v>
      </c>
      <c r="G197" s="3" t="s">
        <v>25</v>
      </c>
      <c r="H197" s="3" t="s">
        <v>35</v>
      </c>
      <c r="I197" s="6">
        <v>44682</v>
      </c>
      <c r="J197" s="4">
        <v>0</v>
      </c>
      <c r="K197" s="4">
        <v>0</v>
      </c>
      <c r="L197" s="4">
        <v>9.3170000000000002</v>
      </c>
      <c r="M197" s="4">
        <v>9.3170000000000002</v>
      </c>
      <c r="N197" s="4">
        <v>9.3170000000000002</v>
      </c>
      <c r="O197" s="4">
        <v>9.3170000000000002</v>
      </c>
      <c r="P197" s="4">
        <v>0</v>
      </c>
      <c r="Q197" s="3" t="s">
        <v>26</v>
      </c>
      <c r="R197" s="3">
        <v>0</v>
      </c>
      <c r="S197" s="4">
        <v>0</v>
      </c>
      <c r="T197" s="4">
        <v>11</v>
      </c>
      <c r="U197" s="4">
        <v>52</v>
      </c>
      <c r="V197" s="4">
        <f>IF(ISERROR(VLOOKUP($S$197,'TAR FIN'!$A$1:$O$91,15,0)),0,VLOOKUP($S$197,'TAR FIN'!$A$1:$O$91,15,0))</f>
        <v>0</v>
      </c>
      <c r="W197" s="4">
        <f>IF(ISERROR(VLOOKUP($T$197,'TAR FIN'!$A$1:$O$91,15,0)),0,VLOOKUP($T$197,'TAR FIN'!$A$1:$O$91,15,0))</f>
        <v>90.54</v>
      </c>
      <c r="X197" s="4">
        <f>IF(ISERROR(VLOOKUP($U$197,'TAR FIN'!$A$1:$O$91,15,0)),0,VLOOKUP($U$197,'TAR FIN'!$A$1:$O$91,15,0))</f>
        <v>189.96</v>
      </c>
      <c r="Y197" s="4"/>
      <c r="Z197" s="4">
        <f ca="1">('TUSD BE'!$AM$15+'TUSD BF'!$AM$15+'TUSD CVA'!$AM$15)*1</f>
        <v>104.1465119197419</v>
      </c>
      <c r="AA197" s="4">
        <f>('TE BE'!$AB$6+'TE BF'!$AB$6+'TE CVA'!$AB$6)*1</f>
        <v>195.89707226799715</v>
      </c>
      <c r="AB197" s="4">
        <f>$K$197*$V$197</f>
        <v>0</v>
      </c>
      <c r="AC197" s="4">
        <f>$M$197*$W$197</f>
        <v>843.56118000000004</v>
      </c>
      <c r="AD197" s="4">
        <f>$O$197*$X$197</f>
        <v>1769.8573200000001</v>
      </c>
      <c r="AE197" s="4">
        <f>$K$197*$Y$197</f>
        <v>0</v>
      </c>
      <c r="AF197" s="4">
        <f ca="1">$M$197*$Z$197</f>
        <v>970.33305155623532</v>
      </c>
      <c r="AG197" s="4">
        <f>$O$197*$AA$197</f>
        <v>1825.1730223209295</v>
      </c>
    </row>
    <row r="198" spans="1:33" ht="11.25" customHeight="1" x14ac:dyDescent="0.3">
      <c r="A198" s="3" t="s">
        <v>21</v>
      </c>
      <c r="B198" s="3" t="s">
        <v>39</v>
      </c>
      <c r="C198" s="3" t="s">
        <v>40</v>
      </c>
      <c r="D198" s="3" t="s">
        <v>44</v>
      </c>
      <c r="E198" s="3" t="s">
        <v>25</v>
      </c>
      <c r="F198" s="3" t="s">
        <v>25</v>
      </c>
      <c r="G198" s="3" t="s">
        <v>25</v>
      </c>
      <c r="H198" s="3" t="s">
        <v>35</v>
      </c>
      <c r="I198" s="6">
        <v>44713</v>
      </c>
      <c r="J198" s="4">
        <v>0</v>
      </c>
      <c r="K198" s="4">
        <v>0</v>
      </c>
      <c r="L198" s="4">
        <v>10.135999999999999</v>
      </c>
      <c r="M198" s="4">
        <v>10.135999999999999</v>
      </c>
      <c r="N198" s="4">
        <v>10.135999999999999</v>
      </c>
      <c r="O198" s="4">
        <v>10.135999999999999</v>
      </c>
      <c r="P198" s="4">
        <v>0</v>
      </c>
      <c r="Q198" s="3" t="s">
        <v>26</v>
      </c>
      <c r="R198" s="3">
        <v>0</v>
      </c>
      <c r="S198" s="4">
        <v>0</v>
      </c>
      <c r="T198" s="4">
        <v>11</v>
      </c>
      <c r="U198" s="4">
        <v>52</v>
      </c>
      <c r="V198" s="4">
        <f>IF(ISERROR(VLOOKUP($S$198,'TAR FIN'!$A$1:$O$91,15,0)),0,VLOOKUP($S$198,'TAR FIN'!$A$1:$O$91,15,0))</f>
        <v>0</v>
      </c>
      <c r="W198" s="4">
        <f>IF(ISERROR(VLOOKUP($T$198,'TAR FIN'!$A$1:$O$91,15,0)),0,VLOOKUP($T$198,'TAR FIN'!$A$1:$O$91,15,0))</f>
        <v>90.54</v>
      </c>
      <c r="X198" s="4">
        <f>IF(ISERROR(VLOOKUP($U$198,'TAR FIN'!$A$1:$O$91,15,0)),0,VLOOKUP($U$198,'TAR FIN'!$A$1:$O$91,15,0))</f>
        <v>189.96</v>
      </c>
      <c r="Y198" s="4"/>
      <c r="Z198" s="4">
        <f ca="1">('TUSD BE'!$AM$15+'TUSD BF'!$AM$15+'TUSD CVA'!$AM$15)*1</f>
        <v>104.1465119197419</v>
      </c>
      <c r="AA198" s="4">
        <f>('TE BE'!$AB$6+'TE BF'!$AB$6+'TE CVA'!$AB$6)*1</f>
        <v>195.89707226799715</v>
      </c>
      <c r="AB198" s="4">
        <f>$K$198*$V$198</f>
        <v>0</v>
      </c>
      <c r="AC198" s="4">
        <f>$M$198*$W$198</f>
        <v>917.71343999999999</v>
      </c>
      <c r="AD198" s="4">
        <f>$O$198*$X$198</f>
        <v>1925.4345599999999</v>
      </c>
      <c r="AE198" s="4">
        <f>$K$198*$Y$198</f>
        <v>0</v>
      </c>
      <c r="AF198" s="4">
        <f ca="1">$M$198*$Z$198</f>
        <v>1055.6290448185039</v>
      </c>
      <c r="AG198" s="4">
        <f>$O$198*$AA$198</f>
        <v>1985.612724508419</v>
      </c>
    </row>
    <row r="199" spans="1:33" ht="11.25" customHeight="1" x14ac:dyDescent="0.3">
      <c r="A199" s="3" t="s">
        <v>21</v>
      </c>
      <c r="B199" s="3" t="s">
        <v>39</v>
      </c>
      <c r="C199" s="3" t="s">
        <v>40</v>
      </c>
      <c r="D199" s="3" t="s">
        <v>44</v>
      </c>
      <c r="E199" s="3" t="s">
        <v>25</v>
      </c>
      <c r="F199" s="3" t="s">
        <v>25</v>
      </c>
      <c r="G199" s="3" t="s">
        <v>25</v>
      </c>
      <c r="H199" s="3" t="s">
        <v>25</v>
      </c>
      <c r="I199" s="6">
        <v>44378</v>
      </c>
      <c r="J199" s="4">
        <v>133</v>
      </c>
      <c r="K199" s="4">
        <v>133</v>
      </c>
      <c r="L199" s="4">
        <v>0</v>
      </c>
      <c r="M199" s="4">
        <v>0</v>
      </c>
      <c r="N199" s="4">
        <v>0</v>
      </c>
      <c r="O199" s="4">
        <v>0</v>
      </c>
      <c r="P199" s="4">
        <v>4</v>
      </c>
      <c r="Q199" s="3" t="s">
        <v>26</v>
      </c>
      <c r="R199" s="3">
        <v>0</v>
      </c>
      <c r="S199" s="4">
        <v>9</v>
      </c>
      <c r="T199" s="4">
        <v>0</v>
      </c>
      <c r="U199" s="4">
        <v>0</v>
      </c>
      <c r="V199" s="4">
        <f>IF(ISERROR(VLOOKUP($S$199,'TAR FIN'!$A$1:$O$91,15,0)),0,VLOOKUP($S$199,'TAR FIN'!$A$1:$O$91,15,0))</f>
        <v>33.97</v>
      </c>
      <c r="W199" s="4">
        <f>IF(ISERROR(VLOOKUP($T$199,'TAR FIN'!$A$1:$O$91,15,0)),0,VLOOKUP($T$199,'TAR FIN'!$A$1:$O$91,15,0))</f>
        <v>0</v>
      </c>
      <c r="X199" s="4">
        <f>IF(ISERROR(VLOOKUP($U$199,'TAR FIN'!$A$1:$O$91,15,0)),0,VLOOKUP($U$199,'TAR FIN'!$A$1:$O$91,15,0))</f>
        <v>0</v>
      </c>
      <c r="Y199" s="4">
        <f ca="1">('TUSD BE'!$AM$13+'TUSD BF'!$AM$13+'TUSD CVA'!$AM$13)*1</f>
        <v>39.117234382623039</v>
      </c>
      <c r="Z199" s="4"/>
      <c r="AA199" s="4"/>
      <c r="AB199" s="4">
        <f>$K$199*$V$199</f>
        <v>4518.01</v>
      </c>
      <c r="AC199" s="4">
        <f>$M$199*$W$199</f>
        <v>0</v>
      </c>
      <c r="AD199" s="4">
        <f>$O$199*$X$199</f>
        <v>0</v>
      </c>
      <c r="AE199" s="4">
        <f ca="1">$K$199*$Y$199</f>
        <v>5202.5921728888643</v>
      </c>
      <c r="AF199" s="4">
        <f>$M$199*$Z$199</f>
        <v>0</v>
      </c>
      <c r="AG199" s="4">
        <f>$O$199*$AA$199</f>
        <v>0</v>
      </c>
    </row>
    <row r="200" spans="1:33" ht="11.25" customHeight="1" x14ac:dyDescent="0.3">
      <c r="A200" s="3" t="s">
        <v>21</v>
      </c>
      <c r="B200" s="3" t="s">
        <v>39</v>
      </c>
      <c r="C200" s="3" t="s">
        <v>40</v>
      </c>
      <c r="D200" s="3" t="s">
        <v>44</v>
      </c>
      <c r="E200" s="3" t="s">
        <v>25</v>
      </c>
      <c r="F200" s="3" t="s">
        <v>25</v>
      </c>
      <c r="G200" s="3" t="s">
        <v>25</v>
      </c>
      <c r="H200" s="3" t="s">
        <v>25</v>
      </c>
      <c r="I200" s="6">
        <v>44409</v>
      </c>
      <c r="J200" s="4">
        <v>130</v>
      </c>
      <c r="K200" s="4">
        <v>130</v>
      </c>
      <c r="L200" s="4">
        <v>0</v>
      </c>
      <c r="M200" s="4">
        <v>0</v>
      </c>
      <c r="N200" s="4">
        <v>0</v>
      </c>
      <c r="O200" s="4">
        <v>0</v>
      </c>
      <c r="P200" s="4">
        <v>4</v>
      </c>
      <c r="Q200" s="3" t="s">
        <v>26</v>
      </c>
      <c r="R200" s="3">
        <v>0</v>
      </c>
      <c r="S200" s="4">
        <v>9</v>
      </c>
      <c r="T200" s="4">
        <v>0</v>
      </c>
      <c r="U200" s="4">
        <v>0</v>
      </c>
      <c r="V200" s="4">
        <f>IF(ISERROR(VLOOKUP($S$200,'TAR FIN'!$A$1:$O$91,15,0)),0,VLOOKUP($S$200,'TAR FIN'!$A$1:$O$91,15,0))</f>
        <v>33.97</v>
      </c>
      <c r="W200" s="4">
        <f>IF(ISERROR(VLOOKUP($T$200,'TAR FIN'!$A$1:$O$91,15,0)),0,VLOOKUP($T$200,'TAR FIN'!$A$1:$O$91,15,0))</f>
        <v>0</v>
      </c>
      <c r="X200" s="4">
        <f>IF(ISERROR(VLOOKUP($U$200,'TAR FIN'!$A$1:$O$91,15,0)),0,VLOOKUP($U$200,'TAR FIN'!$A$1:$O$91,15,0))</f>
        <v>0</v>
      </c>
      <c r="Y200" s="4">
        <f ca="1">('TUSD BE'!$AM$13+'TUSD BF'!$AM$13+'TUSD CVA'!$AM$13)*1</f>
        <v>39.117234382623039</v>
      </c>
      <c r="Z200" s="4"/>
      <c r="AA200" s="4"/>
      <c r="AB200" s="4">
        <f>$K$200*$V$200</f>
        <v>4416.0999999999995</v>
      </c>
      <c r="AC200" s="4">
        <f>$M$200*$W$200</f>
        <v>0</v>
      </c>
      <c r="AD200" s="4">
        <f>$O$200*$X$200</f>
        <v>0</v>
      </c>
      <c r="AE200" s="4">
        <f ca="1">$K$200*$Y$200</f>
        <v>5085.2404697409947</v>
      </c>
      <c r="AF200" s="4">
        <f>$M$200*$Z$200</f>
        <v>0</v>
      </c>
      <c r="AG200" s="4">
        <f>$O$200*$AA$200</f>
        <v>0</v>
      </c>
    </row>
    <row r="201" spans="1:33" ht="11.25" customHeight="1" x14ac:dyDescent="0.3">
      <c r="A201" s="3" t="s">
        <v>21</v>
      </c>
      <c r="B201" s="3" t="s">
        <v>39</v>
      </c>
      <c r="C201" s="3" t="s">
        <v>40</v>
      </c>
      <c r="D201" s="3" t="s">
        <v>44</v>
      </c>
      <c r="E201" s="3" t="s">
        <v>25</v>
      </c>
      <c r="F201" s="3" t="s">
        <v>25</v>
      </c>
      <c r="G201" s="3" t="s">
        <v>25</v>
      </c>
      <c r="H201" s="3" t="s">
        <v>25</v>
      </c>
      <c r="I201" s="6">
        <v>44440</v>
      </c>
      <c r="J201" s="4">
        <v>130</v>
      </c>
      <c r="K201" s="4">
        <v>130</v>
      </c>
      <c r="L201" s="4">
        <v>0</v>
      </c>
      <c r="M201" s="4">
        <v>0</v>
      </c>
      <c r="N201" s="4">
        <v>0</v>
      </c>
      <c r="O201" s="4">
        <v>0</v>
      </c>
      <c r="P201" s="4">
        <v>4</v>
      </c>
      <c r="Q201" s="3" t="s">
        <v>26</v>
      </c>
      <c r="R201" s="3">
        <v>0</v>
      </c>
      <c r="S201" s="4">
        <v>9</v>
      </c>
      <c r="T201" s="4">
        <v>0</v>
      </c>
      <c r="U201" s="4">
        <v>0</v>
      </c>
      <c r="V201" s="4">
        <f>IF(ISERROR(VLOOKUP($S$201,'TAR FIN'!$A$1:$O$91,15,0)),0,VLOOKUP($S$201,'TAR FIN'!$A$1:$O$91,15,0))</f>
        <v>33.97</v>
      </c>
      <c r="W201" s="4">
        <f>IF(ISERROR(VLOOKUP($T$201,'TAR FIN'!$A$1:$O$91,15,0)),0,VLOOKUP($T$201,'TAR FIN'!$A$1:$O$91,15,0))</f>
        <v>0</v>
      </c>
      <c r="X201" s="4">
        <f>IF(ISERROR(VLOOKUP($U$201,'TAR FIN'!$A$1:$O$91,15,0)),0,VLOOKUP($U$201,'TAR FIN'!$A$1:$O$91,15,0))</f>
        <v>0</v>
      </c>
      <c r="Y201" s="4">
        <f ca="1">('TUSD BE'!$AM$13+'TUSD BF'!$AM$13+'TUSD CVA'!$AM$13)*1</f>
        <v>39.117234382623039</v>
      </c>
      <c r="Z201" s="4"/>
      <c r="AA201" s="4"/>
      <c r="AB201" s="4">
        <f>$K$201*$V$201</f>
        <v>4416.0999999999995</v>
      </c>
      <c r="AC201" s="4">
        <f>$M$201*$W$201</f>
        <v>0</v>
      </c>
      <c r="AD201" s="4">
        <f>$O$201*$X$201</f>
        <v>0</v>
      </c>
      <c r="AE201" s="4">
        <f ca="1">$K$201*$Y$201</f>
        <v>5085.2404697409947</v>
      </c>
      <c r="AF201" s="4">
        <f>$M$201*$Z$201</f>
        <v>0</v>
      </c>
      <c r="AG201" s="4">
        <f>$O$201*$AA$201</f>
        <v>0</v>
      </c>
    </row>
    <row r="202" spans="1:33" ht="11.25" customHeight="1" x14ac:dyDescent="0.3">
      <c r="A202" s="3" t="s">
        <v>21</v>
      </c>
      <c r="B202" s="3" t="s">
        <v>39</v>
      </c>
      <c r="C202" s="3" t="s">
        <v>40</v>
      </c>
      <c r="D202" s="3" t="s">
        <v>44</v>
      </c>
      <c r="E202" s="3" t="s">
        <v>25</v>
      </c>
      <c r="F202" s="3" t="s">
        <v>25</v>
      </c>
      <c r="G202" s="3" t="s">
        <v>25</v>
      </c>
      <c r="H202" s="3" t="s">
        <v>25</v>
      </c>
      <c r="I202" s="6">
        <v>44470</v>
      </c>
      <c r="J202" s="4">
        <v>130</v>
      </c>
      <c r="K202" s="4">
        <v>130</v>
      </c>
      <c r="L202" s="4">
        <v>0</v>
      </c>
      <c r="M202" s="4">
        <v>0</v>
      </c>
      <c r="N202" s="4">
        <v>0</v>
      </c>
      <c r="O202" s="4">
        <v>0</v>
      </c>
      <c r="P202" s="4">
        <v>4</v>
      </c>
      <c r="Q202" s="3" t="s">
        <v>26</v>
      </c>
      <c r="R202" s="3">
        <v>0</v>
      </c>
      <c r="S202" s="4">
        <v>9</v>
      </c>
      <c r="T202" s="4">
        <v>0</v>
      </c>
      <c r="U202" s="4">
        <v>0</v>
      </c>
      <c r="V202" s="4">
        <f>IF(ISERROR(VLOOKUP($S$202,'TAR FIN'!$A$1:$O$91,15,0)),0,VLOOKUP($S$202,'TAR FIN'!$A$1:$O$91,15,0))</f>
        <v>33.97</v>
      </c>
      <c r="W202" s="4">
        <f>IF(ISERROR(VLOOKUP($T$202,'TAR FIN'!$A$1:$O$91,15,0)),0,VLOOKUP($T$202,'TAR FIN'!$A$1:$O$91,15,0))</f>
        <v>0</v>
      </c>
      <c r="X202" s="4">
        <f>IF(ISERROR(VLOOKUP($U$202,'TAR FIN'!$A$1:$O$91,15,0)),0,VLOOKUP($U$202,'TAR FIN'!$A$1:$O$91,15,0))</f>
        <v>0</v>
      </c>
      <c r="Y202" s="4">
        <f ca="1">('TUSD BE'!$AM$13+'TUSD BF'!$AM$13+'TUSD CVA'!$AM$13)*1</f>
        <v>39.117234382623039</v>
      </c>
      <c r="Z202" s="4"/>
      <c r="AA202" s="4"/>
      <c r="AB202" s="4">
        <f>$K$202*$V$202</f>
        <v>4416.0999999999995</v>
      </c>
      <c r="AC202" s="4">
        <f>$M$202*$W$202</f>
        <v>0</v>
      </c>
      <c r="AD202" s="4">
        <f>$O$202*$X$202</f>
        <v>0</v>
      </c>
      <c r="AE202" s="4">
        <f ca="1">$K$202*$Y$202</f>
        <v>5085.2404697409947</v>
      </c>
      <c r="AF202" s="4">
        <f>$M$202*$Z$202</f>
        <v>0</v>
      </c>
      <c r="AG202" s="4">
        <f>$O$202*$AA$202</f>
        <v>0</v>
      </c>
    </row>
    <row r="203" spans="1:33" ht="11.25" customHeight="1" x14ac:dyDescent="0.3">
      <c r="A203" s="3" t="s">
        <v>21</v>
      </c>
      <c r="B203" s="3" t="s">
        <v>39</v>
      </c>
      <c r="C203" s="3" t="s">
        <v>40</v>
      </c>
      <c r="D203" s="3" t="s">
        <v>44</v>
      </c>
      <c r="E203" s="3" t="s">
        <v>25</v>
      </c>
      <c r="F203" s="3" t="s">
        <v>25</v>
      </c>
      <c r="G203" s="3" t="s">
        <v>25</v>
      </c>
      <c r="H203" s="3" t="s">
        <v>25</v>
      </c>
      <c r="I203" s="6">
        <v>44501</v>
      </c>
      <c r="J203" s="4">
        <v>130</v>
      </c>
      <c r="K203" s="4">
        <v>130</v>
      </c>
      <c r="L203" s="4">
        <v>0</v>
      </c>
      <c r="M203" s="4">
        <v>0</v>
      </c>
      <c r="N203" s="4">
        <v>0</v>
      </c>
      <c r="O203" s="4">
        <v>0</v>
      </c>
      <c r="P203" s="4">
        <v>4</v>
      </c>
      <c r="Q203" s="3" t="s">
        <v>26</v>
      </c>
      <c r="R203" s="3">
        <v>0</v>
      </c>
      <c r="S203" s="4">
        <v>9</v>
      </c>
      <c r="T203" s="4">
        <v>0</v>
      </c>
      <c r="U203" s="4">
        <v>0</v>
      </c>
      <c r="V203" s="4">
        <f>IF(ISERROR(VLOOKUP($S$203,'TAR FIN'!$A$1:$O$91,15,0)),0,VLOOKUP($S$203,'TAR FIN'!$A$1:$O$91,15,0))</f>
        <v>33.97</v>
      </c>
      <c r="W203" s="4">
        <f>IF(ISERROR(VLOOKUP($T$203,'TAR FIN'!$A$1:$O$91,15,0)),0,VLOOKUP($T$203,'TAR FIN'!$A$1:$O$91,15,0))</f>
        <v>0</v>
      </c>
      <c r="X203" s="4">
        <f>IF(ISERROR(VLOOKUP($U$203,'TAR FIN'!$A$1:$O$91,15,0)),0,VLOOKUP($U$203,'TAR FIN'!$A$1:$O$91,15,0))</f>
        <v>0</v>
      </c>
      <c r="Y203" s="4">
        <f ca="1">('TUSD BE'!$AM$13+'TUSD BF'!$AM$13+'TUSD CVA'!$AM$13)*1</f>
        <v>39.117234382623039</v>
      </c>
      <c r="Z203" s="4"/>
      <c r="AA203" s="4"/>
      <c r="AB203" s="4">
        <f>$K$203*$V$203</f>
        <v>4416.0999999999995</v>
      </c>
      <c r="AC203" s="4">
        <f>$M$203*$W$203</f>
        <v>0</v>
      </c>
      <c r="AD203" s="4">
        <f>$O$203*$X$203</f>
        <v>0</v>
      </c>
      <c r="AE203" s="4">
        <f ca="1">$K$203*$Y$203</f>
        <v>5085.2404697409947</v>
      </c>
      <c r="AF203" s="4">
        <f>$M$203*$Z$203</f>
        <v>0</v>
      </c>
      <c r="AG203" s="4">
        <f>$O$203*$AA$203</f>
        <v>0</v>
      </c>
    </row>
    <row r="204" spans="1:33" ht="11.25" customHeight="1" x14ac:dyDescent="0.3">
      <c r="A204" s="3" t="s">
        <v>21</v>
      </c>
      <c r="B204" s="3" t="s">
        <v>39</v>
      </c>
      <c r="C204" s="3" t="s">
        <v>40</v>
      </c>
      <c r="D204" s="3" t="s">
        <v>44</v>
      </c>
      <c r="E204" s="3" t="s">
        <v>25</v>
      </c>
      <c r="F204" s="3" t="s">
        <v>25</v>
      </c>
      <c r="G204" s="3" t="s">
        <v>25</v>
      </c>
      <c r="H204" s="3" t="s">
        <v>25</v>
      </c>
      <c r="I204" s="6">
        <v>44531</v>
      </c>
      <c r="J204" s="4">
        <v>130</v>
      </c>
      <c r="K204" s="4">
        <v>130</v>
      </c>
      <c r="L204" s="4">
        <v>0</v>
      </c>
      <c r="M204" s="4">
        <v>0</v>
      </c>
      <c r="N204" s="4">
        <v>0</v>
      </c>
      <c r="O204" s="4">
        <v>0</v>
      </c>
      <c r="P204" s="4">
        <v>4</v>
      </c>
      <c r="Q204" s="3" t="s">
        <v>26</v>
      </c>
      <c r="R204" s="3">
        <v>0</v>
      </c>
      <c r="S204" s="4">
        <v>9</v>
      </c>
      <c r="T204" s="4">
        <v>0</v>
      </c>
      <c r="U204" s="4">
        <v>0</v>
      </c>
      <c r="V204" s="4">
        <f>IF(ISERROR(VLOOKUP($S$204,'TAR FIN'!$A$1:$O$91,15,0)),0,VLOOKUP($S$204,'TAR FIN'!$A$1:$O$91,15,0))</f>
        <v>33.97</v>
      </c>
      <c r="W204" s="4">
        <f>IF(ISERROR(VLOOKUP($T$204,'TAR FIN'!$A$1:$O$91,15,0)),0,VLOOKUP($T$204,'TAR FIN'!$A$1:$O$91,15,0))</f>
        <v>0</v>
      </c>
      <c r="X204" s="4">
        <f>IF(ISERROR(VLOOKUP($U$204,'TAR FIN'!$A$1:$O$91,15,0)),0,VLOOKUP($U$204,'TAR FIN'!$A$1:$O$91,15,0))</f>
        <v>0</v>
      </c>
      <c r="Y204" s="4">
        <f ca="1">('TUSD BE'!$AM$13+'TUSD BF'!$AM$13+'TUSD CVA'!$AM$13)*1</f>
        <v>39.117234382623039</v>
      </c>
      <c r="Z204" s="4"/>
      <c r="AA204" s="4"/>
      <c r="AB204" s="4">
        <f>$K$204*$V$204</f>
        <v>4416.0999999999995</v>
      </c>
      <c r="AC204" s="4">
        <f>$M$204*$W$204</f>
        <v>0</v>
      </c>
      <c r="AD204" s="4">
        <f>$O$204*$X$204</f>
        <v>0</v>
      </c>
      <c r="AE204" s="4">
        <f ca="1">$K$204*$Y$204</f>
        <v>5085.2404697409947</v>
      </c>
      <c r="AF204" s="4">
        <f>$M$204*$Z$204</f>
        <v>0</v>
      </c>
      <c r="AG204" s="4">
        <f>$O$204*$AA$204</f>
        <v>0</v>
      </c>
    </row>
    <row r="205" spans="1:33" ht="11.25" customHeight="1" x14ac:dyDescent="0.3">
      <c r="A205" s="3" t="s">
        <v>21</v>
      </c>
      <c r="B205" s="3" t="s">
        <v>39</v>
      </c>
      <c r="C205" s="3" t="s">
        <v>40</v>
      </c>
      <c r="D205" s="3" t="s">
        <v>44</v>
      </c>
      <c r="E205" s="3" t="s">
        <v>25</v>
      </c>
      <c r="F205" s="3" t="s">
        <v>25</v>
      </c>
      <c r="G205" s="3" t="s">
        <v>25</v>
      </c>
      <c r="H205" s="3" t="s">
        <v>25</v>
      </c>
      <c r="I205" s="6">
        <v>44562</v>
      </c>
      <c r="J205" s="4">
        <v>138</v>
      </c>
      <c r="K205" s="4">
        <v>138</v>
      </c>
      <c r="L205" s="4">
        <v>0</v>
      </c>
      <c r="M205" s="4">
        <v>0</v>
      </c>
      <c r="N205" s="4">
        <v>0</v>
      </c>
      <c r="O205" s="4">
        <v>0</v>
      </c>
      <c r="P205" s="4">
        <v>4</v>
      </c>
      <c r="Q205" s="3" t="s">
        <v>26</v>
      </c>
      <c r="R205" s="3">
        <v>0</v>
      </c>
      <c r="S205" s="4">
        <v>9</v>
      </c>
      <c r="T205" s="4">
        <v>0</v>
      </c>
      <c r="U205" s="4">
        <v>0</v>
      </c>
      <c r="V205" s="4">
        <f>IF(ISERROR(VLOOKUP($S$205,'TAR FIN'!$A$1:$O$91,15,0)),0,VLOOKUP($S$205,'TAR FIN'!$A$1:$O$91,15,0))</f>
        <v>33.97</v>
      </c>
      <c r="W205" s="4">
        <f>IF(ISERROR(VLOOKUP($T$205,'TAR FIN'!$A$1:$O$91,15,0)),0,VLOOKUP($T$205,'TAR FIN'!$A$1:$O$91,15,0))</f>
        <v>0</v>
      </c>
      <c r="X205" s="4">
        <f>IF(ISERROR(VLOOKUP($U$205,'TAR FIN'!$A$1:$O$91,15,0)),0,VLOOKUP($U$205,'TAR FIN'!$A$1:$O$91,15,0))</f>
        <v>0</v>
      </c>
      <c r="Y205" s="4">
        <f ca="1">('TUSD BE'!$AM$13+'TUSD BF'!$AM$13+'TUSD CVA'!$AM$13)*1</f>
        <v>39.117234382623039</v>
      </c>
      <c r="Z205" s="4"/>
      <c r="AA205" s="4"/>
      <c r="AB205" s="4">
        <f>$K$205*$V$205</f>
        <v>4687.8599999999997</v>
      </c>
      <c r="AC205" s="4">
        <f>$M$205*$W$205</f>
        <v>0</v>
      </c>
      <c r="AD205" s="4">
        <f>$O$205*$X$205</f>
        <v>0</v>
      </c>
      <c r="AE205" s="4">
        <f ca="1">$K$205*$Y$205</f>
        <v>5398.1783448019796</v>
      </c>
      <c r="AF205" s="4">
        <f>$M$205*$Z$205</f>
        <v>0</v>
      </c>
      <c r="AG205" s="4">
        <f>$O$205*$AA$205</f>
        <v>0</v>
      </c>
    </row>
    <row r="206" spans="1:33" ht="11.25" customHeight="1" x14ac:dyDescent="0.3">
      <c r="A206" s="3" t="s">
        <v>21</v>
      </c>
      <c r="B206" s="3" t="s">
        <v>39</v>
      </c>
      <c r="C206" s="3" t="s">
        <v>40</v>
      </c>
      <c r="D206" s="3" t="s">
        <v>44</v>
      </c>
      <c r="E206" s="3" t="s">
        <v>25</v>
      </c>
      <c r="F206" s="3" t="s">
        <v>25</v>
      </c>
      <c r="G206" s="3" t="s">
        <v>25</v>
      </c>
      <c r="H206" s="3" t="s">
        <v>25</v>
      </c>
      <c r="I206" s="6">
        <v>44593</v>
      </c>
      <c r="J206" s="4">
        <v>130</v>
      </c>
      <c r="K206" s="4">
        <v>130</v>
      </c>
      <c r="L206" s="4">
        <v>0</v>
      </c>
      <c r="M206" s="4">
        <v>0</v>
      </c>
      <c r="N206" s="4">
        <v>0</v>
      </c>
      <c r="O206" s="4">
        <v>0</v>
      </c>
      <c r="P206" s="4">
        <v>4</v>
      </c>
      <c r="Q206" s="3" t="s">
        <v>26</v>
      </c>
      <c r="R206" s="3">
        <v>0</v>
      </c>
      <c r="S206" s="4">
        <v>9</v>
      </c>
      <c r="T206" s="4">
        <v>0</v>
      </c>
      <c r="U206" s="4">
        <v>0</v>
      </c>
      <c r="V206" s="4">
        <f>IF(ISERROR(VLOOKUP($S$206,'TAR FIN'!$A$1:$O$91,15,0)),0,VLOOKUP($S$206,'TAR FIN'!$A$1:$O$91,15,0))</f>
        <v>33.97</v>
      </c>
      <c r="W206" s="4">
        <f>IF(ISERROR(VLOOKUP($T$206,'TAR FIN'!$A$1:$O$91,15,0)),0,VLOOKUP($T$206,'TAR FIN'!$A$1:$O$91,15,0))</f>
        <v>0</v>
      </c>
      <c r="X206" s="4">
        <f>IF(ISERROR(VLOOKUP($U$206,'TAR FIN'!$A$1:$O$91,15,0)),0,VLOOKUP($U$206,'TAR FIN'!$A$1:$O$91,15,0))</f>
        <v>0</v>
      </c>
      <c r="Y206" s="4">
        <f ca="1">('TUSD BE'!$AM$13+'TUSD BF'!$AM$13+'TUSD CVA'!$AM$13)*1</f>
        <v>39.117234382623039</v>
      </c>
      <c r="Z206" s="4"/>
      <c r="AA206" s="4"/>
      <c r="AB206" s="4">
        <f>$K$206*$V$206</f>
        <v>4416.0999999999995</v>
      </c>
      <c r="AC206" s="4">
        <f>$M$206*$W$206</f>
        <v>0</v>
      </c>
      <c r="AD206" s="4">
        <f>$O$206*$X$206</f>
        <v>0</v>
      </c>
      <c r="AE206" s="4">
        <f ca="1">$K$206*$Y$206</f>
        <v>5085.2404697409947</v>
      </c>
      <c r="AF206" s="4">
        <f>$M$206*$Z$206</f>
        <v>0</v>
      </c>
      <c r="AG206" s="4">
        <f>$O$206*$AA$206</f>
        <v>0</v>
      </c>
    </row>
    <row r="207" spans="1:33" ht="11.25" customHeight="1" x14ac:dyDescent="0.3">
      <c r="A207" s="3" t="s">
        <v>21</v>
      </c>
      <c r="B207" s="3" t="s">
        <v>39</v>
      </c>
      <c r="C207" s="3" t="s">
        <v>40</v>
      </c>
      <c r="D207" s="3" t="s">
        <v>44</v>
      </c>
      <c r="E207" s="3" t="s">
        <v>25</v>
      </c>
      <c r="F207" s="3" t="s">
        <v>25</v>
      </c>
      <c r="G207" s="3" t="s">
        <v>25</v>
      </c>
      <c r="H207" s="3" t="s">
        <v>25</v>
      </c>
      <c r="I207" s="6">
        <v>44621</v>
      </c>
      <c r="J207" s="4">
        <v>130</v>
      </c>
      <c r="K207" s="4">
        <v>130</v>
      </c>
      <c r="L207" s="4">
        <v>0</v>
      </c>
      <c r="M207" s="4">
        <v>0</v>
      </c>
      <c r="N207" s="4">
        <v>0</v>
      </c>
      <c r="O207" s="4">
        <v>0</v>
      </c>
      <c r="P207" s="4">
        <v>4</v>
      </c>
      <c r="Q207" s="3" t="s">
        <v>26</v>
      </c>
      <c r="R207" s="3">
        <v>0</v>
      </c>
      <c r="S207" s="4">
        <v>9</v>
      </c>
      <c r="T207" s="4">
        <v>0</v>
      </c>
      <c r="U207" s="4">
        <v>0</v>
      </c>
      <c r="V207" s="4">
        <f>IF(ISERROR(VLOOKUP($S$207,'TAR FIN'!$A$1:$O$91,15,0)),0,VLOOKUP($S$207,'TAR FIN'!$A$1:$O$91,15,0))</f>
        <v>33.97</v>
      </c>
      <c r="W207" s="4">
        <f>IF(ISERROR(VLOOKUP($T$207,'TAR FIN'!$A$1:$O$91,15,0)),0,VLOOKUP($T$207,'TAR FIN'!$A$1:$O$91,15,0))</f>
        <v>0</v>
      </c>
      <c r="X207" s="4">
        <f>IF(ISERROR(VLOOKUP($U$207,'TAR FIN'!$A$1:$O$91,15,0)),0,VLOOKUP($U$207,'TAR FIN'!$A$1:$O$91,15,0))</f>
        <v>0</v>
      </c>
      <c r="Y207" s="4">
        <f ca="1">('TUSD BE'!$AM$13+'TUSD BF'!$AM$13+'TUSD CVA'!$AM$13)*1</f>
        <v>39.117234382623039</v>
      </c>
      <c r="Z207" s="4"/>
      <c r="AA207" s="4"/>
      <c r="AB207" s="4">
        <f>$K$207*$V$207</f>
        <v>4416.0999999999995</v>
      </c>
      <c r="AC207" s="4">
        <f>$M$207*$W$207</f>
        <v>0</v>
      </c>
      <c r="AD207" s="4">
        <f>$O$207*$X$207</f>
        <v>0</v>
      </c>
      <c r="AE207" s="4">
        <f ca="1">$K$207*$Y$207</f>
        <v>5085.2404697409947</v>
      </c>
      <c r="AF207" s="4">
        <f>$M$207*$Z$207</f>
        <v>0</v>
      </c>
      <c r="AG207" s="4">
        <f>$O$207*$AA$207</f>
        <v>0</v>
      </c>
    </row>
    <row r="208" spans="1:33" ht="11.25" customHeight="1" x14ac:dyDescent="0.3">
      <c r="A208" s="3" t="s">
        <v>21</v>
      </c>
      <c r="B208" s="3" t="s">
        <v>39</v>
      </c>
      <c r="C208" s="3" t="s">
        <v>40</v>
      </c>
      <c r="D208" s="3" t="s">
        <v>44</v>
      </c>
      <c r="E208" s="3" t="s">
        <v>25</v>
      </c>
      <c r="F208" s="3" t="s">
        <v>25</v>
      </c>
      <c r="G208" s="3" t="s">
        <v>25</v>
      </c>
      <c r="H208" s="3" t="s">
        <v>25</v>
      </c>
      <c r="I208" s="6">
        <v>44652</v>
      </c>
      <c r="J208" s="4">
        <v>130</v>
      </c>
      <c r="K208" s="4">
        <v>130</v>
      </c>
      <c r="L208" s="4">
        <v>0</v>
      </c>
      <c r="M208" s="4">
        <v>0</v>
      </c>
      <c r="N208" s="4">
        <v>0</v>
      </c>
      <c r="O208" s="4">
        <v>0</v>
      </c>
      <c r="P208" s="4">
        <v>4</v>
      </c>
      <c r="Q208" s="3" t="s">
        <v>26</v>
      </c>
      <c r="R208" s="3">
        <v>0</v>
      </c>
      <c r="S208" s="4">
        <v>9</v>
      </c>
      <c r="T208" s="4">
        <v>0</v>
      </c>
      <c r="U208" s="4">
        <v>0</v>
      </c>
      <c r="V208" s="4">
        <f>IF(ISERROR(VLOOKUP($S$208,'TAR FIN'!$A$1:$O$91,15,0)),0,VLOOKUP($S$208,'TAR FIN'!$A$1:$O$91,15,0))</f>
        <v>33.97</v>
      </c>
      <c r="W208" s="4">
        <f>IF(ISERROR(VLOOKUP($T$208,'TAR FIN'!$A$1:$O$91,15,0)),0,VLOOKUP($T$208,'TAR FIN'!$A$1:$O$91,15,0))</f>
        <v>0</v>
      </c>
      <c r="X208" s="4">
        <f>IF(ISERROR(VLOOKUP($U$208,'TAR FIN'!$A$1:$O$91,15,0)),0,VLOOKUP($U$208,'TAR FIN'!$A$1:$O$91,15,0))</f>
        <v>0</v>
      </c>
      <c r="Y208" s="4">
        <f ca="1">('TUSD BE'!$AM$13+'TUSD BF'!$AM$13+'TUSD CVA'!$AM$13)*1</f>
        <v>39.117234382623039</v>
      </c>
      <c r="Z208" s="4"/>
      <c r="AA208" s="4"/>
      <c r="AB208" s="4">
        <f>$K$208*$V$208</f>
        <v>4416.0999999999995</v>
      </c>
      <c r="AC208" s="4">
        <f>$M$208*$W$208</f>
        <v>0</v>
      </c>
      <c r="AD208" s="4">
        <f>$O$208*$X$208</f>
        <v>0</v>
      </c>
      <c r="AE208" s="4">
        <f ca="1">$K$208*$Y$208</f>
        <v>5085.2404697409947</v>
      </c>
      <c r="AF208" s="4">
        <f>$M$208*$Z$208</f>
        <v>0</v>
      </c>
      <c r="AG208" s="4">
        <f>$O$208*$AA$208</f>
        <v>0</v>
      </c>
    </row>
    <row r="209" spans="1:33" ht="11.25" customHeight="1" x14ac:dyDescent="0.3">
      <c r="A209" s="3" t="s">
        <v>21</v>
      </c>
      <c r="B209" s="3" t="s">
        <v>39</v>
      </c>
      <c r="C209" s="3" t="s">
        <v>40</v>
      </c>
      <c r="D209" s="3" t="s">
        <v>44</v>
      </c>
      <c r="E209" s="3" t="s">
        <v>25</v>
      </c>
      <c r="F209" s="3" t="s">
        <v>25</v>
      </c>
      <c r="G209" s="3" t="s">
        <v>25</v>
      </c>
      <c r="H209" s="3" t="s">
        <v>25</v>
      </c>
      <c r="I209" s="6">
        <v>44682</v>
      </c>
      <c r="J209" s="4">
        <v>130</v>
      </c>
      <c r="K209" s="4">
        <v>130</v>
      </c>
      <c r="L209" s="4">
        <v>0</v>
      </c>
      <c r="M209" s="4">
        <v>0</v>
      </c>
      <c r="N209" s="4">
        <v>0</v>
      </c>
      <c r="O209" s="4">
        <v>0</v>
      </c>
      <c r="P209" s="4">
        <v>4</v>
      </c>
      <c r="Q209" s="3" t="s">
        <v>26</v>
      </c>
      <c r="R209" s="3">
        <v>0</v>
      </c>
      <c r="S209" s="4">
        <v>9</v>
      </c>
      <c r="T209" s="4">
        <v>0</v>
      </c>
      <c r="U209" s="4">
        <v>0</v>
      </c>
      <c r="V209" s="4">
        <f>IF(ISERROR(VLOOKUP($S$209,'TAR FIN'!$A$1:$O$91,15,0)),0,VLOOKUP($S$209,'TAR FIN'!$A$1:$O$91,15,0))</f>
        <v>33.97</v>
      </c>
      <c r="W209" s="4">
        <f>IF(ISERROR(VLOOKUP($T$209,'TAR FIN'!$A$1:$O$91,15,0)),0,VLOOKUP($T$209,'TAR FIN'!$A$1:$O$91,15,0))</f>
        <v>0</v>
      </c>
      <c r="X209" s="4">
        <f>IF(ISERROR(VLOOKUP($U$209,'TAR FIN'!$A$1:$O$91,15,0)),0,VLOOKUP($U$209,'TAR FIN'!$A$1:$O$91,15,0))</f>
        <v>0</v>
      </c>
      <c r="Y209" s="4">
        <f ca="1">('TUSD BE'!$AM$13+'TUSD BF'!$AM$13+'TUSD CVA'!$AM$13)*1</f>
        <v>39.117234382623039</v>
      </c>
      <c r="Z209" s="4"/>
      <c r="AA209" s="4"/>
      <c r="AB209" s="4">
        <f>$K$209*$V$209</f>
        <v>4416.0999999999995</v>
      </c>
      <c r="AC209" s="4">
        <f>$M$209*$W$209</f>
        <v>0</v>
      </c>
      <c r="AD209" s="4">
        <f>$O$209*$X$209</f>
        <v>0</v>
      </c>
      <c r="AE209" s="4">
        <f ca="1">$K$209*$Y$209</f>
        <v>5085.2404697409947</v>
      </c>
      <c r="AF209" s="4">
        <f>$M$209*$Z$209</f>
        <v>0</v>
      </c>
      <c r="AG209" s="4">
        <f>$O$209*$AA$209</f>
        <v>0</v>
      </c>
    </row>
    <row r="210" spans="1:33" ht="11.25" customHeight="1" x14ac:dyDescent="0.3">
      <c r="A210" s="3" t="s">
        <v>21</v>
      </c>
      <c r="B210" s="3" t="s">
        <v>39</v>
      </c>
      <c r="C210" s="3" t="s">
        <v>40</v>
      </c>
      <c r="D210" s="3" t="s">
        <v>44</v>
      </c>
      <c r="E210" s="3" t="s">
        <v>25</v>
      </c>
      <c r="F210" s="3" t="s">
        <v>25</v>
      </c>
      <c r="G210" s="3" t="s">
        <v>25</v>
      </c>
      <c r="H210" s="3" t="s">
        <v>25</v>
      </c>
      <c r="I210" s="6">
        <v>44713</v>
      </c>
      <c r="J210" s="4">
        <v>130</v>
      </c>
      <c r="K210" s="4">
        <v>130</v>
      </c>
      <c r="L210" s="4">
        <v>0</v>
      </c>
      <c r="M210" s="4">
        <v>0</v>
      </c>
      <c r="N210" s="4">
        <v>0</v>
      </c>
      <c r="O210" s="4">
        <v>0</v>
      </c>
      <c r="P210" s="4">
        <v>4</v>
      </c>
      <c r="Q210" s="3" t="s">
        <v>26</v>
      </c>
      <c r="R210" s="3">
        <v>0</v>
      </c>
      <c r="S210" s="4">
        <v>9</v>
      </c>
      <c r="T210" s="4">
        <v>0</v>
      </c>
      <c r="U210" s="4">
        <v>0</v>
      </c>
      <c r="V210" s="4">
        <f>IF(ISERROR(VLOOKUP($S$210,'TAR FIN'!$A$1:$O$91,15,0)),0,VLOOKUP($S$210,'TAR FIN'!$A$1:$O$91,15,0))</f>
        <v>33.97</v>
      </c>
      <c r="W210" s="4">
        <f>IF(ISERROR(VLOOKUP($T$210,'TAR FIN'!$A$1:$O$91,15,0)),0,VLOOKUP($T$210,'TAR FIN'!$A$1:$O$91,15,0))</f>
        <v>0</v>
      </c>
      <c r="X210" s="4">
        <f>IF(ISERROR(VLOOKUP($U$210,'TAR FIN'!$A$1:$O$91,15,0)),0,VLOOKUP($U$210,'TAR FIN'!$A$1:$O$91,15,0))</f>
        <v>0</v>
      </c>
      <c r="Y210" s="4">
        <f ca="1">('TUSD BE'!$AM$13+'TUSD BF'!$AM$13+'TUSD CVA'!$AM$13)*1</f>
        <v>39.117234382623039</v>
      </c>
      <c r="Z210" s="4"/>
      <c r="AA210" s="4"/>
      <c r="AB210" s="4">
        <f>$K$210*$V$210</f>
        <v>4416.0999999999995</v>
      </c>
      <c r="AC210" s="4">
        <f>$M$210*$W$210</f>
        <v>0</v>
      </c>
      <c r="AD210" s="4">
        <f>$O$210*$X$210</f>
        <v>0</v>
      </c>
      <c r="AE210" s="4">
        <f ca="1">$K$210*$Y$210</f>
        <v>5085.2404697409947</v>
      </c>
      <c r="AF210" s="4">
        <f>$M$210*$Z$210</f>
        <v>0</v>
      </c>
      <c r="AG210" s="4">
        <f>$O$210*$AA$210</f>
        <v>0</v>
      </c>
    </row>
    <row r="211" spans="1:33" ht="11.25" customHeight="1" x14ac:dyDescent="0.3">
      <c r="A211" s="3" t="s">
        <v>21</v>
      </c>
      <c r="B211" s="3" t="s">
        <v>39</v>
      </c>
      <c r="C211" s="3" t="s">
        <v>40</v>
      </c>
      <c r="D211" s="3" t="s">
        <v>44</v>
      </c>
      <c r="E211" s="3" t="s">
        <v>25</v>
      </c>
      <c r="F211" s="3" t="s">
        <v>25</v>
      </c>
      <c r="G211" s="3" t="s">
        <v>25</v>
      </c>
      <c r="H211" s="3" t="s">
        <v>34</v>
      </c>
      <c r="I211" s="6">
        <v>44378</v>
      </c>
      <c r="J211" s="4">
        <v>0</v>
      </c>
      <c r="K211" s="4">
        <v>0</v>
      </c>
      <c r="L211" s="4">
        <v>0.82199999999999995</v>
      </c>
      <c r="M211" s="4">
        <v>0.82199999999999995</v>
      </c>
      <c r="N211" s="4">
        <v>0.82199999999999995</v>
      </c>
      <c r="O211" s="4">
        <v>0.82199999999999995</v>
      </c>
      <c r="P211" s="4">
        <v>0</v>
      </c>
      <c r="Q211" s="3" t="s">
        <v>26</v>
      </c>
      <c r="R211" s="3">
        <v>0</v>
      </c>
      <c r="S211" s="4">
        <v>0</v>
      </c>
      <c r="T211" s="4">
        <v>10</v>
      </c>
      <c r="U211" s="4">
        <v>51</v>
      </c>
      <c r="V211" s="4">
        <f>IF(ISERROR(VLOOKUP($S$211,'TAR FIN'!$A$1:$O$91,15,0)),0,VLOOKUP($S$211,'TAR FIN'!$A$1:$O$91,15,0))</f>
        <v>0</v>
      </c>
      <c r="W211" s="4">
        <f>IF(ISERROR(VLOOKUP($T$211,'TAR FIN'!$A$1:$O$91,15,0)),0,VLOOKUP($T$211,'TAR FIN'!$A$1:$O$91,15,0))</f>
        <v>1755.54</v>
      </c>
      <c r="X211" s="4">
        <f>IF(ISERROR(VLOOKUP($U$211,'TAR FIN'!$A$1:$O$91,15,0)),0,VLOOKUP($U$211,'TAR FIN'!$A$1:$O$91,15,0))</f>
        <v>298.83999999999997</v>
      </c>
      <c r="Y211" s="4"/>
      <c r="Z211" s="4">
        <f ca="1">('TUSD BE'!$AM$14+'TUSD BF'!$AM$14+'TUSD CVA'!$AM$14)*1</f>
        <v>1891.4266775287376</v>
      </c>
      <c r="AA211" s="4">
        <f>('TE BE'!$AB$5+'TE BF'!$AB$5+'TE CVA'!$AB$5)*1</f>
        <v>311.4117891483653</v>
      </c>
      <c r="AB211" s="4">
        <f>$K$211*$V$211</f>
        <v>0</v>
      </c>
      <c r="AC211" s="4">
        <f>$M$211*$W$211</f>
        <v>1443.0538799999999</v>
      </c>
      <c r="AD211" s="4">
        <f>$O$211*$X$211</f>
        <v>245.64647999999997</v>
      </c>
      <c r="AE211" s="4">
        <f>$K$211*$Y$211</f>
        <v>0</v>
      </c>
      <c r="AF211" s="4">
        <f ca="1">$M$211*$Z$211</f>
        <v>1554.7527289286222</v>
      </c>
      <c r="AG211" s="4">
        <f>$O$211*$AA$211</f>
        <v>255.98049067995626</v>
      </c>
    </row>
    <row r="212" spans="1:33" ht="11.25" customHeight="1" x14ac:dyDescent="0.3">
      <c r="A212" s="3" t="s">
        <v>21</v>
      </c>
      <c r="B212" s="3" t="s">
        <v>39</v>
      </c>
      <c r="C212" s="3" t="s">
        <v>40</v>
      </c>
      <c r="D212" s="3" t="s">
        <v>44</v>
      </c>
      <c r="E212" s="3" t="s">
        <v>25</v>
      </c>
      <c r="F212" s="3" t="s">
        <v>25</v>
      </c>
      <c r="G212" s="3" t="s">
        <v>25</v>
      </c>
      <c r="H212" s="3" t="s">
        <v>34</v>
      </c>
      <c r="I212" s="6">
        <v>44409</v>
      </c>
      <c r="J212" s="4">
        <v>0</v>
      </c>
      <c r="K212" s="4">
        <v>0</v>
      </c>
      <c r="L212" s="4">
        <v>0.78800000000000003</v>
      </c>
      <c r="M212" s="4">
        <v>0.78800000000000003</v>
      </c>
      <c r="N212" s="4">
        <v>0.78800000000000003</v>
      </c>
      <c r="O212" s="4">
        <v>0.78800000000000003</v>
      </c>
      <c r="P212" s="4">
        <v>0</v>
      </c>
      <c r="Q212" s="3" t="s">
        <v>26</v>
      </c>
      <c r="R212" s="3">
        <v>0</v>
      </c>
      <c r="S212" s="4">
        <v>0</v>
      </c>
      <c r="T212" s="4">
        <v>10</v>
      </c>
      <c r="U212" s="4">
        <v>51</v>
      </c>
      <c r="V212" s="4">
        <f>IF(ISERROR(VLOOKUP($S$212,'TAR FIN'!$A$1:$O$91,15,0)),0,VLOOKUP($S$212,'TAR FIN'!$A$1:$O$91,15,0))</f>
        <v>0</v>
      </c>
      <c r="W212" s="4">
        <f>IF(ISERROR(VLOOKUP($T$212,'TAR FIN'!$A$1:$O$91,15,0)),0,VLOOKUP($T$212,'TAR FIN'!$A$1:$O$91,15,0))</f>
        <v>1755.54</v>
      </c>
      <c r="X212" s="4">
        <f>IF(ISERROR(VLOOKUP($U$212,'TAR FIN'!$A$1:$O$91,15,0)),0,VLOOKUP($U$212,'TAR FIN'!$A$1:$O$91,15,0))</f>
        <v>298.83999999999997</v>
      </c>
      <c r="Y212" s="4"/>
      <c r="Z212" s="4">
        <f ca="1">('TUSD BE'!$AM$14+'TUSD BF'!$AM$14+'TUSD CVA'!$AM$14)*1</f>
        <v>1891.4266775287376</v>
      </c>
      <c r="AA212" s="4">
        <f>('TE BE'!$AB$5+'TE BF'!$AB$5+'TE CVA'!$AB$5)*1</f>
        <v>311.4117891483653</v>
      </c>
      <c r="AB212" s="4">
        <f>$K$212*$V$212</f>
        <v>0</v>
      </c>
      <c r="AC212" s="4">
        <f>$M$212*$W$212</f>
        <v>1383.3655200000001</v>
      </c>
      <c r="AD212" s="4">
        <f>$O$212*$X$212</f>
        <v>235.48591999999999</v>
      </c>
      <c r="AE212" s="4">
        <f>$K$212*$Y$212</f>
        <v>0</v>
      </c>
      <c r="AF212" s="4">
        <f ca="1">$M$212*$Z$212</f>
        <v>1490.4442218926454</v>
      </c>
      <c r="AG212" s="4">
        <f>$O$212*$AA$212</f>
        <v>245.39248984891188</v>
      </c>
    </row>
    <row r="213" spans="1:33" ht="11.25" customHeight="1" x14ac:dyDescent="0.3">
      <c r="A213" s="3" t="s">
        <v>21</v>
      </c>
      <c r="B213" s="3" t="s">
        <v>39</v>
      </c>
      <c r="C213" s="3" t="s">
        <v>40</v>
      </c>
      <c r="D213" s="3" t="s">
        <v>44</v>
      </c>
      <c r="E213" s="3" t="s">
        <v>25</v>
      </c>
      <c r="F213" s="3" t="s">
        <v>25</v>
      </c>
      <c r="G213" s="3" t="s">
        <v>25</v>
      </c>
      <c r="H213" s="3" t="s">
        <v>34</v>
      </c>
      <c r="I213" s="6">
        <v>44440</v>
      </c>
      <c r="J213" s="4">
        <v>0</v>
      </c>
      <c r="K213" s="4">
        <v>0</v>
      </c>
      <c r="L213" s="4">
        <v>0.69499999999999995</v>
      </c>
      <c r="M213" s="4">
        <v>0.69499999999999995</v>
      </c>
      <c r="N213" s="4">
        <v>0.69499999999999995</v>
      </c>
      <c r="O213" s="4">
        <v>0.69499999999999995</v>
      </c>
      <c r="P213" s="4">
        <v>0</v>
      </c>
      <c r="Q213" s="3" t="s">
        <v>26</v>
      </c>
      <c r="R213" s="3">
        <v>0</v>
      </c>
      <c r="S213" s="4">
        <v>0</v>
      </c>
      <c r="T213" s="4">
        <v>10</v>
      </c>
      <c r="U213" s="4">
        <v>51</v>
      </c>
      <c r="V213" s="4">
        <f>IF(ISERROR(VLOOKUP($S$213,'TAR FIN'!$A$1:$O$91,15,0)),0,VLOOKUP($S$213,'TAR FIN'!$A$1:$O$91,15,0))</f>
        <v>0</v>
      </c>
      <c r="W213" s="4">
        <f>IF(ISERROR(VLOOKUP($T$213,'TAR FIN'!$A$1:$O$91,15,0)),0,VLOOKUP($T$213,'TAR FIN'!$A$1:$O$91,15,0))</f>
        <v>1755.54</v>
      </c>
      <c r="X213" s="4">
        <f>IF(ISERROR(VLOOKUP($U$213,'TAR FIN'!$A$1:$O$91,15,0)),0,VLOOKUP($U$213,'TAR FIN'!$A$1:$O$91,15,0))</f>
        <v>298.83999999999997</v>
      </c>
      <c r="Y213" s="4"/>
      <c r="Z213" s="4">
        <f ca="1">('TUSD BE'!$AM$14+'TUSD BF'!$AM$14+'TUSD CVA'!$AM$14)*1</f>
        <v>1891.4266775287376</v>
      </c>
      <c r="AA213" s="4">
        <f>('TE BE'!$AB$5+'TE BF'!$AB$5+'TE CVA'!$AB$5)*1</f>
        <v>311.4117891483653</v>
      </c>
      <c r="AB213" s="4">
        <f>$K$213*$V$213</f>
        <v>0</v>
      </c>
      <c r="AC213" s="4">
        <f>$M$213*$W$213</f>
        <v>1220.1002999999998</v>
      </c>
      <c r="AD213" s="4">
        <f>$O$213*$X$213</f>
        <v>207.69379999999998</v>
      </c>
      <c r="AE213" s="4">
        <f>$K$213*$Y$213</f>
        <v>0</v>
      </c>
      <c r="AF213" s="4">
        <f ca="1">$M$213*$Z$213</f>
        <v>1314.5415408824726</v>
      </c>
      <c r="AG213" s="4">
        <f>$O$213*$AA$213</f>
        <v>216.43119345811388</v>
      </c>
    </row>
    <row r="214" spans="1:33" ht="11.25" customHeight="1" x14ac:dyDescent="0.3">
      <c r="A214" s="3" t="s">
        <v>21</v>
      </c>
      <c r="B214" s="3" t="s">
        <v>39</v>
      </c>
      <c r="C214" s="3" t="s">
        <v>40</v>
      </c>
      <c r="D214" s="3" t="s">
        <v>44</v>
      </c>
      <c r="E214" s="3" t="s">
        <v>25</v>
      </c>
      <c r="F214" s="3" t="s">
        <v>25</v>
      </c>
      <c r="G214" s="3" t="s">
        <v>25</v>
      </c>
      <c r="H214" s="3" t="s">
        <v>34</v>
      </c>
      <c r="I214" s="6">
        <v>44470</v>
      </c>
      <c r="J214" s="4">
        <v>0</v>
      </c>
      <c r="K214" s="4">
        <v>0</v>
      </c>
      <c r="L214" s="4">
        <v>0.625</v>
      </c>
      <c r="M214" s="4">
        <v>0.625</v>
      </c>
      <c r="N214" s="4">
        <v>0.625</v>
      </c>
      <c r="O214" s="4">
        <v>0.625</v>
      </c>
      <c r="P214" s="4">
        <v>0</v>
      </c>
      <c r="Q214" s="3" t="s">
        <v>26</v>
      </c>
      <c r="R214" s="3">
        <v>0</v>
      </c>
      <c r="S214" s="4">
        <v>0</v>
      </c>
      <c r="T214" s="4">
        <v>10</v>
      </c>
      <c r="U214" s="4">
        <v>51</v>
      </c>
      <c r="V214" s="4">
        <f>IF(ISERROR(VLOOKUP($S$214,'TAR FIN'!$A$1:$O$91,15,0)),0,VLOOKUP($S$214,'TAR FIN'!$A$1:$O$91,15,0))</f>
        <v>0</v>
      </c>
      <c r="W214" s="4">
        <f>IF(ISERROR(VLOOKUP($T$214,'TAR FIN'!$A$1:$O$91,15,0)),0,VLOOKUP($T$214,'TAR FIN'!$A$1:$O$91,15,0))</f>
        <v>1755.54</v>
      </c>
      <c r="X214" s="4">
        <f>IF(ISERROR(VLOOKUP($U$214,'TAR FIN'!$A$1:$O$91,15,0)),0,VLOOKUP($U$214,'TAR FIN'!$A$1:$O$91,15,0))</f>
        <v>298.83999999999997</v>
      </c>
      <c r="Y214" s="4"/>
      <c r="Z214" s="4">
        <f ca="1">('TUSD BE'!$AM$14+'TUSD BF'!$AM$14+'TUSD CVA'!$AM$14)*1</f>
        <v>1891.4266775287376</v>
      </c>
      <c r="AA214" s="4">
        <f>('TE BE'!$AB$5+'TE BF'!$AB$5+'TE CVA'!$AB$5)*1</f>
        <v>311.4117891483653</v>
      </c>
      <c r="AB214" s="4">
        <f>$K$214*$V$214</f>
        <v>0</v>
      </c>
      <c r="AC214" s="4">
        <f>$M$214*$W$214</f>
        <v>1097.2125000000001</v>
      </c>
      <c r="AD214" s="4">
        <f>$O$214*$X$214</f>
        <v>186.77499999999998</v>
      </c>
      <c r="AE214" s="4">
        <f>$K$214*$Y$214</f>
        <v>0</v>
      </c>
      <c r="AF214" s="4">
        <f ca="1">$M$214*$Z$214</f>
        <v>1182.1416734554609</v>
      </c>
      <c r="AG214" s="4">
        <f>$O$214*$AA$214</f>
        <v>194.6323682177283</v>
      </c>
    </row>
    <row r="215" spans="1:33" ht="11.25" customHeight="1" x14ac:dyDescent="0.3">
      <c r="A215" s="3" t="s">
        <v>21</v>
      </c>
      <c r="B215" s="3" t="s">
        <v>39</v>
      </c>
      <c r="C215" s="3" t="s">
        <v>40</v>
      </c>
      <c r="D215" s="3" t="s">
        <v>44</v>
      </c>
      <c r="E215" s="3" t="s">
        <v>25</v>
      </c>
      <c r="F215" s="3" t="s">
        <v>25</v>
      </c>
      <c r="G215" s="3" t="s">
        <v>25</v>
      </c>
      <c r="H215" s="3" t="s">
        <v>34</v>
      </c>
      <c r="I215" s="6">
        <v>44501</v>
      </c>
      <c r="J215" s="4">
        <v>0</v>
      </c>
      <c r="K215" s="4">
        <v>0</v>
      </c>
      <c r="L215" s="4">
        <v>0.66100000000000003</v>
      </c>
      <c r="M215" s="4">
        <v>0.66100000000000003</v>
      </c>
      <c r="N215" s="4">
        <v>0.66100000000000003</v>
      </c>
      <c r="O215" s="4">
        <v>0.66100000000000003</v>
      </c>
      <c r="P215" s="4">
        <v>0</v>
      </c>
      <c r="Q215" s="3" t="s">
        <v>26</v>
      </c>
      <c r="R215" s="3">
        <v>0</v>
      </c>
      <c r="S215" s="4">
        <v>0</v>
      </c>
      <c r="T215" s="4">
        <v>10</v>
      </c>
      <c r="U215" s="4">
        <v>51</v>
      </c>
      <c r="V215" s="4">
        <f>IF(ISERROR(VLOOKUP($S$215,'TAR FIN'!$A$1:$O$91,15,0)),0,VLOOKUP($S$215,'TAR FIN'!$A$1:$O$91,15,0))</f>
        <v>0</v>
      </c>
      <c r="W215" s="4">
        <f>IF(ISERROR(VLOOKUP($T$215,'TAR FIN'!$A$1:$O$91,15,0)),0,VLOOKUP($T$215,'TAR FIN'!$A$1:$O$91,15,0))</f>
        <v>1755.54</v>
      </c>
      <c r="X215" s="4">
        <f>IF(ISERROR(VLOOKUP($U$215,'TAR FIN'!$A$1:$O$91,15,0)),0,VLOOKUP($U$215,'TAR FIN'!$A$1:$O$91,15,0))</f>
        <v>298.83999999999997</v>
      </c>
      <c r="Y215" s="4"/>
      <c r="Z215" s="4">
        <f ca="1">('TUSD BE'!$AM$14+'TUSD BF'!$AM$14+'TUSD CVA'!$AM$14)*1</f>
        <v>1891.4266775287376</v>
      </c>
      <c r="AA215" s="4">
        <f>('TE BE'!$AB$5+'TE BF'!$AB$5+'TE CVA'!$AB$5)*1</f>
        <v>311.4117891483653</v>
      </c>
      <c r="AB215" s="4">
        <f>$K$215*$V$215</f>
        <v>0</v>
      </c>
      <c r="AC215" s="4">
        <f>$M$215*$W$215</f>
        <v>1160.41194</v>
      </c>
      <c r="AD215" s="4">
        <f>$O$215*$X$215</f>
        <v>197.53324000000001</v>
      </c>
      <c r="AE215" s="4">
        <f>$K$215*$Y$215</f>
        <v>0</v>
      </c>
      <c r="AF215" s="4">
        <f ca="1">$M$215*$Z$215</f>
        <v>1250.2330338464956</v>
      </c>
      <c r="AG215" s="4">
        <f>$O$215*$AA$215</f>
        <v>205.84319262706947</v>
      </c>
    </row>
    <row r="216" spans="1:33" ht="11.25" customHeight="1" x14ac:dyDescent="0.3">
      <c r="A216" s="3" t="s">
        <v>21</v>
      </c>
      <c r="B216" s="3" t="s">
        <v>39</v>
      </c>
      <c r="C216" s="3" t="s">
        <v>40</v>
      </c>
      <c r="D216" s="3" t="s">
        <v>44</v>
      </c>
      <c r="E216" s="3" t="s">
        <v>25</v>
      </c>
      <c r="F216" s="3" t="s">
        <v>25</v>
      </c>
      <c r="G216" s="3" t="s">
        <v>25</v>
      </c>
      <c r="H216" s="3" t="s">
        <v>34</v>
      </c>
      <c r="I216" s="6">
        <v>44531</v>
      </c>
      <c r="J216" s="4">
        <v>0</v>
      </c>
      <c r="K216" s="4">
        <v>0</v>
      </c>
      <c r="L216" s="4">
        <v>0.71899999999999997</v>
      </c>
      <c r="M216" s="4">
        <v>0.71899999999999997</v>
      </c>
      <c r="N216" s="4">
        <v>0.71899999999999997</v>
      </c>
      <c r="O216" s="4">
        <v>0.71899999999999997</v>
      </c>
      <c r="P216" s="4">
        <v>0</v>
      </c>
      <c r="Q216" s="3" t="s">
        <v>26</v>
      </c>
      <c r="R216" s="3">
        <v>0</v>
      </c>
      <c r="S216" s="4">
        <v>0</v>
      </c>
      <c r="T216" s="4">
        <v>10</v>
      </c>
      <c r="U216" s="4">
        <v>51</v>
      </c>
      <c r="V216" s="4">
        <f>IF(ISERROR(VLOOKUP($S$216,'TAR FIN'!$A$1:$O$91,15,0)),0,VLOOKUP($S$216,'TAR FIN'!$A$1:$O$91,15,0))</f>
        <v>0</v>
      </c>
      <c r="W216" s="4">
        <f>IF(ISERROR(VLOOKUP($T$216,'TAR FIN'!$A$1:$O$91,15,0)),0,VLOOKUP($T$216,'TAR FIN'!$A$1:$O$91,15,0))</f>
        <v>1755.54</v>
      </c>
      <c r="X216" s="4">
        <f>IF(ISERROR(VLOOKUP($U$216,'TAR FIN'!$A$1:$O$91,15,0)),0,VLOOKUP($U$216,'TAR FIN'!$A$1:$O$91,15,0))</f>
        <v>298.83999999999997</v>
      </c>
      <c r="Y216" s="4"/>
      <c r="Z216" s="4">
        <f ca="1">('TUSD BE'!$AM$14+'TUSD BF'!$AM$14+'TUSD CVA'!$AM$14)*1</f>
        <v>1891.4266775287376</v>
      </c>
      <c r="AA216" s="4">
        <f>('TE BE'!$AB$5+'TE BF'!$AB$5+'TE CVA'!$AB$5)*1</f>
        <v>311.4117891483653</v>
      </c>
      <c r="AB216" s="4">
        <f>$K$216*$V$216</f>
        <v>0</v>
      </c>
      <c r="AC216" s="4">
        <f>$M$216*$W$216</f>
        <v>1262.23326</v>
      </c>
      <c r="AD216" s="4">
        <f>$O$216*$X$216</f>
        <v>214.86595999999997</v>
      </c>
      <c r="AE216" s="4">
        <f>$K$216*$Y$216</f>
        <v>0</v>
      </c>
      <c r="AF216" s="4">
        <f ca="1">$M$216*$Z$216</f>
        <v>1359.9357811431623</v>
      </c>
      <c r="AG216" s="4">
        <f>$O$216*$AA$216</f>
        <v>223.90507639767463</v>
      </c>
    </row>
    <row r="217" spans="1:33" ht="11.25" customHeight="1" x14ac:dyDescent="0.3">
      <c r="A217" s="3" t="s">
        <v>21</v>
      </c>
      <c r="B217" s="3" t="s">
        <v>39</v>
      </c>
      <c r="C217" s="3" t="s">
        <v>40</v>
      </c>
      <c r="D217" s="3" t="s">
        <v>44</v>
      </c>
      <c r="E217" s="3" t="s">
        <v>25</v>
      </c>
      <c r="F217" s="3" t="s">
        <v>25</v>
      </c>
      <c r="G217" s="3" t="s">
        <v>25</v>
      </c>
      <c r="H217" s="3" t="s">
        <v>34</v>
      </c>
      <c r="I217" s="6">
        <v>44562</v>
      </c>
      <c r="J217" s="4">
        <v>0</v>
      </c>
      <c r="K217" s="4">
        <v>0</v>
      </c>
      <c r="L217" s="4">
        <v>0.84599999999999997</v>
      </c>
      <c r="M217" s="4">
        <v>0.84599999999999997</v>
      </c>
      <c r="N217" s="4">
        <v>0.84599999999999997</v>
      </c>
      <c r="O217" s="4">
        <v>0.84599999999999997</v>
      </c>
      <c r="P217" s="4">
        <v>0</v>
      </c>
      <c r="Q217" s="3" t="s">
        <v>26</v>
      </c>
      <c r="R217" s="3">
        <v>0</v>
      </c>
      <c r="S217" s="4">
        <v>0</v>
      </c>
      <c r="T217" s="4">
        <v>10</v>
      </c>
      <c r="U217" s="4">
        <v>51</v>
      </c>
      <c r="V217" s="4">
        <f>IF(ISERROR(VLOOKUP($S$217,'TAR FIN'!$A$1:$O$91,15,0)),0,VLOOKUP($S$217,'TAR FIN'!$A$1:$O$91,15,0))</f>
        <v>0</v>
      </c>
      <c r="W217" s="4">
        <f>IF(ISERROR(VLOOKUP($T$217,'TAR FIN'!$A$1:$O$91,15,0)),0,VLOOKUP($T$217,'TAR FIN'!$A$1:$O$91,15,0))</f>
        <v>1755.54</v>
      </c>
      <c r="X217" s="4">
        <f>IF(ISERROR(VLOOKUP($U$217,'TAR FIN'!$A$1:$O$91,15,0)),0,VLOOKUP($U$217,'TAR FIN'!$A$1:$O$91,15,0))</f>
        <v>298.83999999999997</v>
      </c>
      <c r="Y217" s="4"/>
      <c r="Z217" s="4">
        <f ca="1">('TUSD BE'!$AM$14+'TUSD BF'!$AM$14+'TUSD CVA'!$AM$14)*1</f>
        <v>1891.4266775287376</v>
      </c>
      <c r="AA217" s="4">
        <f>('TE BE'!$AB$5+'TE BF'!$AB$5+'TE CVA'!$AB$5)*1</f>
        <v>311.4117891483653</v>
      </c>
      <c r="AB217" s="4">
        <f>$K$217*$V$217</f>
        <v>0</v>
      </c>
      <c r="AC217" s="4">
        <f>$M$217*$W$217</f>
        <v>1485.1868399999998</v>
      </c>
      <c r="AD217" s="4">
        <f>$O$217*$X$217</f>
        <v>252.81863999999996</v>
      </c>
      <c r="AE217" s="4">
        <f>$K$217*$Y$217</f>
        <v>0</v>
      </c>
      <c r="AF217" s="4">
        <f ca="1">$M$217*$Z$217</f>
        <v>1600.1469691893119</v>
      </c>
      <c r="AG217" s="4">
        <f>$O$217*$AA$217</f>
        <v>263.45437361951701</v>
      </c>
    </row>
    <row r="218" spans="1:33" ht="11.25" customHeight="1" x14ac:dyDescent="0.3">
      <c r="A218" s="3" t="s">
        <v>21</v>
      </c>
      <c r="B218" s="3" t="s">
        <v>39</v>
      </c>
      <c r="C218" s="3" t="s">
        <v>40</v>
      </c>
      <c r="D218" s="3" t="s">
        <v>44</v>
      </c>
      <c r="E218" s="3" t="s">
        <v>25</v>
      </c>
      <c r="F218" s="3" t="s">
        <v>25</v>
      </c>
      <c r="G218" s="3" t="s">
        <v>25</v>
      </c>
      <c r="H218" s="3" t="s">
        <v>34</v>
      </c>
      <c r="I218" s="6">
        <v>44593</v>
      </c>
      <c r="J218" s="4">
        <v>0</v>
      </c>
      <c r="K218" s="4">
        <v>0</v>
      </c>
      <c r="L218" s="4">
        <v>0.86299999999999999</v>
      </c>
      <c r="M218" s="4">
        <v>0.86299999999999999</v>
      </c>
      <c r="N218" s="4">
        <v>0.86299999999999999</v>
      </c>
      <c r="O218" s="4">
        <v>0.86299999999999999</v>
      </c>
      <c r="P218" s="4">
        <v>0</v>
      </c>
      <c r="Q218" s="3" t="s">
        <v>26</v>
      </c>
      <c r="R218" s="3">
        <v>0</v>
      </c>
      <c r="S218" s="4">
        <v>0</v>
      </c>
      <c r="T218" s="4">
        <v>10</v>
      </c>
      <c r="U218" s="4">
        <v>51</v>
      </c>
      <c r="V218" s="4">
        <f>IF(ISERROR(VLOOKUP($S$218,'TAR FIN'!$A$1:$O$91,15,0)),0,VLOOKUP($S$218,'TAR FIN'!$A$1:$O$91,15,0))</f>
        <v>0</v>
      </c>
      <c r="W218" s="4">
        <f>IF(ISERROR(VLOOKUP($T$218,'TAR FIN'!$A$1:$O$91,15,0)),0,VLOOKUP($T$218,'TAR FIN'!$A$1:$O$91,15,0))</f>
        <v>1755.54</v>
      </c>
      <c r="X218" s="4">
        <f>IF(ISERROR(VLOOKUP($U$218,'TAR FIN'!$A$1:$O$91,15,0)),0,VLOOKUP($U$218,'TAR FIN'!$A$1:$O$91,15,0))</f>
        <v>298.83999999999997</v>
      </c>
      <c r="Y218" s="4"/>
      <c r="Z218" s="4">
        <f ca="1">('TUSD BE'!$AM$14+'TUSD BF'!$AM$14+'TUSD CVA'!$AM$14)*1</f>
        <v>1891.4266775287376</v>
      </c>
      <c r="AA218" s="4">
        <f>('TE BE'!$AB$5+'TE BF'!$AB$5+'TE CVA'!$AB$5)*1</f>
        <v>311.4117891483653</v>
      </c>
      <c r="AB218" s="4">
        <f>$K$218*$V$218</f>
        <v>0</v>
      </c>
      <c r="AC218" s="4">
        <f>$M$218*$W$218</f>
        <v>1515.0310199999999</v>
      </c>
      <c r="AD218" s="4">
        <f>$O$218*$X$218</f>
        <v>257.89891999999998</v>
      </c>
      <c r="AE218" s="4">
        <f>$K$218*$Y$218</f>
        <v>0</v>
      </c>
      <c r="AF218" s="4">
        <f ca="1">$M$218*$Z$218</f>
        <v>1632.3012227073004</v>
      </c>
      <c r="AG218" s="4">
        <f>$O$218*$AA$218</f>
        <v>268.74837403503926</v>
      </c>
    </row>
    <row r="219" spans="1:33" ht="11.25" customHeight="1" x14ac:dyDescent="0.3">
      <c r="A219" s="3" t="s">
        <v>21</v>
      </c>
      <c r="B219" s="3" t="s">
        <v>39</v>
      </c>
      <c r="C219" s="3" t="s">
        <v>40</v>
      </c>
      <c r="D219" s="3" t="s">
        <v>44</v>
      </c>
      <c r="E219" s="3" t="s">
        <v>25</v>
      </c>
      <c r="F219" s="3" t="s">
        <v>25</v>
      </c>
      <c r="G219" s="3" t="s">
        <v>25</v>
      </c>
      <c r="H219" s="3" t="s">
        <v>34</v>
      </c>
      <c r="I219" s="6">
        <v>44621</v>
      </c>
      <c r="J219" s="4">
        <v>0</v>
      </c>
      <c r="K219" s="4">
        <v>0</v>
      </c>
      <c r="L219" s="4">
        <v>0.94699999999999995</v>
      </c>
      <c r="M219" s="4">
        <v>0.94699999999999995</v>
      </c>
      <c r="N219" s="4">
        <v>0.94699999999999995</v>
      </c>
      <c r="O219" s="4">
        <v>0.94699999999999995</v>
      </c>
      <c r="P219" s="4">
        <v>0</v>
      </c>
      <c r="Q219" s="3" t="s">
        <v>26</v>
      </c>
      <c r="R219" s="3">
        <v>0</v>
      </c>
      <c r="S219" s="4">
        <v>0</v>
      </c>
      <c r="T219" s="4">
        <v>10</v>
      </c>
      <c r="U219" s="4">
        <v>51</v>
      </c>
      <c r="V219" s="4">
        <f>IF(ISERROR(VLOOKUP($S$219,'TAR FIN'!$A$1:$O$91,15,0)),0,VLOOKUP($S$219,'TAR FIN'!$A$1:$O$91,15,0))</f>
        <v>0</v>
      </c>
      <c r="W219" s="4">
        <f>IF(ISERROR(VLOOKUP($T$219,'TAR FIN'!$A$1:$O$91,15,0)),0,VLOOKUP($T$219,'TAR FIN'!$A$1:$O$91,15,0))</f>
        <v>1755.54</v>
      </c>
      <c r="X219" s="4">
        <f>IF(ISERROR(VLOOKUP($U$219,'TAR FIN'!$A$1:$O$91,15,0)),0,VLOOKUP($U$219,'TAR FIN'!$A$1:$O$91,15,0))</f>
        <v>298.83999999999997</v>
      </c>
      <c r="Y219" s="4"/>
      <c r="Z219" s="4">
        <f ca="1">('TUSD BE'!$AM$14+'TUSD BF'!$AM$14+'TUSD CVA'!$AM$14)*1</f>
        <v>1891.4266775287376</v>
      </c>
      <c r="AA219" s="4">
        <f>('TE BE'!$AB$5+'TE BF'!$AB$5+'TE CVA'!$AB$5)*1</f>
        <v>311.4117891483653</v>
      </c>
      <c r="AB219" s="4">
        <f>$K$219*$V$219</f>
        <v>0</v>
      </c>
      <c r="AC219" s="4">
        <f>$M$219*$W$219</f>
        <v>1662.4963799999998</v>
      </c>
      <c r="AD219" s="4">
        <f>$O$219*$X$219</f>
        <v>283.00147999999996</v>
      </c>
      <c r="AE219" s="4">
        <f>$K$219*$Y$219</f>
        <v>0</v>
      </c>
      <c r="AF219" s="4">
        <f ca="1">$M$219*$Z$219</f>
        <v>1791.1810636197145</v>
      </c>
      <c r="AG219" s="4">
        <f>$O$219*$AA$219</f>
        <v>294.90696432350194</v>
      </c>
    </row>
    <row r="220" spans="1:33" ht="11.25" customHeight="1" x14ac:dyDescent="0.3">
      <c r="A220" s="3" t="s">
        <v>21</v>
      </c>
      <c r="B220" s="3" t="s">
        <v>39</v>
      </c>
      <c r="C220" s="3" t="s">
        <v>40</v>
      </c>
      <c r="D220" s="3" t="s">
        <v>44</v>
      </c>
      <c r="E220" s="3" t="s">
        <v>25</v>
      </c>
      <c r="F220" s="3" t="s">
        <v>25</v>
      </c>
      <c r="G220" s="3" t="s">
        <v>25</v>
      </c>
      <c r="H220" s="3" t="s">
        <v>34</v>
      </c>
      <c r="I220" s="6">
        <v>44652</v>
      </c>
      <c r="J220" s="4">
        <v>0</v>
      </c>
      <c r="K220" s="4">
        <v>0</v>
      </c>
      <c r="L220" s="4">
        <v>0.76200000000000001</v>
      </c>
      <c r="M220" s="4">
        <v>0.76200000000000001</v>
      </c>
      <c r="N220" s="4">
        <v>0.76200000000000001</v>
      </c>
      <c r="O220" s="4">
        <v>0.76200000000000001</v>
      </c>
      <c r="P220" s="4">
        <v>0</v>
      </c>
      <c r="Q220" s="3" t="s">
        <v>26</v>
      </c>
      <c r="R220" s="3">
        <v>0</v>
      </c>
      <c r="S220" s="4">
        <v>0</v>
      </c>
      <c r="T220" s="4">
        <v>10</v>
      </c>
      <c r="U220" s="4">
        <v>51</v>
      </c>
      <c r="V220" s="4">
        <f>IF(ISERROR(VLOOKUP($S$220,'TAR FIN'!$A$1:$O$91,15,0)),0,VLOOKUP($S$220,'TAR FIN'!$A$1:$O$91,15,0))</f>
        <v>0</v>
      </c>
      <c r="W220" s="4">
        <f>IF(ISERROR(VLOOKUP($T$220,'TAR FIN'!$A$1:$O$91,15,0)),0,VLOOKUP($T$220,'TAR FIN'!$A$1:$O$91,15,0))</f>
        <v>1755.54</v>
      </c>
      <c r="X220" s="4">
        <f>IF(ISERROR(VLOOKUP($U$220,'TAR FIN'!$A$1:$O$91,15,0)),0,VLOOKUP($U$220,'TAR FIN'!$A$1:$O$91,15,0))</f>
        <v>298.83999999999997</v>
      </c>
      <c r="Y220" s="4"/>
      <c r="Z220" s="4">
        <f ca="1">('TUSD BE'!$AM$14+'TUSD BF'!$AM$14+'TUSD CVA'!$AM$14)*1</f>
        <v>1891.4266775287376</v>
      </c>
      <c r="AA220" s="4">
        <f>('TE BE'!$AB$5+'TE BF'!$AB$5+'TE CVA'!$AB$5)*1</f>
        <v>311.4117891483653</v>
      </c>
      <c r="AB220" s="4">
        <f>$K$220*$V$220</f>
        <v>0</v>
      </c>
      <c r="AC220" s="4">
        <f>$M$220*$W$220</f>
        <v>1337.7214799999999</v>
      </c>
      <c r="AD220" s="4">
        <f>$O$220*$X$220</f>
        <v>227.71607999999998</v>
      </c>
      <c r="AE220" s="4">
        <f>$K$220*$Y$220</f>
        <v>0</v>
      </c>
      <c r="AF220" s="4">
        <f ca="1">$M$220*$Z$220</f>
        <v>1441.2671282768981</v>
      </c>
      <c r="AG220" s="4">
        <f>$O$220*$AA$220</f>
        <v>237.29578333105437</v>
      </c>
    </row>
    <row r="221" spans="1:33" ht="11.25" customHeight="1" x14ac:dyDescent="0.3">
      <c r="A221" s="3" t="s">
        <v>21</v>
      </c>
      <c r="B221" s="3" t="s">
        <v>39</v>
      </c>
      <c r="C221" s="3" t="s">
        <v>40</v>
      </c>
      <c r="D221" s="3" t="s">
        <v>44</v>
      </c>
      <c r="E221" s="3" t="s">
        <v>25</v>
      </c>
      <c r="F221" s="3" t="s">
        <v>25</v>
      </c>
      <c r="G221" s="3" t="s">
        <v>25</v>
      </c>
      <c r="H221" s="3" t="s">
        <v>34</v>
      </c>
      <c r="I221" s="6">
        <v>44682</v>
      </c>
      <c r="J221" s="4">
        <v>0</v>
      </c>
      <c r="K221" s="4">
        <v>0</v>
      </c>
      <c r="L221" s="4">
        <v>1.0860000000000001</v>
      </c>
      <c r="M221" s="4">
        <v>1.0860000000000001</v>
      </c>
      <c r="N221" s="4">
        <v>1.0860000000000001</v>
      </c>
      <c r="O221" s="4">
        <v>1.0860000000000001</v>
      </c>
      <c r="P221" s="4">
        <v>0</v>
      </c>
      <c r="Q221" s="3" t="s">
        <v>26</v>
      </c>
      <c r="R221" s="3">
        <v>0</v>
      </c>
      <c r="S221" s="4">
        <v>0</v>
      </c>
      <c r="T221" s="4">
        <v>10</v>
      </c>
      <c r="U221" s="4">
        <v>51</v>
      </c>
      <c r="V221" s="4">
        <f>IF(ISERROR(VLOOKUP($S$221,'TAR FIN'!$A$1:$O$91,15,0)),0,VLOOKUP($S$221,'TAR FIN'!$A$1:$O$91,15,0))</f>
        <v>0</v>
      </c>
      <c r="W221" s="4">
        <f>IF(ISERROR(VLOOKUP($T$221,'TAR FIN'!$A$1:$O$91,15,0)),0,VLOOKUP($T$221,'TAR FIN'!$A$1:$O$91,15,0))</f>
        <v>1755.54</v>
      </c>
      <c r="X221" s="4">
        <f>IF(ISERROR(VLOOKUP($U$221,'TAR FIN'!$A$1:$O$91,15,0)),0,VLOOKUP($U$221,'TAR FIN'!$A$1:$O$91,15,0))</f>
        <v>298.83999999999997</v>
      </c>
      <c r="Y221" s="4"/>
      <c r="Z221" s="4">
        <f ca="1">('TUSD BE'!$AM$14+'TUSD BF'!$AM$14+'TUSD CVA'!$AM$14)*1</f>
        <v>1891.4266775287376</v>
      </c>
      <c r="AA221" s="4">
        <f>('TE BE'!$AB$5+'TE BF'!$AB$5+'TE CVA'!$AB$5)*1</f>
        <v>311.4117891483653</v>
      </c>
      <c r="AB221" s="4">
        <f>$K$221*$V$221</f>
        <v>0</v>
      </c>
      <c r="AC221" s="4">
        <f>$M$221*$W$221</f>
        <v>1906.5164400000001</v>
      </c>
      <c r="AD221" s="4">
        <f>$O$221*$X$221</f>
        <v>324.54023999999998</v>
      </c>
      <c r="AE221" s="4">
        <f>$K$221*$Y$221</f>
        <v>0</v>
      </c>
      <c r="AF221" s="4">
        <f ca="1">$M$221*$Z$221</f>
        <v>2054.0893717962094</v>
      </c>
      <c r="AG221" s="4">
        <f>$O$221*$AA$221</f>
        <v>338.19320301512477</v>
      </c>
    </row>
    <row r="222" spans="1:33" ht="11.25" customHeight="1" x14ac:dyDescent="0.3">
      <c r="A222" s="3" t="s">
        <v>21</v>
      </c>
      <c r="B222" s="3" t="s">
        <v>39</v>
      </c>
      <c r="C222" s="3" t="s">
        <v>40</v>
      </c>
      <c r="D222" s="3" t="s">
        <v>44</v>
      </c>
      <c r="E222" s="3" t="s">
        <v>25</v>
      </c>
      <c r="F222" s="3" t="s">
        <v>25</v>
      </c>
      <c r="G222" s="3" t="s">
        <v>25</v>
      </c>
      <c r="H222" s="3" t="s">
        <v>34</v>
      </c>
      <c r="I222" s="6">
        <v>44713</v>
      </c>
      <c r="J222" s="4">
        <v>0</v>
      </c>
      <c r="K222" s="4">
        <v>0</v>
      </c>
      <c r="L222" s="4">
        <v>1.032</v>
      </c>
      <c r="M222" s="4">
        <v>1.032</v>
      </c>
      <c r="N222" s="4">
        <v>1.032</v>
      </c>
      <c r="O222" s="4">
        <v>1.032</v>
      </c>
      <c r="P222" s="4">
        <v>0</v>
      </c>
      <c r="Q222" s="3" t="s">
        <v>26</v>
      </c>
      <c r="R222" s="3">
        <v>0</v>
      </c>
      <c r="S222" s="4">
        <v>0</v>
      </c>
      <c r="T222" s="4">
        <v>10</v>
      </c>
      <c r="U222" s="4">
        <v>51</v>
      </c>
      <c r="V222" s="4">
        <f>IF(ISERROR(VLOOKUP($S$222,'TAR FIN'!$A$1:$O$91,15,0)),0,VLOOKUP($S$222,'TAR FIN'!$A$1:$O$91,15,0))</f>
        <v>0</v>
      </c>
      <c r="W222" s="4">
        <f>IF(ISERROR(VLOOKUP($T$222,'TAR FIN'!$A$1:$O$91,15,0)),0,VLOOKUP($T$222,'TAR FIN'!$A$1:$O$91,15,0))</f>
        <v>1755.54</v>
      </c>
      <c r="X222" s="4">
        <f>IF(ISERROR(VLOOKUP($U$222,'TAR FIN'!$A$1:$O$91,15,0)),0,VLOOKUP($U$222,'TAR FIN'!$A$1:$O$91,15,0))</f>
        <v>298.83999999999997</v>
      </c>
      <c r="Y222" s="4"/>
      <c r="Z222" s="4">
        <f ca="1">('TUSD BE'!$AM$14+'TUSD BF'!$AM$14+'TUSD CVA'!$AM$14)*1</f>
        <v>1891.4266775287376</v>
      </c>
      <c r="AA222" s="4">
        <f>('TE BE'!$AB$5+'TE BF'!$AB$5+'TE CVA'!$AB$5)*1</f>
        <v>311.4117891483653</v>
      </c>
      <c r="AB222" s="4">
        <f>$K$222*$V$222</f>
        <v>0</v>
      </c>
      <c r="AC222" s="4">
        <f>$M$222*$W$222</f>
        <v>1811.7172800000001</v>
      </c>
      <c r="AD222" s="4">
        <f>$O$222*$X$222</f>
        <v>308.40287999999998</v>
      </c>
      <c r="AE222" s="4">
        <f>$K$222*$Y$222</f>
        <v>0</v>
      </c>
      <c r="AF222" s="4">
        <f ca="1">$M$222*$Z$222</f>
        <v>1951.9523312096574</v>
      </c>
      <c r="AG222" s="4">
        <f>$O$222*$AA$222</f>
        <v>321.37696640111301</v>
      </c>
    </row>
    <row r="223" spans="1:33" ht="11.25" customHeight="1" x14ac:dyDescent="0.3">
      <c r="A223" s="3" t="s">
        <v>21</v>
      </c>
      <c r="B223" s="3" t="s">
        <v>39</v>
      </c>
      <c r="C223" s="3" t="s">
        <v>40</v>
      </c>
      <c r="D223" s="3" t="s">
        <v>43</v>
      </c>
      <c r="E223" s="3" t="s">
        <v>25</v>
      </c>
      <c r="F223" s="3" t="s">
        <v>25</v>
      </c>
      <c r="G223" s="3" t="s">
        <v>25</v>
      </c>
      <c r="H223" s="3" t="s">
        <v>35</v>
      </c>
      <c r="I223" s="6">
        <v>44378</v>
      </c>
      <c r="J223" s="4">
        <v>0</v>
      </c>
      <c r="K223" s="88">
        <v>0</v>
      </c>
      <c r="L223" s="4">
        <v>8.7330000000000005</v>
      </c>
      <c r="M223" s="88">
        <v>8.7330000000000005</v>
      </c>
      <c r="N223" s="4">
        <v>8.7330000000000005</v>
      </c>
      <c r="O223" s="88">
        <v>8.7330000000000005</v>
      </c>
      <c r="P223" s="4">
        <v>0</v>
      </c>
      <c r="Q223" s="3" t="s">
        <v>26</v>
      </c>
      <c r="R223" s="3">
        <v>0</v>
      </c>
      <c r="S223" s="4">
        <v>0</v>
      </c>
      <c r="T223" s="4">
        <v>11</v>
      </c>
      <c r="U223" s="4">
        <v>52</v>
      </c>
      <c r="V223" s="88">
        <f>IF(ISERROR(VLOOKUP($S$223,'TAR FIN'!$A$1:$O$91,15,0)),0,VLOOKUP($S$223,'TAR FIN'!$A$1:$O$91,15,0))</f>
        <v>0</v>
      </c>
      <c r="W223" s="88">
        <f>IF(ISERROR(VLOOKUP($T$223,'TAR FIN'!$A$1:$O$91,15,0)),0,VLOOKUP($T$223,'TAR FIN'!$A$1:$O$91,15,0))*(1-0.04)</f>
        <v>86.918400000000005</v>
      </c>
      <c r="X223" s="88">
        <f>IF(ISERROR(VLOOKUP($U$223,'TAR FIN'!$A$1:$O$91,15,0)),0,VLOOKUP($U$223,'TAR FIN'!$A$1:$O$91,15,0))*(1-0.04)</f>
        <v>182.36160000000001</v>
      </c>
      <c r="Y223" s="88"/>
      <c r="Z223" s="88">
        <f ca="1">('TUSD BE'!$AM$15+'TUSD BF'!$AM$15+'TUSD CVA'!$AM$15)*1*(1-0.02)</f>
        <v>102.06358168134706</v>
      </c>
      <c r="AA223" s="88">
        <f>('TE BE'!$AB$6+'TE BF'!$AB$6+'TE CVA'!$AB$6)*1*(1-0.02)</f>
        <v>191.97913082263719</v>
      </c>
      <c r="AB223" s="4">
        <f>$K$223*$V$223</f>
        <v>0</v>
      </c>
      <c r="AC223" s="4">
        <f>$M$223*$W$223</f>
        <v>759.05838720000008</v>
      </c>
      <c r="AD223" s="4">
        <f>$O$223*$X$223</f>
        <v>1592.5638528000002</v>
      </c>
      <c r="AE223" s="4">
        <f>$K$223*$Y$223</f>
        <v>0</v>
      </c>
      <c r="AF223" s="4">
        <f ca="1">$M$223*$Z$223</f>
        <v>891.32125882320395</v>
      </c>
      <c r="AG223" s="4">
        <f>$O$223*$AA$223</f>
        <v>1676.5537494740906</v>
      </c>
    </row>
    <row r="224" spans="1:33" ht="11.25" customHeight="1" x14ac:dyDescent="0.3">
      <c r="A224" s="3" t="s">
        <v>21</v>
      </c>
      <c r="B224" s="3" t="s">
        <v>39</v>
      </c>
      <c r="C224" s="3" t="s">
        <v>40</v>
      </c>
      <c r="D224" s="3" t="s">
        <v>43</v>
      </c>
      <c r="E224" s="3" t="s">
        <v>25</v>
      </c>
      <c r="F224" s="3" t="s">
        <v>25</v>
      </c>
      <c r="G224" s="3" t="s">
        <v>25</v>
      </c>
      <c r="H224" s="3" t="s">
        <v>35</v>
      </c>
      <c r="I224" s="6">
        <v>44409</v>
      </c>
      <c r="J224" s="4">
        <v>0</v>
      </c>
      <c r="K224" s="88">
        <v>0</v>
      </c>
      <c r="L224" s="4">
        <v>2.7029999999999998</v>
      </c>
      <c r="M224" s="88">
        <v>2.7029999999999998</v>
      </c>
      <c r="N224" s="4">
        <v>2.7029999999999998</v>
      </c>
      <c r="O224" s="88">
        <v>2.7029999999999998</v>
      </c>
      <c r="P224" s="4">
        <v>0</v>
      </c>
      <c r="Q224" s="3" t="s">
        <v>26</v>
      </c>
      <c r="R224" s="3">
        <v>0</v>
      </c>
      <c r="S224" s="4">
        <v>0</v>
      </c>
      <c r="T224" s="4">
        <v>11</v>
      </c>
      <c r="U224" s="4">
        <v>52</v>
      </c>
      <c r="V224" s="88">
        <f>IF(ISERROR(VLOOKUP($S$224,'TAR FIN'!$A$1:$O$91,15,0)),0,VLOOKUP($S$224,'TAR FIN'!$A$1:$O$91,15,0))</f>
        <v>0</v>
      </c>
      <c r="W224" s="88">
        <f>IF(ISERROR(VLOOKUP($T$224,'TAR FIN'!$A$1:$O$91,15,0)),0,VLOOKUP($T$224,'TAR FIN'!$A$1:$O$91,15,0))*(1-0.04)</f>
        <v>86.918400000000005</v>
      </c>
      <c r="X224" s="88">
        <f>IF(ISERROR(VLOOKUP($U$224,'TAR FIN'!$A$1:$O$91,15,0)),0,VLOOKUP($U$224,'TAR FIN'!$A$1:$O$91,15,0))*(1-0.04)</f>
        <v>182.36160000000001</v>
      </c>
      <c r="Y224" s="88"/>
      <c r="Z224" s="88">
        <f ca="1">('TUSD BE'!$AM$15+'TUSD BF'!$AM$15+'TUSD CVA'!$AM$15)*1*(1-0.02)</f>
        <v>102.06358168134706</v>
      </c>
      <c r="AA224" s="88">
        <f>('TE BE'!$AB$6+'TE BF'!$AB$6+'TE CVA'!$AB$6)*1*(1-0.02)</f>
        <v>191.97913082263719</v>
      </c>
      <c r="AB224" s="4">
        <f>$K$224*$V$224</f>
        <v>0</v>
      </c>
      <c r="AC224" s="4">
        <f>$M$224*$W$224</f>
        <v>234.9404352</v>
      </c>
      <c r="AD224" s="4">
        <f>$O$224*$X$224</f>
        <v>492.92340480000001</v>
      </c>
      <c r="AE224" s="4">
        <f>$K$224*$Y$224</f>
        <v>0</v>
      </c>
      <c r="AF224" s="4">
        <f ca="1">$M$224*$Z$224</f>
        <v>275.8778612846811</v>
      </c>
      <c r="AG224" s="4">
        <f>$O$224*$AA$224</f>
        <v>518.9195906135883</v>
      </c>
    </row>
    <row r="225" spans="1:33" ht="11.25" customHeight="1" x14ac:dyDescent="0.3">
      <c r="A225" s="3" t="s">
        <v>21</v>
      </c>
      <c r="B225" s="3" t="s">
        <v>39</v>
      </c>
      <c r="C225" s="3" t="s">
        <v>40</v>
      </c>
      <c r="D225" s="3" t="s">
        <v>43</v>
      </c>
      <c r="E225" s="3" t="s">
        <v>25</v>
      </c>
      <c r="F225" s="3" t="s">
        <v>25</v>
      </c>
      <c r="G225" s="3" t="s">
        <v>25</v>
      </c>
      <c r="H225" s="3" t="s">
        <v>35</v>
      </c>
      <c r="I225" s="6">
        <v>44440</v>
      </c>
      <c r="J225" s="4">
        <v>0</v>
      </c>
      <c r="K225" s="88">
        <v>0</v>
      </c>
      <c r="L225" s="4">
        <v>3.448</v>
      </c>
      <c r="M225" s="88">
        <v>3.448</v>
      </c>
      <c r="N225" s="4">
        <v>3.448</v>
      </c>
      <c r="O225" s="88">
        <v>3.448</v>
      </c>
      <c r="P225" s="4">
        <v>0</v>
      </c>
      <c r="Q225" s="3" t="s">
        <v>26</v>
      </c>
      <c r="R225" s="3">
        <v>0</v>
      </c>
      <c r="S225" s="4">
        <v>0</v>
      </c>
      <c r="T225" s="4">
        <v>11</v>
      </c>
      <c r="U225" s="4">
        <v>52</v>
      </c>
      <c r="V225" s="88">
        <f>IF(ISERROR(VLOOKUP($S$225,'TAR FIN'!$A$1:$O$91,15,0)),0,VLOOKUP($S$225,'TAR FIN'!$A$1:$O$91,15,0))</f>
        <v>0</v>
      </c>
      <c r="W225" s="88">
        <f>IF(ISERROR(VLOOKUP($T$225,'TAR FIN'!$A$1:$O$91,15,0)),0,VLOOKUP($T$225,'TAR FIN'!$A$1:$O$91,15,0))*(1-0.04)</f>
        <v>86.918400000000005</v>
      </c>
      <c r="X225" s="88">
        <f>IF(ISERROR(VLOOKUP($U$225,'TAR FIN'!$A$1:$O$91,15,0)),0,VLOOKUP($U$225,'TAR FIN'!$A$1:$O$91,15,0))*(1-0.04)</f>
        <v>182.36160000000001</v>
      </c>
      <c r="Y225" s="88"/>
      <c r="Z225" s="88">
        <f ca="1">('TUSD BE'!$AM$15+'TUSD BF'!$AM$15+'TUSD CVA'!$AM$15)*1*(1-0.02)</f>
        <v>102.06358168134706</v>
      </c>
      <c r="AA225" s="88">
        <f>('TE BE'!$AB$6+'TE BF'!$AB$6+'TE CVA'!$AB$6)*1*(1-0.02)</f>
        <v>191.97913082263719</v>
      </c>
      <c r="AB225" s="4">
        <f>$K$225*$V$225</f>
        <v>0</v>
      </c>
      <c r="AC225" s="4">
        <f>$M$225*$W$225</f>
        <v>299.69464320000003</v>
      </c>
      <c r="AD225" s="4">
        <f>$O$225*$X$225</f>
        <v>628.78279680000003</v>
      </c>
      <c r="AE225" s="4">
        <f>$K$225*$Y$225</f>
        <v>0</v>
      </c>
      <c r="AF225" s="4">
        <f ca="1">$M$225*$Z$225</f>
        <v>351.91522963728465</v>
      </c>
      <c r="AG225" s="4">
        <f>$O$225*$AA$225</f>
        <v>661.944043076453</v>
      </c>
    </row>
    <row r="226" spans="1:33" ht="11.25" customHeight="1" x14ac:dyDescent="0.3">
      <c r="A226" s="3" t="s">
        <v>21</v>
      </c>
      <c r="B226" s="3" t="s">
        <v>39</v>
      </c>
      <c r="C226" s="3" t="s">
        <v>40</v>
      </c>
      <c r="D226" s="3" t="s">
        <v>43</v>
      </c>
      <c r="E226" s="3" t="s">
        <v>25</v>
      </c>
      <c r="F226" s="3" t="s">
        <v>25</v>
      </c>
      <c r="G226" s="3" t="s">
        <v>25</v>
      </c>
      <c r="H226" s="3" t="s">
        <v>35</v>
      </c>
      <c r="I226" s="6">
        <v>44470</v>
      </c>
      <c r="J226" s="4">
        <v>0</v>
      </c>
      <c r="K226" s="88">
        <v>0</v>
      </c>
      <c r="L226" s="4">
        <v>4.165</v>
      </c>
      <c r="M226" s="88">
        <v>4.165</v>
      </c>
      <c r="N226" s="4">
        <v>4.165</v>
      </c>
      <c r="O226" s="88">
        <v>4.165</v>
      </c>
      <c r="P226" s="4">
        <v>0</v>
      </c>
      <c r="Q226" s="3" t="s">
        <v>26</v>
      </c>
      <c r="R226" s="3">
        <v>0</v>
      </c>
      <c r="S226" s="4">
        <v>0</v>
      </c>
      <c r="T226" s="4">
        <v>11</v>
      </c>
      <c r="U226" s="4">
        <v>52</v>
      </c>
      <c r="V226" s="88">
        <f>IF(ISERROR(VLOOKUP($S$226,'TAR FIN'!$A$1:$O$91,15,0)),0,VLOOKUP($S$226,'TAR FIN'!$A$1:$O$91,15,0))</f>
        <v>0</v>
      </c>
      <c r="W226" s="88">
        <f>IF(ISERROR(VLOOKUP($T$226,'TAR FIN'!$A$1:$O$91,15,0)),0,VLOOKUP($T$226,'TAR FIN'!$A$1:$O$91,15,0))*(1-0.04)</f>
        <v>86.918400000000005</v>
      </c>
      <c r="X226" s="88">
        <f>IF(ISERROR(VLOOKUP($U$226,'TAR FIN'!$A$1:$O$91,15,0)),0,VLOOKUP($U$226,'TAR FIN'!$A$1:$O$91,15,0))*(1-0.04)</f>
        <v>182.36160000000001</v>
      </c>
      <c r="Y226" s="88"/>
      <c r="Z226" s="88">
        <f ca="1">('TUSD BE'!$AM$15+'TUSD BF'!$AM$15+'TUSD CVA'!$AM$15)*1*(1-0.02)</f>
        <v>102.06358168134706</v>
      </c>
      <c r="AA226" s="88">
        <f>('TE BE'!$AB$6+'TE BF'!$AB$6+'TE CVA'!$AB$6)*1*(1-0.02)</f>
        <v>191.97913082263719</v>
      </c>
      <c r="AB226" s="4">
        <f>$K$226*$V$226</f>
        <v>0</v>
      </c>
      <c r="AC226" s="4">
        <f>$M$226*$W$226</f>
        <v>362.01513600000004</v>
      </c>
      <c r="AD226" s="4">
        <f>$O$226*$X$226</f>
        <v>759.53606400000001</v>
      </c>
      <c r="AE226" s="4">
        <f>$K$226*$Y$226</f>
        <v>0</v>
      </c>
      <c r="AF226" s="4">
        <f ca="1">$M$226*$Z$226</f>
        <v>425.09481770281053</v>
      </c>
      <c r="AG226" s="4">
        <f>$O$226*$AA$226</f>
        <v>799.59307987628392</v>
      </c>
    </row>
    <row r="227" spans="1:33" ht="11.25" customHeight="1" x14ac:dyDescent="0.3">
      <c r="A227" s="3" t="s">
        <v>21</v>
      </c>
      <c r="B227" s="3" t="s">
        <v>39</v>
      </c>
      <c r="C227" s="3" t="s">
        <v>40</v>
      </c>
      <c r="D227" s="3" t="s">
        <v>43</v>
      </c>
      <c r="E227" s="3" t="s">
        <v>25</v>
      </c>
      <c r="F227" s="3" t="s">
        <v>25</v>
      </c>
      <c r="G227" s="3" t="s">
        <v>25</v>
      </c>
      <c r="H227" s="3" t="s">
        <v>35</v>
      </c>
      <c r="I227" s="6">
        <v>44501</v>
      </c>
      <c r="J227" s="4">
        <v>0</v>
      </c>
      <c r="K227" s="88">
        <v>0</v>
      </c>
      <c r="L227" s="4">
        <v>2.2269999999999999</v>
      </c>
      <c r="M227" s="88">
        <v>2.2269999999999999</v>
      </c>
      <c r="N227" s="4">
        <v>2.2269999999999999</v>
      </c>
      <c r="O227" s="88">
        <v>2.2269999999999999</v>
      </c>
      <c r="P227" s="4">
        <v>0</v>
      </c>
      <c r="Q227" s="3" t="s">
        <v>26</v>
      </c>
      <c r="R227" s="3">
        <v>0</v>
      </c>
      <c r="S227" s="4">
        <v>0</v>
      </c>
      <c r="T227" s="4">
        <v>11</v>
      </c>
      <c r="U227" s="4">
        <v>52</v>
      </c>
      <c r="V227" s="88">
        <f>IF(ISERROR(VLOOKUP($S$227,'TAR FIN'!$A$1:$O$91,15,0)),0,VLOOKUP($S$227,'TAR FIN'!$A$1:$O$91,15,0))</f>
        <v>0</v>
      </c>
      <c r="W227" s="88">
        <f>IF(ISERROR(VLOOKUP($T$227,'TAR FIN'!$A$1:$O$91,15,0)),0,VLOOKUP($T$227,'TAR FIN'!$A$1:$O$91,15,0))*(1-0.04)</f>
        <v>86.918400000000005</v>
      </c>
      <c r="X227" s="88">
        <f>IF(ISERROR(VLOOKUP($U$227,'TAR FIN'!$A$1:$O$91,15,0)),0,VLOOKUP($U$227,'TAR FIN'!$A$1:$O$91,15,0))*(1-0.04)</f>
        <v>182.36160000000001</v>
      </c>
      <c r="Y227" s="88"/>
      <c r="Z227" s="88">
        <f ca="1">('TUSD BE'!$AM$15+'TUSD BF'!$AM$15+'TUSD CVA'!$AM$15)*1*(1-0.02)</f>
        <v>102.06358168134706</v>
      </c>
      <c r="AA227" s="88">
        <f>('TE BE'!$AB$6+'TE BF'!$AB$6+'TE CVA'!$AB$6)*1*(1-0.02)</f>
        <v>191.97913082263719</v>
      </c>
      <c r="AB227" s="4">
        <f>$K$227*$V$227</f>
        <v>0</v>
      </c>
      <c r="AC227" s="4">
        <f>$M$227*$W$227</f>
        <v>193.5672768</v>
      </c>
      <c r="AD227" s="4">
        <f>$O$227*$X$227</f>
        <v>406.11928319999998</v>
      </c>
      <c r="AE227" s="4">
        <f>$K$227*$Y$227</f>
        <v>0</v>
      </c>
      <c r="AF227" s="4">
        <f ca="1">$M$227*$Z$227</f>
        <v>227.29559640435988</v>
      </c>
      <c r="AG227" s="4">
        <f>$O$227*$AA$227</f>
        <v>427.537524342013</v>
      </c>
    </row>
    <row r="228" spans="1:33" ht="11.25" customHeight="1" x14ac:dyDescent="0.3">
      <c r="A228" s="3" t="s">
        <v>21</v>
      </c>
      <c r="B228" s="3" t="s">
        <v>39</v>
      </c>
      <c r="C228" s="3" t="s">
        <v>40</v>
      </c>
      <c r="D228" s="3" t="s">
        <v>43</v>
      </c>
      <c r="E228" s="3" t="s">
        <v>25</v>
      </c>
      <c r="F228" s="3" t="s">
        <v>25</v>
      </c>
      <c r="G228" s="3" t="s">
        <v>25</v>
      </c>
      <c r="H228" s="3" t="s">
        <v>35</v>
      </c>
      <c r="I228" s="6">
        <v>44531</v>
      </c>
      <c r="J228" s="4">
        <v>0</v>
      </c>
      <c r="K228" s="88">
        <v>0</v>
      </c>
      <c r="L228" s="4">
        <v>0.65800000000000003</v>
      </c>
      <c r="M228" s="88">
        <v>0.65800000000000003</v>
      </c>
      <c r="N228" s="4">
        <v>0.65800000000000003</v>
      </c>
      <c r="O228" s="88">
        <v>0.65800000000000003</v>
      </c>
      <c r="P228" s="4">
        <v>0</v>
      </c>
      <c r="Q228" s="3" t="s">
        <v>26</v>
      </c>
      <c r="R228" s="3">
        <v>0</v>
      </c>
      <c r="S228" s="4">
        <v>0</v>
      </c>
      <c r="T228" s="4">
        <v>11</v>
      </c>
      <c r="U228" s="4">
        <v>52</v>
      </c>
      <c r="V228" s="88">
        <f>IF(ISERROR(VLOOKUP($S$228,'TAR FIN'!$A$1:$O$91,15,0)),0,VLOOKUP($S$228,'TAR FIN'!$A$1:$O$91,15,0))</f>
        <v>0</v>
      </c>
      <c r="W228" s="88">
        <f>IF(ISERROR(VLOOKUP($T$228,'TAR FIN'!$A$1:$O$91,15,0)),0,VLOOKUP($T$228,'TAR FIN'!$A$1:$O$91,15,0))*(1-0.04)</f>
        <v>86.918400000000005</v>
      </c>
      <c r="X228" s="88">
        <f>IF(ISERROR(VLOOKUP($U$228,'TAR FIN'!$A$1:$O$91,15,0)),0,VLOOKUP($U$228,'TAR FIN'!$A$1:$O$91,15,0))*(1-0.04)</f>
        <v>182.36160000000001</v>
      </c>
      <c r="Y228" s="88"/>
      <c r="Z228" s="88">
        <f ca="1">('TUSD BE'!$AM$15+'TUSD BF'!$AM$15+'TUSD CVA'!$AM$15)*1*(1-0.02)</f>
        <v>102.06358168134706</v>
      </c>
      <c r="AA228" s="88">
        <f>('TE BE'!$AB$6+'TE BF'!$AB$6+'TE CVA'!$AB$6)*1*(1-0.02)</f>
        <v>191.97913082263719</v>
      </c>
      <c r="AB228" s="4">
        <f>$K$228*$V$228</f>
        <v>0</v>
      </c>
      <c r="AC228" s="4">
        <f>$M$228*$W$228</f>
        <v>57.192307200000009</v>
      </c>
      <c r="AD228" s="4">
        <f>$O$228*$X$228</f>
        <v>119.99393280000001</v>
      </c>
      <c r="AE228" s="4">
        <f>$K$228*$Y$228</f>
        <v>0</v>
      </c>
      <c r="AF228" s="4">
        <f ca="1">$M$228*$Z$228</f>
        <v>67.157836746326367</v>
      </c>
      <c r="AG228" s="4">
        <f>$O$228*$AA$228</f>
        <v>126.32226808129528</v>
      </c>
    </row>
    <row r="229" spans="1:33" ht="11.25" customHeight="1" x14ac:dyDescent="0.3">
      <c r="A229" s="3" t="s">
        <v>21</v>
      </c>
      <c r="B229" s="3" t="s">
        <v>39</v>
      </c>
      <c r="C229" s="3" t="s">
        <v>40</v>
      </c>
      <c r="D229" s="3" t="s">
        <v>43</v>
      </c>
      <c r="E229" s="3" t="s">
        <v>25</v>
      </c>
      <c r="F229" s="3" t="s">
        <v>25</v>
      </c>
      <c r="G229" s="3" t="s">
        <v>25</v>
      </c>
      <c r="H229" s="3" t="s">
        <v>35</v>
      </c>
      <c r="I229" s="6">
        <v>44562</v>
      </c>
      <c r="J229" s="4">
        <v>0</v>
      </c>
      <c r="K229" s="88">
        <v>0</v>
      </c>
      <c r="L229" s="4">
        <v>0.996</v>
      </c>
      <c r="M229" s="88">
        <v>0.996</v>
      </c>
      <c r="N229" s="4">
        <v>0.996</v>
      </c>
      <c r="O229" s="88">
        <v>0.996</v>
      </c>
      <c r="P229" s="4">
        <v>0</v>
      </c>
      <c r="Q229" s="3" t="s">
        <v>26</v>
      </c>
      <c r="R229" s="3">
        <v>0</v>
      </c>
      <c r="S229" s="4">
        <v>0</v>
      </c>
      <c r="T229" s="4">
        <v>11</v>
      </c>
      <c r="U229" s="4">
        <v>52</v>
      </c>
      <c r="V229" s="88">
        <f>IF(ISERROR(VLOOKUP($S$229,'TAR FIN'!$A$1:$O$91,15,0)),0,VLOOKUP($S$229,'TAR FIN'!$A$1:$O$91,15,0))</f>
        <v>0</v>
      </c>
      <c r="W229" s="88">
        <f>IF(ISERROR(VLOOKUP($T$229,'TAR FIN'!$A$1:$O$91,15,0)),0,VLOOKUP($T$229,'TAR FIN'!$A$1:$O$91,15,0))*(1-0.04)</f>
        <v>86.918400000000005</v>
      </c>
      <c r="X229" s="88">
        <f>IF(ISERROR(VLOOKUP($U$229,'TAR FIN'!$A$1:$O$91,15,0)),0,VLOOKUP($U$229,'TAR FIN'!$A$1:$O$91,15,0))*(1-0.04)</f>
        <v>182.36160000000001</v>
      </c>
      <c r="Y229" s="88"/>
      <c r="Z229" s="88">
        <f ca="1">('TUSD BE'!$AM$15+'TUSD BF'!$AM$15+'TUSD CVA'!$AM$15)*1*(1-0.02)</f>
        <v>102.06358168134706</v>
      </c>
      <c r="AA229" s="88">
        <f>('TE BE'!$AB$6+'TE BF'!$AB$6+'TE CVA'!$AB$6)*1*(1-0.02)</f>
        <v>191.97913082263719</v>
      </c>
      <c r="AB229" s="4">
        <f>$K$229*$V$229</f>
        <v>0</v>
      </c>
      <c r="AC229" s="4">
        <f>$M$229*$W$229</f>
        <v>86.570726399999998</v>
      </c>
      <c r="AD229" s="4">
        <f>$O$229*$X$229</f>
        <v>181.63215360000001</v>
      </c>
      <c r="AE229" s="4">
        <f>$K$229*$Y$229</f>
        <v>0</v>
      </c>
      <c r="AF229" s="4">
        <f ca="1">$M$229*$Z$229</f>
        <v>101.65532735462168</v>
      </c>
      <c r="AG229" s="4">
        <f>$O$229*$AA$229</f>
        <v>191.21121429934664</v>
      </c>
    </row>
    <row r="230" spans="1:33" ht="11.25" customHeight="1" x14ac:dyDescent="0.3">
      <c r="A230" s="3" t="s">
        <v>21</v>
      </c>
      <c r="B230" s="3" t="s">
        <v>39</v>
      </c>
      <c r="C230" s="3" t="s">
        <v>40</v>
      </c>
      <c r="D230" s="3" t="s">
        <v>43</v>
      </c>
      <c r="E230" s="3" t="s">
        <v>25</v>
      </c>
      <c r="F230" s="3" t="s">
        <v>25</v>
      </c>
      <c r="G230" s="3" t="s">
        <v>25</v>
      </c>
      <c r="H230" s="3" t="s">
        <v>35</v>
      </c>
      <c r="I230" s="6">
        <v>44593</v>
      </c>
      <c r="J230" s="4">
        <v>0</v>
      </c>
      <c r="K230" s="88">
        <v>0</v>
      </c>
      <c r="L230" s="4">
        <v>3.266</v>
      </c>
      <c r="M230" s="88">
        <v>3.266</v>
      </c>
      <c r="N230" s="4">
        <v>3.266</v>
      </c>
      <c r="O230" s="88">
        <v>3.266</v>
      </c>
      <c r="P230" s="4">
        <v>0</v>
      </c>
      <c r="Q230" s="3" t="s">
        <v>26</v>
      </c>
      <c r="R230" s="3">
        <v>0</v>
      </c>
      <c r="S230" s="4">
        <v>0</v>
      </c>
      <c r="T230" s="4">
        <v>11</v>
      </c>
      <c r="U230" s="4">
        <v>52</v>
      </c>
      <c r="V230" s="88">
        <f>IF(ISERROR(VLOOKUP($S$230,'TAR FIN'!$A$1:$O$91,15,0)),0,VLOOKUP($S$230,'TAR FIN'!$A$1:$O$91,15,0))</f>
        <v>0</v>
      </c>
      <c r="W230" s="88">
        <f>IF(ISERROR(VLOOKUP($T$230,'TAR FIN'!$A$1:$O$91,15,0)),0,VLOOKUP($T$230,'TAR FIN'!$A$1:$O$91,15,0))*(1-0.04)</f>
        <v>86.918400000000005</v>
      </c>
      <c r="X230" s="88">
        <f>IF(ISERROR(VLOOKUP($U$230,'TAR FIN'!$A$1:$O$91,15,0)),0,VLOOKUP($U$230,'TAR FIN'!$A$1:$O$91,15,0))*(1-0.04)</f>
        <v>182.36160000000001</v>
      </c>
      <c r="Y230" s="88"/>
      <c r="Z230" s="88">
        <f ca="1">('TUSD BE'!$AM$15+'TUSD BF'!$AM$15+'TUSD CVA'!$AM$15)*1*(1-0.02)</f>
        <v>102.06358168134706</v>
      </c>
      <c r="AA230" s="88">
        <f>('TE BE'!$AB$6+'TE BF'!$AB$6+'TE CVA'!$AB$6)*1*(1-0.02)</f>
        <v>191.97913082263719</v>
      </c>
      <c r="AB230" s="4">
        <f>$K$230*$V$230</f>
        <v>0</v>
      </c>
      <c r="AC230" s="4">
        <f>$M$230*$W$230</f>
        <v>283.87549440000004</v>
      </c>
      <c r="AD230" s="4">
        <f>$O$230*$X$230</f>
        <v>595.59298560000002</v>
      </c>
      <c r="AE230" s="4">
        <f>$K$230*$Y$230</f>
        <v>0</v>
      </c>
      <c r="AF230" s="4">
        <f ca="1">$M$230*$Z$230</f>
        <v>333.33965777127952</v>
      </c>
      <c r="AG230" s="4">
        <f>$O$230*$AA$230</f>
        <v>627.00384126673305</v>
      </c>
    </row>
    <row r="231" spans="1:33" ht="11.25" customHeight="1" x14ac:dyDescent="0.3">
      <c r="A231" s="3" t="s">
        <v>21</v>
      </c>
      <c r="B231" s="3" t="s">
        <v>39</v>
      </c>
      <c r="C231" s="3" t="s">
        <v>40</v>
      </c>
      <c r="D231" s="3" t="s">
        <v>43</v>
      </c>
      <c r="E231" s="3" t="s">
        <v>25</v>
      </c>
      <c r="F231" s="3" t="s">
        <v>25</v>
      </c>
      <c r="G231" s="3" t="s">
        <v>25</v>
      </c>
      <c r="H231" s="3" t="s">
        <v>35</v>
      </c>
      <c r="I231" s="6">
        <v>44621</v>
      </c>
      <c r="J231" s="4">
        <v>0</v>
      </c>
      <c r="K231" s="88">
        <v>0</v>
      </c>
      <c r="L231" s="4">
        <v>20.085000000000001</v>
      </c>
      <c r="M231" s="88">
        <v>20.085000000000001</v>
      </c>
      <c r="N231" s="4">
        <v>20.085000000000001</v>
      </c>
      <c r="O231" s="88">
        <v>20.085000000000001</v>
      </c>
      <c r="P231" s="4">
        <v>0</v>
      </c>
      <c r="Q231" s="3" t="s">
        <v>26</v>
      </c>
      <c r="R231" s="3">
        <v>0</v>
      </c>
      <c r="S231" s="4">
        <v>0</v>
      </c>
      <c r="T231" s="4">
        <v>11</v>
      </c>
      <c r="U231" s="4">
        <v>52</v>
      </c>
      <c r="V231" s="88">
        <f>IF(ISERROR(VLOOKUP($S$231,'TAR FIN'!$A$1:$O$91,15,0)),0,VLOOKUP($S$231,'TAR FIN'!$A$1:$O$91,15,0))</f>
        <v>0</v>
      </c>
      <c r="W231" s="88">
        <f>IF(ISERROR(VLOOKUP($T$231,'TAR FIN'!$A$1:$O$91,15,0)),0,VLOOKUP($T$231,'TAR FIN'!$A$1:$O$91,15,0))*(1-0.04)</f>
        <v>86.918400000000005</v>
      </c>
      <c r="X231" s="88">
        <f>IF(ISERROR(VLOOKUP($U$231,'TAR FIN'!$A$1:$O$91,15,0)),0,VLOOKUP($U$231,'TAR FIN'!$A$1:$O$91,15,0))*(1-0.04)</f>
        <v>182.36160000000001</v>
      </c>
      <c r="Y231" s="88"/>
      <c r="Z231" s="88">
        <f ca="1">('TUSD BE'!$AM$15+'TUSD BF'!$AM$15+'TUSD CVA'!$AM$15)*1*(1-0.02)</f>
        <v>102.06358168134706</v>
      </c>
      <c r="AA231" s="88">
        <f>('TE BE'!$AB$6+'TE BF'!$AB$6+'TE CVA'!$AB$6)*1*(1-0.02)</f>
        <v>191.97913082263719</v>
      </c>
      <c r="AB231" s="4">
        <f>$K$231*$V$231</f>
        <v>0</v>
      </c>
      <c r="AC231" s="4">
        <f>$M$231*$W$231</f>
        <v>1745.7560640000002</v>
      </c>
      <c r="AD231" s="4">
        <f>$O$231*$X$231</f>
        <v>3662.7327360000004</v>
      </c>
      <c r="AE231" s="4">
        <f>$K$231*$Y$231</f>
        <v>0</v>
      </c>
      <c r="AF231" s="4">
        <f ca="1">$M$231*$Z$231</f>
        <v>2049.9470380698558</v>
      </c>
      <c r="AG231" s="4">
        <f>$O$231*$AA$231</f>
        <v>3855.9008425726679</v>
      </c>
    </row>
    <row r="232" spans="1:33" ht="11.25" customHeight="1" x14ac:dyDescent="0.3">
      <c r="A232" s="3" t="s">
        <v>21</v>
      </c>
      <c r="B232" s="3" t="s">
        <v>39</v>
      </c>
      <c r="C232" s="3" t="s">
        <v>40</v>
      </c>
      <c r="D232" s="3" t="s">
        <v>43</v>
      </c>
      <c r="E232" s="3" t="s">
        <v>25</v>
      </c>
      <c r="F232" s="3" t="s">
        <v>25</v>
      </c>
      <c r="G232" s="3" t="s">
        <v>25</v>
      </c>
      <c r="H232" s="3" t="s">
        <v>35</v>
      </c>
      <c r="I232" s="6">
        <v>44652</v>
      </c>
      <c r="J232" s="4">
        <v>0</v>
      </c>
      <c r="K232" s="88">
        <v>0</v>
      </c>
      <c r="L232" s="4">
        <v>24.28</v>
      </c>
      <c r="M232" s="88">
        <v>24.28</v>
      </c>
      <c r="N232" s="4">
        <v>24.28</v>
      </c>
      <c r="O232" s="88">
        <v>24.28</v>
      </c>
      <c r="P232" s="4">
        <v>0</v>
      </c>
      <c r="Q232" s="3" t="s">
        <v>26</v>
      </c>
      <c r="R232" s="3">
        <v>0</v>
      </c>
      <c r="S232" s="4">
        <v>0</v>
      </c>
      <c r="T232" s="4">
        <v>11</v>
      </c>
      <c r="U232" s="4">
        <v>52</v>
      </c>
      <c r="V232" s="88">
        <f>IF(ISERROR(VLOOKUP($S$232,'TAR FIN'!$A$1:$O$91,15,0)),0,VLOOKUP($S$232,'TAR FIN'!$A$1:$O$91,15,0))</f>
        <v>0</v>
      </c>
      <c r="W232" s="88">
        <f>IF(ISERROR(VLOOKUP($T$232,'TAR FIN'!$A$1:$O$91,15,0)),0,VLOOKUP($T$232,'TAR FIN'!$A$1:$O$91,15,0))*(1-0.04)</f>
        <v>86.918400000000005</v>
      </c>
      <c r="X232" s="88">
        <f>IF(ISERROR(VLOOKUP($U$232,'TAR FIN'!$A$1:$O$91,15,0)),0,VLOOKUP($U$232,'TAR FIN'!$A$1:$O$91,15,0))*(1-0.04)</f>
        <v>182.36160000000001</v>
      </c>
      <c r="Y232" s="88"/>
      <c r="Z232" s="88">
        <f ca="1">('TUSD BE'!$AM$15+'TUSD BF'!$AM$15+'TUSD CVA'!$AM$15)*1*(1-0.02)</f>
        <v>102.06358168134706</v>
      </c>
      <c r="AA232" s="88">
        <f>('TE BE'!$AB$6+'TE BF'!$AB$6+'TE CVA'!$AB$6)*1*(1-0.02)</f>
        <v>191.97913082263719</v>
      </c>
      <c r="AB232" s="4">
        <f>$K$232*$V$232</f>
        <v>0</v>
      </c>
      <c r="AC232" s="4">
        <f>$M$232*$W$232</f>
        <v>2110.3787520000001</v>
      </c>
      <c r="AD232" s="4">
        <f>$O$232*$X$232</f>
        <v>4427.7396480000007</v>
      </c>
      <c r="AE232" s="4">
        <f>$K$232*$Y$232</f>
        <v>0</v>
      </c>
      <c r="AF232" s="4">
        <f ca="1">$M$232*$Z$232</f>
        <v>2478.1037632231069</v>
      </c>
      <c r="AG232" s="4">
        <f>$O$232*$AA$232</f>
        <v>4661.2532963736312</v>
      </c>
    </row>
    <row r="233" spans="1:33" ht="11.25" customHeight="1" x14ac:dyDescent="0.3">
      <c r="A233" s="3" t="s">
        <v>21</v>
      </c>
      <c r="B233" s="3" t="s">
        <v>39</v>
      </c>
      <c r="C233" s="3" t="s">
        <v>40</v>
      </c>
      <c r="D233" s="3" t="s">
        <v>43</v>
      </c>
      <c r="E233" s="3" t="s">
        <v>25</v>
      </c>
      <c r="F233" s="3" t="s">
        <v>25</v>
      </c>
      <c r="G233" s="3" t="s">
        <v>25</v>
      </c>
      <c r="H233" s="3" t="s">
        <v>35</v>
      </c>
      <c r="I233" s="6">
        <v>44682</v>
      </c>
      <c r="J233" s="4">
        <v>0</v>
      </c>
      <c r="K233" s="88">
        <v>0</v>
      </c>
      <c r="L233" s="4">
        <v>12.068</v>
      </c>
      <c r="M233" s="88">
        <v>12.068</v>
      </c>
      <c r="N233" s="4">
        <v>12.068</v>
      </c>
      <c r="O233" s="88">
        <v>12.068</v>
      </c>
      <c r="P233" s="4">
        <v>0</v>
      </c>
      <c r="Q233" s="3" t="s">
        <v>26</v>
      </c>
      <c r="R233" s="3">
        <v>0</v>
      </c>
      <c r="S233" s="4">
        <v>0</v>
      </c>
      <c r="T233" s="4">
        <v>11</v>
      </c>
      <c r="U233" s="4">
        <v>52</v>
      </c>
      <c r="V233" s="88">
        <f>IF(ISERROR(VLOOKUP($S$233,'TAR FIN'!$A$1:$O$91,15,0)),0,VLOOKUP($S$233,'TAR FIN'!$A$1:$O$91,15,0))</f>
        <v>0</v>
      </c>
      <c r="W233" s="88">
        <f>IF(ISERROR(VLOOKUP($T$233,'TAR FIN'!$A$1:$O$91,15,0)),0,VLOOKUP($T$233,'TAR FIN'!$A$1:$O$91,15,0))*(1-0.04)</f>
        <v>86.918400000000005</v>
      </c>
      <c r="X233" s="88">
        <f>IF(ISERROR(VLOOKUP($U$233,'TAR FIN'!$A$1:$O$91,15,0)),0,VLOOKUP($U$233,'TAR FIN'!$A$1:$O$91,15,0))*(1-0.04)</f>
        <v>182.36160000000001</v>
      </c>
      <c r="Y233" s="88"/>
      <c r="Z233" s="88">
        <f ca="1">('TUSD BE'!$AM$15+'TUSD BF'!$AM$15+'TUSD CVA'!$AM$15)*1*(1-0.02)</f>
        <v>102.06358168134706</v>
      </c>
      <c r="AA233" s="88">
        <f>('TE BE'!$AB$6+'TE BF'!$AB$6+'TE CVA'!$AB$6)*1*(1-0.02)</f>
        <v>191.97913082263719</v>
      </c>
      <c r="AB233" s="4">
        <f>$K$233*$V$233</f>
        <v>0</v>
      </c>
      <c r="AC233" s="4">
        <f>$M$233*$W$233</f>
        <v>1048.9312512000001</v>
      </c>
      <c r="AD233" s="4">
        <f>$O$233*$X$233</f>
        <v>2200.7397888</v>
      </c>
      <c r="AE233" s="4">
        <f>$K$233*$Y$233</f>
        <v>0</v>
      </c>
      <c r="AF233" s="4">
        <f ca="1">$M$233*$Z$233</f>
        <v>1231.7033037304964</v>
      </c>
      <c r="AG233" s="4">
        <f>$O$233*$AA$233</f>
        <v>2316.8041507675857</v>
      </c>
    </row>
    <row r="234" spans="1:33" ht="11.25" customHeight="1" x14ac:dyDescent="0.3">
      <c r="A234" s="3" t="s">
        <v>21</v>
      </c>
      <c r="B234" s="3" t="s">
        <v>39</v>
      </c>
      <c r="C234" s="3" t="s">
        <v>40</v>
      </c>
      <c r="D234" s="3" t="s">
        <v>43</v>
      </c>
      <c r="E234" s="3" t="s">
        <v>25</v>
      </c>
      <c r="F234" s="3" t="s">
        <v>25</v>
      </c>
      <c r="G234" s="3" t="s">
        <v>25</v>
      </c>
      <c r="H234" s="3" t="s">
        <v>35</v>
      </c>
      <c r="I234" s="6">
        <v>44713</v>
      </c>
      <c r="J234" s="4">
        <v>0</v>
      </c>
      <c r="K234" s="88">
        <v>0</v>
      </c>
      <c r="L234" s="4">
        <v>9.1359999999999992</v>
      </c>
      <c r="M234" s="88">
        <v>9.1359999999999992</v>
      </c>
      <c r="N234" s="4">
        <v>9.1359999999999992</v>
      </c>
      <c r="O234" s="88">
        <v>9.1359999999999992</v>
      </c>
      <c r="P234" s="4">
        <v>0</v>
      </c>
      <c r="Q234" s="3" t="s">
        <v>26</v>
      </c>
      <c r="R234" s="3">
        <v>0</v>
      </c>
      <c r="S234" s="4">
        <v>0</v>
      </c>
      <c r="T234" s="4">
        <v>11</v>
      </c>
      <c r="U234" s="4">
        <v>52</v>
      </c>
      <c r="V234" s="88">
        <f>IF(ISERROR(VLOOKUP($S$234,'TAR FIN'!$A$1:$O$91,15,0)),0,VLOOKUP($S$234,'TAR FIN'!$A$1:$O$91,15,0))</f>
        <v>0</v>
      </c>
      <c r="W234" s="88">
        <f>IF(ISERROR(VLOOKUP($T$234,'TAR FIN'!$A$1:$O$91,15,0)),0,VLOOKUP($T$234,'TAR FIN'!$A$1:$O$91,15,0))*(1-0.04)</f>
        <v>86.918400000000005</v>
      </c>
      <c r="X234" s="88">
        <f>IF(ISERROR(VLOOKUP($U$234,'TAR FIN'!$A$1:$O$91,15,0)),0,VLOOKUP($U$234,'TAR FIN'!$A$1:$O$91,15,0))*(1-0.04)</f>
        <v>182.36160000000001</v>
      </c>
      <c r="Y234" s="88"/>
      <c r="Z234" s="88">
        <f ca="1">('TUSD BE'!$AM$15+'TUSD BF'!$AM$15+'TUSD CVA'!$AM$15)*1*(1-0.02)</f>
        <v>102.06358168134706</v>
      </c>
      <c r="AA234" s="88">
        <f>('TE BE'!$AB$6+'TE BF'!$AB$6+'TE CVA'!$AB$6)*1*(1-0.02)</f>
        <v>191.97913082263719</v>
      </c>
      <c r="AB234" s="4">
        <f>$K$234*$V$234</f>
        <v>0</v>
      </c>
      <c r="AC234" s="4">
        <f>$M$234*$W$234</f>
        <v>794.08650239999997</v>
      </c>
      <c r="AD234" s="4">
        <f>$O$234*$X$234</f>
        <v>1666.0555775999999</v>
      </c>
      <c r="AE234" s="4">
        <f>$K$234*$Y$234</f>
        <v>0</v>
      </c>
      <c r="AF234" s="4">
        <f ca="1">$M$234*$Z$234</f>
        <v>932.45288224078661</v>
      </c>
      <c r="AG234" s="4">
        <f>$O$234*$AA$234</f>
        <v>1753.9213391956132</v>
      </c>
    </row>
    <row r="235" spans="1:33" ht="11.25" customHeight="1" x14ac:dyDescent="0.3">
      <c r="A235" s="3" t="s">
        <v>21</v>
      </c>
      <c r="B235" s="3" t="s">
        <v>39</v>
      </c>
      <c r="C235" s="3" t="s">
        <v>40</v>
      </c>
      <c r="D235" s="3" t="s">
        <v>43</v>
      </c>
      <c r="E235" s="3" t="s">
        <v>25</v>
      </c>
      <c r="F235" s="3" t="s">
        <v>25</v>
      </c>
      <c r="G235" s="3" t="s">
        <v>25</v>
      </c>
      <c r="H235" s="3" t="s">
        <v>25</v>
      </c>
      <c r="I235" s="6">
        <v>44378</v>
      </c>
      <c r="J235" s="4">
        <v>150</v>
      </c>
      <c r="K235" s="88">
        <v>150</v>
      </c>
      <c r="L235" s="4">
        <v>0</v>
      </c>
      <c r="M235" s="88">
        <v>0</v>
      </c>
      <c r="N235" s="4">
        <v>0</v>
      </c>
      <c r="O235" s="88">
        <v>0</v>
      </c>
      <c r="P235" s="4">
        <v>2</v>
      </c>
      <c r="Q235" s="3" t="s">
        <v>26</v>
      </c>
      <c r="R235" s="3">
        <v>0</v>
      </c>
      <c r="S235" s="4">
        <v>9</v>
      </c>
      <c r="T235" s="4">
        <v>0</v>
      </c>
      <c r="U235" s="4">
        <v>0</v>
      </c>
      <c r="V235" s="88">
        <f>IF(ISERROR(VLOOKUP($S$235,'TAR FIN'!$A$1:$O$91,15,0)),0,VLOOKUP($S$235,'TAR FIN'!$A$1:$O$91,15,0))*(1-0.04)</f>
        <v>32.611199999999997</v>
      </c>
      <c r="W235" s="88">
        <f>IF(ISERROR(VLOOKUP($T$235,'TAR FIN'!$A$1:$O$91,15,0)),0,VLOOKUP($T$235,'TAR FIN'!$A$1:$O$91,15,0))</f>
        <v>0</v>
      </c>
      <c r="X235" s="88">
        <f>IF(ISERROR(VLOOKUP($U$235,'TAR FIN'!$A$1:$O$91,15,0)),0,VLOOKUP($U$235,'TAR FIN'!$A$1:$O$91,15,0))</f>
        <v>0</v>
      </c>
      <c r="Y235" s="88">
        <f ca="1">('TUSD BE'!$AM$13+'TUSD BF'!$AM$13+'TUSD CVA'!$AM$13)*1*(1-0.02)</f>
        <v>38.334889694970578</v>
      </c>
      <c r="Z235" s="88"/>
      <c r="AA235" s="88"/>
      <c r="AB235" s="4">
        <f>$K$235*$V$235</f>
        <v>4891.6799999999994</v>
      </c>
      <c r="AC235" s="4">
        <f>$M$235*$W$235</f>
        <v>0</v>
      </c>
      <c r="AD235" s="4">
        <f>$O$235*$X$235</f>
        <v>0</v>
      </c>
      <c r="AE235" s="4">
        <f ca="1">$K$235*$Y$235</f>
        <v>5750.2334542455865</v>
      </c>
      <c r="AF235" s="4">
        <f>$M$235*$Z$235</f>
        <v>0</v>
      </c>
      <c r="AG235" s="4">
        <f>$O$235*$AA$235</f>
        <v>0</v>
      </c>
    </row>
    <row r="236" spans="1:33" ht="11.25" customHeight="1" x14ac:dyDescent="0.3">
      <c r="A236" s="3" t="s">
        <v>21</v>
      </c>
      <c r="B236" s="3" t="s">
        <v>39</v>
      </c>
      <c r="C236" s="3" t="s">
        <v>40</v>
      </c>
      <c r="D236" s="3" t="s">
        <v>43</v>
      </c>
      <c r="E236" s="3" t="s">
        <v>25</v>
      </c>
      <c r="F236" s="3" t="s">
        <v>25</v>
      </c>
      <c r="G236" s="3" t="s">
        <v>25</v>
      </c>
      <c r="H236" s="3" t="s">
        <v>25</v>
      </c>
      <c r="I236" s="6">
        <v>44409</v>
      </c>
      <c r="J236" s="4">
        <v>91</v>
      </c>
      <c r="K236" s="88">
        <v>91</v>
      </c>
      <c r="L236" s="4">
        <v>0</v>
      </c>
      <c r="M236" s="88">
        <v>0</v>
      </c>
      <c r="N236" s="4">
        <v>0</v>
      </c>
      <c r="O236" s="88">
        <v>0</v>
      </c>
      <c r="P236" s="4">
        <v>2</v>
      </c>
      <c r="Q236" s="3" t="s">
        <v>26</v>
      </c>
      <c r="R236" s="3">
        <v>0</v>
      </c>
      <c r="S236" s="4">
        <v>9</v>
      </c>
      <c r="T236" s="4">
        <v>0</v>
      </c>
      <c r="U236" s="4">
        <v>0</v>
      </c>
      <c r="V236" s="88">
        <f>IF(ISERROR(VLOOKUP($S$236,'TAR FIN'!$A$1:$O$91,15,0)),0,VLOOKUP($S$236,'TAR FIN'!$A$1:$O$91,15,0))*(1-0.04)</f>
        <v>32.611199999999997</v>
      </c>
      <c r="W236" s="88">
        <f>IF(ISERROR(VLOOKUP($T$236,'TAR FIN'!$A$1:$O$91,15,0)),0,VLOOKUP($T$236,'TAR FIN'!$A$1:$O$91,15,0))</f>
        <v>0</v>
      </c>
      <c r="X236" s="88">
        <f>IF(ISERROR(VLOOKUP($U$236,'TAR FIN'!$A$1:$O$91,15,0)),0,VLOOKUP($U$236,'TAR FIN'!$A$1:$O$91,15,0))</f>
        <v>0</v>
      </c>
      <c r="Y236" s="88">
        <f ca="1">('TUSD BE'!$AM$13+'TUSD BF'!$AM$13+'TUSD CVA'!$AM$13)*1*(1-0.02)</f>
        <v>38.334889694970578</v>
      </c>
      <c r="Z236" s="88"/>
      <c r="AA236" s="88"/>
      <c r="AB236" s="4">
        <f>$K$236*$V$236</f>
        <v>2967.6191999999996</v>
      </c>
      <c r="AC236" s="4">
        <f>$M$236*$W$236</f>
        <v>0</v>
      </c>
      <c r="AD236" s="4">
        <f>$O$236*$X$236</f>
        <v>0</v>
      </c>
      <c r="AE236" s="4">
        <f ca="1">$K$236*$Y$236</f>
        <v>3488.4749622423224</v>
      </c>
      <c r="AF236" s="4">
        <f>$M$236*$Z$236</f>
        <v>0</v>
      </c>
      <c r="AG236" s="4">
        <f>$O$236*$AA$236</f>
        <v>0</v>
      </c>
    </row>
    <row r="237" spans="1:33" ht="11.25" customHeight="1" x14ac:dyDescent="0.3">
      <c r="A237" s="3" t="s">
        <v>21</v>
      </c>
      <c r="B237" s="3" t="s">
        <v>39</v>
      </c>
      <c r="C237" s="3" t="s">
        <v>40</v>
      </c>
      <c r="D237" s="3" t="s">
        <v>43</v>
      </c>
      <c r="E237" s="3" t="s">
        <v>25</v>
      </c>
      <c r="F237" s="3" t="s">
        <v>25</v>
      </c>
      <c r="G237" s="3" t="s">
        <v>25</v>
      </c>
      <c r="H237" s="3" t="s">
        <v>25</v>
      </c>
      <c r="I237" s="6">
        <v>44440</v>
      </c>
      <c r="J237" s="4">
        <v>84</v>
      </c>
      <c r="K237" s="88">
        <v>84</v>
      </c>
      <c r="L237" s="4">
        <v>0</v>
      </c>
      <c r="M237" s="88">
        <v>0</v>
      </c>
      <c r="N237" s="4">
        <v>0</v>
      </c>
      <c r="O237" s="88">
        <v>0</v>
      </c>
      <c r="P237" s="4">
        <v>2</v>
      </c>
      <c r="Q237" s="3" t="s">
        <v>26</v>
      </c>
      <c r="R237" s="3">
        <v>0</v>
      </c>
      <c r="S237" s="4">
        <v>9</v>
      </c>
      <c r="T237" s="4">
        <v>0</v>
      </c>
      <c r="U237" s="4">
        <v>0</v>
      </c>
      <c r="V237" s="88">
        <f>IF(ISERROR(VLOOKUP($S$237,'TAR FIN'!$A$1:$O$91,15,0)),0,VLOOKUP($S$237,'TAR FIN'!$A$1:$O$91,15,0))*(1-0.04)</f>
        <v>32.611199999999997</v>
      </c>
      <c r="W237" s="88">
        <f>IF(ISERROR(VLOOKUP($T$237,'TAR FIN'!$A$1:$O$91,15,0)),0,VLOOKUP($T$237,'TAR FIN'!$A$1:$O$91,15,0))</f>
        <v>0</v>
      </c>
      <c r="X237" s="88">
        <f>IF(ISERROR(VLOOKUP($U$237,'TAR FIN'!$A$1:$O$91,15,0)),0,VLOOKUP($U$237,'TAR FIN'!$A$1:$O$91,15,0))</f>
        <v>0</v>
      </c>
      <c r="Y237" s="88">
        <f ca="1">('TUSD BE'!$AM$13+'TUSD BF'!$AM$13+'TUSD CVA'!$AM$13)*1*(1-0.02)</f>
        <v>38.334889694970578</v>
      </c>
      <c r="Z237" s="88"/>
      <c r="AA237" s="88"/>
      <c r="AB237" s="4">
        <f>$K$237*$V$237</f>
        <v>2739.3407999999999</v>
      </c>
      <c r="AC237" s="4">
        <f>$M$237*$W$237</f>
        <v>0</v>
      </c>
      <c r="AD237" s="4">
        <f>$O$237*$X$237</f>
        <v>0</v>
      </c>
      <c r="AE237" s="4">
        <f ca="1">$K$237*$Y$237</f>
        <v>3220.1307343775284</v>
      </c>
      <c r="AF237" s="4">
        <f>$M$237*$Z$237</f>
        <v>0</v>
      </c>
      <c r="AG237" s="4">
        <f>$O$237*$AA$237</f>
        <v>0</v>
      </c>
    </row>
    <row r="238" spans="1:33" ht="11.25" customHeight="1" x14ac:dyDescent="0.3">
      <c r="A238" s="3" t="s">
        <v>21</v>
      </c>
      <c r="B238" s="3" t="s">
        <v>39</v>
      </c>
      <c r="C238" s="3" t="s">
        <v>40</v>
      </c>
      <c r="D238" s="3" t="s">
        <v>43</v>
      </c>
      <c r="E238" s="3" t="s">
        <v>25</v>
      </c>
      <c r="F238" s="3" t="s">
        <v>25</v>
      </c>
      <c r="G238" s="3" t="s">
        <v>25</v>
      </c>
      <c r="H238" s="3" t="s">
        <v>25</v>
      </c>
      <c r="I238" s="6">
        <v>44470</v>
      </c>
      <c r="J238" s="4">
        <v>83</v>
      </c>
      <c r="K238" s="88">
        <v>83</v>
      </c>
      <c r="L238" s="4">
        <v>0</v>
      </c>
      <c r="M238" s="88">
        <v>0</v>
      </c>
      <c r="N238" s="4">
        <v>0</v>
      </c>
      <c r="O238" s="88">
        <v>0</v>
      </c>
      <c r="P238" s="4">
        <v>2</v>
      </c>
      <c r="Q238" s="3" t="s">
        <v>26</v>
      </c>
      <c r="R238" s="3">
        <v>0</v>
      </c>
      <c r="S238" s="4">
        <v>9</v>
      </c>
      <c r="T238" s="4">
        <v>0</v>
      </c>
      <c r="U238" s="4">
        <v>0</v>
      </c>
      <c r="V238" s="88">
        <f>IF(ISERROR(VLOOKUP($S$238,'TAR FIN'!$A$1:$O$91,15,0)),0,VLOOKUP($S$238,'TAR FIN'!$A$1:$O$91,15,0))*(1-0.04)</f>
        <v>32.611199999999997</v>
      </c>
      <c r="W238" s="88">
        <f>IF(ISERROR(VLOOKUP($T$238,'TAR FIN'!$A$1:$O$91,15,0)),0,VLOOKUP($T$238,'TAR FIN'!$A$1:$O$91,15,0))</f>
        <v>0</v>
      </c>
      <c r="X238" s="88">
        <f>IF(ISERROR(VLOOKUP($U$238,'TAR FIN'!$A$1:$O$91,15,0)),0,VLOOKUP($U$238,'TAR FIN'!$A$1:$O$91,15,0))</f>
        <v>0</v>
      </c>
      <c r="Y238" s="88">
        <f ca="1">('TUSD BE'!$AM$13+'TUSD BF'!$AM$13+'TUSD CVA'!$AM$13)*1*(1-0.02)</f>
        <v>38.334889694970578</v>
      </c>
      <c r="Z238" s="88"/>
      <c r="AA238" s="88"/>
      <c r="AB238" s="4">
        <f>$K$238*$V$238</f>
        <v>2706.7295999999997</v>
      </c>
      <c r="AC238" s="4">
        <f>$M$238*$W$238</f>
        <v>0</v>
      </c>
      <c r="AD238" s="4">
        <f>$O$238*$X$238</f>
        <v>0</v>
      </c>
      <c r="AE238" s="4">
        <f ca="1">$K$238*$Y$238</f>
        <v>3181.7958446825578</v>
      </c>
      <c r="AF238" s="4">
        <f>$M$238*$Z$238</f>
        <v>0</v>
      </c>
      <c r="AG238" s="4">
        <f>$O$238*$AA$238</f>
        <v>0</v>
      </c>
    </row>
    <row r="239" spans="1:33" ht="11.25" customHeight="1" x14ac:dyDescent="0.3">
      <c r="A239" s="3" t="s">
        <v>21</v>
      </c>
      <c r="B239" s="3" t="s">
        <v>39</v>
      </c>
      <c r="C239" s="3" t="s">
        <v>40</v>
      </c>
      <c r="D239" s="3" t="s">
        <v>43</v>
      </c>
      <c r="E239" s="3" t="s">
        <v>25</v>
      </c>
      <c r="F239" s="3" t="s">
        <v>25</v>
      </c>
      <c r="G239" s="3" t="s">
        <v>25</v>
      </c>
      <c r="H239" s="3" t="s">
        <v>25</v>
      </c>
      <c r="I239" s="6">
        <v>44501</v>
      </c>
      <c r="J239" s="4">
        <v>89</v>
      </c>
      <c r="K239" s="88">
        <v>89</v>
      </c>
      <c r="L239" s="4">
        <v>0</v>
      </c>
      <c r="M239" s="88">
        <v>0</v>
      </c>
      <c r="N239" s="4">
        <v>0</v>
      </c>
      <c r="O239" s="88">
        <v>0</v>
      </c>
      <c r="P239" s="4">
        <v>2</v>
      </c>
      <c r="Q239" s="3" t="s">
        <v>26</v>
      </c>
      <c r="R239" s="3">
        <v>0</v>
      </c>
      <c r="S239" s="4">
        <v>9</v>
      </c>
      <c r="T239" s="4">
        <v>0</v>
      </c>
      <c r="U239" s="4">
        <v>0</v>
      </c>
      <c r="V239" s="88">
        <f>IF(ISERROR(VLOOKUP($S$239,'TAR FIN'!$A$1:$O$91,15,0)),0,VLOOKUP($S$239,'TAR FIN'!$A$1:$O$91,15,0))*(1-0.04)</f>
        <v>32.611199999999997</v>
      </c>
      <c r="W239" s="88">
        <f>IF(ISERROR(VLOOKUP($T$239,'TAR FIN'!$A$1:$O$91,15,0)),0,VLOOKUP($T$239,'TAR FIN'!$A$1:$O$91,15,0))</f>
        <v>0</v>
      </c>
      <c r="X239" s="88">
        <f>IF(ISERROR(VLOOKUP($U$239,'TAR FIN'!$A$1:$O$91,15,0)),0,VLOOKUP($U$239,'TAR FIN'!$A$1:$O$91,15,0))</f>
        <v>0</v>
      </c>
      <c r="Y239" s="88">
        <f ca="1">('TUSD BE'!$AM$13+'TUSD BF'!$AM$13+'TUSD CVA'!$AM$13)*1*(1-0.02)</f>
        <v>38.334889694970578</v>
      </c>
      <c r="Z239" s="88"/>
      <c r="AA239" s="88"/>
      <c r="AB239" s="4">
        <f>$K$239*$V$239</f>
        <v>2902.3967999999995</v>
      </c>
      <c r="AC239" s="4">
        <f>$M$239*$W$239</f>
        <v>0</v>
      </c>
      <c r="AD239" s="4">
        <f>$O$239*$X$239</f>
        <v>0</v>
      </c>
      <c r="AE239" s="4">
        <f ca="1">$K$239*$Y$239</f>
        <v>3411.8051828523812</v>
      </c>
      <c r="AF239" s="4">
        <f>$M$239*$Z$239</f>
        <v>0</v>
      </c>
      <c r="AG239" s="4">
        <f>$O$239*$AA$239</f>
        <v>0</v>
      </c>
    </row>
    <row r="240" spans="1:33" ht="11.25" customHeight="1" x14ac:dyDescent="0.3">
      <c r="A240" s="3" t="s">
        <v>21</v>
      </c>
      <c r="B240" s="3" t="s">
        <v>39</v>
      </c>
      <c r="C240" s="3" t="s">
        <v>40</v>
      </c>
      <c r="D240" s="3" t="s">
        <v>43</v>
      </c>
      <c r="E240" s="3" t="s">
        <v>25</v>
      </c>
      <c r="F240" s="3" t="s">
        <v>25</v>
      </c>
      <c r="G240" s="3" t="s">
        <v>25</v>
      </c>
      <c r="H240" s="3" t="s">
        <v>25</v>
      </c>
      <c r="I240" s="6">
        <v>44531</v>
      </c>
      <c r="J240" s="4">
        <v>44</v>
      </c>
      <c r="K240" s="88">
        <v>44</v>
      </c>
      <c r="L240" s="4">
        <v>0</v>
      </c>
      <c r="M240" s="88">
        <v>0</v>
      </c>
      <c r="N240" s="4">
        <v>0</v>
      </c>
      <c r="O240" s="88">
        <v>0</v>
      </c>
      <c r="P240" s="4">
        <v>2</v>
      </c>
      <c r="Q240" s="3" t="s">
        <v>26</v>
      </c>
      <c r="R240" s="3">
        <v>0</v>
      </c>
      <c r="S240" s="4">
        <v>9</v>
      </c>
      <c r="T240" s="4">
        <v>0</v>
      </c>
      <c r="U240" s="4">
        <v>0</v>
      </c>
      <c r="V240" s="88">
        <f>IF(ISERROR(VLOOKUP($S$240,'TAR FIN'!$A$1:$O$91,15,0)),0,VLOOKUP($S$240,'TAR FIN'!$A$1:$O$91,15,0))*(1-0.04)</f>
        <v>32.611199999999997</v>
      </c>
      <c r="W240" s="88">
        <f>IF(ISERROR(VLOOKUP($T$240,'TAR FIN'!$A$1:$O$91,15,0)),0,VLOOKUP($T$240,'TAR FIN'!$A$1:$O$91,15,0))</f>
        <v>0</v>
      </c>
      <c r="X240" s="88">
        <f>IF(ISERROR(VLOOKUP($U$240,'TAR FIN'!$A$1:$O$91,15,0)),0,VLOOKUP($U$240,'TAR FIN'!$A$1:$O$91,15,0))</f>
        <v>0</v>
      </c>
      <c r="Y240" s="88">
        <f ca="1">('TUSD BE'!$AM$13+'TUSD BF'!$AM$13+'TUSD CVA'!$AM$13)*1*(1-0.02)</f>
        <v>38.334889694970578</v>
      </c>
      <c r="Z240" s="88"/>
      <c r="AA240" s="88"/>
      <c r="AB240" s="4">
        <f>$K$240*$V$240</f>
        <v>1434.8927999999999</v>
      </c>
      <c r="AC240" s="4">
        <f>$M$240*$W$240</f>
        <v>0</v>
      </c>
      <c r="AD240" s="4">
        <f>$O$240*$X$240</f>
        <v>0</v>
      </c>
      <c r="AE240" s="4">
        <f ca="1">$K$240*$Y$240</f>
        <v>1686.7351465787053</v>
      </c>
      <c r="AF240" s="4">
        <f>$M$240*$Z$240</f>
        <v>0</v>
      </c>
      <c r="AG240" s="4">
        <f>$O$240*$AA$240</f>
        <v>0</v>
      </c>
    </row>
    <row r="241" spans="1:33" ht="11.25" customHeight="1" x14ac:dyDescent="0.3">
      <c r="A241" s="3" t="s">
        <v>21</v>
      </c>
      <c r="B241" s="3" t="s">
        <v>39</v>
      </c>
      <c r="C241" s="3" t="s">
        <v>40</v>
      </c>
      <c r="D241" s="3" t="s">
        <v>43</v>
      </c>
      <c r="E241" s="3" t="s">
        <v>25</v>
      </c>
      <c r="F241" s="3" t="s">
        <v>25</v>
      </c>
      <c r="G241" s="3" t="s">
        <v>25</v>
      </c>
      <c r="H241" s="3" t="s">
        <v>25</v>
      </c>
      <c r="I241" s="6">
        <v>44562</v>
      </c>
      <c r="J241" s="4">
        <v>46</v>
      </c>
      <c r="K241" s="88">
        <v>46</v>
      </c>
      <c r="L241" s="4">
        <v>0</v>
      </c>
      <c r="M241" s="88">
        <v>0</v>
      </c>
      <c r="N241" s="4">
        <v>0</v>
      </c>
      <c r="O241" s="88">
        <v>0</v>
      </c>
      <c r="P241" s="4">
        <v>2</v>
      </c>
      <c r="Q241" s="3" t="s">
        <v>26</v>
      </c>
      <c r="R241" s="3">
        <v>0</v>
      </c>
      <c r="S241" s="4">
        <v>9</v>
      </c>
      <c r="T241" s="4">
        <v>0</v>
      </c>
      <c r="U241" s="4">
        <v>0</v>
      </c>
      <c r="V241" s="88">
        <f>IF(ISERROR(VLOOKUP($S$241,'TAR FIN'!$A$1:$O$91,15,0)),0,VLOOKUP($S$241,'TAR FIN'!$A$1:$O$91,15,0))*(1-0.04)</f>
        <v>32.611199999999997</v>
      </c>
      <c r="W241" s="88">
        <f>IF(ISERROR(VLOOKUP($T$241,'TAR FIN'!$A$1:$O$91,15,0)),0,VLOOKUP($T$241,'TAR FIN'!$A$1:$O$91,15,0))</f>
        <v>0</v>
      </c>
      <c r="X241" s="88">
        <f>IF(ISERROR(VLOOKUP($U$241,'TAR FIN'!$A$1:$O$91,15,0)),0,VLOOKUP($U$241,'TAR FIN'!$A$1:$O$91,15,0))</f>
        <v>0</v>
      </c>
      <c r="Y241" s="88">
        <f ca="1">('TUSD BE'!$AM$13+'TUSD BF'!$AM$13+'TUSD CVA'!$AM$13)*1*(1-0.02)</f>
        <v>38.334889694970578</v>
      </c>
      <c r="Z241" s="88"/>
      <c r="AA241" s="88"/>
      <c r="AB241" s="4">
        <f>$K$241*$V$241</f>
        <v>1500.1151999999997</v>
      </c>
      <c r="AC241" s="4">
        <f>$M$241*$W$241</f>
        <v>0</v>
      </c>
      <c r="AD241" s="4">
        <f>$O$241*$X$241</f>
        <v>0</v>
      </c>
      <c r="AE241" s="4">
        <f ca="1">$K$241*$Y$241</f>
        <v>1763.4049259686465</v>
      </c>
      <c r="AF241" s="4">
        <f>$M$241*$Z$241</f>
        <v>0</v>
      </c>
      <c r="AG241" s="4">
        <f>$O$241*$AA$241</f>
        <v>0</v>
      </c>
    </row>
    <row r="242" spans="1:33" ht="11.25" customHeight="1" x14ac:dyDescent="0.3">
      <c r="A242" s="3" t="s">
        <v>21</v>
      </c>
      <c r="B242" s="3" t="s">
        <v>39</v>
      </c>
      <c r="C242" s="3" t="s">
        <v>40</v>
      </c>
      <c r="D242" s="3" t="s">
        <v>43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44593</v>
      </c>
      <c r="J242" s="4">
        <v>57</v>
      </c>
      <c r="K242" s="88">
        <v>57</v>
      </c>
      <c r="L242" s="4">
        <v>0</v>
      </c>
      <c r="M242" s="88">
        <v>0</v>
      </c>
      <c r="N242" s="4">
        <v>0</v>
      </c>
      <c r="O242" s="88">
        <v>0</v>
      </c>
      <c r="P242" s="4">
        <v>2</v>
      </c>
      <c r="Q242" s="3" t="s">
        <v>26</v>
      </c>
      <c r="R242" s="3">
        <v>0</v>
      </c>
      <c r="S242" s="4">
        <v>9</v>
      </c>
      <c r="T242" s="4">
        <v>0</v>
      </c>
      <c r="U242" s="4">
        <v>0</v>
      </c>
      <c r="V242" s="88">
        <f>IF(ISERROR(VLOOKUP($S$242,'TAR FIN'!$A$1:$O$91,15,0)),0,VLOOKUP($S$242,'TAR FIN'!$A$1:$O$91,15,0))*(1-0.04)</f>
        <v>32.611199999999997</v>
      </c>
      <c r="W242" s="88">
        <f>IF(ISERROR(VLOOKUP($T$242,'TAR FIN'!$A$1:$O$91,15,0)),0,VLOOKUP($T$242,'TAR FIN'!$A$1:$O$91,15,0))</f>
        <v>0</v>
      </c>
      <c r="X242" s="88">
        <f>IF(ISERROR(VLOOKUP($U$242,'TAR FIN'!$A$1:$O$91,15,0)),0,VLOOKUP($U$242,'TAR FIN'!$A$1:$O$91,15,0))</f>
        <v>0</v>
      </c>
      <c r="Y242" s="88">
        <f ca="1">('TUSD BE'!$AM$13+'TUSD BF'!$AM$13+'TUSD CVA'!$AM$13)*1*(1-0.02)</f>
        <v>38.334889694970578</v>
      </c>
      <c r="Z242" s="88"/>
      <c r="AA242" s="88"/>
      <c r="AB242" s="4">
        <f>$K$242*$V$242</f>
        <v>1858.8383999999999</v>
      </c>
      <c r="AC242" s="4">
        <f>$M$242*$W$242</f>
        <v>0</v>
      </c>
      <c r="AD242" s="4">
        <f>$O$242*$X$242</f>
        <v>0</v>
      </c>
      <c r="AE242" s="4">
        <f ca="1">$K$242*$Y$242</f>
        <v>2185.088712613323</v>
      </c>
      <c r="AF242" s="4">
        <f>$M$242*$Z$242</f>
        <v>0</v>
      </c>
      <c r="AG242" s="4">
        <f>$O$242*$AA$242</f>
        <v>0</v>
      </c>
    </row>
    <row r="243" spans="1:33" ht="11.25" customHeight="1" x14ac:dyDescent="0.3">
      <c r="A243" s="3" t="s">
        <v>21</v>
      </c>
      <c r="B243" s="3" t="s">
        <v>39</v>
      </c>
      <c r="C243" s="3" t="s">
        <v>40</v>
      </c>
      <c r="D243" s="3" t="s">
        <v>43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44621</v>
      </c>
      <c r="J243" s="4">
        <v>117</v>
      </c>
      <c r="K243" s="88">
        <v>117</v>
      </c>
      <c r="L243" s="4">
        <v>0</v>
      </c>
      <c r="M243" s="88">
        <v>0</v>
      </c>
      <c r="N243" s="4">
        <v>0</v>
      </c>
      <c r="O243" s="88">
        <v>0</v>
      </c>
      <c r="P243" s="4">
        <v>2</v>
      </c>
      <c r="Q243" s="3" t="s">
        <v>26</v>
      </c>
      <c r="R243" s="3">
        <v>0</v>
      </c>
      <c r="S243" s="4">
        <v>9</v>
      </c>
      <c r="T243" s="4">
        <v>0</v>
      </c>
      <c r="U243" s="4">
        <v>0</v>
      </c>
      <c r="V243" s="88">
        <f>IF(ISERROR(VLOOKUP($S$243,'TAR FIN'!$A$1:$O$91,15,0)),0,VLOOKUP($S$243,'TAR FIN'!$A$1:$O$91,15,0))*(1-0.04)</f>
        <v>32.611199999999997</v>
      </c>
      <c r="W243" s="88">
        <f>IF(ISERROR(VLOOKUP($T$243,'TAR FIN'!$A$1:$O$91,15,0)),0,VLOOKUP($T$243,'TAR FIN'!$A$1:$O$91,15,0))</f>
        <v>0</v>
      </c>
      <c r="X243" s="88">
        <f>IF(ISERROR(VLOOKUP($U$243,'TAR FIN'!$A$1:$O$91,15,0)),0,VLOOKUP($U$243,'TAR FIN'!$A$1:$O$91,15,0))</f>
        <v>0</v>
      </c>
      <c r="Y243" s="88">
        <f ca="1">('TUSD BE'!$AM$13+'TUSD BF'!$AM$13+'TUSD CVA'!$AM$13)*1*(1-0.02)</f>
        <v>38.334889694970578</v>
      </c>
      <c r="Z243" s="88"/>
      <c r="AA243" s="88"/>
      <c r="AB243" s="4">
        <f>$K$243*$V$243</f>
        <v>3815.5103999999997</v>
      </c>
      <c r="AC243" s="4">
        <f>$M$243*$W$243</f>
        <v>0</v>
      </c>
      <c r="AD243" s="4">
        <f>$O$243*$X$243</f>
        <v>0</v>
      </c>
      <c r="AE243" s="4">
        <f ca="1">$K$243*$Y$243</f>
        <v>4485.1820943115572</v>
      </c>
      <c r="AF243" s="4">
        <f>$M$243*$Z$243</f>
        <v>0</v>
      </c>
      <c r="AG243" s="4">
        <f>$O$243*$AA$243</f>
        <v>0</v>
      </c>
    </row>
    <row r="244" spans="1:33" ht="11.25" customHeight="1" x14ac:dyDescent="0.3">
      <c r="A244" s="3" t="s">
        <v>21</v>
      </c>
      <c r="B244" s="3" t="s">
        <v>39</v>
      </c>
      <c r="C244" s="3" t="s">
        <v>40</v>
      </c>
      <c r="D244" s="3" t="s">
        <v>43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44652</v>
      </c>
      <c r="J244" s="4">
        <v>156</v>
      </c>
      <c r="K244" s="88">
        <v>156</v>
      </c>
      <c r="L244" s="4">
        <v>0</v>
      </c>
      <c r="M244" s="88">
        <v>0</v>
      </c>
      <c r="N244" s="4">
        <v>0</v>
      </c>
      <c r="O244" s="88">
        <v>0</v>
      </c>
      <c r="P244" s="4">
        <v>2</v>
      </c>
      <c r="Q244" s="3" t="s">
        <v>26</v>
      </c>
      <c r="R244" s="3">
        <v>0</v>
      </c>
      <c r="S244" s="4">
        <v>9</v>
      </c>
      <c r="T244" s="4">
        <v>0</v>
      </c>
      <c r="U244" s="4">
        <v>0</v>
      </c>
      <c r="V244" s="88">
        <f>IF(ISERROR(VLOOKUP($S$244,'TAR FIN'!$A$1:$O$91,15,0)),0,VLOOKUP($S$244,'TAR FIN'!$A$1:$O$91,15,0))*(1-0.04)</f>
        <v>32.611199999999997</v>
      </c>
      <c r="W244" s="88">
        <f>IF(ISERROR(VLOOKUP($T$244,'TAR FIN'!$A$1:$O$91,15,0)),0,VLOOKUP($T$244,'TAR FIN'!$A$1:$O$91,15,0))</f>
        <v>0</v>
      </c>
      <c r="X244" s="88">
        <f>IF(ISERROR(VLOOKUP($U$244,'TAR FIN'!$A$1:$O$91,15,0)),0,VLOOKUP($U$244,'TAR FIN'!$A$1:$O$91,15,0))</f>
        <v>0</v>
      </c>
      <c r="Y244" s="88">
        <f ca="1">('TUSD BE'!$AM$13+'TUSD BF'!$AM$13+'TUSD CVA'!$AM$13)*1*(1-0.02)</f>
        <v>38.334889694970578</v>
      </c>
      <c r="Z244" s="88"/>
      <c r="AA244" s="88"/>
      <c r="AB244" s="4">
        <f>$K$244*$V$244</f>
        <v>5087.3471999999992</v>
      </c>
      <c r="AC244" s="4">
        <f>$M$244*$W$244</f>
        <v>0</v>
      </c>
      <c r="AD244" s="4">
        <f>$O$244*$X$244</f>
        <v>0</v>
      </c>
      <c r="AE244" s="4">
        <f ca="1">$K$244*$Y$244</f>
        <v>5980.2427924154099</v>
      </c>
      <c r="AF244" s="4">
        <f>$M$244*$Z$244</f>
        <v>0</v>
      </c>
      <c r="AG244" s="4">
        <f>$O$244*$AA$244</f>
        <v>0</v>
      </c>
    </row>
    <row r="245" spans="1:33" ht="11.25" customHeight="1" x14ac:dyDescent="0.3">
      <c r="A245" s="3" t="s">
        <v>21</v>
      </c>
      <c r="B245" s="3" t="s">
        <v>39</v>
      </c>
      <c r="C245" s="3" t="s">
        <v>40</v>
      </c>
      <c r="D245" s="3" t="s">
        <v>43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44682</v>
      </c>
      <c r="J245" s="4">
        <v>120</v>
      </c>
      <c r="K245" s="88">
        <v>120</v>
      </c>
      <c r="L245" s="4">
        <v>0</v>
      </c>
      <c r="M245" s="88">
        <v>0</v>
      </c>
      <c r="N245" s="4">
        <v>0</v>
      </c>
      <c r="O245" s="88">
        <v>0</v>
      </c>
      <c r="P245" s="4">
        <v>2</v>
      </c>
      <c r="Q245" s="3" t="s">
        <v>26</v>
      </c>
      <c r="R245" s="3">
        <v>0</v>
      </c>
      <c r="S245" s="4">
        <v>9</v>
      </c>
      <c r="T245" s="4">
        <v>0</v>
      </c>
      <c r="U245" s="4">
        <v>0</v>
      </c>
      <c r="V245" s="88">
        <f>IF(ISERROR(VLOOKUP($S$245,'TAR FIN'!$A$1:$O$91,15,0)),0,VLOOKUP($S$245,'TAR FIN'!$A$1:$O$91,15,0))*(1-0.04)</f>
        <v>32.611199999999997</v>
      </c>
      <c r="W245" s="88">
        <f>IF(ISERROR(VLOOKUP($T$245,'TAR FIN'!$A$1:$O$91,15,0)),0,VLOOKUP($T$245,'TAR FIN'!$A$1:$O$91,15,0))</f>
        <v>0</v>
      </c>
      <c r="X245" s="88">
        <f>IF(ISERROR(VLOOKUP($U$245,'TAR FIN'!$A$1:$O$91,15,0)),0,VLOOKUP($U$245,'TAR FIN'!$A$1:$O$91,15,0))</f>
        <v>0</v>
      </c>
      <c r="Y245" s="88">
        <f ca="1">('TUSD BE'!$AM$13+'TUSD BF'!$AM$13+'TUSD CVA'!$AM$13)*1*(1-0.02)</f>
        <v>38.334889694970578</v>
      </c>
      <c r="Z245" s="88"/>
      <c r="AA245" s="88"/>
      <c r="AB245" s="4">
        <f>$K$245*$V$245</f>
        <v>3913.3439999999996</v>
      </c>
      <c r="AC245" s="4">
        <f>$M$245*$W$245</f>
        <v>0</v>
      </c>
      <c r="AD245" s="4">
        <f>$O$245*$X$245</f>
        <v>0</v>
      </c>
      <c r="AE245" s="4">
        <f ca="1">$K$245*$Y$245</f>
        <v>4600.1867633964694</v>
      </c>
      <c r="AF245" s="4">
        <f>$M$245*$Z$245</f>
        <v>0</v>
      </c>
      <c r="AG245" s="4">
        <f>$O$245*$AA$245</f>
        <v>0</v>
      </c>
    </row>
    <row r="246" spans="1:33" ht="11.25" customHeight="1" x14ac:dyDescent="0.3">
      <c r="A246" s="3" t="s">
        <v>21</v>
      </c>
      <c r="B246" s="3" t="s">
        <v>39</v>
      </c>
      <c r="C246" s="3" t="s">
        <v>40</v>
      </c>
      <c r="D246" s="3" t="s">
        <v>43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44713</v>
      </c>
      <c r="J246" s="4">
        <v>98</v>
      </c>
      <c r="K246" s="88">
        <v>98</v>
      </c>
      <c r="L246" s="4">
        <v>0</v>
      </c>
      <c r="M246" s="88">
        <v>0</v>
      </c>
      <c r="N246" s="4">
        <v>0</v>
      </c>
      <c r="O246" s="88">
        <v>0</v>
      </c>
      <c r="P246" s="4">
        <v>2</v>
      </c>
      <c r="Q246" s="3" t="s">
        <v>26</v>
      </c>
      <c r="R246" s="3">
        <v>0</v>
      </c>
      <c r="S246" s="4">
        <v>9</v>
      </c>
      <c r="T246" s="4">
        <v>0</v>
      </c>
      <c r="U246" s="4">
        <v>0</v>
      </c>
      <c r="V246" s="88">
        <f>IF(ISERROR(VLOOKUP($S$246,'TAR FIN'!$A$1:$O$91,15,0)),0,VLOOKUP($S$246,'TAR FIN'!$A$1:$O$91,15,0))*(1-0.04)</f>
        <v>32.611199999999997</v>
      </c>
      <c r="W246" s="88">
        <f>IF(ISERROR(VLOOKUP($T$246,'TAR FIN'!$A$1:$O$91,15,0)),0,VLOOKUP($T$246,'TAR FIN'!$A$1:$O$91,15,0))</f>
        <v>0</v>
      </c>
      <c r="X246" s="88">
        <f>IF(ISERROR(VLOOKUP($U$246,'TAR FIN'!$A$1:$O$91,15,0)),0,VLOOKUP($U$246,'TAR FIN'!$A$1:$O$91,15,0))</f>
        <v>0</v>
      </c>
      <c r="Y246" s="88">
        <f ca="1">('TUSD BE'!$AM$13+'TUSD BF'!$AM$13+'TUSD CVA'!$AM$13)*1*(1-0.02)</f>
        <v>38.334889694970578</v>
      </c>
      <c r="Z246" s="88"/>
      <c r="AA246" s="88"/>
      <c r="AB246" s="4">
        <f>$K$246*$V$246</f>
        <v>3195.8975999999998</v>
      </c>
      <c r="AC246" s="4">
        <f>$M$246*$W$246</f>
        <v>0</v>
      </c>
      <c r="AD246" s="4">
        <f>$O$246*$X$246</f>
        <v>0</v>
      </c>
      <c r="AE246" s="4">
        <f ca="1">$K$246*$Y$246</f>
        <v>3756.8191901071168</v>
      </c>
      <c r="AF246" s="4">
        <f>$M$246*$Z$246</f>
        <v>0</v>
      </c>
      <c r="AG246" s="4">
        <f>$O$246*$AA$246</f>
        <v>0</v>
      </c>
    </row>
    <row r="247" spans="1:33" ht="11.25" customHeight="1" x14ac:dyDescent="0.3">
      <c r="A247" s="3" t="s">
        <v>21</v>
      </c>
      <c r="B247" s="3" t="s">
        <v>39</v>
      </c>
      <c r="C247" s="3" t="s">
        <v>40</v>
      </c>
      <c r="D247" s="3" t="s">
        <v>43</v>
      </c>
      <c r="E247" s="3" t="s">
        <v>25</v>
      </c>
      <c r="F247" s="3" t="s">
        <v>25</v>
      </c>
      <c r="G247" s="3" t="s">
        <v>25</v>
      </c>
      <c r="H247" s="3" t="s">
        <v>34</v>
      </c>
      <c r="I247" s="6">
        <v>44378</v>
      </c>
      <c r="J247" s="4">
        <v>0</v>
      </c>
      <c r="K247" s="88">
        <v>0</v>
      </c>
      <c r="L247" s="4">
        <v>0.56100000000000005</v>
      </c>
      <c r="M247" s="88">
        <v>0.56100000000000005</v>
      </c>
      <c r="N247" s="4">
        <v>0.56100000000000005</v>
      </c>
      <c r="O247" s="88">
        <v>0.56100000000000005</v>
      </c>
      <c r="P247" s="4">
        <v>0</v>
      </c>
      <c r="Q247" s="3" t="s">
        <v>26</v>
      </c>
      <c r="R247" s="3">
        <v>0</v>
      </c>
      <c r="S247" s="4">
        <v>0</v>
      </c>
      <c r="T247" s="4">
        <v>10</v>
      </c>
      <c r="U247" s="4">
        <v>51</v>
      </c>
      <c r="V247" s="88">
        <f>IF(ISERROR(VLOOKUP($S$247,'TAR FIN'!$A$1:$O$91,15,0)),0,VLOOKUP($S$247,'TAR FIN'!$A$1:$O$91,15,0))</f>
        <v>0</v>
      </c>
      <c r="W247" s="88">
        <f>IF(ISERROR(VLOOKUP($T$247,'TAR FIN'!$A$1:$O$91,15,0)),0,VLOOKUP($T$247,'TAR FIN'!$A$1:$O$91,15,0))*(1-0.04)</f>
        <v>1685.3183999999999</v>
      </c>
      <c r="X247" s="88">
        <f>IF(ISERROR(VLOOKUP($U$247,'TAR FIN'!$A$1:$O$91,15,0)),0,VLOOKUP($U$247,'TAR FIN'!$A$1:$O$91,15,0))*(1-0.04)</f>
        <v>286.88639999999998</v>
      </c>
      <c r="Y247" s="88"/>
      <c r="Z247" s="88">
        <f ca="1">('TUSD BE'!$AM$14+'TUSD BF'!$AM$14+'TUSD CVA'!$AM$14)*1*(1-0.02)</f>
        <v>1853.5981439781629</v>
      </c>
      <c r="AA247" s="88">
        <f>('TE BE'!$AB$5+'TE BF'!$AB$5+'TE CVA'!$AB$5)*1*(1-0.02)</f>
        <v>305.18355336539798</v>
      </c>
      <c r="AB247" s="4">
        <f>$K$247*$V$247</f>
        <v>0</v>
      </c>
      <c r="AC247" s="4">
        <f>$M$247*$W$247</f>
        <v>945.46362240000008</v>
      </c>
      <c r="AD247" s="4">
        <f>$O$247*$X$247</f>
        <v>160.94327040000002</v>
      </c>
      <c r="AE247" s="4">
        <f>$K$247*$Y$247</f>
        <v>0</v>
      </c>
      <c r="AF247" s="4">
        <f ca="1">$M$247*$Z$247</f>
        <v>1039.8685587717493</v>
      </c>
      <c r="AG247" s="4">
        <f>$O$247*$AA$247</f>
        <v>171.20797343798827</v>
      </c>
    </row>
    <row r="248" spans="1:33" ht="11.25" customHeight="1" x14ac:dyDescent="0.3">
      <c r="A248" s="3" t="s">
        <v>21</v>
      </c>
      <c r="B248" s="3" t="s">
        <v>39</v>
      </c>
      <c r="C248" s="3" t="s">
        <v>40</v>
      </c>
      <c r="D248" s="3" t="s">
        <v>43</v>
      </c>
      <c r="E248" s="3" t="s">
        <v>25</v>
      </c>
      <c r="F248" s="3" t="s">
        <v>25</v>
      </c>
      <c r="G248" s="3" t="s">
        <v>25</v>
      </c>
      <c r="H248" s="3" t="s">
        <v>34</v>
      </c>
      <c r="I248" s="6">
        <v>44409</v>
      </c>
      <c r="J248" s="4">
        <v>0</v>
      </c>
      <c r="K248" s="88">
        <v>0</v>
      </c>
      <c r="L248" s="4">
        <v>0.27</v>
      </c>
      <c r="M248" s="88">
        <v>0.27</v>
      </c>
      <c r="N248" s="4">
        <v>0.27</v>
      </c>
      <c r="O248" s="88">
        <v>0.27</v>
      </c>
      <c r="P248" s="4">
        <v>0</v>
      </c>
      <c r="Q248" s="3" t="s">
        <v>26</v>
      </c>
      <c r="R248" s="3">
        <v>0</v>
      </c>
      <c r="S248" s="4">
        <v>0</v>
      </c>
      <c r="T248" s="4">
        <v>10</v>
      </c>
      <c r="U248" s="4">
        <v>51</v>
      </c>
      <c r="V248" s="88">
        <f>IF(ISERROR(VLOOKUP($S$248,'TAR FIN'!$A$1:$O$91,15,0)),0,VLOOKUP($S$248,'TAR FIN'!$A$1:$O$91,15,0))</f>
        <v>0</v>
      </c>
      <c r="W248" s="88">
        <f>IF(ISERROR(VLOOKUP($T$248,'TAR FIN'!$A$1:$O$91,15,0)),0,VLOOKUP($T$248,'TAR FIN'!$A$1:$O$91,15,0))*(1-0.04)</f>
        <v>1685.3183999999999</v>
      </c>
      <c r="X248" s="88">
        <f>IF(ISERROR(VLOOKUP($U$248,'TAR FIN'!$A$1:$O$91,15,0)),0,VLOOKUP($U$248,'TAR FIN'!$A$1:$O$91,15,0))*(1-0.04)</f>
        <v>286.88639999999998</v>
      </c>
      <c r="Y248" s="88"/>
      <c r="Z248" s="88">
        <f ca="1">('TUSD BE'!$AM$14+'TUSD BF'!$AM$14+'TUSD CVA'!$AM$14)*1*(1-0.02)</f>
        <v>1853.5981439781629</v>
      </c>
      <c r="AA248" s="88">
        <f>('TE BE'!$AB$5+'TE BF'!$AB$5+'TE CVA'!$AB$5)*1*(1-0.02)</f>
        <v>305.18355336539798</v>
      </c>
      <c r="AB248" s="4">
        <f>$K$248*$V$248</f>
        <v>0</v>
      </c>
      <c r="AC248" s="4">
        <f>$M$248*$W$248</f>
        <v>455.03596800000003</v>
      </c>
      <c r="AD248" s="4">
        <f>$O$248*$X$248</f>
        <v>77.459327999999999</v>
      </c>
      <c r="AE248" s="4">
        <f>$K$248*$Y$248</f>
        <v>0</v>
      </c>
      <c r="AF248" s="4">
        <f ca="1">$M$248*$Z$248</f>
        <v>500.47149887410399</v>
      </c>
      <c r="AG248" s="4">
        <f>$O$248*$AA$248</f>
        <v>82.399559408657467</v>
      </c>
    </row>
    <row r="249" spans="1:33" ht="11.25" customHeight="1" x14ac:dyDescent="0.3">
      <c r="A249" s="3" t="s">
        <v>21</v>
      </c>
      <c r="B249" s="3" t="s">
        <v>39</v>
      </c>
      <c r="C249" s="3" t="s">
        <v>40</v>
      </c>
      <c r="D249" s="3" t="s">
        <v>43</v>
      </c>
      <c r="E249" s="3" t="s">
        <v>25</v>
      </c>
      <c r="F249" s="3" t="s">
        <v>25</v>
      </c>
      <c r="G249" s="3" t="s">
        <v>25</v>
      </c>
      <c r="H249" s="3" t="s">
        <v>34</v>
      </c>
      <c r="I249" s="6">
        <v>44440</v>
      </c>
      <c r="J249" s="4">
        <v>0</v>
      </c>
      <c r="K249" s="88">
        <v>0</v>
      </c>
      <c r="L249" s="4">
        <v>0.59899999999999998</v>
      </c>
      <c r="M249" s="88">
        <v>0.59899999999999998</v>
      </c>
      <c r="N249" s="4">
        <v>0.59899999999999998</v>
      </c>
      <c r="O249" s="88">
        <v>0.59899999999999998</v>
      </c>
      <c r="P249" s="4">
        <v>0</v>
      </c>
      <c r="Q249" s="3" t="s">
        <v>26</v>
      </c>
      <c r="R249" s="3">
        <v>0</v>
      </c>
      <c r="S249" s="4">
        <v>0</v>
      </c>
      <c r="T249" s="4">
        <v>10</v>
      </c>
      <c r="U249" s="4">
        <v>51</v>
      </c>
      <c r="V249" s="88">
        <f>IF(ISERROR(VLOOKUP($S$249,'TAR FIN'!$A$1:$O$91,15,0)),0,VLOOKUP($S$249,'TAR FIN'!$A$1:$O$91,15,0))</f>
        <v>0</v>
      </c>
      <c r="W249" s="88">
        <f>IF(ISERROR(VLOOKUP($T$249,'TAR FIN'!$A$1:$O$91,15,0)),0,VLOOKUP($T$249,'TAR FIN'!$A$1:$O$91,15,0))*(1-0.04)</f>
        <v>1685.3183999999999</v>
      </c>
      <c r="X249" s="88">
        <f>IF(ISERROR(VLOOKUP($U$249,'TAR FIN'!$A$1:$O$91,15,0)),0,VLOOKUP($U$249,'TAR FIN'!$A$1:$O$91,15,0))*(1-0.04)</f>
        <v>286.88639999999998</v>
      </c>
      <c r="Y249" s="88"/>
      <c r="Z249" s="88">
        <f ca="1">('TUSD BE'!$AM$14+'TUSD BF'!$AM$14+'TUSD CVA'!$AM$14)*1*(1-0.02)</f>
        <v>1853.5981439781629</v>
      </c>
      <c r="AA249" s="88">
        <f>('TE BE'!$AB$5+'TE BF'!$AB$5+'TE CVA'!$AB$5)*1*(1-0.02)</f>
        <v>305.18355336539798</v>
      </c>
      <c r="AB249" s="4">
        <f>$K$249*$V$249</f>
        <v>0</v>
      </c>
      <c r="AC249" s="4">
        <f>$M$249*$W$249</f>
        <v>1009.5057215999999</v>
      </c>
      <c r="AD249" s="4">
        <f>$O$249*$X$249</f>
        <v>171.84495359999997</v>
      </c>
      <c r="AE249" s="4">
        <f>$K$249*$Y$249</f>
        <v>0</v>
      </c>
      <c r="AF249" s="4">
        <f ca="1">$M$249*$Z$249</f>
        <v>1110.3052882429195</v>
      </c>
      <c r="AG249" s="4">
        <f>$O$249*$AA$249</f>
        <v>182.80494846587339</v>
      </c>
    </row>
    <row r="250" spans="1:33" ht="11.25" customHeight="1" x14ac:dyDescent="0.3">
      <c r="A250" s="3" t="s">
        <v>21</v>
      </c>
      <c r="B250" s="3" t="s">
        <v>39</v>
      </c>
      <c r="C250" s="3" t="s">
        <v>40</v>
      </c>
      <c r="D250" s="3" t="s">
        <v>43</v>
      </c>
      <c r="E250" s="3" t="s">
        <v>25</v>
      </c>
      <c r="F250" s="3" t="s">
        <v>25</v>
      </c>
      <c r="G250" s="3" t="s">
        <v>25</v>
      </c>
      <c r="H250" s="3" t="s">
        <v>34</v>
      </c>
      <c r="I250" s="6">
        <v>44470</v>
      </c>
      <c r="J250" s="4">
        <v>0</v>
      </c>
      <c r="K250" s="88">
        <v>0</v>
      </c>
      <c r="L250" s="4">
        <v>1.0640000000000001</v>
      </c>
      <c r="M250" s="88">
        <v>1.0640000000000001</v>
      </c>
      <c r="N250" s="4">
        <v>1.0640000000000001</v>
      </c>
      <c r="O250" s="88">
        <v>1.0640000000000001</v>
      </c>
      <c r="P250" s="4">
        <v>0</v>
      </c>
      <c r="Q250" s="3" t="s">
        <v>26</v>
      </c>
      <c r="R250" s="3">
        <v>0</v>
      </c>
      <c r="S250" s="4">
        <v>0</v>
      </c>
      <c r="T250" s="4">
        <v>10</v>
      </c>
      <c r="U250" s="4">
        <v>51</v>
      </c>
      <c r="V250" s="88">
        <f>IF(ISERROR(VLOOKUP($S$250,'TAR FIN'!$A$1:$O$91,15,0)),0,VLOOKUP($S$250,'TAR FIN'!$A$1:$O$91,15,0))</f>
        <v>0</v>
      </c>
      <c r="W250" s="88">
        <f>IF(ISERROR(VLOOKUP($T$250,'TAR FIN'!$A$1:$O$91,15,0)),0,VLOOKUP($T$250,'TAR FIN'!$A$1:$O$91,15,0))*(1-0.04)</f>
        <v>1685.3183999999999</v>
      </c>
      <c r="X250" s="88">
        <f>IF(ISERROR(VLOOKUP($U$250,'TAR FIN'!$A$1:$O$91,15,0)),0,VLOOKUP($U$250,'TAR FIN'!$A$1:$O$91,15,0))*(1-0.04)</f>
        <v>286.88639999999998</v>
      </c>
      <c r="Y250" s="88"/>
      <c r="Z250" s="88">
        <f ca="1">('TUSD BE'!$AM$14+'TUSD BF'!$AM$14+'TUSD CVA'!$AM$14)*1*(1-0.02)</f>
        <v>1853.5981439781629</v>
      </c>
      <c r="AA250" s="88">
        <f>('TE BE'!$AB$5+'TE BF'!$AB$5+'TE CVA'!$AB$5)*1*(1-0.02)</f>
        <v>305.18355336539798</v>
      </c>
      <c r="AB250" s="4">
        <f>$K$250*$V$250</f>
        <v>0</v>
      </c>
      <c r="AC250" s="4">
        <f>$M$250*$W$250</f>
        <v>1793.1787775999999</v>
      </c>
      <c r="AD250" s="4">
        <f>$O$250*$X$250</f>
        <v>305.24712959999999</v>
      </c>
      <c r="AE250" s="4">
        <f>$K$250*$Y$250</f>
        <v>0</v>
      </c>
      <c r="AF250" s="4">
        <f ca="1">$M$250*$Z$250</f>
        <v>1972.2284251927654</v>
      </c>
      <c r="AG250" s="4">
        <f>$O$250*$AA$250</f>
        <v>324.71530078078348</v>
      </c>
    </row>
    <row r="251" spans="1:33" ht="11.25" customHeight="1" x14ac:dyDescent="0.3">
      <c r="A251" s="3" t="s">
        <v>21</v>
      </c>
      <c r="B251" s="3" t="s">
        <v>39</v>
      </c>
      <c r="C251" s="3" t="s">
        <v>40</v>
      </c>
      <c r="D251" s="3" t="s">
        <v>43</v>
      </c>
      <c r="E251" s="3" t="s">
        <v>25</v>
      </c>
      <c r="F251" s="3" t="s">
        <v>25</v>
      </c>
      <c r="G251" s="3" t="s">
        <v>25</v>
      </c>
      <c r="H251" s="3" t="s">
        <v>34</v>
      </c>
      <c r="I251" s="6">
        <v>44501</v>
      </c>
      <c r="J251" s="4">
        <v>0</v>
      </c>
      <c r="K251" s="88">
        <v>0</v>
      </c>
      <c r="L251" s="4">
        <v>6.4000000000000001E-2</v>
      </c>
      <c r="M251" s="88">
        <v>6.4000000000000001E-2</v>
      </c>
      <c r="N251" s="4">
        <v>6.4000000000000001E-2</v>
      </c>
      <c r="O251" s="88">
        <v>6.4000000000000001E-2</v>
      </c>
      <c r="P251" s="4">
        <v>0</v>
      </c>
      <c r="Q251" s="3" t="s">
        <v>26</v>
      </c>
      <c r="R251" s="3">
        <v>0</v>
      </c>
      <c r="S251" s="4">
        <v>0</v>
      </c>
      <c r="T251" s="4">
        <v>10</v>
      </c>
      <c r="U251" s="4">
        <v>51</v>
      </c>
      <c r="V251" s="88">
        <f>IF(ISERROR(VLOOKUP($S$251,'TAR FIN'!$A$1:$O$91,15,0)),0,VLOOKUP($S$251,'TAR FIN'!$A$1:$O$91,15,0))</f>
        <v>0</v>
      </c>
      <c r="W251" s="88">
        <f>IF(ISERROR(VLOOKUP($T$251,'TAR FIN'!$A$1:$O$91,15,0)),0,VLOOKUP($T$251,'TAR FIN'!$A$1:$O$91,15,0))*(1-0.04)</f>
        <v>1685.3183999999999</v>
      </c>
      <c r="X251" s="88">
        <f>IF(ISERROR(VLOOKUP($U$251,'TAR FIN'!$A$1:$O$91,15,0)),0,VLOOKUP($U$251,'TAR FIN'!$A$1:$O$91,15,0))*(1-0.04)</f>
        <v>286.88639999999998</v>
      </c>
      <c r="Y251" s="88"/>
      <c r="Z251" s="88">
        <f ca="1">('TUSD BE'!$AM$14+'TUSD BF'!$AM$14+'TUSD CVA'!$AM$14)*1*(1-0.02)</f>
        <v>1853.5981439781629</v>
      </c>
      <c r="AA251" s="88">
        <f>('TE BE'!$AB$5+'TE BF'!$AB$5+'TE CVA'!$AB$5)*1*(1-0.02)</f>
        <v>305.18355336539798</v>
      </c>
      <c r="AB251" s="4">
        <f>$K$251*$V$251</f>
        <v>0</v>
      </c>
      <c r="AC251" s="4">
        <f>$M$251*$W$251</f>
        <v>107.86037759999999</v>
      </c>
      <c r="AD251" s="4">
        <f>$O$251*$X$251</f>
        <v>18.360729599999999</v>
      </c>
      <c r="AE251" s="4">
        <f>$K$251*$Y$251</f>
        <v>0</v>
      </c>
      <c r="AF251" s="4">
        <f ca="1">$M$251*$Z$251</f>
        <v>118.63028121460242</v>
      </c>
      <c r="AG251" s="4">
        <f>$O$251*$AA$251</f>
        <v>19.531747415385471</v>
      </c>
    </row>
    <row r="252" spans="1:33" ht="11.25" customHeight="1" x14ac:dyDescent="0.3">
      <c r="A252" s="3" t="s">
        <v>21</v>
      </c>
      <c r="B252" s="3" t="s">
        <v>39</v>
      </c>
      <c r="C252" s="3" t="s">
        <v>40</v>
      </c>
      <c r="D252" s="3" t="s">
        <v>43</v>
      </c>
      <c r="E252" s="3" t="s">
        <v>25</v>
      </c>
      <c r="F252" s="3" t="s">
        <v>25</v>
      </c>
      <c r="G252" s="3" t="s">
        <v>25</v>
      </c>
      <c r="H252" s="3" t="s">
        <v>34</v>
      </c>
      <c r="I252" s="6">
        <v>44531</v>
      </c>
      <c r="J252" s="4">
        <v>0</v>
      </c>
      <c r="K252" s="88">
        <v>0</v>
      </c>
      <c r="L252" s="4">
        <v>6.5000000000000002E-2</v>
      </c>
      <c r="M252" s="88">
        <v>6.5000000000000002E-2</v>
      </c>
      <c r="N252" s="4">
        <v>6.5000000000000002E-2</v>
      </c>
      <c r="O252" s="88">
        <v>6.5000000000000002E-2</v>
      </c>
      <c r="P252" s="4">
        <v>0</v>
      </c>
      <c r="Q252" s="3" t="s">
        <v>26</v>
      </c>
      <c r="R252" s="3">
        <v>0</v>
      </c>
      <c r="S252" s="4">
        <v>0</v>
      </c>
      <c r="T252" s="4">
        <v>10</v>
      </c>
      <c r="U252" s="4">
        <v>51</v>
      </c>
      <c r="V252" s="88">
        <f>IF(ISERROR(VLOOKUP($S$252,'TAR FIN'!$A$1:$O$91,15,0)),0,VLOOKUP($S$252,'TAR FIN'!$A$1:$O$91,15,0))</f>
        <v>0</v>
      </c>
      <c r="W252" s="88">
        <f>IF(ISERROR(VLOOKUP($T$252,'TAR FIN'!$A$1:$O$91,15,0)),0,VLOOKUP($T$252,'TAR FIN'!$A$1:$O$91,15,0))*(1-0.04)</f>
        <v>1685.3183999999999</v>
      </c>
      <c r="X252" s="88">
        <f>IF(ISERROR(VLOOKUP($U$252,'TAR FIN'!$A$1:$O$91,15,0)),0,VLOOKUP($U$252,'TAR FIN'!$A$1:$O$91,15,0))*(1-0.04)</f>
        <v>286.88639999999998</v>
      </c>
      <c r="Y252" s="88"/>
      <c r="Z252" s="88">
        <f ca="1">('TUSD BE'!$AM$14+'TUSD BF'!$AM$14+'TUSD CVA'!$AM$14)*1*(1-0.02)</f>
        <v>1853.5981439781629</v>
      </c>
      <c r="AA252" s="88">
        <f>('TE BE'!$AB$5+'TE BF'!$AB$5+'TE CVA'!$AB$5)*1*(1-0.02)</f>
        <v>305.18355336539798</v>
      </c>
      <c r="AB252" s="4">
        <f>$K$252*$V$252</f>
        <v>0</v>
      </c>
      <c r="AC252" s="4">
        <f>$M$252*$W$252</f>
        <v>109.54569599999999</v>
      </c>
      <c r="AD252" s="4">
        <f>$O$252*$X$252</f>
        <v>18.647615999999999</v>
      </c>
      <c r="AE252" s="4">
        <f>$K$252*$Y$252</f>
        <v>0</v>
      </c>
      <c r="AF252" s="4">
        <f ca="1">$M$252*$Z$252</f>
        <v>120.48387935858059</v>
      </c>
      <c r="AG252" s="4">
        <f>$O$252*$AA$252</f>
        <v>19.83693096875087</v>
      </c>
    </row>
    <row r="253" spans="1:33" ht="11.25" customHeight="1" x14ac:dyDescent="0.3">
      <c r="A253" s="3" t="s">
        <v>21</v>
      </c>
      <c r="B253" s="3" t="s">
        <v>39</v>
      </c>
      <c r="C253" s="3" t="s">
        <v>40</v>
      </c>
      <c r="D253" s="3" t="s">
        <v>43</v>
      </c>
      <c r="E253" s="3" t="s">
        <v>25</v>
      </c>
      <c r="F253" s="3" t="s">
        <v>25</v>
      </c>
      <c r="G253" s="3" t="s">
        <v>25</v>
      </c>
      <c r="H253" s="3" t="s">
        <v>34</v>
      </c>
      <c r="I253" s="6">
        <v>44562</v>
      </c>
      <c r="J253" s="4">
        <v>0</v>
      </c>
      <c r="K253" s="88">
        <v>0</v>
      </c>
      <c r="L253" s="4">
        <v>7.1999999999999995E-2</v>
      </c>
      <c r="M253" s="88">
        <v>7.1999999999999995E-2</v>
      </c>
      <c r="N253" s="4">
        <v>7.1999999999999995E-2</v>
      </c>
      <c r="O253" s="88">
        <v>7.1999999999999995E-2</v>
      </c>
      <c r="P253" s="4">
        <v>0</v>
      </c>
      <c r="Q253" s="3" t="s">
        <v>26</v>
      </c>
      <c r="R253" s="3">
        <v>0</v>
      </c>
      <c r="S253" s="4">
        <v>0</v>
      </c>
      <c r="T253" s="4">
        <v>10</v>
      </c>
      <c r="U253" s="4">
        <v>51</v>
      </c>
      <c r="V253" s="88">
        <f>IF(ISERROR(VLOOKUP($S$253,'TAR FIN'!$A$1:$O$91,15,0)),0,VLOOKUP($S$253,'TAR FIN'!$A$1:$O$91,15,0))</f>
        <v>0</v>
      </c>
      <c r="W253" s="88">
        <f>IF(ISERROR(VLOOKUP($T$253,'TAR FIN'!$A$1:$O$91,15,0)),0,VLOOKUP($T$253,'TAR FIN'!$A$1:$O$91,15,0))*(1-0.04)</f>
        <v>1685.3183999999999</v>
      </c>
      <c r="X253" s="88">
        <f>IF(ISERROR(VLOOKUP($U$253,'TAR FIN'!$A$1:$O$91,15,0)),0,VLOOKUP($U$253,'TAR FIN'!$A$1:$O$91,15,0))*(1-0.04)</f>
        <v>286.88639999999998</v>
      </c>
      <c r="Y253" s="88"/>
      <c r="Z253" s="88">
        <f ca="1">('TUSD BE'!$AM$14+'TUSD BF'!$AM$14+'TUSD CVA'!$AM$14)*1*(1-0.02)</f>
        <v>1853.5981439781629</v>
      </c>
      <c r="AA253" s="88">
        <f>('TE BE'!$AB$5+'TE BF'!$AB$5+'TE CVA'!$AB$5)*1*(1-0.02)</f>
        <v>305.18355336539798</v>
      </c>
      <c r="AB253" s="4">
        <f>$K$253*$V$253</f>
        <v>0</v>
      </c>
      <c r="AC253" s="4">
        <f>$M$253*$W$253</f>
        <v>121.34292479999998</v>
      </c>
      <c r="AD253" s="4">
        <f>$O$253*$X$253</f>
        <v>20.655820799999997</v>
      </c>
      <c r="AE253" s="4">
        <f>$K$253*$Y$253</f>
        <v>0</v>
      </c>
      <c r="AF253" s="4">
        <f ca="1">$M$253*$Z$253</f>
        <v>133.45906636642772</v>
      </c>
      <c r="AG253" s="4">
        <f>$O$253*$AA$253</f>
        <v>21.973215842308655</v>
      </c>
    </row>
    <row r="254" spans="1:33" ht="11.25" customHeight="1" x14ac:dyDescent="0.3">
      <c r="A254" s="3" t="s">
        <v>21</v>
      </c>
      <c r="B254" s="3" t="s">
        <v>39</v>
      </c>
      <c r="C254" s="3" t="s">
        <v>40</v>
      </c>
      <c r="D254" s="3" t="s">
        <v>43</v>
      </c>
      <c r="E254" s="3" t="s">
        <v>25</v>
      </c>
      <c r="F254" s="3" t="s">
        <v>25</v>
      </c>
      <c r="G254" s="3" t="s">
        <v>25</v>
      </c>
      <c r="H254" s="3" t="s">
        <v>34</v>
      </c>
      <c r="I254" s="6">
        <v>44593</v>
      </c>
      <c r="J254" s="4">
        <v>0</v>
      </c>
      <c r="K254" s="88">
        <v>0</v>
      </c>
      <c r="L254" s="4">
        <v>0.27100000000000002</v>
      </c>
      <c r="M254" s="88">
        <v>0.27100000000000002</v>
      </c>
      <c r="N254" s="4">
        <v>0.27100000000000002</v>
      </c>
      <c r="O254" s="88">
        <v>0.27100000000000002</v>
      </c>
      <c r="P254" s="4">
        <v>0</v>
      </c>
      <c r="Q254" s="3" t="s">
        <v>26</v>
      </c>
      <c r="R254" s="3">
        <v>0</v>
      </c>
      <c r="S254" s="4">
        <v>0</v>
      </c>
      <c r="T254" s="4">
        <v>10</v>
      </c>
      <c r="U254" s="4">
        <v>51</v>
      </c>
      <c r="V254" s="88">
        <f>IF(ISERROR(VLOOKUP($S$254,'TAR FIN'!$A$1:$O$91,15,0)),0,VLOOKUP($S$254,'TAR FIN'!$A$1:$O$91,15,0))</f>
        <v>0</v>
      </c>
      <c r="W254" s="88">
        <f>IF(ISERROR(VLOOKUP($T$254,'TAR FIN'!$A$1:$O$91,15,0)),0,VLOOKUP($T$254,'TAR FIN'!$A$1:$O$91,15,0))*(1-0.04)</f>
        <v>1685.3183999999999</v>
      </c>
      <c r="X254" s="88">
        <f>IF(ISERROR(VLOOKUP($U$254,'TAR FIN'!$A$1:$O$91,15,0)),0,VLOOKUP($U$254,'TAR FIN'!$A$1:$O$91,15,0))*(1-0.04)</f>
        <v>286.88639999999998</v>
      </c>
      <c r="Y254" s="88"/>
      <c r="Z254" s="88">
        <f ca="1">('TUSD BE'!$AM$14+'TUSD BF'!$AM$14+'TUSD CVA'!$AM$14)*1*(1-0.02)</f>
        <v>1853.5981439781629</v>
      </c>
      <c r="AA254" s="88">
        <f>('TE BE'!$AB$5+'TE BF'!$AB$5+'TE CVA'!$AB$5)*1*(1-0.02)</f>
        <v>305.18355336539798</v>
      </c>
      <c r="AB254" s="4">
        <f>$K$254*$V$254</f>
        <v>0</v>
      </c>
      <c r="AC254" s="4">
        <f>$M$254*$W$254</f>
        <v>456.7212864</v>
      </c>
      <c r="AD254" s="4">
        <f>$O$254*$X$254</f>
        <v>77.7462144</v>
      </c>
      <c r="AE254" s="4">
        <f>$K$254*$Y$254</f>
        <v>0</v>
      </c>
      <c r="AF254" s="4">
        <f ca="1">$M$254*$Z$254</f>
        <v>502.32509701808215</v>
      </c>
      <c r="AG254" s="4">
        <f>$O$254*$AA$254</f>
        <v>82.704742962022863</v>
      </c>
    </row>
    <row r="255" spans="1:33" ht="11.25" customHeight="1" x14ac:dyDescent="0.3">
      <c r="A255" s="3" t="s">
        <v>21</v>
      </c>
      <c r="B255" s="3" t="s">
        <v>39</v>
      </c>
      <c r="C255" s="3" t="s">
        <v>40</v>
      </c>
      <c r="D255" s="3" t="s">
        <v>43</v>
      </c>
      <c r="E255" s="3" t="s">
        <v>25</v>
      </c>
      <c r="F255" s="3" t="s">
        <v>25</v>
      </c>
      <c r="G255" s="3" t="s">
        <v>25</v>
      </c>
      <c r="H255" s="3" t="s">
        <v>34</v>
      </c>
      <c r="I255" s="6">
        <v>44621</v>
      </c>
      <c r="J255" s="4">
        <v>0</v>
      </c>
      <c r="K255" s="88">
        <v>0</v>
      </c>
      <c r="L255" s="4">
        <v>2.4649999999999999</v>
      </c>
      <c r="M255" s="88">
        <v>2.4649999999999999</v>
      </c>
      <c r="N255" s="4">
        <v>2.4649999999999999</v>
      </c>
      <c r="O255" s="88">
        <v>2.4649999999999999</v>
      </c>
      <c r="P255" s="4">
        <v>0</v>
      </c>
      <c r="Q255" s="3" t="s">
        <v>26</v>
      </c>
      <c r="R255" s="3">
        <v>0</v>
      </c>
      <c r="S255" s="4">
        <v>0</v>
      </c>
      <c r="T255" s="4">
        <v>10</v>
      </c>
      <c r="U255" s="4">
        <v>51</v>
      </c>
      <c r="V255" s="88">
        <f>IF(ISERROR(VLOOKUP($S$255,'TAR FIN'!$A$1:$O$91,15,0)),0,VLOOKUP($S$255,'TAR FIN'!$A$1:$O$91,15,0))</f>
        <v>0</v>
      </c>
      <c r="W255" s="88">
        <f>IF(ISERROR(VLOOKUP($T$255,'TAR FIN'!$A$1:$O$91,15,0)),0,VLOOKUP($T$255,'TAR FIN'!$A$1:$O$91,15,0))*(1-0.04)</f>
        <v>1685.3183999999999</v>
      </c>
      <c r="X255" s="88">
        <f>IF(ISERROR(VLOOKUP($U$255,'TAR FIN'!$A$1:$O$91,15,0)),0,VLOOKUP($U$255,'TAR FIN'!$A$1:$O$91,15,0))*(1-0.04)</f>
        <v>286.88639999999998</v>
      </c>
      <c r="Y255" s="88"/>
      <c r="Z255" s="88">
        <f ca="1">('TUSD BE'!$AM$14+'TUSD BF'!$AM$14+'TUSD CVA'!$AM$14)*1*(1-0.02)</f>
        <v>1853.5981439781629</v>
      </c>
      <c r="AA255" s="88">
        <f>('TE BE'!$AB$5+'TE BF'!$AB$5+'TE CVA'!$AB$5)*1*(1-0.02)</f>
        <v>305.18355336539798</v>
      </c>
      <c r="AB255" s="4">
        <f>$K$255*$V$255</f>
        <v>0</v>
      </c>
      <c r="AC255" s="4">
        <f>$M$255*$W$255</f>
        <v>4154.3098559999999</v>
      </c>
      <c r="AD255" s="4">
        <f>$O$255*$X$255</f>
        <v>707.1749759999999</v>
      </c>
      <c r="AE255" s="4">
        <f>$K$255*$Y$255</f>
        <v>0</v>
      </c>
      <c r="AF255" s="4">
        <f ca="1">$M$255*$Z$255</f>
        <v>4569.1194249061709</v>
      </c>
      <c r="AG255" s="4">
        <f>$O$255*$AA$255</f>
        <v>752.277459045706</v>
      </c>
    </row>
    <row r="256" spans="1:33" ht="11.25" customHeight="1" x14ac:dyDescent="0.3">
      <c r="A256" s="3" t="s">
        <v>21</v>
      </c>
      <c r="B256" s="3" t="s">
        <v>39</v>
      </c>
      <c r="C256" s="3" t="s">
        <v>40</v>
      </c>
      <c r="D256" s="3" t="s">
        <v>43</v>
      </c>
      <c r="E256" s="3" t="s">
        <v>25</v>
      </c>
      <c r="F256" s="3" t="s">
        <v>25</v>
      </c>
      <c r="G256" s="3" t="s">
        <v>25</v>
      </c>
      <c r="H256" s="3" t="s">
        <v>34</v>
      </c>
      <c r="I256" s="6">
        <v>44652</v>
      </c>
      <c r="J256" s="4">
        <v>0</v>
      </c>
      <c r="K256" s="88">
        <v>0</v>
      </c>
      <c r="L256" s="4">
        <v>2.4</v>
      </c>
      <c r="M256" s="88">
        <v>2.4</v>
      </c>
      <c r="N256" s="4">
        <v>2.4</v>
      </c>
      <c r="O256" s="88">
        <v>2.4</v>
      </c>
      <c r="P256" s="4">
        <v>0</v>
      </c>
      <c r="Q256" s="3" t="s">
        <v>26</v>
      </c>
      <c r="R256" s="3">
        <v>0</v>
      </c>
      <c r="S256" s="4">
        <v>0</v>
      </c>
      <c r="T256" s="4">
        <v>10</v>
      </c>
      <c r="U256" s="4">
        <v>51</v>
      </c>
      <c r="V256" s="88">
        <f>IF(ISERROR(VLOOKUP($S$256,'TAR FIN'!$A$1:$O$91,15,0)),0,VLOOKUP($S$256,'TAR FIN'!$A$1:$O$91,15,0))</f>
        <v>0</v>
      </c>
      <c r="W256" s="88">
        <f>IF(ISERROR(VLOOKUP($T$256,'TAR FIN'!$A$1:$O$91,15,0)),0,VLOOKUP($T$256,'TAR FIN'!$A$1:$O$91,15,0))*(1-0.04)</f>
        <v>1685.3183999999999</v>
      </c>
      <c r="X256" s="88">
        <f>IF(ISERROR(VLOOKUP($U$256,'TAR FIN'!$A$1:$O$91,15,0)),0,VLOOKUP($U$256,'TAR FIN'!$A$1:$O$91,15,0))*(1-0.04)</f>
        <v>286.88639999999998</v>
      </c>
      <c r="Y256" s="88"/>
      <c r="Z256" s="88">
        <f ca="1">('TUSD BE'!$AM$14+'TUSD BF'!$AM$14+'TUSD CVA'!$AM$14)*1*(1-0.02)</f>
        <v>1853.5981439781629</v>
      </c>
      <c r="AA256" s="88">
        <f>('TE BE'!$AB$5+'TE BF'!$AB$5+'TE CVA'!$AB$5)*1*(1-0.02)</f>
        <v>305.18355336539798</v>
      </c>
      <c r="AB256" s="4">
        <f>$K$256*$V$256</f>
        <v>0</v>
      </c>
      <c r="AC256" s="4">
        <f>$M$256*$W$256</f>
        <v>4044.7641599999997</v>
      </c>
      <c r="AD256" s="4">
        <f>$O$256*$X$256</f>
        <v>688.52735999999993</v>
      </c>
      <c r="AE256" s="4">
        <f>$K$256*$Y$256</f>
        <v>0</v>
      </c>
      <c r="AF256" s="4">
        <f ca="1">$M$256*$Z$256</f>
        <v>4448.6355455475905</v>
      </c>
      <c r="AG256" s="4">
        <f>$O$256*$AA$256</f>
        <v>732.44052807695516</v>
      </c>
    </row>
    <row r="257" spans="1:33" ht="11.25" customHeight="1" x14ac:dyDescent="0.3">
      <c r="A257" s="3" t="s">
        <v>21</v>
      </c>
      <c r="B257" s="3" t="s">
        <v>39</v>
      </c>
      <c r="C257" s="3" t="s">
        <v>40</v>
      </c>
      <c r="D257" s="3" t="s">
        <v>43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44682</v>
      </c>
      <c r="J257" s="4">
        <v>0</v>
      </c>
      <c r="K257" s="88">
        <v>0</v>
      </c>
      <c r="L257" s="4">
        <v>1.9390000000000001</v>
      </c>
      <c r="M257" s="88">
        <v>1.9390000000000001</v>
      </c>
      <c r="N257" s="4">
        <v>1.9390000000000001</v>
      </c>
      <c r="O257" s="88">
        <v>1.9390000000000001</v>
      </c>
      <c r="P257" s="4">
        <v>0</v>
      </c>
      <c r="Q257" s="3" t="s">
        <v>26</v>
      </c>
      <c r="R257" s="3">
        <v>0</v>
      </c>
      <c r="S257" s="4">
        <v>0</v>
      </c>
      <c r="T257" s="4">
        <v>10</v>
      </c>
      <c r="U257" s="4">
        <v>51</v>
      </c>
      <c r="V257" s="88">
        <f>IF(ISERROR(VLOOKUP($S$257,'TAR FIN'!$A$1:$O$91,15,0)),0,VLOOKUP($S$257,'TAR FIN'!$A$1:$O$91,15,0))</f>
        <v>0</v>
      </c>
      <c r="W257" s="88">
        <f>IF(ISERROR(VLOOKUP($T$257,'TAR FIN'!$A$1:$O$91,15,0)),0,VLOOKUP($T$257,'TAR FIN'!$A$1:$O$91,15,0))*(1-0.04)</f>
        <v>1685.3183999999999</v>
      </c>
      <c r="X257" s="88">
        <f>IF(ISERROR(VLOOKUP($U$257,'TAR FIN'!$A$1:$O$91,15,0)),0,VLOOKUP($U$257,'TAR FIN'!$A$1:$O$91,15,0))*(1-0.04)</f>
        <v>286.88639999999998</v>
      </c>
      <c r="Y257" s="88"/>
      <c r="Z257" s="88">
        <f ca="1">('TUSD BE'!$AM$14+'TUSD BF'!$AM$14+'TUSD CVA'!$AM$14)*1*(1-0.02)</f>
        <v>1853.5981439781629</v>
      </c>
      <c r="AA257" s="88">
        <f>('TE BE'!$AB$5+'TE BF'!$AB$5+'TE CVA'!$AB$5)*1*(1-0.02)</f>
        <v>305.18355336539798</v>
      </c>
      <c r="AB257" s="4">
        <f>$K$257*$V$257</f>
        <v>0</v>
      </c>
      <c r="AC257" s="4">
        <f>$M$257*$W$257</f>
        <v>3267.8323775999997</v>
      </c>
      <c r="AD257" s="4">
        <f>$O$257*$X$257</f>
        <v>556.27272959999993</v>
      </c>
      <c r="AE257" s="4">
        <f>$K$257*$Y$257</f>
        <v>0</v>
      </c>
      <c r="AF257" s="4">
        <f ca="1">$M$257*$Z$257</f>
        <v>3594.1268011736579</v>
      </c>
      <c r="AG257" s="4">
        <f>$O$257*$AA$257</f>
        <v>591.75090997550672</v>
      </c>
    </row>
    <row r="258" spans="1:33" ht="11.25" customHeight="1" x14ac:dyDescent="0.3">
      <c r="A258" s="3" t="s">
        <v>21</v>
      </c>
      <c r="B258" s="3" t="s">
        <v>39</v>
      </c>
      <c r="C258" s="3" t="s">
        <v>40</v>
      </c>
      <c r="D258" s="3" t="s">
        <v>43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44713</v>
      </c>
      <c r="J258" s="4">
        <v>0</v>
      </c>
      <c r="K258" s="88">
        <v>0</v>
      </c>
      <c r="L258" s="4">
        <v>1.1779999999999999</v>
      </c>
      <c r="M258" s="88">
        <v>1.1779999999999999</v>
      </c>
      <c r="N258" s="4">
        <v>1.1779999999999999</v>
      </c>
      <c r="O258" s="88">
        <v>1.1779999999999999</v>
      </c>
      <c r="P258" s="4">
        <v>0</v>
      </c>
      <c r="Q258" s="3" t="s">
        <v>26</v>
      </c>
      <c r="R258" s="3">
        <v>0</v>
      </c>
      <c r="S258" s="4">
        <v>0</v>
      </c>
      <c r="T258" s="4">
        <v>10</v>
      </c>
      <c r="U258" s="4">
        <v>51</v>
      </c>
      <c r="V258" s="88">
        <f>IF(ISERROR(VLOOKUP($S$258,'TAR FIN'!$A$1:$O$91,15,0)),0,VLOOKUP($S$258,'TAR FIN'!$A$1:$O$91,15,0))</f>
        <v>0</v>
      </c>
      <c r="W258" s="88">
        <f>IF(ISERROR(VLOOKUP($T$258,'TAR FIN'!$A$1:$O$91,15,0)),0,VLOOKUP($T$258,'TAR FIN'!$A$1:$O$91,15,0))*(1-0.04)</f>
        <v>1685.3183999999999</v>
      </c>
      <c r="X258" s="88">
        <f>IF(ISERROR(VLOOKUP($U$258,'TAR FIN'!$A$1:$O$91,15,0)),0,VLOOKUP($U$258,'TAR FIN'!$A$1:$O$91,15,0))*(1-0.04)</f>
        <v>286.88639999999998</v>
      </c>
      <c r="Y258" s="88"/>
      <c r="Z258" s="88">
        <f ca="1">('TUSD BE'!$AM$14+'TUSD BF'!$AM$14+'TUSD CVA'!$AM$14)*1*(1-0.02)</f>
        <v>1853.5981439781629</v>
      </c>
      <c r="AA258" s="88">
        <f>('TE BE'!$AB$5+'TE BF'!$AB$5+'TE CVA'!$AB$5)*1*(1-0.02)</f>
        <v>305.18355336539798</v>
      </c>
      <c r="AB258" s="4">
        <f>$K$258*$V$258</f>
        <v>0</v>
      </c>
      <c r="AC258" s="4">
        <f>$M$258*$W$258</f>
        <v>1985.3050751999997</v>
      </c>
      <c r="AD258" s="4">
        <f>$O$258*$X$258</f>
        <v>337.95217919999993</v>
      </c>
      <c r="AE258" s="4">
        <f>$K$258*$Y$258</f>
        <v>0</v>
      </c>
      <c r="AF258" s="4">
        <f ca="1">$M$258*$Z$258</f>
        <v>2183.5386136062757</v>
      </c>
      <c r="AG258" s="4">
        <f>$O$258*$AA$258</f>
        <v>359.50622586443882</v>
      </c>
    </row>
    <row r="259" spans="1:33" ht="11.25" customHeight="1" x14ac:dyDescent="0.3">
      <c r="A259" s="3" t="s">
        <v>21</v>
      </c>
      <c r="B259" s="3" t="s">
        <v>22</v>
      </c>
      <c r="C259" s="3" t="s">
        <v>33</v>
      </c>
      <c r="D259" s="3" t="s">
        <v>24</v>
      </c>
      <c r="E259" s="3" t="s">
        <v>24</v>
      </c>
      <c r="F259" s="3" t="s">
        <v>25</v>
      </c>
      <c r="G259" s="3" t="s">
        <v>25</v>
      </c>
      <c r="H259" s="3" t="s">
        <v>35</v>
      </c>
      <c r="I259" s="6">
        <v>44378</v>
      </c>
      <c r="J259" s="4">
        <v>0</v>
      </c>
      <c r="K259" s="4">
        <v>0</v>
      </c>
      <c r="L259" s="4">
        <v>0.318</v>
      </c>
      <c r="M259" s="4">
        <v>0.318</v>
      </c>
      <c r="N259" s="4">
        <v>0.318</v>
      </c>
      <c r="O259" s="4">
        <v>0.318</v>
      </c>
      <c r="P259" s="4">
        <v>0</v>
      </c>
      <c r="Q259" s="3" t="s">
        <v>26</v>
      </c>
      <c r="R259" s="3">
        <v>0</v>
      </c>
      <c r="S259" s="4">
        <v>0</v>
      </c>
      <c r="T259" s="4">
        <v>18</v>
      </c>
      <c r="U259" s="4">
        <v>58</v>
      </c>
      <c r="V259" s="4">
        <f>IF(ISERROR(VLOOKUP($S$259,'TAR FIN'!$A$1:$O$91,15,0)),0,VLOOKUP($S$259,'TAR FIN'!$A$1:$O$91,15,0))</f>
        <v>0</v>
      </c>
      <c r="W259" s="4">
        <f>IF(ISERROR(VLOOKUP($T$259,'TAR FIN'!$A$1:$O$91,15,0)),0,VLOOKUP($T$259,'TAR FIN'!$A$1:$O$91,15,0))</f>
        <v>271.08</v>
      </c>
      <c r="X259" s="4">
        <f>IF(ISERROR(VLOOKUP($U$259,'TAR FIN'!$A$1:$O$91,15,0)),0,VLOOKUP($U$259,'TAR FIN'!$A$1:$O$91,15,0))</f>
        <v>189.96</v>
      </c>
      <c r="Y259" s="4"/>
      <c r="Z259" s="4">
        <f ca="1">('TUSD BE'!$AM$22+'TUSD BF'!$AM$22+'TUSD CVA'!$AM$22)*1</f>
        <v>318.93064710349933</v>
      </c>
      <c r="AA259" s="4">
        <f>('TE BE'!$AB$13+'TE BF'!$AB$13+'TE CVA'!$AB$13)*1</f>
        <v>195.89707226799715</v>
      </c>
      <c r="AB259" s="4">
        <f>$K$259*$V$259</f>
        <v>0</v>
      </c>
      <c r="AC259" s="4">
        <f>$M$259*$W$259</f>
        <v>86.203440000000001</v>
      </c>
      <c r="AD259" s="4">
        <f>$O$259*$X$259</f>
        <v>60.40728</v>
      </c>
      <c r="AE259" s="4">
        <f>$K$259*$Y$259</f>
        <v>0</v>
      </c>
      <c r="AF259" s="4">
        <f ca="1">$M$259*$Z$259</f>
        <v>101.41994577891279</v>
      </c>
      <c r="AG259" s="4">
        <f>$O$259*$AA$259</f>
        <v>62.295268981223096</v>
      </c>
    </row>
    <row r="260" spans="1:33" ht="11.25" customHeight="1" x14ac:dyDescent="0.3">
      <c r="A260" s="3" t="s">
        <v>21</v>
      </c>
      <c r="B260" s="3" t="s">
        <v>22</v>
      </c>
      <c r="C260" s="3" t="s">
        <v>33</v>
      </c>
      <c r="D260" s="3" t="s">
        <v>24</v>
      </c>
      <c r="E260" s="3" t="s">
        <v>24</v>
      </c>
      <c r="F260" s="3" t="s">
        <v>25</v>
      </c>
      <c r="G260" s="3" t="s">
        <v>25</v>
      </c>
      <c r="H260" s="3" t="s">
        <v>35</v>
      </c>
      <c r="I260" s="6">
        <v>44409</v>
      </c>
      <c r="J260" s="4">
        <v>0</v>
      </c>
      <c r="K260" s="4">
        <v>0</v>
      </c>
      <c r="L260" s="4">
        <v>0.35799999999999998</v>
      </c>
      <c r="M260" s="4">
        <v>0.35799999999999998</v>
      </c>
      <c r="N260" s="4">
        <v>0.35799999999999998</v>
      </c>
      <c r="O260" s="4">
        <v>0.35799999999999998</v>
      </c>
      <c r="P260" s="4">
        <v>0</v>
      </c>
      <c r="Q260" s="3" t="s">
        <v>26</v>
      </c>
      <c r="R260" s="3">
        <v>0</v>
      </c>
      <c r="S260" s="4">
        <v>0</v>
      </c>
      <c r="T260" s="4">
        <v>18</v>
      </c>
      <c r="U260" s="4">
        <v>58</v>
      </c>
      <c r="V260" s="4">
        <f>IF(ISERROR(VLOOKUP($S$260,'TAR FIN'!$A$1:$O$91,15,0)),0,VLOOKUP($S$260,'TAR FIN'!$A$1:$O$91,15,0))</f>
        <v>0</v>
      </c>
      <c r="W260" s="4">
        <f>IF(ISERROR(VLOOKUP($T$260,'TAR FIN'!$A$1:$O$91,15,0)),0,VLOOKUP($T$260,'TAR FIN'!$A$1:$O$91,15,0))</f>
        <v>271.08</v>
      </c>
      <c r="X260" s="4">
        <f>IF(ISERROR(VLOOKUP($U$260,'TAR FIN'!$A$1:$O$91,15,0)),0,VLOOKUP($U$260,'TAR FIN'!$A$1:$O$91,15,0))</f>
        <v>189.96</v>
      </c>
      <c r="Y260" s="4"/>
      <c r="Z260" s="4">
        <f ca="1">('TUSD BE'!$AM$22+'TUSD BF'!$AM$22+'TUSD CVA'!$AM$22)*1</f>
        <v>318.93064710349933</v>
      </c>
      <c r="AA260" s="4">
        <f>('TE BE'!$AB$13+'TE BF'!$AB$13+'TE CVA'!$AB$13)*1</f>
        <v>195.89707226799715</v>
      </c>
      <c r="AB260" s="4">
        <f>$K$260*$V$260</f>
        <v>0</v>
      </c>
      <c r="AC260" s="4">
        <f>$M$260*$W$260</f>
        <v>97.046639999999996</v>
      </c>
      <c r="AD260" s="4">
        <f>$O$260*$X$260</f>
        <v>68.005679999999998</v>
      </c>
      <c r="AE260" s="4">
        <f>$K$260*$Y$260</f>
        <v>0</v>
      </c>
      <c r="AF260" s="4">
        <f ca="1">$M$260*$Z$260</f>
        <v>114.17717166305276</v>
      </c>
      <c r="AG260" s="4">
        <f>$O$260*$AA$260</f>
        <v>70.131151871942976</v>
      </c>
    </row>
    <row r="261" spans="1:33" ht="11.25" customHeight="1" x14ac:dyDescent="0.3">
      <c r="A261" s="3" t="s">
        <v>21</v>
      </c>
      <c r="B261" s="3" t="s">
        <v>22</v>
      </c>
      <c r="C261" s="3" t="s">
        <v>33</v>
      </c>
      <c r="D261" s="3" t="s">
        <v>24</v>
      </c>
      <c r="E261" s="3" t="s">
        <v>24</v>
      </c>
      <c r="F261" s="3" t="s">
        <v>25</v>
      </c>
      <c r="G261" s="3" t="s">
        <v>25</v>
      </c>
      <c r="H261" s="3" t="s">
        <v>35</v>
      </c>
      <c r="I261" s="6">
        <v>44440</v>
      </c>
      <c r="J261" s="4">
        <v>0</v>
      </c>
      <c r="K261" s="4">
        <v>0</v>
      </c>
      <c r="L261" s="4">
        <v>0.37</v>
      </c>
      <c r="M261" s="4">
        <v>0.37</v>
      </c>
      <c r="N261" s="4">
        <v>0.37</v>
      </c>
      <c r="O261" s="4">
        <v>0.37</v>
      </c>
      <c r="P261" s="4">
        <v>0</v>
      </c>
      <c r="Q261" s="3" t="s">
        <v>26</v>
      </c>
      <c r="R261" s="3">
        <v>0</v>
      </c>
      <c r="S261" s="4">
        <v>0</v>
      </c>
      <c r="T261" s="4">
        <v>18</v>
      </c>
      <c r="U261" s="4">
        <v>58</v>
      </c>
      <c r="V261" s="4">
        <f>IF(ISERROR(VLOOKUP($S$261,'TAR FIN'!$A$1:$O$91,15,0)),0,VLOOKUP($S$261,'TAR FIN'!$A$1:$O$91,15,0))</f>
        <v>0</v>
      </c>
      <c r="W261" s="4">
        <f>IF(ISERROR(VLOOKUP($T$261,'TAR FIN'!$A$1:$O$91,15,0)),0,VLOOKUP($T$261,'TAR FIN'!$A$1:$O$91,15,0))</f>
        <v>271.08</v>
      </c>
      <c r="X261" s="4">
        <f>IF(ISERROR(VLOOKUP($U$261,'TAR FIN'!$A$1:$O$91,15,0)),0,VLOOKUP($U$261,'TAR FIN'!$A$1:$O$91,15,0))</f>
        <v>189.96</v>
      </c>
      <c r="Y261" s="4"/>
      <c r="Z261" s="4">
        <f ca="1">('TUSD BE'!$AM$22+'TUSD BF'!$AM$22+'TUSD CVA'!$AM$22)*1</f>
        <v>318.93064710349933</v>
      </c>
      <c r="AA261" s="4">
        <f>('TE BE'!$AB$13+'TE BF'!$AB$13+'TE CVA'!$AB$13)*1</f>
        <v>195.89707226799715</v>
      </c>
      <c r="AB261" s="4">
        <f>$K$261*$V$261</f>
        <v>0</v>
      </c>
      <c r="AC261" s="4">
        <f>$M$261*$W$261</f>
        <v>100.2996</v>
      </c>
      <c r="AD261" s="4">
        <f>$O$261*$X$261</f>
        <v>70.285200000000003</v>
      </c>
      <c r="AE261" s="4">
        <f>$K$261*$Y$261</f>
        <v>0</v>
      </c>
      <c r="AF261" s="4">
        <f ca="1">$M$261*$Z$261</f>
        <v>118.00433942829476</v>
      </c>
      <c r="AG261" s="4">
        <f>$O$261*$AA$261</f>
        <v>72.481916739158947</v>
      </c>
    </row>
    <row r="262" spans="1:33" ht="11.25" customHeight="1" x14ac:dyDescent="0.3">
      <c r="A262" s="3" t="s">
        <v>21</v>
      </c>
      <c r="B262" s="3" t="s">
        <v>22</v>
      </c>
      <c r="C262" s="3" t="s">
        <v>33</v>
      </c>
      <c r="D262" s="3" t="s">
        <v>24</v>
      </c>
      <c r="E262" s="3" t="s">
        <v>24</v>
      </c>
      <c r="F262" s="3" t="s">
        <v>25</v>
      </c>
      <c r="G262" s="3" t="s">
        <v>25</v>
      </c>
      <c r="H262" s="3" t="s">
        <v>35</v>
      </c>
      <c r="I262" s="6">
        <v>44470</v>
      </c>
      <c r="J262" s="4">
        <v>0</v>
      </c>
      <c r="K262" s="4">
        <v>0</v>
      </c>
      <c r="L262" s="4">
        <v>0.378</v>
      </c>
      <c r="M262" s="4">
        <v>0.378</v>
      </c>
      <c r="N262" s="4">
        <v>0.378</v>
      </c>
      <c r="O262" s="4">
        <v>0.378</v>
      </c>
      <c r="P262" s="4">
        <v>0</v>
      </c>
      <c r="Q262" s="3" t="s">
        <v>26</v>
      </c>
      <c r="R262" s="3">
        <v>0</v>
      </c>
      <c r="S262" s="4">
        <v>0</v>
      </c>
      <c r="T262" s="4">
        <v>18</v>
      </c>
      <c r="U262" s="4">
        <v>58</v>
      </c>
      <c r="V262" s="4">
        <f>IF(ISERROR(VLOOKUP($S$262,'TAR FIN'!$A$1:$O$91,15,0)),0,VLOOKUP($S$262,'TAR FIN'!$A$1:$O$91,15,0))</f>
        <v>0</v>
      </c>
      <c r="W262" s="4">
        <f>IF(ISERROR(VLOOKUP($T$262,'TAR FIN'!$A$1:$O$91,15,0)),0,VLOOKUP($T$262,'TAR FIN'!$A$1:$O$91,15,0))</f>
        <v>271.08</v>
      </c>
      <c r="X262" s="4">
        <f>IF(ISERROR(VLOOKUP($U$262,'TAR FIN'!$A$1:$O$91,15,0)),0,VLOOKUP($U$262,'TAR FIN'!$A$1:$O$91,15,0))</f>
        <v>189.96</v>
      </c>
      <c r="Y262" s="4"/>
      <c r="Z262" s="4">
        <f ca="1">('TUSD BE'!$AM$22+'TUSD BF'!$AM$22+'TUSD CVA'!$AM$22)*1</f>
        <v>318.93064710349933</v>
      </c>
      <c r="AA262" s="4">
        <f>('TE BE'!$AB$13+'TE BF'!$AB$13+'TE CVA'!$AB$13)*1</f>
        <v>195.89707226799715</v>
      </c>
      <c r="AB262" s="4">
        <f>$K$262*$V$262</f>
        <v>0</v>
      </c>
      <c r="AC262" s="4">
        <f>$M$262*$W$262</f>
        <v>102.46823999999999</v>
      </c>
      <c r="AD262" s="4">
        <f>$O$262*$X$262</f>
        <v>71.804879999999997</v>
      </c>
      <c r="AE262" s="4">
        <f>$K$262*$Y$262</f>
        <v>0</v>
      </c>
      <c r="AF262" s="4">
        <f ca="1">$M$262*$Z$262</f>
        <v>120.55578460512274</v>
      </c>
      <c r="AG262" s="4">
        <f>$O$262*$AA$262</f>
        <v>74.049093317302919</v>
      </c>
    </row>
    <row r="263" spans="1:33" ht="11.25" customHeight="1" x14ac:dyDescent="0.3">
      <c r="A263" s="3" t="s">
        <v>21</v>
      </c>
      <c r="B263" s="3" t="s">
        <v>22</v>
      </c>
      <c r="C263" s="3" t="s">
        <v>33</v>
      </c>
      <c r="D263" s="3" t="s">
        <v>24</v>
      </c>
      <c r="E263" s="3" t="s">
        <v>24</v>
      </c>
      <c r="F263" s="3" t="s">
        <v>25</v>
      </c>
      <c r="G263" s="3" t="s">
        <v>25</v>
      </c>
      <c r="H263" s="3" t="s">
        <v>35</v>
      </c>
      <c r="I263" s="6">
        <v>44501</v>
      </c>
      <c r="J263" s="4">
        <v>0</v>
      </c>
      <c r="K263" s="4">
        <v>0</v>
      </c>
      <c r="L263" s="4">
        <v>0.49199999999999999</v>
      </c>
      <c r="M263" s="4">
        <v>0.49199999999999999</v>
      </c>
      <c r="N263" s="4">
        <v>0.49199999999999999</v>
      </c>
      <c r="O263" s="4">
        <v>0.49199999999999999</v>
      </c>
      <c r="P263" s="4">
        <v>0</v>
      </c>
      <c r="Q263" s="3" t="s">
        <v>26</v>
      </c>
      <c r="R263" s="3">
        <v>0</v>
      </c>
      <c r="S263" s="4">
        <v>0</v>
      </c>
      <c r="T263" s="4">
        <v>18</v>
      </c>
      <c r="U263" s="4">
        <v>58</v>
      </c>
      <c r="V263" s="4">
        <f>IF(ISERROR(VLOOKUP($S$263,'TAR FIN'!$A$1:$O$91,15,0)),0,VLOOKUP($S$263,'TAR FIN'!$A$1:$O$91,15,0))</f>
        <v>0</v>
      </c>
      <c r="W263" s="4">
        <f>IF(ISERROR(VLOOKUP($T$263,'TAR FIN'!$A$1:$O$91,15,0)),0,VLOOKUP($T$263,'TAR FIN'!$A$1:$O$91,15,0))</f>
        <v>271.08</v>
      </c>
      <c r="X263" s="4">
        <f>IF(ISERROR(VLOOKUP($U$263,'TAR FIN'!$A$1:$O$91,15,0)),0,VLOOKUP($U$263,'TAR FIN'!$A$1:$O$91,15,0))</f>
        <v>189.96</v>
      </c>
      <c r="Y263" s="4"/>
      <c r="Z263" s="4">
        <f ca="1">('TUSD BE'!$AM$22+'TUSD BF'!$AM$22+'TUSD CVA'!$AM$22)*1</f>
        <v>318.93064710349933</v>
      </c>
      <c r="AA263" s="4">
        <f>('TE BE'!$AB$13+'TE BF'!$AB$13+'TE CVA'!$AB$13)*1</f>
        <v>195.89707226799715</v>
      </c>
      <c r="AB263" s="4">
        <f>$K$263*$V$263</f>
        <v>0</v>
      </c>
      <c r="AC263" s="4">
        <f>$M$263*$W$263</f>
        <v>133.37135999999998</v>
      </c>
      <c r="AD263" s="4">
        <f>$O$263*$X$263</f>
        <v>93.460319999999996</v>
      </c>
      <c r="AE263" s="4">
        <f>$K$263*$Y$263</f>
        <v>0</v>
      </c>
      <c r="AF263" s="4">
        <f ca="1">$M$263*$Z$263</f>
        <v>156.91387837492167</v>
      </c>
      <c r="AG263" s="4">
        <f>$O$263*$AA$263</f>
        <v>96.381359555854601</v>
      </c>
    </row>
    <row r="264" spans="1:33" ht="11.25" customHeight="1" x14ac:dyDescent="0.3">
      <c r="A264" s="3" t="s">
        <v>21</v>
      </c>
      <c r="B264" s="3" t="s">
        <v>22</v>
      </c>
      <c r="C264" s="3" t="s">
        <v>33</v>
      </c>
      <c r="D264" s="3" t="s">
        <v>24</v>
      </c>
      <c r="E264" s="3" t="s">
        <v>24</v>
      </c>
      <c r="F264" s="3" t="s">
        <v>25</v>
      </c>
      <c r="G264" s="3" t="s">
        <v>25</v>
      </c>
      <c r="H264" s="3" t="s">
        <v>35</v>
      </c>
      <c r="I264" s="6">
        <v>44531</v>
      </c>
      <c r="J264" s="4">
        <v>0</v>
      </c>
      <c r="K264" s="4">
        <v>0</v>
      </c>
      <c r="L264" s="4">
        <v>0.54100000000000004</v>
      </c>
      <c r="M264" s="4">
        <v>0.54100000000000004</v>
      </c>
      <c r="N264" s="4">
        <v>0.54100000000000004</v>
      </c>
      <c r="O264" s="4">
        <v>0.54100000000000004</v>
      </c>
      <c r="P264" s="4">
        <v>0</v>
      </c>
      <c r="Q264" s="3" t="s">
        <v>26</v>
      </c>
      <c r="R264" s="3">
        <v>0</v>
      </c>
      <c r="S264" s="4">
        <v>0</v>
      </c>
      <c r="T264" s="4">
        <v>18</v>
      </c>
      <c r="U264" s="4">
        <v>58</v>
      </c>
      <c r="V264" s="4">
        <f>IF(ISERROR(VLOOKUP($S$264,'TAR FIN'!$A$1:$O$91,15,0)),0,VLOOKUP($S$264,'TAR FIN'!$A$1:$O$91,15,0))</f>
        <v>0</v>
      </c>
      <c r="W264" s="4">
        <f>IF(ISERROR(VLOOKUP($T$264,'TAR FIN'!$A$1:$O$91,15,0)),0,VLOOKUP($T$264,'TAR FIN'!$A$1:$O$91,15,0))</f>
        <v>271.08</v>
      </c>
      <c r="X264" s="4">
        <f>IF(ISERROR(VLOOKUP($U$264,'TAR FIN'!$A$1:$O$91,15,0)),0,VLOOKUP($U$264,'TAR FIN'!$A$1:$O$91,15,0))</f>
        <v>189.96</v>
      </c>
      <c r="Y264" s="4"/>
      <c r="Z264" s="4">
        <f ca="1">('TUSD BE'!$AM$22+'TUSD BF'!$AM$22+'TUSD CVA'!$AM$22)*1</f>
        <v>318.93064710349933</v>
      </c>
      <c r="AA264" s="4">
        <f>('TE BE'!$AB$13+'TE BF'!$AB$13+'TE CVA'!$AB$13)*1</f>
        <v>195.89707226799715</v>
      </c>
      <c r="AB264" s="4">
        <f>$K$264*$V$264</f>
        <v>0</v>
      </c>
      <c r="AC264" s="4">
        <f>$M$264*$W$264</f>
        <v>146.65428</v>
      </c>
      <c r="AD264" s="4">
        <f>$O$264*$X$264</f>
        <v>102.76836000000002</v>
      </c>
      <c r="AE264" s="4">
        <f>$K$264*$Y$264</f>
        <v>0</v>
      </c>
      <c r="AF264" s="4">
        <f ca="1">$M$264*$Z$264</f>
        <v>172.54148008299313</v>
      </c>
      <c r="AG264" s="4">
        <f>$O$264*$AA$264</f>
        <v>105.98031609698646</v>
      </c>
    </row>
    <row r="265" spans="1:33" ht="11.25" customHeight="1" x14ac:dyDescent="0.3">
      <c r="A265" s="3" t="s">
        <v>21</v>
      </c>
      <c r="B265" s="3" t="s">
        <v>22</v>
      </c>
      <c r="C265" s="3" t="s">
        <v>33</v>
      </c>
      <c r="D265" s="3" t="s">
        <v>24</v>
      </c>
      <c r="E265" s="3" t="s">
        <v>24</v>
      </c>
      <c r="F265" s="3" t="s">
        <v>25</v>
      </c>
      <c r="G265" s="3" t="s">
        <v>25</v>
      </c>
      <c r="H265" s="3" t="s">
        <v>35</v>
      </c>
      <c r="I265" s="6">
        <v>44562</v>
      </c>
      <c r="J265" s="4">
        <v>0</v>
      </c>
      <c r="K265" s="4">
        <v>0</v>
      </c>
      <c r="L265" s="4">
        <v>0.66900000000000004</v>
      </c>
      <c r="M265" s="4">
        <v>0.66900000000000004</v>
      </c>
      <c r="N265" s="4">
        <v>0.66900000000000004</v>
      </c>
      <c r="O265" s="4">
        <v>0.66900000000000004</v>
      </c>
      <c r="P265" s="4">
        <v>0</v>
      </c>
      <c r="Q265" s="3" t="s">
        <v>26</v>
      </c>
      <c r="R265" s="3">
        <v>0</v>
      </c>
      <c r="S265" s="4">
        <v>0</v>
      </c>
      <c r="T265" s="4">
        <v>18</v>
      </c>
      <c r="U265" s="4">
        <v>58</v>
      </c>
      <c r="V265" s="4">
        <f>IF(ISERROR(VLOOKUP($S$265,'TAR FIN'!$A$1:$O$91,15,0)),0,VLOOKUP($S$265,'TAR FIN'!$A$1:$O$91,15,0))</f>
        <v>0</v>
      </c>
      <c r="W265" s="4">
        <f>IF(ISERROR(VLOOKUP($T$265,'TAR FIN'!$A$1:$O$91,15,0)),0,VLOOKUP($T$265,'TAR FIN'!$A$1:$O$91,15,0))</f>
        <v>271.08</v>
      </c>
      <c r="X265" s="4">
        <f>IF(ISERROR(VLOOKUP($U$265,'TAR FIN'!$A$1:$O$91,15,0)),0,VLOOKUP($U$265,'TAR FIN'!$A$1:$O$91,15,0))</f>
        <v>189.96</v>
      </c>
      <c r="Y265" s="4"/>
      <c r="Z265" s="4">
        <f ca="1">('TUSD BE'!$AM$22+'TUSD BF'!$AM$22+'TUSD CVA'!$AM$22)*1</f>
        <v>318.93064710349933</v>
      </c>
      <c r="AA265" s="4">
        <f>('TE BE'!$AB$13+'TE BF'!$AB$13+'TE CVA'!$AB$13)*1</f>
        <v>195.89707226799715</v>
      </c>
      <c r="AB265" s="4">
        <f>$K$265*$V$265</f>
        <v>0</v>
      </c>
      <c r="AC265" s="4">
        <f>$M$265*$W$265</f>
        <v>181.35252</v>
      </c>
      <c r="AD265" s="4">
        <f>$O$265*$X$265</f>
        <v>127.08324000000002</v>
      </c>
      <c r="AE265" s="4">
        <f>$K$265*$Y$265</f>
        <v>0</v>
      </c>
      <c r="AF265" s="4">
        <f ca="1">$M$265*$Z$265</f>
        <v>213.36460291224105</v>
      </c>
      <c r="AG265" s="4">
        <f>$O$265*$AA$265</f>
        <v>131.05514134729009</v>
      </c>
    </row>
    <row r="266" spans="1:33" ht="11.25" customHeight="1" x14ac:dyDescent="0.3">
      <c r="A266" s="3" t="s">
        <v>21</v>
      </c>
      <c r="B266" s="3" t="s">
        <v>22</v>
      </c>
      <c r="C266" s="3" t="s">
        <v>33</v>
      </c>
      <c r="D266" s="3" t="s">
        <v>24</v>
      </c>
      <c r="E266" s="3" t="s">
        <v>24</v>
      </c>
      <c r="F266" s="3" t="s">
        <v>25</v>
      </c>
      <c r="G266" s="3" t="s">
        <v>25</v>
      </c>
      <c r="H266" s="3" t="s">
        <v>35</v>
      </c>
      <c r="I266" s="6">
        <v>44593</v>
      </c>
      <c r="J266" s="4">
        <v>0</v>
      </c>
      <c r="K266" s="4">
        <v>0</v>
      </c>
      <c r="L266" s="4">
        <v>0.77100000000000002</v>
      </c>
      <c r="M266" s="4">
        <v>0.77100000000000002</v>
      </c>
      <c r="N266" s="4">
        <v>0.77100000000000002</v>
      </c>
      <c r="O266" s="4">
        <v>0.77100000000000002</v>
      </c>
      <c r="P266" s="4">
        <v>0</v>
      </c>
      <c r="Q266" s="3" t="s">
        <v>26</v>
      </c>
      <c r="R266" s="3">
        <v>0</v>
      </c>
      <c r="S266" s="4">
        <v>0</v>
      </c>
      <c r="T266" s="4">
        <v>18</v>
      </c>
      <c r="U266" s="4">
        <v>58</v>
      </c>
      <c r="V266" s="4">
        <f>IF(ISERROR(VLOOKUP($S$266,'TAR FIN'!$A$1:$O$91,15,0)),0,VLOOKUP($S$266,'TAR FIN'!$A$1:$O$91,15,0))</f>
        <v>0</v>
      </c>
      <c r="W266" s="4">
        <f>IF(ISERROR(VLOOKUP($T$266,'TAR FIN'!$A$1:$O$91,15,0)),0,VLOOKUP($T$266,'TAR FIN'!$A$1:$O$91,15,0))</f>
        <v>271.08</v>
      </c>
      <c r="X266" s="4">
        <f>IF(ISERROR(VLOOKUP($U$266,'TAR FIN'!$A$1:$O$91,15,0)),0,VLOOKUP($U$266,'TAR FIN'!$A$1:$O$91,15,0))</f>
        <v>189.96</v>
      </c>
      <c r="Y266" s="4"/>
      <c r="Z266" s="4">
        <f ca="1">('TUSD BE'!$AM$22+'TUSD BF'!$AM$22+'TUSD CVA'!$AM$22)*1</f>
        <v>318.93064710349933</v>
      </c>
      <c r="AA266" s="4">
        <f>('TE BE'!$AB$13+'TE BF'!$AB$13+'TE CVA'!$AB$13)*1</f>
        <v>195.89707226799715</v>
      </c>
      <c r="AB266" s="4">
        <f>$K$266*$V$266</f>
        <v>0</v>
      </c>
      <c r="AC266" s="4">
        <f>$M$266*$W$266</f>
        <v>209.00268</v>
      </c>
      <c r="AD266" s="4">
        <f>$O$266*$X$266</f>
        <v>146.45916</v>
      </c>
      <c r="AE266" s="4">
        <f>$K$266*$Y$266</f>
        <v>0</v>
      </c>
      <c r="AF266" s="4">
        <f ca="1">$M$266*$Z$266</f>
        <v>245.89552891679799</v>
      </c>
      <c r="AG266" s="4">
        <f>$O$266*$AA$266</f>
        <v>151.03664271862581</v>
      </c>
    </row>
    <row r="267" spans="1:33" ht="11.25" customHeight="1" x14ac:dyDescent="0.3">
      <c r="A267" s="3" t="s">
        <v>21</v>
      </c>
      <c r="B267" s="3" t="s">
        <v>22</v>
      </c>
      <c r="C267" s="3" t="s">
        <v>33</v>
      </c>
      <c r="D267" s="3" t="s">
        <v>24</v>
      </c>
      <c r="E267" s="3" t="s">
        <v>24</v>
      </c>
      <c r="F267" s="3" t="s">
        <v>25</v>
      </c>
      <c r="G267" s="3" t="s">
        <v>25</v>
      </c>
      <c r="H267" s="3" t="s">
        <v>35</v>
      </c>
      <c r="I267" s="6">
        <v>44621</v>
      </c>
      <c r="J267" s="4">
        <v>0</v>
      </c>
      <c r="K267" s="4">
        <v>0</v>
      </c>
      <c r="L267" s="4">
        <v>0.61899999999999999</v>
      </c>
      <c r="M267" s="4">
        <v>0.61899999999999999</v>
      </c>
      <c r="N267" s="4">
        <v>0.61899999999999999</v>
      </c>
      <c r="O267" s="4">
        <v>0.61899999999999999</v>
      </c>
      <c r="P267" s="4">
        <v>0</v>
      </c>
      <c r="Q267" s="3" t="s">
        <v>26</v>
      </c>
      <c r="R267" s="3">
        <v>0</v>
      </c>
      <c r="S267" s="4">
        <v>0</v>
      </c>
      <c r="T267" s="4">
        <v>18</v>
      </c>
      <c r="U267" s="4">
        <v>58</v>
      </c>
      <c r="V267" s="4">
        <f>IF(ISERROR(VLOOKUP($S$267,'TAR FIN'!$A$1:$O$91,15,0)),0,VLOOKUP($S$267,'TAR FIN'!$A$1:$O$91,15,0))</f>
        <v>0</v>
      </c>
      <c r="W267" s="4">
        <f>IF(ISERROR(VLOOKUP($T$267,'TAR FIN'!$A$1:$O$91,15,0)),0,VLOOKUP($T$267,'TAR FIN'!$A$1:$O$91,15,0))</f>
        <v>271.08</v>
      </c>
      <c r="X267" s="4">
        <f>IF(ISERROR(VLOOKUP($U$267,'TAR FIN'!$A$1:$O$91,15,0)),0,VLOOKUP($U$267,'TAR FIN'!$A$1:$O$91,15,0))</f>
        <v>189.96</v>
      </c>
      <c r="Y267" s="4"/>
      <c r="Z267" s="4">
        <f ca="1">('TUSD BE'!$AM$22+'TUSD BF'!$AM$22+'TUSD CVA'!$AM$22)*1</f>
        <v>318.93064710349933</v>
      </c>
      <c r="AA267" s="4">
        <f>('TE BE'!$AB$13+'TE BF'!$AB$13+'TE CVA'!$AB$13)*1</f>
        <v>195.89707226799715</v>
      </c>
      <c r="AB267" s="4">
        <f>$K$267*$V$267</f>
        <v>0</v>
      </c>
      <c r="AC267" s="4">
        <f>$M$267*$W$267</f>
        <v>167.79852</v>
      </c>
      <c r="AD267" s="4">
        <f>$O$267*$X$267</f>
        <v>117.58524</v>
      </c>
      <c r="AE267" s="4">
        <f>$K$267*$Y$267</f>
        <v>0</v>
      </c>
      <c r="AF267" s="4">
        <f ca="1">$M$267*$Z$267</f>
        <v>197.41807055706607</v>
      </c>
      <c r="AG267" s="4">
        <f>$O$267*$AA$267</f>
        <v>121.26028773389024</v>
      </c>
    </row>
    <row r="268" spans="1:33" ht="11.25" customHeight="1" x14ac:dyDescent="0.3">
      <c r="A268" s="3" t="s">
        <v>21</v>
      </c>
      <c r="B268" s="3" t="s">
        <v>22</v>
      </c>
      <c r="C268" s="3" t="s">
        <v>33</v>
      </c>
      <c r="D268" s="3" t="s">
        <v>24</v>
      </c>
      <c r="E268" s="3" t="s">
        <v>24</v>
      </c>
      <c r="F268" s="3" t="s">
        <v>25</v>
      </c>
      <c r="G268" s="3" t="s">
        <v>25</v>
      </c>
      <c r="H268" s="3" t="s">
        <v>35</v>
      </c>
      <c r="I268" s="6">
        <v>44652</v>
      </c>
      <c r="J268" s="4">
        <v>0</v>
      </c>
      <c r="K268" s="4">
        <v>0</v>
      </c>
      <c r="L268" s="4">
        <v>0.376</v>
      </c>
      <c r="M268" s="4">
        <v>0.376</v>
      </c>
      <c r="N268" s="4">
        <v>0.376</v>
      </c>
      <c r="O268" s="4">
        <v>0.376</v>
      </c>
      <c r="P268" s="4">
        <v>0</v>
      </c>
      <c r="Q268" s="3" t="s">
        <v>26</v>
      </c>
      <c r="R268" s="3">
        <v>0</v>
      </c>
      <c r="S268" s="4">
        <v>0</v>
      </c>
      <c r="T268" s="4">
        <v>18</v>
      </c>
      <c r="U268" s="4">
        <v>58</v>
      </c>
      <c r="V268" s="4">
        <f>IF(ISERROR(VLOOKUP($S$268,'TAR FIN'!$A$1:$O$91,15,0)),0,VLOOKUP($S$268,'TAR FIN'!$A$1:$O$91,15,0))</f>
        <v>0</v>
      </c>
      <c r="W268" s="4">
        <f>IF(ISERROR(VLOOKUP($T$268,'TAR FIN'!$A$1:$O$91,15,0)),0,VLOOKUP($T$268,'TAR FIN'!$A$1:$O$91,15,0))</f>
        <v>271.08</v>
      </c>
      <c r="X268" s="4">
        <f>IF(ISERROR(VLOOKUP($U$268,'TAR FIN'!$A$1:$O$91,15,0)),0,VLOOKUP($U$268,'TAR FIN'!$A$1:$O$91,15,0))</f>
        <v>189.96</v>
      </c>
      <c r="Y268" s="4"/>
      <c r="Z268" s="4">
        <f ca="1">('TUSD BE'!$AM$22+'TUSD BF'!$AM$22+'TUSD CVA'!$AM$22)*1</f>
        <v>318.93064710349933</v>
      </c>
      <c r="AA268" s="4">
        <f>('TE BE'!$AB$13+'TE BF'!$AB$13+'TE CVA'!$AB$13)*1</f>
        <v>195.89707226799715</v>
      </c>
      <c r="AB268" s="4">
        <f>$K$268*$V$268</f>
        <v>0</v>
      </c>
      <c r="AC268" s="4">
        <f>$M$268*$W$268</f>
        <v>101.92608</v>
      </c>
      <c r="AD268" s="4">
        <f>$O$268*$X$268</f>
        <v>71.424959999999999</v>
      </c>
      <c r="AE268" s="4">
        <f>$K$268*$Y$268</f>
        <v>0</v>
      </c>
      <c r="AF268" s="4">
        <f ca="1">$M$268*$Z$268</f>
        <v>119.91792331091574</v>
      </c>
      <c r="AG268" s="4">
        <f>$O$268*$AA$268</f>
        <v>73.657299172766926</v>
      </c>
    </row>
    <row r="269" spans="1:33" ht="11.25" customHeight="1" x14ac:dyDescent="0.3">
      <c r="A269" s="3" t="s">
        <v>21</v>
      </c>
      <c r="B269" s="3" t="s">
        <v>22</v>
      </c>
      <c r="C269" s="3" t="s">
        <v>33</v>
      </c>
      <c r="D269" s="3" t="s">
        <v>24</v>
      </c>
      <c r="E269" s="3" t="s">
        <v>24</v>
      </c>
      <c r="F269" s="3" t="s">
        <v>25</v>
      </c>
      <c r="G269" s="3" t="s">
        <v>25</v>
      </c>
      <c r="H269" s="3" t="s">
        <v>35</v>
      </c>
      <c r="I269" s="6">
        <v>44682</v>
      </c>
      <c r="J269" s="4">
        <v>0</v>
      </c>
      <c r="K269" s="4">
        <v>0</v>
      </c>
      <c r="L269" s="4">
        <v>0.33100000000000002</v>
      </c>
      <c r="M269" s="4">
        <v>0.33100000000000002</v>
      </c>
      <c r="N269" s="4">
        <v>0.33100000000000002</v>
      </c>
      <c r="O269" s="4">
        <v>0.33100000000000002</v>
      </c>
      <c r="P269" s="4">
        <v>0</v>
      </c>
      <c r="Q269" s="3" t="s">
        <v>26</v>
      </c>
      <c r="R269" s="3">
        <v>0</v>
      </c>
      <c r="S269" s="4">
        <v>0</v>
      </c>
      <c r="T269" s="4">
        <v>18</v>
      </c>
      <c r="U269" s="4">
        <v>58</v>
      </c>
      <c r="V269" s="4">
        <f>IF(ISERROR(VLOOKUP($S$269,'TAR FIN'!$A$1:$O$91,15,0)),0,VLOOKUP($S$269,'TAR FIN'!$A$1:$O$91,15,0))</f>
        <v>0</v>
      </c>
      <c r="W269" s="4">
        <f>IF(ISERROR(VLOOKUP($T$269,'TAR FIN'!$A$1:$O$91,15,0)),0,VLOOKUP($T$269,'TAR FIN'!$A$1:$O$91,15,0))</f>
        <v>271.08</v>
      </c>
      <c r="X269" s="4">
        <f>IF(ISERROR(VLOOKUP($U$269,'TAR FIN'!$A$1:$O$91,15,0)),0,VLOOKUP($U$269,'TAR FIN'!$A$1:$O$91,15,0))</f>
        <v>189.96</v>
      </c>
      <c r="Y269" s="4"/>
      <c r="Z269" s="4">
        <f ca="1">('TUSD BE'!$AM$22+'TUSD BF'!$AM$22+'TUSD CVA'!$AM$22)*1</f>
        <v>318.93064710349933</v>
      </c>
      <c r="AA269" s="4">
        <f>('TE BE'!$AB$13+'TE BF'!$AB$13+'TE CVA'!$AB$13)*1</f>
        <v>195.89707226799715</v>
      </c>
      <c r="AB269" s="4">
        <f>$K$269*$V$269</f>
        <v>0</v>
      </c>
      <c r="AC269" s="4">
        <f>$M$269*$W$269</f>
        <v>89.72748</v>
      </c>
      <c r="AD269" s="4">
        <f>$O$269*$X$269</f>
        <v>62.876760000000004</v>
      </c>
      <c r="AE269" s="4">
        <f>$K$269*$Y$269</f>
        <v>0</v>
      </c>
      <c r="AF269" s="4">
        <f ca="1">$M$269*$Z$269</f>
        <v>105.56604419125829</v>
      </c>
      <c r="AG269" s="4">
        <f>$O$269*$AA$269</f>
        <v>64.841930920707057</v>
      </c>
    </row>
    <row r="270" spans="1:33" ht="11.25" customHeight="1" x14ac:dyDescent="0.3">
      <c r="A270" s="3" t="s">
        <v>21</v>
      </c>
      <c r="B270" s="3" t="s">
        <v>22</v>
      </c>
      <c r="C270" s="3" t="s">
        <v>33</v>
      </c>
      <c r="D270" s="3" t="s">
        <v>24</v>
      </c>
      <c r="E270" s="3" t="s">
        <v>24</v>
      </c>
      <c r="F270" s="3" t="s">
        <v>25</v>
      </c>
      <c r="G270" s="3" t="s">
        <v>25</v>
      </c>
      <c r="H270" s="3" t="s">
        <v>35</v>
      </c>
      <c r="I270" s="6">
        <v>44713</v>
      </c>
      <c r="J270" s="4">
        <v>0</v>
      </c>
      <c r="K270" s="4">
        <v>0</v>
      </c>
      <c r="L270" s="4">
        <v>0.46200000000000002</v>
      </c>
      <c r="M270" s="4">
        <v>0.46200000000000002</v>
      </c>
      <c r="N270" s="4">
        <v>0.46200000000000002</v>
      </c>
      <c r="O270" s="4">
        <v>0.46200000000000002</v>
      </c>
      <c r="P270" s="4">
        <v>0</v>
      </c>
      <c r="Q270" s="3" t="s">
        <v>26</v>
      </c>
      <c r="R270" s="3">
        <v>0</v>
      </c>
      <c r="S270" s="4">
        <v>0</v>
      </c>
      <c r="T270" s="4">
        <v>18</v>
      </c>
      <c r="U270" s="4">
        <v>58</v>
      </c>
      <c r="V270" s="4">
        <f>IF(ISERROR(VLOOKUP($S$270,'TAR FIN'!$A$1:$O$91,15,0)),0,VLOOKUP($S$270,'TAR FIN'!$A$1:$O$91,15,0))</f>
        <v>0</v>
      </c>
      <c r="W270" s="4">
        <f>IF(ISERROR(VLOOKUP($T$270,'TAR FIN'!$A$1:$O$91,15,0)),0,VLOOKUP($T$270,'TAR FIN'!$A$1:$O$91,15,0))</f>
        <v>271.08</v>
      </c>
      <c r="X270" s="4">
        <f>IF(ISERROR(VLOOKUP($U$270,'TAR FIN'!$A$1:$O$91,15,0)),0,VLOOKUP($U$270,'TAR FIN'!$A$1:$O$91,15,0))</f>
        <v>189.96</v>
      </c>
      <c r="Y270" s="4"/>
      <c r="Z270" s="4">
        <f ca="1">('TUSD BE'!$AM$22+'TUSD BF'!$AM$22+'TUSD CVA'!$AM$22)*1</f>
        <v>318.93064710349933</v>
      </c>
      <c r="AA270" s="4">
        <f>('TE BE'!$AB$13+'TE BF'!$AB$13+'TE CVA'!$AB$13)*1</f>
        <v>195.89707226799715</v>
      </c>
      <c r="AB270" s="4">
        <f>$K$270*$V$270</f>
        <v>0</v>
      </c>
      <c r="AC270" s="4">
        <f>$M$270*$W$270</f>
        <v>125.23895999999999</v>
      </c>
      <c r="AD270" s="4">
        <f>$O$270*$X$270</f>
        <v>87.761520000000004</v>
      </c>
      <c r="AE270" s="4">
        <f>$K$270*$Y$270</f>
        <v>0</v>
      </c>
      <c r="AF270" s="4">
        <f ca="1">$M$270*$Z$270</f>
        <v>147.34595896181671</v>
      </c>
      <c r="AG270" s="4">
        <f>$O$270*$AA$270</f>
        <v>90.504447387814679</v>
      </c>
    </row>
    <row r="271" spans="1:33" ht="11.25" customHeight="1" x14ac:dyDescent="0.3">
      <c r="A271" s="3" t="s">
        <v>21</v>
      </c>
      <c r="B271" s="3" t="s">
        <v>22</v>
      </c>
      <c r="C271" s="3" t="s">
        <v>33</v>
      </c>
      <c r="D271" s="3" t="s">
        <v>24</v>
      </c>
      <c r="E271" s="3" t="s">
        <v>24</v>
      </c>
      <c r="F271" s="3" t="s">
        <v>25</v>
      </c>
      <c r="G271" s="3" t="s">
        <v>25</v>
      </c>
      <c r="H271" s="3" t="s">
        <v>36</v>
      </c>
      <c r="I271" s="6">
        <v>44378</v>
      </c>
      <c r="J271" s="4">
        <v>0</v>
      </c>
      <c r="K271" s="4">
        <v>0</v>
      </c>
      <c r="L271" s="4">
        <v>2.3E-2</v>
      </c>
      <c r="M271" s="4">
        <v>2.3E-2</v>
      </c>
      <c r="N271" s="4">
        <v>2.3E-2</v>
      </c>
      <c r="O271" s="4">
        <v>2.3E-2</v>
      </c>
      <c r="P271" s="4">
        <v>0</v>
      </c>
      <c r="Q271" s="3" t="s">
        <v>26</v>
      </c>
      <c r="R271" s="3">
        <v>0</v>
      </c>
      <c r="S271" s="4">
        <v>0</v>
      </c>
      <c r="T271" s="4">
        <v>17</v>
      </c>
      <c r="U271" s="4">
        <v>57</v>
      </c>
      <c r="V271" s="4">
        <f>IF(ISERROR(VLOOKUP($S$271,'TAR FIN'!$A$1:$O$91,15,0)),0,VLOOKUP($S$271,'TAR FIN'!$A$1:$O$91,15,0))</f>
        <v>0</v>
      </c>
      <c r="W271" s="4">
        <f>IF(ISERROR(VLOOKUP($T$271,'TAR FIN'!$A$1:$O$91,15,0)),0,VLOOKUP($T$271,'TAR FIN'!$A$1:$O$91,15,0))</f>
        <v>589.08000000000004</v>
      </c>
      <c r="X271" s="4">
        <f>IF(ISERROR(VLOOKUP($U$271,'TAR FIN'!$A$1:$O$91,15,0)),0,VLOOKUP($U$271,'TAR FIN'!$A$1:$O$91,15,0))</f>
        <v>189.96</v>
      </c>
      <c r="Y271" s="4"/>
      <c r="Z271" s="4">
        <f ca="1">('TUSD BE'!$AM$21+'TUSD BF'!$AM$21+'TUSD CVA'!$AM$21)*1</f>
        <v>700.20680179490989</v>
      </c>
      <c r="AA271" s="4">
        <f>('TE BE'!$AB$12+'TE BF'!$AB$12+'TE CVA'!$AB$12)*1</f>
        <v>195.89707226799715</v>
      </c>
      <c r="AB271" s="4">
        <f>$K$271*$V$271</f>
        <v>0</v>
      </c>
      <c r="AC271" s="4">
        <f>$M$271*$W$271</f>
        <v>13.54884</v>
      </c>
      <c r="AD271" s="4">
        <f>$O$271*$X$271</f>
        <v>4.3690800000000003</v>
      </c>
      <c r="AE271" s="4">
        <f>$K$271*$Y$271</f>
        <v>0</v>
      </c>
      <c r="AF271" s="4">
        <f ca="1">$M$271*$Z$271</f>
        <v>16.104756441282927</v>
      </c>
      <c r="AG271" s="4">
        <f>$O$271*$AA$271</f>
        <v>4.5056326621639347</v>
      </c>
    </row>
    <row r="272" spans="1:33" ht="11.25" customHeight="1" x14ac:dyDescent="0.3">
      <c r="A272" s="3" t="s">
        <v>21</v>
      </c>
      <c r="B272" s="3" t="s">
        <v>22</v>
      </c>
      <c r="C272" s="3" t="s">
        <v>33</v>
      </c>
      <c r="D272" s="3" t="s">
        <v>24</v>
      </c>
      <c r="E272" s="3" t="s">
        <v>24</v>
      </c>
      <c r="F272" s="3" t="s">
        <v>25</v>
      </c>
      <c r="G272" s="3" t="s">
        <v>25</v>
      </c>
      <c r="H272" s="3" t="s">
        <v>36</v>
      </c>
      <c r="I272" s="6">
        <v>44409</v>
      </c>
      <c r="J272" s="4">
        <v>0</v>
      </c>
      <c r="K272" s="4">
        <v>0</v>
      </c>
      <c r="L272" s="4">
        <v>2.7E-2</v>
      </c>
      <c r="M272" s="4">
        <v>2.7E-2</v>
      </c>
      <c r="N272" s="4">
        <v>2.7E-2</v>
      </c>
      <c r="O272" s="4">
        <v>2.7E-2</v>
      </c>
      <c r="P272" s="4">
        <v>0</v>
      </c>
      <c r="Q272" s="3" t="s">
        <v>26</v>
      </c>
      <c r="R272" s="3">
        <v>0</v>
      </c>
      <c r="S272" s="4">
        <v>0</v>
      </c>
      <c r="T272" s="4">
        <v>17</v>
      </c>
      <c r="U272" s="4">
        <v>57</v>
      </c>
      <c r="V272" s="4">
        <f>IF(ISERROR(VLOOKUP($S$272,'TAR FIN'!$A$1:$O$91,15,0)),0,VLOOKUP($S$272,'TAR FIN'!$A$1:$O$91,15,0))</f>
        <v>0</v>
      </c>
      <c r="W272" s="4">
        <f>IF(ISERROR(VLOOKUP($T$272,'TAR FIN'!$A$1:$O$91,15,0)),0,VLOOKUP($T$272,'TAR FIN'!$A$1:$O$91,15,0))</f>
        <v>589.08000000000004</v>
      </c>
      <c r="X272" s="4">
        <f>IF(ISERROR(VLOOKUP($U$272,'TAR FIN'!$A$1:$O$91,15,0)),0,VLOOKUP($U$272,'TAR FIN'!$A$1:$O$91,15,0))</f>
        <v>189.96</v>
      </c>
      <c r="Y272" s="4"/>
      <c r="Z272" s="4">
        <f ca="1">('TUSD BE'!$AM$21+'TUSD BF'!$AM$21+'TUSD CVA'!$AM$21)*1</f>
        <v>700.20680179490989</v>
      </c>
      <c r="AA272" s="4">
        <f>('TE BE'!$AB$12+'TE BF'!$AB$12+'TE CVA'!$AB$12)*1</f>
        <v>195.89707226799715</v>
      </c>
      <c r="AB272" s="4">
        <f>$K$272*$V$272</f>
        <v>0</v>
      </c>
      <c r="AC272" s="4">
        <f>$M$272*$W$272</f>
        <v>15.90516</v>
      </c>
      <c r="AD272" s="4">
        <f>$O$272*$X$272</f>
        <v>5.1289199999999999</v>
      </c>
      <c r="AE272" s="4">
        <f>$K$272*$Y$272</f>
        <v>0</v>
      </c>
      <c r="AF272" s="4">
        <f ca="1">$M$272*$Z$272</f>
        <v>18.905583648462567</v>
      </c>
      <c r="AG272" s="4">
        <f>$O$272*$AA$272</f>
        <v>5.2892209512359232</v>
      </c>
    </row>
    <row r="273" spans="1:33" ht="11.25" customHeight="1" x14ac:dyDescent="0.3">
      <c r="A273" s="3" t="s">
        <v>21</v>
      </c>
      <c r="B273" s="3" t="s">
        <v>22</v>
      </c>
      <c r="C273" s="3" t="s">
        <v>33</v>
      </c>
      <c r="D273" s="3" t="s">
        <v>24</v>
      </c>
      <c r="E273" s="3" t="s">
        <v>24</v>
      </c>
      <c r="F273" s="3" t="s">
        <v>25</v>
      </c>
      <c r="G273" s="3" t="s">
        <v>25</v>
      </c>
      <c r="H273" s="3" t="s">
        <v>36</v>
      </c>
      <c r="I273" s="6">
        <v>44440</v>
      </c>
      <c r="J273" s="4">
        <v>0</v>
      </c>
      <c r="K273" s="4">
        <v>0</v>
      </c>
      <c r="L273" s="4">
        <v>2.7E-2</v>
      </c>
      <c r="M273" s="4">
        <v>2.7E-2</v>
      </c>
      <c r="N273" s="4">
        <v>2.7E-2</v>
      </c>
      <c r="O273" s="4">
        <v>2.7E-2</v>
      </c>
      <c r="P273" s="4">
        <v>0</v>
      </c>
      <c r="Q273" s="3" t="s">
        <v>26</v>
      </c>
      <c r="R273" s="3">
        <v>0</v>
      </c>
      <c r="S273" s="4">
        <v>0</v>
      </c>
      <c r="T273" s="4">
        <v>17</v>
      </c>
      <c r="U273" s="4">
        <v>57</v>
      </c>
      <c r="V273" s="4">
        <f>IF(ISERROR(VLOOKUP($S$273,'TAR FIN'!$A$1:$O$91,15,0)),0,VLOOKUP($S$273,'TAR FIN'!$A$1:$O$91,15,0))</f>
        <v>0</v>
      </c>
      <c r="W273" s="4">
        <f>IF(ISERROR(VLOOKUP($T$273,'TAR FIN'!$A$1:$O$91,15,0)),0,VLOOKUP($T$273,'TAR FIN'!$A$1:$O$91,15,0))</f>
        <v>589.08000000000004</v>
      </c>
      <c r="X273" s="4">
        <f>IF(ISERROR(VLOOKUP($U$273,'TAR FIN'!$A$1:$O$91,15,0)),0,VLOOKUP($U$273,'TAR FIN'!$A$1:$O$91,15,0))</f>
        <v>189.96</v>
      </c>
      <c r="Y273" s="4"/>
      <c r="Z273" s="4">
        <f ca="1">('TUSD BE'!$AM$21+'TUSD BF'!$AM$21+'TUSD CVA'!$AM$21)*1</f>
        <v>700.20680179490989</v>
      </c>
      <c r="AA273" s="4">
        <f>('TE BE'!$AB$12+'TE BF'!$AB$12+'TE CVA'!$AB$12)*1</f>
        <v>195.89707226799715</v>
      </c>
      <c r="AB273" s="4">
        <f>$K$273*$V$273</f>
        <v>0</v>
      </c>
      <c r="AC273" s="4">
        <f>$M$273*$W$273</f>
        <v>15.90516</v>
      </c>
      <c r="AD273" s="4">
        <f>$O$273*$X$273</f>
        <v>5.1289199999999999</v>
      </c>
      <c r="AE273" s="4">
        <f>$K$273*$Y$273</f>
        <v>0</v>
      </c>
      <c r="AF273" s="4">
        <f ca="1">$M$273*$Z$273</f>
        <v>18.905583648462567</v>
      </c>
      <c r="AG273" s="4">
        <f>$O$273*$AA$273</f>
        <v>5.2892209512359232</v>
      </c>
    </row>
    <row r="274" spans="1:33" ht="11.25" customHeight="1" x14ac:dyDescent="0.3">
      <c r="A274" s="3" t="s">
        <v>21</v>
      </c>
      <c r="B274" s="3" t="s">
        <v>22</v>
      </c>
      <c r="C274" s="3" t="s">
        <v>33</v>
      </c>
      <c r="D274" s="3" t="s">
        <v>24</v>
      </c>
      <c r="E274" s="3" t="s">
        <v>24</v>
      </c>
      <c r="F274" s="3" t="s">
        <v>25</v>
      </c>
      <c r="G274" s="3" t="s">
        <v>25</v>
      </c>
      <c r="H274" s="3" t="s">
        <v>36</v>
      </c>
      <c r="I274" s="6">
        <v>44470</v>
      </c>
      <c r="J274" s="4">
        <v>0</v>
      </c>
      <c r="K274" s="4">
        <v>0</v>
      </c>
      <c r="L274" s="4">
        <v>2.5999999999999999E-2</v>
      </c>
      <c r="M274" s="4">
        <v>2.5999999999999999E-2</v>
      </c>
      <c r="N274" s="4">
        <v>2.5999999999999999E-2</v>
      </c>
      <c r="O274" s="4">
        <v>2.5999999999999999E-2</v>
      </c>
      <c r="P274" s="4">
        <v>0</v>
      </c>
      <c r="Q274" s="3" t="s">
        <v>26</v>
      </c>
      <c r="R274" s="3">
        <v>0</v>
      </c>
      <c r="S274" s="4">
        <v>0</v>
      </c>
      <c r="T274" s="4">
        <v>17</v>
      </c>
      <c r="U274" s="4">
        <v>57</v>
      </c>
      <c r="V274" s="4">
        <f>IF(ISERROR(VLOOKUP($S$274,'TAR FIN'!$A$1:$O$91,15,0)),0,VLOOKUP($S$274,'TAR FIN'!$A$1:$O$91,15,0))</f>
        <v>0</v>
      </c>
      <c r="W274" s="4">
        <f>IF(ISERROR(VLOOKUP($T$274,'TAR FIN'!$A$1:$O$91,15,0)),0,VLOOKUP($T$274,'TAR FIN'!$A$1:$O$91,15,0))</f>
        <v>589.08000000000004</v>
      </c>
      <c r="X274" s="4">
        <f>IF(ISERROR(VLOOKUP($U$274,'TAR FIN'!$A$1:$O$91,15,0)),0,VLOOKUP($U$274,'TAR FIN'!$A$1:$O$91,15,0))</f>
        <v>189.96</v>
      </c>
      <c r="Y274" s="4"/>
      <c r="Z274" s="4">
        <f ca="1">('TUSD BE'!$AM$21+'TUSD BF'!$AM$21+'TUSD CVA'!$AM$21)*1</f>
        <v>700.20680179490989</v>
      </c>
      <c r="AA274" s="4">
        <f>('TE BE'!$AB$12+'TE BF'!$AB$12+'TE CVA'!$AB$12)*1</f>
        <v>195.89707226799715</v>
      </c>
      <c r="AB274" s="4">
        <f>$K$274*$V$274</f>
        <v>0</v>
      </c>
      <c r="AC274" s="4">
        <f>$M$274*$W$274</f>
        <v>15.316079999999999</v>
      </c>
      <c r="AD274" s="4">
        <f>$O$274*$X$274</f>
        <v>4.9389599999999998</v>
      </c>
      <c r="AE274" s="4">
        <f>$K$274*$Y$274</f>
        <v>0</v>
      </c>
      <c r="AF274" s="4">
        <f ca="1">$M$274*$Z$274</f>
        <v>18.205376846667658</v>
      </c>
      <c r="AG274" s="4">
        <f>$O$274*$AA$274</f>
        <v>5.0933238789679258</v>
      </c>
    </row>
    <row r="275" spans="1:33" ht="11.25" customHeight="1" x14ac:dyDescent="0.3">
      <c r="A275" s="3" t="s">
        <v>21</v>
      </c>
      <c r="B275" s="3" t="s">
        <v>22</v>
      </c>
      <c r="C275" s="3" t="s">
        <v>33</v>
      </c>
      <c r="D275" s="3" t="s">
        <v>24</v>
      </c>
      <c r="E275" s="3" t="s">
        <v>24</v>
      </c>
      <c r="F275" s="3" t="s">
        <v>25</v>
      </c>
      <c r="G275" s="3" t="s">
        <v>25</v>
      </c>
      <c r="H275" s="3" t="s">
        <v>36</v>
      </c>
      <c r="I275" s="6">
        <v>44501</v>
      </c>
      <c r="J275" s="4">
        <v>0</v>
      </c>
      <c r="K275" s="4">
        <v>0</v>
      </c>
      <c r="L275" s="4">
        <v>4.1000000000000002E-2</v>
      </c>
      <c r="M275" s="4">
        <v>4.1000000000000002E-2</v>
      </c>
      <c r="N275" s="4">
        <v>4.1000000000000002E-2</v>
      </c>
      <c r="O275" s="4">
        <v>4.1000000000000002E-2</v>
      </c>
      <c r="P275" s="4">
        <v>0</v>
      </c>
      <c r="Q275" s="3" t="s">
        <v>26</v>
      </c>
      <c r="R275" s="3">
        <v>0</v>
      </c>
      <c r="S275" s="4">
        <v>0</v>
      </c>
      <c r="T275" s="4">
        <v>17</v>
      </c>
      <c r="U275" s="4">
        <v>57</v>
      </c>
      <c r="V275" s="4">
        <f>IF(ISERROR(VLOOKUP($S$275,'TAR FIN'!$A$1:$O$91,15,0)),0,VLOOKUP($S$275,'TAR FIN'!$A$1:$O$91,15,0))</f>
        <v>0</v>
      </c>
      <c r="W275" s="4">
        <f>IF(ISERROR(VLOOKUP($T$275,'TAR FIN'!$A$1:$O$91,15,0)),0,VLOOKUP($T$275,'TAR FIN'!$A$1:$O$91,15,0))</f>
        <v>589.08000000000004</v>
      </c>
      <c r="X275" s="4">
        <f>IF(ISERROR(VLOOKUP($U$275,'TAR FIN'!$A$1:$O$91,15,0)),0,VLOOKUP($U$275,'TAR FIN'!$A$1:$O$91,15,0))</f>
        <v>189.96</v>
      </c>
      <c r="Y275" s="4"/>
      <c r="Z275" s="4">
        <f ca="1">('TUSD BE'!$AM$21+'TUSD BF'!$AM$21+'TUSD CVA'!$AM$21)*1</f>
        <v>700.20680179490989</v>
      </c>
      <c r="AA275" s="4">
        <f>('TE BE'!$AB$12+'TE BF'!$AB$12+'TE CVA'!$AB$12)*1</f>
        <v>195.89707226799715</v>
      </c>
      <c r="AB275" s="4">
        <f>$K$275*$V$275</f>
        <v>0</v>
      </c>
      <c r="AC275" s="4">
        <f>$M$275*$W$275</f>
        <v>24.152280000000001</v>
      </c>
      <c r="AD275" s="4">
        <f>$O$275*$X$275</f>
        <v>7.7883600000000008</v>
      </c>
      <c r="AE275" s="4">
        <f>$K$275*$Y$275</f>
        <v>0</v>
      </c>
      <c r="AF275" s="4">
        <f ca="1">$M$275*$Z$275</f>
        <v>28.708478873591307</v>
      </c>
      <c r="AG275" s="4">
        <f>$O$275*$AA$275</f>
        <v>8.0317799629878834</v>
      </c>
    </row>
    <row r="276" spans="1:33" ht="11.25" customHeight="1" x14ac:dyDescent="0.3">
      <c r="A276" s="3" t="s">
        <v>21</v>
      </c>
      <c r="B276" s="3" t="s">
        <v>22</v>
      </c>
      <c r="C276" s="3" t="s">
        <v>33</v>
      </c>
      <c r="D276" s="3" t="s">
        <v>24</v>
      </c>
      <c r="E276" s="3" t="s">
        <v>24</v>
      </c>
      <c r="F276" s="3" t="s">
        <v>25</v>
      </c>
      <c r="G276" s="3" t="s">
        <v>25</v>
      </c>
      <c r="H276" s="3" t="s">
        <v>36</v>
      </c>
      <c r="I276" s="6">
        <v>44531</v>
      </c>
      <c r="J276" s="4">
        <v>0</v>
      </c>
      <c r="K276" s="4">
        <v>0</v>
      </c>
      <c r="L276" s="4">
        <v>4.3999999999999997E-2</v>
      </c>
      <c r="M276" s="4">
        <v>4.3999999999999997E-2</v>
      </c>
      <c r="N276" s="4">
        <v>4.3999999999999997E-2</v>
      </c>
      <c r="O276" s="4">
        <v>4.3999999999999997E-2</v>
      </c>
      <c r="P276" s="4">
        <v>0</v>
      </c>
      <c r="Q276" s="3" t="s">
        <v>26</v>
      </c>
      <c r="R276" s="3">
        <v>0</v>
      </c>
      <c r="S276" s="4">
        <v>0</v>
      </c>
      <c r="T276" s="4">
        <v>17</v>
      </c>
      <c r="U276" s="4">
        <v>57</v>
      </c>
      <c r="V276" s="4">
        <f>IF(ISERROR(VLOOKUP($S$276,'TAR FIN'!$A$1:$O$91,15,0)),0,VLOOKUP($S$276,'TAR FIN'!$A$1:$O$91,15,0))</f>
        <v>0</v>
      </c>
      <c r="W276" s="4">
        <f>IF(ISERROR(VLOOKUP($T$276,'TAR FIN'!$A$1:$O$91,15,0)),0,VLOOKUP($T$276,'TAR FIN'!$A$1:$O$91,15,0))</f>
        <v>589.08000000000004</v>
      </c>
      <c r="X276" s="4">
        <f>IF(ISERROR(VLOOKUP($U$276,'TAR FIN'!$A$1:$O$91,15,0)),0,VLOOKUP($U$276,'TAR FIN'!$A$1:$O$91,15,0))</f>
        <v>189.96</v>
      </c>
      <c r="Y276" s="4"/>
      <c r="Z276" s="4">
        <f ca="1">('TUSD BE'!$AM$21+'TUSD BF'!$AM$21+'TUSD CVA'!$AM$21)*1</f>
        <v>700.20680179490989</v>
      </c>
      <c r="AA276" s="4">
        <f>('TE BE'!$AB$12+'TE BF'!$AB$12+'TE CVA'!$AB$12)*1</f>
        <v>195.89707226799715</v>
      </c>
      <c r="AB276" s="4">
        <f>$K$276*$V$276</f>
        <v>0</v>
      </c>
      <c r="AC276" s="4">
        <f>$M$276*$W$276</f>
        <v>25.919519999999999</v>
      </c>
      <c r="AD276" s="4">
        <f>$O$276*$X$276</f>
        <v>8.3582400000000003</v>
      </c>
      <c r="AE276" s="4">
        <f>$K$276*$Y$276</f>
        <v>0</v>
      </c>
      <c r="AF276" s="4">
        <f ca="1">$M$276*$Z$276</f>
        <v>30.809099278976035</v>
      </c>
      <c r="AG276" s="4">
        <f>$O$276*$AA$276</f>
        <v>8.6194711797918746</v>
      </c>
    </row>
    <row r="277" spans="1:33" ht="11.25" customHeight="1" x14ac:dyDescent="0.3">
      <c r="A277" s="3" t="s">
        <v>21</v>
      </c>
      <c r="B277" s="3" t="s">
        <v>22</v>
      </c>
      <c r="C277" s="3" t="s">
        <v>33</v>
      </c>
      <c r="D277" s="3" t="s">
        <v>24</v>
      </c>
      <c r="E277" s="3" t="s">
        <v>24</v>
      </c>
      <c r="F277" s="3" t="s">
        <v>25</v>
      </c>
      <c r="G277" s="3" t="s">
        <v>25</v>
      </c>
      <c r="H277" s="3" t="s">
        <v>36</v>
      </c>
      <c r="I277" s="6">
        <v>44562</v>
      </c>
      <c r="J277" s="4">
        <v>0</v>
      </c>
      <c r="K277" s="4">
        <v>0</v>
      </c>
      <c r="L277" s="4">
        <v>5.8999999999999997E-2</v>
      </c>
      <c r="M277" s="4">
        <v>5.8999999999999997E-2</v>
      </c>
      <c r="N277" s="4">
        <v>5.8999999999999997E-2</v>
      </c>
      <c r="O277" s="4">
        <v>5.8999999999999997E-2</v>
      </c>
      <c r="P277" s="4">
        <v>0</v>
      </c>
      <c r="Q277" s="3" t="s">
        <v>26</v>
      </c>
      <c r="R277" s="3">
        <v>0</v>
      </c>
      <c r="S277" s="4">
        <v>0</v>
      </c>
      <c r="T277" s="4">
        <v>17</v>
      </c>
      <c r="U277" s="4">
        <v>57</v>
      </c>
      <c r="V277" s="4">
        <f>IF(ISERROR(VLOOKUP($S$277,'TAR FIN'!$A$1:$O$91,15,0)),0,VLOOKUP($S$277,'TAR FIN'!$A$1:$O$91,15,0))</f>
        <v>0</v>
      </c>
      <c r="W277" s="4">
        <f>IF(ISERROR(VLOOKUP($T$277,'TAR FIN'!$A$1:$O$91,15,0)),0,VLOOKUP($T$277,'TAR FIN'!$A$1:$O$91,15,0))</f>
        <v>589.08000000000004</v>
      </c>
      <c r="X277" s="4">
        <f>IF(ISERROR(VLOOKUP($U$277,'TAR FIN'!$A$1:$O$91,15,0)),0,VLOOKUP($U$277,'TAR FIN'!$A$1:$O$91,15,0))</f>
        <v>189.96</v>
      </c>
      <c r="Y277" s="4"/>
      <c r="Z277" s="4">
        <f ca="1">('TUSD BE'!$AM$21+'TUSD BF'!$AM$21+'TUSD CVA'!$AM$21)*1</f>
        <v>700.20680179490989</v>
      </c>
      <c r="AA277" s="4">
        <f>('TE BE'!$AB$12+'TE BF'!$AB$12+'TE CVA'!$AB$12)*1</f>
        <v>195.89707226799715</v>
      </c>
      <c r="AB277" s="4">
        <f>$K$277*$V$277</f>
        <v>0</v>
      </c>
      <c r="AC277" s="4">
        <f>$M$277*$W$277</f>
        <v>34.755720000000004</v>
      </c>
      <c r="AD277" s="4">
        <f>$O$277*$X$277</f>
        <v>11.20764</v>
      </c>
      <c r="AE277" s="4">
        <f>$K$277*$Y$277</f>
        <v>0</v>
      </c>
      <c r="AF277" s="4">
        <f ca="1">$M$277*$Z$277</f>
        <v>41.312201305899684</v>
      </c>
      <c r="AG277" s="4">
        <f>$O$277*$AA$277</f>
        <v>11.55792726381183</v>
      </c>
    </row>
    <row r="278" spans="1:33" ht="11.25" customHeight="1" x14ac:dyDescent="0.3">
      <c r="A278" s="3" t="s">
        <v>21</v>
      </c>
      <c r="B278" s="3" t="s">
        <v>22</v>
      </c>
      <c r="C278" s="3" t="s">
        <v>33</v>
      </c>
      <c r="D278" s="3" t="s">
        <v>24</v>
      </c>
      <c r="E278" s="3" t="s">
        <v>24</v>
      </c>
      <c r="F278" s="3" t="s">
        <v>25</v>
      </c>
      <c r="G278" s="3" t="s">
        <v>25</v>
      </c>
      <c r="H278" s="3" t="s">
        <v>36</v>
      </c>
      <c r="I278" s="6">
        <v>44593</v>
      </c>
      <c r="J278" s="4">
        <v>0</v>
      </c>
      <c r="K278" s="4">
        <v>0</v>
      </c>
      <c r="L278" s="4">
        <v>7.0999999999999994E-2</v>
      </c>
      <c r="M278" s="4">
        <v>7.0999999999999994E-2</v>
      </c>
      <c r="N278" s="4">
        <v>7.0999999999999994E-2</v>
      </c>
      <c r="O278" s="4">
        <v>7.0999999999999994E-2</v>
      </c>
      <c r="P278" s="4">
        <v>0</v>
      </c>
      <c r="Q278" s="3" t="s">
        <v>26</v>
      </c>
      <c r="R278" s="3">
        <v>0</v>
      </c>
      <c r="S278" s="4">
        <v>0</v>
      </c>
      <c r="T278" s="4">
        <v>17</v>
      </c>
      <c r="U278" s="4">
        <v>57</v>
      </c>
      <c r="V278" s="4">
        <f>IF(ISERROR(VLOOKUP($S$278,'TAR FIN'!$A$1:$O$91,15,0)),0,VLOOKUP($S$278,'TAR FIN'!$A$1:$O$91,15,0))</f>
        <v>0</v>
      </c>
      <c r="W278" s="4">
        <f>IF(ISERROR(VLOOKUP($T$278,'TAR FIN'!$A$1:$O$91,15,0)),0,VLOOKUP($T$278,'TAR FIN'!$A$1:$O$91,15,0))</f>
        <v>589.08000000000004</v>
      </c>
      <c r="X278" s="4">
        <f>IF(ISERROR(VLOOKUP($U$278,'TAR FIN'!$A$1:$O$91,15,0)),0,VLOOKUP($U$278,'TAR FIN'!$A$1:$O$91,15,0))</f>
        <v>189.96</v>
      </c>
      <c r="Y278" s="4"/>
      <c r="Z278" s="4">
        <f ca="1">('TUSD BE'!$AM$21+'TUSD BF'!$AM$21+'TUSD CVA'!$AM$21)*1</f>
        <v>700.20680179490989</v>
      </c>
      <c r="AA278" s="4">
        <f>('TE BE'!$AB$12+'TE BF'!$AB$12+'TE CVA'!$AB$12)*1</f>
        <v>195.89707226799715</v>
      </c>
      <c r="AB278" s="4">
        <f>$K$278*$V$278</f>
        <v>0</v>
      </c>
      <c r="AC278" s="4">
        <f>$M$278*$W$278</f>
        <v>41.824680000000001</v>
      </c>
      <c r="AD278" s="4">
        <f>$O$278*$X$278</f>
        <v>13.487159999999999</v>
      </c>
      <c r="AE278" s="4">
        <f>$K$278*$Y$278</f>
        <v>0</v>
      </c>
      <c r="AF278" s="4">
        <f ca="1">$M$278*$Z$278</f>
        <v>49.714682927438595</v>
      </c>
      <c r="AG278" s="4">
        <f>$O$278*$AA$278</f>
        <v>13.908692131027797</v>
      </c>
    </row>
    <row r="279" spans="1:33" ht="11.25" customHeight="1" x14ac:dyDescent="0.3">
      <c r="A279" s="3" t="s">
        <v>21</v>
      </c>
      <c r="B279" s="3" t="s">
        <v>22</v>
      </c>
      <c r="C279" s="3" t="s">
        <v>33</v>
      </c>
      <c r="D279" s="3" t="s">
        <v>24</v>
      </c>
      <c r="E279" s="3" t="s">
        <v>24</v>
      </c>
      <c r="F279" s="3" t="s">
        <v>25</v>
      </c>
      <c r="G279" s="3" t="s">
        <v>25</v>
      </c>
      <c r="H279" s="3" t="s">
        <v>36</v>
      </c>
      <c r="I279" s="6">
        <v>44621</v>
      </c>
      <c r="J279" s="4">
        <v>0</v>
      </c>
      <c r="K279" s="4">
        <v>0</v>
      </c>
      <c r="L279" s="4">
        <v>5.5E-2</v>
      </c>
      <c r="M279" s="4">
        <v>5.5E-2</v>
      </c>
      <c r="N279" s="4">
        <v>5.5E-2</v>
      </c>
      <c r="O279" s="4">
        <v>5.5E-2</v>
      </c>
      <c r="P279" s="4">
        <v>0</v>
      </c>
      <c r="Q279" s="3" t="s">
        <v>26</v>
      </c>
      <c r="R279" s="3">
        <v>0</v>
      </c>
      <c r="S279" s="4">
        <v>0</v>
      </c>
      <c r="T279" s="4">
        <v>17</v>
      </c>
      <c r="U279" s="4">
        <v>57</v>
      </c>
      <c r="V279" s="4">
        <f>IF(ISERROR(VLOOKUP($S$279,'TAR FIN'!$A$1:$O$91,15,0)),0,VLOOKUP($S$279,'TAR FIN'!$A$1:$O$91,15,0))</f>
        <v>0</v>
      </c>
      <c r="W279" s="4">
        <f>IF(ISERROR(VLOOKUP($T$279,'TAR FIN'!$A$1:$O$91,15,0)),0,VLOOKUP($T$279,'TAR FIN'!$A$1:$O$91,15,0))</f>
        <v>589.08000000000004</v>
      </c>
      <c r="X279" s="4">
        <f>IF(ISERROR(VLOOKUP($U$279,'TAR FIN'!$A$1:$O$91,15,0)),0,VLOOKUP($U$279,'TAR FIN'!$A$1:$O$91,15,0))</f>
        <v>189.96</v>
      </c>
      <c r="Y279" s="4"/>
      <c r="Z279" s="4">
        <f ca="1">('TUSD BE'!$AM$21+'TUSD BF'!$AM$21+'TUSD CVA'!$AM$21)*1</f>
        <v>700.20680179490989</v>
      </c>
      <c r="AA279" s="4">
        <f>('TE BE'!$AB$12+'TE BF'!$AB$12+'TE CVA'!$AB$12)*1</f>
        <v>195.89707226799715</v>
      </c>
      <c r="AB279" s="4">
        <f>$K$279*$V$279</f>
        <v>0</v>
      </c>
      <c r="AC279" s="4">
        <f>$M$279*$W$279</f>
        <v>32.3994</v>
      </c>
      <c r="AD279" s="4">
        <f>$O$279*$X$279</f>
        <v>10.447800000000001</v>
      </c>
      <c r="AE279" s="4">
        <f>$K$279*$Y$279</f>
        <v>0</v>
      </c>
      <c r="AF279" s="4">
        <f ca="1">$M$279*$Z$279</f>
        <v>38.511374098720047</v>
      </c>
      <c r="AG279" s="4">
        <f>$O$279*$AA$279</f>
        <v>10.774338974739843</v>
      </c>
    </row>
    <row r="280" spans="1:33" ht="11.25" customHeight="1" x14ac:dyDescent="0.3">
      <c r="A280" s="3" t="s">
        <v>21</v>
      </c>
      <c r="B280" s="3" t="s">
        <v>22</v>
      </c>
      <c r="C280" s="3" t="s">
        <v>33</v>
      </c>
      <c r="D280" s="3" t="s">
        <v>24</v>
      </c>
      <c r="E280" s="3" t="s">
        <v>24</v>
      </c>
      <c r="F280" s="3" t="s">
        <v>25</v>
      </c>
      <c r="G280" s="3" t="s">
        <v>25</v>
      </c>
      <c r="H280" s="3" t="s">
        <v>36</v>
      </c>
      <c r="I280" s="6">
        <v>44652</v>
      </c>
      <c r="J280" s="4">
        <v>0</v>
      </c>
      <c r="K280" s="4">
        <v>0</v>
      </c>
      <c r="L280" s="4">
        <v>2.7E-2</v>
      </c>
      <c r="M280" s="4">
        <v>2.7E-2</v>
      </c>
      <c r="N280" s="4">
        <v>2.7E-2</v>
      </c>
      <c r="O280" s="4">
        <v>2.7E-2</v>
      </c>
      <c r="P280" s="4">
        <v>0</v>
      </c>
      <c r="Q280" s="3" t="s">
        <v>26</v>
      </c>
      <c r="R280" s="3">
        <v>0</v>
      </c>
      <c r="S280" s="4">
        <v>0</v>
      </c>
      <c r="T280" s="4">
        <v>17</v>
      </c>
      <c r="U280" s="4">
        <v>57</v>
      </c>
      <c r="V280" s="4">
        <f>IF(ISERROR(VLOOKUP($S$280,'TAR FIN'!$A$1:$O$91,15,0)),0,VLOOKUP($S$280,'TAR FIN'!$A$1:$O$91,15,0))</f>
        <v>0</v>
      </c>
      <c r="W280" s="4">
        <f>IF(ISERROR(VLOOKUP($T$280,'TAR FIN'!$A$1:$O$91,15,0)),0,VLOOKUP($T$280,'TAR FIN'!$A$1:$O$91,15,0))</f>
        <v>589.08000000000004</v>
      </c>
      <c r="X280" s="4">
        <f>IF(ISERROR(VLOOKUP($U$280,'TAR FIN'!$A$1:$O$91,15,0)),0,VLOOKUP($U$280,'TAR FIN'!$A$1:$O$91,15,0))</f>
        <v>189.96</v>
      </c>
      <c r="Y280" s="4"/>
      <c r="Z280" s="4">
        <f ca="1">('TUSD BE'!$AM$21+'TUSD BF'!$AM$21+'TUSD CVA'!$AM$21)*1</f>
        <v>700.20680179490989</v>
      </c>
      <c r="AA280" s="4">
        <f>('TE BE'!$AB$12+'TE BF'!$AB$12+'TE CVA'!$AB$12)*1</f>
        <v>195.89707226799715</v>
      </c>
      <c r="AB280" s="4">
        <f>$K$280*$V$280</f>
        <v>0</v>
      </c>
      <c r="AC280" s="4">
        <f>$M$280*$W$280</f>
        <v>15.90516</v>
      </c>
      <c r="AD280" s="4">
        <f>$O$280*$X$280</f>
        <v>5.1289199999999999</v>
      </c>
      <c r="AE280" s="4">
        <f>$K$280*$Y$280</f>
        <v>0</v>
      </c>
      <c r="AF280" s="4">
        <f ca="1">$M$280*$Z$280</f>
        <v>18.905583648462567</v>
      </c>
      <c r="AG280" s="4">
        <f>$O$280*$AA$280</f>
        <v>5.2892209512359232</v>
      </c>
    </row>
    <row r="281" spans="1:33" ht="11.25" customHeight="1" x14ac:dyDescent="0.3">
      <c r="A281" s="3" t="s">
        <v>21</v>
      </c>
      <c r="B281" s="3" t="s">
        <v>22</v>
      </c>
      <c r="C281" s="3" t="s">
        <v>33</v>
      </c>
      <c r="D281" s="3" t="s">
        <v>24</v>
      </c>
      <c r="E281" s="3" t="s">
        <v>24</v>
      </c>
      <c r="F281" s="3" t="s">
        <v>25</v>
      </c>
      <c r="G281" s="3" t="s">
        <v>25</v>
      </c>
      <c r="H281" s="3" t="s">
        <v>36</v>
      </c>
      <c r="I281" s="6">
        <v>44682</v>
      </c>
      <c r="J281" s="4">
        <v>0</v>
      </c>
      <c r="K281" s="4">
        <v>0</v>
      </c>
      <c r="L281" s="4">
        <v>2.1999999999999999E-2</v>
      </c>
      <c r="M281" s="4">
        <v>2.1999999999999999E-2</v>
      </c>
      <c r="N281" s="4">
        <v>2.1999999999999999E-2</v>
      </c>
      <c r="O281" s="4">
        <v>2.1999999999999999E-2</v>
      </c>
      <c r="P281" s="4">
        <v>0</v>
      </c>
      <c r="Q281" s="3" t="s">
        <v>26</v>
      </c>
      <c r="R281" s="3">
        <v>0</v>
      </c>
      <c r="S281" s="4">
        <v>0</v>
      </c>
      <c r="T281" s="4">
        <v>17</v>
      </c>
      <c r="U281" s="4">
        <v>57</v>
      </c>
      <c r="V281" s="4">
        <f>IF(ISERROR(VLOOKUP($S$281,'TAR FIN'!$A$1:$O$91,15,0)),0,VLOOKUP($S$281,'TAR FIN'!$A$1:$O$91,15,0))</f>
        <v>0</v>
      </c>
      <c r="W281" s="4">
        <f>IF(ISERROR(VLOOKUP($T$281,'TAR FIN'!$A$1:$O$91,15,0)),0,VLOOKUP($T$281,'TAR FIN'!$A$1:$O$91,15,0))</f>
        <v>589.08000000000004</v>
      </c>
      <c r="X281" s="4">
        <f>IF(ISERROR(VLOOKUP($U$281,'TAR FIN'!$A$1:$O$91,15,0)),0,VLOOKUP($U$281,'TAR FIN'!$A$1:$O$91,15,0))</f>
        <v>189.96</v>
      </c>
      <c r="Y281" s="4"/>
      <c r="Z281" s="4">
        <f ca="1">('TUSD BE'!$AM$21+'TUSD BF'!$AM$21+'TUSD CVA'!$AM$21)*1</f>
        <v>700.20680179490989</v>
      </c>
      <c r="AA281" s="4">
        <f>('TE BE'!$AB$12+'TE BF'!$AB$12+'TE CVA'!$AB$12)*1</f>
        <v>195.89707226799715</v>
      </c>
      <c r="AB281" s="4">
        <f>$K$281*$V$281</f>
        <v>0</v>
      </c>
      <c r="AC281" s="4">
        <f>$M$281*$W$281</f>
        <v>12.959759999999999</v>
      </c>
      <c r="AD281" s="4">
        <f>$O$281*$X$281</f>
        <v>4.1791200000000002</v>
      </c>
      <c r="AE281" s="4">
        <f>$K$281*$Y$281</f>
        <v>0</v>
      </c>
      <c r="AF281" s="4">
        <f ca="1">$M$281*$Z$281</f>
        <v>15.404549639488017</v>
      </c>
      <c r="AG281" s="4">
        <f>$O$281*$AA$281</f>
        <v>4.3097355898959373</v>
      </c>
    </row>
    <row r="282" spans="1:33" ht="11.25" customHeight="1" x14ac:dyDescent="0.3">
      <c r="A282" s="3" t="s">
        <v>21</v>
      </c>
      <c r="B282" s="3" t="s">
        <v>22</v>
      </c>
      <c r="C282" s="3" t="s">
        <v>33</v>
      </c>
      <c r="D282" s="3" t="s">
        <v>24</v>
      </c>
      <c r="E282" s="3" t="s">
        <v>24</v>
      </c>
      <c r="F282" s="3" t="s">
        <v>25</v>
      </c>
      <c r="G282" s="3" t="s">
        <v>25</v>
      </c>
      <c r="H282" s="3" t="s">
        <v>36</v>
      </c>
      <c r="I282" s="6">
        <v>44713</v>
      </c>
      <c r="J282" s="4">
        <v>0</v>
      </c>
      <c r="K282" s="4">
        <v>0</v>
      </c>
      <c r="L282" s="4">
        <v>3.7999999999999999E-2</v>
      </c>
      <c r="M282" s="4">
        <v>3.7999999999999999E-2</v>
      </c>
      <c r="N282" s="4">
        <v>3.7999999999999999E-2</v>
      </c>
      <c r="O282" s="4">
        <v>3.7999999999999999E-2</v>
      </c>
      <c r="P282" s="4">
        <v>0</v>
      </c>
      <c r="Q282" s="3" t="s">
        <v>26</v>
      </c>
      <c r="R282" s="3">
        <v>0</v>
      </c>
      <c r="S282" s="4">
        <v>0</v>
      </c>
      <c r="T282" s="4">
        <v>17</v>
      </c>
      <c r="U282" s="4">
        <v>57</v>
      </c>
      <c r="V282" s="4">
        <f>IF(ISERROR(VLOOKUP($S$282,'TAR FIN'!$A$1:$O$91,15,0)),0,VLOOKUP($S$282,'TAR FIN'!$A$1:$O$91,15,0))</f>
        <v>0</v>
      </c>
      <c r="W282" s="4">
        <f>IF(ISERROR(VLOOKUP($T$282,'TAR FIN'!$A$1:$O$91,15,0)),0,VLOOKUP($T$282,'TAR FIN'!$A$1:$O$91,15,0))</f>
        <v>589.08000000000004</v>
      </c>
      <c r="X282" s="4">
        <f>IF(ISERROR(VLOOKUP($U$282,'TAR FIN'!$A$1:$O$91,15,0)),0,VLOOKUP($U$282,'TAR FIN'!$A$1:$O$91,15,0))</f>
        <v>189.96</v>
      </c>
      <c r="Y282" s="4"/>
      <c r="Z282" s="4">
        <f ca="1">('TUSD BE'!$AM$21+'TUSD BF'!$AM$21+'TUSD CVA'!$AM$21)*1</f>
        <v>700.20680179490989</v>
      </c>
      <c r="AA282" s="4">
        <f>('TE BE'!$AB$12+'TE BF'!$AB$12+'TE CVA'!$AB$12)*1</f>
        <v>195.89707226799715</v>
      </c>
      <c r="AB282" s="4">
        <f>$K$282*$V$282</f>
        <v>0</v>
      </c>
      <c r="AC282" s="4">
        <f>$M$282*$W$282</f>
        <v>22.38504</v>
      </c>
      <c r="AD282" s="4">
        <f>$O$282*$X$282</f>
        <v>7.2184800000000005</v>
      </c>
      <c r="AE282" s="4">
        <f>$K$282*$Y$282</f>
        <v>0</v>
      </c>
      <c r="AF282" s="4">
        <f ca="1">$M$282*$Z$282</f>
        <v>26.607858468206576</v>
      </c>
      <c r="AG282" s="4">
        <f>$O$282*$AA$282</f>
        <v>7.4440887461838914</v>
      </c>
    </row>
    <row r="283" spans="1:33" ht="11.25" customHeight="1" x14ac:dyDescent="0.3">
      <c r="A283" s="3" t="s">
        <v>21</v>
      </c>
      <c r="B283" s="3" t="s">
        <v>22</v>
      </c>
      <c r="C283" s="3" t="s">
        <v>33</v>
      </c>
      <c r="D283" s="3" t="s">
        <v>24</v>
      </c>
      <c r="E283" s="3" t="s">
        <v>24</v>
      </c>
      <c r="F283" s="3" t="s">
        <v>25</v>
      </c>
      <c r="G283" s="3" t="s">
        <v>25</v>
      </c>
      <c r="H283" s="3" t="s">
        <v>34</v>
      </c>
      <c r="I283" s="6">
        <v>44378</v>
      </c>
      <c r="J283" s="4">
        <v>0</v>
      </c>
      <c r="K283" s="4">
        <v>0</v>
      </c>
      <c r="L283" s="4">
        <v>4.9000000000000002E-2</v>
      </c>
      <c r="M283" s="4">
        <v>4.9000000000000002E-2</v>
      </c>
      <c r="N283" s="4">
        <v>4.9000000000000002E-2</v>
      </c>
      <c r="O283" s="4">
        <v>4.9000000000000002E-2</v>
      </c>
      <c r="P283" s="4">
        <v>0</v>
      </c>
      <c r="Q283" s="3" t="s">
        <v>26</v>
      </c>
      <c r="R283" s="3">
        <v>0</v>
      </c>
      <c r="S283" s="4">
        <v>0</v>
      </c>
      <c r="T283" s="4">
        <v>16</v>
      </c>
      <c r="U283" s="4">
        <v>56</v>
      </c>
      <c r="V283" s="4">
        <f>IF(ISERROR(VLOOKUP($S$283,'TAR FIN'!$A$1:$O$91,15,0)),0,VLOOKUP($S$283,'TAR FIN'!$A$1:$O$91,15,0))</f>
        <v>0</v>
      </c>
      <c r="W283" s="4">
        <f>IF(ISERROR(VLOOKUP($T$283,'TAR FIN'!$A$1:$O$91,15,0)),0,VLOOKUP($T$283,'TAR FIN'!$A$1:$O$91,15,0))</f>
        <v>907.08</v>
      </c>
      <c r="X283" s="4">
        <f>IF(ISERROR(VLOOKUP($U$283,'TAR FIN'!$A$1:$O$91,15,0)),0,VLOOKUP($U$283,'TAR FIN'!$A$1:$O$91,15,0))</f>
        <v>298.83999999999997</v>
      </c>
      <c r="Y283" s="4"/>
      <c r="Z283" s="4">
        <f ca="1">('TUSD BE'!$AM$20+'TUSD BF'!$AM$20+'TUSD CVA'!$AM$20)*1</f>
        <v>1081.4828785686461</v>
      </c>
      <c r="AA283" s="4">
        <f>('TE BE'!$AB$11+'TE BF'!$AB$11+'TE CVA'!$AB$11)*1</f>
        <v>311.4117891483653</v>
      </c>
      <c r="AB283" s="4">
        <f>$K$283*$V$283</f>
        <v>0</v>
      </c>
      <c r="AC283" s="4">
        <f>$M$283*$W$283</f>
        <v>44.446920000000006</v>
      </c>
      <c r="AD283" s="4">
        <f>$O$283*$X$283</f>
        <v>14.64316</v>
      </c>
      <c r="AE283" s="4">
        <f>$K$283*$Y$283</f>
        <v>0</v>
      </c>
      <c r="AF283" s="4">
        <f ca="1">$M$283*$Z$283</f>
        <v>52.992661049863663</v>
      </c>
      <c r="AG283" s="4">
        <f>$O$283*$AA$283</f>
        <v>15.259177668269901</v>
      </c>
    </row>
    <row r="284" spans="1:33" ht="11.25" customHeight="1" x14ac:dyDescent="0.3">
      <c r="A284" s="3" t="s">
        <v>21</v>
      </c>
      <c r="B284" s="3" t="s">
        <v>22</v>
      </c>
      <c r="C284" s="3" t="s">
        <v>33</v>
      </c>
      <c r="D284" s="3" t="s">
        <v>24</v>
      </c>
      <c r="E284" s="3" t="s">
        <v>24</v>
      </c>
      <c r="F284" s="3" t="s">
        <v>25</v>
      </c>
      <c r="G284" s="3" t="s">
        <v>25</v>
      </c>
      <c r="H284" s="3" t="s">
        <v>34</v>
      </c>
      <c r="I284" s="6">
        <v>44409</v>
      </c>
      <c r="J284" s="4">
        <v>0</v>
      </c>
      <c r="K284" s="4">
        <v>0</v>
      </c>
      <c r="L284" s="4">
        <v>0.06</v>
      </c>
      <c r="M284" s="4">
        <v>0.06</v>
      </c>
      <c r="N284" s="4">
        <v>0.06</v>
      </c>
      <c r="O284" s="4">
        <v>0.06</v>
      </c>
      <c r="P284" s="4">
        <v>0</v>
      </c>
      <c r="Q284" s="3" t="s">
        <v>26</v>
      </c>
      <c r="R284" s="3">
        <v>0</v>
      </c>
      <c r="S284" s="4">
        <v>0</v>
      </c>
      <c r="T284" s="4">
        <v>16</v>
      </c>
      <c r="U284" s="4">
        <v>56</v>
      </c>
      <c r="V284" s="4">
        <f>IF(ISERROR(VLOOKUP($S$284,'TAR FIN'!$A$1:$O$91,15,0)),0,VLOOKUP($S$284,'TAR FIN'!$A$1:$O$91,15,0))</f>
        <v>0</v>
      </c>
      <c r="W284" s="4">
        <f>IF(ISERROR(VLOOKUP($T$284,'TAR FIN'!$A$1:$O$91,15,0)),0,VLOOKUP($T$284,'TAR FIN'!$A$1:$O$91,15,0))</f>
        <v>907.08</v>
      </c>
      <c r="X284" s="4">
        <f>IF(ISERROR(VLOOKUP($U$284,'TAR FIN'!$A$1:$O$91,15,0)),0,VLOOKUP($U$284,'TAR FIN'!$A$1:$O$91,15,0))</f>
        <v>298.83999999999997</v>
      </c>
      <c r="Y284" s="4"/>
      <c r="Z284" s="4">
        <f ca="1">('TUSD BE'!$AM$20+'TUSD BF'!$AM$20+'TUSD CVA'!$AM$20)*1</f>
        <v>1081.4828785686461</v>
      </c>
      <c r="AA284" s="4">
        <f>('TE BE'!$AB$11+'TE BF'!$AB$11+'TE CVA'!$AB$11)*1</f>
        <v>311.4117891483653</v>
      </c>
      <c r="AB284" s="4">
        <f>$K$284*$V$284</f>
        <v>0</v>
      </c>
      <c r="AC284" s="4">
        <f>$M$284*$W$284</f>
        <v>54.424799999999998</v>
      </c>
      <c r="AD284" s="4">
        <f>$O$284*$X$284</f>
        <v>17.930399999999999</v>
      </c>
      <c r="AE284" s="4">
        <f>$K$284*$Y$284</f>
        <v>0</v>
      </c>
      <c r="AF284" s="4">
        <f ca="1">$M$284*$Z$284</f>
        <v>64.888972714118765</v>
      </c>
      <c r="AG284" s="4">
        <f>$O$284*$AA$284</f>
        <v>18.684707348901917</v>
      </c>
    </row>
    <row r="285" spans="1:33" ht="11.25" customHeight="1" x14ac:dyDescent="0.3">
      <c r="A285" s="3" t="s">
        <v>21</v>
      </c>
      <c r="B285" s="3" t="s">
        <v>22</v>
      </c>
      <c r="C285" s="3" t="s">
        <v>33</v>
      </c>
      <c r="D285" s="3" t="s">
        <v>24</v>
      </c>
      <c r="E285" s="3" t="s">
        <v>24</v>
      </c>
      <c r="F285" s="3" t="s">
        <v>25</v>
      </c>
      <c r="G285" s="3" t="s">
        <v>25</v>
      </c>
      <c r="H285" s="3" t="s">
        <v>34</v>
      </c>
      <c r="I285" s="6">
        <v>44440</v>
      </c>
      <c r="J285" s="4">
        <v>0</v>
      </c>
      <c r="K285" s="4">
        <v>0</v>
      </c>
      <c r="L285" s="4">
        <v>5.3999999999999999E-2</v>
      </c>
      <c r="M285" s="4">
        <v>5.3999999999999999E-2</v>
      </c>
      <c r="N285" s="4">
        <v>5.3999999999999999E-2</v>
      </c>
      <c r="O285" s="4">
        <v>5.3999999999999999E-2</v>
      </c>
      <c r="P285" s="4">
        <v>0</v>
      </c>
      <c r="Q285" s="3" t="s">
        <v>26</v>
      </c>
      <c r="R285" s="3">
        <v>0</v>
      </c>
      <c r="S285" s="4">
        <v>0</v>
      </c>
      <c r="T285" s="4">
        <v>16</v>
      </c>
      <c r="U285" s="4">
        <v>56</v>
      </c>
      <c r="V285" s="4">
        <f>IF(ISERROR(VLOOKUP($S$285,'TAR FIN'!$A$1:$O$91,15,0)),0,VLOOKUP($S$285,'TAR FIN'!$A$1:$O$91,15,0))</f>
        <v>0</v>
      </c>
      <c r="W285" s="4">
        <f>IF(ISERROR(VLOOKUP($T$285,'TAR FIN'!$A$1:$O$91,15,0)),0,VLOOKUP($T$285,'TAR FIN'!$A$1:$O$91,15,0))</f>
        <v>907.08</v>
      </c>
      <c r="X285" s="4">
        <f>IF(ISERROR(VLOOKUP($U$285,'TAR FIN'!$A$1:$O$91,15,0)),0,VLOOKUP($U$285,'TAR FIN'!$A$1:$O$91,15,0))</f>
        <v>298.83999999999997</v>
      </c>
      <c r="Y285" s="4"/>
      <c r="Z285" s="4">
        <f ca="1">('TUSD BE'!$AM$20+'TUSD BF'!$AM$20+'TUSD CVA'!$AM$20)*1</f>
        <v>1081.4828785686461</v>
      </c>
      <c r="AA285" s="4">
        <f>('TE BE'!$AB$11+'TE BF'!$AB$11+'TE CVA'!$AB$11)*1</f>
        <v>311.4117891483653</v>
      </c>
      <c r="AB285" s="4">
        <f>$K$285*$V$285</f>
        <v>0</v>
      </c>
      <c r="AC285" s="4">
        <f>$M$285*$W$285</f>
        <v>48.982320000000001</v>
      </c>
      <c r="AD285" s="4">
        <f>$O$285*$X$285</f>
        <v>16.137359999999997</v>
      </c>
      <c r="AE285" s="4">
        <f>$K$285*$Y$285</f>
        <v>0</v>
      </c>
      <c r="AF285" s="4">
        <f ca="1">$M$285*$Z$285</f>
        <v>58.400075442706893</v>
      </c>
      <c r="AG285" s="4">
        <f>$O$285*$AA$285</f>
        <v>16.816236614011725</v>
      </c>
    </row>
    <row r="286" spans="1:33" ht="11.25" customHeight="1" x14ac:dyDescent="0.3">
      <c r="A286" s="3" t="s">
        <v>21</v>
      </c>
      <c r="B286" s="3" t="s">
        <v>22</v>
      </c>
      <c r="C286" s="3" t="s">
        <v>33</v>
      </c>
      <c r="D286" s="3" t="s">
        <v>24</v>
      </c>
      <c r="E286" s="3" t="s">
        <v>24</v>
      </c>
      <c r="F286" s="3" t="s">
        <v>25</v>
      </c>
      <c r="G286" s="3" t="s">
        <v>25</v>
      </c>
      <c r="H286" s="3" t="s">
        <v>34</v>
      </c>
      <c r="I286" s="6">
        <v>44470</v>
      </c>
      <c r="J286" s="4">
        <v>0</v>
      </c>
      <c r="K286" s="4">
        <v>0</v>
      </c>
      <c r="L286" s="4">
        <v>5.2999999999999999E-2</v>
      </c>
      <c r="M286" s="4">
        <v>5.2999999999999999E-2</v>
      </c>
      <c r="N286" s="4">
        <v>5.2999999999999999E-2</v>
      </c>
      <c r="O286" s="4">
        <v>5.2999999999999999E-2</v>
      </c>
      <c r="P286" s="4">
        <v>0</v>
      </c>
      <c r="Q286" s="3" t="s">
        <v>26</v>
      </c>
      <c r="R286" s="3">
        <v>0</v>
      </c>
      <c r="S286" s="4">
        <v>0</v>
      </c>
      <c r="T286" s="4">
        <v>16</v>
      </c>
      <c r="U286" s="4">
        <v>56</v>
      </c>
      <c r="V286" s="4">
        <f>IF(ISERROR(VLOOKUP($S$286,'TAR FIN'!$A$1:$O$91,15,0)),0,VLOOKUP($S$286,'TAR FIN'!$A$1:$O$91,15,0))</f>
        <v>0</v>
      </c>
      <c r="W286" s="4">
        <f>IF(ISERROR(VLOOKUP($T$286,'TAR FIN'!$A$1:$O$91,15,0)),0,VLOOKUP($T$286,'TAR FIN'!$A$1:$O$91,15,0))</f>
        <v>907.08</v>
      </c>
      <c r="X286" s="4">
        <f>IF(ISERROR(VLOOKUP($U$286,'TAR FIN'!$A$1:$O$91,15,0)),0,VLOOKUP($U$286,'TAR FIN'!$A$1:$O$91,15,0))</f>
        <v>298.83999999999997</v>
      </c>
      <c r="Y286" s="4"/>
      <c r="Z286" s="4">
        <f ca="1">('TUSD BE'!$AM$20+'TUSD BF'!$AM$20+'TUSD CVA'!$AM$20)*1</f>
        <v>1081.4828785686461</v>
      </c>
      <c r="AA286" s="4">
        <f>('TE BE'!$AB$11+'TE BF'!$AB$11+'TE CVA'!$AB$11)*1</f>
        <v>311.4117891483653</v>
      </c>
      <c r="AB286" s="4">
        <f>$K$286*$V$286</f>
        <v>0</v>
      </c>
      <c r="AC286" s="4">
        <f>$M$286*$W$286</f>
        <v>48.075240000000001</v>
      </c>
      <c r="AD286" s="4">
        <f>$O$286*$X$286</f>
        <v>15.838519999999999</v>
      </c>
      <c r="AE286" s="4">
        <f>$K$286*$Y$286</f>
        <v>0</v>
      </c>
      <c r="AF286" s="4">
        <f ca="1">$M$286*$Z$286</f>
        <v>57.318592564138243</v>
      </c>
      <c r="AG286" s="4">
        <f>$O$286*$AA$286</f>
        <v>16.504824824863359</v>
      </c>
    </row>
    <row r="287" spans="1:33" ht="11.25" customHeight="1" x14ac:dyDescent="0.3">
      <c r="A287" s="3" t="s">
        <v>21</v>
      </c>
      <c r="B287" s="3" t="s">
        <v>22</v>
      </c>
      <c r="C287" s="3" t="s">
        <v>33</v>
      </c>
      <c r="D287" s="3" t="s">
        <v>24</v>
      </c>
      <c r="E287" s="3" t="s">
        <v>24</v>
      </c>
      <c r="F287" s="3" t="s">
        <v>25</v>
      </c>
      <c r="G287" s="3" t="s">
        <v>25</v>
      </c>
      <c r="H287" s="3" t="s">
        <v>34</v>
      </c>
      <c r="I287" s="6">
        <v>44501</v>
      </c>
      <c r="J287" s="4">
        <v>0</v>
      </c>
      <c r="K287" s="4">
        <v>0</v>
      </c>
      <c r="L287" s="4">
        <v>5.0999999999999997E-2</v>
      </c>
      <c r="M287" s="4">
        <v>5.0999999999999997E-2</v>
      </c>
      <c r="N287" s="4">
        <v>5.0999999999999997E-2</v>
      </c>
      <c r="O287" s="4">
        <v>5.0999999999999997E-2</v>
      </c>
      <c r="P287" s="4">
        <v>0</v>
      </c>
      <c r="Q287" s="3" t="s">
        <v>26</v>
      </c>
      <c r="R287" s="3">
        <v>0</v>
      </c>
      <c r="S287" s="4">
        <v>0</v>
      </c>
      <c r="T287" s="4">
        <v>16</v>
      </c>
      <c r="U287" s="4">
        <v>56</v>
      </c>
      <c r="V287" s="4">
        <f>IF(ISERROR(VLOOKUP($S$287,'TAR FIN'!$A$1:$O$91,15,0)),0,VLOOKUP($S$287,'TAR FIN'!$A$1:$O$91,15,0))</f>
        <v>0</v>
      </c>
      <c r="W287" s="4">
        <f>IF(ISERROR(VLOOKUP($T$287,'TAR FIN'!$A$1:$O$91,15,0)),0,VLOOKUP($T$287,'TAR FIN'!$A$1:$O$91,15,0))</f>
        <v>907.08</v>
      </c>
      <c r="X287" s="4">
        <f>IF(ISERROR(VLOOKUP($U$287,'TAR FIN'!$A$1:$O$91,15,0)),0,VLOOKUP($U$287,'TAR FIN'!$A$1:$O$91,15,0))</f>
        <v>298.83999999999997</v>
      </c>
      <c r="Y287" s="4"/>
      <c r="Z287" s="4">
        <f ca="1">('TUSD BE'!$AM$20+'TUSD BF'!$AM$20+'TUSD CVA'!$AM$20)*1</f>
        <v>1081.4828785686461</v>
      </c>
      <c r="AA287" s="4">
        <f>('TE BE'!$AB$11+'TE BF'!$AB$11+'TE CVA'!$AB$11)*1</f>
        <v>311.4117891483653</v>
      </c>
      <c r="AB287" s="4">
        <f>$K$287*$V$287</f>
        <v>0</v>
      </c>
      <c r="AC287" s="4">
        <f>$M$287*$W$287</f>
        <v>46.26108</v>
      </c>
      <c r="AD287" s="4">
        <f>$O$287*$X$287</f>
        <v>15.240839999999999</v>
      </c>
      <c r="AE287" s="4">
        <f>$K$287*$Y$287</f>
        <v>0</v>
      </c>
      <c r="AF287" s="4">
        <f ca="1">$M$287*$Z$287</f>
        <v>55.155626807000949</v>
      </c>
      <c r="AG287" s="4">
        <f>$O$287*$AA$287</f>
        <v>15.882001246566629</v>
      </c>
    </row>
    <row r="288" spans="1:33" ht="11.25" customHeight="1" x14ac:dyDescent="0.3">
      <c r="A288" s="3" t="s">
        <v>21</v>
      </c>
      <c r="B288" s="3" t="s">
        <v>22</v>
      </c>
      <c r="C288" s="3" t="s">
        <v>33</v>
      </c>
      <c r="D288" s="3" t="s">
        <v>24</v>
      </c>
      <c r="E288" s="3" t="s">
        <v>24</v>
      </c>
      <c r="F288" s="3" t="s">
        <v>25</v>
      </c>
      <c r="G288" s="3" t="s">
        <v>25</v>
      </c>
      <c r="H288" s="3" t="s">
        <v>34</v>
      </c>
      <c r="I288" s="6">
        <v>44531</v>
      </c>
      <c r="J288" s="4">
        <v>0</v>
      </c>
      <c r="K288" s="4">
        <v>0</v>
      </c>
      <c r="L288" s="4">
        <v>5.5E-2</v>
      </c>
      <c r="M288" s="4">
        <v>5.5E-2</v>
      </c>
      <c r="N288" s="4">
        <v>5.5E-2</v>
      </c>
      <c r="O288" s="4">
        <v>5.5E-2</v>
      </c>
      <c r="P288" s="4">
        <v>0</v>
      </c>
      <c r="Q288" s="3" t="s">
        <v>26</v>
      </c>
      <c r="R288" s="3">
        <v>0</v>
      </c>
      <c r="S288" s="4">
        <v>0</v>
      </c>
      <c r="T288" s="4">
        <v>16</v>
      </c>
      <c r="U288" s="4">
        <v>56</v>
      </c>
      <c r="V288" s="4">
        <f>IF(ISERROR(VLOOKUP($S$288,'TAR FIN'!$A$1:$O$91,15,0)),0,VLOOKUP($S$288,'TAR FIN'!$A$1:$O$91,15,0))</f>
        <v>0</v>
      </c>
      <c r="W288" s="4">
        <f>IF(ISERROR(VLOOKUP($T$288,'TAR FIN'!$A$1:$O$91,15,0)),0,VLOOKUP($T$288,'TAR FIN'!$A$1:$O$91,15,0))</f>
        <v>907.08</v>
      </c>
      <c r="X288" s="4">
        <f>IF(ISERROR(VLOOKUP($U$288,'TAR FIN'!$A$1:$O$91,15,0)),0,VLOOKUP($U$288,'TAR FIN'!$A$1:$O$91,15,0))</f>
        <v>298.83999999999997</v>
      </c>
      <c r="Y288" s="4"/>
      <c r="Z288" s="4">
        <f ca="1">('TUSD BE'!$AM$20+'TUSD BF'!$AM$20+'TUSD CVA'!$AM$20)*1</f>
        <v>1081.4828785686461</v>
      </c>
      <c r="AA288" s="4">
        <f>('TE BE'!$AB$11+'TE BF'!$AB$11+'TE CVA'!$AB$11)*1</f>
        <v>311.4117891483653</v>
      </c>
      <c r="AB288" s="4">
        <f>$K$288*$V$288</f>
        <v>0</v>
      </c>
      <c r="AC288" s="4">
        <f>$M$288*$W$288</f>
        <v>49.889400000000002</v>
      </c>
      <c r="AD288" s="4">
        <f>$O$288*$X$288</f>
        <v>16.436199999999999</v>
      </c>
      <c r="AE288" s="4">
        <f>$K$288*$Y$288</f>
        <v>0</v>
      </c>
      <c r="AF288" s="4">
        <f ca="1">$M$288*$Z$288</f>
        <v>59.481558321275536</v>
      </c>
      <c r="AG288" s="4">
        <f>$O$288*$AA$288</f>
        <v>17.127648403160091</v>
      </c>
    </row>
    <row r="289" spans="1:33" ht="11.25" customHeight="1" x14ac:dyDescent="0.3">
      <c r="A289" s="3" t="s">
        <v>21</v>
      </c>
      <c r="B289" s="3" t="s">
        <v>22</v>
      </c>
      <c r="C289" s="3" t="s">
        <v>33</v>
      </c>
      <c r="D289" s="3" t="s">
        <v>24</v>
      </c>
      <c r="E289" s="3" t="s">
        <v>24</v>
      </c>
      <c r="F289" s="3" t="s">
        <v>25</v>
      </c>
      <c r="G289" s="3" t="s">
        <v>25</v>
      </c>
      <c r="H289" s="3" t="s">
        <v>34</v>
      </c>
      <c r="I289" s="6">
        <v>44562</v>
      </c>
      <c r="J289" s="4">
        <v>0</v>
      </c>
      <c r="K289" s="4">
        <v>0</v>
      </c>
      <c r="L289" s="4">
        <v>6.3E-2</v>
      </c>
      <c r="M289" s="4">
        <v>6.3E-2</v>
      </c>
      <c r="N289" s="4">
        <v>6.3E-2</v>
      </c>
      <c r="O289" s="4">
        <v>6.3E-2</v>
      </c>
      <c r="P289" s="4">
        <v>0</v>
      </c>
      <c r="Q289" s="3" t="s">
        <v>26</v>
      </c>
      <c r="R289" s="3">
        <v>0</v>
      </c>
      <c r="S289" s="4">
        <v>0</v>
      </c>
      <c r="T289" s="4">
        <v>16</v>
      </c>
      <c r="U289" s="4">
        <v>56</v>
      </c>
      <c r="V289" s="4">
        <f>IF(ISERROR(VLOOKUP($S$289,'TAR FIN'!$A$1:$O$91,15,0)),0,VLOOKUP($S$289,'TAR FIN'!$A$1:$O$91,15,0))</f>
        <v>0</v>
      </c>
      <c r="W289" s="4">
        <f>IF(ISERROR(VLOOKUP($T$289,'TAR FIN'!$A$1:$O$91,15,0)),0,VLOOKUP($T$289,'TAR FIN'!$A$1:$O$91,15,0))</f>
        <v>907.08</v>
      </c>
      <c r="X289" s="4">
        <f>IF(ISERROR(VLOOKUP($U$289,'TAR FIN'!$A$1:$O$91,15,0)),0,VLOOKUP($U$289,'TAR FIN'!$A$1:$O$91,15,0))</f>
        <v>298.83999999999997</v>
      </c>
      <c r="Y289" s="4"/>
      <c r="Z289" s="4">
        <f ca="1">('TUSD BE'!$AM$20+'TUSD BF'!$AM$20+'TUSD CVA'!$AM$20)*1</f>
        <v>1081.4828785686461</v>
      </c>
      <c r="AA289" s="4">
        <f>('TE BE'!$AB$11+'TE BF'!$AB$11+'TE CVA'!$AB$11)*1</f>
        <v>311.4117891483653</v>
      </c>
      <c r="AB289" s="4">
        <f>$K$289*$V$289</f>
        <v>0</v>
      </c>
      <c r="AC289" s="4">
        <f>$M$289*$W$289</f>
        <v>57.146040000000006</v>
      </c>
      <c r="AD289" s="4">
        <f>$O$289*$X$289</f>
        <v>18.826919999999998</v>
      </c>
      <c r="AE289" s="4">
        <f>$K$289*$Y$289</f>
        <v>0</v>
      </c>
      <c r="AF289" s="4">
        <f ca="1">$M$289*$Z$289</f>
        <v>68.133421349824701</v>
      </c>
      <c r="AG289" s="4">
        <f>$O$289*$AA$289</f>
        <v>19.618942716347014</v>
      </c>
    </row>
    <row r="290" spans="1:33" ht="11.25" customHeight="1" x14ac:dyDescent="0.3">
      <c r="A290" s="3" t="s">
        <v>21</v>
      </c>
      <c r="B290" s="3" t="s">
        <v>22</v>
      </c>
      <c r="C290" s="3" t="s">
        <v>33</v>
      </c>
      <c r="D290" s="3" t="s">
        <v>24</v>
      </c>
      <c r="E290" s="3" t="s">
        <v>24</v>
      </c>
      <c r="F290" s="3" t="s">
        <v>25</v>
      </c>
      <c r="G290" s="3" t="s">
        <v>25</v>
      </c>
      <c r="H290" s="3" t="s">
        <v>34</v>
      </c>
      <c r="I290" s="6">
        <v>44593</v>
      </c>
      <c r="J290" s="4">
        <v>0</v>
      </c>
      <c r="K290" s="4">
        <v>0</v>
      </c>
      <c r="L290" s="4">
        <v>7.8E-2</v>
      </c>
      <c r="M290" s="4">
        <v>7.8E-2</v>
      </c>
      <c r="N290" s="4">
        <v>7.8E-2</v>
      </c>
      <c r="O290" s="4">
        <v>7.8E-2</v>
      </c>
      <c r="P290" s="4">
        <v>0</v>
      </c>
      <c r="Q290" s="3" t="s">
        <v>26</v>
      </c>
      <c r="R290" s="3">
        <v>0</v>
      </c>
      <c r="S290" s="4">
        <v>0</v>
      </c>
      <c r="T290" s="4">
        <v>16</v>
      </c>
      <c r="U290" s="4">
        <v>56</v>
      </c>
      <c r="V290" s="4">
        <f>IF(ISERROR(VLOOKUP($S$290,'TAR FIN'!$A$1:$O$91,15,0)),0,VLOOKUP($S$290,'TAR FIN'!$A$1:$O$91,15,0))</f>
        <v>0</v>
      </c>
      <c r="W290" s="4">
        <f>IF(ISERROR(VLOOKUP($T$290,'TAR FIN'!$A$1:$O$91,15,0)),0,VLOOKUP($T$290,'TAR FIN'!$A$1:$O$91,15,0))</f>
        <v>907.08</v>
      </c>
      <c r="X290" s="4">
        <f>IF(ISERROR(VLOOKUP($U$290,'TAR FIN'!$A$1:$O$91,15,0)),0,VLOOKUP($U$290,'TAR FIN'!$A$1:$O$91,15,0))</f>
        <v>298.83999999999997</v>
      </c>
      <c r="Y290" s="4"/>
      <c r="Z290" s="4">
        <f ca="1">('TUSD BE'!$AM$20+'TUSD BF'!$AM$20+'TUSD CVA'!$AM$20)*1</f>
        <v>1081.4828785686461</v>
      </c>
      <c r="AA290" s="4">
        <f>('TE BE'!$AB$11+'TE BF'!$AB$11+'TE CVA'!$AB$11)*1</f>
        <v>311.4117891483653</v>
      </c>
      <c r="AB290" s="4">
        <f>$K$290*$V$290</f>
        <v>0</v>
      </c>
      <c r="AC290" s="4">
        <f>$M$290*$W$290</f>
        <v>70.75224</v>
      </c>
      <c r="AD290" s="4">
        <f>$O$290*$X$290</f>
        <v>23.309519999999999</v>
      </c>
      <c r="AE290" s="4">
        <f>$K$290*$Y$290</f>
        <v>0</v>
      </c>
      <c r="AF290" s="4">
        <f ca="1">$M$290*$Z$290</f>
        <v>84.355664528354396</v>
      </c>
      <c r="AG290" s="4">
        <f>$O$290*$AA$290</f>
        <v>24.290119553572495</v>
      </c>
    </row>
    <row r="291" spans="1:33" ht="11.25" customHeight="1" x14ac:dyDescent="0.3">
      <c r="A291" s="3" t="s">
        <v>21</v>
      </c>
      <c r="B291" s="3" t="s">
        <v>22</v>
      </c>
      <c r="C291" s="3" t="s">
        <v>33</v>
      </c>
      <c r="D291" s="3" t="s">
        <v>24</v>
      </c>
      <c r="E291" s="3" t="s">
        <v>24</v>
      </c>
      <c r="F291" s="3" t="s">
        <v>25</v>
      </c>
      <c r="G291" s="3" t="s">
        <v>25</v>
      </c>
      <c r="H291" s="3" t="s">
        <v>34</v>
      </c>
      <c r="I291" s="6">
        <v>44621</v>
      </c>
      <c r="J291" s="4">
        <v>0</v>
      </c>
      <c r="K291" s="4">
        <v>0</v>
      </c>
      <c r="L291" s="4">
        <v>6.9000000000000006E-2</v>
      </c>
      <c r="M291" s="4">
        <v>6.9000000000000006E-2</v>
      </c>
      <c r="N291" s="4">
        <v>6.9000000000000006E-2</v>
      </c>
      <c r="O291" s="4">
        <v>6.9000000000000006E-2</v>
      </c>
      <c r="P291" s="4">
        <v>0</v>
      </c>
      <c r="Q291" s="3" t="s">
        <v>26</v>
      </c>
      <c r="R291" s="3">
        <v>0</v>
      </c>
      <c r="S291" s="4">
        <v>0</v>
      </c>
      <c r="T291" s="4">
        <v>16</v>
      </c>
      <c r="U291" s="4">
        <v>56</v>
      </c>
      <c r="V291" s="4">
        <f>IF(ISERROR(VLOOKUP($S$291,'TAR FIN'!$A$1:$O$91,15,0)),0,VLOOKUP($S$291,'TAR FIN'!$A$1:$O$91,15,0))</f>
        <v>0</v>
      </c>
      <c r="W291" s="4">
        <f>IF(ISERROR(VLOOKUP($T$291,'TAR FIN'!$A$1:$O$91,15,0)),0,VLOOKUP($T$291,'TAR FIN'!$A$1:$O$91,15,0))</f>
        <v>907.08</v>
      </c>
      <c r="X291" s="4">
        <f>IF(ISERROR(VLOOKUP($U$291,'TAR FIN'!$A$1:$O$91,15,0)),0,VLOOKUP($U$291,'TAR FIN'!$A$1:$O$91,15,0))</f>
        <v>298.83999999999997</v>
      </c>
      <c r="Y291" s="4"/>
      <c r="Z291" s="4">
        <f ca="1">('TUSD BE'!$AM$20+'TUSD BF'!$AM$20+'TUSD CVA'!$AM$20)*1</f>
        <v>1081.4828785686461</v>
      </c>
      <c r="AA291" s="4">
        <f>('TE BE'!$AB$11+'TE BF'!$AB$11+'TE CVA'!$AB$11)*1</f>
        <v>311.4117891483653</v>
      </c>
      <c r="AB291" s="4">
        <f>$K$291*$V$291</f>
        <v>0</v>
      </c>
      <c r="AC291" s="4">
        <f>$M$291*$W$291</f>
        <v>62.58852000000001</v>
      </c>
      <c r="AD291" s="4">
        <f>$O$291*$X$291</f>
        <v>20.619959999999999</v>
      </c>
      <c r="AE291" s="4">
        <f>$K$291*$Y$291</f>
        <v>0</v>
      </c>
      <c r="AF291" s="4">
        <f ca="1">$M$291*$Z$291</f>
        <v>74.622318621236587</v>
      </c>
      <c r="AG291" s="4">
        <f>$O$291*$AA$291</f>
        <v>21.487413451237206</v>
      </c>
    </row>
    <row r="292" spans="1:33" ht="11.25" customHeight="1" x14ac:dyDescent="0.3">
      <c r="A292" s="3" t="s">
        <v>21</v>
      </c>
      <c r="B292" s="3" t="s">
        <v>22</v>
      </c>
      <c r="C292" s="3" t="s">
        <v>33</v>
      </c>
      <c r="D292" s="3" t="s">
        <v>24</v>
      </c>
      <c r="E292" s="3" t="s">
        <v>24</v>
      </c>
      <c r="F292" s="3" t="s">
        <v>25</v>
      </c>
      <c r="G292" s="3" t="s">
        <v>25</v>
      </c>
      <c r="H292" s="3" t="s">
        <v>34</v>
      </c>
      <c r="I292" s="6">
        <v>44652</v>
      </c>
      <c r="J292" s="4">
        <v>0</v>
      </c>
      <c r="K292" s="4">
        <v>0</v>
      </c>
      <c r="L292" s="4">
        <v>4.2000000000000003E-2</v>
      </c>
      <c r="M292" s="4">
        <v>4.2000000000000003E-2</v>
      </c>
      <c r="N292" s="4">
        <v>4.2000000000000003E-2</v>
      </c>
      <c r="O292" s="4">
        <v>4.2000000000000003E-2</v>
      </c>
      <c r="P292" s="4">
        <v>0</v>
      </c>
      <c r="Q292" s="3" t="s">
        <v>26</v>
      </c>
      <c r="R292" s="3">
        <v>0</v>
      </c>
      <c r="S292" s="4">
        <v>0</v>
      </c>
      <c r="T292" s="4">
        <v>16</v>
      </c>
      <c r="U292" s="4">
        <v>56</v>
      </c>
      <c r="V292" s="4">
        <f>IF(ISERROR(VLOOKUP($S$292,'TAR FIN'!$A$1:$O$91,15,0)),0,VLOOKUP($S$292,'TAR FIN'!$A$1:$O$91,15,0))</f>
        <v>0</v>
      </c>
      <c r="W292" s="4">
        <f>IF(ISERROR(VLOOKUP($T$292,'TAR FIN'!$A$1:$O$91,15,0)),0,VLOOKUP($T$292,'TAR FIN'!$A$1:$O$91,15,0))</f>
        <v>907.08</v>
      </c>
      <c r="X292" s="4">
        <f>IF(ISERROR(VLOOKUP($U$292,'TAR FIN'!$A$1:$O$91,15,0)),0,VLOOKUP($U$292,'TAR FIN'!$A$1:$O$91,15,0))</f>
        <v>298.83999999999997</v>
      </c>
      <c r="Y292" s="4"/>
      <c r="Z292" s="4">
        <f ca="1">('TUSD BE'!$AM$20+'TUSD BF'!$AM$20+'TUSD CVA'!$AM$20)*1</f>
        <v>1081.4828785686461</v>
      </c>
      <c r="AA292" s="4">
        <f>('TE BE'!$AB$11+'TE BF'!$AB$11+'TE CVA'!$AB$11)*1</f>
        <v>311.4117891483653</v>
      </c>
      <c r="AB292" s="4">
        <f>$K$292*$V$292</f>
        <v>0</v>
      </c>
      <c r="AC292" s="4">
        <f>$M$292*$W$292</f>
        <v>38.097360000000002</v>
      </c>
      <c r="AD292" s="4">
        <f>$O$292*$X$292</f>
        <v>12.55128</v>
      </c>
      <c r="AE292" s="4">
        <f>$K$292*$Y$292</f>
        <v>0</v>
      </c>
      <c r="AF292" s="4">
        <f ca="1">$M$292*$Z$292</f>
        <v>45.422280899883141</v>
      </c>
      <c r="AG292" s="4">
        <f>$O$292*$AA$292</f>
        <v>13.079295144231343</v>
      </c>
    </row>
    <row r="293" spans="1:33" ht="11.25" customHeight="1" x14ac:dyDescent="0.3">
      <c r="A293" s="3" t="s">
        <v>21</v>
      </c>
      <c r="B293" s="3" t="s">
        <v>22</v>
      </c>
      <c r="C293" s="3" t="s">
        <v>33</v>
      </c>
      <c r="D293" s="3" t="s">
        <v>24</v>
      </c>
      <c r="E293" s="3" t="s">
        <v>24</v>
      </c>
      <c r="F293" s="3" t="s">
        <v>25</v>
      </c>
      <c r="G293" s="3" t="s">
        <v>25</v>
      </c>
      <c r="H293" s="3" t="s">
        <v>34</v>
      </c>
      <c r="I293" s="6">
        <v>44682</v>
      </c>
      <c r="J293" s="4">
        <v>0</v>
      </c>
      <c r="K293" s="4">
        <v>0</v>
      </c>
      <c r="L293" s="4">
        <v>4.3999999999999997E-2</v>
      </c>
      <c r="M293" s="4">
        <v>4.3999999999999997E-2</v>
      </c>
      <c r="N293" s="4">
        <v>4.3999999999999997E-2</v>
      </c>
      <c r="O293" s="4">
        <v>4.3999999999999997E-2</v>
      </c>
      <c r="P293" s="4">
        <v>0</v>
      </c>
      <c r="Q293" s="3" t="s">
        <v>26</v>
      </c>
      <c r="R293" s="3">
        <v>0</v>
      </c>
      <c r="S293" s="4">
        <v>0</v>
      </c>
      <c r="T293" s="4">
        <v>16</v>
      </c>
      <c r="U293" s="4">
        <v>56</v>
      </c>
      <c r="V293" s="4">
        <f>IF(ISERROR(VLOOKUP($S$293,'TAR FIN'!$A$1:$O$91,15,0)),0,VLOOKUP($S$293,'TAR FIN'!$A$1:$O$91,15,0))</f>
        <v>0</v>
      </c>
      <c r="W293" s="4">
        <f>IF(ISERROR(VLOOKUP($T$293,'TAR FIN'!$A$1:$O$91,15,0)),0,VLOOKUP($T$293,'TAR FIN'!$A$1:$O$91,15,0))</f>
        <v>907.08</v>
      </c>
      <c r="X293" s="4">
        <f>IF(ISERROR(VLOOKUP($U$293,'TAR FIN'!$A$1:$O$91,15,0)),0,VLOOKUP($U$293,'TAR FIN'!$A$1:$O$91,15,0))</f>
        <v>298.83999999999997</v>
      </c>
      <c r="Y293" s="4"/>
      <c r="Z293" s="4">
        <f ca="1">('TUSD BE'!$AM$20+'TUSD BF'!$AM$20+'TUSD CVA'!$AM$20)*1</f>
        <v>1081.4828785686461</v>
      </c>
      <c r="AA293" s="4">
        <f>('TE BE'!$AB$11+'TE BF'!$AB$11+'TE CVA'!$AB$11)*1</f>
        <v>311.4117891483653</v>
      </c>
      <c r="AB293" s="4">
        <f>$K$293*$V$293</f>
        <v>0</v>
      </c>
      <c r="AC293" s="4">
        <f>$M$293*$W$293</f>
        <v>39.911520000000003</v>
      </c>
      <c r="AD293" s="4">
        <f>$O$293*$X$293</f>
        <v>13.148959999999999</v>
      </c>
      <c r="AE293" s="4">
        <f>$K$293*$Y$293</f>
        <v>0</v>
      </c>
      <c r="AF293" s="4">
        <f ca="1">$M$293*$Z$293</f>
        <v>47.585246657020427</v>
      </c>
      <c r="AG293" s="4">
        <f>$O$293*$AA$293</f>
        <v>13.702118722528072</v>
      </c>
    </row>
    <row r="294" spans="1:33" ht="11.25" customHeight="1" x14ac:dyDescent="0.3">
      <c r="A294" s="3" t="s">
        <v>21</v>
      </c>
      <c r="B294" s="3" t="s">
        <v>22</v>
      </c>
      <c r="C294" s="3" t="s">
        <v>33</v>
      </c>
      <c r="D294" s="3" t="s">
        <v>24</v>
      </c>
      <c r="E294" s="3" t="s">
        <v>24</v>
      </c>
      <c r="F294" s="3" t="s">
        <v>25</v>
      </c>
      <c r="G294" s="3" t="s">
        <v>25</v>
      </c>
      <c r="H294" s="3" t="s">
        <v>34</v>
      </c>
      <c r="I294" s="6">
        <v>44713</v>
      </c>
      <c r="J294" s="4">
        <v>0</v>
      </c>
      <c r="K294" s="4">
        <v>0</v>
      </c>
      <c r="L294" s="4">
        <v>7.0000000000000007E-2</v>
      </c>
      <c r="M294" s="4">
        <v>7.0000000000000007E-2</v>
      </c>
      <c r="N294" s="4">
        <v>7.0000000000000007E-2</v>
      </c>
      <c r="O294" s="4">
        <v>7.0000000000000007E-2</v>
      </c>
      <c r="P294" s="4">
        <v>0</v>
      </c>
      <c r="Q294" s="3" t="s">
        <v>26</v>
      </c>
      <c r="R294" s="3">
        <v>0</v>
      </c>
      <c r="S294" s="4">
        <v>0</v>
      </c>
      <c r="T294" s="4">
        <v>16</v>
      </c>
      <c r="U294" s="4">
        <v>56</v>
      </c>
      <c r="V294" s="4">
        <f>IF(ISERROR(VLOOKUP($S$294,'TAR FIN'!$A$1:$O$91,15,0)),0,VLOOKUP($S$294,'TAR FIN'!$A$1:$O$91,15,0))</f>
        <v>0</v>
      </c>
      <c r="W294" s="4">
        <f>IF(ISERROR(VLOOKUP($T$294,'TAR FIN'!$A$1:$O$91,15,0)),0,VLOOKUP($T$294,'TAR FIN'!$A$1:$O$91,15,0))</f>
        <v>907.08</v>
      </c>
      <c r="X294" s="4">
        <f>IF(ISERROR(VLOOKUP($U$294,'TAR FIN'!$A$1:$O$91,15,0)),0,VLOOKUP($U$294,'TAR FIN'!$A$1:$O$91,15,0))</f>
        <v>298.83999999999997</v>
      </c>
      <c r="Y294" s="4"/>
      <c r="Z294" s="4">
        <f ca="1">('TUSD BE'!$AM$20+'TUSD BF'!$AM$20+'TUSD CVA'!$AM$20)*1</f>
        <v>1081.4828785686461</v>
      </c>
      <c r="AA294" s="4">
        <f>('TE BE'!$AB$11+'TE BF'!$AB$11+'TE CVA'!$AB$11)*1</f>
        <v>311.4117891483653</v>
      </c>
      <c r="AB294" s="4">
        <f>$K$294*$V$294</f>
        <v>0</v>
      </c>
      <c r="AC294" s="4">
        <f>$M$294*$W$294</f>
        <v>63.49560000000001</v>
      </c>
      <c r="AD294" s="4">
        <f>$O$294*$X$294</f>
        <v>20.918800000000001</v>
      </c>
      <c r="AE294" s="4">
        <f>$K$294*$Y$294</f>
        <v>0</v>
      </c>
      <c r="AF294" s="4">
        <f ca="1">$M$294*$Z$294</f>
        <v>75.703801499805238</v>
      </c>
      <c r="AG294" s="4">
        <f>$O$294*$AA$294</f>
        <v>21.798825240385572</v>
      </c>
    </row>
    <row r="295" spans="1:33" ht="11.25" customHeight="1" x14ac:dyDescent="0.3">
      <c r="A295" s="3" t="s">
        <v>21</v>
      </c>
      <c r="B295" s="3" t="s">
        <v>22</v>
      </c>
      <c r="C295" s="3" t="s">
        <v>23</v>
      </c>
      <c r="D295" s="3" t="s">
        <v>24</v>
      </c>
      <c r="E295" s="3" t="s">
        <v>24</v>
      </c>
      <c r="F295" s="3" t="s">
        <v>25</v>
      </c>
      <c r="G295" s="3" t="s">
        <v>25</v>
      </c>
      <c r="H295" s="3" t="s">
        <v>25</v>
      </c>
      <c r="I295" s="6">
        <v>44378</v>
      </c>
      <c r="J295" s="4">
        <v>0</v>
      </c>
      <c r="K295" s="4">
        <v>0</v>
      </c>
      <c r="L295" s="4">
        <v>1503.675</v>
      </c>
      <c r="M295" s="4">
        <v>1503.675</v>
      </c>
      <c r="N295" s="4">
        <v>1503.675</v>
      </c>
      <c r="O295" s="4">
        <v>1503.675</v>
      </c>
      <c r="P295" s="4">
        <v>9100</v>
      </c>
      <c r="Q295" s="3" t="s">
        <v>26</v>
      </c>
      <c r="R295" s="3">
        <v>0</v>
      </c>
      <c r="S295" s="4">
        <v>0</v>
      </c>
      <c r="T295" s="4">
        <v>19</v>
      </c>
      <c r="U295" s="4">
        <v>59</v>
      </c>
      <c r="V295" s="4">
        <f>IF(ISERROR(VLOOKUP($S$295,'TAR FIN'!$A$1:$O$91,15,0)),0,VLOOKUP($S$295,'TAR FIN'!$A$1:$O$91,15,0))</f>
        <v>0</v>
      </c>
      <c r="W295" s="4">
        <f>IF(ISERROR(VLOOKUP($T$295,'TAR FIN'!$A$1:$O$91,15,0)),0,VLOOKUP($T$295,'TAR FIN'!$A$1:$O$91,15,0))</f>
        <v>406.52</v>
      </c>
      <c r="X295" s="4">
        <f>IF(ISERROR(VLOOKUP($U$295,'TAR FIN'!$A$1:$O$91,15,0)),0,VLOOKUP($U$295,'TAR FIN'!$A$1:$O$91,15,0))</f>
        <v>199.03</v>
      </c>
      <c r="Y295" s="4"/>
      <c r="Z295" s="4">
        <f ca="1">('TUSD BE'!$AM$23+'TUSD BF'!$AM$23+'TUSD CVA'!$AM$23)*1</f>
        <v>446.02270810064761</v>
      </c>
      <c r="AA295" s="4">
        <f>('TE BE'!$AB$14+'TE BF'!$AB$14+'TE CVA'!$AB$14)*1</f>
        <v>205.52329867469447</v>
      </c>
      <c r="AB295" s="4">
        <f>$K$295*$V$295</f>
        <v>0</v>
      </c>
      <c r="AC295" s="4">
        <f>$M$295*$W$295</f>
        <v>611273.96100000001</v>
      </c>
      <c r="AD295" s="4">
        <f>$O$295*$X$295</f>
        <v>299276.43524999998</v>
      </c>
      <c r="AE295" s="4">
        <f>$K$295*$Y$295</f>
        <v>0</v>
      </c>
      <c r="AF295" s="4">
        <f ca="1">$M$295*$Z$295</f>
        <v>670673.19560324121</v>
      </c>
      <c r="AG295" s="4">
        <f>$O$295*$AA$295</f>
        <v>309040.24613467121</v>
      </c>
    </row>
    <row r="296" spans="1:33" ht="11.25" customHeight="1" x14ac:dyDescent="0.3">
      <c r="A296" s="3" t="s">
        <v>27</v>
      </c>
      <c r="B296" s="3" t="s">
        <v>22</v>
      </c>
      <c r="C296" s="3" t="s">
        <v>23</v>
      </c>
      <c r="D296" s="3" t="s">
        <v>24</v>
      </c>
      <c r="E296" s="3" t="s">
        <v>24</v>
      </c>
      <c r="F296" s="3" t="s">
        <v>25</v>
      </c>
      <c r="G296" s="3" t="s">
        <v>25</v>
      </c>
      <c r="H296" s="3" t="s">
        <v>25</v>
      </c>
      <c r="I296" s="6">
        <v>44378</v>
      </c>
      <c r="J296" s="4">
        <v>0</v>
      </c>
      <c r="K296" s="4">
        <v>0</v>
      </c>
      <c r="L296" s="4">
        <v>-2.8140000000000001</v>
      </c>
      <c r="M296" s="4">
        <v>-2.8140000000000001</v>
      </c>
      <c r="N296" s="4">
        <v>-2.8140000000000001</v>
      </c>
      <c r="O296" s="4">
        <v>-2.8140000000000001</v>
      </c>
      <c r="P296" s="4">
        <v>0</v>
      </c>
      <c r="Q296" s="3" t="s">
        <v>26</v>
      </c>
      <c r="R296" s="3">
        <v>0</v>
      </c>
      <c r="S296" s="4">
        <v>0</v>
      </c>
      <c r="T296" s="4">
        <v>19</v>
      </c>
      <c r="U296" s="4">
        <v>59</v>
      </c>
      <c r="V296" s="4">
        <f>IF(ISERROR(VLOOKUP($S$296,'TAR FIN'!$A$1:$O$91,15,0)),0,VLOOKUP($S$296,'TAR FIN'!$A$1:$O$91,15,0))</f>
        <v>0</v>
      </c>
      <c r="W296" s="4">
        <f>IF(ISERROR(VLOOKUP($T$296,'TAR FIN'!$A$1:$O$91,15,0)),0,VLOOKUP($T$296,'TAR FIN'!$A$1:$O$91,15,0))</f>
        <v>406.52</v>
      </c>
      <c r="X296" s="4">
        <f>IF(ISERROR(VLOOKUP($U$296,'TAR FIN'!$A$1:$O$91,15,0)),0,VLOOKUP($U$296,'TAR FIN'!$A$1:$O$91,15,0))</f>
        <v>199.03</v>
      </c>
      <c r="Y296" s="4"/>
      <c r="Z296" s="4">
        <f ca="1">('TUSD BE'!$AM$23+'TUSD BF'!$AM$23+'TUSD CVA'!$AM$23)*1</f>
        <v>446.02270810064761</v>
      </c>
      <c r="AA296" s="4">
        <f>('TE BE'!$AB$14+'TE BF'!$AB$14+'TE CVA'!$AB$14)*1</f>
        <v>205.52329867469447</v>
      </c>
      <c r="AB296" s="4">
        <f>$K$296*$V$296</f>
        <v>0</v>
      </c>
      <c r="AC296" s="4">
        <f>$M$296*$W$296</f>
        <v>-1143.9472799999999</v>
      </c>
      <c r="AD296" s="4">
        <f>$O$296*$X$296</f>
        <v>-560.07042000000001</v>
      </c>
      <c r="AE296" s="4">
        <f>$K$296*$Y$296</f>
        <v>0</v>
      </c>
      <c r="AF296" s="4">
        <f ca="1">$M$296*$Z$296</f>
        <v>-1255.1079005952224</v>
      </c>
      <c r="AG296" s="4">
        <f>$O$296*$AA$296</f>
        <v>-578.34256247059022</v>
      </c>
    </row>
    <row r="297" spans="1:33" ht="11.25" customHeight="1" x14ac:dyDescent="0.3">
      <c r="A297" s="3" t="s">
        <v>28</v>
      </c>
      <c r="B297" s="3" t="s">
        <v>22</v>
      </c>
      <c r="C297" s="3" t="s">
        <v>23</v>
      </c>
      <c r="D297" s="3" t="s">
        <v>24</v>
      </c>
      <c r="E297" s="3" t="s">
        <v>24</v>
      </c>
      <c r="F297" s="3" t="s">
        <v>25</v>
      </c>
      <c r="G297" s="3" t="s">
        <v>25</v>
      </c>
      <c r="H297" s="3" t="s">
        <v>25</v>
      </c>
      <c r="I297" s="6">
        <v>44378</v>
      </c>
      <c r="J297" s="4">
        <v>0</v>
      </c>
      <c r="K297" s="4">
        <v>0</v>
      </c>
      <c r="L297" s="4">
        <v>38.305999999999997</v>
      </c>
      <c r="M297" s="4">
        <v>38.305999999999997</v>
      </c>
      <c r="N297" s="4">
        <v>38.305999999999997</v>
      </c>
      <c r="O297" s="4">
        <v>38.305999999999997</v>
      </c>
      <c r="P297" s="4">
        <v>150</v>
      </c>
      <c r="Q297" s="3" t="s">
        <v>26</v>
      </c>
      <c r="R297" s="3">
        <v>0</v>
      </c>
      <c r="S297" s="4">
        <v>0</v>
      </c>
      <c r="T297" s="4">
        <v>19</v>
      </c>
      <c r="U297" s="4">
        <v>59</v>
      </c>
      <c r="V297" s="4">
        <f>IF(ISERROR(VLOOKUP($S$297,'TAR FIN'!$A$1:$O$91,15,0)),0,VLOOKUP($S$297,'TAR FIN'!$A$1:$O$91,15,0))</f>
        <v>0</v>
      </c>
      <c r="W297" s="4">
        <f>IF(ISERROR(VLOOKUP($T$297,'TAR FIN'!$A$1:$O$91,15,0)),0,VLOOKUP($T$297,'TAR FIN'!$A$1:$O$91,15,0))</f>
        <v>406.52</v>
      </c>
      <c r="X297" s="4">
        <f>IF(ISERROR(VLOOKUP($U$297,'TAR FIN'!$A$1:$O$91,15,0)),0,VLOOKUP($U$297,'TAR FIN'!$A$1:$O$91,15,0))</f>
        <v>199.03</v>
      </c>
      <c r="Y297" s="4"/>
      <c r="Z297" s="4">
        <f ca="1">('TUSD BE'!$AM$23+'TUSD BF'!$AM$23+'TUSD CVA'!$AM$23)*1</f>
        <v>446.02270810064761</v>
      </c>
      <c r="AA297" s="4">
        <f>('TE BE'!$AB$14+'TE BF'!$AB$14+'TE CVA'!$AB$14)*1</f>
        <v>205.52329867469447</v>
      </c>
      <c r="AB297" s="4">
        <f>$K$297*$V$297</f>
        <v>0</v>
      </c>
      <c r="AC297" s="4">
        <f>$M$297*$W$297</f>
        <v>15572.155119999998</v>
      </c>
      <c r="AD297" s="4">
        <f>$O$297*$X$297</f>
        <v>7624.0431799999997</v>
      </c>
      <c r="AE297" s="4">
        <f>$K$297*$Y$297</f>
        <v>0</v>
      </c>
      <c r="AF297" s="4">
        <f ca="1">$M$297*$Z$297</f>
        <v>17085.345856503405</v>
      </c>
      <c r="AG297" s="4">
        <f>$O$297*$AA$297</f>
        <v>7872.7754790328463</v>
      </c>
    </row>
    <row r="298" spans="1:33" ht="11.25" customHeight="1" x14ac:dyDescent="0.3">
      <c r="A298" s="3" t="s">
        <v>21</v>
      </c>
      <c r="B298" s="3" t="s">
        <v>22</v>
      </c>
      <c r="C298" s="3" t="s">
        <v>23</v>
      </c>
      <c r="D298" s="3" t="s">
        <v>24</v>
      </c>
      <c r="E298" s="3" t="s">
        <v>24</v>
      </c>
      <c r="F298" s="3" t="s">
        <v>25</v>
      </c>
      <c r="G298" s="3" t="s">
        <v>25</v>
      </c>
      <c r="H298" s="3" t="s">
        <v>25</v>
      </c>
      <c r="I298" s="6">
        <v>44409</v>
      </c>
      <c r="J298" s="4">
        <v>0</v>
      </c>
      <c r="K298" s="4">
        <v>0</v>
      </c>
      <c r="L298" s="4">
        <v>1619.2529999999999</v>
      </c>
      <c r="M298" s="4">
        <v>1619.2529999999999</v>
      </c>
      <c r="N298" s="4">
        <v>1619.2529999999999</v>
      </c>
      <c r="O298" s="4">
        <v>1619.2529999999999</v>
      </c>
      <c r="P298" s="4">
        <v>9125</v>
      </c>
      <c r="Q298" s="3" t="s">
        <v>26</v>
      </c>
      <c r="R298" s="3">
        <v>0</v>
      </c>
      <c r="S298" s="4">
        <v>0</v>
      </c>
      <c r="T298" s="4">
        <v>19</v>
      </c>
      <c r="U298" s="4">
        <v>59</v>
      </c>
      <c r="V298" s="4">
        <f>IF(ISERROR(VLOOKUP($S$298,'TAR FIN'!$A$1:$O$91,15,0)),0,VLOOKUP($S$298,'TAR FIN'!$A$1:$O$91,15,0))</f>
        <v>0</v>
      </c>
      <c r="W298" s="4">
        <f>IF(ISERROR(VLOOKUP($T$298,'TAR FIN'!$A$1:$O$91,15,0)),0,VLOOKUP($T$298,'TAR FIN'!$A$1:$O$91,15,0))</f>
        <v>406.52</v>
      </c>
      <c r="X298" s="4">
        <f>IF(ISERROR(VLOOKUP($U$298,'TAR FIN'!$A$1:$O$91,15,0)),0,VLOOKUP($U$298,'TAR FIN'!$A$1:$O$91,15,0))</f>
        <v>199.03</v>
      </c>
      <c r="Y298" s="4"/>
      <c r="Z298" s="4">
        <f ca="1">('TUSD BE'!$AM$23+'TUSD BF'!$AM$23+'TUSD CVA'!$AM$23)*1</f>
        <v>446.02270810064761</v>
      </c>
      <c r="AA298" s="4">
        <f>('TE BE'!$AB$14+'TE BF'!$AB$14+'TE CVA'!$AB$14)*1</f>
        <v>205.52329867469447</v>
      </c>
      <c r="AB298" s="4">
        <f>$K$298*$V$298</f>
        <v>0</v>
      </c>
      <c r="AC298" s="4">
        <f>$M$298*$W$298</f>
        <v>658258.72955999989</v>
      </c>
      <c r="AD298" s="4">
        <f>$O$298*$X$298</f>
        <v>322279.92459000001</v>
      </c>
      <c r="AE298" s="4">
        <f>$K$298*$Y$298</f>
        <v>0</v>
      </c>
      <c r="AF298" s="4">
        <f ca="1">$M$298*$Z$298</f>
        <v>722223.60816009785</v>
      </c>
      <c r="AG298" s="4">
        <f>$O$298*$AA$298</f>
        <v>332794.21794889506</v>
      </c>
    </row>
    <row r="299" spans="1:33" ht="11.25" customHeight="1" x14ac:dyDescent="0.3">
      <c r="A299" s="3" t="s">
        <v>27</v>
      </c>
      <c r="B299" s="3" t="s">
        <v>22</v>
      </c>
      <c r="C299" s="3" t="s">
        <v>23</v>
      </c>
      <c r="D299" s="3" t="s">
        <v>24</v>
      </c>
      <c r="E299" s="3" t="s">
        <v>24</v>
      </c>
      <c r="F299" s="3" t="s">
        <v>25</v>
      </c>
      <c r="G299" s="3" t="s">
        <v>25</v>
      </c>
      <c r="H299" s="3" t="s">
        <v>25</v>
      </c>
      <c r="I299" s="6">
        <v>44409</v>
      </c>
      <c r="J299" s="4">
        <v>0</v>
      </c>
      <c r="K299" s="4">
        <v>0</v>
      </c>
      <c r="L299" s="4">
        <v>-8.343</v>
      </c>
      <c r="M299" s="4">
        <v>-8.343</v>
      </c>
      <c r="N299" s="4">
        <v>-8.343</v>
      </c>
      <c r="O299" s="4">
        <v>-8.343</v>
      </c>
      <c r="P299" s="4">
        <v>0</v>
      </c>
      <c r="Q299" s="3" t="s">
        <v>26</v>
      </c>
      <c r="R299" s="3">
        <v>0</v>
      </c>
      <c r="S299" s="4">
        <v>0</v>
      </c>
      <c r="T299" s="4">
        <v>19</v>
      </c>
      <c r="U299" s="4">
        <v>59</v>
      </c>
      <c r="V299" s="4">
        <f>IF(ISERROR(VLOOKUP($S$299,'TAR FIN'!$A$1:$O$91,15,0)),0,VLOOKUP($S$299,'TAR FIN'!$A$1:$O$91,15,0))</f>
        <v>0</v>
      </c>
      <c r="W299" s="4">
        <f>IF(ISERROR(VLOOKUP($T$299,'TAR FIN'!$A$1:$O$91,15,0)),0,VLOOKUP($T$299,'TAR FIN'!$A$1:$O$91,15,0))</f>
        <v>406.52</v>
      </c>
      <c r="X299" s="4">
        <f>IF(ISERROR(VLOOKUP($U$299,'TAR FIN'!$A$1:$O$91,15,0)),0,VLOOKUP($U$299,'TAR FIN'!$A$1:$O$91,15,0))</f>
        <v>199.03</v>
      </c>
      <c r="Y299" s="4"/>
      <c r="Z299" s="4">
        <f ca="1">('TUSD BE'!$AM$23+'TUSD BF'!$AM$23+'TUSD CVA'!$AM$23)*1</f>
        <v>446.02270810064761</v>
      </c>
      <c r="AA299" s="4">
        <f>('TE BE'!$AB$14+'TE BF'!$AB$14+'TE CVA'!$AB$14)*1</f>
        <v>205.52329867469447</v>
      </c>
      <c r="AB299" s="4">
        <f>$K$299*$V$299</f>
        <v>0</v>
      </c>
      <c r="AC299" s="4">
        <f>$M$299*$W$299</f>
        <v>-3391.59636</v>
      </c>
      <c r="AD299" s="4">
        <f>$O$299*$X$299</f>
        <v>-1660.50729</v>
      </c>
      <c r="AE299" s="4">
        <f>$K$299*$Y$299</f>
        <v>0</v>
      </c>
      <c r="AF299" s="4">
        <f ca="1">$M$299*$Z$299</f>
        <v>-3721.1674536837031</v>
      </c>
      <c r="AG299" s="4">
        <f>$O$299*$AA$299</f>
        <v>-1714.680880842976</v>
      </c>
    </row>
    <row r="300" spans="1:33" ht="11.25" customHeight="1" x14ac:dyDescent="0.3">
      <c r="A300" s="3" t="s">
        <v>28</v>
      </c>
      <c r="B300" s="3" t="s">
        <v>22</v>
      </c>
      <c r="C300" s="3" t="s">
        <v>23</v>
      </c>
      <c r="D300" s="3" t="s">
        <v>24</v>
      </c>
      <c r="E300" s="3" t="s">
        <v>24</v>
      </c>
      <c r="F300" s="3" t="s">
        <v>25</v>
      </c>
      <c r="G300" s="3" t="s">
        <v>25</v>
      </c>
      <c r="H300" s="3" t="s">
        <v>25</v>
      </c>
      <c r="I300" s="6">
        <v>44409</v>
      </c>
      <c r="J300" s="4">
        <v>0</v>
      </c>
      <c r="K300" s="4">
        <v>0</v>
      </c>
      <c r="L300" s="4">
        <v>23.1</v>
      </c>
      <c r="M300" s="4">
        <v>23.1</v>
      </c>
      <c r="N300" s="4">
        <v>23.1</v>
      </c>
      <c r="O300" s="4">
        <v>23.1</v>
      </c>
      <c r="P300" s="4">
        <v>154</v>
      </c>
      <c r="Q300" s="3" t="s">
        <v>26</v>
      </c>
      <c r="R300" s="3">
        <v>0</v>
      </c>
      <c r="S300" s="4">
        <v>0</v>
      </c>
      <c r="T300" s="4">
        <v>19</v>
      </c>
      <c r="U300" s="4">
        <v>59</v>
      </c>
      <c r="V300" s="4">
        <f>IF(ISERROR(VLOOKUP($S$300,'TAR FIN'!$A$1:$O$91,15,0)),0,VLOOKUP($S$300,'TAR FIN'!$A$1:$O$91,15,0))</f>
        <v>0</v>
      </c>
      <c r="W300" s="4">
        <f>IF(ISERROR(VLOOKUP($T$300,'TAR FIN'!$A$1:$O$91,15,0)),0,VLOOKUP($T$300,'TAR FIN'!$A$1:$O$91,15,0))</f>
        <v>406.52</v>
      </c>
      <c r="X300" s="4">
        <f>IF(ISERROR(VLOOKUP($U$300,'TAR FIN'!$A$1:$O$91,15,0)),0,VLOOKUP($U$300,'TAR FIN'!$A$1:$O$91,15,0))</f>
        <v>199.03</v>
      </c>
      <c r="Y300" s="4"/>
      <c r="Z300" s="4">
        <f ca="1">('TUSD BE'!$AM$23+'TUSD BF'!$AM$23+'TUSD CVA'!$AM$23)*1</f>
        <v>446.02270810064761</v>
      </c>
      <c r="AA300" s="4">
        <f>('TE BE'!$AB$14+'TE BF'!$AB$14+'TE CVA'!$AB$14)*1</f>
        <v>205.52329867469447</v>
      </c>
      <c r="AB300" s="4">
        <f>$K$300*$V$300</f>
        <v>0</v>
      </c>
      <c r="AC300" s="4">
        <f>$M$300*$W$300</f>
        <v>9390.612000000001</v>
      </c>
      <c r="AD300" s="4">
        <f>$O$300*$X$300</f>
        <v>4597.5930000000008</v>
      </c>
      <c r="AE300" s="4">
        <f>$K$300*$Y$300</f>
        <v>0</v>
      </c>
      <c r="AF300" s="4">
        <f ca="1">$M$300*$Z$300</f>
        <v>10303.12455712496</v>
      </c>
      <c r="AG300" s="4">
        <f>$O$300*$AA$300</f>
        <v>4747.5881993854427</v>
      </c>
    </row>
    <row r="301" spans="1:33" ht="11.25" customHeight="1" x14ac:dyDescent="0.3">
      <c r="A301" s="3" t="s">
        <v>28</v>
      </c>
      <c r="B301" s="3" t="s">
        <v>22</v>
      </c>
      <c r="C301" s="3" t="s">
        <v>23</v>
      </c>
      <c r="D301" s="3" t="s">
        <v>24</v>
      </c>
      <c r="E301" s="3" t="s">
        <v>24</v>
      </c>
      <c r="F301" s="3" t="s">
        <v>25</v>
      </c>
      <c r="G301" s="3" t="s">
        <v>25</v>
      </c>
      <c r="H301" s="3" t="s">
        <v>25</v>
      </c>
      <c r="I301" s="6">
        <v>44409</v>
      </c>
      <c r="J301" s="4">
        <v>0</v>
      </c>
      <c r="K301" s="4">
        <v>0</v>
      </c>
      <c r="L301" s="4">
        <v>-7.8010000000000002</v>
      </c>
      <c r="M301" s="4">
        <v>-7.8010000000000002</v>
      </c>
      <c r="N301" s="4">
        <v>-7.8010000000000002</v>
      </c>
      <c r="O301" s="4">
        <v>-7.8010000000000002</v>
      </c>
      <c r="P301" s="4">
        <v>1</v>
      </c>
      <c r="Q301" s="3" t="s">
        <v>26</v>
      </c>
      <c r="R301" s="3">
        <v>0</v>
      </c>
      <c r="S301" s="4">
        <v>0</v>
      </c>
      <c r="T301" s="4">
        <v>19</v>
      </c>
      <c r="U301" s="4">
        <v>59</v>
      </c>
      <c r="V301" s="4">
        <f>IF(ISERROR(VLOOKUP($S$301,'TAR FIN'!$A$1:$O$91,15,0)),0,VLOOKUP($S$301,'TAR FIN'!$A$1:$O$91,15,0))</f>
        <v>0</v>
      </c>
      <c r="W301" s="4">
        <f>IF(ISERROR(VLOOKUP($T$301,'TAR FIN'!$A$1:$O$91,15,0)),0,VLOOKUP($T$301,'TAR FIN'!$A$1:$O$91,15,0))</f>
        <v>406.52</v>
      </c>
      <c r="X301" s="4">
        <f>IF(ISERROR(VLOOKUP($U$301,'TAR FIN'!$A$1:$O$91,15,0)),0,VLOOKUP($U$301,'TAR FIN'!$A$1:$O$91,15,0))</f>
        <v>199.03</v>
      </c>
      <c r="Y301" s="4"/>
      <c r="Z301" s="4">
        <f ca="1">('TUSD BE'!$AM$23+'TUSD BF'!$AM$23+'TUSD CVA'!$AM$23)*1</f>
        <v>446.02270810064761</v>
      </c>
      <c r="AA301" s="4">
        <f>('TE BE'!$AB$14+'TE BF'!$AB$14+'TE CVA'!$AB$14)*1</f>
        <v>205.52329867469447</v>
      </c>
      <c r="AB301" s="4">
        <f>$K$301*$V$301</f>
        <v>0</v>
      </c>
      <c r="AC301" s="4">
        <f>$M$301*$W$301</f>
        <v>-3171.2625199999998</v>
      </c>
      <c r="AD301" s="4">
        <f>$O$301*$X$301</f>
        <v>-1552.63303</v>
      </c>
      <c r="AE301" s="4">
        <f>$K$301*$Y$301</f>
        <v>0</v>
      </c>
      <c r="AF301" s="4">
        <f ca="1">$M$301*$Z$301</f>
        <v>-3479.4231458931522</v>
      </c>
      <c r="AG301" s="4">
        <f>$O$301*$AA$301</f>
        <v>-1603.2872529612916</v>
      </c>
    </row>
    <row r="302" spans="1:33" ht="11.25" customHeight="1" x14ac:dyDescent="0.3">
      <c r="A302" s="3" t="s">
        <v>21</v>
      </c>
      <c r="B302" s="3" t="s">
        <v>22</v>
      </c>
      <c r="C302" s="3" t="s">
        <v>23</v>
      </c>
      <c r="D302" s="3" t="s">
        <v>24</v>
      </c>
      <c r="E302" s="3" t="s">
        <v>24</v>
      </c>
      <c r="F302" s="3" t="s">
        <v>25</v>
      </c>
      <c r="G302" s="3" t="s">
        <v>25</v>
      </c>
      <c r="H302" s="3" t="s">
        <v>25</v>
      </c>
      <c r="I302" s="6">
        <v>44440</v>
      </c>
      <c r="J302" s="4">
        <v>0</v>
      </c>
      <c r="K302" s="4">
        <v>0</v>
      </c>
      <c r="L302" s="4">
        <v>1433.952</v>
      </c>
      <c r="M302" s="4">
        <v>1433.952</v>
      </c>
      <c r="N302" s="4">
        <v>1433.952</v>
      </c>
      <c r="O302" s="4">
        <v>1433.952</v>
      </c>
      <c r="P302" s="4">
        <v>9152</v>
      </c>
      <c r="Q302" s="3" t="s">
        <v>26</v>
      </c>
      <c r="R302" s="3">
        <v>0</v>
      </c>
      <c r="S302" s="4">
        <v>0</v>
      </c>
      <c r="T302" s="4">
        <v>19</v>
      </c>
      <c r="U302" s="4">
        <v>59</v>
      </c>
      <c r="V302" s="4">
        <f>IF(ISERROR(VLOOKUP($S$302,'TAR FIN'!$A$1:$O$91,15,0)),0,VLOOKUP($S$302,'TAR FIN'!$A$1:$O$91,15,0))</f>
        <v>0</v>
      </c>
      <c r="W302" s="4">
        <f>IF(ISERROR(VLOOKUP($T$302,'TAR FIN'!$A$1:$O$91,15,0)),0,VLOOKUP($T$302,'TAR FIN'!$A$1:$O$91,15,0))</f>
        <v>406.52</v>
      </c>
      <c r="X302" s="4">
        <f>IF(ISERROR(VLOOKUP($U$302,'TAR FIN'!$A$1:$O$91,15,0)),0,VLOOKUP($U$302,'TAR FIN'!$A$1:$O$91,15,0))</f>
        <v>199.03</v>
      </c>
      <c r="Y302" s="4"/>
      <c r="Z302" s="4">
        <f ca="1">('TUSD BE'!$AM$23+'TUSD BF'!$AM$23+'TUSD CVA'!$AM$23)*1</f>
        <v>446.02270810064761</v>
      </c>
      <c r="AA302" s="4">
        <f>('TE BE'!$AB$14+'TE BF'!$AB$14+'TE CVA'!$AB$14)*1</f>
        <v>205.52329867469447</v>
      </c>
      <c r="AB302" s="4">
        <f>$K$302*$V$302</f>
        <v>0</v>
      </c>
      <c r="AC302" s="4">
        <f>$M$302*$W$302</f>
        <v>582930.16703999997</v>
      </c>
      <c r="AD302" s="4">
        <f>$O$302*$X$302</f>
        <v>285399.46656000003</v>
      </c>
      <c r="AE302" s="4">
        <f>$K$302*$Y$302</f>
        <v>0</v>
      </c>
      <c r="AF302" s="4">
        <f ca="1">$M$302*$Z$302</f>
        <v>639575.15432633983</v>
      </c>
      <c r="AG302" s="4">
        <f>$O$302*$AA$302</f>
        <v>294710.54518117546</v>
      </c>
    </row>
    <row r="303" spans="1:33" ht="11.25" customHeight="1" x14ac:dyDescent="0.3">
      <c r="A303" s="3" t="s">
        <v>27</v>
      </c>
      <c r="B303" s="3" t="s">
        <v>22</v>
      </c>
      <c r="C303" s="3" t="s">
        <v>23</v>
      </c>
      <c r="D303" s="3" t="s">
        <v>24</v>
      </c>
      <c r="E303" s="3" t="s">
        <v>24</v>
      </c>
      <c r="F303" s="3" t="s">
        <v>25</v>
      </c>
      <c r="G303" s="3" t="s">
        <v>25</v>
      </c>
      <c r="H303" s="3" t="s">
        <v>25</v>
      </c>
      <c r="I303" s="6">
        <v>44440</v>
      </c>
      <c r="J303" s="4">
        <v>0</v>
      </c>
      <c r="K303" s="4">
        <v>0</v>
      </c>
      <c r="L303" s="4">
        <v>0.79500000000000004</v>
      </c>
      <c r="M303" s="4">
        <v>0.79500000000000004</v>
      </c>
      <c r="N303" s="4">
        <v>0.79500000000000004</v>
      </c>
      <c r="O303" s="4">
        <v>0.79500000000000004</v>
      </c>
      <c r="P303" s="4">
        <v>0</v>
      </c>
      <c r="Q303" s="3" t="s">
        <v>26</v>
      </c>
      <c r="R303" s="3">
        <v>0</v>
      </c>
      <c r="S303" s="4">
        <v>0</v>
      </c>
      <c r="T303" s="4">
        <v>19</v>
      </c>
      <c r="U303" s="4">
        <v>59</v>
      </c>
      <c r="V303" s="4">
        <f>IF(ISERROR(VLOOKUP($S$303,'TAR FIN'!$A$1:$O$91,15,0)),0,VLOOKUP($S$303,'TAR FIN'!$A$1:$O$91,15,0))</f>
        <v>0</v>
      </c>
      <c r="W303" s="4">
        <f>IF(ISERROR(VLOOKUP($T$303,'TAR FIN'!$A$1:$O$91,15,0)),0,VLOOKUP($T$303,'TAR FIN'!$A$1:$O$91,15,0))</f>
        <v>406.52</v>
      </c>
      <c r="X303" s="4">
        <f>IF(ISERROR(VLOOKUP($U$303,'TAR FIN'!$A$1:$O$91,15,0)),0,VLOOKUP($U$303,'TAR FIN'!$A$1:$O$91,15,0))</f>
        <v>199.03</v>
      </c>
      <c r="Y303" s="4"/>
      <c r="Z303" s="4">
        <f ca="1">('TUSD BE'!$AM$23+'TUSD BF'!$AM$23+'TUSD CVA'!$AM$23)*1</f>
        <v>446.02270810064761</v>
      </c>
      <c r="AA303" s="4">
        <f>('TE BE'!$AB$14+'TE BF'!$AB$14+'TE CVA'!$AB$14)*1</f>
        <v>205.52329867469447</v>
      </c>
      <c r="AB303" s="4">
        <f>$K$303*$V$303</f>
        <v>0</v>
      </c>
      <c r="AC303" s="4">
        <f>$M$303*$W$303</f>
        <v>323.18340000000001</v>
      </c>
      <c r="AD303" s="4">
        <f>$O$303*$X$303</f>
        <v>158.22885000000002</v>
      </c>
      <c r="AE303" s="4">
        <f>$K$303*$Y$303</f>
        <v>0</v>
      </c>
      <c r="AF303" s="4">
        <f ca="1">$M$303*$Z$303</f>
        <v>354.58805294001485</v>
      </c>
      <c r="AG303" s="4">
        <f>$O$303*$AA$303</f>
        <v>163.39102244638212</v>
      </c>
    </row>
    <row r="304" spans="1:33" ht="11.25" customHeight="1" x14ac:dyDescent="0.3">
      <c r="A304" s="3" t="s">
        <v>28</v>
      </c>
      <c r="B304" s="3" t="s">
        <v>22</v>
      </c>
      <c r="C304" s="3" t="s">
        <v>23</v>
      </c>
      <c r="D304" s="3" t="s">
        <v>24</v>
      </c>
      <c r="E304" s="3" t="s">
        <v>24</v>
      </c>
      <c r="F304" s="3" t="s">
        <v>25</v>
      </c>
      <c r="G304" s="3" t="s">
        <v>25</v>
      </c>
      <c r="H304" s="3" t="s">
        <v>25</v>
      </c>
      <c r="I304" s="6">
        <v>44440</v>
      </c>
      <c r="J304" s="4">
        <v>0</v>
      </c>
      <c r="K304" s="4">
        <v>0</v>
      </c>
      <c r="L304" s="4">
        <v>21.585000000000001</v>
      </c>
      <c r="M304" s="4">
        <v>21.585000000000001</v>
      </c>
      <c r="N304" s="4">
        <v>21.585000000000001</v>
      </c>
      <c r="O304" s="4">
        <v>21.585000000000001</v>
      </c>
      <c r="P304" s="4">
        <v>157</v>
      </c>
      <c r="Q304" s="3" t="s">
        <v>26</v>
      </c>
      <c r="R304" s="3">
        <v>0</v>
      </c>
      <c r="S304" s="4">
        <v>0</v>
      </c>
      <c r="T304" s="4">
        <v>19</v>
      </c>
      <c r="U304" s="4">
        <v>59</v>
      </c>
      <c r="V304" s="4">
        <f>IF(ISERROR(VLOOKUP($S$304,'TAR FIN'!$A$1:$O$91,15,0)),0,VLOOKUP($S$304,'TAR FIN'!$A$1:$O$91,15,0))</f>
        <v>0</v>
      </c>
      <c r="W304" s="4">
        <f>IF(ISERROR(VLOOKUP($T$304,'TAR FIN'!$A$1:$O$91,15,0)),0,VLOOKUP($T$304,'TAR FIN'!$A$1:$O$91,15,0))</f>
        <v>406.52</v>
      </c>
      <c r="X304" s="4">
        <f>IF(ISERROR(VLOOKUP($U$304,'TAR FIN'!$A$1:$O$91,15,0)),0,VLOOKUP($U$304,'TAR FIN'!$A$1:$O$91,15,0))</f>
        <v>199.03</v>
      </c>
      <c r="Y304" s="4"/>
      <c r="Z304" s="4">
        <f ca="1">('TUSD BE'!$AM$23+'TUSD BF'!$AM$23+'TUSD CVA'!$AM$23)*1</f>
        <v>446.02270810064761</v>
      </c>
      <c r="AA304" s="4">
        <f>('TE BE'!$AB$14+'TE BF'!$AB$14+'TE CVA'!$AB$14)*1</f>
        <v>205.52329867469447</v>
      </c>
      <c r="AB304" s="4">
        <f>$K$304*$V$304</f>
        <v>0</v>
      </c>
      <c r="AC304" s="4">
        <f>$M$304*$W$304</f>
        <v>8774.7342000000008</v>
      </c>
      <c r="AD304" s="4">
        <f>$O$304*$X$304</f>
        <v>4296.0625500000006</v>
      </c>
      <c r="AE304" s="4">
        <f>$K$304*$Y$304</f>
        <v>0</v>
      </c>
      <c r="AF304" s="4">
        <f ca="1">$M$304*$Z$304</f>
        <v>9627.4001543524791</v>
      </c>
      <c r="AG304" s="4">
        <f>$O$304*$AA$304</f>
        <v>4436.2204018932807</v>
      </c>
    </row>
    <row r="305" spans="1:33" ht="11.25" customHeight="1" x14ac:dyDescent="0.3">
      <c r="A305" s="3" t="s">
        <v>21</v>
      </c>
      <c r="B305" s="3" t="s">
        <v>22</v>
      </c>
      <c r="C305" s="3" t="s">
        <v>23</v>
      </c>
      <c r="D305" s="3" t="s">
        <v>24</v>
      </c>
      <c r="E305" s="3" t="s">
        <v>24</v>
      </c>
      <c r="F305" s="3" t="s">
        <v>25</v>
      </c>
      <c r="G305" s="3" t="s">
        <v>25</v>
      </c>
      <c r="H305" s="3" t="s">
        <v>25</v>
      </c>
      <c r="I305" s="6">
        <v>44470</v>
      </c>
      <c r="J305" s="4">
        <v>0</v>
      </c>
      <c r="K305" s="4">
        <v>0</v>
      </c>
      <c r="L305" s="4">
        <v>1494.028</v>
      </c>
      <c r="M305" s="4">
        <v>1494.028</v>
      </c>
      <c r="N305" s="4">
        <v>1494.028</v>
      </c>
      <c r="O305" s="4">
        <v>1494.028</v>
      </c>
      <c r="P305" s="4">
        <v>9140</v>
      </c>
      <c r="Q305" s="3" t="s">
        <v>26</v>
      </c>
      <c r="R305" s="3">
        <v>0</v>
      </c>
      <c r="S305" s="4">
        <v>0</v>
      </c>
      <c r="T305" s="4">
        <v>19</v>
      </c>
      <c r="U305" s="4">
        <v>59</v>
      </c>
      <c r="V305" s="4">
        <f>IF(ISERROR(VLOOKUP($S$305,'TAR FIN'!$A$1:$O$91,15,0)),0,VLOOKUP($S$305,'TAR FIN'!$A$1:$O$91,15,0))</f>
        <v>0</v>
      </c>
      <c r="W305" s="4">
        <f>IF(ISERROR(VLOOKUP($T$305,'TAR FIN'!$A$1:$O$91,15,0)),0,VLOOKUP($T$305,'TAR FIN'!$A$1:$O$91,15,0))</f>
        <v>406.52</v>
      </c>
      <c r="X305" s="4">
        <f>IF(ISERROR(VLOOKUP($U$305,'TAR FIN'!$A$1:$O$91,15,0)),0,VLOOKUP($U$305,'TAR FIN'!$A$1:$O$91,15,0))</f>
        <v>199.03</v>
      </c>
      <c r="Y305" s="4"/>
      <c r="Z305" s="4">
        <f ca="1">('TUSD BE'!$AM$23+'TUSD BF'!$AM$23+'TUSD CVA'!$AM$23)*1</f>
        <v>446.02270810064761</v>
      </c>
      <c r="AA305" s="4">
        <f>('TE BE'!$AB$14+'TE BF'!$AB$14+'TE CVA'!$AB$14)*1</f>
        <v>205.52329867469447</v>
      </c>
      <c r="AB305" s="4">
        <f>$K$305*$V$305</f>
        <v>0</v>
      </c>
      <c r="AC305" s="4">
        <f>$M$305*$W$305</f>
        <v>607352.26255999994</v>
      </c>
      <c r="AD305" s="4">
        <f>$O$305*$X$305</f>
        <v>297356.39283999999</v>
      </c>
      <c r="AE305" s="4">
        <f>$K$305*$Y$305</f>
        <v>0</v>
      </c>
      <c r="AF305" s="4">
        <f ca="1">$M$305*$Z$305</f>
        <v>666370.41453819431</v>
      </c>
      <c r="AG305" s="4">
        <f>$O$305*$AA$305</f>
        <v>307057.56287235644</v>
      </c>
    </row>
    <row r="306" spans="1:33" ht="11.25" customHeight="1" x14ac:dyDescent="0.3">
      <c r="A306" s="3" t="s">
        <v>27</v>
      </c>
      <c r="B306" s="3" t="s">
        <v>22</v>
      </c>
      <c r="C306" s="3" t="s">
        <v>23</v>
      </c>
      <c r="D306" s="3" t="s">
        <v>24</v>
      </c>
      <c r="E306" s="3" t="s">
        <v>24</v>
      </c>
      <c r="F306" s="3" t="s">
        <v>25</v>
      </c>
      <c r="G306" s="3" t="s">
        <v>25</v>
      </c>
      <c r="H306" s="3" t="s">
        <v>25</v>
      </c>
      <c r="I306" s="6">
        <v>44470</v>
      </c>
      <c r="J306" s="4">
        <v>0</v>
      </c>
      <c r="K306" s="4">
        <v>0</v>
      </c>
      <c r="L306" s="4">
        <v>-1.1319999999999999</v>
      </c>
      <c r="M306" s="4">
        <v>-1.1319999999999999</v>
      </c>
      <c r="N306" s="4">
        <v>-1.1319999999999999</v>
      </c>
      <c r="O306" s="4">
        <v>-1.1319999999999999</v>
      </c>
      <c r="P306" s="4">
        <v>0</v>
      </c>
      <c r="Q306" s="3" t="s">
        <v>26</v>
      </c>
      <c r="R306" s="3">
        <v>0</v>
      </c>
      <c r="S306" s="4">
        <v>0</v>
      </c>
      <c r="T306" s="4">
        <v>19</v>
      </c>
      <c r="U306" s="4">
        <v>59</v>
      </c>
      <c r="V306" s="4">
        <f>IF(ISERROR(VLOOKUP($S$306,'TAR FIN'!$A$1:$O$91,15,0)),0,VLOOKUP($S$306,'TAR FIN'!$A$1:$O$91,15,0))</f>
        <v>0</v>
      </c>
      <c r="W306" s="4">
        <f>IF(ISERROR(VLOOKUP($T$306,'TAR FIN'!$A$1:$O$91,15,0)),0,VLOOKUP($T$306,'TAR FIN'!$A$1:$O$91,15,0))</f>
        <v>406.52</v>
      </c>
      <c r="X306" s="4">
        <f>IF(ISERROR(VLOOKUP($U$306,'TAR FIN'!$A$1:$O$91,15,0)),0,VLOOKUP($U$306,'TAR FIN'!$A$1:$O$91,15,0))</f>
        <v>199.03</v>
      </c>
      <c r="Y306" s="4"/>
      <c r="Z306" s="4">
        <f ca="1">('TUSD BE'!$AM$23+'TUSD BF'!$AM$23+'TUSD CVA'!$AM$23)*1</f>
        <v>446.02270810064761</v>
      </c>
      <c r="AA306" s="4">
        <f>('TE BE'!$AB$14+'TE BF'!$AB$14+'TE CVA'!$AB$14)*1</f>
        <v>205.52329867469447</v>
      </c>
      <c r="AB306" s="4">
        <f>$K$306*$V$306</f>
        <v>0</v>
      </c>
      <c r="AC306" s="4">
        <f>$M$306*$W$306</f>
        <v>-460.18063999999993</v>
      </c>
      <c r="AD306" s="4">
        <f>$O$306*$X$306</f>
        <v>-225.30195999999998</v>
      </c>
      <c r="AE306" s="4">
        <f>$K$306*$Y$306</f>
        <v>0</v>
      </c>
      <c r="AF306" s="4">
        <f ca="1">$M$306*$Z$306</f>
        <v>-504.89770556993307</v>
      </c>
      <c r="AG306" s="4">
        <f>$O$306*$AA$306</f>
        <v>-232.65237409975413</v>
      </c>
    </row>
    <row r="307" spans="1:33" ht="11.25" customHeight="1" x14ac:dyDescent="0.3">
      <c r="A307" s="3" t="s">
        <v>28</v>
      </c>
      <c r="B307" s="3" t="s">
        <v>22</v>
      </c>
      <c r="C307" s="3" t="s">
        <v>23</v>
      </c>
      <c r="D307" s="3" t="s">
        <v>24</v>
      </c>
      <c r="E307" s="3" t="s">
        <v>24</v>
      </c>
      <c r="F307" s="3" t="s">
        <v>25</v>
      </c>
      <c r="G307" s="3" t="s">
        <v>25</v>
      </c>
      <c r="H307" s="3" t="s">
        <v>25</v>
      </c>
      <c r="I307" s="6">
        <v>44470</v>
      </c>
      <c r="J307" s="4">
        <v>0</v>
      </c>
      <c r="K307" s="4">
        <v>0</v>
      </c>
      <c r="L307" s="4">
        <v>17.795999999999999</v>
      </c>
      <c r="M307" s="4">
        <v>17.795999999999999</v>
      </c>
      <c r="N307" s="4">
        <v>17.795999999999999</v>
      </c>
      <c r="O307" s="4">
        <v>17.795999999999999</v>
      </c>
      <c r="P307" s="4">
        <v>164</v>
      </c>
      <c r="Q307" s="3" t="s">
        <v>26</v>
      </c>
      <c r="R307" s="3">
        <v>0</v>
      </c>
      <c r="S307" s="4">
        <v>0</v>
      </c>
      <c r="T307" s="4">
        <v>19</v>
      </c>
      <c r="U307" s="4">
        <v>59</v>
      </c>
      <c r="V307" s="4">
        <f>IF(ISERROR(VLOOKUP($S$307,'TAR FIN'!$A$1:$O$91,15,0)),0,VLOOKUP($S$307,'TAR FIN'!$A$1:$O$91,15,0))</f>
        <v>0</v>
      </c>
      <c r="W307" s="4">
        <f>IF(ISERROR(VLOOKUP($T$307,'TAR FIN'!$A$1:$O$91,15,0)),0,VLOOKUP($T$307,'TAR FIN'!$A$1:$O$91,15,0))</f>
        <v>406.52</v>
      </c>
      <c r="X307" s="4">
        <f>IF(ISERROR(VLOOKUP($U$307,'TAR FIN'!$A$1:$O$91,15,0)),0,VLOOKUP($U$307,'TAR FIN'!$A$1:$O$91,15,0))</f>
        <v>199.03</v>
      </c>
      <c r="Y307" s="4"/>
      <c r="Z307" s="4">
        <f ca="1">('TUSD BE'!$AM$23+'TUSD BF'!$AM$23+'TUSD CVA'!$AM$23)*1</f>
        <v>446.02270810064761</v>
      </c>
      <c r="AA307" s="4">
        <f>('TE BE'!$AB$14+'TE BF'!$AB$14+'TE CVA'!$AB$14)*1</f>
        <v>205.52329867469447</v>
      </c>
      <c r="AB307" s="4">
        <f>$K$307*$V$307</f>
        <v>0</v>
      </c>
      <c r="AC307" s="4">
        <f>$M$307*$W$307</f>
        <v>7234.4299199999996</v>
      </c>
      <c r="AD307" s="4">
        <f>$O$307*$X$307</f>
        <v>3541.93788</v>
      </c>
      <c r="AE307" s="4">
        <f>$K$307*$Y$307</f>
        <v>0</v>
      </c>
      <c r="AF307" s="4">
        <f ca="1">$M$307*$Z$307</f>
        <v>7937.4201133591241</v>
      </c>
      <c r="AG307" s="4">
        <f>$O$307*$AA$307</f>
        <v>3657.4926232148628</v>
      </c>
    </row>
    <row r="308" spans="1:33" ht="11.25" customHeight="1" x14ac:dyDescent="0.3">
      <c r="A308" s="3" t="s">
        <v>21</v>
      </c>
      <c r="B308" s="3" t="s">
        <v>22</v>
      </c>
      <c r="C308" s="3" t="s">
        <v>23</v>
      </c>
      <c r="D308" s="3" t="s">
        <v>24</v>
      </c>
      <c r="E308" s="3" t="s">
        <v>24</v>
      </c>
      <c r="F308" s="3" t="s">
        <v>25</v>
      </c>
      <c r="G308" s="3" t="s">
        <v>25</v>
      </c>
      <c r="H308" s="3" t="s">
        <v>25</v>
      </c>
      <c r="I308" s="6">
        <v>44501</v>
      </c>
      <c r="J308" s="4">
        <v>0</v>
      </c>
      <c r="K308" s="4">
        <v>0</v>
      </c>
      <c r="L308" s="4">
        <v>1608.471</v>
      </c>
      <c r="M308" s="4">
        <v>1608.471</v>
      </c>
      <c r="N308" s="4">
        <v>1608.471</v>
      </c>
      <c r="O308" s="4">
        <v>1608.471</v>
      </c>
      <c r="P308" s="4">
        <v>9148</v>
      </c>
      <c r="Q308" s="3" t="s">
        <v>26</v>
      </c>
      <c r="R308" s="3">
        <v>0</v>
      </c>
      <c r="S308" s="4">
        <v>0</v>
      </c>
      <c r="T308" s="4">
        <v>19</v>
      </c>
      <c r="U308" s="4">
        <v>59</v>
      </c>
      <c r="V308" s="4">
        <f>IF(ISERROR(VLOOKUP($S$308,'TAR FIN'!$A$1:$O$91,15,0)),0,VLOOKUP($S$308,'TAR FIN'!$A$1:$O$91,15,0))</f>
        <v>0</v>
      </c>
      <c r="W308" s="4">
        <f>IF(ISERROR(VLOOKUP($T$308,'TAR FIN'!$A$1:$O$91,15,0)),0,VLOOKUP($T$308,'TAR FIN'!$A$1:$O$91,15,0))</f>
        <v>406.52</v>
      </c>
      <c r="X308" s="4">
        <f>IF(ISERROR(VLOOKUP($U$308,'TAR FIN'!$A$1:$O$91,15,0)),0,VLOOKUP($U$308,'TAR FIN'!$A$1:$O$91,15,0))</f>
        <v>199.03</v>
      </c>
      <c r="Y308" s="4"/>
      <c r="Z308" s="4">
        <f ca="1">('TUSD BE'!$AM$23+'TUSD BF'!$AM$23+'TUSD CVA'!$AM$23)*1</f>
        <v>446.02270810064761</v>
      </c>
      <c r="AA308" s="4">
        <f>('TE BE'!$AB$14+'TE BF'!$AB$14+'TE CVA'!$AB$14)*1</f>
        <v>205.52329867469447</v>
      </c>
      <c r="AB308" s="4">
        <f>$K$308*$V$308</f>
        <v>0</v>
      </c>
      <c r="AC308" s="4">
        <f>$M$308*$W$308</f>
        <v>653875.63092000003</v>
      </c>
      <c r="AD308" s="4">
        <f>$O$308*$X$308</f>
        <v>320133.98313000001</v>
      </c>
      <c r="AE308" s="4">
        <f>$K$308*$Y$308</f>
        <v>0</v>
      </c>
      <c r="AF308" s="4">
        <f ca="1">$M$308*$Z$308</f>
        <v>717414.59132135671</v>
      </c>
      <c r="AG308" s="4">
        <f>$O$308*$AA$308</f>
        <v>330578.26574258448</v>
      </c>
    </row>
    <row r="309" spans="1:33" ht="11.25" customHeight="1" x14ac:dyDescent="0.3">
      <c r="A309" s="3" t="s">
        <v>27</v>
      </c>
      <c r="B309" s="3" t="s">
        <v>22</v>
      </c>
      <c r="C309" s="3" t="s">
        <v>23</v>
      </c>
      <c r="D309" s="3" t="s">
        <v>24</v>
      </c>
      <c r="E309" s="3" t="s">
        <v>24</v>
      </c>
      <c r="F309" s="3" t="s">
        <v>25</v>
      </c>
      <c r="G309" s="3" t="s">
        <v>25</v>
      </c>
      <c r="H309" s="3" t="s">
        <v>25</v>
      </c>
      <c r="I309" s="6">
        <v>44501</v>
      </c>
      <c r="J309" s="4">
        <v>0</v>
      </c>
      <c r="K309" s="4">
        <v>0</v>
      </c>
      <c r="L309" s="4">
        <v>-0.13500000000000001</v>
      </c>
      <c r="M309" s="4">
        <v>-0.13500000000000001</v>
      </c>
      <c r="N309" s="4">
        <v>-0.13500000000000001</v>
      </c>
      <c r="O309" s="4">
        <v>-0.13500000000000001</v>
      </c>
      <c r="P309" s="4">
        <v>0</v>
      </c>
      <c r="Q309" s="3" t="s">
        <v>26</v>
      </c>
      <c r="R309" s="3">
        <v>0</v>
      </c>
      <c r="S309" s="4">
        <v>0</v>
      </c>
      <c r="T309" s="4">
        <v>19</v>
      </c>
      <c r="U309" s="4">
        <v>59</v>
      </c>
      <c r="V309" s="4">
        <f>IF(ISERROR(VLOOKUP($S$309,'TAR FIN'!$A$1:$O$91,15,0)),0,VLOOKUP($S$309,'TAR FIN'!$A$1:$O$91,15,0))</f>
        <v>0</v>
      </c>
      <c r="W309" s="4">
        <f>IF(ISERROR(VLOOKUP($T$309,'TAR FIN'!$A$1:$O$91,15,0)),0,VLOOKUP($T$309,'TAR FIN'!$A$1:$O$91,15,0))</f>
        <v>406.52</v>
      </c>
      <c r="X309" s="4">
        <f>IF(ISERROR(VLOOKUP($U$309,'TAR FIN'!$A$1:$O$91,15,0)),0,VLOOKUP($U$309,'TAR FIN'!$A$1:$O$91,15,0))</f>
        <v>199.03</v>
      </c>
      <c r="Y309" s="4"/>
      <c r="Z309" s="4">
        <f ca="1">('TUSD BE'!$AM$23+'TUSD BF'!$AM$23+'TUSD CVA'!$AM$23)*1</f>
        <v>446.02270810064761</v>
      </c>
      <c r="AA309" s="4">
        <f>('TE BE'!$AB$14+'TE BF'!$AB$14+'TE CVA'!$AB$14)*1</f>
        <v>205.52329867469447</v>
      </c>
      <c r="AB309" s="4">
        <f>$K$309*$V$309</f>
        <v>0</v>
      </c>
      <c r="AC309" s="4">
        <f>$M$309*$W$309</f>
        <v>-54.880200000000002</v>
      </c>
      <c r="AD309" s="4">
        <f>$O$309*$X$309</f>
        <v>-26.869050000000001</v>
      </c>
      <c r="AE309" s="4">
        <f>$K$309*$Y$309</f>
        <v>0</v>
      </c>
      <c r="AF309" s="4">
        <f ca="1">$M$309*$Z$309</f>
        <v>-60.21306559358743</v>
      </c>
      <c r="AG309" s="4">
        <f>$O$309*$AA$309</f>
        <v>-27.745645321083757</v>
      </c>
    </row>
    <row r="310" spans="1:33" ht="11.25" customHeight="1" x14ac:dyDescent="0.3">
      <c r="A310" s="3" t="s">
        <v>28</v>
      </c>
      <c r="B310" s="3" t="s">
        <v>22</v>
      </c>
      <c r="C310" s="3" t="s">
        <v>23</v>
      </c>
      <c r="D310" s="3" t="s">
        <v>24</v>
      </c>
      <c r="E310" s="3" t="s">
        <v>24</v>
      </c>
      <c r="F310" s="3" t="s">
        <v>25</v>
      </c>
      <c r="G310" s="3" t="s">
        <v>25</v>
      </c>
      <c r="H310" s="3" t="s">
        <v>25</v>
      </c>
      <c r="I310" s="6">
        <v>44501</v>
      </c>
      <c r="J310" s="4">
        <v>0</v>
      </c>
      <c r="K310" s="4">
        <v>0</v>
      </c>
      <c r="L310" s="4">
        <v>18.366</v>
      </c>
      <c r="M310" s="4">
        <v>18.366</v>
      </c>
      <c r="N310" s="4">
        <v>18.366</v>
      </c>
      <c r="O310" s="4">
        <v>18.366</v>
      </c>
      <c r="P310" s="4">
        <v>170</v>
      </c>
      <c r="Q310" s="3" t="s">
        <v>26</v>
      </c>
      <c r="R310" s="3">
        <v>0</v>
      </c>
      <c r="S310" s="4">
        <v>0</v>
      </c>
      <c r="T310" s="4">
        <v>19</v>
      </c>
      <c r="U310" s="4">
        <v>59</v>
      </c>
      <c r="V310" s="4">
        <f>IF(ISERROR(VLOOKUP($S$310,'TAR FIN'!$A$1:$O$91,15,0)),0,VLOOKUP($S$310,'TAR FIN'!$A$1:$O$91,15,0))</f>
        <v>0</v>
      </c>
      <c r="W310" s="4">
        <f>IF(ISERROR(VLOOKUP($T$310,'TAR FIN'!$A$1:$O$91,15,0)),0,VLOOKUP($T$310,'TAR FIN'!$A$1:$O$91,15,0))</f>
        <v>406.52</v>
      </c>
      <c r="X310" s="4">
        <f>IF(ISERROR(VLOOKUP($U$310,'TAR FIN'!$A$1:$O$91,15,0)),0,VLOOKUP($U$310,'TAR FIN'!$A$1:$O$91,15,0))</f>
        <v>199.03</v>
      </c>
      <c r="Y310" s="4"/>
      <c r="Z310" s="4">
        <f ca="1">('TUSD BE'!$AM$23+'TUSD BF'!$AM$23+'TUSD CVA'!$AM$23)*1</f>
        <v>446.02270810064761</v>
      </c>
      <c r="AA310" s="4">
        <f>('TE BE'!$AB$14+'TE BF'!$AB$14+'TE CVA'!$AB$14)*1</f>
        <v>205.52329867469447</v>
      </c>
      <c r="AB310" s="4">
        <f>$K$310*$V$310</f>
        <v>0</v>
      </c>
      <c r="AC310" s="4">
        <f>$M$310*$W$310</f>
        <v>7466.1463199999998</v>
      </c>
      <c r="AD310" s="4">
        <f>$O$310*$X$310</f>
        <v>3655.3849799999998</v>
      </c>
      <c r="AE310" s="4">
        <f>$K$310*$Y$310</f>
        <v>0</v>
      </c>
      <c r="AF310" s="4">
        <f ca="1">$M$310*$Z$310</f>
        <v>8191.6530569764936</v>
      </c>
      <c r="AG310" s="4">
        <f>$O$310*$AA$310</f>
        <v>3774.6409034594385</v>
      </c>
    </row>
    <row r="311" spans="1:33" ht="11.25" customHeight="1" x14ac:dyDescent="0.3">
      <c r="A311" s="3" t="s">
        <v>21</v>
      </c>
      <c r="B311" s="3" t="s">
        <v>22</v>
      </c>
      <c r="C311" s="3" t="s">
        <v>23</v>
      </c>
      <c r="D311" s="3" t="s">
        <v>24</v>
      </c>
      <c r="E311" s="3" t="s">
        <v>24</v>
      </c>
      <c r="F311" s="3" t="s">
        <v>25</v>
      </c>
      <c r="G311" s="3" t="s">
        <v>25</v>
      </c>
      <c r="H311" s="3" t="s">
        <v>25</v>
      </c>
      <c r="I311" s="6">
        <v>44531</v>
      </c>
      <c r="J311" s="4">
        <v>0</v>
      </c>
      <c r="K311" s="4">
        <v>0</v>
      </c>
      <c r="L311" s="4">
        <v>1688.9179999999999</v>
      </c>
      <c r="M311" s="4">
        <v>1688.9179999999999</v>
      </c>
      <c r="N311" s="4">
        <v>1688.9179999999999</v>
      </c>
      <c r="O311" s="4">
        <v>1688.9179999999999</v>
      </c>
      <c r="P311" s="4">
        <v>9151</v>
      </c>
      <c r="Q311" s="3" t="s">
        <v>26</v>
      </c>
      <c r="R311" s="3">
        <v>0</v>
      </c>
      <c r="S311" s="4">
        <v>0</v>
      </c>
      <c r="T311" s="4">
        <v>19</v>
      </c>
      <c r="U311" s="4">
        <v>59</v>
      </c>
      <c r="V311" s="4">
        <f>IF(ISERROR(VLOOKUP($S$311,'TAR FIN'!$A$1:$O$91,15,0)),0,VLOOKUP($S$311,'TAR FIN'!$A$1:$O$91,15,0))</f>
        <v>0</v>
      </c>
      <c r="W311" s="4">
        <f>IF(ISERROR(VLOOKUP($T$311,'TAR FIN'!$A$1:$O$91,15,0)),0,VLOOKUP($T$311,'TAR FIN'!$A$1:$O$91,15,0))</f>
        <v>406.52</v>
      </c>
      <c r="X311" s="4">
        <f>IF(ISERROR(VLOOKUP($U$311,'TAR FIN'!$A$1:$O$91,15,0)),0,VLOOKUP($U$311,'TAR FIN'!$A$1:$O$91,15,0))</f>
        <v>199.03</v>
      </c>
      <c r="Y311" s="4"/>
      <c r="Z311" s="4">
        <f ca="1">('TUSD BE'!$AM$23+'TUSD BF'!$AM$23+'TUSD CVA'!$AM$23)*1</f>
        <v>446.02270810064761</v>
      </c>
      <c r="AA311" s="4">
        <f>('TE BE'!$AB$14+'TE BF'!$AB$14+'TE CVA'!$AB$14)*1</f>
        <v>205.52329867469447</v>
      </c>
      <c r="AB311" s="4">
        <f>$K$311*$V$311</f>
        <v>0</v>
      </c>
      <c r="AC311" s="4">
        <f>$M$311*$W$311</f>
        <v>686578.9453599999</v>
      </c>
      <c r="AD311" s="4">
        <f>$O$311*$X$311</f>
        <v>336145.34953999997</v>
      </c>
      <c r="AE311" s="4">
        <f>$K$311*$Y$311</f>
        <v>0</v>
      </c>
      <c r="AF311" s="4">
        <f ca="1">$M$311*$Z$311</f>
        <v>753295.78011992946</v>
      </c>
      <c r="AG311" s="4">
        <f>$O$311*$AA$311</f>
        <v>347111.99855106761</v>
      </c>
    </row>
    <row r="312" spans="1:33" ht="11.25" customHeight="1" x14ac:dyDescent="0.3">
      <c r="A312" s="3" t="s">
        <v>27</v>
      </c>
      <c r="B312" s="3" t="s">
        <v>22</v>
      </c>
      <c r="C312" s="3" t="s">
        <v>23</v>
      </c>
      <c r="D312" s="3" t="s">
        <v>24</v>
      </c>
      <c r="E312" s="3" t="s">
        <v>24</v>
      </c>
      <c r="F312" s="3" t="s">
        <v>25</v>
      </c>
      <c r="G312" s="3" t="s">
        <v>25</v>
      </c>
      <c r="H312" s="3" t="s">
        <v>25</v>
      </c>
      <c r="I312" s="6">
        <v>44531</v>
      </c>
      <c r="J312" s="4">
        <v>0</v>
      </c>
      <c r="K312" s="4">
        <v>0</v>
      </c>
      <c r="L312" s="4">
        <v>8.3000000000000004E-2</v>
      </c>
      <c r="M312" s="4">
        <v>8.3000000000000004E-2</v>
      </c>
      <c r="N312" s="4">
        <v>8.3000000000000004E-2</v>
      </c>
      <c r="O312" s="4">
        <v>8.3000000000000004E-2</v>
      </c>
      <c r="P312" s="4">
        <v>0</v>
      </c>
      <c r="Q312" s="3" t="s">
        <v>26</v>
      </c>
      <c r="R312" s="3">
        <v>0</v>
      </c>
      <c r="S312" s="4">
        <v>0</v>
      </c>
      <c r="T312" s="4">
        <v>19</v>
      </c>
      <c r="U312" s="4">
        <v>59</v>
      </c>
      <c r="V312" s="4">
        <f>IF(ISERROR(VLOOKUP($S$312,'TAR FIN'!$A$1:$O$91,15,0)),0,VLOOKUP($S$312,'TAR FIN'!$A$1:$O$91,15,0))</f>
        <v>0</v>
      </c>
      <c r="W312" s="4">
        <f>IF(ISERROR(VLOOKUP($T$312,'TAR FIN'!$A$1:$O$91,15,0)),0,VLOOKUP($T$312,'TAR FIN'!$A$1:$O$91,15,0))</f>
        <v>406.52</v>
      </c>
      <c r="X312" s="4">
        <f>IF(ISERROR(VLOOKUP($U$312,'TAR FIN'!$A$1:$O$91,15,0)),0,VLOOKUP($U$312,'TAR FIN'!$A$1:$O$91,15,0))</f>
        <v>199.03</v>
      </c>
      <c r="Y312" s="4"/>
      <c r="Z312" s="4">
        <f ca="1">('TUSD BE'!$AM$23+'TUSD BF'!$AM$23+'TUSD CVA'!$AM$23)*1</f>
        <v>446.02270810064761</v>
      </c>
      <c r="AA312" s="4">
        <f>('TE BE'!$AB$14+'TE BF'!$AB$14+'TE CVA'!$AB$14)*1</f>
        <v>205.52329867469447</v>
      </c>
      <c r="AB312" s="4">
        <f>$K$312*$V$312</f>
        <v>0</v>
      </c>
      <c r="AC312" s="4">
        <f>$M$312*$W$312</f>
        <v>33.741160000000001</v>
      </c>
      <c r="AD312" s="4">
        <f>$O$312*$X$312</f>
        <v>16.519490000000001</v>
      </c>
      <c r="AE312" s="4">
        <f>$K$312*$Y$312</f>
        <v>0</v>
      </c>
      <c r="AF312" s="4">
        <f ca="1">$M$312*$Z$312</f>
        <v>37.019884772353755</v>
      </c>
      <c r="AG312" s="4">
        <f>$O$312*$AA$312</f>
        <v>17.058433789999643</v>
      </c>
    </row>
    <row r="313" spans="1:33" ht="11.25" customHeight="1" x14ac:dyDescent="0.3">
      <c r="A313" s="3" t="s">
        <v>28</v>
      </c>
      <c r="B313" s="3" t="s">
        <v>22</v>
      </c>
      <c r="C313" s="3" t="s">
        <v>23</v>
      </c>
      <c r="D313" s="3" t="s">
        <v>24</v>
      </c>
      <c r="E313" s="3" t="s">
        <v>24</v>
      </c>
      <c r="F313" s="3" t="s">
        <v>25</v>
      </c>
      <c r="G313" s="3" t="s">
        <v>25</v>
      </c>
      <c r="H313" s="3" t="s">
        <v>25</v>
      </c>
      <c r="I313" s="6">
        <v>44531</v>
      </c>
      <c r="J313" s="4">
        <v>0</v>
      </c>
      <c r="K313" s="4">
        <v>0</v>
      </c>
      <c r="L313" s="4">
        <v>22.138000000000002</v>
      </c>
      <c r="M313" s="4">
        <v>22.138000000000002</v>
      </c>
      <c r="N313" s="4">
        <v>22.138000000000002</v>
      </c>
      <c r="O313" s="4">
        <v>22.138000000000002</v>
      </c>
      <c r="P313" s="4">
        <v>175</v>
      </c>
      <c r="Q313" s="3" t="s">
        <v>26</v>
      </c>
      <c r="R313" s="3">
        <v>0</v>
      </c>
      <c r="S313" s="4">
        <v>0</v>
      </c>
      <c r="T313" s="4">
        <v>19</v>
      </c>
      <c r="U313" s="4">
        <v>59</v>
      </c>
      <c r="V313" s="4">
        <f>IF(ISERROR(VLOOKUP($S$313,'TAR FIN'!$A$1:$O$91,15,0)),0,VLOOKUP($S$313,'TAR FIN'!$A$1:$O$91,15,0))</f>
        <v>0</v>
      </c>
      <c r="W313" s="4">
        <f>IF(ISERROR(VLOOKUP($T$313,'TAR FIN'!$A$1:$O$91,15,0)),0,VLOOKUP($T$313,'TAR FIN'!$A$1:$O$91,15,0))</f>
        <v>406.52</v>
      </c>
      <c r="X313" s="4">
        <f>IF(ISERROR(VLOOKUP($U$313,'TAR FIN'!$A$1:$O$91,15,0)),0,VLOOKUP($U$313,'TAR FIN'!$A$1:$O$91,15,0))</f>
        <v>199.03</v>
      </c>
      <c r="Y313" s="4"/>
      <c r="Z313" s="4">
        <f ca="1">('TUSD BE'!$AM$23+'TUSD BF'!$AM$23+'TUSD CVA'!$AM$23)*1</f>
        <v>446.02270810064761</v>
      </c>
      <c r="AA313" s="4">
        <f>('TE BE'!$AB$14+'TE BF'!$AB$14+'TE CVA'!$AB$14)*1</f>
        <v>205.52329867469447</v>
      </c>
      <c r="AB313" s="4">
        <f>$K$313*$V$313</f>
        <v>0</v>
      </c>
      <c r="AC313" s="4">
        <f>$M$313*$W$313</f>
        <v>8999.5397599999997</v>
      </c>
      <c r="AD313" s="4">
        <f>$O$313*$X$313</f>
        <v>4406.1261400000003</v>
      </c>
      <c r="AE313" s="4">
        <f>$K$313*$Y$313</f>
        <v>0</v>
      </c>
      <c r="AF313" s="4">
        <f ca="1">$M$313*$Z$313</f>
        <v>9874.0507119321373</v>
      </c>
      <c r="AG313" s="4">
        <f>$O$313*$AA$313</f>
        <v>4549.8747860603862</v>
      </c>
    </row>
    <row r="314" spans="1:33" ht="11.25" customHeight="1" x14ac:dyDescent="0.3">
      <c r="A314" s="3" t="s">
        <v>21</v>
      </c>
      <c r="B314" s="3" t="s">
        <v>22</v>
      </c>
      <c r="C314" s="3" t="s">
        <v>23</v>
      </c>
      <c r="D314" s="3" t="s">
        <v>24</v>
      </c>
      <c r="E314" s="3" t="s">
        <v>24</v>
      </c>
      <c r="F314" s="3" t="s">
        <v>25</v>
      </c>
      <c r="G314" s="3" t="s">
        <v>25</v>
      </c>
      <c r="H314" s="3" t="s">
        <v>25</v>
      </c>
      <c r="I314" s="6">
        <v>44562</v>
      </c>
      <c r="J314" s="4">
        <v>0</v>
      </c>
      <c r="K314" s="4">
        <v>0</v>
      </c>
      <c r="L314" s="4">
        <v>2105.7750000000001</v>
      </c>
      <c r="M314" s="4">
        <v>2105.7750000000001</v>
      </c>
      <c r="N314" s="4">
        <v>2105.7750000000001</v>
      </c>
      <c r="O314" s="4">
        <v>2105.7750000000001</v>
      </c>
      <c r="P314" s="4">
        <v>9136</v>
      </c>
      <c r="Q314" s="3" t="s">
        <v>26</v>
      </c>
      <c r="R314" s="3">
        <v>0</v>
      </c>
      <c r="S314" s="4">
        <v>0</v>
      </c>
      <c r="T314" s="4">
        <v>19</v>
      </c>
      <c r="U314" s="4">
        <v>59</v>
      </c>
      <c r="V314" s="4">
        <f>IF(ISERROR(VLOOKUP($S$314,'TAR FIN'!$A$1:$O$91,15,0)),0,VLOOKUP($S$314,'TAR FIN'!$A$1:$O$91,15,0))</f>
        <v>0</v>
      </c>
      <c r="W314" s="4">
        <f>IF(ISERROR(VLOOKUP($T$314,'TAR FIN'!$A$1:$O$91,15,0)),0,VLOOKUP($T$314,'TAR FIN'!$A$1:$O$91,15,0))</f>
        <v>406.52</v>
      </c>
      <c r="X314" s="4">
        <f>IF(ISERROR(VLOOKUP($U$314,'TAR FIN'!$A$1:$O$91,15,0)),0,VLOOKUP($U$314,'TAR FIN'!$A$1:$O$91,15,0))</f>
        <v>199.03</v>
      </c>
      <c r="Y314" s="4"/>
      <c r="Z314" s="4">
        <f ca="1">('TUSD BE'!$AM$23+'TUSD BF'!$AM$23+'TUSD CVA'!$AM$23)*1</f>
        <v>446.02270810064761</v>
      </c>
      <c r="AA314" s="4">
        <f>('TE BE'!$AB$14+'TE BF'!$AB$14+'TE CVA'!$AB$14)*1</f>
        <v>205.52329867469447</v>
      </c>
      <c r="AB314" s="4">
        <f>$K$314*$V$314</f>
        <v>0</v>
      </c>
      <c r="AC314" s="4">
        <f>$M$314*$W$314</f>
        <v>856039.65300000005</v>
      </c>
      <c r="AD314" s="4">
        <f>$O$314*$X$314</f>
        <v>419112.39825000003</v>
      </c>
      <c r="AE314" s="4">
        <f>$K$314*$Y$314</f>
        <v>0</v>
      </c>
      <c r="AF314" s="4">
        <f ca="1">$M$314*$Z$314</f>
        <v>939223.4681506413</v>
      </c>
      <c r="AG314" s="4">
        <f>$O$314*$AA$314</f>
        <v>432785.82426670479</v>
      </c>
    </row>
    <row r="315" spans="1:33" ht="11.25" customHeight="1" x14ac:dyDescent="0.3">
      <c r="A315" s="3" t="s">
        <v>27</v>
      </c>
      <c r="B315" s="3" t="s">
        <v>22</v>
      </c>
      <c r="C315" s="3" t="s">
        <v>23</v>
      </c>
      <c r="D315" s="3" t="s">
        <v>24</v>
      </c>
      <c r="E315" s="3" t="s">
        <v>24</v>
      </c>
      <c r="F315" s="3" t="s">
        <v>25</v>
      </c>
      <c r="G315" s="3" t="s">
        <v>25</v>
      </c>
      <c r="H315" s="3" t="s">
        <v>25</v>
      </c>
      <c r="I315" s="6">
        <v>44562</v>
      </c>
      <c r="J315" s="4">
        <v>0</v>
      </c>
      <c r="K315" s="4">
        <v>0</v>
      </c>
      <c r="L315" s="4">
        <v>-0.67300000000000004</v>
      </c>
      <c r="M315" s="4">
        <v>-0.67300000000000004</v>
      </c>
      <c r="N315" s="4">
        <v>-0.67300000000000004</v>
      </c>
      <c r="O315" s="4">
        <v>-0.67300000000000004</v>
      </c>
      <c r="P315" s="4">
        <v>0</v>
      </c>
      <c r="Q315" s="3" t="s">
        <v>26</v>
      </c>
      <c r="R315" s="3">
        <v>0</v>
      </c>
      <c r="S315" s="4">
        <v>0</v>
      </c>
      <c r="T315" s="4">
        <v>19</v>
      </c>
      <c r="U315" s="4">
        <v>59</v>
      </c>
      <c r="V315" s="4">
        <f>IF(ISERROR(VLOOKUP($S$315,'TAR FIN'!$A$1:$O$91,15,0)),0,VLOOKUP($S$315,'TAR FIN'!$A$1:$O$91,15,0))</f>
        <v>0</v>
      </c>
      <c r="W315" s="4">
        <f>IF(ISERROR(VLOOKUP($T$315,'TAR FIN'!$A$1:$O$91,15,0)),0,VLOOKUP($T$315,'TAR FIN'!$A$1:$O$91,15,0))</f>
        <v>406.52</v>
      </c>
      <c r="X315" s="4">
        <f>IF(ISERROR(VLOOKUP($U$315,'TAR FIN'!$A$1:$O$91,15,0)),0,VLOOKUP($U$315,'TAR FIN'!$A$1:$O$91,15,0))</f>
        <v>199.03</v>
      </c>
      <c r="Y315" s="4"/>
      <c r="Z315" s="4">
        <f ca="1">('TUSD BE'!$AM$23+'TUSD BF'!$AM$23+'TUSD CVA'!$AM$23)*1</f>
        <v>446.02270810064761</v>
      </c>
      <c r="AA315" s="4">
        <f>('TE BE'!$AB$14+'TE BF'!$AB$14+'TE CVA'!$AB$14)*1</f>
        <v>205.52329867469447</v>
      </c>
      <c r="AB315" s="4">
        <f>$K$315*$V$315</f>
        <v>0</v>
      </c>
      <c r="AC315" s="4">
        <f>$M$315*$W$315</f>
        <v>-273.58796000000001</v>
      </c>
      <c r="AD315" s="4">
        <f>$O$315*$X$315</f>
        <v>-133.94719000000001</v>
      </c>
      <c r="AE315" s="4">
        <f>$K$315*$Y$315</f>
        <v>0</v>
      </c>
      <c r="AF315" s="4">
        <f ca="1">$M$315*$Z$315</f>
        <v>-300.17328255173584</v>
      </c>
      <c r="AG315" s="4">
        <f>$O$315*$AA$315</f>
        <v>-138.31718000806939</v>
      </c>
    </row>
    <row r="316" spans="1:33" ht="11.25" customHeight="1" x14ac:dyDescent="0.3">
      <c r="A316" s="3" t="s">
        <v>28</v>
      </c>
      <c r="B316" s="3" t="s">
        <v>22</v>
      </c>
      <c r="C316" s="3" t="s">
        <v>23</v>
      </c>
      <c r="D316" s="3" t="s">
        <v>24</v>
      </c>
      <c r="E316" s="3" t="s">
        <v>24</v>
      </c>
      <c r="F316" s="3" t="s">
        <v>25</v>
      </c>
      <c r="G316" s="3" t="s">
        <v>25</v>
      </c>
      <c r="H316" s="3" t="s">
        <v>25</v>
      </c>
      <c r="I316" s="6">
        <v>44562</v>
      </c>
      <c r="J316" s="4">
        <v>0</v>
      </c>
      <c r="K316" s="4">
        <v>0</v>
      </c>
      <c r="L316" s="4">
        <v>33.433999999999997</v>
      </c>
      <c r="M316" s="4">
        <v>33.433999999999997</v>
      </c>
      <c r="N316" s="4">
        <v>33.433999999999997</v>
      </c>
      <c r="O316" s="4">
        <v>33.433999999999997</v>
      </c>
      <c r="P316" s="4">
        <v>185</v>
      </c>
      <c r="Q316" s="3" t="s">
        <v>26</v>
      </c>
      <c r="R316" s="3">
        <v>0</v>
      </c>
      <c r="S316" s="4">
        <v>0</v>
      </c>
      <c r="T316" s="4">
        <v>19</v>
      </c>
      <c r="U316" s="4">
        <v>59</v>
      </c>
      <c r="V316" s="4">
        <f>IF(ISERROR(VLOOKUP($S$316,'TAR FIN'!$A$1:$O$91,15,0)),0,VLOOKUP($S$316,'TAR FIN'!$A$1:$O$91,15,0))</f>
        <v>0</v>
      </c>
      <c r="W316" s="4">
        <f>IF(ISERROR(VLOOKUP($T$316,'TAR FIN'!$A$1:$O$91,15,0)),0,VLOOKUP($T$316,'TAR FIN'!$A$1:$O$91,15,0))</f>
        <v>406.52</v>
      </c>
      <c r="X316" s="4">
        <f>IF(ISERROR(VLOOKUP($U$316,'TAR FIN'!$A$1:$O$91,15,0)),0,VLOOKUP($U$316,'TAR FIN'!$A$1:$O$91,15,0))</f>
        <v>199.03</v>
      </c>
      <c r="Y316" s="4"/>
      <c r="Z316" s="4">
        <f ca="1">('TUSD BE'!$AM$23+'TUSD BF'!$AM$23+'TUSD CVA'!$AM$23)*1</f>
        <v>446.02270810064761</v>
      </c>
      <c r="AA316" s="4">
        <f>('TE BE'!$AB$14+'TE BF'!$AB$14+'TE CVA'!$AB$14)*1</f>
        <v>205.52329867469447</v>
      </c>
      <c r="AB316" s="4">
        <f>$K$316*$V$316</f>
        <v>0</v>
      </c>
      <c r="AC316" s="4">
        <f>$M$316*$W$316</f>
        <v>13591.589679999999</v>
      </c>
      <c r="AD316" s="4">
        <f>$O$316*$X$316</f>
        <v>6654.3690199999992</v>
      </c>
      <c r="AE316" s="4">
        <f>$K$316*$Y$316</f>
        <v>0</v>
      </c>
      <c r="AF316" s="4">
        <f ca="1">$M$316*$Z$316</f>
        <v>14912.323222637051</v>
      </c>
      <c r="AG316" s="4">
        <f>$O$316*$AA$316</f>
        <v>6871.4659678897342</v>
      </c>
    </row>
    <row r="317" spans="1:33" ht="11.25" customHeight="1" x14ac:dyDescent="0.3">
      <c r="A317" s="3" t="s">
        <v>21</v>
      </c>
      <c r="B317" s="3" t="s">
        <v>22</v>
      </c>
      <c r="C317" s="3" t="s">
        <v>23</v>
      </c>
      <c r="D317" s="3" t="s">
        <v>24</v>
      </c>
      <c r="E317" s="3" t="s">
        <v>24</v>
      </c>
      <c r="F317" s="3" t="s">
        <v>25</v>
      </c>
      <c r="G317" s="3" t="s">
        <v>25</v>
      </c>
      <c r="H317" s="3" t="s">
        <v>25</v>
      </c>
      <c r="I317" s="6">
        <v>44593</v>
      </c>
      <c r="J317" s="4">
        <v>0</v>
      </c>
      <c r="K317" s="4">
        <v>0</v>
      </c>
      <c r="L317" s="4">
        <v>2474.37</v>
      </c>
      <c r="M317" s="4">
        <v>2474.37</v>
      </c>
      <c r="N317" s="4">
        <v>2474.37</v>
      </c>
      <c r="O317" s="4">
        <v>2474.37</v>
      </c>
      <c r="P317" s="4">
        <v>9092</v>
      </c>
      <c r="Q317" s="3" t="s">
        <v>26</v>
      </c>
      <c r="R317" s="3">
        <v>0</v>
      </c>
      <c r="S317" s="4">
        <v>0</v>
      </c>
      <c r="T317" s="4">
        <v>19</v>
      </c>
      <c r="U317" s="4">
        <v>59</v>
      </c>
      <c r="V317" s="4">
        <f>IF(ISERROR(VLOOKUP($S$317,'TAR FIN'!$A$1:$O$91,15,0)),0,VLOOKUP($S$317,'TAR FIN'!$A$1:$O$91,15,0))</f>
        <v>0</v>
      </c>
      <c r="W317" s="4">
        <f>IF(ISERROR(VLOOKUP($T$317,'TAR FIN'!$A$1:$O$91,15,0)),0,VLOOKUP($T$317,'TAR FIN'!$A$1:$O$91,15,0))</f>
        <v>406.52</v>
      </c>
      <c r="X317" s="4">
        <f>IF(ISERROR(VLOOKUP($U$317,'TAR FIN'!$A$1:$O$91,15,0)),0,VLOOKUP($U$317,'TAR FIN'!$A$1:$O$91,15,0))</f>
        <v>199.03</v>
      </c>
      <c r="Y317" s="4"/>
      <c r="Z317" s="4">
        <f ca="1">('TUSD BE'!$AM$23+'TUSD BF'!$AM$23+'TUSD CVA'!$AM$23)*1</f>
        <v>446.02270810064761</v>
      </c>
      <c r="AA317" s="4">
        <f>('TE BE'!$AB$14+'TE BF'!$AB$14+'TE CVA'!$AB$14)*1</f>
        <v>205.52329867469447</v>
      </c>
      <c r="AB317" s="4">
        <f>$K$317*$V$317</f>
        <v>0</v>
      </c>
      <c r="AC317" s="4">
        <f>$M$317*$W$317</f>
        <v>1005880.8923999999</v>
      </c>
      <c r="AD317" s="4">
        <f>$O$317*$X$317</f>
        <v>492473.86109999998</v>
      </c>
      <c r="AE317" s="4">
        <f>$K$317*$Y$317</f>
        <v>0</v>
      </c>
      <c r="AF317" s="4">
        <f ca="1">$M$317*$Z$317</f>
        <v>1103625.2082429994</v>
      </c>
      <c r="AG317" s="4">
        <f>$O$317*$AA$317</f>
        <v>508540.68454170373</v>
      </c>
    </row>
    <row r="318" spans="1:33" ht="11.25" customHeight="1" x14ac:dyDescent="0.3">
      <c r="A318" s="3" t="s">
        <v>27</v>
      </c>
      <c r="B318" s="3" t="s">
        <v>22</v>
      </c>
      <c r="C318" s="3" t="s">
        <v>23</v>
      </c>
      <c r="D318" s="3" t="s">
        <v>24</v>
      </c>
      <c r="E318" s="3" t="s">
        <v>24</v>
      </c>
      <c r="F318" s="3" t="s">
        <v>25</v>
      </c>
      <c r="G318" s="3" t="s">
        <v>25</v>
      </c>
      <c r="H318" s="3" t="s">
        <v>25</v>
      </c>
      <c r="I318" s="6">
        <v>44593</v>
      </c>
      <c r="J318" s="4">
        <v>0</v>
      </c>
      <c r="K318" s="4">
        <v>0</v>
      </c>
      <c r="L318" s="4">
        <v>68.471000000000004</v>
      </c>
      <c r="M318" s="4">
        <v>68.471000000000004</v>
      </c>
      <c r="N318" s="4">
        <v>68.471000000000004</v>
      </c>
      <c r="O318" s="4">
        <v>68.471000000000004</v>
      </c>
      <c r="P318" s="4">
        <v>0</v>
      </c>
      <c r="Q318" s="3" t="s">
        <v>26</v>
      </c>
      <c r="R318" s="3">
        <v>0</v>
      </c>
      <c r="S318" s="4">
        <v>0</v>
      </c>
      <c r="T318" s="4">
        <v>19</v>
      </c>
      <c r="U318" s="4">
        <v>59</v>
      </c>
      <c r="V318" s="4">
        <f>IF(ISERROR(VLOOKUP($S$318,'TAR FIN'!$A$1:$O$91,15,0)),0,VLOOKUP($S$318,'TAR FIN'!$A$1:$O$91,15,0))</f>
        <v>0</v>
      </c>
      <c r="W318" s="4">
        <f>IF(ISERROR(VLOOKUP($T$318,'TAR FIN'!$A$1:$O$91,15,0)),0,VLOOKUP($T$318,'TAR FIN'!$A$1:$O$91,15,0))</f>
        <v>406.52</v>
      </c>
      <c r="X318" s="4">
        <f>IF(ISERROR(VLOOKUP($U$318,'TAR FIN'!$A$1:$O$91,15,0)),0,VLOOKUP($U$318,'TAR FIN'!$A$1:$O$91,15,0))</f>
        <v>199.03</v>
      </c>
      <c r="Y318" s="4"/>
      <c r="Z318" s="4">
        <f ca="1">('TUSD BE'!$AM$23+'TUSD BF'!$AM$23+'TUSD CVA'!$AM$23)*1</f>
        <v>446.02270810064761</v>
      </c>
      <c r="AA318" s="4">
        <f>('TE BE'!$AB$14+'TE BF'!$AB$14+'TE CVA'!$AB$14)*1</f>
        <v>205.52329867469447</v>
      </c>
      <c r="AB318" s="4">
        <f>$K$318*$V$318</f>
        <v>0</v>
      </c>
      <c r="AC318" s="4">
        <f>$M$318*$W$318</f>
        <v>27834.83092</v>
      </c>
      <c r="AD318" s="4">
        <f>$O$318*$X$318</f>
        <v>13627.783130000002</v>
      </c>
      <c r="AE318" s="4">
        <f>$K$318*$Y$318</f>
        <v>0</v>
      </c>
      <c r="AF318" s="4">
        <f ca="1">$M$318*$Z$318</f>
        <v>30539.620846359445</v>
      </c>
      <c r="AG318" s="4">
        <f>$O$318*$AA$318</f>
        <v>14072.385783555006</v>
      </c>
    </row>
    <row r="319" spans="1:33" ht="11.25" customHeight="1" x14ac:dyDescent="0.3">
      <c r="A319" s="3" t="s">
        <v>28</v>
      </c>
      <c r="B319" s="3" t="s">
        <v>22</v>
      </c>
      <c r="C319" s="3" t="s">
        <v>23</v>
      </c>
      <c r="D319" s="3" t="s">
        <v>24</v>
      </c>
      <c r="E319" s="3" t="s">
        <v>24</v>
      </c>
      <c r="F319" s="3" t="s">
        <v>25</v>
      </c>
      <c r="G319" s="3" t="s">
        <v>25</v>
      </c>
      <c r="H319" s="3" t="s">
        <v>25</v>
      </c>
      <c r="I319" s="6">
        <v>44593</v>
      </c>
      <c r="J319" s="4">
        <v>0</v>
      </c>
      <c r="K319" s="4">
        <v>0</v>
      </c>
      <c r="L319" s="4">
        <v>37.749000000000002</v>
      </c>
      <c r="M319" s="4">
        <v>37.749000000000002</v>
      </c>
      <c r="N319" s="4">
        <v>37.749000000000002</v>
      </c>
      <c r="O319" s="4">
        <v>37.749000000000002</v>
      </c>
      <c r="P319" s="4">
        <v>193</v>
      </c>
      <c r="Q319" s="3" t="s">
        <v>26</v>
      </c>
      <c r="R319" s="3">
        <v>0</v>
      </c>
      <c r="S319" s="4">
        <v>0</v>
      </c>
      <c r="T319" s="4">
        <v>19</v>
      </c>
      <c r="U319" s="4">
        <v>59</v>
      </c>
      <c r="V319" s="4">
        <f>IF(ISERROR(VLOOKUP($S$319,'TAR FIN'!$A$1:$O$91,15,0)),0,VLOOKUP($S$319,'TAR FIN'!$A$1:$O$91,15,0))</f>
        <v>0</v>
      </c>
      <c r="W319" s="4">
        <f>IF(ISERROR(VLOOKUP($T$319,'TAR FIN'!$A$1:$O$91,15,0)),0,VLOOKUP($T$319,'TAR FIN'!$A$1:$O$91,15,0))</f>
        <v>406.52</v>
      </c>
      <c r="X319" s="4">
        <f>IF(ISERROR(VLOOKUP($U$319,'TAR FIN'!$A$1:$O$91,15,0)),0,VLOOKUP($U$319,'TAR FIN'!$A$1:$O$91,15,0))</f>
        <v>199.03</v>
      </c>
      <c r="Y319" s="4"/>
      <c r="Z319" s="4">
        <f ca="1">('TUSD BE'!$AM$23+'TUSD BF'!$AM$23+'TUSD CVA'!$AM$23)*1</f>
        <v>446.02270810064761</v>
      </c>
      <c r="AA319" s="4">
        <f>('TE BE'!$AB$14+'TE BF'!$AB$14+'TE CVA'!$AB$14)*1</f>
        <v>205.52329867469447</v>
      </c>
      <c r="AB319" s="4">
        <f>$K$319*$V$319</f>
        <v>0</v>
      </c>
      <c r="AC319" s="4">
        <f>$M$319*$W$319</f>
        <v>15345.723480000001</v>
      </c>
      <c r="AD319" s="4">
        <f>$O$319*$X$319</f>
        <v>7513.1834700000009</v>
      </c>
      <c r="AE319" s="4">
        <f>$K$319*$Y$319</f>
        <v>0</v>
      </c>
      <c r="AF319" s="4">
        <f ca="1">$M$319*$Z$319</f>
        <v>16836.911208091347</v>
      </c>
      <c r="AG319" s="4">
        <f>$O$319*$AA$319</f>
        <v>7758.2990016710419</v>
      </c>
    </row>
    <row r="320" spans="1:33" ht="11.25" customHeight="1" x14ac:dyDescent="0.3">
      <c r="A320" s="3" t="s">
        <v>21</v>
      </c>
      <c r="B320" s="3" t="s">
        <v>22</v>
      </c>
      <c r="C320" s="3" t="s">
        <v>23</v>
      </c>
      <c r="D320" s="3" t="s">
        <v>24</v>
      </c>
      <c r="E320" s="3" t="s">
        <v>24</v>
      </c>
      <c r="F320" s="3" t="s">
        <v>25</v>
      </c>
      <c r="G320" s="3" t="s">
        <v>25</v>
      </c>
      <c r="H320" s="3" t="s">
        <v>25</v>
      </c>
      <c r="I320" s="6">
        <v>44621</v>
      </c>
      <c r="J320" s="4">
        <v>0</v>
      </c>
      <c r="K320" s="4">
        <v>0</v>
      </c>
      <c r="L320" s="4">
        <v>1978.396</v>
      </c>
      <c r="M320" s="4">
        <v>1978.396</v>
      </c>
      <c r="N320" s="4">
        <v>1978.396</v>
      </c>
      <c r="O320" s="4">
        <v>1978.396</v>
      </c>
      <c r="P320" s="4">
        <v>9119</v>
      </c>
      <c r="Q320" s="3" t="s">
        <v>26</v>
      </c>
      <c r="R320" s="3">
        <v>0</v>
      </c>
      <c r="S320" s="4">
        <v>0</v>
      </c>
      <c r="T320" s="4">
        <v>19</v>
      </c>
      <c r="U320" s="4">
        <v>59</v>
      </c>
      <c r="V320" s="4">
        <f>IF(ISERROR(VLOOKUP($S$320,'TAR FIN'!$A$1:$O$91,15,0)),0,VLOOKUP($S$320,'TAR FIN'!$A$1:$O$91,15,0))</f>
        <v>0</v>
      </c>
      <c r="W320" s="4">
        <f>IF(ISERROR(VLOOKUP($T$320,'TAR FIN'!$A$1:$O$91,15,0)),0,VLOOKUP($T$320,'TAR FIN'!$A$1:$O$91,15,0))</f>
        <v>406.52</v>
      </c>
      <c r="X320" s="4">
        <f>IF(ISERROR(VLOOKUP($U$320,'TAR FIN'!$A$1:$O$91,15,0)),0,VLOOKUP($U$320,'TAR FIN'!$A$1:$O$91,15,0))</f>
        <v>199.03</v>
      </c>
      <c r="Y320" s="4"/>
      <c r="Z320" s="4">
        <f ca="1">('TUSD BE'!$AM$23+'TUSD BF'!$AM$23+'TUSD CVA'!$AM$23)*1</f>
        <v>446.02270810064761</v>
      </c>
      <c r="AA320" s="4">
        <f>('TE BE'!$AB$14+'TE BF'!$AB$14+'TE CVA'!$AB$14)*1</f>
        <v>205.52329867469447</v>
      </c>
      <c r="AB320" s="4">
        <f>$K$320*$V$320</f>
        <v>0</v>
      </c>
      <c r="AC320" s="4">
        <f>$M$320*$W$320</f>
        <v>804257.54191999999</v>
      </c>
      <c r="AD320" s="4">
        <f>$O$320*$X$320</f>
        <v>393760.15587999998</v>
      </c>
      <c r="AE320" s="4">
        <f>$K$320*$Y$320</f>
        <v>0</v>
      </c>
      <c r="AF320" s="4">
        <f ca="1">$M$320*$Z$320</f>
        <v>882409.54161548882</v>
      </c>
      <c r="AG320" s="4">
        <f>$O$320*$AA$320</f>
        <v>406606.47200482083</v>
      </c>
    </row>
    <row r="321" spans="1:33" ht="11.25" customHeight="1" x14ac:dyDescent="0.3">
      <c r="A321" s="3" t="s">
        <v>27</v>
      </c>
      <c r="B321" s="3" t="s">
        <v>22</v>
      </c>
      <c r="C321" s="3" t="s">
        <v>23</v>
      </c>
      <c r="D321" s="3" t="s">
        <v>24</v>
      </c>
      <c r="E321" s="3" t="s">
        <v>24</v>
      </c>
      <c r="F321" s="3" t="s">
        <v>25</v>
      </c>
      <c r="G321" s="3" t="s">
        <v>25</v>
      </c>
      <c r="H321" s="3" t="s">
        <v>25</v>
      </c>
      <c r="I321" s="6">
        <v>44621</v>
      </c>
      <c r="J321" s="4">
        <v>0</v>
      </c>
      <c r="K321" s="4">
        <v>0</v>
      </c>
      <c r="L321" s="4">
        <v>-8.8420000000000005</v>
      </c>
      <c r="M321" s="4">
        <v>-8.8420000000000005</v>
      </c>
      <c r="N321" s="4">
        <v>-8.8420000000000005</v>
      </c>
      <c r="O321" s="4">
        <v>-8.8420000000000005</v>
      </c>
      <c r="P321" s="4">
        <v>0</v>
      </c>
      <c r="Q321" s="3" t="s">
        <v>26</v>
      </c>
      <c r="R321" s="3">
        <v>0</v>
      </c>
      <c r="S321" s="4">
        <v>0</v>
      </c>
      <c r="T321" s="4">
        <v>19</v>
      </c>
      <c r="U321" s="4">
        <v>59</v>
      </c>
      <c r="V321" s="4">
        <f>IF(ISERROR(VLOOKUP($S$321,'TAR FIN'!$A$1:$O$91,15,0)),0,VLOOKUP($S$321,'TAR FIN'!$A$1:$O$91,15,0))</f>
        <v>0</v>
      </c>
      <c r="W321" s="4">
        <f>IF(ISERROR(VLOOKUP($T$321,'TAR FIN'!$A$1:$O$91,15,0)),0,VLOOKUP($T$321,'TAR FIN'!$A$1:$O$91,15,0))</f>
        <v>406.52</v>
      </c>
      <c r="X321" s="4">
        <f>IF(ISERROR(VLOOKUP($U$321,'TAR FIN'!$A$1:$O$91,15,0)),0,VLOOKUP($U$321,'TAR FIN'!$A$1:$O$91,15,0))</f>
        <v>199.03</v>
      </c>
      <c r="Y321" s="4"/>
      <c r="Z321" s="4">
        <f ca="1">('TUSD BE'!$AM$23+'TUSD BF'!$AM$23+'TUSD CVA'!$AM$23)*1</f>
        <v>446.02270810064761</v>
      </c>
      <c r="AA321" s="4">
        <f>('TE BE'!$AB$14+'TE BF'!$AB$14+'TE CVA'!$AB$14)*1</f>
        <v>205.52329867469447</v>
      </c>
      <c r="AB321" s="4">
        <f>$K$321*$V$321</f>
        <v>0</v>
      </c>
      <c r="AC321" s="4">
        <f>$M$321*$W$321</f>
        <v>-3594.4498400000002</v>
      </c>
      <c r="AD321" s="4">
        <f>$O$321*$X$321</f>
        <v>-1759.8232600000001</v>
      </c>
      <c r="AE321" s="4">
        <f>$K$321*$Y$321</f>
        <v>0</v>
      </c>
      <c r="AF321" s="4">
        <f ca="1">$M$321*$Z$321</f>
        <v>-3943.7327850259262</v>
      </c>
      <c r="AG321" s="4">
        <f>$O$321*$AA$321</f>
        <v>-1817.2370068816485</v>
      </c>
    </row>
    <row r="322" spans="1:33" ht="11.25" customHeight="1" x14ac:dyDescent="0.3">
      <c r="A322" s="3" t="s">
        <v>28</v>
      </c>
      <c r="B322" s="3" t="s">
        <v>22</v>
      </c>
      <c r="C322" s="3" t="s">
        <v>23</v>
      </c>
      <c r="D322" s="3" t="s">
        <v>24</v>
      </c>
      <c r="E322" s="3" t="s">
        <v>24</v>
      </c>
      <c r="F322" s="3" t="s">
        <v>25</v>
      </c>
      <c r="G322" s="3" t="s">
        <v>25</v>
      </c>
      <c r="H322" s="3" t="s">
        <v>25</v>
      </c>
      <c r="I322" s="6">
        <v>44621</v>
      </c>
      <c r="J322" s="4">
        <v>0</v>
      </c>
      <c r="K322" s="4">
        <v>0</v>
      </c>
      <c r="L322" s="4">
        <v>34.399000000000001</v>
      </c>
      <c r="M322" s="4">
        <v>34.399000000000001</v>
      </c>
      <c r="N322" s="4">
        <v>34.399000000000001</v>
      </c>
      <c r="O322" s="4">
        <v>34.399000000000001</v>
      </c>
      <c r="P322" s="4">
        <v>201</v>
      </c>
      <c r="Q322" s="3" t="s">
        <v>26</v>
      </c>
      <c r="R322" s="3">
        <v>0</v>
      </c>
      <c r="S322" s="4">
        <v>0</v>
      </c>
      <c r="T322" s="4">
        <v>19</v>
      </c>
      <c r="U322" s="4">
        <v>59</v>
      </c>
      <c r="V322" s="4">
        <f>IF(ISERROR(VLOOKUP($S$322,'TAR FIN'!$A$1:$O$91,15,0)),0,VLOOKUP($S$322,'TAR FIN'!$A$1:$O$91,15,0))</f>
        <v>0</v>
      </c>
      <c r="W322" s="4">
        <f>IF(ISERROR(VLOOKUP($T$322,'TAR FIN'!$A$1:$O$91,15,0)),0,VLOOKUP($T$322,'TAR FIN'!$A$1:$O$91,15,0))</f>
        <v>406.52</v>
      </c>
      <c r="X322" s="4">
        <f>IF(ISERROR(VLOOKUP($U$322,'TAR FIN'!$A$1:$O$91,15,0)),0,VLOOKUP($U$322,'TAR FIN'!$A$1:$O$91,15,0))</f>
        <v>199.03</v>
      </c>
      <c r="Y322" s="4"/>
      <c r="Z322" s="4">
        <f ca="1">('TUSD BE'!$AM$23+'TUSD BF'!$AM$23+'TUSD CVA'!$AM$23)*1</f>
        <v>446.02270810064761</v>
      </c>
      <c r="AA322" s="4">
        <f>('TE BE'!$AB$14+'TE BF'!$AB$14+'TE CVA'!$AB$14)*1</f>
        <v>205.52329867469447</v>
      </c>
      <c r="AB322" s="4">
        <f>$K$322*$V$322</f>
        <v>0</v>
      </c>
      <c r="AC322" s="4">
        <f>$M$322*$W$322</f>
        <v>13983.88148</v>
      </c>
      <c r="AD322" s="4">
        <f>$O$322*$X$322</f>
        <v>6846.4329699999998</v>
      </c>
      <c r="AE322" s="4">
        <f>$K$322*$Y$322</f>
        <v>0</v>
      </c>
      <c r="AF322" s="4">
        <f ca="1">$M$322*$Z$322</f>
        <v>15342.735135954177</v>
      </c>
      <c r="AG322" s="4">
        <f>$O$322*$AA$322</f>
        <v>7069.7959511108156</v>
      </c>
    </row>
    <row r="323" spans="1:33" ht="11.25" customHeight="1" x14ac:dyDescent="0.3">
      <c r="A323" s="3" t="s">
        <v>21</v>
      </c>
      <c r="B323" s="3" t="s">
        <v>22</v>
      </c>
      <c r="C323" s="3" t="s">
        <v>23</v>
      </c>
      <c r="D323" s="3" t="s">
        <v>24</v>
      </c>
      <c r="E323" s="3" t="s">
        <v>24</v>
      </c>
      <c r="F323" s="3" t="s">
        <v>25</v>
      </c>
      <c r="G323" s="3" t="s">
        <v>25</v>
      </c>
      <c r="H323" s="3" t="s">
        <v>25</v>
      </c>
      <c r="I323" s="6">
        <v>44652</v>
      </c>
      <c r="J323" s="4">
        <v>0</v>
      </c>
      <c r="K323" s="4">
        <v>0</v>
      </c>
      <c r="L323" s="4">
        <v>1361.423</v>
      </c>
      <c r="M323" s="4">
        <v>1361.423</v>
      </c>
      <c r="N323" s="4">
        <v>1361.423</v>
      </c>
      <c r="O323" s="4">
        <v>1361.423</v>
      </c>
      <c r="P323" s="4">
        <v>9150</v>
      </c>
      <c r="Q323" s="3" t="s">
        <v>26</v>
      </c>
      <c r="R323" s="3">
        <v>0</v>
      </c>
      <c r="S323" s="4">
        <v>0</v>
      </c>
      <c r="T323" s="4">
        <v>19</v>
      </c>
      <c r="U323" s="4">
        <v>59</v>
      </c>
      <c r="V323" s="4">
        <f>IF(ISERROR(VLOOKUP($S$323,'TAR FIN'!$A$1:$O$91,15,0)),0,VLOOKUP($S$323,'TAR FIN'!$A$1:$O$91,15,0))</f>
        <v>0</v>
      </c>
      <c r="W323" s="4">
        <f>IF(ISERROR(VLOOKUP($T$323,'TAR FIN'!$A$1:$O$91,15,0)),0,VLOOKUP($T$323,'TAR FIN'!$A$1:$O$91,15,0))</f>
        <v>406.52</v>
      </c>
      <c r="X323" s="4">
        <f>IF(ISERROR(VLOOKUP($U$323,'TAR FIN'!$A$1:$O$91,15,0)),0,VLOOKUP($U$323,'TAR FIN'!$A$1:$O$91,15,0))</f>
        <v>199.03</v>
      </c>
      <c r="Y323" s="4"/>
      <c r="Z323" s="4">
        <f ca="1">('TUSD BE'!$AM$23+'TUSD BF'!$AM$23+'TUSD CVA'!$AM$23)*1</f>
        <v>446.02270810064761</v>
      </c>
      <c r="AA323" s="4">
        <f>('TE BE'!$AB$14+'TE BF'!$AB$14+'TE CVA'!$AB$14)*1</f>
        <v>205.52329867469447</v>
      </c>
      <c r="AB323" s="4">
        <f>$K$323*$V$323</f>
        <v>0</v>
      </c>
      <c r="AC323" s="4">
        <f>$M$323*$W$323</f>
        <v>553445.67796</v>
      </c>
      <c r="AD323" s="4">
        <f>$O$323*$X$323</f>
        <v>270964.01968999999</v>
      </c>
      <c r="AE323" s="4">
        <f>$K$323*$Y$323</f>
        <v>0</v>
      </c>
      <c r="AF323" s="4">
        <f ca="1">$M$323*$Z$323</f>
        <v>607225.57333050796</v>
      </c>
      <c r="AG323" s="4">
        <f>$O$323*$AA$323</f>
        <v>279804.14585159859</v>
      </c>
    </row>
    <row r="324" spans="1:33" ht="11.25" customHeight="1" x14ac:dyDescent="0.3">
      <c r="A324" s="3" t="s">
        <v>27</v>
      </c>
      <c r="B324" s="3" t="s">
        <v>22</v>
      </c>
      <c r="C324" s="3" t="s">
        <v>23</v>
      </c>
      <c r="D324" s="3" t="s">
        <v>24</v>
      </c>
      <c r="E324" s="3" t="s">
        <v>24</v>
      </c>
      <c r="F324" s="3" t="s">
        <v>25</v>
      </c>
      <c r="G324" s="3" t="s">
        <v>25</v>
      </c>
      <c r="H324" s="3" t="s">
        <v>25</v>
      </c>
      <c r="I324" s="6">
        <v>44652</v>
      </c>
      <c r="J324" s="4">
        <v>0</v>
      </c>
      <c r="K324" s="4">
        <v>0</v>
      </c>
      <c r="L324" s="4">
        <v>-0.24</v>
      </c>
      <c r="M324" s="4">
        <v>-0.24</v>
      </c>
      <c r="N324" s="4">
        <v>-0.24</v>
      </c>
      <c r="O324" s="4">
        <v>-0.24</v>
      </c>
      <c r="P324" s="4">
        <v>0</v>
      </c>
      <c r="Q324" s="3" t="s">
        <v>26</v>
      </c>
      <c r="R324" s="3">
        <v>0</v>
      </c>
      <c r="S324" s="4">
        <v>0</v>
      </c>
      <c r="T324" s="4">
        <v>19</v>
      </c>
      <c r="U324" s="4">
        <v>59</v>
      </c>
      <c r="V324" s="4">
        <f>IF(ISERROR(VLOOKUP($S$324,'TAR FIN'!$A$1:$O$91,15,0)),0,VLOOKUP($S$324,'TAR FIN'!$A$1:$O$91,15,0))</f>
        <v>0</v>
      </c>
      <c r="W324" s="4">
        <f>IF(ISERROR(VLOOKUP($T$324,'TAR FIN'!$A$1:$O$91,15,0)),0,VLOOKUP($T$324,'TAR FIN'!$A$1:$O$91,15,0))</f>
        <v>406.52</v>
      </c>
      <c r="X324" s="4">
        <f>IF(ISERROR(VLOOKUP($U$324,'TAR FIN'!$A$1:$O$91,15,0)),0,VLOOKUP($U$324,'TAR FIN'!$A$1:$O$91,15,0))</f>
        <v>199.03</v>
      </c>
      <c r="Y324" s="4"/>
      <c r="Z324" s="4">
        <f ca="1">('TUSD BE'!$AM$23+'TUSD BF'!$AM$23+'TUSD CVA'!$AM$23)*1</f>
        <v>446.02270810064761</v>
      </c>
      <c r="AA324" s="4">
        <f>('TE BE'!$AB$14+'TE BF'!$AB$14+'TE CVA'!$AB$14)*1</f>
        <v>205.52329867469447</v>
      </c>
      <c r="AB324" s="4">
        <f>$K$324*$V$324</f>
        <v>0</v>
      </c>
      <c r="AC324" s="4">
        <f>$M$324*$W$324</f>
        <v>-97.564799999999991</v>
      </c>
      <c r="AD324" s="4">
        <f>$O$324*$X$324</f>
        <v>-47.767199999999995</v>
      </c>
      <c r="AE324" s="4">
        <f>$K$324*$Y$324</f>
        <v>0</v>
      </c>
      <c r="AF324" s="4">
        <f ca="1">$M$324*$Z$324</f>
        <v>-107.04544994415542</v>
      </c>
      <c r="AG324" s="4">
        <f>$O$324*$AA$324</f>
        <v>-49.325591681926674</v>
      </c>
    </row>
    <row r="325" spans="1:33" ht="11.25" customHeight="1" x14ac:dyDescent="0.3">
      <c r="A325" s="3" t="s">
        <v>28</v>
      </c>
      <c r="B325" s="3" t="s">
        <v>22</v>
      </c>
      <c r="C325" s="3" t="s">
        <v>23</v>
      </c>
      <c r="D325" s="3" t="s">
        <v>24</v>
      </c>
      <c r="E325" s="3" t="s">
        <v>24</v>
      </c>
      <c r="F325" s="3" t="s">
        <v>25</v>
      </c>
      <c r="G325" s="3" t="s">
        <v>25</v>
      </c>
      <c r="H325" s="3" t="s">
        <v>25</v>
      </c>
      <c r="I325" s="6">
        <v>44652</v>
      </c>
      <c r="J325" s="4">
        <v>0</v>
      </c>
      <c r="K325" s="4">
        <v>0</v>
      </c>
      <c r="L325" s="4">
        <v>22.411999999999999</v>
      </c>
      <c r="M325" s="4">
        <v>22.411999999999999</v>
      </c>
      <c r="N325" s="4">
        <v>22.411999999999999</v>
      </c>
      <c r="O325" s="4">
        <v>22.411999999999999</v>
      </c>
      <c r="P325" s="4">
        <v>212</v>
      </c>
      <c r="Q325" s="3" t="s">
        <v>26</v>
      </c>
      <c r="R325" s="3">
        <v>0</v>
      </c>
      <c r="S325" s="4">
        <v>0</v>
      </c>
      <c r="T325" s="4">
        <v>19</v>
      </c>
      <c r="U325" s="4">
        <v>59</v>
      </c>
      <c r="V325" s="4">
        <f>IF(ISERROR(VLOOKUP($S$325,'TAR FIN'!$A$1:$O$91,15,0)),0,VLOOKUP($S$325,'TAR FIN'!$A$1:$O$91,15,0))</f>
        <v>0</v>
      </c>
      <c r="W325" s="4">
        <f>IF(ISERROR(VLOOKUP($T$325,'TAR FIN'!$A$1:$O$91,15,0)),0,VLOOKUP($T$325,'TAR FIN'!$A$1:$O$91,15,0))</f>
        <v>406.52</v>
      </c>
      <c r="X325" s="4">
        <f>IF(ISERROR(VLOOKUP($U$325,'TAR FIN'!$A$1:$O$91,15,0)),0,VLOOKUP($U$325,'TAR FIN'!$A$1:$O$91,15,0))</f>
        <v>199.03</v>
      </c>
      <c r="Y325" s="4"/>
      <c r="Z325" s="4">
        <f ca="1">('TUSD BE'!$AM$23+'TUSD BF'!$AM$23+'TUSD CVA'!$AM$23)*1</f>
        <v>446.02270810064761</v>
      </c>
      <c r="AA325" s="4">
        <f>('TE BE'!$AB$14+'TE BF'!$AB$14+'TE CVA'!$AB$14)*1</f>
        <v>205.52329867469447</v>
      </c>
      <c r="AB325" s="4">
        <f>$K$325*$V$325</f>
        <v>0</v>
      </c>
      <c r="AC325" s="4">
        <f>$M$325*$W$325</f>
        <v>9110.9262399999989</v>
      </c>
      <c r="AD325" s="4">
        <f>$O$325*$X$325</f>
        <v>4460.6603599999999</v>
      </c>
      <c r="AE325" s="4">
        <f>$K$325*$Y$325</f>
        <v>0</v>
      </c>
      <c r="AF325" s="4">
        <f ca="1">$M$325*$Z$325</f>
        <v>9996.260933951713</v>
      </c>
      <c r="AG325" s="4">
        <f>$O$325*$AA$325</f>
        <v>4606.188169897252</v>
      </c>
    </row>
    <row r="326" spans="1:33" ht="11.25" customHeight="1" x14ac:dyDescent="0.3">
      <c r="A326" s="3" t="s">
        <v>21</v>
      </c>
      <c r="B326" s="3" t="s">
        <v>22</v>
      </c>
      <c r="C326" s="3" t="s">
        <v>23</v>
      </c>
      <c r="D326" s="3" t="s">
        <v>24</v>
      </c>
      <c r="E326" s="3" t="s">
        <v>24</v>
      </c>
      <c r="F326" s="3" t="s">
        <v>25</v>
      </c>
      <c r="G326" s="3" t="s">
        <v>25</v>
      </c>
      <c r="H326" s="3" t="s">
        <v>25</v>
      </c>
      <c r="I326" s="6">
        <v>44682</v>
      </c>
      <c r="J326" s="4">
        <v>0</v>
      </c>
      <c r="K326" s="4">
        <v>0</v>
      </c>
      <c r="L326" s="4">
        <v>1350.643</v>
      </c>
      <c r="M326" s="4">
        <v>1350.643</v>
      </c>
      <c r="N326" s="4">
        <v>1350.643</v>
      </c>
      <c r="O326" s="4">
        <v>1350.643</v>
      </c>
      <c r="P326" s="4">
        <v>8818</v>
      </c>
      <c r="Q326" s="3" t="s">
        <v>26</v>
      </c>
      <c r="R326" s="3">
        <v>0</v>
      </c>
      <c r="S326" s="4">
        <v>0</v>
      </c>
      <c r="T326" s="4">
        <v>19</v>
      </c>
      <c r="U326" s="4">
        <v>59</v>
      </c>
      <c r="V326" s="4">
        <f>IF(ISERROR(VLOOKUP($S$326,'TAR FIN'!$A$1:$O$91,15,0)),0,VLOOKUP($S$326,'TAR FIN'!$A$1:$O$91,15,0))</f>
        <v>0</v>
      </c>
      <c r="W326" s="4">
        <f>IF(ISERROR(VLOOKUP($T$326,'TAR FIN'!$A$1:$O$91,15,0)),0,VLOOKUP($T$326,'TAR FIN'!$A$1:$O$91,15,0))</f>
        <v>406.52</v>
      </c>
      <c r="X326" s="4">
        <f>IF(ISERROR(VLOOKUP($U$326,'TAR FIN'!$A$1:$O$91,15,0)),0,VLOOKUP($U$326,'TAR FIN'!$A$1:$O$91,15,0))</f>
        <v>199.03</v>
      </c>
      <c r="Y326" s="4"/>
      <c r="Z326" s="4">
        <f ca="1">('TUSD BE'!$AM$23+'TUSD BF'!$AM$23+'TUSD CVA'!$AM$23)*1</f>
        <v>446.02270810064761</v>
      </c>
      <c r="AA326" s="4">
        <f>('TE BE'!$AB$14+'TE BF'!$AB$14+'TE CVA'!$AB$14)*1</f>
        <v>205.52329867469447</v>
      </c>
      <c r="AB326" s="4">
        <f>$K$326*$V$326</f>
        <v>0</v>
      </c>
      <c r="AC326" s="4">
        <f>$M$326*$W$326</f>
        <v>549063.39235999994</v>
      </c>
      <c r="AD326" s="4">
        <f>$O$326*$X$326</f>
        <v>268818.47629000002</v>
      </c>
      <c r="AE326" s="4">
        <f>$K$326*$Y$326</f>
        <v>0</v>
      </c>
      <c r="AF326" s="4">
        <f ca="1">$M$326*$Z$326</f>
        <v>602417.44853718299</v>
      </c>
      <c r="AG326" s="4">
        <f>$O$326*$AA$326</f>
        <v>277588.60469188535</v>
      </c>
    </row>
    <row r="327" spans="1:33" ht="11.25" customHeight="1" x14ac:dyDescent="0.3">
      <c r="A327" s="3" t="s">
        <v>27</v>
      </c>
      <c r="B327" s="3" t="s">
        <v>22</v>
      </c>
      <c r="C327" s="3" t="s">
        <v>23</v>
      </c>
      <c r="D327" s="3" t="s">
        <v>24</v>
      </c>
      <c r="E327" s="3" t="s">
        <v>24</v>
      </c>
      <c r="F327" s="3" t="s">
        <v>25</v>
      </c>
      <c r="G327" s="3" t="s">
        <v>25</v>
      </c>
      <c r="H327" s="3" t="s">
        <v>25</v>
      </c>
      <c r="I327" s="6">
        <v>44682</v>
      </c>
      <c r="J327" s="4">
        <v>0</v>
      </c>
      <c r="K327" s="4">
        <v>0</v>
      </c>
      <c r="L327" s="4">
        <v>-1.476</v>
      </c>
      <c r="M327" s="4">
        <v>-1.476</v>
      </c>
      <c r="N327" s="4">
        <v>-1.476</v>
      </c>
      <c r="O327" s="4">
        <v>-1.476</v>
      </c>
      <c r="P327" s="4">
        <v>0</v>
      </c>
      <c r="Q327" s="3" t="s">
        <v>26</v>
      </c>
      <c r="R327" s="3">
        <v>0</v>
      </c>
      <c r="S327" s="4">
        <v>0</v>
      </c>
      <c r="T327" s="4">
        <v>19</v>
      </c>
      <c r="U327" s="4">
        <v>59</v>
      </c>
      <c r="V327" s="4">
        <f>IF(ISERROR(VLOOKUP($S$327,'TAR FIN'!$A$1:$O$91,15,0)),0,VLOOKUP($S$327,'TAR FIN'!$A$1:$O$91,15,0))</f>
        <v>0</v>
      </c>
      <c r="W327" s="4">
        <f>IF(ISERROR(VLOOKUP($T$327,'TAR FIN'!$A$1:$O$91,15,0)),0,VLOOKUP($T$327,'TAR FIN'!$A$1:$O$91,15,0))</f>
        <v>406.52</v>
      </c>
      <c r="X327" s="4">
        <f>IF(ISERROR(VLOOKUP($U$327,'TAR FIN'!$A$1:$O$91,15,0)),0,VLOOKUP($U$327,'TAR FIN'!$A$1:$O$91,15,0))</f>
        <v>199.03</v>
      </c>
      <c r="Y327" s="4"/>
      <c r="Z327" s="4">
        <f ca="1">('TUSD BE'!$AM$23+'TUSD BF'!$AM$23+'TUSD CVA'!$AM$23)*1</f>
        <v>446.02270810064761</v>
      </c>
      <c r="AA327" s="4">
        <f>('TE BE'!$AB$14+'TE BF'!$AB$14+'TE CVA'!$AB$14)*1</f>
        <v>205.52329867469447</v>
      </c>
      <c r="AB327" s="4">
        <f>$K$327*$V$327</f>
        <v>0</v>
      </c>
      <c r="AC327" s="4">
        <f>$M$327*$W$327</f>
        <v>-600.02351999999996</v>
      </c>
      <c r="AD327" s="4">
        <f>$O$327*$X$327</f>
        <v>-293.76828</v>
      </c>
      <c r="AE327" s="4">
        <f>$K$327*$Y$327</f>
        <v>0</v>
      </c>
      <c r="AF327" s="4">
        <f ca="1">$M$327*$Z$327</f>
        <v>-658.32951715655588</v>
      </c>
      <c r="AG327" s="4">
        <f>$O$327*$AA$327</f>
        <v>-303.35238884384904</v>
      </c>
    </row>
    <row r="328" spans="1:33" ht="11.25" customHeight="1" x14ac:dyDescent="0.3">
      <c r="A328" s="3" t="s">
        <v>28</v>
      </c>
      <c r="B328" s="3" t="s">
        <v>22</v>
      </c>
      <c r="C328" s="3" t="s">
        <v>23</v>
      </c>
      <c r="D328" s="3" t="s">
        <v>24</v>
      </c>
      <c r="E328" s="3" t="s">
        <v>24</v>
      </c>
      <c r="F328" s="3" t="s">
        <v>25</v>
      </c>
      <c r="G328" s="3" t="s">
        <v>25</v>
      </c>
      <c r="H328" s="3" t="s">
        <v>25</v>
      </c>
      <c r="I328" s="6">
        <v>44682</v>
      </c>
      <c r="J328" s="4">
        <v>0</v>
      </c>
      <c r="K328" s="4">
        <v>0</v>
      </c>
      <c r="L328" s="4">
        <v>26.657</v>
      </c>
      <c r="M328" s="4">
        <v>26.657</v>
      </c>
      <c r="N328" s="4">
        <v>26.657</v>
      </c>
      <c r="O328" s="4">
        <v>26.657</v>
      </c>
      <c r="P328" s="4">
        <v>225</v>
      </c>
      <c r="Q328" s="3" t="s">
        <v>26</v>
      </c>
      <c r="R328" s="3">
        <v>0</v>
      </c>
      <c r="S328" s="4">
        <v>0</v>
      </c>
      <c r="T328" s="4">
        <v>19</v>
      </c>
      <c r="U328" s="4">
        <v>59</v>
      </c>
      <c r="V328" s="4">
        <f>IF(ISERROR(VLOOKUP($S$328,'TAR FIN'!$A$1:$O$91,15,0)),0,VLOOKUP($S$328,'TAR FIN'!$A$1:$O$91,15,0))</f>
        <v>0</v>
      </c>
      <c r="W328" s="4">
        <f>IF(ISERROR(VLOOKUP($T$328,'TAR FIN'!$A$1:$O$91,15,0)),0,VLOOKUP($T$328,'TAR FIN'!$A$1:$O$91,15,0))</f>
        <v>406.52</v>
      </c>
      <c r="X328" s="4">
        <f>IF(ISERROR(VLOOKUP($U$328,'TAR FIN'!$A$1:$O$91,15,0)),0,VLOOKUP($U$328,'TAR FIN'!$A$1:$O$91,15,0))</f>
        <v>199.03</v>
      </c>
      <c r="Y328" s="4"/>
      <c r="Z328" s="4">
        <f ca="1">('TUSD BE'!$AM$23+'TUSD BF'!$AM$23+'TUSD CVA'!$AM$23)*1</f>
        <v>446.02270810064761</v>
      </c>
      <c r="AA328" s="4">
        <f>('TE BE'!$AB$14+'TE BF'!$AB$14+'TE CVA'!$AB$14)*1</f>
        <v>205.52329867469447</v>
      </c>
      <c r="AB328" s="4">
        <f>$K$328*$V$328</f>
        <v>0</v>
      </c>
      <c r="AC328" s="4">
        <f>$M$328*$W$328</f>
        <v>10836.603639999999</v>
      </c>
      <c r="AD328" s="4">
        <f>$O$328*$X$328</f>
        <v>5305.5427099999997</v>
      </c>
      <c r="AE328" s="4">
        <f>$K$328*$Y$328</f>
        <v>0</v>
      </c>
      <c r="AF328" s="4">
        <f ca="1">$M$328*$Z$328</f>
        <v>11889.627329838962</v>
      </c>
      <c r="AG328" s="4">
        <f>$O$328*$AA$328</f>
        <v>5478.6345727713306</v>
      </c>
    </row>
    <row r="329" spans="1:33" ht="11.25" customHeight="1" x14ac:dyDescent="0.3">
      <c r="A329" s="3" t="s">
        <v>21</v>
      </c>
      <c r="B329" s="3" t="s">
        <v>22</v>
      </c>
      <c r="C329" s="3" t="s">
        <v>23</v>
      </c>
      <c r="D329" s="3" t="s">
        <v>24</v>
      </c>
      <c r="E329" s="3" t="s">
        <v>24</v>
      </c>
      <c r="F329" s="3" t="s">
        <v>25</v>
      </c>
      <c r="G329" s="3" t="s">
        <v>25</v>
      </c>
      <c r="H329" s="3" t="s">
        <v>25</v>
      </c>
      <c r="I329" s="6">
        <v>44713</v>
      </c>
      <c r="J329" s="4">
        <v>0</v>
      </c>
      <c r="K329" s="4">
        <v>0</v>
      </c>
      <c r="L329" s="4">
        <v>1479.26</v>
      </c>
      <c r="M329" s="4">
        <v>1479.26</v>
      </c>
      <c r="N329" s="4">
        <v>1479.26</v>
      </c>
      <c r="O329" s="4">
        <v>1479.26</v>
      </c>
      <c r="P329" s="4">
        <v>8837</v>
      </c>
      <c r="Q329" s="3" t="s">
        <v>26</v>
      </c>
      <c r="R329" s="3">
        <v>0</v>
      </c>
      <c r="S329" s="4">
        <v>0</v>
      </c>
      <c r="T329" s="4">
        <v>19</v>
      </c>
      <c r="U329" s="4">
        <v>59</v>
      </c>
      <c r="V329" s="4">
        <f>IF(ISERROR(VLOOKUP($S$329,'TAR FIN'!$A$1:$O$91,15,0)),0,VLOOKUP($S$329,'TAR FIN'!$A$1:$O$91,15,0))</f>
        <v>0</v>
      </c>
      <c r="W329" s="4">
        <f>IF(ISERROR(VLOOKUP($T$329,'TAR FIN'!$A$1:$O$91,15,0)),0,VLOOKUP($T$329,'TAR FIN'!$A$1:$O$91,15,0))</f>
        <v>406.52</v>
      </c>
      <c r="X329" s="4">
        <f>IF(ISERROR(VLOOKUP($U$329,'TAR FIN'!$A$1:$O$91,15,0)),0,VLOOKUP($U$329,'TAR FIN'!$A$1:$O$91,15,0))</f>
        <v>199.03</v>
      </c>
      <c r="Y329" s="4"/>
      <c r="Z329" s="4">
        <f ca="1">('TUSD BE'!$AM$23+'TUSD BF'!$AM$23+'TUSD CVA'!$AM$23)*1</f>
        <v>446.02270810064761</v>
      </c>
      <c r="AA329" s="4">
        <f>('TE BE'!$AB$14+'TE BF'!$AB$14+'TE CVA'!$AB$14)*1</f>
        <v>205.52329867469447</v>
      </c>
      <c r="AB329" s="4">
        <f>$K$329*$V$329</f>
        <v>0</v>
      </c>
      <c r="AC329" s="4">
        <f>$M$329*$W$329</f>
        <v>601348.77519999992</v>
      </c>
      <c r="AD329" s="4">
        <f>$O$329*$X$329</f>
        <v>294417.11780000001</v>
      </c>
      <c r="AE329" s="4">
        <f>$K$329*$Y$329</f>
        <v>0</v>
      </c>
      <c r="AF329" s="4">
        <f ca="1">$M$329*$Z$329</f>
        <v>659783.55118496402</v>
      </c>
      <c r="AG329" s="4">
        <f>$O$329*$AA$329</f>
        <v>304022.39479752857</v>
      </c>
    </row>
    <row r="330" spans="1:33" ht="11.25" customHeight="1" x14ac:dyDescent="0.3">
      <c r="A330" s="3" t="s">
        <v>28</v>
      </c>
      <c r="B330" s="3" t="s">
        <v>22</v>
      </c>
      <c r="C330" s="3" t="s">
        <v>23</v>
      </c>
      <c r="D330" s="3" t="s">
        <v>24</v>
      </c>
      <c r="E330" s="3" t="s">
        <v>24</v>
      </c>
      <c r="F330" s="3" t="s">
        <v>25</v>
      </c>
      <c r="G330" s="3" t="s">
        <v>25</v>
      </c>
      <c r="H330" s="3" t="s">
        <v>25</v>
      </c>
      <c r="I330" s="6">
        <v>44713</v>
      </c>
      <c r="J330" s="4">
        <v>0</v>
      </c>
      <c r="K330" s="4">
        <v>0</v>
      </c>
      <c r="L330" s="4">
        <v>38.671999999999997</v>
      </c>
      <c r="M330" s="4">
        <v>38.671999999999997</v>
      </c>
      <c r="N330" s="4">
        <v>38.671999999999997</v>
      </c>
      <c r="O330" s="4">
        <v>38.671999999999997</v>
      </c>
      <c r="P330" s="4">
        <v>251</v>
      </c>
      <c r="Q330" s="3" t="s">
        <v>26</v>
      </c>
      <c r="R330" s="3">
        <v>0</v>
      </c>
      <c r="S330" s="4">
        <v>0</v>
      </c>
      <c r="T330" s="4">
        <v>19</v>
      </c>
      <c r="U330" s="4">
        <v>59</v>
      </c>
      <c r="V330" s="4">
        <f>IF(ISERROR(VLOOKUP($S$330,'TAR FIN'!$A$1:$O$91,15,0)),0,VLOOKUP($S$330,'TAR FIN'!$A$1:$O$91,15,0))</f>
        <v>0</v>
      </c>
      <c r="W330" s="4">
        <f>IF(ISERROR(VLOOKUP($T$330,'TAR FIN'!$A$1:$O$91,15,0)),0,VLOOKUP($T$330,'TAR FIN'!$A$1:$O$91,15,0))</f>
        <v>406.52</v>
      </c>
      <c r="X330" s="4">
        <f>IF(ISERROR(VLOOKUP($U$330,'TAR FIN'!$A$1:$O$91,15,0)),0,VLOOKUP($U$330,'TAR FIN'!$A$1:$O$91,15,0))</f>
        <v>199.03</v>
      </c>
      <c r="Y330" s="4"/>
      <c r="Z330" s="4">
        <f ca="1">('TUSD BE'!$AM$23+'TUSD BF'!$AM$23+'TUSD CVA'!$AM$23)*1</f>
        <v>446.02270810064761</v>
      </c>
      <c r="AA330" s="4">
        <f>('TE BE'!$AB$14+'TE BF'!$AB$14+'TE CVA'!$AB$14)*1</f>
        <v>205.52329867469447</v>
      </c>
      <c r="AB330" s="4">
        <f>$K$330*$V$330</f>
        <v>0</v>
      </c>
      <c r="AC330" s="4">
        <f>$M$330*$W$330</f>
        <v>15720.941439999999</v>
      </c>
      <c r="AD330" s="4">
        <f>$O$330*$X$330</f>
        <v>7696.8881599999995</v>
      </c>
      <c r="AE330" s="4">
        <f>$K$330*$Y$330</f>
        <v>0</v>
      </c>
      <c r="AF330" s="4">
        <f ca="1">$M$330*$Z$330</f>
        <v>17248.590167668244</v>
      </c>
      <c r="AG330" s="4">
        <f>$O$330*$AA$330</f>
        <v>7947.997006347784</v>
      </c>
    </row>
    <row r="331" spans="1:33" ht="11.25" customHeight="1" x14ac:dyDescent="0.3">
      <c r="A331" s="3" t="s">
        <v>21</v>
      </c>
      <c r="B331" s="3" t="s">
        <v>22</v>
      </c>
      <c r="C331" s="3" t="s">
        <v>23</v>
      </c>
      <c r="D331" s="3" t="s">
        <v>24</v>
      </c>
      <c r="E331" s="3" t="s">
        <v>29</v>
      </c>
      <c r="F331" s="3" t="s">
        <v>25</v>
      </c>
      <c r="G331" s="3" t="s">
        <v>25</v>
      </c>
      <c r="H331" s="3" t="s">
        <v>25</v>
      </c>
      <c r="I331" s="6">
        <v>44378</v>
      </c>
      <c r="J331" s="4">
        <v>0</v>
      </c>
      <c r="K331" s="4">
        <v>0</v>
      </c>
      <c r="L331" s="4">
        <v>32.19</v>
      </c>
      <c r="M331" s="4">
        <v>32.19</v>
      </c>
      <c r="N331" s="4">
        <v>32.19</v>
      </c>
      <c r="O331" s="4">
        <v>32.19</v>
      </c>
      <c r="P331" s="4">
        <v>64</v>
      </c>
      <c r="Q331" s="3" t="s">
        <v>26</v>
      </c>
      <c r="R331" s="3">
        <v>0</v>
      </c>
      <c r="S331" s="4">
        <v>0</v>
      </c>
      <c r="T331" s="4">
        <v>20</v>
      </c>
      <c r="U331" s="4">
        <v>60</v>
      </c>
      <c r="V331" s="4">
        <f>IF(ISERROR(VLOOKUP($S$331,'TAR FIN'!$A$1:$O$91,15,0)),0,VLOOKUP($S$331,'TAR FIN'!$A$1:$O$91,15,0))</f>
        <v>0</v>
      </c>
      <c r="W331" s="4">
        <f>IF(ISERROR(VLOOKUP($T$331,'TAR FIN'!$A$1:$O$91,15,0)),0,VLOOKUP($T$331,'TAR FIN'!$A$1:$O$91,15,0))</f>
        <v>112.15</v>
      </c>
      <c r="X331" s="4">
        <f>IF(ISERROR(VLOOKUP($U$331,'TAR FIN'!$A$1:$O$91,15,0)),0,VLOOKUP($U$331,'TAR FIN'!$A$1:$O$91,15,0))</f>
        <v>69.66</v>
      </c>
      <c r="Y331" s="4"/>
      <c r="Z331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1" s="4">
        <f>('TE BE'!$AB$15+'TE BF'!$AB$15+'TE CVA'!$AB$15)*(1-CUSTOS!$M$34)</f>
        <v>71.933154536143064</v>
      </c>
      <c r="AB331" s="4">
        <f>$K$331*$V$331</f>
        <v>0</v>
      </c>
      <c r="AC331" s="4">
        <f>$M$331*$W$331</f>
        <v>3610.1084999999998</v>
      </c>
      <c r="AD331" s="4">
        <f>$O$331*$X$331</f>
        <v>2242.3553999999999</v>
      </c>
      <c r="AE331" s="4">
        <f>$K$331*$Y$331</f>
        <v>0</v>
      </c>
      <c r="AF331" s="4">
        <f ca="1">$M$331*$Z$331</f>
        <v>3819.3143718482029</v>
      </c>
      <c r="AG331" s="4">
        <f>$O$331*$AA$331</f>
        <v>2315.5282445184453</v>
      </c>
    </row>
    <row r="332" spans="1:33" ht="11.25" customHeight="1" x14ac:dyDescent="0.3">
      <c r="A332" s="3" t="s">
        <v>28</v>
      </c>
      <c r="B332" s="3" t="s">
        <v>22</v>
      </c>
      <c r="C332" s="3" t="s">
        <v>23</v>
      </c>
      <c r="D332" s="3" t="s">
        <v>24</v>
      </c>
      <c r="E332" s="3" t="s">
        <v>29</v>
      </c>
      <c r="F332" s="3" t="s">
        <v>25</v>
      </c>
      <c r="G332" s="3" t="s">
        <v>25</v>
      </c>
      <c r="H332" s="3" t="s">
        <v>25</v>
      </c>
      <c r="I332" s="6">
        <v>44378</v>
      </c>
      <c r="J332" s="4">
        <v>0</v>
      </c>
      <c r="K332" s="4">
        <v>0</v>
      </c>
      <c r="L332" s="4">
        <v>0.06</v>
      </c>
      <c r="M332" s="4">
        <v>0.06</v>
      </c>
      <c r="N332" s="4">
        <v>0.06</v>
      </c>
      <c r="O332" s="4">
        <v>0.06</v>
      </c>
      <c r="P332" s="4">
        <v>1</v>
      </c>
      <c r="Q332" s="3" t="s">
        <v>26</v>
      </c>
      <c r="R332" s="3">
        <v>0</v>
      </c>
      <c r="S332" s="4">
        <v>0</v>
      </c>
      <c r="T332" s="4">
        <v>20</v>
      </c>
      <c r="U332" s="4">
        <v>60</v>
      </c>
      <c r="V332" s="4">
        <f>IF(ISERROR(VLOOKUP($S$332,'TAR FIN'!$A$1:$O$91,15,0)),0,VLOOKUP($S$332,'TAR FIN'!$A$1:$O$91,15,0))</f>
        <v>0</v>
      </c>
      <c r="W332" s="4">
        <f>IF(ISERROR(VLOOKUP($T$332,'TAR FIN'!$A$1:$O$91,15,0)),0,VLOOKUP($T$332,'TAR FIN'!$A$1:$O$91,15,0))</f>
        <v>112.15</v>
      </c>
      <c r="X332" s="4">
        <f>IF(ISERROR(VLOOKUP($U$332,'TAR FIN'!$A$1:$O$91,15,0)),0,VLOOKUP($U$332,'TAR FIN'!$A$1:$O$91,15,0))</f>
        <v>69.66</v>
      </c>
      <c r="Y332" s="4"/>
      <c r="Z332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2" s="4">
        <f>('TE BE'!$AB$15+'TE BF'!$AB$15+'TE CVA'!$AB$15)*(1-CUSTOS!$M$34)</f>
        <v>71.933154536143064</v>
      </c>
      <c r="AB332" s="4">
        <f>$K$332*$V$332</f>
        <v>0</v>
      </c>
      <c r="AC332" s="4">
        <f>$M$332*$W$332</f>
        <v>6.7290000000000001</v>
      </c>
      <c r="AD332" s="4">
        <f>$O$332*$X$332</f>
        <v>4.1795999999999998</v>
      </c>
      <c r="AE332" s="4">
        <f>$K$332*$Y$332</f>
        <v>0</v>
      </c>
      <c r="AF332" s="4">
        <f ca="1">$M$332*$Z$332</f>
        <v>7.1189457070795958</v>
      </c>
      <c r="AG332" s="4">
        <f>$O$332*$AA$332</f>
        <v>4.3159892721685837</v>
      </c>
    </row>
    <row r="333" spans="1:33" ht="11.25" customHeight="1" x14ac:dyDescent="0.3">
      <c r="A333" s="3" t="s">
        <v>21</v>
      </c>
      <c r="B333" s="3" t="s">
        <v>22</v>
      </c>
      <c r="C333" s="3" t="s">
        <v>23</v>
      </c>
      <c r="D333" s="3" t="s">
        <v>24</v>
      </c>
      <c r="E333" s="3" t="s">
        <v>29</v>
      </c>
      <c r="F333" s="3" t="s">
        <v>25</v>
      </c>
      <c r="G333" s="3" t="s">
        <v>25</v>
      </c>
      <c r="H333" s="3" t="s">
        <v>25</v>
      </c>
      <c r="I333" s="6">
        <v>44409</v>
      </c>
      <c r="J333" s="4">
        <v>0</v>
      </c>
      <c r="K333" s="4">
        <v>0</v>
      </c>
      <c r="L333" s="4">
        <v>32.31</v>
      </c>
      <c r="M333" s="4">
        <v>32.31</v>
      </c>
      <c r="N333" s="4">
        <v>32.31</v>
      </c>
      <c r="O333" s="4">
        <v>32.31</v>
      </c>
      <c r="P333" s="4">
        <v>63</v>
      </c>
      <c r="Q333" s="3" t="s">
        <v>26</v>
      </c>
      <c r="R333" s="3">
        <v>0</v>
      </c>
      <c r="S333" s="4">
        <v>0</v>
      </c>
      <c r="T333" s="4">
        <v>20</v>
      </c>
      <c r="U333" s="4">
        <v>60</v>
      </c>
      <c r="V333" s="4">
        <f>IF(ISERROR(VLOOKUP($S$333,'TAR FIN'!$A$1:$O$91,15,0)),0,VLOOKUP($S$333,'TAR FIN'!$A$1:$O$91,15,0))</f>
        <v>0</v>
      </c>
      <c r="W333" s="4">
        <f>IF(ISERROR(VLOOKUP($T$333,'TAR FIN'!$A$1:$O$91,15,0)),0,VLOOKUP($T$333,'TAR FIN'!$A$1:$O$91,15,0))</f>
        <v>112.15</v>
      </c>
      <c r="X333" s="4">
        <f>IF(ISERROR(VLOOKUP($U$333,'TAR FIN'!$A$1:$O$91,15,0)),0,VLOOKUP($U$333,'TAR FIN'!$A$1:$O$91,15,0))</f>
        <v>69.66</v>
      </c>
      <c r="Y333" s="4"/>
      <c r="Z333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3" s="4">
        <f>('TE BE'!$AB$15+'TE BF'!$AB$15+'TE CVA'!$AB$15)*(1-CUSTOS!$M$34)</f>
        <v>71.933154536143064</v>
      </c>
      <c r="AB333" s="4">
        <f>$K$333*$V$333</f>
        <v>0</v>
      </c>
      <c r="AC333" s="4">
        <f>$M$333*$W$333</f>
        <v>3623.5665000000004</v>
      </c>
      <c r="AD333" s="4">
        <f>$O$333*$X$333</f>
        <v>2250.7146000000002</v>
      </c>
      <c r="AE333" s="4">
        <f>$K$333*$Y$333</f>
        <v>0</v>
      </c>
      <c r="AF333" s="4">
        <f ca="1">$M$333*$Z$333</f>
        <v>3833.5522632623629</v>
      </c>
      <c r="AG333" s="4">
        <f>$O$333*$AA$333</f>
        <v>2324.1602230627827</v>
      </c>
    </row>
    <row r="334" spans="1:33" ht="11.25" customHeight="1" x14ac:dyDescent="0.3">
      <c r="A334" s="3" t="s">
        <v>28</v>
      </c>
      <c r="B334" s="3" t="s">
        <v>22</v>
      </c>
      <c r="C334" s="3" t="s">
        <v>23</v>
      </c>
      <c r="D334" s="3" t="s">
        <v>24</v>
      </c>
      <c r="E334" s="3" t="s">
        <v>29</v>
      </c>
      <c r="F334" s="3" t="s">
        <v>25</v>
      </c>
      <c r="G334" s="3" t="s">
        <v>25</v>
      </c>
      <c r="H334" s="3" t="s">
        <v>25</v>
      </c>
      <c r="I334" s="6">
        <v>44409</v>
      </c>
      <c r="J334" s="4">
        <v>0</v>
      </c>
      <c r="K334" s="4">
        <v>0</v>
      </c>
      <c r="L334" s="4">
        <v>0.03</v>
      </c>
      <c r="M334" s="4">
        <v>0.03</v>
      </c>
      <c r="N334" s="4">
        <v>0.03</v>
      </c>
      <c r="O334" s="4">
        <v>0.03</v>
      </c>
      <c r="P334" s="4">
        <v>1</v>
      </c>
      <c r="Q334" s="3" t="s">
        <v>26</v>
      </c>
      <c r="R334" s="3">
        <v>0</v>
      </c>
      <c r="S334" s="4">
        <v>0</v>
      </c>
      <c r="T334" s="4">
        <v>20</v>
      </c>
      <c r="U334" s="4">
        <v>60</v>
      </c>
      <c r="V334" s="4">
        <f>IF(ISERROR(VLOOKUP($S$334,'TAR FIN'!$A$1:$O$91,15,0)),0,VLOOKUP($S$334,'TAR FIN'!$A$1:$O$91,15,0))</f>
        <v>0</v>
      </c>
      <c r="W334" s="4">
        <f>IF(ISERROR(VLOOKUP($T$334,'TAR FIN'!$A$1:$O$91,15,0)),0,VLOOKUP($T$334,'TAR FIN'!$A$1:$O$91,15,0))</f>
        <v>112.15</v>
      </c>
      <c r="X334" s="4">
        <f>IF(ISERROR(VLOOKUP($U$334,'TAR FIN'!$A$1:$O$91,15,0)),0,VLOOKUP($U$334,'TAR FIN'!$A$1:$O$91,15,0))</f>
        <v>69.66</v>
      </c>
      <c r="Y334" s="4"/>
      <c r="Z334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4" s="4">
        <f>('TE BE'!$AB$15+'TE BF'!$AB$15+'TE CVA'!$AB$15)*(1-CUSTOS!$M$34)</f>
        <v>71.933154536143064</v>
      </c>
      <c r="AB334" s="4">
        <f>$K$334*$V$334</f>
        <v>0</v>
      </c>
      <c r="AC334" s="4">
        <f>$M$334*$W$334</f>
        <v>3.3645</v>
      </c>
      <c r="AD334" s="4">
        <f>$O$334*$X$334</f>
        <v>2.0897999999999999</v>
      </c>
      <c r="AE334" s="4">
        <f>$K$334*$Y$334</f>
        <v>0</v>
      </c>
      <c r="AF334" s="4">
        <f ca="1">$M$334*$Z$334</f>
        <v>3.5594728535397979</v>
      </c>
      <c r="AG334" s="4">
        <f>$O$334*$AA$334</f>
        <v>2.1579946360842919</v>
      </c>
    </row>
    <row r="335" spans="1:33" ht="11.25" customHeight="1" x14ac:dyDescent="0.3">
      <c r="A335" s="3" t="s">
        <v>21</v>
      </c>
      <c r="B335" s="3" t="s">
        <v>22</v>
      </c>
      <c r="C335" s="3" t="s">
        <v>23</v>
      </c>
      <c r="D335" s="3" t="s">
        <v>24</v>
      </c>
      <c r="E335" s="3" t="s">
        <v>29</v>
      </c>
      <c r="F335" s="3" t="s">
        <v>25</v>
      </c>
      <c r="G335" s="3" t="s">
        <v>25</v>
      </c>
      <c r="H335" s="3" t="s">
        <v>25</v>
      </c>
      <c r="I335" s="6">
        <v>44440</v>
      </c>
      <c r="J335" s="4">
        <v>0</v>
      </c>
      <c r="K335" s="4">
        <v>0</v>
      </c>
      <c r="L335" s="4">
        <v>32.58</v>
      </c>
      <c r="M335" s="4">
        <v>32.58</v>
      </c>
      <c r="N335" s="4">
        <v>32.58</v>
      </c>
      <c r="O335" s="4">
        <v>32.58</v>
      </c>
      <c r="P335" s="4">
        <v>51</v>
      </c>
      <c r="Q335" s="3" t="s">
        <v>26</v>
      </c>
      <c r="R335" s="3">
        <v>0</v>
      </c>
      <c r="S335" s="4">
        <v>0</v>
      </c>
      <c r="T335" s="4">
        <v>20</v>
      </c>
      <c r="U335" s="4">
        <v>60</v>
      </c>
      <c r="V335" s="4">
        <f>IF(ISERROR(VLOOKUP($S$335,'TAR FIN'!$A$1:$O$91,15,0)),0,VLOOKUP($S$335,'TAR FIN'!$A$1:$O$91,15,0))</f>
        <v>0</v>
      </c>
      <c r="W335" s="4">
        <f>IF(ISERROR(VLOOKUP($T$335,'TAR FIN'!$A$1:$O$91,15,0)),0,VLOOKUP($T$335,'TAR FIN'!$A$1:$O$91,15,0))</f>
        <v>112.15</v>
      </c>
      <c r="X335" s="4">
        <f>IF(ISERROR(VLOOKUP($U$335,'TAR FIN'!$A$1:$O$91,15,0)),0,VLOOKUP($U$335,'TAR FIN'!$A$1:$O$91,15,0))</f>
        <v>69.66</v>
      </c>
      <c r="Y335" s="4"/>
      <c r="Z335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5" s="4">
        <f>('TE BE'!$AB$15+'TE BF'!$AB$15+'TE CVA'!$AB$15)*(1-CUSTOS!$M$34)</f>
        <v>71.933154536143064</v>
      </c>
      <c r="AB335" s="4">
        <f>$K$335*$V$335</f>
        <v>0</v>
      </c>
      <c r="AC335" s="4">
        <f>$M$335*$W$335</f>
        <v>3653.8470000000002</v>
      </c>
      <c r="AD335" s="4">
        <f>$O$335*$X$335</f>
        <v>2269.5227999999997</v>
      </c>
      <c r="AE335" s="4">
        <f>$K$335*$Y$335</f>
        <v>0</v>
      </c>
      <c r="AF335" s="4">
        <f ca="1">$M$335*$Z$335</f>
        <v>3865.5875189442204</v>
      </c>
      <c r="AG335" s="4">
        <f>$O$335*$AA$335</f>
        <v>2343.5821747875411</v>
      </c>
    </row>
    <row r="336" spans="1:33" ht="11.25" customHeight="1" x14ac:dyDescent="0.3">
      <c r="A336" s="3" t="s">
        <v>28</v>
      </c>
      <c r="B336" s="3" t="s">
        <v>22</v>
      </c>
      <c r="C336" s="3" t="s">
        <v>23</v>
      </c>
      <c r="D336" s="3" t="s">
        <v>24</v>
      </c>
      <c r="E336" s="3" t="s">
        <v>29</v>
      </c>
      <c r="F336" s="3" t="s">
        <v>25</v>
      </c>
      <c r="G336" s="3" t="s">
        <v>25</v>
      </c>
      <c r="H336" s="3" t="s">
        <v>25</v>
      </c>
      <c r="I336" s="6">
        <v>44440</v>
      </c>
      <c r="J336" s="4">
        <v>0</v>
      </c>
      <c r="K336" s="4">
        <v>0</v>
      </c>
      <c r="L336" s="4">
        <v>0.03</v>
      </c>
      <c r="M336" s="4">
        <v>0.03</v>
      </c>
      <c r="N336" s="4">
        <v>0.03</v>
      </c>
      <c r="O336" s="4">
        <v>0.03</v>
      </c>
      <c r="P336" s="4">
        <v>1</v>
      </c>
      <c r="Q336" s="3" t="s">
        <v>26</v>
      </c>
      <c r="R336" s="3">
        <v>0</v>
      </c>
      <c r="S336" s="4">
        <v>0</v>
      </c>
      <c r="T336" s="4">
        <v>20</v>
      </c>
      <c r="U336" s="4">
        <v>60</v>
      </c>
      <c r="V336" s="4">
        <f>IF(ISERROR(VLOOKUP($S$336,'TAR FIN'!$A$1:$O$91,15,0)),0,VLOOKUP($S$336,'TAR FIN'!$A$1:$O$91,15,0))</f>
        <v>0</v>
      </c>
      <c r="W336" s="4">
        <f>IF(ISERROR(VLOOKUP($T$336,'TAR FIN'!$A$1:$O$91,15,0)),0,VLOOKUP($T$336,'TAR FIN'!$A$1:$O$91,15,0))</f>
        <v>112.15</v>
      </c>
      <c r="X336" s="4">
        <f>IF(ISERROR(VLOOKUP($U$336,'TAR FIN'!$A$1:$O$91,15,0)),0,VLOOKUP($U$336,'TAR FIN'!$A$1:$O$91,15,0))</f>
        <v>69.66</v>
      </c>
      <c r="Y336" s="4"/>
      <c r="Z336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6" s="4">
        <f>('TE BE'!$AB$15+'TE BF'!$AB$15+'TE CVA'!$AB$15)*(1-CUSTOS!$M$34)</f>
        <v>71.933154536143064</v>
      </c>
      <c r="AB336" s="4">
        <f>$K$336*$V$336</f>
        <v>0</v>
      </c>
      <c r="AC336" s="4">
        <f>$M$336*$W$336</f>
        <v>3.3645</v>
      </c>
      <c r="AD336" s="4">
        <f>$O$336*$X$336</f>
        <v>2.0897999999999999</v>
      </c>
      <c r="AE336" s="4">
        <f>$K$336*$Y$336</f>
        <v>0</v>
      </c>
      <c r="AF336" s="4">
        <f ca="1">$M$336*$Z$336</f>
        <v>3.5594728535397979</v>
      </c>
      <c r="AG336" s="4">
        <f>$O$336*$AA$336</f>
        <v>2.1579946360842919</v>
      </c>
    </row>
    <row r="337" spans="1:33" ht="11.25" customHeight="1" x14ac:dyDescent="0.3">
      <c r="A337" s="3" t="s">
        <v>21</v>
      </c>
      <c r="B337" s="3" t="s">
        <v>22</v>
      </c>
      <c r="C337" s="3" t="s">
        <v>23</v>
      </c>
      <c r="D337" s="3" t="s">
        <v>24</v>
      </c>
      <c r="E337" s="3" t="s">
        <v>29</v>
      </c>
      <c r="F337" s="3" t="s">
        <v>25</v>
      </c>
      <c r="G337" s="3" t="s">
        <v>25</v>
      </c>
      <c r="H337" s="3" t="s">
        <v>25</v>
      </c>
      <c r="I337" s="6">
        <v>44470</v>
      </c>
      <c r="J337" s="4">
        <v>0</v>
      </c>
      <c r="K337" s="4">
        <v>0</v>
      </c>
      <c r="L337" s="4">
        <v>32.700000000000003</v>
      </c>
      <c r="M337" s="4">
        <v>32.700000000000003</v>
      </c>
      <c r="N337" s="4">
        <v>32.700000000000003</v>
      </c>
      <c r="O337" s="4">
        <v>32.700000000000003</v>
      </c>
      <c r="P337" s="4">
        <v>53</v>
      </c>
      <c r="Q337" s="3" t="s">
        <v>26</v>
      </c>
      <c r="R337" s="3">
        <v>0</v>
      </c>
      <c r="S337" s="4">
        <v>0</v>
      </c>
      <c r="T337" s="4">
        <v>20</v>
      </c>
      <c r="U337" s="4">
        <v>60</v>
      </c>
      <c r="V337" s="4">
        <f>IF(ISERROR(VLOOKUP($S$337,'TAR FIN'!$A$1:$O$91,15,0)),0,VLOOKUP($S$337,'TAR FIN'!$A$1:$O$91,15,0))</f>
        <v>0</v>
      </c>
      <c r="W337" s="4">
        <f>IF(ISERROR(VLOOKUP($T$337,'TAR FIN'!$A$1:$O$91,15,0)),0,VLOOKUP($T$337,'TAR FIN'!$A$1:$O$91,15,0))</f>
        <v>112.15</v>
      </c>
      <c r="X337" s="4">
        <f>IF(ISERROR(VLOOKUP($U$337,'TAR FIN'!$A$1:$O$91,15,0)),0,VLOOKUP($U$337,'TAR FIN'!$A$1:$O$91,15,0))</f>
        <v>69.66</v>
      </c>
      <c r="Y337" s="4"/>
      <c r="Z337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7" s="4">
        <f>('TE BE'!$AB$15+'TE BF'!$AB$15+'TE CVA'!$AB$15)*(1-CUSTOS!$M$34)</f>
        <v>71.933154536143064</v>
      </c>
      <c r="AB337" s="4">
        <f>$K$337*$V$337</f>
        <v>0</v>
      </c>
      <c r="AC337" s="4">
        <f>$M$337*$W$337</f>
        <v>3667.3050000000003</v>
      </c>
      <c r="AD337" s="4">
        <f>$O$337*$X$337</f>
        <v>2277.8820000000001</v>
      </c>
      <c r="AE337" s="4">
        <f>$K$337*$Y$337</f>
        <v>0</v>
      </c>
      <c r="AF337" s="4">
        <f ca="1">$M$337*$Z$337</f>
        <v>3879.8254103583804</v>
      </c>
      <c r="AG337" s="4">
        <f>$O$337*$AA$337</f>
        <v>2352.2141533318786</v>
      </c>
    </row>
    <row r="338" spans="1:33" ht="11.25" customHeight="1" x14ac:dyDescent="0.3">
      <c r="A338" s="3" t="s">
        <v>28</v>
      </c>
      <c r="B338" s="3" t="s">
        <v>22</v>
      </c>
      <c r="C338" s="3" t="s">
        <v>23</v>
      </c>
      <c r="D338" s="3" t="s">
        <v>24</v>
      </c>
      <c r="E338" s="3" t="s">
        <v>29</v>
      </c>
      <c r="F338" s="3" t="s">
        <v>25</v>
      </c>
      <c r="G338" s="3" t="s">
        <v>25</v>
      </c>
      <c r="H338" s="3" t="s">
        <v>25</v>
      </c>
      <c r="I338" s="6">
        <v>44470</v>
      </c>
      <c r="J338" s="4">
        <v>0</v>
      </c>
      <c r="K338" s="4">
        <v>0</v>
      </c>
      <c r="L338" s="4">
        <v>0.03</v>
      </c>
      <c r="M338" s="4">
        <v>0.03</v>
      </c>
      <c r="N338" s="4">
        <v>0.03</v>
      </c>
      <c r="O338" s="4">
        <v>0.03</v>
      </c>
      <c r="P338" s="4">
        <v>1</v>
      </c>
      <c r="Q338" s="3" t="s">
        <v>26</v>
      </c>
      <c r="R338" s="3">
        <v>0</v>
      </c>
      <c r="S338" s="4">
        <v>0</v>
      </c>
      <c r="T338" s="4">
        <v>20</v>
      </c>
      <c r="U338" s="4">
        <v>60</v>
      </c>
      <c r="V338" s="4">
        <f>IF(ISERROR(VLOOKUP($S$338,'TAR FIN'!$A$1:$O$91,15,0)),0,VLOOKUP($S$338,'TAR FIN'!$A$1:$O$91,15,0))</f>
        <v>0</v>
      </c>
      <c r="W338" s="4">
        <f>IF(ISERROR(VLOOKUP($T$338,'TAR FIN'!$A$1:$O$91,15,0)),0,VLOOKUP($T$338,'TAR FIN'!$A$1:$O$91,15,0))</f>
        <v>112.15</v>
      </c>
      <c r="X338" s="4">
        <f>IF(ISERROR(VLOOKUP($U$338,'TAR FIN'!$A$1:$O$91,15,0)),0,VLOOKUP($U$338,'TAR FIN'!$A$1:$O$91,15,0))</f>
        <v>69.66</v>
      </c>
      <c r="Y338" s="4"/>
      <c r="Z338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8" s="4">
        <f>('TE BE'!$AB$15+'TE BF'!$AB$15+'TE CVA'!$AB$15)*(1-CUSTOS!$M$34)</f>
        <v>71.933154536143064</v>
      </c>
      <c r="AB338" s="4">
        <f>$K$338*$V$338</f>
        <v>0</v>
      </c>
      <c r="AC338" s="4">
        <f>$M$338*$W$338</f>
        <v>3.3645</v>
      </c>
      <c r="AD338" s="4">
        <f>$O$338*$X$338</f>
        <v>2.0897999999999999</v>
      </c>
      <c r="AE338" s="4">
        <f>$K$338*$Y$338</f>
        <v>0</v>
      </c>
      <c r="AF338" s="4">
        <f ca="1">$M$338*$Z$338</f>
        <v>3.5594728535397979</v>
      </c>
      <c r="AG338" s="4">
        <f>$O$338*$AA$338</f>
        <v>2.1579946360842919</v>
      </c>
    </row>
    <row r="339" spans="1:33" ht="11.25" customHeight="1" x14ac:dyDescent="0.3">
      <c r="A339" s="3" t="s">
        <v>21</v>
      </c>
      <c r="B339" s="3" t="s">
        <v>22</v>
      </c>
      <c r="C339" s="3" t="s">
        <v>23</v>
      </c>
      <c r="D339" s="3" t="s">
        <v>24</v>
      </c>
      <c r="E339" s="3" t="s">
        <v>29</v>
      </c>
      <c r="F339" s="3" t="s">
        <v>25</v>
      </c>
      <c r="G339" s="3" t="s">
        <v>25</v>
      </c>
      <c r="H339" s="3" t="s">
        <v>25</v>
      </c>
      <c r="I339" s="6">
        <v>44501</v>
      </c>
      <c r="J339" s="4">
        <v>0</v>
      </c>
      <c r="K339" s="4">
        <v>0</v>
      </c>
      <c r="L339" s="4">
        <v>32.880000000000003</v>
      </c>
      <c r="M339" s="4">
        <v>32.880000000000003</v>
      </c>
      <c r="N339" s="4">
        <v>32.880000000000003</v>
      </c>
      <c r="O339" s="4">
        <v>32.880000000000003</v>
      </c>
      <c r="P339" s="4">
        <v>43</v>
      </c>
      <c r="Q339" s="3" t="s">
        <v>26</v>
      </c>
      <c r="R339" s="3">
        <v>0</v>
      </c>
      <c r="S339" s="4">
        <v>0</v>
      </c>
      <c r="T339" s="4">
        <v>20</v>
      </c>
      <c r="U339" s="4">
        <v>60</v>
      </c>
      <c r="V339" s="4">
        <f>IF(ISERROR(VLOOKUP($S$339,'TAR FIN'!$A$1:$O$91,15,0)),0,VLOOKUP($S$339,'TAR FIN'!$A$1:$O$91,15,0))</f>
        <v>0</v>
      </c>
      <c r="W339" s="4">
        <f>IF(ISERROR(VLOOKUP($T$339,'TAR FIN'!$A$1:$O$91,15,0)),0,VLOOKUP($T$339,'TAR FIN'!$A$1:$O$91,15,0))</f>
        <v>112.15</v>
      </c>
      <c r="X339" s="4">
        <f>IF(ISERROR(VLOOKUP($U$339,'TAR FIN'!$A$1:$O$91,15,0)),0,VLOOKUP($U$339,'TAR FIN'!$A$1:$O$91,15,0))</f>
        <v>69.66</v>
      </c>
      <c r="Y339" s="4"/>
      <c r="Z339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39" s="4">
        <f>('TE BE'!$AB$15+'TE BF'!$AB$15+'TE CVA'!$AB$15)*(1-CUSTOS!$M$34)</f>
        <v>71.933154536143064</v>
      </c>
      <c r="AB339" s="4">
        <f>$K$339*$V$339</f>
        <v>0</v>
      </c>
      <c r="AC339" s="4">
        <f>$M$339*$W$339</f>
        <v>3687.4920000000006</v>
      </c>
      <c r="AD339" s="4">
        <f>$O$339*$X$339</f>
        <v>2290.4207999999999</v>
      </c>
      <c r="AE339" s="4">
        <f>$K$339*$Y$339</f>
        <v>0</v>
      </c>
      <c r="AF339" s="4">
        <f ca="1">$M$339*$Z$339</f>
        <v>3901.182247479619</v>
      </c>
      <c r="AG339" s="4">
        <f>$O$339*$AA$339</f>
        <v>2365.1621211483844</v>
      </c>
    </row>
    <row r="340" spans="1:33" ht="11.25" customHeight="1" x14ac:dyDescent="0.3">
      <c r="A340" s="3" t="s">
        <v>28</v>
      </c>
      <c r="B340" s="3" t="s">
        <v>22</v>
      </c>
      <c r="C340" s="3" t="s">
        <v>23</v>
      </c>
      <c r="D340" s="3" t="s">
        <v>24</v>
      </c>
      <c r="E340" s="3" t="s">
        <v>29</v>
      </c>
      <c r="F340" s="3" t="s">
        <v>25</v>
      </c>
      <c r="G340" s="3" t="s">
        <v>25</v>
      </c>
      <c r="H340" s="3" t="s">
        <v>25</v>
      </c>
      <c r="I340" s="6">
        <v>44501</v>
      </c>
      <c r="J340" s="4">
        <v>0</v>
      </c>
      <c r="K340" s="4">
        <v>0</v>
      </c>
      <c r="L340" s="4">
        <v>0.03</v>
      </c>
      <c r="M340" s="4">
        <v>0.03</v>
      </c>
      <c r="N340" s="4">
        <v>0.03</v>
      </c>
      <c r="O340" s="4">
        <v>0.03</v>
      </c>
      <c r="P340" s="4">
        <v>1</v>
      </c>
      <c r="Q340" s="3" t="s">
        <v>26</v>
      </c>
      <c r="R340" s="3">
        <v>0</v>
      </c>
      <c r="S340" s="4">
        <v>0</v>
      </c>
      <c r="T340" s="4">
        <v>20</v>
      </c>
      <c r="U340" s="4">
        <v>60</v>
      </c>
      <c r="V340" s="4">
        <f>IF(ISERROR(VLOOKUP($S$340,'TAR FIN'!$A$1:$O$91,15,0)),0,VLOOKUP($S$340,'TAR FIN'!$A$1:$O$91,15,0))</f>
        <v>0</v>
      </c>
      <c r="W340" s="4">
        <f>IF(ISERROR(VLOOKUP($T$340,'TAR FIN'!$A$1:$O$91,15,0)),0,VLOOKUP($T$340,'TAR FIN'!$A$1:$O$91,15,0))</f>
        <v>112.15</v>
      </c>
      <c r="X340" s="4">
        <f>IF(ISERROR(VLOOKUP($U$340,'TAR FIN'!$A$1:$O$91,15,0)),0,VLOOKUP($U$340,'TAR FIN'!$A$1:$O$91,15,0))</f>
        <v>69.66</v>
      </c>
      <c r="Y340" s="4"/>
      <c r="Z340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0" s="4">
        <f>('TE BE'!$AB$15+'TE BF'!$AB$15+'TE CVA'!$AB$15)*(1-CUSTOS!$M$34)</f>
        <v>71.933154536143064</v>
      </c>
      <c r="AB340" s="4">
        <f>$K$340*$V$340</f>
        <v>0</v>
      </c>
      <c r="AC340" s="4">
        <f>$M$340*$W$340</f>
        <v>3.3645</v>
      </c>
      <c r="AD340" s="4">
        <f>$O$340*$X$340</f>
        <v>2.0897999999999999</v>
      </c>
      <c r="AE340" s="4">
        <f>$K$340*$Y$340</f>
        <v>0</v>
      </c>
      <c r="AF340" s="4">
        <f ca="1">$M$340*$Z$340</f>
        <v>3.5594728535397979</v>
      </c>
      <c r="AG340" s="4">
        <f>$O$340*$AA$340</f>
        <v>2.1579946360842919</v>
      </c>
    </row>
    <row r="341" spans="1:33" ht="11.25" customHeight="1" x14ac:dyDescent="0.3">
      <c r="A341" s="3" t="s">
        <v>21</v>
      </c>
      <c r="B341" s="3" t="s">
        <v>22</v>
      </c>
      <c r="C341" s="3" t="s">
        <v>23</v>
      </c>
      <c r="D341" s="3" t="s">
        <v>24</v>
      </c>
      <c r="E341" s="3" t="s">
        <v>29</v>
      </c>
      <c r="F341" s="3" t="s">
        <v>25</v>
      </c>
      <c r="G341" s="3" t="s">
        <v>25</v>
      </c>
      <c r="H341" s="3" t="s">
        <v>25</v>
      </c>
      <c r="I341" s="6">
        <v>44531</v>
      </c>
      <c r="J341" s="4">
        <v>0</v>
      </c>
      <c r="K341" s="4">
        <v>0</v>
      </c>
      <c r="L341" s="4">
        <v>33.526000000000003</v>
      </c>
      <c r="M341" s="4">
        <v>33.526000000000003</v>
      </c>
      <c r="N341" s="4">
        <v>33.526000000000003</v>
      </c>
      <c r="O341" s="4">
        <v>33.526000000000003</v>
      </c>
      <c r="P341" s="4">
        <v>45</v>
      </c>
      <c r="Q341" s="3" t="s">
        <v>26</v>
      </c>
      <c r="R341" s="3">
        <v>0</v>
      </c>
      <c r="S341" s="4">
        <v>0</v>
      </c>
      <c r="T341" s="4">
        <v>20</v>
      </c>
      <c r="U341" s="4">
        <v>60</v>
      </c>
      <c r="V341" s="4">
        <f>IF(ISERROR(VLOOKUP($S$341,'TAR FIN'!$A$1:$O$91,15,0)),0,VLOOKUP($S$341,'TAR FIN'!$A$1:$O$91,15,0))</f>
        <v>0</v>
      </c>
      <c r="W341" s="4">
        <f>IF(ISERROR(VLOOKUP($T$341,'TAR FIN'!$A$1:$O$91,15,0)),0,VLOOKUP($T$341,'TAR FIN'!$A$1:$O$91,15,0))</f>
        <v>112.15</v>
      </c>
      <c r="X341" s="4">
        <f>IF(ISERROR(VLOOKUP($U$341,'TAR FIN'!$A$1:$O$91,15,0)),0,VLOOKUP($U$341,'TAR FIN'!$A$1:$O$91,15,0))</f>
        <v>69.66</v>
      </c>
      <c r="Y341" s="4"/>
      <c r="Z341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1" s="4">
        <f>('TE BE'!$AB$15+'TE BF'!$AB$15+'TE CVA'!$AB$15)*(1-CUSTOS!$M$34)</f>
        <v>71.933154536143064</v>
      </c>
      <c r="AB341" s="4">
        <f>$K$341*$V$341</f>
        <v>0</v>
      </c>
      <c r="AC341" s="4">
        <f>$M$341*$W$341</f>
        <v>3759.9409000000005</v>
      </c>
      <c r="AD341" s="4">
        <f>$O$341*$X$341</f>
        <v>2335.4211600000003</v>
      </c>
      <c r="AE341" s="4">
        <f>$K$341*$Y$341</f>
        <v>0</v>
      </c>
      <c r="AF341" s="4">
        <f ca="1">$M$341*$Z$341</f>
        <v>3977.8295629258428</v>
      </c>
      <c r="AG341" s="4">
        <f>$O$341*$AA$341</f>
        <v>2411.6309389787325</v>
      </c>
    </row>
    <row r="342" spans="1:33" ht="11.25" customHeight="1" x14ac:dyDescent="0.3">
      <c r="A342" s="3" t="s">
        <v>28</v>
      </c>
      <c r="B342" s="3" t="s">
        <v>22</v>
      </c>
      <c r="C342" s="3" t="s">
        <v>23</v>
      </c>
      <c r="D342" s="3" t="s">
        <v>24</v>
      </c>
      <c r="E342" s="3" t="s">
        <v>29</v>
      </c>
      <c r="F342" s="3" t="s">
        <v>25</v>
      </c>
      <c r="G342" s="3" t="s">
        <v>25</v>
      </c>
      <c r="H342" s="3" t="s">
        <v>25</v>
      </c>
      <c r="I342" s="6">
        <v>44531</v>
      </c>
      <c r="J342" s="4">
        <v>0</v>
      </c>
      <c r="K342" s="4">
        <v>0</v>
      </c>
      <c r="L342" s="4">
        <v>0.03</v>
      </c>
      <c r="M342" s="4">
        <v>1.0500000000000001E-2</v>
      </c>
      <c r="N342" s="4">
        <v>0.03</v>
      </c>
      <c r="O342" s="4">
        <v>1.0500000000000001E-2</v>
      </c>
      <c r="P342" s="4">
        <v>0</v>
      </c>
      <c r="Q342" s="3" t="s">
        <v>26</v>
      </c>
      <c r="R342" s="3">
        <v>0</v>
      </c>
      <c r="S342" s="4">
        <v>0</v>
      </c>
      <c r="T342" s="4">
        <v>20</v>
      </c>
      <c r="U342" s="4">
        <v>60</v>
      </c>
      <c r="V342" s="4">
        <f>IF(ISERROR(VLOOKUP($S$342,'TAR FIN'!$A$1:$O$91,15,0)),0,VLOOKUP($S$342,'TAR FIN'!$A$1:$O$91,15,0))</f>
        <v>0</v>
      </c>
      <c r="W342" s="4">
        <f>IF(ISERROR(VLOOKUP($T$342,'TAR FIN'!$A$1:$O$91,15,0)),0,VLOOKUP($T$342,'TAR FIN'!$A$1:$O$91,15,0))</f>
        <v>112.15</v>
      </c>
      <c r="X342" s="4">
        <f>IF(ISERROR(VLOOKUP($U$342,'TAR FIN'!$A$1:$O$91,15,0)),0,VLOOKUP($U$342,'TAR FIN'!$A$1:$O$91,15,0))</f>
        <v>69.66</v>
      </c>
      <c r="Y342" s="4"/>
      <c r="Z342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2" s="4">
        <f>('TE BE'!$AB$15+'TE BF'!$AB$15+'TE CVA'!$AB$15)*(1-CUSTOS!$M$34)</f>
        <v>71.933154536143064</v>
      </c>
      <c r="AB342" s="4">
        <f>$K$342*$V$342</f>
        <v>0</v>
      </c>
      <c r="AC342" s="4">
        <f>$M$342*$W$342</f>
        <v>1.177575</v>
      </c>
      <c r="AD342" s="4">
        <f>$O$342*$X$342</f>
        <v>0.73143000000000002</v>
      </c>
      <c r="AE342" s="4">
        <f>$K$342*$Y$342</f>
        <v>0</v>
      </c>
      <c r="AF342" s="4">
        <f ca="1">$M$342*$Z$342</f>
        <v>1.2458154987389294</v>
      </c>
      <c r="AG342" s="4">
        <f>$O$342*$AA$342</f>
        <v>0.75529812262950224</v>
      </c>
    </row>
    <row r="343" spans="1:33" ht="11.25" customHeight="1" x14ac:dyDescent="0.3">
      <c r="A343" s="3" t="s">
        <v>21</v>
      </c>
      <c r="B343" s="3" t="s">
        <v>22</v>
      </c>
      <c r="C343" s="3" t="s">
        <v>23</v>
      </c>
      <c r="D343" s="3" t="s">
        <v>24</v>
      </c>
      <c r="E343" s="3" t="s">
        <v>29</v>
      </c>
      <c r="F343" s="3" t="s">
        <v>25</v>
      </c>
      <c r="G343" s="3" t="s">
        <v>25</v>
      </c>
      <c r="H343" s="3" t="s">
        <v>25</v>
      </c>
      <c r="I343" s="6">
        <v>44562</v>
      </c>
      <c r="J343" s="4">
        <v>0</v>
      </c>
      <c r="K343" s="4">
        <v>0</v>
      </c>
      <c r="L343" s="4">
        <v>33.99</v>
      </c>
      <c r="M343" s="4">
        <v>33.99</v>
      </c>
      <c r="N343" s="4">
        <v>33.99</v>
      </c>
      <c r="O343" s="4">
        <v>33.99</v>
      </c>
      <c r="P343" s="4">
        <v>44</v>
      </c>
      <c r="Q343" s="3" t="s">
        <v>26</v>
      </c>
      <c r="R343" s="3">
        <v>0</v>
      </c>
      <c r="S343" s="4">
        <v>0</v>
      </c>
      <c r="T343" s="4">
        <v>20</v>
      </c>
      <c r="U343" s="4">
        <v>60</v>
      </c>
      <c r="V343" s="4">
        <f>IF(ISERROR(VLOOKUP($S$343,'TAR FIN'!$A$1:$O$91,15,0)),0,VLOOKUP($S$343,'TAR FIN'!$A$1:$O$91,15,0))</f>
        <v>0</v>
      </c>
      <c r="W343" s="4">
        <f>IF(ISERROR(VLOOKUP($T$343,'TAR FIN'!$A$1:$O$91,15,0)),0,VLOOKUP($T$343,'TAR FIN'!$A$1:$O$91,15,0))</f>
        <v>112.15</v>
      </c>
      <c r="X343" s="4">
        <f>IF(ISERROR(VLOOKUP($U$343,'TAR FIN'!$A$1:$O$91,15,0)),0,VLOOKUP($U$343,'TAR FIN'!$A$1:$O$91,15,0))</f>
        <v>69.66</v>
      </c>
      <c r="Y343" s="4"/>
      <c r="Z343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3" s="4">
        <f>('TE BE'!$AB$15+'TE BF'!$AB$15+'TE CVA'!$AB$15)*(1-CUSTOS!$M$34)</f>
        <v>71.933154536143064</v>
      </c>
      <c r="AB343" s="4">
        <f>$K$343*$V$343</f>
        <v>0</v>
      </c>
      <c r="AC343" s="4">
        <f>$M$343*$W$343</f>
        <v>3811.9785000000006</v>
      </c>
      <c r="AD343" s="4">
        <f>$O$343*$X$343</f>
        <v>2367.7433999999998</v>
      </c>
      <c r="AE343" s="4">
        <f>$K$343*$Y$343</f>
        <v>0</v>
      </c>
      <c r="AF343" s="4">
        <f ca="1">$M$343*$Z$343</f>
        <v>4032.8827430605916</v>
      </c>
      <c r="AG343" s="4">
        <f>$O$343*$AA$343</f>
        <v>2445.0079226835028</v>
      </c>
    </row>
    <row r="344" spans="1:33" ht="11.25" customHeight="1" x14ac:dyDescent="0.3">
      <c r="A344" s="3" t="s">
        <v>28</v>
      </c>
      <c r="B344" s="3" t="s">
        <v>22</v>
      </c>
      <c r="C344" s="3" t="s">
        <v>23</v>
      </c>
      <c r="D344" s="3" t="s">
        <v>24</v>
      </c>
      <c r="E344" s="3" t="s">
        <v>29</v>
      </c>
      <c r="F344" s="3" t="s">
        <v>25</v>
      </c>
      <c r="G344" s="3" t="s">
        <v>25</v>
      </c>
      <c r="H344" s="3" t="s">
        <v>25</v>
      </c>
      <c r="I344" s="6">
        <v>44562</v>
      </c>
      <c r="J344" s="4">
        <v>0</v>
      </c>
      <c r="K344" s="4">
        <v>0</v>
      </c>
      <c r="L344" s="4">
        <v>0.03</v>
      </c>
      <c r="M344" s="4">
        <v>1.0500000000000001E-2</v>
      </c>
      <c r="N344" s="4">
        <v>0.03</v>
      </c>
      <c r="O344" s="4">
        <v>1.0500000000000001E-2</v>
      </c>
      <c r="P344" s="4">
        <v>0</v>
      </c>
      <c r="Q344" s="3" t="s">
        <v>26</v>
      </c>
      <c r="R344" s="3">
        <v>0</v>
      </c>
      <c r="S344" s="4">
        <v>0</v>
      </c>
      <c r="T344" s="4">
        <v>20</v>
      </c>
      <c r="U344" s="4">
        <v>60</v>
      </c>
      <c r="V344" s="4">
        <f>IF(ISERROR(VLOOKUP($S$344,'TAR FIN'!$A$1:$O$91,15,0)),0,VLOOKUP($S$344,'TAR FIN'!$A$1:$O$91,15,0))</f>
        <v>0</v>
      </c>
      <c r="W344" s="4">
        <f>IF(ISERROR(VLOOKUP($T$344,'TAR FIN'!$A$1:$O$91,15,0)),0,VLOOKUP($T$344,'TAR FIN'!$A$1:$O$91,15,0))</f>
        <v>112.15</v>
      </c>
      <c r="X344" s="4">
        <f>IF(ISERROR(VLOOKUP($U$344,'TAR FIN'!$A$1:$O$91,15,0)),0,VLOOKUP($U$344,'TAR FIN'!$A$1:$O$91,15,0))</f>
        <v>69.66</v>
      </c>
      <c r="Y344" s="4"/>
      <c r="Z344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4" s="4">
        <f>('TE BE'!$AB$15+'TE BF'!$AB$15+'TE CVA'!$AB$15)*(1-CUSTOS!$M$34)</f>
        <v>71.933154536143064</v>
      </c>
      <c r="AB344" s="4">
        <f>$K$344*$V$344</f>
        <v>0</v>
      </c>
      <c r="AC344" s="4">
        <f>$M$344*$W$344</f>
        <v>1.177575</v>
      </c>
      <c r="AD344" s="4">
        <f>$O$344*$X$344</f>
        <v>0.73143000000000002</v>
      </c>
      <c r="AE344" s="4">
        <f>$K$344*$Y$344</f>
        <v>0</v>
      </c>
      <c r="AF344" s="4">
        <f ca="1">$M$344*$Z$344</f>
        <v>1.2458154987389294</v>
      </c>
      <c r="AG344" s="4">
        <f>$O$344*$AA$344</f>
        <v>0.75529812262950224</v>
      </c>
    </row>
    <row r="345" spans="1:33" ht="11.25" customHeight="1" x14ac:dyDescent="0.3">
      <c r="A345" s="3" t="s">
        <v>21</v>
      </c>
      <c r="B345" s="3" t="s">
        <v>22</v>
      </c>
      <c r="C345" s="3" t="s">
        <v>23</v>
      </c>
      <c r="D345" s="3" t="s">
        <v>24</v>
      </c>
      <c r="E345" s="3" t="s">
        <v>29</v>
      </c>
      <c r="F345" s="3" t="s">
        <v>25</v>
      </c>
      <c r="G345" s="3" t="s">
        <v>25</v>
      </c>
      <c r="H345" s="3" t="s">
        <v>25</v>
      </c>
      <c r="I345" s="6">
        <v>44593</v>
      </c>
      <c r="J345" s="4">
        <v>0</v>
      </c>
      <c r="K345" s="4">
        <v>0</v>
      </c>
      <c r="L345" s="4">
        <v>34.17</v>
      </c>
      <c r="M345" s="4">
        <v>34.17</v>
      </c>
      <c r="N345" s="4">
        <v>34.17</v>
      </c>
      <c r="O345" s="4">
        <v>34.17</v>
      </c>
      <c r="P345" s="4">
        <v>35</v>
      </c>
      <c r="Q345" s="3" t="s">
        <v>26</v>
      </c>
      <c r="R345" s="3">
        <v>0</v>
      </c>
      <c r="S345" s="4">
        <v>0</v>
      </c>
      <c r="T345" s="4">
        <v>20</v>
      </c>
      <c r="U345" s="4">
        <v>60</v>
      </c>
      <c r="V345" s="4">
        <f>IF(ISERROR(VLOOKUP($S$345,'TAR FIN'!$A$1:$O$91,15,0)),0,VLOOKUP($S$345,'TAR FIN'!$A$1:$O$91,15,0))</f>
        <v>0</v>
      </c>
      <c r="W345" s="4">
        <f>IF(ISERROR(VLOOKUP($T$345,'TAR FIN'!$A$1:$O$91,15,0)),0,VLOOKUP($T$345,'TAR FIN'!$A$1:$O$91,15,0))</f>
        <v>112.15</v>
      </c>
      <c r="X345" s="4">
        <f>IF(ISERROR(VLOOKUP($U$345,'TAR FIN'!$A$1:$O$91,15,0)),0,VLOOKUP($U$345,'TAR FIN'!$A$1:$O$91,15,0))</f>
        <v>69.66</v>
      </c>
      <c r="Y345" s="4"/>
      <c r="Z345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5" s="4">
        <f>('TE BE'!$AB$15+'TE BF'!$AB$15+'TE CVA'!$AB$15)*(1-CUSTOS!$M$34)</f>
        <v>71.933154536143064</v>
      </c>
      <c r="AB345" s="4">
        <f>$K$345*$V$345</f>
        <v>0</v>
      </c>
      <c r="AC345" s="4">
        <f>$M$345*$W$345</f>
        <v>3832.1655000000005</v>
      </c>
      <c r="AD345" s="4">
        <f>$O$345*$X$345</f>
        <v>2380.2822000000001</v>
      </c>
      <c r="AE345" s="4">
        <f>$K$345*$Y$345</f>
        <v>0</v>
      </c>
      <c r="AF345" s="4">
        <f ca="1">$M$345*$Z$345</f>
        <v>4054.2395801818302</v>
      </c>
      <c r="AG345" s="4">
        <f>$O$345*$AA$345</f>
        <v>2457.9558905000085</v>
      </c>
    </row>
    <row r="346" spans="1:33" ht="11.25" customHeight="1" x14ac:dyDescent="0.3">
      <c r="A346" s="3" t="s">
        <v>28</v>
      </c>
      <c r="B346" s="3" t="s">
        <v>22</v>
      </c>
      <c r="C346" s="3" t="s">
        <v>23</v>
      </c>
      <c r="D346" s="3" t="s">
        <v>24</v>
      </c>
      <c r="E346" s="3" t="s">
        <v>29</v>
      </c>
      <c r="F346" s="3" t="s">
        <v>25</v>
      </c>
      <c r="G346" s="3" t="s">
        <v>25</v>
      </c>
      <c r="H346" s="3" t="s">
        <v>25</v>
      </c>
      <c r="I346" s="6">
        <v>44593</v>
      </c>
      <c r="J346" s="4">
        <v>0</v>
      </c>
      <c r="K346" s="4">
        <v>0</v>
      </c>
      <c r="L346" s="4">
        <v>0.03</v>
      </c>
      <c r="M346" s="4">
        <v>1.0500000000000001E-2</v>
      </c>
      <c r="N346" s="4">
        <v>0.03</v>
      </c>
      <c r="O346" s="4">
        <v>1.0500000000000001E-2</v>
      </c>
      <c r="P346" s="4">
        <v>0</v>
      </c>
      <c r="Q346" s="3" t="s">
        <v>26</v>
      </c>
      <c r="R346" s="3">
        <v>0</v>
      </c>
      <c r="S346" s="4">
        <v>0</v>
      </c>
      <c r="T346" s="4">
        <v>20</v>
      </c>
      <c r="U346" s="4">
        <v>60</v>
      </c>
      <c r="V346" s="4">
        <f>IF(ISERROR(VLOOKUP($S$346,'TAR FIN'!$A$1:$O$91,15,0)),0,VLOOKUP($S$346,'TAR FIN'!$A$1:$O$91,15,0))</f>
        <v>0</v>
      </c>
      <c r="W346" s="4">
        <f>IF(ISERROR(VLOOKUP($T$346,'TAR FIN'!$A$1:$O$91,15,0)),0,VLOOKUP($T$346,'TAR FIN'!$A$1:$O$91,15,0))</f>
        <v>112.15</v>
      </c>
      <c r="X346" s="4">
        <f>IF(ISERROR(VLOOKUP($U$346,'TAR FIN'!$A$1:$O$91,15,0)),0,VLOOKUP($U$346,'TAR FIN'!$A$1:$O$91,15,0))</f>
        <v>69.66</v>
      </c>
      <c r="Y346" s="4"/>
      <c r="Z346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6" s="4">
        <f>('TE BE'!$AB$15+'TE BF'!$AB$15+'TE CVA'!$AB$15)*(1-CUSTOS!$M$34)</f>
        <v>71.933154536143064</v>
      </c>
      <c r="AB346" s="4">
        <f>$K$346*$V$346</f>
        <v>0</v>
      </c>
      <c r="AC346" s="4">
        <f>$M$346*$W$346</f>
        <v>1.177575</v>
      </c>
      <c r="AD346" s="4">
        <f>$O$346*$X$346</f>
        <v>0.73143000000000002</v>
      </c>
      <c r="AE346" s="4">
        <f>$K$346*$Y$346</f>
        <v>0</v>
      </c>
      <c r="AF346" s="4">
        <f ca="1">$M$346*$Z$346</f>
        <v>1.2458154987389294</v>
      </c>
      <c r="AG346" s="4">
        <f>$O$346*$AA$346</f>
        <v>0.75529812262950224</v>
      </c>
    </row>
    <row r="347" spans="1:33" ht="11.25" customHeight="1" x14ac:dyDescent="0.3">
      <c r="A347" s="3" t="s">
        <v>21</v>
      </c>
      <c r="B347" s="3" t="s">
        <v>22</v>
      </c>
      <c r="C347" s="3" t="s">
        <v>23</v>
      </c>
      <c r="D347" s="3" t="s">
        <v>24</v>
      </c>
      <c r="E347" s="3" t="s">
        <v>29</v>
      </c>
      <c r="F347" s="3" t="s">
        <v>25</v>
      </c>
      <c r="G347" s="3" t="s">
        <v>25</v>
      </c>
      <c r="H347" s="3" t="s">
        <v>25</v>
      </c>
      <c r="I347" s="6">
        <v>44621</v>
      </c>
      <c r="J347" s="4">
        <v>0</v>
      </c>
      <c r="K347" s="4">
        <v>0</v>
      </c>
      <c r="L347" s="4">
        <v>34.92</v>
      </c>
      <c r="M347" s="4">
        <v>34.92</v>
      </c>
      <c r="N347" s="4">
        <v>34.92</v>
      </c>
      <c r="O347" s="4">
        <v>34.92</v>
      </c>
      <c r="P347" s="4">
        <v>42</v>
      </c>
      <c r="Q347" s="3" t="s">
        <v>26</v>
      </c>
      <c r="R347" s="3">
        <v>0</v>
      </c>
      <c r="S347" s="4">
        <v>0</v>
      </c>
      <c r="T347" s="4">
        <v>20</v>
      </c>
      <c r="U347" s="4">
        <v>60</v>
      </c>
      <c r="V347" s="4">
        <f>IF(ISERROR(VLOOKUP($S$347,'TAR FIN'!$A$1:$O$91,15,0)),0,VLOOKUP($S$347,'TAR FIN'!$A$1:$O$91,15,0))</f>
        <v>0</v>
      </c>
      <c r="W347" s="4">
        <f>IF(ISERROR(VLOOKUP($T$347,'TAR FIN'!$A$1:$O$91,15,0)),0,VLOOKUP($T$347,'TAR FIN'!$A$1:$O$91,15,0))</f>
        <v>112.15</v>
      </c>
      <c r="X347" s="4">
        <f>IF(ISERROR(VLOOKUP($U$347,'TAR FIN'!$A$1:$O$91,15,0)),0,VLOOKUP($U$347,'TAR FIN'!$A$1:$O$91,15,0))</f>
        <v>69.66</v>
      </c>
      <c r="Y347" s="4"/>
      <c r="Z347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7" s="4">
        <f>('TE BE'!$AB$15+'TE BF'!$AB$15+'TE CVA'!$AB$15)*(1-CUSTOS!$M$34)</f>
        <v>71.933154536143064</v>
      </c>
      <c r="AB347" s="4">
        <f>$K$347*$V$347</f>
        <v>0</v>
      </c>
      <c r="AC347" s="4">
        <f>$M$347*$W$347</f>
        <v>3916.2780000000002</v>
      </c>
      <c r="AD347" s="4">
        <f>$O$347*$X$347</f>
        <v>2432.5272</v>
      </c>
      <c r="AE347" s="4">
        <f>$K$347*$Y$347</f>
        <v>0</v>
      </c>
      <c r="AF347" s="4">
        <f ca="1">$M$347*$Z$347</f>
        <v>4143.2264015203255</v>
      </c>
      <c r="AG347" s="4">
        <f>$O$347*$AA$347</f>
        <v>2511.9057564021159</v>
      </c>
    </row>
    <row r="348" spans="1:33" ht="11.25" customHeight="1" x14ac:dyDescent="0.3">
      <c r="A348" s="3" t="s">
        <v>28</v>
      </c>
      <c r="B348" s="3" t="s">
        <v>22</v>
      </c>
      <c r="C348" s="3" t="s">
        <v>23</v>
      </c>
      <c r="D348" s="3" t="s">
        <v>24</v>
      </c>
      <c r="E348" s="3" t="s">
        <v>29</v>
      </c>
      <c r="F348" s="3" t="s">
        <v>25</v>
      </c>
      <c r="G348" s="3" t="s">
        <v>25</v>
      </c>
      <c r="H348" s="3" t="s">
        <v>25</v>
      </c>
      <c r="I348" s="6">
        <v>44621</v>
      </c>
      <c r="J348" s="4">
        <v>0</v>
      </c>
      <c r="K348" s="4">
        <v>0</v>
      </c>
      <c r="L348" s="4">
        <v>0.03</v>
      </c>
      <c r="M348" s="4">
        <v>1.0500000000000001E-2</v>
      </c>
      <c r="N348" s="4">
        <v>0.03</v>
      </c>
      <c r="O348" s="4">
        <v>1.0500000000000001E-2</v>
      </c>
      <c r="P348" s="4">
        <v>0</v>
      </c>
      <c r="Q348" s="3" t="s">
        <v>26</v>
      </c>
      <c r="R348" s="3">
        <v>0</v>
      </c>
      <c r="S348" s="4">
        <v>0</v>
      </c>
      <c r="T348" s="4">
        <v>20</v>
      </c>
      <c r="U348" s="4">
        <v>60</v>
      </c>
      <c r="V348" s="4">
        <f>IF(ISERROR(VLOOKUP($S$348,'TAR FIN'!$A$1:$O$91,15,0)),0,VLOOKUP($S$348,'TAR FIN'!$A$1:$O$91,15,0))</f>
        <v>0</v>
      </c>
      <c r="W348" s="4">
        <f>IF(ISERROR(VLOOKUP($T$348,'TAR FIN'!$A$1:$O$91,15,0)),0,VLOOKUP($T$348,'TAR FIN'!$A$1:$O$91,15,0))</f>
        <v>112.15</v>
      </c>
      <c r="X348" s="4">
        <f>IF(ISERROR(VLOOKUP($U$348,'TAR FIN'!$A$1:$O$91,15,0)),0,VLOOKUP($U$348,'TAR FIN'!$A$1:$O$91,15,0))</f>
        <v>69.66</v>
      </c>
      <c r="Y348" s="4"/>
      <c r="Z348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8" s="4">
        <f>('TE BE'!$AB$15+'TE BF'!$AB$15+'TE CVA'!$AB$15)*(1-CUSTOS!$M$34)</f>
        <v>71.933154536143064</v>
      </c>
      <c r="AB348" s="4">
        <f>$K$348*$V$348</f>
        <v>0</v>
      </c>
      <c r="AC348" s="4">
        <f>$M$348*$W$348</f>
        <v>1.177575</v>
      </c>
      <c r="AD348" s="4">
        <f>$O$348*$X$348</f>
        <v>0.73143000000000002</v>
      </c>
      <c r="AE348" s="4">
        <f>$K$348*$Y$348</f>
        <v>0</v>
      </c>
      <c r="AF348" s="4">
        <f ca="1">$M$348*$Z$348</f>
        <v>1.2458154987389294</v>
      </c>
      <c r="AG348" s="4">
        <f>$O$348*$AA$348</f>
        <v>0.75529812262950224</v>
      </c>
    </row>
    <row r="349" spans="1:33" ht="11.25" customHeight="1" x14ac:dyDescent="0.3">
      <c r="A349" s="3" t="s">
        <v>21</v>
      </c>
      <c r="B349" s="3" t="s">
        <v>22</v>
      </c>
      <c r="C349" s="3" t="s">
        <v>23</v>
      </c>
      <c r="D349" s="3" t="s">
        <v>24</v>
      </c>
      <c r="E349" s="3" t="s">
        <v>29</v>
      </c>
      <c r="F349" s="3" t="s">
        <v>25</v>
      </c>
      <c r="G349" s="3" t="s">
        <v>25</v>
      </c>
      <c r="H349" s="3" t="s">
        <v>25</v>
      </c>
      <c r="I349" s="6">
        <v>44652</v>
      </c>
      <c r="J349" s="4">
        <v>0</v>
      </c>
      <c r="K349" s="4">
        <v>0</v>
      </c>
      <c r="L349" s="4">
        <v>35.58</v>
      </c>
      <c r="M349" s="4">
        <v>35.58</v>
      </c>
      <c r="N349" s="4">
        <v>35.58</v>
      </c>
      <c r="O349" s="4">
        <v>35.58</v>
      </c>
      <c r="P349" s="4">
        <v>40</v>
      </c>
      <c r="Q349" s="3" t="s">
        <v>26</v>
      </c>
      <c r="R349" s="3">
        <v>0</v>
      </c>
      <c r="S349" s="4">
        <v>0</v>
      </c>
      <c r="T349" s="4">
        <v>20</v>
      </c>
      <c r="U349" s="4">
        <v>60</v>
      </c>
      <c r="V349" s="4">
        <f>IF(ISERROR(VLOOKUP($S$349,'TAR FIN'!$A$1:$O$91,15,0)),0,VLOOKUP($S$349,'TAR FIN'!$A$1:$O$91,15,0))</f>
        <v>0</v>
      </c>
      <c r="W349" s="4">
        <f>IF(ISERROR(VLOOKUP($T$349,'TAR FIN'!$A$1:$O$91,15,0)),0,VLOOKUP($T$349,'TAR FIN'!$A$1:$O$91,15,0))</f>
        <v>112.15</v>
      </c>
      <c r="X349" s="4">
        <f>IF(ISERROR(VLOOKUP($U$349,'TAR FIN'!$A$1:$O$91,15,0)),0,VLOOKUP($U$349,'TAR FIN'!$A$1:$O$91,15,0))</f>
        <v>69.66</v>
      </c>
      <c r="Y349" s="4"/>
      <c r="Z349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49" s="4">
        <f>('TE BE'!$AB$15+'TE BF'!$AB$15+'TE CVA'!$AB$15)*(1-CUSTOS!$M$34)</f>
        <v>71.933154536143064</v>
      </c>
      <c r="AB349" s="4">
        <f>$K$349*$V$349</f>
        <v>0</v>
      </c>
      <c r="AC349" s="4">
        <f>$M$349*$W$349</f>
        <v>3990.297</v>
      </c>
      <c r="AD349" s="4">
        <f>$O$349*$X$349</f>
        <v>2478.5027999999998</v>
      </c>
      <c r="AE349" s="4">
        <f>$K$349*$Y$349</f>
        <v>0</v>
      </c>
      <c r="AF349" s="4">
        <f ca="1">$M$349*$Z$349</f>
        <v>4221.5348042982005</v>
      </c>
      <c r="AG349" s="4">
        <f>$O$349*$AA$349</f>
        <v>2559.3816383959702</v>
      </c>
    </row>
    <row r="350" spans="1:33" ht="11.25" customHeight="1" x14ac:dyDescent="0.3">
      <c r="A350" s="3" t="s">
        <v>28</v>
      </c>
      <c r="B350" s="3" t="s">
        <v>22</v>
      </c>
      <c r="C350" s="3" t="s">
        <v>23</v>
      </c>
      <c r="D350" s="3" t="s">
        <v>24</v>
      </c>
      <c r="E350" s="3" t="s">
        <v>29</v>
      </c>
      <c r="F350" s="3" t="s">
        <v>25</v>
      </c>
      <c r="G350" s="3" t="s">
        <v>25</v>
      </c>
      <c r="H350" s="3" t="s">
        <v>25</v>
      </c>
      <c r="I350" s="6">
        <v>44652</v>
      </c>
      <c r="J350" s="4">
        <v>0</v>
      </c>
      <c r="K350" s="4">
        <v>0</v>
      </c>
      <c r="L350" s="4">
        <v>0.03</v>
      </c>
      <c r="M350" s="4">
        <v>1.0500000000000001E-2</v>
      </c>
      <c r="N350" s="4">
        <v>0.03</v>
      </c>
      <c r="O350" s="4">
        <v>1.0500000000000001E-2</v>
      </c>
      <c r="P350" s="4">
        <v>0</v>
      </c>
      <c r="Q350" s="3" t="s">
        <v>26</v>
      </c>
      <c r="R350" s="3">
        <v>0</v>
      </c>
      <c r="S350" s="4">
        <v>0</v>
      </c>
      <c r="T350" s="4">
        <v>20</v>
      </c>
      <c r="U350" s="4">
        <v>60</v>
      </c>
      <c r="V350" s="4">
        <f>IF(ISERROR(VLOOKUP($S$350,'TAR FIN'!$A$1:$O$91,15,0)),0,VLOOKUP($S$350,'TAR FIN'!$A$1:$O$91,15,0))</f>
        <v>0</v>
      </c>
      <c r="W350" s="4">
        <f>IF(ISERROR(VLOOKUP($T$350,'TAR FIN'!$A$1:$O$91,15,0)),0,VLOOKUP($T$350,'TAR FIN'!$A$1:$O$91,15,0))</f>
        <v>112.15</v>
      </c>
      <c r="X350" s="4">
        <f>IF(ISERROR(VLOOKUP($U$350,'TAR FIN'!$A$1:$O$91,15,0)),0,VLOOKUP($U$350,'TAR FIN'!$A$1:$O$91,15,0))</f>
        <v>69.66</v>
      </c>
      <c r="Y350" s="4"/>
      <c r="Z350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50" s="4">
        <f>('TE BE'!$AB$15+'TE BF'!$AB$15+'TE CVA'!$AB$15)*(1-CUSTOS!$M$34)</f>
        <v>71.933154536143064</v>
      </c>
      <c r="AB350" s="4">
        <f>$K$350*$V$350</f>
        <v>0</v>
      </c>
      <c r="AC350" s="4">
        <f>$M$350*$W$350</f>
        <v>1.177575</v>
      </c>
      <c r="AD350" s="4">
        <f>$O$350*$X$350</f>
        <v>0.73143000000000002</v>
      </c>
      <c r="AE350" s="4">
        <f>$K$350*$Y$350</f>
        <v>0</v>
      </c>
      <c r="AF350" s="4">
        <f ca="1">$M$350*$Z$350</f>
        <v>1.2458154987389294</v>
      </c>
      <c r="AG350" s="4">
        <f>$O$350*$AA$350</f>
        <v>0.75529812262950224</v>
      </c>
    </row>
    <row r="351" spans="1:33" ht="11.25" customHeight="1" x14ac:dyDescent="0.3">
      <c r="A351" s="3" t="s">
        <v>21</v>
      </c>
      <c r="B351" s="3" t="s">
        <v>22</v>
      </c>
      <c r="C351" s="3" t="s">
        <v>23</v>
      </c>
      <c r="D351" s="3" t="s">
        <v>24</v>
      </c>
      <c r="E351" s="3" t="s">
        <v>29</v>
      </c>
      <c r="F351" s="3" t="s">
        <v>25</v>
      </c>
      <c r="G351" s="3" t="s">
        <v>25</v>
      </c>
      <c r="H351" s="3" t="s">
        <v>25</v>
      </c>
      <c r="I351" s="6">
        <v>44682</v>
      </c>
      <c r="J351" s="4">
        <v>0</v>
      </c>
      <c r="K351" s="4">
        <v>0</v>
      </c>
      <c r="L351" s="4">
        <v>45.710999999999999</v>
      </c>
      <c r="M351" s="4">
        <v>45.710999999999999</v>
      </c>
      <c r="N351" s="4">
        <v>45.710999999999999</v>
      </c>
      <c r="O351" s="4">
        <v>45.710999999999999</v>
      </c>
      <c r="P351" s="4">
        <v>70</v>
      </c>
      <c r="Q351" s="3" t="s">
        <v>26</v>
      </c>
      <c r="R351" s="3">
        <v>0</v>
      </c>
      <c r="S351" s="4">
        <v>0</v>
      </c>
      <c r="T351" s="4">
        <v>20</v>
      </c>
      <c r="U351" s="4">
        <v>60</v>
      </c>
      <c r="V351" s="4">
        <f>IF(ISERROR(VLOOKUP($S$351,'TAR FIN'!$A$1:$O$91,15,0)),0,VLOOKUP($S$351,'TAR FIN'!$A$1:$O$91,15,0))</f>
        <v>0</v>
      </c>
      <c r="W351" s="4">
        <f>IF(ISERROR(VLOOKUP($T$351,'TAR FIN'!$A$1:$O$91,15,0)),0,VLOOKUP($T$351,'TAR FIN'!$A$1:$O$91,15,0))</f>
        <v>112.15</v>
      </c>
      <c r="X351" s="4">
        <f>IF(ISERROR(VLOOKUP($U$351,'TAR FIN'!$A$1:$O$91,15,0)),0,VLOOKUP($U$351,'TAR FIN'!$A$1:$O$91,15,0))</f>
        <v>69.66</v>
      </c>
      <c r="Y351" s="4"/>
      <c r="Z351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51" s="4">
        <f>('TE BE'!$AB$15+'TE BF'!$AB$15+'TE CVA'!$AB$15)*(1-CUSTOS!$M$34)</f>
        <v>71.933154536143064</v>
      </c>
      <c r="AB351" s="4">
        <f>$K$351*$V$351</f>
        <v>0</v>
      </c>
      <c r="AC351" s="4">
        <f>$M$351*$W$351</f>
        <v>5126.4886500000002</v>
      </c>
      <c r="AD351" s="4">
        <f>$O$351*$X$351</f>
        <v>3184.2282599999999</v>
      </c>
      <c r="AE351" s="4">
        <f>$K$351*$Y$351</f>
        <v>0</v>
      </c>
      <c r="AF351" s="4">
        <f ca="1">$M$351*$Z$351</f>
        <v>5423.5687869385902</v>
      </c>
      <c r="AG351" s="4">
        <f>$O$351*$AA$351</f>
        <v>3288.1364270016356</v>
      </c>
    </row>
    <row r="352" spans="1:33" ht="11.25" customHeight="1" x14ac:dyDescent="0.3">
      <c r="A352" s="3" t="s">
        <v>28</v>
      </c>
      <c r="B352" s="3" t="s">
        <v>22</v>
      </c>
      <c r="C352" s="3" t="s">
        <v>23</v>
      </c>
      <c r="D352" s="3" t="s">
        <v>24</v>
      </c>
      <c r="E352" s="3" t="s">
        <v>29</v>
      </c>
      <c r="F352" s="3" t="s">
        <v>25</v>
      </c>
      <c r="G352" s="3" t="s">
        <v>25</v>
      </c>
      <c r="H352" s="3" t="s">
        <v>25</v>
      </c>
      <c r="I352" s="6">
        <v>44682</v>
      </c>
      <c r="J352" s="4">
        <v>0</v>
      </c>
      <c r="K352" s="4">
        <v>0</v>
      </c>
      <c r="L352" s="4">
        <v>0.03</v>
      </c>
      <c r="M352" s="4">
        <v>1.0500000000000001E-2</v>
      </c>
      <c r="N352" s="4">
        <v>0.03</v>
      </c>
      <c r="O352" s="4">
        <v>1.0500000000000001E-2</v>
      </c>
      <c r="P352" s="4">
        <v>0</v>
      </c>
      <c r="Q352" s="3" t="s">
        <v>26</v>
      </c>
      <c r="R352" s="3">
        <v>0</v>
      </c>
      <c r="S352" s="4">
        <v>0</v>
      </c>
      <c r="T352" s="4">
        <v>20</v>
      </c>
      <c r="U352" s="4">
        <v>60</v>
      </c>
      <c r="V352" s="4">
        <f>IF(ISERROR(VLOOKUP($S$352,'TAR FIN'!$A$1:$O$91,15,0)),0,VLOOKUP($S$352,'TAR FIN'!$A$1:$O$91,15,0))</f>
        <v>0</v>
      </c>
      <c r="W352" s="4">
        <f>IF(ISERROR(VLOOKUP($T$352,'TAR FIN'!$A$1:$O$91,15,0)),0,VLOOKUP($T$352,'TAR FIN'!$A$1:$O$91,15,0))</f>
        <v>112.15</v>
      </c>
      <c r="X352" s="4">
        <f>IF(ISERROR(VLOOKUP($U$352,'TAR FIN'!$A$1:$O$91,15,0)),0,VLOOKUP($U$352,'TAR FIN'!$A$1:$O$91,15,0))</f>
        <v>69.66</v>
      </c>
      <c r="Y352" s="4"/>
      <c r="Z352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52" s="4">
        <f>('TE BE'!$AB$15+'TE BF'!$AB$15+'TE CVA'!$AB$15)*(1-CUSTOS!$M$34)</f>
        <v>71.933154536143064</v>
      </c>
      <c r="AB352" s="4">
        <f>$K$352*$V$352</f>
        <v>0</v>
      </c>
      <c r="AC352" s="4">
        <f>$M$352*$W$352</f>
        <v>1.177575</v>
      </c>
      <c r="AD352" s="4">
        <f>$O$352*$X$352</f>
        <v>0.73143000000000002</v>
      </c>
      <c r="AE352" s="4">
        <f>$K$352*$Y$352</f>
        <v>0</v>
      </c>
      <c r="AF352" s="4">
        <f ca="1">$M$352*$Z$352</f>
        <v>1.2458154987389294</v>
      </c>
      <c r="AG352" s="4">
        <f>$O$352*$AA$352</f>
        <v>0.75529812262950224</v>
      </c>
    </row>
    <row r="353" spans="1:33" ht="11.25" customHeight="1" x14ac:dyDescent="0.3">
      <c r="A353" s="3" t="s">
        <v>21</v>
      </c>
      <c r="B353" s="3" t="s">
        <v>22</v>
      </c>
      <c r="C353" s="3" t="s">
        <v>23</v>
      </c>
      <c r="D353" s="3" t="s">
        <v>24</v>
      </c>
      <c r="E353" s="3" t="s">
        <v>29</v>
      </c>
      <c r="F353" s="3" t="s">
        <v>25</v>
      </c>
      <c r="G353" s="3" t="s">
        <v>25</v>
      </c>
      <c r="H353" s="3" t="s">
        <v>25</v>
      </c>
      <c r="I353" s="6">
        <v>44713</v>
      </c>
      <c r="J353" s="4">
        <v>0</v>
      </c>
      <c r="K353" s="4">
        <v>0</v>
      </c>
      <c r="L353" s="4">
        <v>44.174999999999997</v>
      </c>
      <c r="M353" s="4">
        <v>44.174999999999997</v>
      </c>
      <c r="N353" s="4">
        <v>44.174999999999997</v>
      </c>
      <c r="O353" s="4">
        <v>44.174999999999997</v>
      </c>
      <c r="P353" s="4">
        <v>59</v>
      </c>
      <c r="Q353" s="3" t="s">
        <v>26</v>
      </c>
      <c r="R353" s="3">
        <v>0</v>
      </c>
      <c r="S353" s="4">
        <v>0</v>
      </c>
      <c r="T353" s="4">
        <v>20</v>
      </c>
      <c r="U353" s="4">
        <v>60</v>
      </c>
      <c r="V353" s="4">
        <f>IF(ISERROR(VLOOKUP($S$353,'TAR FIN'!$A$1:$O$91,15,0)),0,VLOOKUP($S$353,'TAR FIN'!$A$1:$O$91,15,0))</f>
        <v>0</v>
      </c>
      <c r="W353" s="4">
        <f>IF(ISERROR(VLOOKUP($T$353,'TAR FIN'!$A$1:$O$91,15,0)),0,VLOOKUP($T$353,'TAR FIN'!$A$1:$O$91,15,0))</f>
        <v>112.15</v>
      </c>
      <c r="X353" s="4">
        <f>IF(ISERROR(VLOOKUP($U$353,'TAR FIN'!$A$1:$O$91,15,0)),0,VLOOKUP($U$353,'TAR FIN'!$A$1:$O$91,15,0))</f>
        <v>69.66</v>
      </c>
      <c r="Y353" s="4"/>
      <c r="Z353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53" s="4">
        <f>('TE BE'!$AB$15+'TE BF'!$AB$15+'TE CVA'!$AB$15)*(1-CUSTOS!$M$34)</f>
        <v>71.933154536143064</v>
      </c>
      <c r="AB353" s="4">
        <f>$K$353*$V$353</f>
        <v>0</v>
      </c>
      <c r="AC353" s="4">
        <f>$M$353*$W$353</f>
        <v>4954.2262499999997</v>
      </c>
      <c r="AD353" s="4">
        <f>$O$353*$X$353</f>
        <v>3077.2304999999997</v>
      </c>
      <c r="AE353" s="4">
        <f>$K$353*$Y$353</f>
        <v>0</v>
      </c>
      <c r="AF353" s="4">
        <f ca="1">$M$353*$Z$353</f>
        <v>5241.3237768373519</v>
      </c>
      <c r="AG353" s="4">
        <f>$O$353*$AA$353</f>
        <v>3177.6471016341197</v>
      </c>
    </row>
    <row r="354" spans="1:33" ht="11.25" customHeight="1" x14ac:dyDescent="0.3">
      <c r="A354" s="3" t="s">
        <v>28</v>
      </c>
      <c r="B354" s="3" t="s">
        <v>22</v>
      </c>
      <c r="C354" s="3" t="s">
        <v>23</v>
      </c>
      <c r="D354" s="3" t="s">
        <v>24</v>
      </c>
      <c r="E354" s="3" t="s">
        <v>29</v>
      </c>
      <c r="F354" s="3" t="s">
        <v>25</v>
      </c>
      <c r="G354" s="3" t="s">
        <v>25</v>
      </c>
      <c r="H354" s="3" t="s">
        <v>25</v>
      </c>
      <c r="I354" s="6">
        <v>44713</v>
      </c>
      <c r="J354" s="4">
        <v>0</v>
      </c>
      <c r="K354" s="4">
        <v>0</v>
      </c>
      <c r="L354" s="4">
        <v>0.03</v>
      </c>
      <c r="M354" s="4">
        <v>-8.9999999999999993E-3</v>
      </c>
      <c r="N354" s="4">
        <v>0.03</v>
      </c>
      <c r="O354" s="4">
        <v>-8.9999999999999993E-3</v>
      </c>
      <c r="P354" s="4">
        <v>0</v>
      </c>
      <c r="Q354" s="3" t="s">
        <v>26</v>
      </c>
      <c r="R354" s="3">
        <v>0</v>
      </c>
      <c r="S354" s="4">
        <v>0</v>
      </c>
      <c r="T354" s="4">
        <v>20</v>
      </c>
      <c r="U354" s="4">
        <v>60</v>
      </c>
      <c r="V354" s="4">
        <f>IF(ISERROR(VLOOKUP($S$354,'TAR FIN'!$A$1:$O$91,15,0)),0,VLOOKUP($S$354,'TAR FIN'!$A$1:$O$91,15,0))</f>
        <v>0</v>
      </c>
      <c r="W354" s="4">
        <f>IF(ISERROR(VLOOKUP($T$354,'TAR FIN'!$A$1:$O$91,15,0)),0,VLOOKUP($T$354,'TAR FIN'!$A$1:$O$91,15,0))</f>
        <v>112.15</v>
      </c>
      <c r="X354" s="4">
        <f>IF(ISERROR(VLOOKUP($U$354,'TAR FIN'!$A$1:$O$91,15,0)),0,VLOOKUP($U$354,'TAR FIN'!$A$1:$O$91,15,0))</f>
        <v>69.66</v>
      </c>
      <c r="Y354" s="4"/>
      <c r="Z354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354" s="4">
        <f>('TE BE'!$AB$15+'TE BF'!$AB$15+'TE CVA'!$AB$15)*(1-CUSTOS!$M$34)</f>
        <v>71.933154536143064</v>
      </c>
      <c r="AB354" s="4">
        <f>$K$354*$V$354</f>
        <v>0</v>
      </c>
      <c r="AC354" s="4">
        <f>$M$354*$W$354</f>
        <v>-1.00935</v>
      </c>
      <c r="AD354" s="4">
        <f>$O$354*$X$354</f>
        <v>-0.62693999999999994</v>
      </c>
      <c r="AE354" s="4">
        <f>$K$354*$Y$354</f>
        <v>0</v>
      </c>
      <c r="AF354" s="4">
        <f ca="1">$M$354*$Z$354</f>
        <v>-1.0678418560619394</v>
      </c>
      <c r="AG354" s="4">
        <f>$O$354*$AA$354</f>
        <v>-0.6473983908252875</v>
      </c>
    </row>
    <row r="355" spans="1:33" ht="11.25" customHeight="1" x14ac:dyDescent="0.3">
      <c r="A355" s="3" t="s">
        <v>21</v>
      </c>
      <c r="B355" s="3" t="s">
        <v>22</v>
      </c>
      <c r="C355" s="3" t="s">
        <v>23</v>
      </c>
      <c r="D355" s="3" t="s">
        <v>24</v>
      </c>
      <c r="E355" s="3" t="s">
        <v>30</v>
      </c>
      <c r="F355" s="3" t="s">
        <v>25</v>
      </c>
      <c r="G355" s="3" t="s">
        <v>25</v>
      </c>
      <c r="H355" s="3" t="s">
        <v>25</v>
      </c>
      <c r="I355" s="6">
        <v>44378</v>
      </c>
      <c r="J355" s="4">
        <v>0</v>
      </c>
      <c r="K355" s="4">
        <v>0</v>
      </c>
      <c r="L355" s="4">
        <v>62.991</v>
      </c>
      <c r="M355" s="4">
        <v>62.991</v>
      </c>
      <c r="N355" s="4">
        <v>62.991</v>
      </c>
      <c r="O355" s="4">
        <v>62.991</v>
      </c>
      <c r="P355" s="4">
        <v>268</v>
      </c>
      <c r="Q355" s="3" t="s">
        <v>26</v>
      </c>
      <c r="R355" s="3">
        <v>0</v>
      </c>
      <c r="S355" s="4">
        <v>0</v>
      </c>
      <c r="T355" s="4">
        <v>21</v>
      </c>
      <c r="U355" s="4">
        <v>61</v>
      </c>
      <c r="V355" s="4">
        <f>IF(ISERROR(VLOOKUP($S$355,'TAR FIN'!$A$1:$O$91,15,0)),0,VLOOKUP($S$355,'TAR FIN'!$A$1:$O$91,15,0))</f>
        <v>0</v>
      </c>
      <c r="W355" s="4">
        <f>IF(ISERROR(VLOOKUP($T$355,'TAR FIN'!$A$1:$O$91,15,0)),0,VLOOKUP($T$355,'TAR FIN'!$A$1:$O$91,15,0))</f>
        <v>192.27</v>
      </c>
      <c r="X355" s="4">
        <f>IF(ISERROR(VLOOKUP($U$355,'TAR FIN'!$A$1:$O$91,15,0)),0,VLOOKUP($U$355,'TAR FIN'!$A$1:$O$91,15,0))</f>
        <v>119.42</v>
      </c>
      <c r="Y355" s="4"/>
      <c r="Z355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55" s="4">
        <f>('TE BE'!$AB$16+'TE BF'!$AB$16+'TE CVA'!$AB$16)*(1-CUSTOS!$M$35)</f>
        <v>123.31397920481668</v>
      </c>
      <c r="AB355" s="4">
        <f>$K$355*$V$355</f>
        <v>0</v>
      </c>
      <c r="AC355" s="4">
        <f>$M$355*$W$355</f>
        <v>12111.279570000001</v>
      </c>
      <c r="AD355" s="4">
        <f>$O$355*$X$355</f>
        <v>7522.3852200000001</v>
      </c>
      <c r="AE355" s="4">
        <f>$K$355*$Y$355</f>
        <v>0</v>
      </c>
      <c r="AF355" s="4">
        <f ca="1">$M$355*$Z$355</f>
        <v>12812.271686704311</v>
      </c>
      <c r="AG355" s="4">
        <f>$O$355*$AA$355</f>
        <v>7767.6708640906072</v>
      </c>
    </row>
    <row r="356" spans="1:33" ht="11.25" customHeight="1" x14ac:dyDescent="0.3">
      <c r="A356" s="3" t="s">
        <v>27</v>
      </c>
      <c r="B356" s="3" t="s">
        <v>22</v>
      </c>
      <c r="C356" s="3" t="s">
        <v>23</v>
      </c>
      <c r="D356" s="3" t="s">
        <v>24</v>
      </c>
      <c r="E356" s="3" t="s">
        <v>30</v>
      </c>
      <c r="F356" s="3" t="s">
        <v>25</v>
      </c>
      <c r="G356" s="3" t="s">
        <v>25</v>
      </c>
      <c r="H356" s="3" t="s">
        <v>25</v>
      </c>
      <c r="I356" s="6">
        <v>44378</v>
      </c>
      <c r="J356" s="4">
        <v>0</v>
      </c>
      <c r="K356" s="4">
        <v>0</v>
      </c>
      <c r="L356" s="4">
        <v>-6.6000000000000003E-2</v>
      </c>
      <c r="M356" s="4">
        <v>-6.6000000000000003E-2</v>
      </c>
      <c r="N356" s="4">
        <v>-6.6000000000000003E-2</v>
      </c>
      <c r="O356" s="4">
        <v>-6.6000000000000003E-2</v>
      </c>
      <c r="P356" s="4">
        <v>0</v>
      </c>
      <c r="Q356" s="3" t="s">
        <v>26</v>
      </c>
      <c r="R356" s="3">
        <v>0</v>
      </c>
      <c r="S356" s="4">
        <v>0</v>
      </c>
      <c r="T356" s="4">
        <v>21</v>
      </c>
      <c r="U356" s="4">
        <v>61</v>
      </c>
      <c r="V356" s="4">
        <f>IF(ISERROR(VLOOKUP($S$356,'TAR FIN'!$A$1:$O$91,15,0)),0,VLOOKUP($S$356,'TAR FIN'!$A$1:$O$91,15,0))</f>
        <v>0</v>
      </c>
      <c r="W356" s="4">
        <f>IF(ISERROR(VLOOKUP($T$356,'TAR FIN'!$A$1:$O$91,15,0)),0,VLOOKUP($T$356,'TAR FIN'!$A$1:$O$91,15,0))</f>
        <v>192.27</v>
      </c>
      <c r="X356" s="4">
        <f>IF(ISERROR(VLOOKUP($U$356,'TAR FIN'!$A$1:$O$91,15,0)),0,VLOOKUP($U$356,'TAR FIN'!$A$1:$O$91,15,0))</f>
        <v>119.42</v>
      </c>
      <c r="Y356" s="4"/>
      <c r="Z356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56" s="4">
        <f>('TE BE'!$AB$16+'TE BF'!$AB$16+'TE CVA'!$AB$16)*(1-CUSTOS!$M$35)</f>
        <v>123.31397920481668</v>
      </c>
      <c r="AB356" s="4">
        <f>$K$356*$V$356</f>
        <v>0</v>
      </c>
      <c r="AC356" s="4">
        <f>$M$356*$W$356</f>
        <v>-12.689820000000001</v>
      </c>
      <c r="AD356" s="4">
        <f>$O$356*$X$356</f>
        <v>-7.8817200000000005</v>
      </c>
      <c r="AE356" s="4">
        <f>$K$356*$Y$356</f>
        <v>0</v>
      </c>
      <c r="AF356" s="4">
        <f ca="1">$M$356*$Z$356</f>
        <v>-13.424297619064383</v>
      </c>
      <c r="AG356" s="4">
        <f>$O$356*$AA$356</f>
        <v>-8.1387226275179003</v>
      </c>
    </row>
    <row r="357" spans="1:33" ht="11.25" customHeight="1" x14ac:dyDescent="0.3">
      <c r="A357" s="3" t="s">
        <v>28</v>
      </c>
      <c r="B357" s="3" t="s">
        <v>22</v>
      </c>
      <c r="C357" s="3" t="s">
        <v>23</v>
      </c>
      <c r="D357" s="3" t="s">
        <v>24</v>
      </c>
      <c r="E357" s="3" t="s">
        <v>30</v>
      </c>
      <c r="F357" s="3" t="s">
        <v>25</v>
      </c>
      <c r="G357" s="3" t="s">
        <v>25</v>
      </c>
      <c r="H357" s="3" t="s">
        <v>25</v>
      </c>
      <c r="I357" s="6">
        <v>44378</v>
      </c>
      <c r="J357" s="4">
        <v>0</v>
      </c>
      <c r="K357" s="4">
        <v>0</v>
      </c>
      <c r="L357" s="4">
        <v>0.14000000000000001</v>
      </c>
      <c r="M357" s="4">
        <v>0.14000000000000001</v>
      </c>
      <c r="N357" s="4">
        <v>0.14000000000000001</v>
      </c>
      <c r="O357" s="4">
        <v>0.14000000000000001</v>
      </c>
      <c r="P357" s="4">
        <v>0</v>
      </c>
      <c r="Q357" s="3" t="s">
        <v>26</v>
      </c>
      <c r="R357" s="3">
        <v>0</v>
      </c>
      <c r="S357" s="4">
        <v>0</v>
      </c>
      <c r="T357" s="4">
        <v>21</v>
      </c>
      <c r="U357" s="4">
        <v>61</v>
      </c>
      <c r="V357" s="4">
        <f>IF(ISERROR(VLOOKUP($S$357,'TAR FIN'!$A$1:$O$91,15,0)),0,VLOOKUP($S$357,'TAR FIN'!$A$1:$O$91,15,0))</f>
        <v>0</v>
      </c>
      <c r="W357" s="4">
        <f>IF(ISERROR(VLOOKUP($T$357,'TAR FIN'!$A$1:$O$91,15,0)),0,VLOOKUP($T$357,'TAR FIN'!$A$1:$O$91,15,0))</f>
        <v>192.27</v>
      </c>
      <c r="X357" s="4">
        <f>IF(ISERROR(VLOOKUP($U$357,'TAR FIN'!$A$1:$O$91,15,0)),0,VLOOKUP($U$357,'TAR FIN'!$A$1:$O$91,15,0))</f>
        <v>119.42</v>
      </c>
      <c r="Y357" s="4"/>
      <c r="Z357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57" s="4">
        <f>('TE BE'!$AB$16+'TE BF'!$AB$16+'TE CVA'!$AB$16)*(1-CUSTOS!$M$35)</f>
        <v>123.31397920481668</v>
      </c>
      <c r="AB357" s="4">
        <f>$K$357*$V$357</f>
        <v>0</v>
      </c>
      <c r="AC357" s="4">
        <f>$M$357*$W$357</f>
        <v>26.917800000000003</v>
      </c>
      <c r="AD357" s="4">
        <f>$O$357*$X$357</f>
        <v>16.718800000000002</v>
      </c>
      <c r="AE357" s="4">
        <f>$K$357*$Y$357</f>
        <v>0</v>
      </c>
      <c r="AF357" s="4">
        <f ca="1">$M$357*$Z$357</f>
        <v>28.47578282831839</v>
      </c>
      <c r="AG357" s="4">
        <f>$O$357*$AA$357</f>
        <v>17.263957088674335</v>
      </c>
    </row>
    <row r="358" spans="1:33" ht="11.25" customHeight="1" x14ac:dyDescent="0.3">
      <c r="A358" s="3" t="s">
        <v>21</v>
      </c>
      <c r="B358" s="3" t="s">
        <v>22</v>
      </c>
      <c r="C358" s="3" t="s">
        <v>23</v>
      </c>
      <c r="D358" s="3" t="s">
        <v>24</v>
      </c>
      <c r="E358" s="3" t="s">
        <v>30</v>
      </c>
      <c r="F358" s="3" t="s">
        <v>25</v>
      </c>
      <c r="G358" s="3" t="s">
        <v>25</v>
      </c>
      <c r="H358" s="3" t="s">
        <v>25</v>
      </c>
      <c r="I358" s="6">
        <v>44409</v>
      </c>
      <c r="J358" s="4">
        <v>0</v>
      </c>
      <c r="K358" s="4">
        <v>0</v>
      </c>
      <c r="L358" s="4">
        <v>64.536000000000001</v>
      </c>
      <c r="M358" s="4">
        <v>64.536000000000001</v>
      </c>
      <c r="N358" s="4">
        <v>64.536000000000001</v>
      </c>
      <c r="O358" s="4">
        <v>64.536000000000001</v>
      </c>
      <c r="P358" s="4">
        <v>215</v>
      </c>
      <c r="Q358" s="3" t="s">
        <v>26</v>
      </c>
      <c r="R358" s="3">
        <v>0</v>
      </c>
      <c r="S358" s="4">
        <v>0</v>
      </c>
      <c r="T358" s="4">
        <v>21</v>
      </c>
      <c r="U358" s="4">
        <v>61</v>
      </c>
      <c r="V358" s="4">
        <f>IF(ISERROR(VLOOKUP($S$358,'TAR FIN'!$A$1:$O$91,15,0)),0,VLOOKUP($S$358,'TAR FIN'!$A$1:$O$91,15,0))</f>
        <v>0</v>
      </c>
      <c r="W358" s="4">
        <f>IF(ISERROR(VLOOKUP($T$358,'TAR FIN'!$A$1:$O$91,15,0)),0,VLOOKUP($T$358,'TAR FIN'!$A$1:$O$91,15,0))</f>
        <v>192.27</v>
      </c>
      <c r="X358" s="4">
        <f>IF(ISERROR(VLOOKUP($U$358,'TAR FIN'!$A$1:$O$91,15,0)),0,VLOOKUP($U$358,'TAR FIN'!$A$1:$O$91,15,0))</f>
        <v>119.42</v>
      </c>
      <c r="Y358" s="4"/>
      <c r="Z358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58" s="4">
        <f>('TE BE'!$AB$16+'TE BF'!$AB$16+'TE CVA'!$AB$16)*(1-CUSTOS!$M$35)</f>
        <v>123.31397920481668</v>
      </c>
      <c r="AB358" s="4">
        <f>$K$358*$V$358</f>
        <v>0</v>
      </c>
      <c r="AC358" s="4">
        <f>$M$358*$W$358</f>
        <v>12408.336720000001</v>
      </c>
      <c r="AD358" s="4">
        <f>$O$358*$X$358</f>
        <v>7706.8891199999998</v>
      </c>
      <c r="AE358" s="4">
        <f>$K$358*$Y$358</f>
        <v>0</v>
      </c>
      <c r="AF358" s="4">
        <f ca="1">$M$358*$Z$358</f>
        <v>13126.522290059682</v>
      </c>
      <c r="AG358" s="4">
        <f>$O$358*$AA$358</f>
        <v>7958.1909619620492</v>
      </c>
    </row>
    <row r="359" spans="1:33" ht="11.25" customHeight="1" x14ac:dyDescent="0.3">
      <c r="A359" s="3" t="s">
        <v>27</v>
      </c>
      <c r="B359" s="3" t="s">
        <v>22</v>
      </c>
      <c r="C359" s="3" t="s">
        <v>23</v>
      </c>
      <c r="D359" s="3" t="s">
        <v>24</v>
      </c>
      <c r="E359" s="3" t="s">
        <v>30</v>
      </c>
      <c r="F359" s="3" t="s">
        <v>25</v>
      </c>
      <c r="G359" s="3" t="s">
        <v>25</v>
      </c>
      <c r="H359" s="3" t="s">
        <v>25</v>
      </c>
      <c r="I359" s="6">
        <v>44409</v>
      </c>
      <c r="J359" s="4">
        <v>0</v>
      </c>
      <c r="K359" s="4">
        <v>0</v>
      </c>
      <c r="L359" s="4">
        <v>0.14000000000000001</v>
      </c>
      <c r="M359" s="4">
        <v>0.14000000000000001</v>
      </c>
      <c r="N359" s="4">
        <v>0.14000000000000001</v>
      </c>
      <c r="O359" s="4">
        <v>0.14000000000000001</v>
      </c>
      <c r="P359" s="4">
        <v>0</v>
      </c>
      <c r="Q359" s="3" t="s">
        <v>26</v>
      </c>
      <c r="R359" s="3">
        <v>0</v>
      </c>
      <c r="S359" s="4">
        <v>0</v>
      </c>
      <c r="T359" s="4">
        <v>21</v>
      </c>
      <c r="U359" s="4">
        <v>61</v>
      </c>
      <c r="V359" s="4">
        <f>IF(ISERROR(VLOOKUP($S$359,'TAR FIN'!$A$1:$O$91,15,0)),0,VLOOKUP($S$359,'TAR FIN'!$A$1:$O$91,15,0))</f>
        <v>0</v>
      </c>
      <c r="W359" s="4">
        <f>IF(ISERROR(VLOOKUP($T$359,'TAR FIN'!$A$1:$O$91,15,0)),0,VLOOKUP($T$359,'TAR FIN'!$A$1:$O$91,15,0))</f>
        <v>192.27</v>
      </c>
      <c r="X359" s="4">
        <f>IF(ISERROR(VLOOKUP($U$359,'TAR FIN'!$A$1:$O$91,15,0)),0,VLOOKUP($U$359,'TAR FIN'!$A$1:$O$91,15,0))</f>
        <v>119.42</v>
      </c>
      <c r="Y359" s="4"/>
      <c r="Z359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59" s="4">
        <f>('TE BE'!$AB$16+'TE BF'!$AB$16+'TE CVA'!$AB$16)*(1-CUSTOS!$M$35)</f>
        <v>123.31397920481668</v>
      </c>
      <c r="AB359" s="4">
        <f>$K$359*$V$359</f>
        <v>0</v>
      </c>
      <c r="AC359" s="4">
        <f>$M$359*$W$359</f>
        <v>26.917800000000003</v>
      </c>
      <c r="AD359" s="4">
        <f>$O$359*$X$359</f>
        <v>16.718800000000002</v>
      </c>
      <c r="AE359" s="4">
        <f>$K$359*$Y$359</f>
        <v>0</v>
      </c>
      <c r="AF359" s="4">
        <f ca="1">$M$359*$Z$359</f>
        <v>28.47578282831839</v>
      </c>
      <c r="AG359" s="4">
        <f>$O$359*$AA$359</f>
        <v>17.263957088674335</v>
      </c>
    </row>
    <row r="360" spans="1:33" ht="11.25" customHeight="1" x14ac:dyDescent="0.3">
      <c r="A360" s="3" t="s">
        <v>28</v>
      </c>
      <c r="B360" s="3" t="s">
        <v>22</v>
      </c>
      <c r="C360" s="3" t="s">
        <v>23</v>
      </c>
      <c r="D360" s="3" t="s">
        <v>24</v>
      </c>
      <c r="E360" s="3" t="s">
        <v>30</v>
      </c>
      <c r="F360" s="3" t="s">
        <v>25</v>
      </c>
      <c r="G360" s="3" t="s">
        <v>25</v>
      </c>
      <c r="H360" s="3" t="s">
        <v>25</v>
      </c>
      <c r="I360" s="6">
        <v>44409</v>
      </c>
      <c r="J360" s="4">
        <v>0</v>
      </c>
      <c r="K360" s="4">
        <v>0</v>
      </c>
      <c r="L360" s="4">
        <v>6.2E-2</v>
      </c>
      <c r="M360" s="4">
        <v>6.2E-2</v>
      </c>
      <c r="N360" s="4">
        <v>6.2E-2</v>
      </c>
      <c r="O360" s="4">
        <v>6.2E-2</v>
      </c>
      <c r="P360" s="4">
        <v>0</v>
      </c>
      <c r="Q360" s="3" t="s">
        <v>26</v>
      </c>
      <c r="R360" s="3">
        <v>0</v>
      </c>
      <c r="S360" s="4">
        <v>0</v>
      </c>
      <c r="T360" s="4">
        <v>21</v>
      </c>
      <c r="U360" s="4">
        <v>61</v>
      </c>
      <c r="V360" s="4">
        <f>IF(ISERROR(VLOOKUP($S$360,'TAR FIN'!$A$1:$O$91,15,0)),0,VLOOKUP($S$360,'TAR FIN'!$A$1:$O$91,15,0))</f>
        <v>0</v>
      </c>
      <c r="W360" s="4">
        <f>IF(ISERROR(VLOOKUP($T$360,'TAR FIN'!$A$1:$O$91,15,0)),0,VLOOKUP($T$360,'TAR FIN'!$A$1:$O$91,15,0))</f>
        <v>192.27</v>
      </c>
      <c r="X360" s="4">
        <f>IF(ISERROR(VLOOKUP($U$360,'TAR FIN'!$A$1:$O$91,15,0)),0,VLOOKUP($U$360,'TAR FIN'!$A$1:$O$91,15,0))</f>
        <v>119.42</v>
      </c>
      <c r="Y360" s="4"/>
      <c r="Z360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0" s="4">
        <f>('TE BE'!$AB$16+'TE BF'!$AB$16+'TE CVA'!$AB$16)*(1-CUSTOS!$M$35)</f>
        <v>123.31397920481668</v>
      </c>
      <c r="AB360" s="4">
        <f>$K$360*$V$360</f>
        <v>0</v>
      </c>
      <c r="AC360" s="4">
        <f>$M$360*$W$360</f>
        <v>11.92074</v>
      </c>
      <c r="AD360" s="4">
        <f>$O$360*$X$360</f>
        <v>7.4040400000000002</v>
      </c>
      <c r="AE360" s="4">
        <f>$K$360*$Y$360</f>
        <v>0</v>
      </c>
      <c r="AF360" s="4">
        <f ca="1">$M$360*$Z$360</f>
        <v>12.610703823969571</v>
      </c>
      <c r="AG360" s="4">
        <f>$O$360*$AA$360</f>
        <v>7.645466710698634</v>
      </c>
    </row>
    <row r="361" spans="1:33" ht="11.25" customHeight="1" x14ac:dyDescent="0.3">
      <c r="A361" s="3" t="s">
        <v>21</v>
      </c>
      <c r="B361" s="3" t="s">
        <v>22</v>
      </c>
      <c r="C361" s="3" t="s">
        <v>23</v>
      </c>
      <c r="D361" s="3" t="s">
        <v>24</v>
      </c>
      <c r="E361" s="3" t="s">
        <v>30</v>
      </c>
      <c r="F361" s="3" t="s">
        <v>25</v>
      </c>
      <c r="G361" s="3" t="s">
        <v>25</v>
      </c>
      <c r="H361" s="3" t="s">
        <v>25</v>
      </c>
      <c r="I361" s="6">
        <v>44440</v>
      </c>
      <c r="J361" s="4">
        <v>0</v>
      </c>
      <c r="K361" s="4">
        <v>0</v>
      </c>
      <c r="L361" s="4">
        <v>65.968999999999994</v>
      </c>
      <c r="M361" s="4">
        <v>65.968999999999994</v>
      </c>
      <c r="N361" s="4">
        <v>65.968999999999994</v>
      </c>
      <c r="O361" s="4">
        <v>65.968999999999994</v>
      </c>
      <c r="P361" s="4">
        <v>234</v>
      </c>
      <c r="Q361" s="3" t="s">
        <v>26</v>
      </c>
      <c r="R361" s="3">
        <v>0</v>
      </c>
      <c r="S361" s="4">
        <v>0</v>
      </c>
      <c r="T361" s="4">
        <v>21</v>
      </c>
      <c r="U361" s="4">
        <v>61</v>
      </c>
      <c r="V361" s="4">
        <f>IF(ISERROR(VLOOKUP($S$361,'TAR FIN'!$A$1:$O$91,15,0)),0,VLOOKUP($S$361,'TAR FIN'!$A$1:$O$91,15,0))</f>
        <v>0</v>
      </c>
      <c r="W361" s="4">
        <f>IF(ISERROR(VLOOKUP($T$361,'TAR FIN'!$A$1:$O$91,15,0)),0,VLOOKUP($T$361,'TAR FIN'!$A$1:$O$91,15,0))</f>
        <v>192.27</v>
      </c>
      <c r="X361" s="4">
        <f>IF(ISERROR(VLOOKUP($U$361,'TAR FIN'!$A$1:$O$91,15,0)),0,VLOOKUP($U$361,'TAR FIN'!$A$1:$O$91,15,0))</f>
        <v>119.42</v>
      </c>
      <c r="Y361" s="4"/>
      <c r="Z361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1" s="4">
        <f>('TE BE'!$AB$16+'TE BF'!$AB$16+'TE CVA'!$AB$16)*(1-CUSTOS!$M$35)</f>
        <v>123.31397920481668</v>
      </c>
      <c r="AB361" s="4">
        <f>$K$361*$V$361</f>
        <v>0</v>
      </c>
      <c r="AC361" s="4">
        <f>$M$361*$W$361</f>
        <v>12683.859629999999</v>
      </c>
      <c r="AD361" s="4">
        <f>$O$361*$X$361</f>
        <v>7878.0179799999996</v>
      </c>
      <c r="AE361" s="4">
        <f>$K$361*$Y$361</f>
        <v>0</v>
      </c>
      <c r="AF361" s="4">
        <f ca="1">$M$361*$Z$361</f>
        <v>13417.992267152396</v>
      </c>
      <c r="AG361" s="4">
        <f>$O$361*$AA$361</f>
        <v>8134.8998941625505</v>
      </c>
    </row>
    <row r="362" spans="1:33" ht="11.25" customHeight="1" x14ac:dyDescent="0.3">
      <c r="A362" s="3" t="s">
        <v>28</v>
      </c>
      <c r="B362" s="3" t="s">
        <v>22</v>
      </c>
      <c r="C362" s="3" t="s">
        <v>23</v>
      </c>
      <c r="D362" s="3" t="s">
        <v>24</v>
      </c>
      <c r="E362" s="3" t="s">
        <v>30</v>
      </c>
      <c r="F362" s="3" t="s">
        <v>25</v>
      </c>
      <c r="G362" s="3" t="s">
        <v>25</v>
      </c>
      <c r="H362" s="3" t="s">
        <v>25</v>
      </c>
      <c r="I362" s="6">
        <v>44440</v>
      </c>
      <c r="J362" s="4">
        <v>0</v>
      </c>
      <c r="K362" s="4">
        <v>0</v>
      </c>
      <c r="L362" s="4">
        <v>7.0000000000000007E-2</v>
      </c>
      <c r="M362" s="4">
        <v>7.0000000000000007E-2</v>
      </c>
      <c r="N362" s="4">
        <v>7.0000000000000007E-2</v>
      </c>
      <c r="O362" s="4">
        <v>7.0000000000000007E-2</v>
      </c>
      <c r="P362" s="4">
        <v>0</v>
      </c>
      <c r="Q362" s="3" t="s">
        <v>26</v>
      </c>
      <c r="R362" s="3">
        <v>0</v>
      </c>
      <c r="S362" s="4">
        <v>0</v>
      </c>
      <c r="T362" s="4">
        <v>21</v>
      </c>
      <c r="U362" s="4">
        <v>61</v>
      </c>
      <c r="V362" s="4">
        <f>IF(ISERROR(VLOOKUP($S$362,'TAR FIN'!$A$1:$O$91,15,0)),0,VLOOKUP($S$362,'TAR FIN'!$A$1:$O$91,15,0))</f>
        <v>0</v>
      </c>
      <c r="W362" s="4">
        <f>IF(ISERROR(VLOOKUP($T$362,'TAR FIN'!$A$1:$O$91,15,0)),0,VLOOKUP($T$362,'TAR FIN'!$A$1:$O$91,15,0))</f>
        <v>192.27</v>
      </c>
      <c r="X362" s="4">
        <f>IF(ISERROR(VLOOKUP($U$362,'TAR FIN'!$A$1:$O$91,15,0)),0,VLOOKUP($U$362,'TAR FIN'!$A$1:$O$91,15,0))</f>
        <v>119.42</v>
      </c>
      <c r="Y362" s="4"/>
      <c r="Z362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2" s="4">
        <f>('TE BE'!$AB$16+'TE BF'!$AB$16+'TE CVA'!$AB$16)*(1-CUSTOS!$M$35)</f>
        <v>123.31397920481668</v>
      </c>
      <c r="AB362" s="4">
        <f>$K$362*$V$362</f>
        <v>0</v>
      </c>
      <c r="AC362" s="4">
        <f>$M$362*$W$362</f>
        <v>13.458900000000002</v>
      </c>
      <c r="AD362" s="4">
        <f>$O$362*$X$362</f>
        <v>8.3594000000000008</v>
      </c>
      <c r="AE362" s="4">
        <f>$K$362*$Y$362</f>
        <v>0</v>
      </c>
      <c r="AF362" s="4">
        <f ca="1">$M$362*$Z$362</f>
        <v>14.237891414159195</v>
      </c>
      <c r="AG362" s="4">
        <f>$O$362*$AA$362</f>
        <v>8.6319785443371675</v>
      </c>
    </row>
    <row r="363" spans="1:33" ht="11.25" customHeight="1" x14ac:dyDescent="0.3">
      <c r="A363" s="3" t="s">
        <v>21</v>
      </c>
      <c r="B363" s="3" t="s">
        <v>22</v>
      </c>
      <c r="C363" s="3" t="s">
        <v>23</v>
      </c>
      <c r="D363" s="3" t="s">
        <v>24</v>
      </c>
      <c r="E363" s="3" t="s">
        <v>30</v>
      </c>
      <c r="F363" s="3" t="s">
        <v>25</v>
      </c>
      <c r="G363" s="3" t="s">
        <v>25</v>
      </c>
      <c r="H363" s="3" t="s">
        <v>25</v>
      </c>
      <c r="I363" s="6">
        <v>44470</v>
      </c>
      <c r="J363" s="4">
        <v>0</v>
      </c>
      <c r="K363" s="4">
        <v>0</v>
      </c>
      <c r="L363" s="4">
        <v>67.483999999999995</v>
      </c>
      <c r="M363" s="4">
        <v>67.483999999999995</v>
      </c>
      <c r="N363" s="4">
        <v>67.483999999999995</v>
      </c>
      <c r="O363" s="4">
        <v>67.483999999999995</v>
      </c>
      <c r="P363" s="4">
        <v>198</v>
      </c>
      <c r="Q363" s="3" t="s">
        <v>26</v>
      </c>
      <c r="R363" s="3">
        <v>0</v>
      </c>
      <c r="S363" s="4">
        <v>0</v>
      </c>
      <c r="T363" s="4">
        <v>21</v>
      </c>
      <c r="U363" s="4">
        <v>61</v>
      </c>
      <c r="V363" s="4">
        <f>IF(ISERROR(VLOOKUP($S$363,'TAR FIN'!$A$1:$O$91,15,0)),0,VLOOKUP($S$363,'TAR FIN'!$A$1:$O$91,15,0))</f>
        <v>0</v>
      </c>
      <c r="W363" s="4">
        <f>IF(ISERROR(VLOOKUP($T$363,'TAR FIN'!$A$1:$O$91,15,0)),0,VLOOKUP($T$363,'TAR FIN'!$A$1:$O$91,15,0))</f>
        <v>192.27</v>
      </c>
      <c r="X363" s="4">
        <f>IF(ISERROR(VLOOKUP($U$363,'TAR FIN'!$A$1:$O$91,15,0)),0,VLOOKUP($U$363,'TAR FIN'!$A$1:$O$91,15,0))</f>
        <v>119.42</v>
      </c>
      <c r="Y363" s="4"/>
      <c r="Z363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3" s="4">
        <f>('TE BE'!$AB$16+'TE BF'!$AB$16+'TE CVA'!$AB$16)*(1-CUSTOS!$M$35)</f>
        <v>123.31397920481668</v>
      </c>
      <c r="AB363" s="4">
        <f>$K$363*$V$363</f>
        <v>0</v>
      </c>
      <c r="AC363" s="4">
        <f>$M$363*$W$363</f>
        <v>12975.14868</v>
      </c>
      <c r="AD363" s="4">
        <f>$O$363*$X$363</f>
        <v>8058.9392799999996</v>
      </c>
      <c r="AE363" s="4">
        <f>$K$363*$Y$363</f>
        <v>0</v>
      </c>
      <c r="AF363" s="4">
        <f ca="1">$M$363*$Z$363</f>
        <v>13726.140917044557</v>
      </c>
      <c r="AG363" s="4">
        <f>$O$363*$AA$363</f>
        <v>8321.7205726578486</v>
      </c>
    </row>
    <row r="364" spans="1:33" ht="11.25" customHeight="1" x14ac:dyDescent="0.3">
      <c r="A364" s="3" t="s">
        <v>28</v>
      </c>
      <c r="B364" s="3" t="s">
        <v>22</v>
      </c>
      <c r="C364" s="3" t="s">
        <v>23</v>
      </c>
      <c r="D364" s="3" t="s">
        <v>24</v>
      </c>
      <c r="E364" s="3" t="s">
        <v>30</v>
      </c>
      <c r="F364" s="3" t="s">
        <v>25</v>
      </c>
      <c r="G364" s="3" t="s">
        <v>25</v>
      </c>
      <c r="H364" s="3" t="s">
        <v>25</v>
      </c>
      <c r="I364" s="6">
        <v>44470</v>
      </c>
      <c r="J364" s="4">
        <v>0</v>
      </c>
      <c r="K364" s="4">
        <v>0</v>
      </c>
      <c r="L364" s="4">
        <v>7.0000000000000007E-2</v>
      </c>
      <c r="M364" s="4">
        <v>7.0000000000000007E-2</v>
      </c>
      <c r="N364" s="4">
        <v>7.0000000000000007E-2</v>
      </c>
      <c r="O364" s="4">
        <v>7.0000000000000007E-2</v>
      </c>
      <c r="P364" s="4">
        <v>0</v>
      </c>
      <c r="Q364" s="3" t="s">
        <v>26</v>
      </c>
      <c r="R364" s="3">
        <v>0</v>
      </c>
      <c r="S364" s="4">
        <v>0</v>
      </c>
      <c r="T364" s="4">
        <v>21</v>
      </c>
      <c r="U364" s="4">
        <v>61</v>
      </c>
      <c r="V364" s="4">
        <f>IF(ISERROR(VLOOKUP($S$364,'TAR FIN'!$A$1:$O$91,15,0)),0,VLOOKUP($S$364,'TAR FIN'!$A$1:$O$91,15,0))</f>
        <v>0</v>
      </c>
      <c r="W364" s="4">
        <f>IF(ISERROR(VLOOKUP($T$364,'TAR FIN'!$A$1:$O$91,15,0)),0,VLOOKUP($T$364,'TAR FIN'!$A$1:$O$91,15,0))</f>
        <v>192.27</v>
      </c>
      <c r="X364" s="4">
        <f>IF(ISERROR(VLOOKUP($U$364,'TAR FIN'!$A$1:$O$91,15,0)),0,VLOOKUP($U$364,'TAR FIN'!$A$1:$O$91,15,0))</f>
        <v>119.42</v>
      </c>
      <c r="Y364" s="4"/>
      <c r="Z364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4" s="4">
        <f>('TE BE'!$AB$16+'TE BF'!$AB$16+'TE CVA'!$AB$16)*(1-CUSTOS!$M$35)</f>
        <v>123.31397920481668</v>
      </c>
      <c r="AB364" s="4">
        <f>$K$364*$V$364</f>
        <v>0</v>
      </c>
      <c r="AC364" s="4">
        <f>$M$364*$W$364</f>
        <v>13.458900000000002</v>
      </c>
      <c r="AD364" s="4">
        <f>$O$364*$X$364</f>
        <v>8.3594000000000008</v>
      </c>
      <c r="AE364" s="4">
        <f>$K$364*$Y$364</f>
        <v>0</v>
      </c>
      <c r="AF364" s="4">
        <f ca="1">$M$364*$Z$364</f>
        <v>14.237891414159195</v>
      </c>
      <c r="AG364" s="4">
        <f>$O$364*$AA$364</f>
        <v>8.6319785443371675</v>
      </c>
    </row>
    <row r="365" spans="1:33" ht="11.25" customHeight="1" x14ac:dyDescent="0.3">
      <c r="A365" s="3" t="s">
        <v>21</v>
      </c>
      <c r="B365" s="3" t="s">
        <v>22</v>
      </c>
      <c r="C365" s="3" t="s">
        <v>23</v>
      </c>
      <c r="D365" s="3" t="s">
        <v>24</v>
      </c>
      <c r="E365" s="3" t="s">
        <v>30</v>
      </c>
      <c r="F365" s="3" t="s">
        <v>25</v>
      </c>
      <c r="G365" s="3" t="s">
        <v>25</v>
      </c>
      <c r="H365" s="3" t="s">
        <v>25</v>
      </c>
      <c r="I365" s="6">
        <v>44501</v>
      </c>
      <c r="J365" s="4">
        <v>0</v>
      </c>
      <c r="K365" s="4">
        <v>0</v>
      </c>
      <c r="L365" s="4">
        <v>68.765000000000001</v>
      </c>
      <c r="M365" s="4">
        <v>68.765000000000001</v>
      </c>
      <c r="N365" s="4">
        <v>68.765000000000001</v>
      </c>
      <c r="O365" s="4">
        <v>68.765000000000001</v>
      </c>
      <c r="P365" s="4">
        <v>185</v>
      </c>
      <c r="Q365" s="3" t="s">
        <v>26</v>
      </c>
      <c r="R365" s="3">
        <v>0</v>
      </c>
      <c r="S365" s="4">
        <v>0</v>
      </c>
      <c r="T365" s="4">
        <v>21</v>
      </c>
      <c r="U365" s="4">
        <v>61</v>
      </c>
      <c r="V365" s="4">
        <f>IF(ISERROR(VLOOKUP($S$365,'TAR FIN'!$A$1:$O$91,15,0)),0,VLOOKUP($S$365,'TAR FIN'!$A$1:$O$91,15,0))</f>
        <v>0</v>
      </c>
      <c r="W365" s="4">
        <f>IF(ISERROR(VLOOKUP($T$365,'TAR FIN'!$A$1:$O$91,15,0)),0,VLOOKUP($T$365,'TAR FIN'!$A$1:$O$91,15,0))</f>
        <v>192.27</v>
      </c>
      <c r="X365" s="4">
        <f>IF(ISERROR(VLOOKUP($U$365,'TAR FIN'!$A$1:$O$91,15,0)),0,VLOOKUP($U$365,'TAR FIN'!$A$1:$O$91,15,0))</f>
        <v>119.42</v>
      </c>
      <c r="Y365" s="4"/>
      <c r="Z365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5" s="4">
        <f>('TE BE'!$AB$16+'TE BF'!$AB$16+'TE CVA'!$AB$16)*(1-CUSTOS!$M$35)</f>
        <v>123.31397920481668</v>
      </c>
      <c r="AB365" s="4">
        <f>$K$365*$V$365</f>
        <v>0</v>
      </c>
      <c r="AC365" s="4">
        <f>$M$365*$W$365</f>
        <v>13221.446550000001</v>
      </c>
      <c r="AD365" s="4">
        <f>$O$365*$X$365</f>
        <v>8211.9163000000008</v>
      </c>
      <c r="AE365" s="4">
        <f>$K$365*$Y$365</f>
        <v>0</v>
      </c>
      <c r="AF365" s="4">
        <f ca="1">$M$365*$Z$365</f>
        <v>13986.694329923672</v>
      </c>
      <c r="AG365" s="4">
        <f>$O$365*$AA$365</f>
        <v>8479.6857800192192</v>
      </c>
    </row>
    <row r="366" spans="1:33" ht="11.25" customHeight="1" x14ac:dyDescent="0.3">
      <c r="A366" s="3" t="s">
        <v>28</v>
      </c>
      <c r="B366" s="3" t="s">
        <v>22</v>
      </c>
      <c r="C366" s="3" t="s">
        <v>23</v>
      </c>
      <c r="D366" s="3" t="s">
        <v>24</v>
      </c>
      <c r="E366" s="3" t="s">
        <v>30</v>
      </c>
      <c r="F366" s="3" t="s">
        <v>25</v>
      </c>
      <c r="G366" s="3" t="s">
        <v>25</v>
      </c>
      <c r="H366" s="3" t="s">
        <v>25</v>
      </c>
      <c r="I366" s="6">
        <v>44501</v>
      </c>
      <c r="J366" s="4">
        <v>0</v>
      </c>
      <c r="K366" s="4">
        <v>0</v>
      </c>
      <c r="L366" s="4">
        <v>0.14000000000000001</v>
      </c>
      <c r="M366" s="4">
        <v>0.14000000000000001</v>
      </c>
      <c r="N366" s="4">
        <v>0.14000000000000001</v>
      </c>
      <c r="O366" s="4">
        <v>0.14000000000000001</v>
      </c>
      <c r="P366" s="4">
        <v>0</v>
      </c>
      <c r="Q366" s="3" t="s">
        <v>26</v>
      </c>
      <c r="R366" s="3">
        <v>0</v>
      </c>
      <c r="S366" s="4">
        <v>0</v>
      </c>
      <c r="T366" s="4">
        <v>21</v>
      </c>
      <c r="U366" s="4">
        <v>61</v>
      </c>
      <c r="V366" s="4">
        <f>IF(ISERROR(VLOOKUP($S$366,'TAR FIN'!$A$1:$O$91,15,0)),0,VLOOKUP($S$366,'TAR FIN'!$A$1:$O$91,15,0))</f>
        <v>0</v>
      </c>
      <c r="W366" s="4">
        <f>IF(ISERROR(VLOOKUP($T$366,'TAR FIN'!$A$1:$O$91,15,0)),0,VLOOKUP($T$366,'TAR FIN'!$A$1:$O$91,15,0))</f>
        <v>192.27</v>
      </c>
      <c r="X366" s="4">
        <f>IF(ISERROR(VLOOKUP($U$366,'TAR FIN'!$A$1:$O$91,15,0)),0,VLOOKUP($U$366,'TAR FIN'!$A$1:$O$91,15,0))</f>
        <v>119.42</v>
      </c>
      <c r="Y366" s="4"/>
      <c r="Z366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6" s="4">
        <f>('TE BE'!$AB$16+'TE BF'!$AB$16+'TE CVA'!$AB$16)*(1-CUSTOS!$M$35)</f>
        <v>123.31397920481668</v>
      </c>
      <c r="AB366" s="4">
        <f>$K$366*$V$366</f>
        <v>0</v>
      </c>
      <c r="AC366" s="4">
        <f>$M$366*$W$366</f>
        <v>26.917800000000003</v>
      </c>
      <c r="AD366" s="4">
        <f>$O$366*$X$366</f>
        <v>16.718800000000002</v>
      </c>
      <c r="AE366" s="4">
        <f>$K$366*$Y$366</f>
        <v>0</v>
      </c>
      <c r="AF366" s="4">
        <f ca="1">$M$366*$Z$366</f>
        <v>28.47578282831839</v>
      </c>
      <c r="AG366" s="4">
        <f>$O$366*$AA$366</f>
        <v>17.263957088674335</v>
      </c>
    </row>
    <row r="367" spans="1:33" ht="11.25" customHeight="1" x14ac:dyDescent="0.3">
      <c r="A367" s="3" t="s">
        <v>21</v>
      </c>
      <c r="B367" s="3" t="s">
        <v>22</v>
      </c>
      <c r="C367" s="3" t="s">
        <v>23</v>
      </c>
      <c r="D367" s="3" t="s">
        <v>24</v>
      </c>
      <c r="E367" s="3" t="s">
        <v>30</v>
      </c>
      <c r="F367" s="3" t="s">
        <v>25</v>
      </c>
      <c r="G367" s="3" t="s">
        <v>25</v>
      </c>
      <c r="H367" s="3" t="s">
        <v>25</v>
      </c>
      <c r="I367" s="6">
        <v>44531</v>
      </c>
      <c r="J367" s="4">
        <v>0</v>
      </c>
      <c r="K367" s="4">
        <v>0</v>
      </c>
      <c r="L367" s="4">
        <v>70.614000000000004</v>
      </c>
      <c r="M367" s="4">
        <v>70.614000000000004</v>
      </c>
      <c r="N367" s="4">
        <v>70.614000000000004</v>
      </c>
      <c r="O367" s="4">
        <v>70.614000000000004</v>
      </c>
      <c r="P367" s="4">
        <v>162</v>
      </c>
      <c r="Q367" s="3" t="s">
        <v>26</v>
      </c>
      <c r="R367" s="3">
        <v>0</v>
      </c>
      <c r="S367" s="4">
        <v>0</v>
      </c>
      <c r="T367" s="4">
        <v>21</v>
      </c>
      <c r="U367" s="4">
        <v>61</v>
      </c>
      <c r="V367" s="4">
        <f>IF(ISERROR(VLOOKUP($S$367,'TAR FIN'!$A$1:$O$91,15,0)),0,VLOOKUP($S$367,'TAR FIN'!$A$1:$O$91,15,0))</f>
        <v>0</v>
      </c>
      <c r="W367" s="4">
        <f>IF(ISERROR(VLOOKUP($T$367,'TAR FIN'!$A$1:$O$91,15,0)),0,VLOOKUP($T$367,'TAR FIN'!$A$1:$O$91,15,0))</f>
        <v>192.27</v>
      </c>
      <c r="X367" s="4">
        <f>IF(ISERROR(VLOOKUP($U$367,'TAR FIN'!$A$1:$O$91,15,0)),0,VLOOKUP($U$367,'TAR FIN'!$A$1:$O$91,15,0))</f>
        <v>119.42</v>
      </c>
      <c r="Y367" s="4"/>
      <c r="Z367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7" s="4">
        <f>('TE BE'!$AB$16+'TE BF'!$AB$16+'TE CVA'!$AB$16)*(1-CUSTOS!$M$35)</f>
        <v>123.31397920481668</v>
      </c>
      <c r="AB367" s="4">
        <f>$K$367*$V$367</f>
        <v>0</v>
      </c>
      <c r="AC367" s="4">
        <f>$M$367*$W$367</f>
        <v>13576.953780000002</v>
      </c>
      <c r="AD367" s="4">
        <f>$O$367*$X$367</f>
        <v>8432.7238800000014</v>
      </c>
      <c r="AE367" s="4">
        <f>$K$367*$Y$367</f>
        <v>0</v>
      </c>
      <c r="AF367" s="4">
        <f ca="1">$M$367*$Z$367</f>
        <v>14362.778061706249</v>
      </c>
      <c r="AG367" s="4">
        <f>$O$367*$AA$367</f>
        <v>8707.6933275689244</v>
      </c>
    </row>
    <row r="368" spans="1:33" ht="11.25" customHeight="1" x14ac:dyDescent="0.3">
      <c r="A368" s="3" t="s">
        <v>28</v>
      </c>
      <c r="B368" s="3" t="s">
        <v>22</v>
      </c>
      <c r="C368" s="3" t="s">
        <v>23</v>
      </c>
      <c r="D368" s="3" t="s">
        <v>24</v>
      </c>
      <c r="E368" s="3" t="s">
        <v>30</v>
      </c>
      <c r="F368" s="3" t="s">
        <v>25</v>
      </c>
      <c r="G368" s="3" t="s">
        <v>25</v>
      </c>
      <c r="H368" s="3" t="s">
        <v>25</v>
      </c>
      <c r="I368" s="6">
        <v>44531</v>
      </c>
      <c r="J368" s="4">
        <v>0</v>
      </c>
      <c r="K368" s="4">
        <v>0</v>
      </c>
      <c r="L368" s="4">
        <v>3.1E-2</v>
      </c>
      <c r="M368" s="4">
        <v>1.8599999999999998E-2</v>
      </c>
      <c r="N368" s="4">
        <v>3.1E-2</v>
      </c>
      <c r="O368" s="4">
        <v>1.8599999999999998E-2</v>
      </c>
      <c r="P368" s="4">
        <v>0</v>
      </c>
      <c r="Q368" s="3" t="s">
        <v>26</v>
      </c>
      <c r="R368" s="3">
        <v>0</v>
      </c>
      <c r="S368" s="4">
        <v>0</v>
      </c>
      <c r="T368" s="4">
        <v>21</v>
      </c>
      <c r="U368" s="4">
        <v>61</v>
      </c>
      <c r="V368" s="4">
        <f>IF(ISERROR(VLOOKUP($S$368,'TAR FIN'!$A$1:$O$91,15,0)),0,VLOOKUP($S$368,'TAR FIN'!$A$1:$O$91,15,0))</f>
        <v>0</v>
      </c>
      <c r="W368" s="4">
        <f>IF(ISERROR(VLOOKUP($T$368,'TAR FIN'!$A$1:$O$91,15,0)),0,VLOOKUP($T$368,'TAR FIN'!$A$1:$O$91,15,0))</f>
        <v>192.27</v>
      </c>
      <c r="X368" s="4">
        <f>IF(ISERROR(VLOOKUP($U$368,'TAR FIN'!$A$1:$O$91,15,0)),0,VLOOKUP($U$368,'TAR FIN'!$A$1:$O$91,15,0))</f>
        <v>119.42</v>
      </c>
      <c r="Y368" s="4"/>
      <c r="Z368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8" s="4">
        <f>('TE BE'!$AB$16+'TE BF'!$AB$16+'TE CVA'!$AB$16)*(1-CUSTOS!$M$35)</f>
        <v>123.31397920481668</v>
      </c>
      <c r="AB368" s="4">
        <f>$K$368*$V$368</f>
        <v>0</v>
      </c>
      <c r="AC368" s="4">
        <f>$M$368*$W$368</f>
        <v>3.576222</v>
      </c>
      <c r="AD368" s="4">
        <f>$O$368*$X$368</f>
        <v>2.221212</v>
      </c>
      <c r="AE368" s="4">
        <f>$K$368*$Y$368</f>
        <v>0</v>
      </c>
      <c r="AF368" s="4">
        <f ca="1">$M$368*$Z$368</f>
        <v>3.7832111471908711</v>
      </c>
      <c r="AG368" s="4">
        <f>$O$368*$AA$368</f>
        <v>2.2936400132095898</v>
      </c>
    </row>
    <row r="369" spans="1:33" ht="11.25" customHeight="1" x14ac:dyDescent="0.3">
      <c r="A369" s="3" t="s">
        <v>21</v>
      </c>
      <c r="B369" s="3" t="s">
        <v>22</v>
      </c>
      <c r="C369" s="3" t="s">
        <v>23</v>
      </c>
      <c r="D369" s="3" t="s">
        <v>24</v>
      </c>
      <c r="E369" s="3" t="s">
        <v>30</v>
      </c>
      <c r="F369" s="3" t="s">
        <v>25</v>
      </c>
      <c r="G369" s="3" t="s">
        <v>25</v>
      </c>
      <c r="H369" s="3" t="s">
        <v>25</v>
      </c>
      <c r="I369" s="6">
        <v>44562</v>
      </c>
      <c r="J369" s="4">
        <v>0</v>
      </c>
      <c r="K369" s="4">
        <v>0</v>
      </c>
      <c r="L369" s="4">
        <v>73.241</v>
      </c>
      <c r="M369" s="4">
        <v>73.241</v>
      </c>
      <c r="N369" s="4">
        <v>73.241</v>
      </c>
      <c r="O369" s="4">
        <v>73.241</v>
      </c>
      <c r="P369" s="4">
        <v>122</v>
      </c>
      <c r="Q369" s="3" t="s">
        <v>26</v>
      </c>
      <c r="R369" s="3">
        <v>0</v>
      </c>
      <c r="S369" s="4">
        <v>0</v>
      </c>
      <c r="T369" s="4">
        <v>21</v>
      </c>
      <c r="U369" s="4">
        <v>61</v>
      </c>
      <c r="V369" s="4">
        <f>IF(ISERROR(VLOOKUP($S$369,'TAR FIN'!$A$1:$O$91,15,0)),0,VLOOKUP($S$369,'TAR FIN'!$A$1:$O$91,15,0))</f>
        <v>0</v>
      </c>
      <c r="W369" s="4">
        <f>IF(ISERROR(VLOOKUP($T$369,'TAR FIN'!$A$1:$O$91,15,0)),0,VLOOKUP($T$369,'TAR FIN'!$A$1:$O$91,15,0))</f>
        <v>192.27</v>
      </c>
      <c r="X369" s="4">
        <f>IF(ISERROR(VLOOKUP($U$369,'TAR FIN'!$A$1:$O$91,15,0)),0,VLOOKUP($U$369,'TAR FIN'!$A$1:$O$91,15,0))</f>
        <v>119.42</v>
      </c>
      <c r="Y369" s="4"/>
      <c r="Z369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69" s="4">
        <f>('TE BE'!$AB$16+'TE BF'!$AB$16+'TE CVA'!$AB$16)*(1-CUSTOS!$M$35)</f>
        <v>123.31397920481668</v>
      </c>
      <c r="AB369" s="4">
        <f>$K$369*$V$369</f>
        <v>0</v>
      </c>
      <c r="AC369" s="4">
        <f>$M$369*$W$369</f>
        <v>14082.047070000001</v>
      </c>
      <c r="AD369" s="4">
        <f>$O$369*$X$369</f>
        <v>8746.4402200000004</v>
      </c>
      <c r="AE369" s="4">
        <f>$K$369*$Y$369</f>
        <v>0</v>
      </c>
      <c r="AF369" s="4">
        <f ca="1">$M$369*$Z$369</f>
        <v>14897.105786634764</v>
      </c>
      <c r="AG369" s="4">
        <f>$O$369*$AA$369</f>
        <v>9031.6391509399782</v>
      </c>
    </row>
    <row r="370" spans="1:33" ht="11.25" customHeight="1" x14ac:dyDescent="0.3">
      <c r="A370" s="3" t="s">
        <v>28</v>
      </c>
      <c r="B370" s="3" t="s">
        <v>22</v>
      </c>
      <c r="C370" s="3" t="s">
        <v>23</v>
      </c>
      <c r="D370" s="3" t="s">
        <v>24</v>
      </c>
      <c r="E370" s="3" t="s">
        <v>30</v>
      </c>
      <c r="F370" s="3" t="s">
        <v>25</v>
      </c>
      <c r="G370" s="3" t="s">
        <v>25</v>
      </c>
      <c r="H370" s="3" t="s">
        <v>25</v>
      </c>
      <c r="I370" s="6">
        <v>44562</v>
      </c>
      <c r="J370" s="4">
        <v>0</v>
      </c>
      <c r="K370" s="4">
        <v>0</v>
      </c>
      <c r="L370" s="4">
        <v>7.0000000000000007E-2</v>
      </c>
      <c r="M370" s="4">
        <v>4.2000000000000003E-2</v>
      </c>
      <c r="N370" s="4">
        <v>7.0000000000000007E-2</v>
      </c>
      <c r="O370" s="4">
        <v>4.2000000000000003E-2</v>
      </c>
      <c r="P370" s="4">
        <v>0</v>
      </c>
      <c r="Q370" s="3" t="s">
        <v>26</v>
      </c>
      <c r="R370" s="3">
        <v>0</v>
      </c>
      <c r="S370" s="4">
        <v>0</v>
      </c>
      <c r="T370" s="4">
        <v>21</v>
      </c>
      <c r="U370" s="4">
        <v>61</v>
      </c>
      <c r="V370" s="4">
        <f>IF(ISERROR(VLOOKUP($S$370,'TAR FIN'!$A$1:$O$91,15,0)),0,VLOOKUP($S$370,'TAR FIN'!$A$1:$O$91,15,0))</f>
        <v>0</v>
      </c>
      <c r="W370" s="4">
        <f>IF(ISERROR(VLOOKUP($T$370,'TAR FIN'!$A$1:$O$91,15,0)),0,VLOOKUP($T$370,'TAR FIN'!$A$1:$O$91,15,0))</f>
        <v>192.27</v>
      </c>
      <c r="X370" s="4">
        <f>IF(ISERROR(VLOOKUP($U$370,'TAR FIN'!$A$1:$O$91,15,0)),0,VLOOKUP($U$370,'TAR FIN'!$A$1:$O$91,15,0))</f>
        <v>119.42</v>
      </c>
      <c r="Y370" s="4"/>
      <c r="Z370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0" s="4">
        <f>('TE BE'!$AB$16+'TE BF'!$AB$16+'TE CVA'!$AB$16)*(1-CUSTOS!$M$35)</f>
        <v>123.31397920481668</v>
      </c>
      <c r="AB370" s="4">
        <f>$K$370*$V$370</f>
        <v>0</v>
      </c>
      <c r="AC370" s="4">
        <f>$M$370*$W$370</f>
        <v>8.0753400000000006</v>
      </c>
      <c r="AD370" s="4">
        <f>$O$370*$X$370</f>
        <v>5.0156400000000003</v>
      </c>
      <c r="AE370" s="4">
        <f>$K$370*$Y$370</f>
        <v>0</v>
      </c>
      <c r="AF370" s="4">
        <f ca="1">$M$370*$Z$370</f>
        <v>8.5427348484955168</v>
      </c>
      <c r="AG370" s="4">
        <f>$O$370*$AA$370</f>
        <v>5.1791871266023009</v>
      </c>
    </row>
    <row r="371" spans="1:33" ht="11.25" customHeight="1" x14ac:dyDescent="0.3">
      <c r="A371" s="3" t="s">
        <v>21</v>
      </c>
      <c r="B371" s="3" t="s">
        <v>22</v>
      </c>
      <c r="C371" s="3" t="s">
        <v>23</v>
      </c>
      <c r="D371" s="3" t="s">
        <v>24</v>
      </c>
      <c r="E371" s="3" t="s">
        <v>30</v>
      </c>
      <c r="F371" s="3" t="s">
        <v>25</v>
      </c>
      <c r="G371" s="3" t="s">
        <v>25</v>
      </c>
      <c r="H371" s="3" t="s">
        <v>25</v>
      </c>
      <c r="I371" s="6">
        <v>44593</v>
      </c>
      <c r="J371" s="4">
        <v>0</v>
      </c>
      <c r="K371" s="4">
        <v>0</v>
      </c>
      <c r="L371" s="4">
        <v>74.933000000000007</v>
      </c>
      <c r="M371" s="4">
        <v>74.933000000000007</v>
      </c>
      <c r="N371" s="4">
        <v>74.933000000000007</v>
      </c>
      <c r="O371" s="4">
        <v>74.933000000000007</v>
      </c>
      <c r="P371" s="4">
        <v>103</v>
      </c>
      <c r="Q371" s="3" t="s">
        <v>26</v>
      </c>
      <c r="R371" s="3">
        <v>0</v>
      </c>
      <c r="S371" s="4">
        <v>0</v>
      </c>
      <c r="T371" s="4">
        <v>21</v>
      </c>
      <c r="U371" s="4">
        <v>61</v>
      </c>
      <c r="V371" s="4">
        <f>IF(ISERROR(VLOOKUP($S$371,'TAR FIN'!$A$1:$O$91,15,0)),0,VLOOKUP($S$371,'TAR FIN'!$A$1:$O$91,15,0))</f>
        <v>0</v>
      </c>
      <c r="W371" s="4">
        <f>IF(ISERROR(VLOOKUP($T$371,'TAR FIN'!$A$1:$O$91,15,0)),0,VLOOKUP($T$371,'TAR FIN'!$A$1:$O$91,15,0))</f>
        <v>192.27</v>
      </c>
      <c r="X371" s="4">
        <f>IF(ISERROR(VLOOKUP($U$371,'TAR FIN'!$A$1:$O$91,15,0)),0,VLOOKUP($U$371,'TAR FIN'!$A$1:$O$91,15,0))</f>
        <v>119.42</v>
      </c>
      <c r="Y371" s="4"/>
      <c r="Z371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1" s="4">
        <f>('TE BE'!$AB$16+'TE BF'!$AB$16+'TE CVA'!$AB$16)*(1-CUSTOS!$M$35)</f>
        <v>123.31397920481668</v>
      </c>
      <c r="AB371" s="4">
        <f>$K$371*$V$371</f>
        <v>0</v>
      </c>
      <c r="AC371" s="4">
        <f>$M$371*$W$371</f>
        <v>14407.367910000003</v>
      </c>
      <c r="AD371" s="4">
        <f>$O$371*$X$371</f>
        <v>8948.4988600000015</v>
      </c>
      <c r="AE371" s="4">
        <f>$K$371*$Y$371</f>
        <v>0</v>
      </c>
      <c r="AF371" s="4">
        <f ca="1">$M$371*$Z$371</f>
        <v>15241.255961959871</v>
      </c>
      <c r="AG371" s="4">
        <f>$O$371*$AA$371</f>
        <v>9240.2864037545296</v>
      </c>
    </row>
    <row r="372" spans="1:33" ht="11.25" customHeight="1" x14ac:dyDescent="0.3">
      <c r="A372" s="3" t="s">
        <v>28</v>
      </c>
      <c r="B372" s="3" t="s">
        <v>22</v>
      </c>
      <c r="C372" s="3" t="s">
        <v>23</v>
      </c>
      <c r="D372" s="3" t="s">
        <v>24</v>
      </c>
      <c r="E372" s="3" t="s">
        <v>30</v>
      </c>
      <c r="F372" s="3" t="s">
        <v>25</v>
      </c>
      <c r="G372" s="3" t="s">
        <v>25</v>
      </c>
      <c r="H372" s="3" t="s">
        <v>25</v>
      </c>
      <c r="I372" s="6">
        <v>44593</v>
      </c>
      <c r="J372" s="4">
        <v>0</v>
      </c>
      <c r="K372" s="4">
        <v>0</v>
      </c>
      <c r="L372" s="4">
        <v>7.0000000000000007E-2</v>
      </c>
      <c r="M372" s="4">
        <v>4.2000000000000003E-2</v>
      </c>
      <c r="N372" s="4">
        <v>7.0000000000000007E-2</v>
      </c>
      <c r="O372" s="4">
        <v>4.2000000000000003E-2</v>
      </c>
      <c r="P372" s="4">
        <v>0</v>
      </c>
      <c r="Q372" s="3" t="s">
        <v>26</v>
      </c>
      <c r="R372" s="3">
        <v>0</v>
      </c>
      <c r="S372" s="4">
        <v>0</v>
      </c>
      <c r="T372" s="4">
        <v>21</v>
      </c>
      <c r="U372" s="4">
        <v>61</v>
      </c>
      <c r="V372" s="4">
        <f>IF(ISERROR(VLOOKUP($S$372,'TAR FIN'!$A$1:$O$91,15,0)),0,VLOOKUP($S$372,'TAR FIN'!$A$1:$O$91,15,0))</f>
        <v>0</v>
      </c>
      <c r="W372" s="4">
        <f>IF(ISERROR(VLOOKUP($T$372,'TAR FIN'!$A$1:$O$91,15,0)),0,VLOOKUP($T$372,'TAR FIN'!$A$1:$O$91,15,0))</f>
        <v>192.27</v>
      </c>
      <c r="X372" s="4">
        <f>IF(ISERROR(VLOOKUP($U$372,'TAR FIN'!$A$1:$O$91,15,0)),0,VLOOKUP($U$372,'TAR FIN'!$A$1:$O$91,15,0))</f>
        <v>119.42</v>
      </c>
      <c r="Y372" s="4"/>
      <c r="Z372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2" s="4">
        <f>('TE BE'!$AB$16+'TE BF'!$AB$16+'TE CVA'!$AB$16)*(1-CUSTOS!$M$35)</f>
        <v>123.31397920481668</v>
      </c>
      <c r="AB372" s="4">
        <f>$K$372*$V$372</f>
        <v>0</v>
      </c>
      <c r="AC372" s="4">
        <f>$M$372*$W$372</f>
        <v>8.0753400000000006</v>
      </c>
      <c r="AD372" s="4">
        <f>$O$372*$X$372</f>
        <v>5.0156400000000003</v>
      </c>
      <c r="AE372" s="4">
        <f>$K$372*$Y$372</f>
        <v>0</v>
      </c>
      <c r="AF372" s="4">
        <f ca="1">$M$372*$Z$372</f>
        <v>8.5427348484955168</v>
      </c>
      <c r="AG372" s="4">
        <f>$O$372*$AA$372</f>
        <v>5.1791871266023009</v>
      </c>
    </row>
    <row r="373" spans="1:33" ht="11.25" customHeight="1" x14ac:dyDescent="0.3">
      <c r="A373" s="3" t="s">
        <v>21</v>
      </c>
      <c r="B373" s="3" t="s">
        <v>22</v>
      </c>
      <c r="C373" s="3" t="s">
        <v>23</v>
      </c>
      <c r="D373" s="3" t="s">
        <v>24</v>
      </c>
      <c r="E373" s="3" t="s">
        <v>30</v>
      </c>
      <c r="F373" s="3" t="s">
        <v>25</v>
      </c>
      <c r="G373" s="3" t="s">
        <v>25</v>
      </c>
      <c r="H373" s="3" t="s">
        <v>25</v>
      </c>
      <c r="I373" s="6">
        <v>44621</v>
      </c>
      <c r="J373" s="4">
        <v>0</v>
      </c>
      <c r="K373" s="4">
        <v>0</v>
      </c>
      <c r="L373" s="4">
        <v>75.010000000000005</v>
      </c>
      <c r="M373" s="4">
        <v>75.010000000000005</v>
      </c>
      <c r="N373" s="4">
        <v>75.010000000000005</v>
      </c>
      <c r="O373" s="4">
        <v>75.010000000000005</v>
      </c>
      <c r="P373" s="4">
        <v>138</v>
      </c>
      <c r="Q373" s="3" t="s">
        <v>26</v>
      </c>
      <c r="R373" s="3">
        <v>0</v>
      </c>
      <c r="S373" s="4">
        <v>0</v>
      </c>
      <c r="T373" s="4">
        <v>21</v>
      </c>
      <c r="U373" s="4">
        <v>61</v>
      </c>
      <c r="V373" s="4">
        <f>IF(ISERROR(VLOOKUP($S$373,'TAR FIN'!$A$1:$O$91,15,0)),0,VLOOKUP($S$373,'TAR FIN'!$A$1:$O$91,15,0))</f>
        <v>0</v>
      </c>
      <c r="W373" s="4">
        <f>IF(ISERROR(VLOOKUP($T$373,'TAR FIN'!$A$1:$O$91,15,0)),0,VLOOKUP($T$373,'TAR FIN'!$A$1:$O$91,15,0))</f>
        <v>192.27</v>
      </c>
      <c r="X373" s="4">
        <f>IF(ISERROR(VLOOKUP($U$373,'TAR FIN'!$A$1:$O$91,15,0)),0,VLOOKUP($U$373,'TAR FIN'!$A$1:$O$91,15,0))</f>
        <v>119.42</v>
      </c>
      <c r="Y373" s="4"/>
      <c r="Z373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3" s="4">
        <f>('TE BE'!$AB$16+'TE BF'!$AB$16+'TE CVA'!$AB$16)*(1-CUSTOS!$M$35)</f>
        <v>123.31397920481668</v>
      </c>
      <c r="AB373" s="4">
        <f>$K$373*$V$373</f>
        <v>0</v>
      </c>
      <c r="AC373" s="4">
        <f>$M$373*$W$373</f>
        <v>14422.172700000001</v>
      </c>
      <c r="AD373" s="4">
        <f>$O$373*$X$373</f>
        <v>8957.6941999999999</v>
      </c>
      <c r="AE373" s="4">
        <f>$K$373*$Y$373</f>
        <v>0</v>
      </c>
      <c r="AF373" s="4">
        <f ca="1">$M$373*$Z$373</f>
        <v>15256.917642515446</v>
      </c>
      <c r="AG373" s="4">
        <f>$O$373*$AA$373</f>
        <v>9249.7815801532997</v>
      </c>
    </row>
    <row r="374" spans="1:33" ht="11.25" customHeight="1" x14ac:dyDescent="0.3">
      <c r="A374" s="3" t="s">
        <v>28</v>
      </c>
      <c r="B374" s="3" t="s">
        <v>22</v>
      </c>
      <c r="C374" s="3" t="s">
        <v>23</v>
      </c>
      <c r="D374" s="3" t="s">
        <v>24</v>
      </c>
      <c r="E374" s="3" t="s">
        <v>30</v>
      </c>
      <c r="F374" s="3" t="s">
        <v>25</v>
      </c>
      <c r="G374" s="3" t="s">
        <v>25</v>
      </c>
      <c r="H374" s="3" t="s">
        <v>25</v>
      </c>
      <c r="I374" s="6">
        <v>44621</v>
      </c>
      <c r="J374" s="4">
        <v>0</v>
      </c>
      <c r="K374" s="4">
        <v>0</v>
      </c>
      <c r="L374" s="4">
        <v>7.0000000000000007E-2</v>
      </c>
      <c r="M374" s="4">
        <v>4.2000000000000003E-2</v>
      </c>
      <c r="N374" s="4">
        <v>7.0000000000000007E-2</v>
      </c>
      <c r="O374" s="4">
        <v>4.2000000000000003E-2</v>
      </c>
      <c r="P374" s="4">
        <v>0</v>
      </c>
      <c r="Q374" s="3" t="s">
        <v>26</v>
      </c>
      <c r="R374" s="3">
        <v>0</v>
      </c>
      <c r="S374" s="4">
        <v>0</v>
      </c>
      <c r="T374" s="4">
        <v>21</v>
      </c>
      <c r="U374" s="4">
        <v>61</v>
      </c>
      <c r="V374" s="4">
        <f>IF(ISERROR(VLOOKUP($S$374,'TAR FIN'!$A$1:$O$91,15,0)),0,VLOOKUP($S$374,'TAR FIN'!$A$1:$O$91,15,0))</f>
        <v>0</v>
      </c>
      <c r="W374" s="4">
        <f>IF(ISERROR(VLOOKUP($T$374,'TAR FIN'!$A$1:$O$91,15,0)),0,VLOOKUP($T$374,'TAR FIN'!$A$1:$O$91,15,0))</f>
        <v>192.27</v>
      </c>
      <c r="X374" s="4">
        <f>IF(ISERROR(VLOOKUP($U$374,'TAR FIN'!$A$1:$O$91,15,0)),0,VLOOKUP($U$374,'TAR FIN'!$A$1:$O$91,15,0))</f>
        <v>119.42</v>
      </c>
      <c r="Y374" s="4"/>
      <c r="Z374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4" s="4">
        <f>('TE BE'!$AB$16+'TE BF'!$AB$16+'TE CVA'!$AB$16)*(1-CUSTOS!$M$35)</f>
        <v>123.31397920481668</v>
      </c>
      <c r="AB374" s="4">
        <f>$K$374*$V$374</f>
        <v>0</v>
      </c>
      <c r="AC374" s="4">
        <f>$M$374*$W$374</f>
        <v>8.0753400000000006</v>
      </c>
      <c r="AD374" s="4">
        <f>$O$374*$X$374</f>
        <v>5.0156400000000003</v>
      </c>
      <c r="AE374" s="4">
        <f>$K$374*$Y$374</f>
        <v>0</v>
      </c>
      <c r="AF374" s="4">
        <f ca="1">$M$374*$Z$374</f>
        <v>8.5427348484955168</v>
      </c>
      <c r="AG374" s="4">
        <f>$O$374*$AA$374</f>
        <v>5.1791871266023009</v>
      </c>
    </row>
    <row r="375" spans="1:33" ht="11.25" customHeight="1" x14ac:dyDescent="0.3">
      <c r="A375" s="3" t="s">
        <v>21</v>
      </c>
      <c r="B375" s="3" t="s">
        <v>22</v>
      </c>
      <c r="C375" s="3" t="s">
        <v>23</v>
      </c>
      <c r="D375" s="3" t="s">
        <v>24</v>
      </c>
      <c r="E375" s="3" t="s">
        <v>30</v>
      </c>
      <c r="F375" s="3" t="s">
        <v>25</v>
      </c>
      <c r="G375" s="3" t="s">
        <v>25</v>
      </c>
      <c r="H375" s="3" t="s">
        <v>25</v>
      </c>
      <c r="I375" s="6">
        <v>44652</v>
      </c>
      <c r="J375" s="4">
        <v>0</v>
      </c>
      <c r="K375" s="4">
        <v>0</v>
      </c>
      <c r="L375" s="4">
        <v>73.043000000000006</v>
      </c>
      <c r="M375" s="4">
        <v>73.043000000000006</v>
      </c>
      <c r="N375" s="4">
        <v>73.043000000000006</v>
      </c>
      <c r="O375" s="4">
        <v>73.043000000000006</v>
      </c>
      <c r="P375" s="4">
        <v>265</v>
      </c>
      <c r="Q375" s="3" t="s">
        <v>26</v>
      </c>
      <c r="R375" s="3">
        <v>0</v>
      </c>
      <c r="S375" s="4">
        <v>0</v>
      </c>
      <c r="T375" s="4">
        <v>21</v>
      </c>
      <c r="U375" s="4">
        <v>61</v>
      </c>
      <c r="V375" s="4">
        <f>IF(ISERROR(VLOOKUP($S$375,'TAR FIN'!$A$1:$O$91,15,0)),0,VLOOKUP($S$375,'TAR FIN'!$A$1:$O$91,15,0))</f>
        <v>0</v>
      </c>
      <c r="W375" s="4">
        <f>IF(ISERROR(VLOOKUP($T$375,'TAR FIN'!$A$1:$O$91,15,0)),0,VLOOKUP($T$375,'TAR FIN'!$A$1:$O$91,15,0))</f>
        <v>192.27</v>
      </c>
      <c r="X375" s="4">
        <f>IF(ISERROR(VLOOKUP($U$375,'TAR FIN'!$A$1:$O$91,15,0)),0,VLOOKUP($U$375,'TAR FIN'!$A$1:$O$91,15,0))</f>
        <v>119.42</v>
      </c>
      <c r="Y375" s="4"/>
      <c r="Z375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5" s="4">
        <f>('TE BE'!$AB$16+'TE BF'!$AB$16+'TE CVA'!$AB$16)*(1-CUSTOS!$M$35)</f>
        <v>123.31397920481668</v>
      </c>
      <c r="AB375" s="4">
        <f>$K$375*$V$375</f>
        <v>0</v>
      </c>
      <c r="AC375" s="4">
        <f>$M$375*$W$375</f>
        <v>14043.977610000002</v>
      </c>
      <c r="AD375" s="4">
        <f>$O$375*$X$375</f>
        <v>8722.7950600000004</v>
      </c>
      <c r="AE375" s="4">
        <f>$K$375*$Y$375</f>
        <v>0</v>
      </c>
      <c r="AF375" s="4">
        <f ca="1">$M$375*$Z$375</f>
        <v>14856.832893777573</v>
      </c>
      <c r="AG375" s="4">
        <f>$O$375*$AA$375</f>
        <v>9007.2229830574252</v>
      </c>
    </row>
    <row r="376" spans="1:33" ht="11.25" customHeight="1" x14ac:dyDescent="0.3">
      <c r="A376" s="3" t="s">
        <v>28</v>
      </c>
      <c r="B376" s="3" t="s">
        <v>22</v>
      </c>
      <c r="C376" s="3" t="s">
        <v>23</v>
      </c>
      <c r="D376" s="3" t="s">
        <v>24</v>
      </c>
      <c r="E376" s="3" t="s">
        <v>30</v>
      </c>
      <c r="F376" s="3" t="s">
        <v>25</v>
      </c>
      <c r="G376" s="3" t="s">
        <v>25</v>
      </c>
      <c r="H376" s="3" t="s">
        <v>25</v>
      </c>
      <c r="I376" s="6">
        <v>44652</v>
      </c>
      <c r="J376" s="4">
        <v>0</v>
      </c>
      <c r="K376" s="4">
        <v>0</v>
      </c>
      <c r="L376" s="4">
        <v>5.8999999999999997E-2</v>
      </c>
      <c r="M376" s="4">
        <v>3.5400000000000001E-2</v>
      </c>
      <c r="N376" s="4">
        <v>5.8999999999999997E-2</v>
      </c>
      <c r="O376" s="4">
        <v>3.5400000000000001E-2</v>
      </c>
      <c r="P376" s="4">
        <v>0</v>
      </c>
      <c r="Q376" s="3" t="s">
        <v>26</v>
      </c>
      <c r="R376" s="3">
        <v>0</v>
      </c>
      <c r="S376" s="4">
        <v>0</v>
      </c>
      <c r="T376" s="4">
        <v>21</v>
      </c>
      <c r="U376" s="4">
        <v>61</v>
      </c>
      <c r="V376" s="4">
        <f>IF(ISERROR(VLOOKUP($S$376,'TAR FIN'!$A$1:$O$91,15,0)),0,VLOOKUP($S$376,'TAR FIN'!$A$1:$O$91,15,0))</f>
        <v>0</v>
      </c>
      <c r="W376" s="4">
        <f>IF(ISERROR(VLOOKUP($T$376,'TAR FIN'!$A$1:$O$91,15,0)),0,VLOOKUP($T$376,'TAR FIN'!$A$1:$O$91,15,0))</f>
        <v>192.27</v>
      </c>
      <c r="X376" s="4">
        <f>IF(ISERROR(VLOOKUP($U$376,'TAR FIN'!$A$1:$O$91,15,0)),0,VLOOKUP($U$376,'TAR FIN'!$A$1:$O$91,15,0))</f>
        <v>119.42</v>
      </c>
      <c r="Y376" s="4"/>
      <c r="Z376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6" s="4">
        <f>('TE BE'!$AB$16+'TE BF'!$AB$16+'TE CVA'!$AB$16)*(1-CUSTOS!$M$35)</f>
        <v>123.31397920481668</v>
      </c>
      <c r="AB376" s="4">
        <f>$K$376*$V$376</f>
        <v>0</v>
      </c>
      <c r="AC376" s="4">
        <f>$M$376*$W$376</f>
        <v>6.8063580000000004</v>
      </c>
      <c r="AD376" s="4">
        <f>$O$376*$X$376</f>
        <v>4.227468</v>
      </c>
      <c r="AE376" s="4">
        <f>$K$376*$Y$376</f>
        <v>0</v>
      </c>
      <c r="AF376" s="4">
        <f ca="1">$M$376*$Z$376</f>
        <v>7.2003050865890783</v>
      </c>
      <c r="AG376" s="4">
        <f>$O$376*$AA$376</f>
        <v>4.3653148638505108</v>
      </c>
    </row>
    <row r="377" spans="1:33" ht="11.25" customHeight="1" x14ac:dyDescent="0.3">
      <c r="A377" s="3" t="s">
        <v>21</v>
      </c>
      <c r="B377" s="3" t="s">
        <v>22</v>
      </c>
      <c r="C377" s="3" t="s">
        <v>23</v>
      </c>
      <c r="D377" s="3" t="s">
        <v>24</v>
      </c>
      <c r="E377" s="3" t="s">
        <v>30</v>
      </c>
      <c r="F377" s="3" t="s">
        <v>25</v>
      </c>
      <c r="G377" s="3" t="s">
        <v>25</v>
      </c>
      <c r="H377" s="3" t="s">
        <v>25</v>
      </c>
      <c r="I377" s="6">
        <v>44682</v>
      </c>
      <c r="J377" s="4">
        <v>0</v>
      </c>
      <c r="K377" s="4">
        <v>0</v>
      </c>
      <c r="L377" s="4">
        <v>90.843999999999994</v>
      </c>
      <c r="M377" s="4">
        <v>90.843999999999994</v>
      </c>
      <c r="N377" s="4">
        <v>90.843999999999994</v>
      </c>
      <c r="O377" s="4">
        <v>90.843999999999994</v>
      </c>
      <c r="P377" s="4">
        <v>370</v>
      </c>
      <c r="Q377" s="3" t="s">
        <v>26</v>
      </c>
      <c r="R377" s="3">
        <v>0</v>
      </c>
      <c r="S377" s="4">
        <v>0</v>
      </c>
      <c r="T377" s="4">
        <v>21</v>
      </c>
      <c r="U377" s="4">
        <v>61</v>
      </c>
      <c r="V377" s="4">
        <f>IF(ISERROR(VLOOKUP($S$377,'TAR FIN'!$A$1:$O$91,15,0)),0,VLOOKUP($S$377,'TAR FIN'!$A$1:$O$91,15,0))</f>
        <v>0</v>
      </c>
      <c r="W377" s="4">
        <f>IF(ISERROR(VLOOKUP($T$377,'TAR FIN'!$A$1:$O$91,15,0)),0,VLOOKUP($T$377,'TAR FIN'!$A$1:$O$91,15,0))</f>
        <v>192.27</v>
      </c>
      <c r="X377" s="4">
        <f>IF(ISERROR(VLOOKUP($U$377,'TAR FIN'!$A$1:$O$91,15,0)),0,VLOOKUP($U$377,'TAR FIN'!$A$1:$O$91,15,0))</f>
        <v>119.42</v>
      </c>
      <c r="Y377" s="4"/>
      <c r="Z377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7" s="4">
        <f>('TE BE'!$AB$16+'TE BF'!$AB$16+'TE CVA'!$AB$16)*(1-CUSTOS!$M$35)</f>
        <v>123.31397920481668</v>
      </c>
      <c r="AB377" s="4">
        <f>$K$377*$V$377</f>
        <v>0</v>
      </c>
      <c r="AC377" s="4">
        <f>$M$377*$W$377</f>
        <v>17466.57588</v>
      </c>
      <c r="AD377" s="4">
        <f>$O$377*$X$377</f>
        <v>10848.590479999999</v>
      </c>
      <c r="AE377" s="4">
        <f>$K$377*$Y$377</f>
        <v>0</v>
      </c>
      <c r="AF377" s="4">
        <f ca="1">$M$377*$Z$377</f>
        <v>18477.528680398253</v>
      </c>
      <c r="AG377" s="4">
        <f>$O$377*$AA$377</f>
        <v>11202.335126882366</v>
      </c>
    </row>
    <row r="378" spans="1:33" ht="11.25" customHeight="1" x14ac:dyDescent="0.3">
      <c r="A378" s="3" t="s">
        <v>28</v>
      </c>
      <c r="B378" s="3" t="s">
        <v>22</v>
      </c>
      <c r="C378" s="3" t="s">
        <v>23</v>
      </c>
      <c r="D378" s="3" t="s">
        <v>24</v>
      </c>
      <c r="E378" s="3" t="s">
        <v>30</v>
      </c>
      <c r="F378" s="3" t="s">
        <v>25</v>
      </c>
      <c r="G378" s="3" t="s">
        <v>25</v>
      </c>
      <c r="H378" s="3" t="s">
        <v>25</v>
      </c>
      <c r="I378" s="6">
        <v>44682</v>
      </c>
      <c r="J378" s="4">
        <v>0</v>
      </c>
      <c r="K378" s="4">
        <v>0</v>
      </c>
      <c r="L378" s="4">
        <v>7.0000000000000007E-2</v>
      </c>
      <c r="M378" s="4">
        <v>4.2000000000000003E-2</v>
      </c>
      <c r="N378" s="4">
        <v>7.0000000000000007E-2</v>
      </c>
      <c r="O378" s="4">
        <v>4.2000000000000003E-2</v>
      </c>
      <c r="P378" s="4">
        <v>0</v>
      </c>
      <c r="Q378" s="3" t="s">
        <v>26</v>
      </c>
      <c r="R378" s="3">
        <v>0</v>
      </c>
      <c r="S378" s="4">
        <v>0</v>
      </c>
      <c r="T378" s="4">
        <v>21</v>
      </c>
      <c r="U378" s="4">
        <v>61</v>
      </c>
      <c r="V378" s="4">
        <f>IF(ISERROR(VLOOKUP($S$378,'TAR FIN'!$A$1:$O$91,15,0)),0,VLOOKUP($S$378,'TAR FIN'!$A$1:$O$91,15,0))</f>
        <v>0</v>
      </c>
      <c r="W378" s="4">
        <f>IF(ISERROR(VLOOKUP($T$378,'TAR FIN'!$A$1:$O$91,15,0)),0,VLOOKUP($T$378,'TAR FIN'!$A$1:$O$91,15,0))</f>
        <v>192.27</v>
      </c>
      <c r="X378" s="4">
        <f>IF(ISERROR(VLOOKUP($U$378,'TAR FIN'!$A$1:$O$91,15,0)),0,VLOOKUP($U$378,'TAR FIN'!$A$1:$O$91,15,0))</f>
        <v>119.42</v>
      </c>
      <c r="Y378" s="4"/>
      <c r="Z378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8" s="4">
        <f>('TE BE'!$AB$16+'TE BF'!$AB$16+'TE CVA'!$AB$16)*(1-CUSTOS!$M$35)</f>
        <v>123.31397920481668</v>
      </c>
      <c r="AB378" s="4">
        <f>$K$378*$V$378</f>
        <v>0</v>
      </c>
      <c r="AC378" s="4">
        <f>$M$378*$W$378</f>
        <v>8.0753400000000006</v>
      </c>
      <c r="AD378" s="4">
        <f>$O$378*$X$378</f>
        <v>5.0156400000000003</v>
      </c>
      <c r="AE378" s="4">
        <f>$K$378*$Y$378</f>
        <v>0</v>
      </c>
      <c r="AF378" s="4">
        <f ca="1">$M$378*$Z$378</f>
        <v>8.5427348484955168</v>
      </c>
      <c r="AG378" s="4">
        <f>$O$378*$AA$378</f>
        <v>5.1791871266023009</v>
      </c>
    </row>
    <row r="379" spans="1:33" ht="11.25" customHeight="1" x14ac:dyDescent="0.3">
      <c r="A379" s="3" t="s">
        <v>21</v>
      </c>
      <c r="B379" s="3" t="s">
        <v>22</v>
      </c>
      <c r="C379" s="3" t="s">
        <v>23</v>
      </c>
      <c r="D379" s="3" t="s">
        <v>24</v>
      </c>
      <c r="E379" s="3" t="s">
        <v>30</v>
      </c>
      <c r="F379" s="3" t="s">
        <v>25</v>
      </c>
      <c r="G379" s="3" t="s">
        <v>25</v>
      </c>
      <c r="H379" s="3" t="s">
        <v>25</v>
      </c>
      <c r="I379" s="6">
        <v>44713</v>
      </c>
      <c r="J379" s="4">
        <v>0</v>
      </c>
      <c r="K379" s="4">
        <v>0</v>
      </c>
      <c r="L379" s="4">
        <v>88.426000000000002</v>
      </c>
      <c r="M379" s="4">
        <v>88.426000000000002</v>
      </c>
      <c r="N379" s="4">
        <v>88.426000000000002</v>
      </c>
      <c r="O379" s="4">
        <v>88.426000000000002</v>
      </c>
      <c r="P379" s="4">
        <v>339</v>
      </c>
      <c r="Q379" s="3" t="s">
        <v>26</v>
      </c>
      <c r="R379" s="3">
        <v>0</v>
      </c>
      <c r="S379" s="4">
        <v>0</v>
      </c>
      <c r="T379" s="4">
        <v>21</v>
      </c>
      <c r="U379" s="4">
        <v>61</v>
      </c>
      <c r="V379" s="4">
        <f>IF(ISERROR(VLOOKUP($S$379,'TAR FIN'!$A$1:$O$91,15,0)),0,VLOOKUP($S$379,'TAR FIN'!$A$1:$O$91,15,0))</f>
        <v>0</v>
      </c>
      <c r="W379" s="4">
        <f>IF(ISERROR(VLOOKUP($T$379,'TAR FIN'!$A$1:$O$91,15,0)),0,VLOOKUP($T$379,'TAR FIN'!$A$1:$O$91,15,0))</f>
        <v>192.27</v>
      </c>
      <c r="X379" s="4">
        <f>IF(ISERROR(VLOOKUP($U$379,'TAR FIN'!$A$1:$O$91,15,0)),0,VLOOKUP($U$379,'TAR FIN'!$A$1:$O$91,15,0))</f>
        <v>119.42</v>
      </c>
      <c r="Y379" s="4"/>
      <c r="Z379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79" s="4">
        <f>('TE BE'!$AB$16+'TE BF'!$AB$16+'TE CVA'!$AB$16)*(1-CUSTOS!$M$35)</f>
        <v>123.31397920481668</v>
      </c>
      <c r="AB379" s="4">
        <f>$K$379*$V$379</f>
        <v>0</v>
      </c>
      <c r="AC379" s="4">
        <f>$M$379*$W$379</f>
        <v>17001.667020000001</v>
      </c>
      <c r="AD379" s="4">
        <f>$O$379*$X$379</f>
        <v>10559.832920000001</v>
      </c>
      <c r="AE379" s="4">
        <f>$K$379*$Y$379</f>
        <v>0</v>
      </c>
      <c r="AF379" s="4">
        <f ca="1">$M$379*$Z$379</f>
        <v>17985.711231263442</v>
      </c>
      <c r="AG379" s="4">
        <f>$O$379*$AA$379</f>
        <v>10904.161925165119</v>
      </c>
    </row>
    <row r="380" spans="1:33" ht="11.25" customHeight="1" x14ac:dyDescent="0.3">
      <c r="A380" s="3" t="s">
        <v>28</v>
      </c>
      <c r="B380" s="3" t="s">
        <v>22</v>
      </c>
      <c r="C380" s="3" t="s">
        <v>23</v>
      </c>
      <c r="D380" s="3" t="s">
        <v>24</v>
      </c>
      <c r="E380" s="3" t="s">
        <v>30</v>
      </c>
      <c r="F380" s="3" t="s">
        <v>25</v>
      </c>
      <c r="G380" s="3" t="s">
        <v>25</v>
      </c>
      <c r="H380" s="3" t="s">
        <v>25</v>
      </c>
      <c r="I380" s="6">
        <v>44713</v>
      </c>
      <c r="J380" s="4">
        <v>0</v>
      </c>
      <c r="K380" s="4">
        <v>0</v>
      </c>
      <c r="L380" s="4">
        <v>7.0000000000000007E-2</v>
      </c>
      <c r="M380" s="4">
        <v>1.4E-2</v>
      </c>
      <c r="N380" s="4">
        <v>7.0000000000000007E-2</v>
      </c>
      <c r="O380" s="4">
        <v>1.4E-2</v>
      </c>
      <c r="P380" s="4">
        <v>0</v>
      </c>
      <c r="Q380" s="3" t="s">
        <v>26</v>
      </c>
      <c r="R380" s="3">
        <v>0</v>
      </c>
      <c r="S380" s="4">
        <v>0</v>
      </c>
      <c r="T380" s="4">
        <v>21</v>
      </c>
      <c r="U380" s="4">
        <v>61</v>
      </c>
      <c r="V380" s="4">
        <f>IF(ISERROR(VLOOKUP($S$380,'TAR FIN'!$A$1:$O$91,15,0)),0,VLOOKUP($S$380,'TAR FIN'!$A$1:$O$91,15,0))</f>
        <v>0</v>
      </c>
      <c r="W380" s="4">
        <f>IF(ISERROR(VLOOKUP($T$380,'TAR FIN'!$A$1:$O$91,15,0)),0,VLOOKUP($T$380,'TAR FIN'!$A$1:$O$91,15,0))</f>
        <v>192.27</v>
      </c>
      <c r="X380" s="4">
        <f>IF(ISERROR(VLOOKUP($U$380,'TAR FIN'!$A$1:$O$91,15,0)),0,VLOOKUP($U$380,'TAR FIN'!$A$1:$O$91,15,0))</f>
        <v>119.42</v>
      </c>
      <c r="Y380" s="4"/>
      <c r="Z380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380" s="4">
        <f>('TE BE'!$AB$16+'TE BF'!$AB$16+'TE CVA'!$AB$16)*(1-CUSTOS!$M$35)</f>
        <v>123.31397920481668</v>
      </c>
      <c r="AB380" s="4">
        <f>$K$380*$V$380</f>
        <v>0</v>
      </c>
      <c r="AC380" s="4">
        <f>$M$380*$W$380</f>
        <v>2.6917800000000001</v>
      </c>
      <c r="AD380" s="4">
        <f>$O$380*$X$380</f>
        <v>1.67188</v>
      </c>
      <c r="AE380" s="4">
        <f>$K$380*$Y$380</f>
        <v>0</v>
      </c>
      <c r="AF380" s="4">
        <f ca="1">$M$380*$Z$380</f>
        <v>2.8475782828318388</v>
      </c>
      <c r="AG380" s="4">
        <f>$O$380*$AA$380</f>
        <v>1.7263957088674335</v>
      </c>
    </row>
    <row r="381" spans="1:33" ht="11.25" customHeight="1" x14ac:dyDescent="0.3">
      <c r="A381" s="3" t="s">
        <v>21</v>
      </c>
      <c r="B381" s="3" t="s">
        <v>22</v>
      </c>
      <c r="C381" s="3" t="s">
        <v>23</v>
      </c>
      <c r="D381" s="3" t="s">
        <v>24</v>
      </c>
      <c r="E381" s="3" t="s">
        <v>31</v>
      </c>
      <c r="F381" s="3" t="s">
        <v>25</v>
      </c>
      <c r="G381" s="3" t="s">
        <v>25</v>
      </c>
      <c r="H381" s="3" t="s">
        <v>25</v>
      </c>
      <c r="I381" s="6">
        <v>44378</v>
      </c>
      <c r="J381" s="4">
        <v>0</v>
      </c>
      <c r="K381" s="4">
        <v>0</v>
      </c>
      <c r="L381" s="4">
        <v>52.960999999999999</v>
      </c>
      <c r="M381" s="4">
        <v>52.960999999999999</v>
      </c>
      <c r="N381" s="4">
        <v>52.960999999999999</v>
      </c>
      <c r="O381" s="4">
        <v>52.960999999999999</v>
      </c>
      <c r="P381" s="4">
        <v>545</v>
      </c>
      <c r="Q381" s="3" t="s">
        <v>26</v>
      </c>
      <c r="R381" s="3">
        <v>0</v>
      </c>
      <c r="S381" s="4">
        <v>0</v>
      </c>
      <c r="T381" s="4">
        <v>22</v>
      </c>
      <c r="U381" s="4">
        <v>62</v>
      </c>
      <c r="V381" s="4">
        <f>IF(ISERROR(VLOOKUP($S$381,'TAR FIN'!$A$1:$O$91,15,0)),0,VLOOKUP($S$381,'TAR FIN'!$A$1:$O$91,15,0))</f>
        <v>0</v>
      </c>
      <c r="W381" s="4">
        <f>IF(ISERROR(VLOOKUP($T$381,'TAR FIN'!$A$1:$O$91,15,0)),0,VLOOKUP($T$381,'TAR FIN'!$A$1:$O$91,15,0))</f>
        <v>288.39999999999998</v>
      </c>
      <c r="X381" s="4">
        <f>IF(ISERROR(VLOOKUP($U$381,'TAR FIN'!$A$1:$O$91,15,0)),0,VLOOKUP($U$381,'TAR FIN'!$A$1:$O$91,15,0))</f>
        <v>179.13</v>
      </c>
      <c r="Y381" s="4"/>
      <c r="Z381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1" s="4">
        <f>('TE BE'!$AB$17+'TE BF'!$AB$17+'TE CVA'!$AB$17)*(1-CUSTOS!$M$36)</f>
        <v>184.97096880722503</v>
      </c>
      <c r="AB381" s="4">
        <f>$K$381*$V$381</f>
        <v>0</v>
      </c>
      <c r="AC381" s="4">
        <f>$M$381*$W$381</f>
        <v>15273.952399999998</v>
      </c>
      <c r="AD381" s="4">
        <f>$O$381*$X$381</f>
        <v>9486.9039300000004</v>
      </c>
      <c r="AE381" s="4">
        <f>$K$381*$Y$381</f>
        <v>0</v>
      </c>
      <c r="AF381" s="4">
        <f ca="1">$M$381*$Z$381</f>
        <v>16158.277868256109</v>
      </c>
      <c r="AG381" s="4">
        <f>$O$381*$AA$381</f>
        <v>9796.2474789994449</v>
      </c>
    </row>
    <row r="382" spans="1:33" ht="11.25" customHeight="1" x14ac:dyDescent="0.3">
      <c r="A382" s="3" t="s">
        <v>27</v>
      </c>
      <c r="B382" s="3" t="s">
        <v>22</v>
      </c>
      <c r="C382" s="3" t="s">
        <v>23</v>
      </c>
      <c r="D382" s="3" t="s">
        <v>24</v>
      </c>
      <c r="E382" s="3" t="s">
        <v>31</v>
      </c>
      <c r="F382" s="3" t="s">
        <v>25</v>
      </c>
      <c r="G382" s="3" t="s">
        <v>25</v>
      </c>
      <c r="H382" s="3" t="s">
        <v>25</v>
      </c>
      <c r="I382" s="6">
        <v>44378</v>
      </c>
      <c r="J382" s="4">
        <v>0</v>
      </c>
      <c r="K382" s="4">
        <v>0</v>
      </c>
      <c r="L382" s="4">
        <v>-0.12</v>
      </c>
      <c r="M382" s="4">
        <v>-0.12</v>
      </c>
      <c r="N382" s="4">
        <v>-0.12</v>
      </c>
      <c r="O382" s="4">
        <v>-0.12</v>
      </c>
      <c r="P382" s="4">
        <v>0</v>
      </c>
      <c r="Q382" s="3" t="s">
        <v>26</v>
      </c>
      <c r="R382" s="3">
        <v>0</v>
      </c>
      <c r="S382" s="4">
        <v>0</v>
      </c>
      <c r="T382" s="4">
        <v>22</v>
      </c>
      <c r="U382" s="4">
        <v>62</v>
      </c>
      <c r="V382" s="4">
        <f>IF(ISERROR(VLOOKUP($S$382,'TAR FIN'!$A$1:$O$91,15,0)),0,VLOOKUP($S$382,'TAR FIN'!$A$1:$O$91,15,0))</f>
        <v>0</v>
      </c>
      <c r="W382" s="4">
        <f>IF(ISERROR(VLOOKUP($T$382,'TAR FIN'!$A$1:$O$91,15,0)),0,VLOOKUP($T$382,'TAR FIN'!$A$1:$O$91,15,0))</f>
        <v>288.39999999999998</v>
      </c>
      <c r="X382" s="4">
        <f>IF(ISERROR(VLOOKUP($U$382,'TAR FIN'!$A$1:$O$91,15,0)),0,VLOOKUP($U$382,'TAR FIN'!$A$1:$O$91,15,0))</f>
        <v>179.13</v>
      </c>
      <c r="Y382" s="4"/>
      <c r="Z382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2" s="4">
        <f>('TE BE'!$AB$17+'TE BF'!$AB$17+'TE CVA'!$AB$17)*(1-CUSTOS!$M$36)</f>
        <v>184.97096880722503</v>
      </c>
      <c r="AB382" s="4">
        <f>$K$382*$V$382</f>
        <v>0</v>
      </c>
      <c r="AC382" s="4">
        <f>$M$382*$W$382</f>
        <v>-34.607999999999997</v>
      </c>
      <c r="AD382" s="4">
        <f>$O$382*$X$382</f>
        <v>-21.4956</v>
      </c>
      <c r="AE382" s="4">
        <f>$K$382*$Y$382</f>
        <v>0</v>
      </c>
      <c r="AF382" s="4">
        <f ca="1">$M$382*$Z$382</f>
        <v>-36.611720779266498</v>
      </c>
      <c r="AG382" s="4">
        <f>$O$382*$AA$382</f>
        <v>-22.196516256867003</v>
      </c>
    </row>
    <row r="383" spans="1:33" ht="11.25" customHeight="1" x14ac:dyDescent="0.3">
      <c r="A383" s="3" t="s">
        <v>28</v>
      </c>
      <c r="B383" s="3" t="s">
        <v>22</v>
      </c>
      <c r="C383" s="3" t="s">
        <v>23</v>
      </c>
      <c r="D383" s="3" t="s">
        <v>24</v>
      </c>
      <c r="E383" s="3" t="s">
        <v>31</v>
      </c>
      <c r="F383" s="3" t="s">
        <v>25</v>
      </c>
      <c r="G383" s="3" t="s">
        <v>25</v>
      </c>
      <c r="H383" s="3" t="s">
        <v>25</v>
      </c>
      <c r="I383" s="6">
        <v>44378</v>
      </c>
      <c r="J383" s="4">
        <v>0</v>
      </c>
      <c r="K383" s="4">
        <v>0</v>
      </c>
      <c r="L383" s="4">
        <v>4.3999999999999997E-2</v>
      </c>
      <c r="M383" s="4">
        <v>4.3999999999999997E-2</v>
      </c>
      <c r="N383" s="4">
        <v>4.3999999999999997E-2</v>
      </c>
      <c r="O383" s="4">
        <v>4.3999999999999997E-2</v>
      </c>
      <c r="P383" s="4">
        <v>0</v>
      </c>
      <c r="Q383" s="3" t="s">
        <v>26</v>
      </c>
      <c r="R383" s="3">
        <v>0</v>
      </c>
      <c r="S383" s="4">
        <v>0</v>
      </c>
      <c r="T383" s="4">
        <v>22</v>
      </c>
      <c r="U383" s="4">
        <v>62</v>
      </c>
      <c r="V383" s="4">
        <f>IF(ISERROR(VLOOKUP($S$383,'TAR FIN'!$A$1:$O$91,15,0)),0,VLOOKUP($S$383,'TAR FIN'!$A$1:$O$91,15,0))</f>
        <v>0</v>
      </c>
      <c r="W383" s="4">
        <f>IF(ISERROR(VLOOKUP($T$383,'TAR FIN'!$A$1:$O$91,15,0)),0,VLOOKUP($T$383,'TAR FIN'!$A$1:$O$91,15,0))</f>
        <v>288.39999999999998</v>
      </c>
      <c r="X383" s="4">
        <f>IF(ISERROR(VLOOKUP($U$383,'TAR FIN'!$A$1:$O$91,15,0)),0,VLOOKUP($U$383,'TAR FIN'!$A$1:$O$91,15,0))</f>
        <v>179.13</v>
      </c>
      <c r="Y383" s="4"/>
      <c r="Z383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3" s="4">
        <f>('TE BE'!$AB$17+'TE BF'!$AB$17+'TE CVA'!$AB$17)*(1-CUSTOS!$M$36)</f>
        <v>184.97096880722503</v>
      </c>
      <c r="AB383" s="4">
        <f>$K$383*$V$383</f>
        <v>0</v>
      </c>
      <c r="AC383" s="4">
        <f>$M$383*$W$383</f>
        <v>12.689599999999999</v>
      </c>
      <c r="AD383" s="4">
        <f>$O$383*$X$383</f>
        <v>7.8817199999999996</v>
      </c>
      <c r="AE383" s="4">
        <f>$K$383*$Y$383</f>
        <v>0</v>
      </c>
      <c r="AF383" s="4">
        <f ca="1">$M$383*$Z$383</f>
        <v>13.424297619064383</v>
      </c>
      <c r="AG383" s="4">
        <f>$O$383*$AA$383</f>
        <v>8.1387226275179003</v>
      </c>
    </row>
    <row r="384" spans="1:33" ht="11.25" customHeight="1" x14ac:dyDescent="0.3">
      <c r="A384" s="3" t="s">
        <v>21</v>
      </c>
      <c r="B384" s="3" t="s">
        <v>22</v>
      </c>
      <c r="C384" s="3" t="s">
        <v>23</v>
      </c>
      <c r="D384" s="3" t="s">
        <v>24</v>
      </c>
      <c r="E384" s="3" t="s">
        <v>31</v>
      </c>
      <c r="F384" s="3" t="s">
        <v>25</v>
      </c>
      <c r="G384" s="3" t="s">
        <v>25</v>
      </c>
      <c r="H384" s="3" t="s">
        <v>25</v>
      </c>
      <c r="I384" s="6">
        <v>44409</v>
      </c>
      <c r="J384" s="4">
        <v>0</v>
      </c>
      <c r="K384" s="4">
        <v>0</v>
      </c>
      <c r="L384" s="4">
        <v>61.317999999999998</v>
      </c>
      <c r="M384" s="4">
        <v>61.317999999999998</v>
      </c>
      <c r="N384" s="4">
        <v>61.317999999999998</v>
      </c>
      <c r="O384" s="4">
        <v>61.317999999999998</v>
      </c>
      <c r="P384" s="4">
        <v>566</v>
      </c>
      <c r="Q384" s="3" t="s">
        <v>26</v>
      </c>
      <c r="R384" s="3">
        <v>0</v>
      </c>
      <c r="S384" s="4">
        <v>0</v>
      </c>
      <c r="T384" s="4">
        <v>22</v>
      </c>
      <c r="U384" s="4">
        <v>62</v>
      </c>
      <c r="V384" s="4">
        <f>IF(ISERROR(VLOOKUP($S$384,'TAR FIN'!$A$1:$O$91,15,0)),0,VLOOKUP($S$384,'TAR FIN'!$A$1:$O$91,15,0))</f>
        <v>0</v>
      </c>
      <c r="W384" s="4">
        <f>IF(ISERROR(VLOOKUP($T$384,'TAR FIN'!$A$1:$O$91,15,0)),0,VLOOKUP($T$384,'TAR FIN'!$A$1:$O$91,15,0))</f>
        <v>288.39999999999998</v>
      </c>
      <c r="X384" s="4">
        <f>IF(ISERROR(VLOOKUP($U$384,'TAR FIN'!$A$1:$O$91,15,0)),0,VLOOKUP($U$384,'TAR FIN'!$A$1:$O$91,15,0))</f>
        <v>179.13</v>
      </c>
      <c r="Y384" s="4"/>
      <c r="Z384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4" s="4">
        <f>('TE BE'!$AB$17+'TE BF'!$AB$17+'TE CVA'!$AB$17)*(1-CUSTOS!$M$36)</f>
        <v>184.97096880722503</v>
      </c>
      <c r="AB384" s="4">
        <f>$K$384*$V$384</f>
        <v>0</v>
      </c>
      <c r="AC384" s="4">
        <f>$M$384*$W$384</f>
        <v>17684.111199999999</v>
      </c>
      <c r="AD384" s="4">
        <f>$O$384*$X$384</f>
        <v>10983.893339999999</v>
      </c>
      <c r="AE384" s="4">
        <f>$K$384*$Y$384</f>
        <v>0</v>
      </c>
      <c r="AF384" s="4">
        <f ca="1">$M$384*$Z$384</f>
        <v>18707.979122858858</v>
      </c>
      <c r="AG384" s="4">
        <f>$O$384*$AA$384</f>
        <v>11342.049865321424</v>
      </c>
    </row>
    <row r="385" spans="1:33" ht="11.25" customHeight="1" x14ac:dyDescent="0.3">
      <c r="A385" s="3" t="s">
        <v>27</v>
      </c>
      <c r="B385" s="3" t="s">
        <v>22</v>
      </c>
      <c r="C385" s="3" t="s">
        <v>23</v>
      </c>
      <c r="D385" s="3" t="s">
        <v>24</v>
      </c>
      <c r="E385" s="3" t="s">
        <v>31</v>
      </c>
      <c r="F385" s="3" t="s">
        <v>25</v>
      </c>
      <c r="G385" s="3" t="s">
        <v>25</v>
      </c>
      <c r="H385" s="3" t="s">
        <v>25</v>
      </c>
      <c r="I385" s="6">
        <v>44409</v>
      </c>
      <c r="J385" s="4">
        <v>0</v>
      </c>
      <c r="K385" s="4">
        <v>0</v>
      </c>
      <c r="L385" s="4">
        <v>0.23799999999999999</v>
      </c>
      <c r="M385" s="4">
        <v>0.23799999999999999</v>
      </c>
      <c r="N385" s="4">
        <v>0.23799999999999999</v>
      </c>
      <c r="O385" s="4">
        <v>0.23799999999999999</v>
      </c>
      <c r="P385" s="4">
        <v>0</v>
      </c>
      <c r="Q385" s="3" t="s">
        <v>26</v>
      </c>
      <c r="R385" s="3">
        <v>0</v>
      </c>
      <c r="S385" s="4">
        <v>0</v>
      </c>
      <c r="T385" s="4">
        <v>22</v>
      </c>
      <c r="U385" s="4">
        <v>62</v>
      </c>
      <c r="V385" s="4">
        <f>IF(ISERROR(VLOOKUP($S$385,'TAR FIN'!$A$1:$O$91,15,0)),0,VLOOKUP($S$385,'TAR FIN'!$A$1:$O$91,15,0))</f>
        <v>0</v>
      </c>
      <c r="W385" s="4">
        <f>IF(ISERROR(VLOOKUP($T$385,'TAR FIN'!$A$1:$O$91,15,0)),0,VLOOKUP($T$385,'TAR FIN'!$A$1:$O$91,15,0))</f>
        <v>288.39999999999998</v>
      </c>
      <c r="X385" s="4">
        <f>IF(ISERROR(VLOOKUP($U$385,'TAR FIN'!$A$1:$O$91,15,0)),0,VLOOKUP($U$385,'TAR FIN'!$A$1:$O$91,15,0))</f>
        <v>179.13</v>
      </c>
      <c r="Y385" s="4"/>
      <c r="Z385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5" s="4">
        <f>('TE BE'!$AB$17+'TE BF'!$AB$17+'TE CVA'!$AB$17)*(1-CUSTOS!$M$36)</f>
        <v>184.97096880722503</v>
      </c>
      <c r="AB385" s="4">
        <f>$K$385*$V$385</f>
        <v>0</v>
      </c>
      <c r="AC385" s="4">
        <f>$M$385*$W$385</f>
        <v>68.639199999999988</v>
      </c>
      <c r="AD385" s="4">
        <f>$O$385*$X$385</f>
        <v>42.632939999999998</v>
      </c>
      <c r="AE385" s="4">
        <f>$K$385*$Y$385</f>
        <v>0</v>
      </c>
      <c r="AF385" s="4">
        <f ca="1">$M$385*$Z$385</f>
        <v>72.613246212211891</v>
      </c>
      <c r="AG385" s="4">
        <f>$O$385*$AA$385</f>
        <v>44.023090576119557</v>
      </c>
    </row>
    <row r="386" spans="1:33" ht="11.25" customHeight="1" x14ac:dyDescent="0.3">
      <c r="A386" s="3" t="s">
        <v>21</v>
      </c>
      <c r="B386" s="3" t="s">
        <v>22</v>
      </c>
      <c r="C386" s="3" t="s">
        <v>23</v>
      </c>
      <c r="D386" s="3" t="s">
        <v>24</v>
      </c>
      <c r="E386" s="3" t="s">
        <v>31</v>
      </c>
      <c r="F386" s="3" t="s">
        <v>25</v>
      </c>
      <c r="G386" s="3" t="s">
        <v>25</v>
      </c>
      <c r="H386" s="3" t="s">
        <v>25</v>
      </c>
      <c r="I386" s="6">
        <v>44440</v>
      </c>
      <c r="J386" s="4">
        <v>0</v>
      </c>
      <c r="K386" s="4">
        <v>0</v>
      </c>
      <c r="L386" s="4">
        <v>58.665999999999997</v>
      </c>
      <c r="M386" s="4">
        <v>58.665999999999997</v>
      </c>
      <c r="N386" s="4">
        <v>58.665999999999997</v>
      </c>
      <c r="O386" s="4">
        <v>58.665999999999997</v>
      </c>
      <c r="P386" s="4">
        <v>579</v>
      </c>
      <c r="Q386" s="3" t="s">
        <v>26</v>
      </c>
      <c r="R386" s="3">
        <v>0</v>
      </c>
      <c r="S386" s="4">
        <v>0</v>
      </c>
      <c r="T386" s="4">
        <v>22</v>
      </c>
      <c r="U386" s="4">
        <v>62</v>
      </c>
      <c r="V386" s="4">
        <f>IF(ISERROR(VLOOKUP($S$386,'TAR FIN'!$A$1:$O$91,15,0)),0,VLOOKUP($S$386,'TAR FIN'!$A$1:$O$91,15,0))</f>
        <v>0</v>
      </c>
      <c r="W386" s="4">
        <f>IF(ISERROR(VLOOKUP($T$386,'TAR FIN'!$A$1:$O$91,15,0)),0,VLOOKUP($T$386,'TAR FIN'!$A$1:$O$91,15,0))</f>
        <v>288.39999999999998</v>
      </c>
      <c r="X386" s="4">
        <f>IF(ISERROR(VLOOKUP($U$386,'TAR FIN'!$A$1:$O$91,15,0)),0,VLOOKUP($U$386,'TAR FIN'!$A$1:$O$91,15,0))</f>
        <v>179.13</v>
      </c>
      <c r="Y386" s="4"/>
      <c r="Z386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6" s="4">
        <f>('TE BE'!$AB$17+'TE BF'!$AB$17+'TE CVA'!$AB$17)*(1-CUSTOS!$M$36)</f>
        <v>184.97096880722503</v>
      </c>
      <c r="AB386" s="4">
        <f>$K$386*$V$386</f>
        <v>0</v>
      </c>
      <c r="AC386" s="4">
        <f>$M$386*$W$386</f>
        <v>16919.274399999998</v>
      </c>
      <c r="AD386" s="4">
        <f>$O$386*$X$386</f>
        <v>10508.84058</v>
      </c>
      <c r="AE386" s="4">
        <f>$K$386*$Y$386</f>
        <v>0</v>
      </c>
      <c r="AF386" s="4">
        <f ca="1">$M$386*$Z$386</f>
        <v>17898.860093637071</v>
      </c>
      <c r="AG386" s="4">
        <f>$O$386*$AA$386</f>
        <v>10851.506856044663</v>
      </c>
    </row>
    <row r="387" spans="1:33" ht="11.25" customHeight="1" x14ac:dyDescent="0.3">
      <c r="A387" s="3" t="s">
        <v>28</v>
      </c>
      <c r="B387" s="3" t="s">
        <v>22</v>
      </c>
      <c r="C387" s="3" t="s">
        <v>23</v>
      </c>
      <c r="D387" s="3" t="s">
        <v>24</v>
      </c>
      <c r="E387" s="3" t="s">
        <v>31</v>
      </c>
      <c r="F387" s="3" t="s">
        <v>25</v>
      </c>
      <c r="G387" s="3" t="s">
        <v>25</v>
      </c>
      <c r="H387" s="3" t="s">
        <v>25</v>
      </c>
      <c r="I387" s="6">
        <v>44440</v>
      </c>
      <c r="J387" s="4">
        <v>0</v>
      </c>
      <c r="K387" s="4">
        <v>0</v>
      </c>
      <c r="L387" s="4">
        <v>3.0000000000000001E-3</v>
      </c>
      <c r="M387" s="4">
        <v>3.0000000000000001E-3</v>
      </c>
      <c r="N387" s="4">
        <v>3.0000000000000001E-3</v>
      </c>
      <c r="O387" s="4">
        <v>3.0000000000000001E-3</v>
      </c>
      <c r="P387" s="4">
        <v>0</v>
      </c>
      <c r="Q387" s="3" t="s">
        <v>26</v>
      </c>
      <c r="R387" s="3">
        <v>0</v>
      </c>
      <c r="S387" s="4">
        <v>0</v>
      </c>
      <c r="T387" s="4">
        <v>22</v>
      </c>
      <c r="U387" s="4">
        <v>62</v>
      </c>
      <c r="V387" s="4">
        <f>IF(ISERROR(VLOOKUP($S$387,'TAR FIN'!$A$1:$O$91,15,0)),0,VLOOKUP($S$387,'TAR FIN'!$A$1:$O$91,15,0))</f>
        <v>0</v>
      </c>
      <c r="W387" s="4">
        <f>IF(ISERROR(VLOOKUP($T$387,'TAR FIN'!$A$1:$O$91,15,0)),0,VLOOKUP($T$387,'TAR FIN'!$A$1:$O$91,15,0))</f>
        <v>288.39999999999998</v>
      </c>
      <c r="X387" s="4">
        <f>IF(ISERROR(VLOOKUP($U$387,'TAR FIN'!$A$1:$O$91,15,0)),0,VLOOKUP($U$387,'TAR FIN'!$A$1:$O$91,15,0))</f>
        <v>179.13</v>
      </c>
      <c r="Y387" s="4"/>
      <c r="Z387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7" s="4">
        <f>('TE BE'!$AB$17+'TE BF'!$AB$17+'TE CVA'!$AB$17)*(1-CUSTOS!$M$36)</f>
        <v>184.97096880722503</v>
      </c>
      <c r="AB387" s="4">
        <f>$K$387*$V$387</f>
        <v>0</v>
      </c>
      <c r="AC387" s="4">
        <f>$M$387*$W$387</f>
        <v>0.86519999999999997</v>
      </c>
      <c r="AD387" s="4">
        <f>$O$387*$X$387</f>
        <v>0.53739000000000003</v>
      </c>
      <c r="AE387" s="4">
        <f>$K$387*$Y$387</f>
        <v>0</v>
      </c>
      <c r="AF387" s="4">
        <f ca="1">$M$387*$Z$387</f>
        <v>0.91529301948166253</v>
      </c>
      <c r="AG387" s="4">
        <f>$O$387*$AA$387</f>
        <v>0.55491290642167512</v>
      </c>
    </row>
    <row r="388" spans="1:33" ht="11.25" customHeight="1" x14ac:dyDescent="0.3">
      <c r="A388" s="3" t="s">
        <v>21</v>
      </c>
      <c r="B388" s="3" t="s">
        <v>22</v>
      </c>
      <c r="C388" s="3" t="s">
        <v>23</v>
      </c>
      <c r="D388" s="3" t="s">
        <v>24</v>
      </c>
      <c r="E388" s="3" t="s">
        <v>31</v>
      </c>
      <c r="F388" s="3" t="s">
        <v>25</v>
      </c>
      <c r="G388" s="3" t="s">
        <v>25</v>
      </c>
      <c r="H388" s="3" t="s">
        <v>25</v>
      </c>
      <c r="I388" s="6">
        <v>44470</v>
      </c>
      <c r="J388" s="4">
        <v>0</v>
      </c>
      <c r="K388" s="4">
        <v>0</v>
      </c>
      <c r="L388" s="4">
        <v>62.91</v>
      </c>
      <c r="M388" s="4">
        <v>62.91</v>
      </c>
      <c r="N388" s="4">
        <v>62.91</v>
      </c>
      <c r="O388" s="4">
        <v>62.91</v>
      </c>
      <c r="P388" s="4">
        <v>595</v>
      </c>
      <c r="Q388" s="3" t="s">
        <v>26</v>
      </c>
      <c r="R388" s="3">
        <v>0</v>
      </c>
      <c r="S388" s="4">
        <v>0</v>
      </c>
      <c r="T388" s="4">
        <v>22</v>
      </c>
      <c r="U388" s="4">
        <v>62</v>
      </c>
      <c r="V388" s="4">
        <f>IF(ISERROR(VLOOKUP($S$388,'TAR FIN'!$A$1:$O$91,15,0)),0,VLOOKUP($S$388,'TAR FIN'!$A$1:$O$91,15,0))</f>
        <v>0</v>
      </c>
      <c r="W388" s="4">
        <f>IF(ISERROR(VLOOKUP($T$388,'TAR FIN'!$A$1:$O$91,15,0)),0,VLOOKUP($T$388,'TAR FIN'!$A$1:$O$91,15,0))</f>
        <v>288.39999999999998</v>
      </c>
      <c r="X388" s="4">
        <f>IF(ISERROR(VLOOKUP($U$388,'TAR FIN'!$A$1:$O$91,15,0)),0,VLOOKUP($U$388,'TAR FIN'!$A$1:$O$91,15,0))</f>
        <v>179.13</v>
      </c>
      <c r="Y388" s="4"/>
      <c r="Z388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8" s="4">
        <f>('TE BE'!$AB$17+'TE BF'!$AB$17+'TE CVA'!$AB$17)*(1-CUSTOS!$M$36)</f>
        <v>184.97096880722503</v>
      </c>
      <c r="AB388" s="4">
        <f>$K$388*$V$388</f>
        <v>0</v>
      </c>
      <c r="AC388" s="4">
        <f>$M$388*$W$388</f>
        <v>18143.243999999999</v>
      </c>
      <c r="AD388" s="4">
        <f>$O$388*$X$388</f>
        <v>11269.068299999999</v>
      </c>
      <c r="AE388" s="4">
        <f>$K$388*$Y$388</f>
        <v>0</v>
      </c>
      <c r="AF388" s="4">
        <f ca="1">$M$388*$Z$388</f>
        <v>19193.694618530462</v>
      </c>
      <c r="AG388" s="4">
        <f>$O$388*$AA$388</f>
        <v>11636.523647662527</v>
      </c>
    </row>
    <row r="389" spans="1:33" ht="11.25" customHeight="1" x14ac:dyDescent="0.3">
      <c r="A389" s="3" t="s">
        <v>21</v>
      </c>
      <c r="B389" s="3" t="s">
        <v>22</v>
      </c>
      <c r="C389" s="3" t="s">
        <v>23</v>
      </c>
      <c r="D389" s="3" t="s">
        <v>24</v>
      </c>
      <c r="E389" s="3" t="s">
        <v>31</v>
      </c>
      <c r="F389" s="3" t="s">
        <v>25</v>
      </c>
      <c r="G389" s="3" t="s">
        <v>25</v>
      </c>
      <c r="H389" s="3" t="s">
        <v>25</v>
      </c>
      <c r="I389" s="6">
        <v>44501</v>
      </c>
      <c r="J389" s="4">
        <v>0</v>
      </c>
      <c r="K389" s="4">
        <v>0</v>
      </c>
      <c r="L389" s="4">
        <v>70.632000000000005</v>
      </c>
      <c r="M389" s="4">
        <v>70.632000000000005</v>
      </c>
      <c r="N389" s="4">
        <v>70.632000000000005</v>
      </c>
      <c r="O389" s="4">
        <v>70.632000000000005</v>
      </c>
      <c r="P389" s="4">
        <v>564</v>
      </c>
      <c r="Q389" s="3" t="s">
        <v>26</v>
      </c>
      <c r="R389" s="3">
        <v>0</v>
      </c>
      <c r="S389" s="4">
        <v>0</v>
      </c>
      <c r="T389" s="4">
        <v>22</v>
      </c>
      <c r="U389" s="4">
        <v>62</v>
      </c>
      <c r="V389" s="4">
        <f>IF(ISERROR(VLOOKUP($S$389,'TAR FIN'!$A$1:$O$91,15,0)),0,VLOOKUP($S$389,'TAR FIN'!$A$1:$O$91,15,0))</f>
        <v>0</v>
      </c>
      <c r="W389" s="4">
        <f>IF(ISERROR(VLOOKUP($T$389,'TAR FIN'!$A$1:$O$91,15,0)),0,VLOOKUP($T$389,'TAR FIN'!$A$1:$O$91,15,0))</f>
        <v>288.39999999999998</v>
      </c>
      <c r="X389" s="4">
        <f>IF(ISERROR(VLOOKUP($U$389,'TAR FIN'!$A$1:$O$91,15,0)),0,VLOOKUP($U$389,'TAR FIN'!$A$1:$O$91,15,0))</f>
        <v>179.13</v>
      </c>
      <c r="Y389" s="4"/>
      <c r="Z389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89" s="4">
        <f>('TE BE'!$AB$17+'TE BF'!$AB$17+'TE CVA'!$AB$17)*(1-CUSTOS!$M$36)</f>
        <v>184.97096880722503</v>
      </c>
      <c r="AB389" s="4">
        <f>$K$389*$V$389</f>
        <v>0</v>
      </c>
      <c r="AC389" s="4">
        <f>$M$389*$W$389</f>
        <v>20370.268800000002</v>
      </c>
      <c r="AD389" s="4">
        <f>$O$389*$X$389</f>
        <v>12652.310160000001</v>
      </c>
      <c r="AE389" s="4">
        <f>$K$389*$Y$389</f>
        <v>0</v>
      </c>
      <c r="AF389" s="4">
        <f ca="1">$M$389*$Z$389</f>
        <v>21549.658850676264</v>
      </c>
      <c r="AG389" s="4">
        <f>$O$389*$AA$389</f>
        <v>13064.86946879192</v>
      </c>
    </row>
    <row r="390" spans="1:33" ht="11.25" customHeight="1" x14ac:dyDescent="0.3">
      <c r="A390" s="3" t="s">
        <v>21</v>
      </c>
      <c r="B390" s="3" t="s">
        <v>22</v>
      </c>
      <c r="C390" s="3" t="s">
        <v>23</v>
      </c>
      <c r="D390" s="3" t="s">
        <v>24</v>
      </c>
      <c r="E390" s="3" t="s">
        <v>31</v>
      </c>
      <c r="F390" s="3" t="s">
        <v>25</v>
      </c>
      <c r="G390" s="3" t="s">
        <v>25</v>
      </c>
      <c r="H390" s="3" t="s">
        <v>25</v>
      </c>
      <c r="I390" s="6">
        <v>44531</v>
      </c>
      <c r="J390" s="4">
        <v>0</v>
      </c>
      <c r="K390" s="4">
        <v>0</v>
      </c>
      <c r="L390" s="4">
        <v>75.957999999999998</v>
      </c>
      <c r="M390" s="4">
        <v>75.957999999999998</v>
      </c>
      <c r="N390" s="4">
        <v>75.957999999999998</v>
      </c>
      <c r="O390" s="4">
        <v>75.957999999999998</v>
      </c>
      <c r="P390" s="4">
        <v>557</v>
      </c>
      <c r="Q390" s="3" t="s">
        <v>26</v>
      </c>
      <c r="R390" s="3">
        <v>0</v>
      </c>
      <c r="S390" s="4">
        <v>0</v>
      </c>
      <c r="T390" s="4">
        <v>22</v>
      </c>
      <c r="U390" s="4">
        <v>62</v>
      </c>
      <c r="V390" s="4">
        <f>IF(ISERROR(VLOOKUP($S$390,'TAR FIN'!$A$1:$O$91,15,0)),0,VLOOKUP($S$390,'TAR FIN'!$A$1:$O$91,15,0))</f>
        <v>0</v>
      </c>
      <c r="W390" s="4">
        <f>IF(ISERROR(VLOOKUP($T$390,'TAR FIN'!$A$1:$O$91,15,0)),0,VLOOKUP($T$390,'TAR FIN'!$A$1:$O$91,15,0))</f>
        <v>288.39999999999998</v>
      </c>
      <c r="X390" s="4">
        <f>IF(ISERROR(VLOOKUP($U$390,'TAR FIN'!$A$1:$O$91,15,0)),0,VLOOKUP($U$390,'TAR FIN'!$A$1:$O$91,15,0))</f>
        <v>179.13</v>
      </c>
      <c r="Y390" s="4"/>
      <c r="Z390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0" s="4">
        <f>('TE BE'!$AB$17+'TE BF'!$AB$17+'TE CVA'!$AB$17)*(1-CUSTOS!$M$36)</f>
        <v>184.97096880722503</v>
      </c>
      <c r="AB390" s="4">
        <f>$K$390*$V$390</f>
        <v>0</v>
      </c>
      <c r="AC390" s="4">
        <f>$M$390*$W$390</f>
        <v>21906.287199999999</v>
      </c>
      <c r="AD390" s="4">
        <f>$O$390*$X$390</f>
        <v>13606.356539999999</v>
      </c>
      <c r="AE390" s="4">
        <f>$K$390*$Y$390</f>
        <v>0</v>
      </c>
      <c r="AF390" s="4">
        <f ca="1">$M$390*$Z$390</f>
        <v>23174.609057929374</v>
      </c>
      <c r="AG390" s="4">
        <f>$O$390*$AA$390</f>
        <v>14050.024848659199</v>
      </c>
    </row>
    <row r="391" spans="1:33" ht="11.25" customHeight="1" x14ac:dyDescent="0.3">
      <c r="A391" s="3" t="s">
        <v>21</v>
      </c>
      <c r="B391" s="3" t="s">
        <v>22</v>
      </c>
      <c r="C391" s="3" t="s">
        <v>23</v>
      </c>
      <c r="D391" s="3" t="s">
        <v>24</v>
      </c>
      <c r="E391" s="3" t="s">
        <v>31</v>
      </c>
      <c r="F391" s="3" t="s">
        <v>25</v>
      </c>
      <c r="G391" s="3" t="s">
        <v>25</v>
      </c>
      <c r="H391" s="3" t="s">
        <v>25</v>
      </c>
      <c r="I391" s="6">
        <v>44562</v>
      </c>
      <c r="J391" s="4">
        <v>0</v>
      </c>
      <c r="K391" s="4">
        <v>0</v>
      </c>
      <c r="L391" s="4">
        <v>86.519000000000005</v>
      </c>
      <c r="M391" s="4">
        <v>86.519000000000005</v>
      </c>
      <c r="N391" s="4">
        <v>86.519000000000005</v>
      </c>
      <c r="O391" s="4">
        <v>86.519000000000005</v>
      </c>
      <c r="P391" s="4">
        <v>513</v>
      </c>
      <c r="Q391" s="3" t="s">
        <v>26</v>
      </c>
      <c r="R391" s="3">
        <v>0</v>
      </c>
      <c r="S391" s="4">
        <v>0</v>
      </c>
      <c r="T391" s="4">
        <v>22</v>
      </c>
      <c r="U391" s="4">
        <v>62</v>
      </c>
      <c r="V391" s="4">
        <f>IF(ISERROR(VLOOKUP($S$391,'TAR FIN'!$A$1:$O$91,15,0)),0,VLOOKUP($S$391,'TAR FIN'!$A$1:$O$91,15,0))</f>
        <v>0</v>
      </c>
      <c r="W391" s="4">
        <f>IF(ISERROR(VLOOKUP($T$391,'TAR FIN'!$A$1:$O$91,15,0)),0,VLOOKUP($T$391,'TAR FIN'!$A$1:$O$91,15,0))</f>
        <v>288.39999999999998</v>
      </c>
      <c r="X391" s="4">
        <f>IF(ISERROR(VLOOKUP($U$391,'TAR FIN'!$A$1:$O$91,15,0)),0,VLOOKUP($U$391,'TAR FIN'!$A$1:$O$91,15,0))</f>
        <v>179.13</v>
      </c>
      <c r="Y391" s="4"/>
      <c r="Z391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1" s="4">
        <f>('TE BE'!$AB$17+'TE BF'!$AB$17+'TE CVA'!$AB$17)*(1-CUSTOS!$M$36)</f>
        <v>184.97096880722503</v>
      </c>
      <c r="AB391" s="4">
        <f>$K$391*$V$391</f>
        <v>0</v>
      </c>
      <c r="AC391" s="4">
        <f>$M$391*$W$391</f>
        <v>24952.079600000001</v>
      </c>
      <c r="AD391" s="4">
        <f>$O$391*$X$391</f>
        <v>15498.14847</v>
      </c>
      <c r="AE391" s="4">
        <f>$K$391*$Y$391</f>
        <v>0</v>
      </c>
      <c r="AF391" s="4">
        <f ca="1">$M$391*$Z$391</f>
        <v>26396.745584177988</v>
      </c>
      <c r="AG391" s="4">
        <f>$O$391*$AA$391</f>
        <v>16003.503250232303</v>
      </c>
    </row>
    <row r="392" spans="1:33" ht="11.25" customHeight="1" x14ac:dyDescent="0.3">
      <c r="A392" s="3" t="s">
        <v>28</v>
      </c>
      <c r="B392" s="3" t="s">
        <v>22</v>
      </c>
      <c r="C392" s="3" t="s">
        <v>23</v>
      </c>
      <c r="D392" s="3" t="s">
        <v>24</v>
      </c>
      <c r="E392" s="3" t="s">
        <v>31</v>
      </c>
      <c r="F392" s="3" t="s">
        <v>25</v>
      </c>
      <c r="G392" s="3" t="s">
        <v>25</v>
      </c>
      <c r="H392" s="3" t="s">
        <v>25</v>
      </c>
      <c r="I392" s="6">
        <v>44562</v>
      </c>
      <c r="J392" s="4">
        <v>0</v>
      </c>
      <c r="K392" s="4">
        <v>0</v>
      </c>
      <c r="L392" s="4">
        <v>2.5000000000000001E-2</v>
      </c>
      <c r="M392" s="4">
        <v>2.2499999999999999E-2</v>
      </c>
      <c r="N392" s="4">
        <v>2.5000000000000001E-2</v>
      </c>
      <c r="O392" s="4">
        <v>2.2499999999999999E-2</v>
      </c>
      <c r="P392" s="4">
        <v>0</v>
      </c>
      <c r="Q392" s="3" t="s">
        <v>26</v>
      </c>
      <c r="R392" s="3">
        <v>0</v>
      </c>
      <c r="S392" s="4">
        <v>0</v>
      </c>
      <c r="T392" s="4">
        <v>22</v>
      </c>
      <c r="U392" s="4">
        <v>62</v>
      </c>
      <c r="V392" s="4">
        <f>IF(ISERROR(VLOOKUP($S$392,'TAR FIN'!$A$1:$O$91,15,0)),0,VLOOKUP($S$392,'TAR FIN'!$A$1:$O$91,15,0))</f>
        <v>0</v>
      </c>
      <c r="W392" s="4">
        <f>IF(ISERROR(VLOOKUP($T$392,'TAR FIN'!$A$1:$O$91,15,0)),0,VLOOKUP($T$392,'TAR FIN'!$A$1:$O$91,15,0))</f>
        <v>288.39999999999998</v>
      </c>
      <c r="X392" s="4">
        <f>IF(ISERROR(VLOOKUP($U$392,'TAR FIN'!$A$1:$O$91,15,0)),0,VLOOKUP($U$392,'TAR FIN'!$A$1:$O$91,15,0))</f>
        <v>179.13</v>
      </c>
      <c r="Y392" s="4"/>
      <c r="Z392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2" s="4">
        <f>('TE BE'!$AB$17+'TE BF'!$AB$17+'TE CVA'!$AB$17)*(1-CUSTOS!$M$36)</f>
        <v>184.97096880722503</v>
      </c>
      <c r="AB392" s="4">
        <f>$K$392*$V$392</f>
        <v>0</v>
      </c>
      <c r="AC392" s="4">
        <f>$M$392*$W$392</f>
        <v>6.488999999999999</v>
      </c>
      <c r="AD392" s="4">
        <f>$O$392*$X$392</f>
        <v>4.0304250000000001</v>
      </c>
      <c r="AE392" s="4">
        <f>$K$392*$Y$392</f>
        <v>0</v>
      </c>
      <c r="AF392" s="4">
        <f ca="1">$M$392*$Z$392</f>
        <v>6.8646976461124689</v>
      </c>
      <c r="AG392" s="4">
        <f>$O$392*$AA$392</f>
        <v>4.1618467981625633</v>
      </c>
    </row>
    <row r="393" spans="1:33" ht="11.25" customHeight="1" x14ac:dyDescent="0.3">
      <c r="A393" s="3" t="s">
        <v>21</v>
      </c>
      <c r="B393" s="3" t="s">
        <v>22</v>
      </c>
      <c r="C393" s="3" t="s">
        <v>23</v>
      </c>
      <c r="D393" s="3" t="s">
        <v>24</v>
      </c>
      <c r="E393" s="3" t="s">
        <v>31</v>
      </c>
      <c r="F393" s="3" t="s">
        <v>25</v>
      </c>
      <c r="G393" s="3" t="s">
        <v>25</v>
      </c>
      <c r="H393" s="3" t="s">
        <v>25</v>
      </c>
      <c r="I393" s="6">
        <v>44593</v>
      </c>
      <c r="J393" s="4">
        <v>0</v>
      </c>
      <c r="K393" s="4">
        <v>0</v>
      </c>
      <c r="L393" s="4">
        <v>96.45</v>
      </c>
      <c r="M393" s="4">
        <v>96.45</v>
      </c>
      <c r="N393" s="4">
        <v>96.45</v>
      </c>
      <c r="O393" s="4">
        <v>96.45</v>
      </c>
      <c r="P393" s="4">
        <v>437</v>
      </c>
      <c r="Q393" s="3" t="s">
        <v>26</v>
      </c>
      <c r="R393" s="3">
        <v>0</v>
      </c>
      <c r="S393" s="4">
        <v>0</v>
      </c>
      <c r="T393" s="4">
        <v>22</v>
      </c>
      <c r="U393" s="4">
        <v>62</v>
      </c>
      <c r="V393" s="4">
        <f>IF(ISERROR(VLOOKUP($S$393,'TAR FIN'!$A$1:$O$91,15,0)),0,VLOOKUP($S$393,'TAR FIN'!$A$1:$O$91,15,0))</f>
        <v>0</v>
      </c>
      <c r="W393" s="4">
        <f>IF(ISERROR(VLOOKUP($T$393,'TAR FIN'!$A$1:$O$91,15,0)),0,VLOOKUP($T$393,'TAR FIN'!$A$1:$O$91,15,0))</f>
        <v>288.39999999999998</v>
      </c>
      <c r="X393" s="4">
        <f>IF(ISERROR(VLOOKUP($U$393,'TAR FIN'!$A$1:$O$91,15,0)),0,VLOOKUP($U$393,'TAR FIN'!$A$1:$O$91,15,0))</f>
        <v>179.13</v>
      </c>
      <c r="Y393" s="4"/>
      <c r="Z393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3" s="4">
        <f>('TE BE'!$AB$17+'TE BF'!$AB$17+'TE CVA'!$AB$17)*(1-CUSTOS!$M$36)</f>
        <v>184.97096880722503</v>
      </c>
      <c r="AB393" s="4">
        <f>$K$393*$V$393</f>
        <v>0</v>
      </c>
      <c r="AC393" s="4">
        <f>$M$393*$W$393</f>
        <v>27816.18</v>
      </c>
      <c r="AD393" s="4">
        <f>$O$393*$X$393</f>
        <v>17277.088500000002</v>
      </c>
      <c r="AE393" s="4">
        <f>$K$393*$Y$393</f>
        <v>0</v>
      </c>
      <c r="AF393" s="4">
        <f ca="1">$M$393*$Z$393</f>
        <v>29426.670576335451</v>
      </c>
      <c r="AG393" s="4">
        <f>$O$393*$AA$393</f>
        <v>17840.449941456856</v>
      </c>
    </row>
    <row r="394" spans="1:33" ht="11.25" customHeight="1" x14ac:dyDescent="0.3">
      <c r="A394" s="3" t="s">
        <v>27</v>
      </c>
      <c r="B394" s="3" t="s">
        <v>22</v>
      </c>
      <c r="C394" s="3" t="s">
        <v>23</v>
      </c>
      <c r="D394" s="3" t="s">
        <v>24</v>
      </c>
      <c r="E394" s="3" t="s">
        <v>31</v>
      </c>
      <c r="F394" s="3" t="s">
        <v>25</v>
      </c>
      <c r="G394" s="3" t="s">
        <v>25</v>
      </c>
      <c r="H394" s="3" t="s">
        <v>25</v>
      </c>
      <c r="I394" s="6">
        <v>44593</v>
      </c>
      <c r="J394" s="4">
        <v>0</v>
      </c>
      <c r="K394" s="4">
        <v>0</v>
      </c>
      <c r="L394" s="4">
        <v>-9.4E-2</v>
      </c>
      <c r="M394" s="4">
        <v>-9.4E-2</v>
      </c>
      <c r="N394" s="4">
        <v>-9.4E-2</v>
      </c>
      <c r="O394" s="4">
        <v>-9.4E-2</v>
      </c>
      <c r="P394" s="4">
        <v>0</v>
      </c>
      <c r="Q394" s="3" t="s">
        <v>26</v>
      </c>
      <c r="R394" s="3">
        <v>0</v>
      </c>
      <c r="S394" s="4">
        <v>0</v>
      </c>
      <c r="T394" s="4">
        <v>22</v>
      </c>
      <c r="U394" s="4">
        <v>62</v>
      </c>
      <c r="V394" s="4">
        <f>IF(ISERROR(VLOOKUP($S$394,'TAR FIN'!$A$1:$O$91,15,0)),0,VLOOKUP($S$394,'TAR FIN'!$A$1:$O$91,15,0))</f>
        <v>0</v>
      </c>
      <c r="W394" s="4">
        <f>IF(ISERROR(VLOOKUP($T$394,'TAR FIN'!$A$1:$O$91,15,0)),0,VLOOKUP($T$394,'TAR FIN'!$A$1:$O$91,15,0))</f>
        <v>288.39999999999998</v>
      </c>
      <c r="X394" s="4">
        <f>IF(ISERROR(VLOOKUP($U$394,'TAR FIN'!$A$1:$O$91,15,0)),0,VLOOKUP($U$394,'TAR FIN'!$A$1:$O$91,15,0))</f>
        <v>179.13</v>
      </c>
      <c r="Y394" s="4"/>
      <c r="Z394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4" s="4">
        <f>('TE BE'!$AB$17+'TE BF'!$AB$17+'TE CVA'!$AB$17)*(1-CUSTOS!$M$36)</f>
        <v>184.97096880722503</v>
      </c>
      <c r="AB394" s="4">
        <f>$K$394*$V$394</f>
        <v>0</v>
      </c>
      <c r="AC394" s="4">
        <f>$M$394*$W$394</f>
        <v>-27.109599999999997</v>
      </c>
      <c r="AD394" s="4">
        <f>$O$394*$X$394</f>
        <v>-16.83822</v>
      </c>
      <c r="AE394" s="4">
        <f>$K$394*$Y$394</f>
        <v>0</v>
      </c>
      <c r="AF394" s="4">
        <f ca="1">$M$394*$Z$394</f>
        <v>-28.679181277092091</v>
      </c>
      <c r="AG394" s="4">
        <f>$O$394*$AA$394</f>
        <v>-17.387271067879155</v>
      </c>
    </row>
    <row r="395" spans="1:33" ht="11.25" customHeight="1" x14ac:dyDescent="0.3">
      <c r="A395" s="3" t="s">
        <v>28</v>
      </c>
      <c r="B395" s="3" t="s">
        <v>22</v>
      </c>
      <c r="C395" s="3" t="s">
        <v>23</v>
      </c>
      <c r="D395" s="3" t="s">
        <v>24</v>
      </c>
      <c r="E395" s="3" t="s">
        <v>31</v>
      </c>
      <c r="F395" s="3" t="s">
        <v>25</v>
      </c>
      <c r="G395" s="3" t="s">
        <v>25</v>
      </c>
      <c r="H395" s="3" t="s">
        <v>25</v>
      </c>
      <c r="I395" s="6">
        <v>44593</v>
      </c>
      <c r="J395" s="4">
        <v>0</v>
      </c>
      <c r="K395" s="4">
        <v>0</v>
      </c>
      <c r="L395" s="4">
        <v>0.12</v>
      </c>
      <c r="M395" s="4">
        <v>0.108</v>
      </c>
      <c r="N395" s="4">
        <v>0.12</v>
      </c>
      <c r="O395" s="4">
        <v>0.108</v>
      </c>
      <c r="P395" s="4">
        <v>0</v>
      </c>
      <c r="Q395" s="3" t="s">
        <v>26</v>
      </c>
      <c r="R395" s="3">
        <v>0</v>
      </c>
      <c r="S395" s="4">
        <v>0</v>
      </c>
      <c r="T395" s="4">
        <v>22</v>
      </c>
      <c r="U395" s="4">
        <v>62</v>
      </c>
      <c r="V395" s="4">
        <f>IF(ISERROR(VLOOKUP($S$395,'TAR FIN'!$A$1:$O$91,15,0)),0,VLOOKUP($S$395,'TAR FIN'!$A$1:$O$91,15,0))</f>
        <v>0</v>
      </c>
      <c r="W395" s="4">
        <f>IF(ISERROR(VLOOKUP($T$395,'TAR FIN'!$A$1:$O$91,15,0)),0,VLOOKUP($T$395,'TAR FIN'!$A$1:$O$91,15,0))</f>
        <v>288.39999999999998</v>
      </c>
      <c r="X395" s="4">
        <f>IF(ISERROR(VLOOKUP($U$395,'TAR FIN'!$A$1:$O$91,15,0)),0,VLOOKUP($U$395,'TAR FIN'!$A$1:$O$91,15,0))</f>
        <v>179.13</v>
      </c>
      <c r="Y395" s="4"/>
      <c r="Z395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5" s="4">
        <f>('TE BE'!$AB$17+'TE BF'!$AB$17+'TE CVA'!$AB$17)*(1-CUSTOS!$M$36)</f>
        <v>184.97096880722503</v>
      </c>
      <c r="AB395" s="4">
        <f>$K$395*$V$395</f>
        <v>0</v>
      </c>
      <c r="AC395" s="4">
        <f>$M$395*$W$395</f>
        <v>31.147199999999998</v>
      </c>
      <c r="AD395" s="4">
        <f>$O$395*$X$395</f>
        <v>19.346039999999999</v>
      </c>
      <c r="AE395" s="4">
        <f>$K$395*$Y$395</f>
        <v>0</v>
      </c>
      <c r="AF395" s="4">
        <f ca="1">$M$395*$Z$395</f>
        <v>32.950548701339848</v>
      </c>
      <c r="AG395" s="4">
        <f>$O$395*$AA$395</f>
        <v>19.976864631180302</v>
      </c>
    </row>
    <row r="396" spans="1:33" ht="11.25" customHeight="1" x14ac:dyDescent="0.3">
      <c r="A396" s="3" t="s">
        <v>21</v>
      </c>
      <c r="B396" s="3" t="s">
        <v>22</v>
      </c>
      <c r="C396" s="3" t="s">
        <v>23</v>
      </c>
      <c r="D396" s="3" t="s">
        <v>24</v>
      </c>
      <c r="E396" s="3" t="s">
        <v>31</v>
      </c>
      <c r="F396" s="3" t="s">
        <v>25</v>
      </c>
      <c r="G396" s="3" t="s">
        <v>25</v>
      </c>
      <c r="H396" s="3" t="s">
        <v>25</v>
      </c>
      <c r="I396" s="6">
        <v>44621</v>
      </c>
      <c r="J396" s="4">
        <v>0</v>
      </c>
      <c r="K396" s="4">
        <v>0</v>
      </c>
      <c r="L396" s="4">
        <v>87.647000000000006</v>
      </c>
      <c r="M396" s="4">
        <v>87.647000000000006</v>
      </c>
      <c r="N396" s="4">
        <v>87.647000000000006</v>
      </c>
      <c r="O396" s="4">
        <v>87.647000000000006</v>
      </c>
      <c r="P396" s="4">
        <v>538</v>
      </c>
      <c r="Q396" s="3" t="s">
        <v>26</v>
      </c>
      <c r="R396" s="3">
        <v>0</v>
      </c>
      <c r="S396" s="4">
        <v>0</v>
      </c>
      <c r="T396" s="4">
        <v>22</v>
      </c>
      <c r="U396" s="4">
        <v>62</v>
      </c>
      <c r="V396" s="4">
        <f>IF(ISERROR(VLOOKUP($S$396,'TAR FIN'!$A$1:$O$91,15,0)),0,VLOOKUP($S$396,'TAR FIN'!$A$1:$O$91,15,0))</f>
        <v>0</v>
      </c>
      <c r="W396" s="4">
        <f>IF(ISERROR(VLOOKUP($T$396,'TAR FIN'!$A$1:$O$91,15,0)),0,VLOOKUP($T$396,'TAR FIN'!$A$1:$O$91,15,0))</f>
        <v>288.39999999999998</v>
      </c>
      <c r="X396" s="4">
        <f>IF(ISERROR(VLOOKUP($U$396,'TAR FIN'!$A$1:$O$91,15,0)),0,VLOOKUP($U$396,'TAR FIN'!$A$1:$O$91,15,0))</f>
        <v>179.13</v>
      </c>
      <c r="Y396" s="4"/>
      <c r="Z396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6" s="4">
        <f>('TE BE'!$AB$17+'TE BF'!$AB$17+'TE CVA'!$AB$17)*(1-CUSTOS!$M$36)</f>
        <v>184.97096880722503</v>
      </c>
      <c r="AB396" s="4">
        <f>$K$396*$V$396</f>
        <v>0</v>
      </c>
      <c r="AC396" s="4">
        <f>$M$396*$W$396</f>
        <v>25277.394799999998</v>
      </c>
      <c r="AD396" s="4">
        <f>$O$396*$X$396</f>
        <v>15700.207110000001</v>
      </c>
      <c r="AE396" s="4">
        <f>$K$396*$Y$396</f>
        <v>0</v>
      </c>
      <c r="AF396" s="4">
        <f ca="1">$M$396*$Z$396</f>
        <v>26740.895759503092</v>
      </c>
      <c r="AG396" s="4">
        <f>$O$396*$AA$396</f>
        <v>16212.150503046854</v>
      </c>
    </row>
    <row r="397" spans="1:33" ht="11.25" customHeight="1" x14ac:dyDescent="0.3">
      <c r="A397" s="3" t="s">
        <v>27</v>
      </c>
      <c r="B397" s="3" t="s">
        <v>22</v>
      </c>
      <c r="C397" s="3" t="s">
        <v>23</v>
      </c>
      <c r="D397" s="3" t="s">
        <v>24</v>
      </c>
      <c r="E397" s="3" t="s">
        <v>31</v>
      </c>
      <c r="F397" s="3" t="s">
        <v>25</v>
      </c>
      <c r="G397" s="3" t="s">
        <v>25</v>
      </c>
      <c r="H397" s="3" t="s">
        <v>25</v>
      </c>
      <c r="I397" s="6">
        <v>44621</v>
      </c>
      <c r="J397" s="4">
        <v>0</v>
      </c>
      <c r="K397" s="4">
        <v>0</v>
      </c>
      <c r="L397" s="4">
        <v>-8.4000000000000005E-2</v>
      </c>
      <c r="M397" s="4">
        <v>-8.4000000000000005E-2</v>
      </c>
      <c r="N397" s="4">
        <v>-8.4000000000000005E-2</v>
      </c>
      <c r="O397" s="4">
        <v>-8.4000000000000005E-2</v>
      </c>
      <c r="P397" s="4">
        <v>0</v>
      </c>
      <c r="Q397" s="3" t="s">
        <v>26</v>
      </c>
      <c r="R397" s="3">
        <v>0</v>
      </c>
      <c r="S397" s="4">
        <v>0</v>
      </c>
      <c r="T397" s="4">
        <v>22</v>
      </c>
      <c r="U397" s="4">
        <v>62</v>
      </c>
      <c r="V397" s="4">
        <f>IF(ISERROR(VLOOKUP($S$397,'TAR FIN'!$A$1:$O$91,15,0)),0,VLOOKUP($S$397,'TAR FIN'!$A$1:$O$91,15,0))</f>
        <v>0</v>
      </c>
      <c r="W397" s="4">
        <f>IF(ISERROR(VLOOKUP($T$397,'TAR FIN'!$A$1:$O$91,15,0)),0,VLOOKUP($T$397,'TAR FIN'!$A$1:$O$91,15,0))</f>
        <v>288.39999999999998</v>
      </c>
      <c r="X397" s="4">
        <f>IF(ISERROR(VLOOKUP($U$397,'TAR FIN'!$A$1:$O$91,15,0)),0,VLOOKUP($U$397,'TAR FIN'!$A$1:$O$91,15,0))</f>
        <v>179.13</v>
      </c>
      <c r="Y397" s="4"/>
      <c r="Z397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7" s="4">
        <f>('TE BE'!$AB$17+'TE BF'!$AB$17+'TE CVA'!$AB$17)*(1-CUSTOS!$M$36)</f>
        <v>184.97096880722503</v>
      </c>
      <c r="AB397" s="4">
        <f>$K$397*$V$397</f>
        <v>0</v>
      </c>
      <c r="AC397" s="4">
        <f>$M$397*$W$397</f>
        <v>-24.2256</v>
      </c>
      <c r="AD397" s="4">
        <f>$O$397*$X$397</f>
        <v>-15.04692</v>
      </c>
      <c r="AE397" s="4">
        <f>$K$397*$Y$397</f>
        <v>0</v>
      </c>
      <c r="AF397" s="4">
        <f ca="1">$M$397*$Z$397</f>
        <v>-25.62820454548655</v>
      </c>
      <c r="AG397" s="4">
        <f>$O$397*$AA$397</f>
        <v>-15.537561379806904</v>
      </c>
    </row>
    <row r="398" spans="1:33" ht="11.25" customHeight="1" x14ac:dyDescent="0.3">
      <c r="A398" s="3" t="s">
        <v>28</v>
      </c>
      <c r="B398" s="3" t="s">
        <v>22</v>
      </c>
      <c r="C398" s="3" t="s">
        <v>23</v>
      </c>
      <c r="D398" s="3" t="s">
        <v>24</v>
      </c>
      <c r="E398" s="3" t="s">
        <v>31</v>
      </c>
      <c r="F398" s="3" t="s">
        <v>25</v>
      </c>
      <c r="G398" s="3" t="s">
        <v>25</v>
      </c>
      <c r="H398" s="3" t="s">
        <v>25</v>
      </c>
      <c r="I398" s="6">
        <v>44621</v>
      </c>
      <c r="J398" s="4">
        <v>0</v>
      </c>
      <c r="K398" s="4">
        <v>0</v>
      </c>
      <c r="L398" s="4">
        <v>6.5000000000000002E-2</v>
      </c>
      <c r="M398" s="4">
        <v>5.8500000000000003E-2</v>
      </c>
      <c r="N398" s="4">
        <v>6.5000000000000002E-2</v>
      </c>
      <c r="O398" s="4">
        <v>5.8500000000000003E-2</v>
      </c>
      <c r="P398" s="4">
        <v>0</v>
      </c>
      <c r="Q398" s="3" t="s">
        <v>26</v>
      </c>
      <c r="R398" s="3">
        <v>0</v>
      </c>
      <c r="S398" s="4">
        <v>0</v>
      </c>
      <c r="T398" s="4">
        <v>22</v>
      </c>
      <c r="U398" s="4">
        <v>62</v>
      </c>
      <c r="V398" s="4">
        <f>IF(ISERROR(VLOOKUP($S$398,'TAR FIN'!$A$1:$O$91,15,0)),0,VLOOKUP($S$398,'TAR FIN'!$A$1:$O$91,15,0))</f>
        <v>0</v>
      </c>
      <c r="W398" s="4">
        <f>IF(ISERROR(VLOOKUP($T$398,'TAR FIN'!$A$1:$O$91,15,0)),0,VLOOKUP($T$398,'TAR FIN'!$A$1:$O$91,15,0))</f>
        <v>288.39999999999998</v>
      </c>
      <c r="X398" s="4">
        <f>IF(ISERROR(VLOOKUP($U$398,'TAR FIN'!$A$1:$O$91,15,0)),0,VLOOKUP($U$398,'TAR FIN'!$A$1:$O$91,15,0))</f>
        <v>179.13</v>
      </c>
      <c r="Y398" s="4"/>
      <c r="Z398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8" s="4">
        <f>('TE BE'!$AB$17+'TE BF'!$AB$17+'TE CVA'!$AB$17)*(1-CUSTOS!$M$36)</f>
        <v>184.97096880722503</v>
      </c>
      <c r="AB398" s="4">
        <f>$K$398*$V$398</f>
        <v>0</v>
      </c>
      <c r="AC398" s="4">
        <f>$M$398*$W$398</f>
        <v>16.871400000000001</v>
      </c>
      <c r="AD398" s="4">
        <f>$O$398*$X$398</f>
        <v>10.479105000000001</v>
      </c>
      <c r="AE398" s="4">
        <f>$K$398*$Y$398</f>
        <v>0</v>
      </c>
      <c r="AF398" s="4">
        <f ca="1">$M$398*$Z$398</f>
        <v>17.84821387989242</v>
      </c>
      <c r="AG398" s="4">
        <f>$O$398*$AA$398</f>
        <v>10.820801675222665</v>
      </c>
    </row>
    <row r="399" spans="1:33" ht="11.25" customHeight="1" x14ac:dyDescent="0.3">
      <c r="A399" s="3" t="s">
        <v>21</v>
      </c>
      <c r="B399" s="3" t="s">
        <v>22</v>
      </c>
      <c r="C399" s="3" t="s">
        <v>23</v>
      </c>
      <c r="D399" s="3" t="s">
        <v>24</v>
      </c>
      <c r="E399" s="3" t="s">
        <v>31</v>
      </c>
      <c r="F399" s="3" t="s">
        <v>25</v>
      </c>
      <c r="G399" s="3" t="s">
        <v>25</v>
      </c>
      <c r="H399" s="3" t="s">
        <v>25</v>
      </c>
      <c r="I399" s="6">
        <v>44652</v>
      </c>
      <c r="J399" s="4">
        <v>0</v>
      </c>
      <c r="K399" s="4">
        <v>0</v>
      </c>
      <c r="L399" s="4">
        <v>65.495000000000005</v>
      </c>
      <c r="M399" s="4">
        <v>65.495000000000005</v>
      </c>
      <c r="N399" s="4">
        <v>65.495000000000005</v>
      </c>
      <c r="O399" s="4">
        <v>65.495000000000005</v>
      </c>
      <c r="P399" s="4">
        <v>636</v>
      </c>
      <c r="Q399" s="3" t="s">
        <v>26</v>
      </c>
      <c r="R399" s="3">
        <v>0</v>
      </c>
      <c r="S399" s="4">
        <v>0</v>
      </c>
      <c r="T399" s="4">
        <v>22</v>
      </c>
      <c r="U399" s="4">
        <v>62</v>
      </c>
      <c r="V399" s="4">
        <f>IF(ISERROR(VLOOKUP($S$399,'TAR FIN'!$A$1:$O$91,15,0)),0,VLOOKUP($S$399,'TAR FIN'!$A$1:$O$91,15,0))</f>
        <v>0</v>
      </c>
      <c r="W399" s="4">
        <f>IF(ISERROR(VLOOKUP($T$399,'TAR FIN'!$A$1:$O$91,15,0)),0,VLOOKUP($T$399,'TAR FIN'!$A$1:$O$91,15,0))</f>
        <v>288.39999999999998</v>
      </c>
      <c r="X399" s="4">
        <f>IF(ISERROR(VLOOKUP($U$399,'TAR FIN'!$A$1:$O$91,15,0)),0,VLOOKUP($U$399,'TAR FIN'!$A$1:$O$91,15,0))</f>
        <v>179.13</v>
      </c>
      <c r="Y399" s="4"/>
      <c r="Z399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399" s="4">
        <f>('TE BE'!$AB$17+'TE BF'!$AB$17+'TE CVA'!$AB$17)*(1-CUSTOS!$M$36)</f>
        <v>184.97096880722503</v>
      </c>
      <c r="AB399" s="4">
        <f>$K$399*$V$399</f>
        <v>0</v>
      </c>
      <c r="AC399" s="4">
        <f>$M$399*$W$399</f>
        <v>18888.758000000002</v>
      </c>
      <c r="AD399" s="4">
        <f>$O$399*$X$399</f>
        <v>11732.119350000001</v>
      </c>
      <c r="AE399" s="4">
        <f>$K$399*$Y$399</f>
        <v>0</v>
      </c>
      <c r="AF399" s="4">
        <f ca="1">$M$399*$Z$399</f>
        <v>19982.372103650498</v>
      </c>
      <c r="AG399" s="4">
        <f>$O$399*$AA$399</f>
        <v>12114.673602029205</v>
      </c>
    </row>
    <row r="400" spans="1:33" ht="11.25" customHeight="1" x14ac:dyDescent="0.3">
      <c r="A400" s="3" t="s">
        <v>21</v>
      </c>
      <c r="B400" s="3" t="s">
        <v>22</v>
      </c>
      <c r="C400" s="3" t="s">
        <v>23</v>
      </c>
      <c r="D400" s="3" t="s">
        <v>24</v>
      </c>
      <c r="E400" s="3" t="s">
        <v>31</v>
      </c>
      <c r="F400" s="3" t="s">
        <v>25</v>
      </c>
      <c r="G400" s="3" t="s">
        <v>25</v>
      </c>
      <c r="H400" s="3" t="s">
        <v>25</v>
      </c>
      <c r="I400" s="6">
        <v>44682</v>
      </c>
      <c r="J400" s="4">
        <v>0</v>
      </c>
      <c r="K400" s="4">
        <v>0</v>
      </c>
      <c r="L400" s="4">
        <v>77.677999999999997</v>
      </c>
      <c r="M400" s="4">
        <v>77.677999999999997</v>
      </c>
      <c r="N400" s="4">
        <v>77.677999999999997</v>
      </c>
      <c r="O400" s="4">
        <v>77.677999999999997</v>
      </c>
      <c r="P400" s="4">
        <v>771</v>
      </c>
      <c r="Q400" s="3" t="s">
        <v>26</v>
      </c>
      <c r="R400" s="3">
        <v>0</v>
      </c>
      <c r="S400" s="4">
        <v>0</v>
      </c>
      <c r="T400" s="4">
        <v>22</v>
      </c>
      <c r="U400" s="4">
        <v>62</v>
      </c>
      <c r="V400" s="4">
        <f>IF(ISERROR(VLOOKUP($S$400,'TAR FIN'!$A$1:$O$91,15,0)),0,VLOOKUP($S$400,'TAR FIN'!$A$1:$O$91,15,0))</f>
        <v>0</v>
      </c>
      <c r="W400" s="4">
        <f>IF(ISERROR(VLOOKUP($T$400,'TAR FIN'!$A$1:$O$91,15,0)),0,VLOOKUP($T$400,'TAR FIN'!$A$1:$O$91,15,0))</f>
        <v>288.39999999999998</v>
      </c>
      <c r="X400" s="4">
        <f>IF(ISERROR(VLOOKUP($U$400,'TAR FIN'!$A$1:$O$91,15,0)),0,VLOOKUP($U$400,'TAR FIN'!$A$1:$O$91,15,0))</f>
        <v>179.13</v>
      </c>
      <c r="Y400" s="4"/>
      <c r="Z400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400" s="4">
        <f>('TE BE'!$AB$17+'TE BF'!$AB$17+'TE CVA'!$AB$17)*(1-CUSTOS!$M$36)</f>
        <v>184.97096880722503</v>
      </c>
      <c r="AB400" s="4">
        <f>$K$400*$V$400</f>
        <v>0</v>
      </c>
      <c r="AC400" s="4">
        <f>$M$400*$W$400</f>
        <v>22402.335199999998</v>
      </c>
      <c r="AD400" s="4">
        <f>$O$400*$X$400</f>
        <v>13914.460139999999</v>
      </c>
      <c r="AE400" s="4">
        <f>$K$400*$Y$400</f>
        <v>0</v>
      </c>
      <c r="AF400" s="4">
        <f ca="1">$M$400*$Z$400</f>
        <v>23699.377055765526</v>
      </c>
      <c r="AG400" s="4">
        <f>$O$400*$AA$400</f>
        <v>14368.174915007627</v>
      </c>
    </row>
    <row r="401" spans="1:33" ht="11.25" customHeight="1" x14ac:dyDescent="0.3">
      <c r="A401" s="3" t="s">
        <v>28</v>
      </c>
      <c r="B401" s="3" t="s">
        <v>22</v>
      </c>
      <c r="C401" s="3" t="s">
        <v>23</v>
      </c>
      <c r="D401" s="3" t="s">
        <v>24</v>
      </c>
      <c r="E401" s="3" t="s">
        <v>31</v>
      </c>
      <c r="F401" s="3" t="s">
        <v>25</v>
      </c>
      <c r="G401" s="3" t="s">
        <v>25</v>
      </c>
      <c r="H401" s="3" t="s">
        <v>25</v>
      </c>
      <c r="I401" s="6">
        <v>44682</v>
      </c>
      <c r="J401" s="4">
        <v>0</v>
      </c>
      <c r="K401" s="4">
        <v>0</v>
      </c>
      <c r="L401" s="4">
        <v>4.7E-2</v>
      </c>
      <c r="M401" s="4">
        <v>4.2299999999999997E-2</v>
      </c>
      <c r="N401" s="4">
        <v>4.7E-2</v>
      </c>
      <c r="O401" s="4">
        <v>4.2299999999999997E-2</v>
      </c>
      <c r="P401" s="4">
        <v>0</v>
      </c>
      <c r="Q401" s="3" t="s">
        <v>26</v>
      </c>
      <c r="R401" s="3">
        <v>0</v>
      </c>
      <c r="S401" s="4">
        <v>0</v>
      </c>
      <c r="T401" s="4">
        <v>22</v>
      </c>
      <c r="U401" s="4">
        <v>62</v>
      </c>
      <c r="V401" s="4">
        <f>IF(ISERROR(VLOOKUP($S$401,'TAR FIN'!$A$1:$O$91,15,0)),0,VLOOKUP($S$401,'TAR FIN'!$A$1:$O$91,15,0))</f>
        <v>0</v>
      </c>
      <c r="W401" s="4">
        <f>IF(ISERROR(VLOOKUP($T$401,'TAR FIN'!$A$1:$O$91,15,0)),0,VLOOKUP($T$401,'TAR FIN'!$A$1:$O$91,15,0))</f>
        <v>288.39999999999998</v>
      </c>
      <c r="X401" s="4">
        <f>IF(ISERROR(VLOOKUP($U$401,'TAR FIN'!$A$1:$O$91,15,0)),0,VLOOKUP($U$401,'TAR FIN'!$A$1:$O$91,15,0))</f>
        <v>179.13</v>
      </c>
      <c r="Y401" s="4"/>
      <c r="Z401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401" s="4">
        <f>('TE BE'!$AB$17+'TE BF'!$AB$17+'TE CVA'!$AB$17)*(1-CUSTOS!$M$36)</f>
        <v>184.97096880722503</v>
      </c>
      <c r="AB401" s="4">
        <f>$K$401*$V$401</f>
        <v>0</v>
      </c>
      <c r="AC401" s="4">
        <f>$M$401*$W$401</f>
        <v>12.199319999999998</v>
      </c>
      <c r="AD401" s="4">
        <f>$O$401*$X$401</f>
        <v>7.5771989999999994</v>
      </c>
      <c r="AE401" s="4">
        <f>$K$401*$Y$401</f>
        <v>0</v>
      </c>
      <c r="AF401" s="4">
        <f ca="1">$M$401*$Z$401</f>
        <v>12.905631574691441</v>
      </c>
      <c r="AG401" s="4">
        <f>$O$401*$AA$401</f>
        <v>7.8242719805456185</v>
      </c>
    </row>
    <row r="402" spans="1:33" ht="11.25" customHeight="1" x14ac:dyDescent="0.3">
      <c r="A402" s="3" t="s">
        <v>21</v>
      </c>
      <c r="B402" s="3" t="s">
        <v>22</v>
      </c>
      <c r="C402" s="3" t="s">
        <v>23</v>
      </c>
      <c r="D402" s="3" t="s">
        <v>24</v>
      </c>
      <c r="E402" s="3" t="s">
        <v>31</v>
      </c>
      <c r="F402" s="3" t="s">
        <v>25</v>
      </c>
      <c r="G402" s="3" t="s">
        <v>25</v>
      </c>
      <c r="H402" s="3" t="s">
        <v>25</v>
      </c>
      <c r="I402" s="6">
        <v>44713</v>
      </c>
      <c r="J402" s="4">
        <v>0</v>
      </c>
      <c r="K402" s="4">
        <v>0</v>
      </c>
      <c r="L402" s="4">
        <v>79.436999999999998</v>
      </c>
      <c r="M402" s="4">
        <v>79.436999999999998</v>
      </c>
      <c r="N402" s="4">
        <v>79.436999999999998</v>
      </c>
      <c r="O402" s="4">
        <v>79.436999999999998</v>
      </c>
      <c r="P402" s="4">
        <v>738</v>
      </c>
      <c r="Q402" s="3" t="s">
        <v>26</v>
      </c>
      <c r="R402" s="3">
        <v>0</v>
      </c>
      <c r="S402" s="4">
        <v>0</v>
      </c>
      <c r="T402" s="4">
        <v>22</v>
      </c>
      <c r="U402" s="4">
        <v>62</v>
      </c>
      <c r="V402" s="4">
        <f>IF(ISERROR(VLOOKUP($S$402,'TAR FIN'!$A$1:$O$91,15,0)),0,VLOOKUP($S$402,'TAR FIN'!$A$1:$O$91,15,0))</f>
        <v>0</v>
      </c>
      <c r="W402" s="4">
        <f>IF(ISERROR(VLOOKUP($T$402,'TAR FIN'!$A$1:$O$91,15,0)),0,VLOOKUP($T$402,'TAR FIN'!$A$1:$O$91,15,0))</f>
        <v>288.39999999999998</v>
      </c>
      <c r="X402" s="4">
        <f>IF(ISERROR(VLOOKUP($U$402,'TAR FIN'!$A$1:$O$91,15,0)),0,VLOOKUP($U$402,'TAR FIN'!$A$1:$O$91,15,0))</f>
        <v>179.13</v>
      </c>
      <c r="Y402" s="4"/>
      <c r="Z402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402" s="4">
        <f>('TE BE'!$AB$17+'TE BF'!$AB$17+'TE CVA'!$AB$17)*(1-CUSTOS!$M$36)</f>
        <v>184.97096880722503</v>
      </c>
      <c r="AB402" s="4">
        <f>$K$402*$V$402</f>
        <v>0</v>
      </c>
      <c r="AC402" s="4">
        <f>$M$402*$W$402</f>
        <v>22909.630799999999</v>
      </c>
      <c r="AD402" s="4">
        <f>$O$402*$X$402</f>
        <v>14229.549809999999</v>
      </c>
      <c r="AE402" s="4">
        <f>$K$402*$Y$402</f>
        <v>0</v>
      </c>
      <c r="AF402" s="4">
        <f ca="1">$M$402*$Z$402</f>
        <v>24236.043862854942</v>
      </c>
      <c r="AG402" s="4">
        <f>$O$402*$AA$402</f>
        <v>14693.538849139535</v>
      </c>
    </row>
    <row r="403" spans="1:33" ht="11.25" customHeight="1" x14ac:dyDescent="0.3">
      <c r="A403" s="3" t="s">
        <v>28</v>
      </c>
      <c r="B403" s="3" t="s">
        <v>22</v>
      </c>
      <c r="C403" s="3" t="s">
        <v>23</v>
      </c>
      <c r="D403" s="3" t="s">
        <v>24</v>
      </c>
      <c r="E403" s="3" t="s">
        <v>31</v>
      </c>
      <c r="F403" s="3" t="s">
        <v>25</v>
      </c>
      <c r="G403" s="3" t="s">
        <v>25</v>
      </c>
      <c r="H403" s="3" t="s">
        <v>25</v>
      </c>
      <c r="I403" s="6">
        <v>44713</v>
      </c>
      <c r="J403" s="4">
        <v>0</v>
      </c>
      <c r="K403" s="4">
        <v>0</v>
      </c>
      <c r="L403" s="4">
        <v>8.5999999999999993E-2</v>
      </c>
      <c r="M403" s="4">
        <v>6.88E-2</v>
      </c>
      <c r="N403" s="4">
        <v>8.5999999999999993E-2</v>
      </c>
      <c r="O403" s="4">
        <v>6.88E-2</v>
      </c>
      <c r="P403" s="4">
        <v>1</v>
      </c>
      <c r="Q403" s="3" t="s">
        <v>26</v>
      </c>
      <c r="R403" s="3">
        <v>0</v>
      </c>
      <c r="S403" s="4">
        <v>0</v>
      </c>
      <c r="T403" s="4">
        <v>22</v>
      </c>
      <c r="U403" s="4">
        <v>62</v>
      </c>
      <c r="V403" s="4">
        <f>IF(ISERROR(VLOOKUP($S$403,'TAR FIN'!$A$1:$O$91,15,0)),0,VLOOKUP($S$403,'TAR FIN'!$A$1:$O$91,15,0))</f>
        <v>0</v>
      </c>
      <c r="W403" s="4">
        <f>IF(ISERROR(VLOOKUP($T$403,'TAR FIN'!$A$1:$O$91,15,0)),0,VLOOKUP($T$403,'TAR FIN'!$A$1:$O$91,15,0))</f>
        <v>288.39999999999998</v>
      </c>
      <c r="X403" s="4">
        <f>IF(ISERROR(VLOOKUP($U$403,'TAR FIN'!$A$1:$O$91,15,0)),0,VLOOKUP($U$403,'TAR FIN'!$A$1:$O$91,15,0))</f>
        <v>179.13</v>
      </c>
      <c r="Y403" s="4"/>
      <c r="Z403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403" s="4">
        <f>('TE BE'!$AB$17+'TE BF'!$AB$17+'TE CVA'!$AB$17)*(1-CUSTOS!$M$36)</f>
        <v>184.97096880722503</v>
      </c>
      <c r="AB403" s="4">
        <f>$K$403*$V$403</f>
        <v>0</v>
      </c>
      <c r="AC403" s="4">
        <f>$M$403*$W$403</f>
        <v>19.841919999999998</v>
      </c>
      <c r="AD403" s="4">
        <f>$O$403*$X$403</f>
        <v>12.324144</v>
      </c>
      <c r="AE403" s="4">
        <f>$K$403*$Y$403</f>
        <v>0</v>
      </c>
      <c r="AF403" s="4">
        <f ca="1">$M$403*$Z$403</f>
        <v>20.990719913446128</v>
      </c>
      <c r="AG403" s="4">
        <f>$O$403*$AA$403</f>
        <v>12.726002653937082</v>
      </c>
    </row>
    <row r="404" spans="1:33" ht="11.25" customHeight="1" x14ac:dyDescent="0.3">
      <c r="A404" s="3" t="s">
        <v>21</v>
      </c>
      <c r="B404" s="3" t="s">
        <v>22</v>
      </c>
      <c r="C404" s="3" t="s">
        <v>23</v>
      </c>
      <c r="D404" s="3" t="s">
        <v>24</v>
      </c>
      <c r="E404" s="3" t="s">
        <v>32</v>
      </c>
      <c r="F404" s="3" t="s">
        <v>25</v>
      </c>
      <c r="G404" s="3" t="s">
        <v>25</v>
      </c>
      <c r="H404" s="3" t="s">
        <v>25</v>
      </c>
      <c r="I404" s="6">
        <v>44378</v>
      </c>
      <c r="J404" s="4">
        <v>0</v>
      </c>
      <c r="K404" s="4">
        <v>0</v>
      </c>
      <c r="L404" s="4">
        <v>12.297000000000001</v>
      </c>
      <c r="M404" s="4">
        <v>12.297000000000001</v>
      </c>
      <c r="N404" s="4">
        <v>12.297000000000001</v>
      </c>
      <c r="O404" s="4">
        <v>12.297000000000001</v>
      </c>
      <c r="P404" s="4">
        <v>196</v>
      </c>
      <c r="Q404" s="3" t="s">
        <v>26</v>
      </c>
      <c r="R404" s="3">
        <v>0</v>
      </c>
      <c r="S404" s="4">
        <v>0</v>
      </c>
      <c r="T404" s="4">
        <v>23</v>
      </c>
      <c r="U404" s="4">
        <v>63</v>
      </c>
      <c r="V404" s="4">
        <f>IF(ISERROR(VLOOKUP($S$404,'TAR FIN'!$A$1:$O$91,15,0)),0,VLOOKUP($S$404,'TAR FIN'!$A$1:$O$91,15,0))</f>
        <v>0</v>
      </c>
      <c r="W404" s="4">
        <f>IF(ISERROR(VLOOKUP($T$404,'TAR FIN'!$A$1:$O$91,15,0)),0,VLOOKUP($T$404,'TAR FIN'!$A$1:$O$91,15,0))</f>
        <v>320.44</v>
      </c>
      <c r="X404" s="4">
        <f>IF(ISERROR(VLOOKUP($U$404,'TAR FIN'!$A$1:$O$91,15,0)),0,VLOOKUP($U$404,'TAR FIN'!$A$1:$O$91,15,0))</f>
        <v>199.03</v>
      </c>
      <c r="Y404" s="4"/>
      <c r="Z404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04" s="4">
        <f>('TE BE'!$AB$18+'TE BF'!$AB$18+'TE CVA'!$AB$18)*(1-CUSTOS!$M$37)</f>
        <v>205.52329867469447</v>
      </c>
      <c r="AB404" s="4">
        <f>$K$404*$V$404</f>
        <v>0</v>
      </c>
      <c r="AC404" s="4">
        <f>$M$404*$W$404</f>
        <v>3940.4506800000004</v>
      </c>
      <c r="AD404" s="4">
        <f>$O$404*$X$404</f>
        <v>2447.4719100000002</v>
      </c>
      <c r="AE404" s="4">
        <f>$K$404*$Y$404</f>
        <v>0</v>
      </c>
      <c r="AF404" s="4">
        <f ca="1">$M$404*$Z$404</f>
        <v>4168.6512076170384</v>
      </c>
      <c r="AG404" s="4">
        <f>$O$404*$AA$404</f>
        <v>2527.320003802718</v>
      </c>
    </row>
    <row r="405" spans="1:33" ht="11.25" customHeight="1" x14ac:dyDescent="0.3">
      <c r="A405" s="3" t="s">
        <v>27</v>
      </c>
      <c r="B405" s="3" t="s">
        <v>22</v>
      </c>
      <c r="C405" s="3" t="s">
        <v>23</v>
      </c>
      <c r="D405" s="3" t="s">
        <v>24</v>
      </c>
      <c r="E405" s="3" t="s">
        <v>32</v>
      </c>
      <c r="F405" s="3" t="s">
        <v>25</v>
      </c>
      <c r="G405" s="3" t="s">
        <v>25</v>
      </c>
      <c r="H405" s="3" t="s">
        <v>25</v>
      </c>
      <c r="I405" s="6">
        <v>44378</v>
      </c>
      <c r="J405" s="4">
        <v>0</v>
      </c>
      <c r="K405" s="4">
        <v>0</v>
      </c>
      <c r="L405" s="4">
        <v>-0.03</v>
      </c>
      <c r="M405" s="4">
        <v>-0.03</v>
      </c>
      <c r="N405" s="4">
        <v>-0.03</v>
      </c>
      <c r="O405" s="4">
        <v>-0.03</v>
      </c>
      <c r="P405" s="4">
        <v>0</v>
      </c>
      <c r="Q405" s="3" t="s">
        <v>26</v>
      </c>
      <c r="R405" s="3">
        <v>0</v>
      </c>
      <c r="S405" s="4">
        <v>0</v>
      </c>
      <c r="T405" s="4">
        <v>23</v>
      </c>
      <c r="U405" s="4">
        <v>63</v>
      </c>
      <c r="V405" s="4">
        <f>IF(ISERROR(VLOOKUP($S$405,'TAR FIN'!$A$1:$O$91,15,0)),0,VLOOKUP($S$405,'TAR FIN'!$A$1:$O$91,15,0))</f>
        <v>0</v>
      </c>
      <c r="W405" s="4">
        <f>IF(ISERROR(VLOOKUP($T$405,'TAR FIN'!$A$1:$O$91,15,0)),0,VLOOKUP($T$405,'TAR FIN'!$A$1:$O$91,15,0))</f>
        <v>320.44</v>
      </c>
      <c r="X405" s="4">
        <f>IF(ISERROR(VLOOKUP($U$405,'TAR FIN'!$A$1:$O$91,15,0)),0,VLOOKUP($U$405,'TAR FIN'!$A$1:$O$91,15,0))</f>
        <v>199.03</v>
      </c>
      <c r="Y405" s="4"/>
      <c r="Z405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05" s="4">
        <f>('TE BE'!$AB$18+'TE BF'!$AB$18+'TE CVA'!$AB$18)*(1-CUSTOS!$M$37)</f>
        <v>205.52329867469447</v>
      </c>
      <c r="AB405" s="4">
        <f>$K$405*$V$405</f>
        <v>0</v>
      </c>
      <c r="AC405" s="4">
        <f>$M$405*$W$405</f>
        <v>-9.6131999999999991</v>
      </c>
      <c r="AD405" s="4">
        <f>$O$405*$X$405</f>
        <v>-5.9708999999999994</v>
      </c>
      <c r="AE405" s="4">
        <f>$K$405*$Y$405</f>
        <v>0</v>
      </c>
      <c r="AF405" s="4">
        <f ca="1">$M$405*$Z$405</f>
        <v>-10.169922438685138</v>
      </c>
      <c r="AG405" s="4">
        <f>$O$405*$AA$405</f>
        <v>-6.1656989602408343</v>
      </c>
    </row>
    <row r="406" spans="1:33" ht="11.25" customHeight="1" x14ac:dyDescent="0.3">
      <c r="A406" s="3" t="s">
        <v>21</v>
      </c>
      <c r="B406" s="3" t="s">
        <v>22</v>
      </c>
      <c r="C406" s="3" t="s">
        <v>23</v>
      </c>
      <c r="D406" s="3" t="s">
        <v>24</v>
      </c>
      <c r="E406" s="3" t="s">
        <v>32</v>
      </c>
      <c r="F406" s="3" t="s">
        <v>25</v>
      </c>
      <c r="G406" s="3" t="s">
        <v>25</v>
      </c>
      <c r="H406" s="3" t="s">
        <v>25</v>
      </c>
      <c r="I406" s="6">
        <v>44409</v>
      </c>
      <c r="J406" s="4">
        <v>0</v>
      </c>
      <c r="K406" s="4">
        <v>0</v>
      </c>
      <c r="L406" s="4">
        <v>16.533000000000001</v>
      </c>
      <c r="M406" s="4">
        <v>16.533000000000001</v>
      </c>
      <c r="N406" s="4">
        <v>16.533000000000001</v>
      </c>
      <c r="O406" s="4">
        <v>16.533000000000001</v>
      </c>
      <c r="P406" s="4">
        <v>233</v>
      </c>
      <c r="Q406" s="3" t="s">
        <v>26</v>
      </c>
      <c r="R406" s="3">
        <v>0</v>
      </c>
      <c r="S406" s="4">
        <v>0</v>
      </c>
      <c r="T406" s="4">
        <v>23</v>
      </c>
      <c r="U406" s="4">
        <v>63</v>
      </c>
      <c r="V406" s="4">
        <f>IF(ISERROR(VLOOKUP($S$406,'TAR FIN'!$A$1:$O$91,15,0)),0,VLOOKUP($S$406,'TAR FIN'!$A$1:$O$91,15,0))</f>
        <v>0</v>
      </c>
      <c r="W406" s="4">
        <f>IF(ISERROR(VLOOKUP($T$406,'TAR FIN'!$A$1:$O$91,15,0)),0,VLOOKUP($T$406,'TAR FIN'!$A$1:$O$91,15,0))</f>
        <v>320.44</v>
      </c>
      <c r="X406" s="4">
        <f>IF(ISERROR(VLOOKUP($U$406,'TAR FIN'!$A$1:$O$91,15,0)),0,VLOOKUP($U$406,'TAR FIN'!$A$1:$O$91,15,0))</f>
        <v>199.03</v>
      </c>
      <c r="Y406" s="4"/>
      <c r="Z406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06" s="4">
        <f>('TE BE'!$AB$18+'TE BF'!$AB$18+'TE CVA'!$AB$18)*(1-CUSTOS!$M$37)</f>
        <v>205.52329867469447</v>
      </c>
      <c r="AB406" s="4">
        <f>$K$406*$V$406</f>
        <v>0</v>
      </c>
      <c r="AC406" s="4">
        <f>$M$406*$W$406</f>
        <v>5297.8345200000003</v>
      </c>
      <c r="AD406" s="4">
        <f>$O$406*$X$406</f>
        <v>3290.5629900000004</v>
      </c>
      <c r="AE406" s="4">
        <f>$K$406*$Y$406</f>
        <v>0</v>
      </c>
      <c r="AF406" s="4">
        <f ca="1">$M$406*$Z$406</f>
        <v>5604.6442559593797</v>
      </c>
      <c r="AG406" s="4">
        <f>$O$406*$AA$406</f>
        <v>3397.9166969887242</v>
      </c>
    </row>
    <row r="407" spans="1:33" ht="11.25" customHeight="1" x14ac:dyDescent="0.3">
      <c r="A407" s="3" t="s">
        <v>21</v>
      </c>
      <c r="B407" s="3" t="s">
        <v>22</v>
      </c>
      <c r="C407" s="3" t="s">
        <v>23</v>
      </c>
      <c r="D407" s="3" t="s">
        <v>24</v>
      </c>
      <c r="E407" s="3" t="s">
        <v>32</v>
      </c>
      <c r="F407" s="3" t="s">
        <v>25</v>
      </c>
      <c r="G407" s="3" t="s">
        <v>25</v>
      </c>
      <c r="H407" s="3" t="s">
        <v>25</v>
      </c>
      <c r="I407" s="6">
        <v>44440</v>
      </c>
      <c r="J407" s="4">
        <v>0</v>
      </c>
      <c r="K407" s="4">
        <v>0</v>
      </c>
      <c r="L407" s="4">
        <v>14.256</v>
      </c>
      <c r="M407" s="4">
        <v>14.256</v>
      </c>
      <c r="N407" s="4">
        <v>14.256</v>
      </c>
      <c r="O407" s="4">
        <v>14.256</v>
      </c>
      <c r="P407" s="4">
        <v>222</v>
      </c>
      <c r="Q407" s="3" t="s">
        <v>26</v>
      </c>
      <c r="R407" s="3">
        <v>0</v>
      </c>
      <c r="S407" s="4">
        <v>0</v>
      </c>
      <c r="T407" s="4">
        <v>23</v>
      </c>
      <c r="U407" s="4">
        <v>63</v>
      </c>
      <c r="V407" s="4">
        <f>IF(ISERROR(VLOOKUP($S$407,'TAR FIN'!$A$1:$O$91,15,0)),0,VLOOKUP($S$407,'TAR FIN'!$A$1:$O$91,15,0))</f>
        <v>0</v>
      </c>
      <c r="W407" s="4">
        <f>IF(ISERROR(VLOOKUP($T$407,'TAR FIN'!$A$1:$O$91,15,0)),0,VLOOKUP($T$407,'TAR FIN'!$A$1:$O$91,15,0))</f>
        <v>320.44</v>
      </c>
      <c r="X407" s="4">
        <f>IF(ISERROR(VLOOKUP($U$407,'TAR FIN'!$A$1:$O$91,15,0)),0,VLOOKUP($U$407,'TAR FIN'!$A$1:$O$91,15,0))</f>
        <v>199.03</v>
      </c>
      <c r="Y407" s="4"/>
      <c r="Z407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07" s="4">
        <f>('TE BE'!$AB$18+'TE BF'!$AB$18+'TE CVA'!$AB$18)*(1-CUSTOS!$M$37)</f>
        <v>205.52329867469447</v>
      </c>
      <c r="AB407" s="4">
        <f>$K$407*$V$407</f>
        <v>0</v>
      </c>
      <c r="AC407" s="4">
        <f>$M$407*$W$407</f>
        <v>4568.1926400000002</v>
      </c>
      <c r="AD407" s="4">
        <f>$O$407*$X$407</f>
        <v>2837.3716800000002</v>
      </c>
      <c r="AE407" s="4">
        <f>$K$407*$Y$407</f>
        <v>0</v>
      </c>
      <c r="AF407" s="4">
        <f ca="1">$M$407*$Z$407</f>
        <v>4832.7471428631779</v>
      </c>
      <c r="AG407" s="4">
        <f>$O$407*$AA$407</f>
        <v>2929.9401459064443</v>
      </c>
    </row>
    <row r="408" spans="1:33" ht="11.25" customHeight="1" x14ac:dyDescent="0.3">
      <c r="A408" s="3" t="s">
        <v>21</v>
      </c>
      <c r="B408" s="3" t="s">
        <v>22</v>
      </c>
      <c r="C408" s="3" t="s">
        <v>23</v>
      </c>
      <c r="D408" s="3" t="s">
        <v>24</v>
      </c>
      <c r="E408" s="3" t="s">
        <v>32</v>
      </c>
      <c r="F408" s="3" t="s">
        <v>25</v>
      </c>
      <c r="G408" s="3" t="s">
        <v>25</v>
      </c>
      <c r="H408" s="3" t="s">
        <v>25</v>
      </c>
      <c r="I408" s="6">
        <v>44470</v>
      </c>
      <c r="J408" s="4">
        <v>0</v>
      </c>
      <c r="K408" s="4">
        <v>0</v>
      </c>
      <c r="L408" s="4">
        <v>15.997999999999999</v>
      </c>
      <c r="M408" s="4">
        <v>15.997999999999999</v>
      </c>
      <c r="N408" s="4">
        <v>15.997999999999999</v>
      </c>
      <c r="O408" s="4">
        <v>15.997999999999999</v>
      </c>
      <c r="P408" s="4">
        <v>244</v>
      </c>
      <c r="Q408" s="3" t="s">
        <v>26</v>
      </c>
      <c r="R408" s="3">
        <v>0</v>
      </c>
      <c r="S408" s="4">
        <v>0</v>
      </c>
      <c r="T408" s="4">
        <v>23</v>
      </c>
      <c r="U408" s="4">
        <v>63</v>
      </c>
      <c r="V408" s="4">
        <f>IF(ISERROR(VLOOKUP($S$408,'TAR FIN'!$A$1:$O$91,15,0)),0,VLOOKUP($S$408,'TAR FIN'!$A$1:$O$91,15,0))</f>
        <v>0</v>
      </c>
      <c r="W408" s="4">
        <f>IF(ISERROR(VLOOKUP($T$408,'TAR FIN'!$A$1:$O$91,15,0)),0,VLOOKUP($T$408,'TAR FIN'!$A$1:$O$91,15,0))</f>
        <v>320.44</v>
      </c>
      <c r="X408" s="4">
        <f>IF(ISERROR(VLOOKUP($U$408,'TAR FIN'!$A$1:$O$91,15,0)),0,VLOOKUP($U$408,'TAR FIN'!$A$1:$O$91,15,0))</f>
        <v>199.03</v>
      </c>
      <c r="Y408" s="4"/>
      <c r="Z408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08" s="4">
        <f>('TE BE'!$AB$18+'TE BF'!$AB$18+'TE CVA'!$AB$18)*(1-CUSTOS!$M$37)</f>
        <v>205.52329867469447</v>
      </c>
      <c r="AB408" s="4">
        <f>$K$408*$V$408</f>
        <v>0</v>
      </c>
      <c r="AC408" s="4">
        <f>$M$408*$W$408</f>
        <v>5126.39912</v>
      </c>
      <c r="AD408" s="4">
        <f>$O$408*$X$408</f>
        <v>3184.08194</v>
      </c>
      <c r="AE408" s="4">
        <f>$K$408*$Y$408</f>
        <v>0</v>
      </c>
      <c r="AF408" s="4">
        <f ca="1">$M$408*$Z$408</f>
        <v>5423.280639136161</v>
      </c>
      <c r="AG408" s="4">
        <f>$O$408*$AA$408</f>
        <v>3287.9617321977621</v>
      </c>
    </row>
    <row r="409" spans="1:33" ht="11.25" customHeight="1" x14ac:dyDescent="0.3">
      <c r="A409" s="3" t="s">
        <v>21</v>
      </c>
      <c r="B409" s="3" t="s">
        <v>22</v>
      </c>
      <c r="C409" s="3" t="s">
        <v>23</v>
      </c>
      <c r="D409" s="3" t="s">
        <v>24</v>
      </c>
      <c r="E409" s="3" t="s">
        <v>32</v>
      </c>
      <c r="F409" s="3" t="s">
        <v>25</v>
      </c>
      <c r="G409" s="3" t="s">
        <v>25</v>
      </c>
      <c r="H409" s="3" t="s">
        <v>25</v>
      </c>
      <c r="I409" s="6">
        <v>44501</v>
      </c>
      <c r="J409" s="4">
        <v>0</v>
      </c>
      <c r="K409" s="4">
        <v>0</v>
      </c>
      <c r="L409" s="4">
        <v>22.010999999999999</v>
      </c>
      <c r="M409" s="4">
        <v>22.010999999999999</v>
      </c>
      <c r="N409" s="4">
        <v>22.010999999999999</v>
      </c>
      <c r="O409" s="4">
        <v>22.010999999999999</v>
      </c>
      <c r="P409" s="4">
        <v>303</v>
      </c>
      <c r="Q409" s="3" t="s">
        <v>26</v>
      </c>
      <c r="R409" s="3">
        <v>0</v>
      </c>
      <c r="S409" s="4">
        <v>0</v>
      </c>
      <c r="T409" s="4">
        <v>23</v>
      </c>
      <c r="U409" s="4">
        <v>63</v>
      </c>
      <c r="V409" s="4">
        <f>IF(ISERROR(VLOOKUP($S$409,'TAR FIN'!$A$1:$O$91,15,0)),0,VLOOKUP($S$409,'TAR FIN'!$A$1:$O$91,15,0))</f>
        <v>0</v>
      </c>
      <c r="W409" s="4">
        <f>IF(ISERROR(VLOOKUP($T$409,'TAR FIN'!$A$1:$O$91,15,0)),0,VLOOKUP($T$409,'TAR FIN'!$A$1:$O$91,15,0))</f>
        <v>320.44</v>
      </c>
      <c r="X409" s="4">
        <f>IF(ISERROR(VLOOKUP($U$409,'TAR FIN'!$A$1:$O$91,15,0)),0,VLOOKUP($U$409,'TAR FIN'!$A$1:$O$91,15,0))</f>
        <v>199.03</v>
      </c>
      <c r="Y409" s="4"/>
      <c r="Z409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09" s="4">
        <f>('TE BE'!$AB$18+'TE BF'!$AB$18+'TE CVA'!$AB$18)*(1-CUSTOS!$M$37)</f>
        <v>205.52329867469447</v>
      </c>
      <c r="AB409" s="4">
        <f>$K$409*$V$409</f>
        <v>0</v>
      </c>
      <c r="AC409" s="4">
        <f>$M$409*$W$409</f>
        <v>7053.2048399999994</v>
      </c>
      <c r="AD409" s="4">
        <f>$O$409*$X$409</f>
        <v>4380.84933</v>
      </c>
      <c r="AE409" s="4">
        <f>$K$409*$Y$409</f>
        <v>0</v>
      </c>
      <c r="AF409" s="4">
        <f ca="1">$M$409*$Z$409</f>
        <v>7461.6720932632852</v>
      </c>
      <c r="AG409" s="4">
        <f>$O$409*$AA$409</f>
        <v>4523.7733271286997</v>
      </c>
    </row>
    <row r="410" spans="1:33" ht="11.25" customHeight="1" x14ac:dyDescent="0.3">
      <c r="A410" s="3" t="s">
        <v>21</v>
      </c>
      <c r="B410" s="3" t="s">
        <v>22</v>
      </c>
      <c r="C410" s="3" t="s">
        <v>23</v>
      </c>
      <c r="D410" s="3" t="s">
        <v>24</v>
      </c>
      <c r="E410" s="3" t="s">
        <v>32</v>
      </c>
      <c r="F410" s="3" t="s">
        <v>25</v>
      </c>
      <c r="G410" s="3" t="s">
        <v>25</v>
      </c>
      <c r="H410" s="3" t="s">
        <v>25</v>
      </c>
      <c r="I410" s="6">
        <v>44531</v>
      </c>
      <c r="J410" s="4">
        <v>0</v>
      </c>
      <c r="K410" s="4">
        <v>0</v>
      </c>
      <c r="L410" s="4">
        <v>25.661000000000001</v>
      </c>
      <c r="M410" s="4">
        <v>25.661000000000001</v>
      </c>
      <c r="N410" s="4">
        <v>25.661000000000001</v>
      </c>
      <c r="O410" s="4">
        <v>25.661000000000001</v>
      </c>
      <c r="P410" s="4">
        <v>354</v>
      </c>
      <c r="Q410" s="3" t="s">
        <v>26</v>
      </c>
      <c r="R410" s="3">
        <v>0</v>
      </c>
      <c r="S410" s="4">
        <v>0</v>
      </c>
      <c r="T410" s="4">
        <v>23</v>
      </c>
      <c r="U410" s="4">
        <v>63</v>
      </c>
      <c r="V410" s="4">
        <f>IF(ISERROR(VLOOKUP($S$410,'TAR FIN'!$A$1:$O$91,15,0)),0,VLOOKUP($S$410,'TAR FIN'!$A$1:$O$91,15,0))</f>
        <v>0</v>
      </c>
      <c r="W410" s="4">
        <f>IF(ISERROR(VLOOKUP($T$410,'TAR FIN'!$A$1:$O$91,15,0)),0,VLOOKUP($T$410,'TAR FIN'!$A$1:$O$91,15,0))</f>
        <v>320.44</v>
      </c>
      <c r="X410" s="4">
        <f>IF(ISERROR(VLOOKUP($U$410,'TAR FIN'!$A$1:$O$91,15,0)),0,VLOOKUP($U$410,'TAR FIN'!$A$1:$O$91,15,0))</f>
        <v>199.03</v>
      </c>
      <c r="Y410" s="4"/>
      <c r="Z410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0" s="4">
        <f>('TE BE'!$AB$18+'TE BF'!$AB$18+'TE CVA'!$AB$18)*(1-CUSTOS!$M$37)</f>
        <v>205.52329867469447</v>
      </c>
      <c r="AB410" s="4">
        <f>$K$410*$V$410</f>
        <v>0</v>
      </c>
      <c r="AC410" s="4">
        <f>$M$410*$W$410</f>
        <v>8222.8108400000001</v>
      </c>
      <c r="AD410" s="4">
        <f>$O$410*$X$410</f>
        <v>5107.3088299999999</v>
      </c>
      <c r="AE410" s="4">
        <f>$K$410*$Y$410</f>
        <v>0</v>
      </c>
      <c r="AF410" s="4">
        <f ca="1">$M$410*$Z$410</f>
        <v>8699.0126566366453</v>
      </c>
      <c r="AG410" s="4">
        <f>$O$410*$AA$410</f>
        <v>5273.9333672913353</v>
      </c>
    </row>
    <row r="411" spans="1:33" ht="11.25" customHeight="1" x14ac:dyDescent="0.3">
      <c r="A411" s="3" t="s">
        <v>21</v>
      </c>
      <c r="B411" s="3" t="s">
        <v>22</v>
      </c>
      <c r="C411" s="3" t="s">
        <v>23</v>
      </c>
      <c r="D411" s="3" t="s">
        <v>24</v>
      </c>
      <c r="E411" s="3" t="s">
        <v>32</v>
      </c>
      <c r="F411" s="3" t="s">
        <v>25</v>
      </c>
      <c r="G411" s="3" t="s">
        <v>25</v>
      </c>
      <c r="H411" s="3" t="s">
        <v>25</v>
      </c>
      <c r="I411" s="6">
        <v>44562</v>
      </c>
      <c r="J411" s="4">
        <v>0</v>
      </c>
      <c r="K411" s="4">
        <v>0</v>
      </c>
      <c r="L411" s="4">
        <v>47.101999999999997</v>
      </c>
      <c r="M411" s="4">
        <v>47.101999999999997</v>
      </c>
      <c r="N411" s="4">
        <v>47.101999999999997</v>
      </c>
      <c r="O411" s="4">
        <v>47.101999999999997</v>
      </c>
      <c r="P411" s="4">
        <v>453</v>
      </c>
      <c r="Q411" s="3" t="s">
        <v>26</v>
      </c>
      <c r="R411" s="3">
        <v>0</v>
      </c>
      <c r="S411" s="4">
        <v>0</v>
      </c>
      <c r="T411" s="4">
        <v>23</v>
      </c>
      <c r="U411" s="4">
        <v>63</v>
      </c>
      <c r="V411" s="4">
        <f>IF(ISERROR(VLOOKUP($S$411,'TAR FIN'!$A$1:$O$91,15,0)),0,VLOOKUP($S$411,'TAR FIN'!$A$1:$O$91,15,0))</f>
        <v>0</v>
      </c>
      <c r="W411" s="4">
        <f>IF(ISERROR(VLOOKUP($T$411,'TAR FIN'!$A$1:$O$91,15,0)),0,VLOOKUP($T$411,'TAR FIN'!$A$1:$O$91,15,0))</f>
        <v>320.44</v>
      </c>
      <c r="X411" s="4">
        <f>IF(ISERROR(VLOOKUP($U$411,'TAR FIN'!$A$1:$O$91,15,0)),0,VLOOKUP($U$411,'TAR FIN'!$A$1:$O$91,15,0))</f>
        <v>199.03</v>
      </c>
      <c r="Y411" s="4"/>
      <c r="Z411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1" s="4">
        <f>('TE BE'!$AB$18+'TE BF'!$AB$18+'TE CVA'!$AB$18)*(1-CUSTOS!$M$37)</f>
        <v>205.52329867469447</v>
      </c>
      <c r="AB411" s="4">
        <f>$K$411*$V$411</f>
        <v>0</v>
      </c>
      <c r="AC411" s="4">
        <f>$M$411*$W$411</f>
        <v>15093.364879999999</v>
      </c>
      <c r="AD411" s="4">
        <f>$O$411*$X$411</f>
        <v>9374.7110599999996</v>
      </c>
      <c r="AE411" s="4">
        <f>$K$411*$Y$411</f>
        <v>0</v>
      </c>
      <c r="AF411" s="4">
        <f ca="1">$M$411*$Z$411</f>
        <v>15967.456223564912</v>
      </c>
      <c r="AG411" s="4">
        <f>$O$411*$AA$411</f>
        <v>9680.5584141754589</v>
      </c>
    </row>
    <row r="412" spans="1:33" ht="11.25" customHeight="1" x14ac:dyDescent="0.3">
      <c r="A412" s="3" t="s">
        <v>27</v>
      </c>
      <c r="B412" s="3" t="s">
        <v>22</v>
      </c>
      <c r="C412" s="3" t="s">
        <v>23</v>
      </c>
      <c r="D412" s="3" t="s">
        <v>24</v>
      </c>
      <c r="E412" s="3" t="s">
        <v>32</v>
      </c>
      <c r="F412" s="3" t="s">
        <v>25</v>
      </c>
      <c r="G412" s="3" t="s">
        <v>25</v>
      </c>
      <c r="H412" s="3" t="s">
        <v>25</v>
      </c>
      <c r="I412" s="6">
        <v>44562</v>
      </c>
      <c r="J412" s="4">
        <v>0</v>
      </c>
      <c r="K412" s="4">
        <v>0</v>
      </c>
      <c r="L412" s="4">
        <v>0.24</v>
      </c>
      <c r="M412" s="4">
        <v>0.24</v>
      </c>
      <c r="N412" s="4">
        <v>0.24</v>
      </c>
      <c r="O412" s="4">
        <v>0.24</v>
      </c>
      <c r="P412" s="4">
        <v>0</v>
      </c>
      <c r="Q412" s="3" t="s">
        <v>26</v>
      </c>
      <c r="R412" s="3">
        <v>0</v>
      </c>
      <c r="S412" s="4">
        <v>0</v>
      </c>
      <c r="T412" s="4">
        <v>23</v>
      </c>
      <c r="U412" s="4">
        <v>63</v>
      </c>
      <c r="V412" s="4">
        <f>IF(ISERROR(VLOOKUP($S$412,'TAR FIN'!$A$1:$O$91,15,0)),0,VLOOKUP($S$412,'TAR FIN'!$A$1:$O$91,15,0))</f>
        <v>0</v>
      </c>
      <c r="W412" s="4">
        <f>IF(ISERROR(VLOOKUP($T$412,'TAR FIN'!$A$1:$O$91,15,0)),0,VLOOKUP($T$412,'TAR FIN'!$A$1:$O$91,15,0))</f>
        <v>320.44</v>
      </c>
      <c r="X412" s="4">
        <f>IF(ISERROR(VLOOKUP($U$412,'TAR FIN'!$A$1:$O$91,15,0)),0,VLOOKUP($U$412,'TAR FIN'!$A$1:$O$91,15,0))</f>
        <v>199.03</v>
      </c>
      <c r="Y412" s="4"/>
      <c r="Z412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2" s="4">
        <f>('TE BE'!$AB$18+'TE BF'!$AB$18+'TE CVA'!$AB$18)*(1-CUSTOS!$M$37)</f>
        <v>205.52329867469447</v>
      </c>
      <c r="AB412" s="4">
        <f>$K$412*$V$412</f>
        <v>0</v>
      </c>
      <c r="AC412" s="4">
        <f>$M$412*$W$412</f>
        <v>76.905599999999993</v>
      </c>
      <c r="AD412" s="4">
        <f>$O$412*$X$412</f>
        <v>47.767199999999995</v>
      </c>
      <c r="AE412" s="4">
        <f>$K$412*$Y$412</f>
        <v>0</v>
      </c>
      <c r="AF412" s="4">
        <f ca="1">$M$412*$Z$412</f>
        <v>81.359379509481101</v>
      </c>
      <c r="AG412" s="4">
        <f>$O$412*$AA$412</f>
        <v>49.325591681926674</v>
      </c>
    </row>
    <row r="413" spans="1:33" ht="11.25" customHeight="1" x14ac:dyDescent="0.3">
      <c r="A413" s="3" t="s">
        <v>21</v>
      </c>
      <c r="B413" s="3" t="s">
        <v>22</v>
      </c>
      <c r="C413" s="3" t="s">
        <v>23</v>
      </c>
      <c r="D413" s="3" t="s">
        <v>24</v>
      </c>
      <c r="E413" s="3" t="s">
        <v>32</v>
      </c>
      <c r="F413" s="3" t="s">
        <v>25</v>
      </c>
      <c r="G413" s="3" t="s">
        <v>25</v>
      </c>
      <c r="H413" s="3" t="s">
        <v>25</v>
      </c>
      <c r="I413" s="6">
        <v>44593</v>
      </c>
      <c r="J413" s="4">
        <v>0</v>
      </c>
      <c r="K413" s="4">
        <v>0</v>
      </c>
      <c r="L413" s="4">
        <v>70.347999999999999</v>
      </c>
      <c r="M413" s="4">
        <v>70.347999999999999</v>
      </c>
      <c r="N413" s="4">
        <v>70.347999999999999</v>
      </c>
      <c r="O413" s="4">
        <v>70.347999999999999</v>
      </c>
      <c r="P413" s="4">
        <v>564</v>
      </c>
      <c r="Q413" s="3" t="s">
        <v>26</v>
      </c>
      <c r="R413" s="3">
        <v>0</v>
      </c>
      <c r="S413" s="4">
        <v>0</v>
      </c>
      <c r="T413" s="4">
        <v>23</v>
      </c>
      <c r="U413" s="4">
        <v>63</v>
      </c>
      <c r="V413" s="4">
        <f>IF(ISERROR(VLOOKUP($S$413,'TAR FIN'!$A$1:$O$91,15,0)),0,VLOOKUP($S$413,'TAR FIN'!$A$1:$O$91,15,0))</f>
        <v>0</v>
      </c>
      <c r="W413" s="4">
        <f>IF(ISERROR(VLOOKUP($T$413,'TAR FIN'!$A$1:$O$91,15,0)),0,VLOOKUP($T$413,'TAR FIN'!$A$1:$O$91,15,0))</f>
        <v>320.44</v>
      </c>
      <c r="X413" s="4">
        <f>IF(ISERROR(VLOOKUP($U$413,'TAR FIN'!$A$1:$O$91,15,0)),0,VLOOKUP($U$413,'TAR FIN'!$A$1:$O$91,15,0))</f>
        <v>199.03</v>
      </c>
      <c r="Y413" s="4"/>
      <c r="Z413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3" s="4">
        <f>('TE BE'!$AB$18+'TE BF'!$AB$18+'TE CVA'!$AB$18)*(1-CUSTOS!$M$37)</f>
        <v>205.52329867469447</v>
      </c>
      <c r="AB413" s="4">
        <f>$K$413*$V$413</f>
        <v>0</v>
      </c>
      <c r="AC413" s="4">
        <f>$M$413*$W$413</f>
        <v>22542.313119999999</v>
      </c>
      <c r="AD413" s="4">
        <f>$O$413*$X$413</f>
        <v>14001.362439999999</v>
      </c>
      <c r="AE413" s="4">
        <f>$K$413*$Y$413</f>
        <v>0</v>
      </c>
      <c r="AF413" s="4">
        <f ca="1">$M$413*$Z$413</f>
        <v>23847.790123887404</v>
      </c>
      <c r="AG413" s="4">
        <f>$O$413*$AA$413</f>
        <v>14458.153015167407</v>
      </c>
    </row>
    <row r="414" spans="1:33" ht="11.25" customHeight="1" x14ac:dyDescent="0.3">
      <c r="A414" s="3" t="s">
        <v>27</v>
      </c>
      <c r="B414" s="3" t="s">
        <v>22</v>
      </c>
      <c r="C414" s="3" t="s">
        <v>23</v>
      </c>
      <c r="D414" s="3" t="s">
        <v>24</v>
      </c>
      <c r="E414" s="3" t="s">
        <v>32</v>
      </c>
      <c r="F414" s="3" t="s">
        <v>25</v>
      </c>
      <c r="G414" s="3" t="s">
        <v>25</v>
      </c>
      <c r="H414" s="3" t="s">
        <v>25</v>
      </c>
      <c r="I414" s="6">
        <v>44593</v>
      </c>
      <c r="J414" s="4">
        <v>0</v>
      </c>
      <c r="K414" s="4">
        <v>0</v>
      </c>
      <c r="L414" s="4">
        <v>-0.61499999999999999</v>
      </c>
      <c r="M414" s="4">
        <v>-0.61499999999999999</v>
      </c>
      <c r="N414" s="4">
        <v>-0.61499999999999999</v>
      </c>
      <c r="O414" s="4">
        <v>-0.61499999999999999</v>
      </c>
      <c r="P414" s="4">
        <v>0</v>
      </c>
      <c r="Q414" s="3" t="s">
        <v>26</v>
      </c>
      <c r="R414" s="3">
        <v>0</v>
      </c>
      <c r="S414" s="4">
        <v>0</v>
      </c>
      <c r="T414" s="4">
        <v>23</v>
      </c>
      <c r="U414" s="4">
        <v>63</v>
      </c>
      <c r="V414" s="4">
        <f>IF(ISERROR(VLOOKUP($S$414,'TAR FIN'!$A$1:$O$91,15,0)),0,VLOOKUP($S$414,'TAR FIN'!$A$1:$O$91,15,0))</f>
        <v>0</v>
      </c>
      <c r="W414" s="4">
        <f>IF(ISERROR(VLOOKUP($T$414,'TAR FIN'!$A$1:$O$91,15,0)),0,VLOOKUP($T$414,'TAR FIN'!$A$1:$O$91,15,0))</f>
        <v>320.44</v>
      </c>
      <c r="X414" s="4">
        <f>IF(ISERROR(VLOOKUP($U$414,'TAR FIN'!$A$1:$O$91,15,0)),0,VLOOKUP($U$414,'TAR FIN'!$A$1:$O$91,15,0))</f>
        <v>199.03</v>
      </c>
      <c r="Y414" s="4"/>
      <c r="Z414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4" s="4">
        <f>('TE BE'!$AB$18+'TE BF'!$AB$18+'TE CVA'!$AB$18)*(1-CUSTOS!$M$37)</f>
        <v>205.52329867469447</v>
      </c>
      <c r="AB414" s="4">
        <f>$K$414*$V$414</f>
        <v>0</v>
      </c>
      <c r="AC414" s="4">
        <f>$M$414*$W$414</f>
        <v>-197.07059999999998</v>
      </c>
      <c r="AD414" s="4">
        <f>$O$414*$X$414</f>
        <v>-122.40344999999999</v>
      </c>
      <c r="AE414" s="4">
        <f>$K$414*$Y$414</f>
        <v>0</v>
      </c>
      <c r="AF414" s="4">
        <f ca="1">$M$414*$Z$414</f>
        <v>-208.48340999304534</v>
      </c>
      <c r="AG414" s="4">
        <f>$O$414*$AA$414</f>
        <v>-126.39682868493711</v>
      </c>
    </row>
    <row r="415" spans="1:33" ht="11.25" customHeight="1" x14ac:dyDescent="0.3">
      <c r="A415" s="3" t="s">
        <v>28</v>
      </c>
      <c r="B415" s="3" t="s">
        <v>22</v>
      </c>
      <c r="C415" s="3" t="s">
        <v>23</v>
      </c>
      <c r="D415" s="3" t="s">
        <v>24</v>
      </c>
      <c r="E415" s="3" t="s">
        <v>32</v>
      </c>
      <c r="F415" s="3" t="s">
        <v>25</v>
      </c>
      <c r="G415" s="3" t="s">
        <v>25</v>
      </c>
      <c r="H415" s="3" t="s">
        <v>25</v>
      </c>
      <c r="I415" s="6">
        <v>44593</v>
      </c>
      <c r="J415" s="4">
        <v>0</v>
      </c>
      <c r="K415" s="4">
        <v>0</v>
      </c>
      <c r="L415" s="4">
        <v>1.4E-2</v>
      </c>
      <c r="M415" s="4">
        <v>1.4E-2</v>
      </c>
      <c r="N415" s="4">
        <v>1.4E-2</v>
      </c>
      <c r="O415" s="4">
        <v>1.4E-2</v>
      </c>
      <c r="P415" s="4">
        <v>1</v>
      </c>
      <c r="Q415" s="3" t="s">
        <v>26</v>
      </c>
      <c r="R415" s="3">
        <v>0</v>
      </c>
      <c r="S415" s="4">
        <v>0</v>
      </c>
      <c r="T415" s="4">
        <v>23</v>
      </c>
      <c r="U415" s="4">
        <v>63</v>
      </c>
      <c r="V415" s="4">
        <f>IF(ISERROR(VLOOKUP($S$415,'TAR FIN'!$A$1:$O$91,15,0)),0,VLOOKUP($S$415,'TAR FIN'!$A$1:$O$91,15,0))</f>
        <v>0</v>
      </c>
      <c r="W415" s="4">
        <f>IF(ISERROR(VLOOKUP($T$415,'TAR FIN'!$A$1:$O$91,15,0)),0,VLOOKUP($T$415,'TAR FIN'!$A$1:$O$91,15,0))</f>
        <v>320.44</v>
      </c>
      <c r="X415" s="4">
        <f>IF(ISERROR(VLOOKUP($U$415,'TAR FIN'!$A$1:$O$91,15,0)),0,VLOOKUP($U$415,'TAR FIN'!$A$1:$O$91,15,0))</f>
        <v>199.03</v>
      </c>
      <c r="Y415" s="4"/>
      <c r="Z415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5" s="4">
        <f>('TE BE'!$AB$18+'TE BF'!$AB$18+'TE CVA'!$AB$18)*(1-CUSTOS!$M$37)</f>
        <v>205.52329867469447</v>
      </c>
      <c r="AB415" s="4">
        <f>$K$415*$V$415</f>
        <v>0</v>
      </c>
      <c r="AC415" s="4">
        <f>$M$415*$W$415</f>
        <v>4.4861599999999999</v>
      </c>
      <c r="AD415" s="4">
        <f>$O$415*$X$415</f>
        <v>2.7864200000000001</v>
      </c>
      <c r="AE415" s="4">
        <f>$K$415*$Y$415</f>
        <v>0</v>
      </c>
      <c r="AF415" s="4">
        <f ca="1">$M$415*$Z$415</f>
        <v>4.7459638047197314</v>
      </c>
      <c r="AG415" s="4">
        <f>$O$415*$AA$415</f>
        <v>2.8773261814457225</v>
      </c>
    </row>
    <row r="416" spans="1:33" ht="11.25" customHeight="1" x14ac:dyDescent="0.3">
      <c r="A416" s="3" t="s">
        <v>21</v>
      </c>
      <c r="B416" s="3" t="s">
        <v>22</v>
      </c>
      <c r="C416" s="3" t="s">
        <v>23</v>
      </c>
      <c r="D416" s="3" t="s">
        <v>24</v>
      </c>
      <c r="E416" s="3" t="s">
        <v>32</v>
      </c>
      <c r="F416" s="3" t="s">
        <v>25</v>
      </c>
      <c r="G416" s="3" t="s">
        <v>25</v>
      </c>
      <c r="H416" s="3" t="s">
        <v>25</v>
      </c>
      <c r="I416" s="6">
        <v>44621</v>
      </c>
      <c r="J416" s="4">
        <v>0</v>
      </c>
      <c r="K416" s="4">
        <v>0</v>
      </c>
      <c r="L416" s="4">
        <v>43.421999999999997</v>
      </c>
      <c r="M416" s="4">
        <v>43.421999999999997</v>
      </c>
      <c r="N416" s="4">
        <v>43.421999999999997</v>
      </c>
      <c r="O416" s="4">
        <v>43.421999999999997</v>
      </c>
      <c r="P416" s="4">
        <v>447</v>
      </c>
      <c r="Q416" s="3" t="s">
        <v>26</v>
      </c>
      <c r="R416" s="3">
        <v>0</v>
      </c>
      <c r="S416" s="4">
        <v>0</v>
      </c>
      <c r="T416" s="4">
        <v>23</v>
      </c>
      <c r="U416" s="4">
        <v>63</v>
      </c>
      <c r="V416" s="4">
        <f>IF(ISERROR(VLOOKUP($S$416,'TAR FIN'!$A$1:$O$91,15,0)),0,VLOOKUP($S$416,'TAR FIN'!$A$1:$O$91,15,0))</f>
        <v>0</v>
      </c>
      <c r="W416" s="4">
        <f>IF(ISERROR(VLOOKUP($T$416,'TAR FIN'!$A$1:$O$91,15,0)),0,VLOOKUP($T$416,'TAR FIN'!$A$1:$O$91,15,0))</f>
        <v>320.44</v>
      </c>
      <c r="X416" s="4">
        <f>IF(ISERROR(VLOOKUP($U$416,'TAR FIN'!$A$1:$O$91,15,0)),0,VLOOKUP($U$416,'TAR FIN'!$A$1:$O$91,15,0))</f>
        <v>199.03</v>
      </c>
      <c r="Y416" s="4"/>
      <c r="Z416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6" s="4">
        <f>('TE BE'!$AB$18+'TE BF'!$AB$18+'TE CVA'!$AB$18)*(1-CUSTOS!$M$37)</f>
        <v>205.52329867469447</v>
      </c>
      <c r="AB416" s="4">
        <f>$K$416*$V$416</f>
        <v>0</v>
      </c>
      <c r="AC416" s="4">
        <f>$M$416*$W$416</f>
        <v>13914.14568</v>
      </c>
      <c r="AD416" s="4">
        <f>$O$416*$X$416</f>
        <v>8642.2806600000004</v>
      </c>
      <c r="AE416" s="4">
        <f>$K$416*$Y$416</f>
        <v>0</v>
      </c>
      <c r="AF416" s="4">
        <f ca="1">$M$416*$Z$416</f>
        <v>14719.945737752867</v>
      </c>
      <c r="AG416" s="4">
        <f>$O$416*$AA$416</f>
        <v>8924.2326750525826</v>
      </c>
    </row>
    <row r="417" spans="1:33" ht="11.25" customHeight="1" x14ac:dyDescent="0.3">
      <c r="A417" s="3" t="s">
        <v>27</v>
      </c>
      <c r="B417" s="3" t="s">
        <v>22</v>
      </c>
      <c r="C417" s="3" t="s">
        <v>23</v>
      </c>
      <c r="D417" s="3" t="s">
        <v>24</v>
      </c>
      <c r="E417" s="3" t="s">
        <v>32</v>
      </c>
      <c r="F417" s="3" t="s">
        <v>25</v>
      </c>
      <c r="G417" s="3" t="s">
        <v>25</v>
      </c>
      <c r="H417" s="3" t="s">
        <v>25</v>
      </c>
      <c r="I417" s="6">
        <v>44621</v>
      </c>
      <c r="J417" s="4">
        <v>0</v>
      </c>
      <c r="K417" s="4">
        <v>0</v>
      </c>
      <c r="L417" s="4">
        <v>-0.43099999999999999</v>
      </c>
      <c r="M417" s="4">
        <v>-0.43099999999999999</v>
      </c>
      <c r="N417" s="4">
        <v>-0.43099999999999999</v>
      </c>
      <c r="O417" s="4">
        <v>-0.43099999999999999</v>
      </c>
      <c r="P417" s="4">
        <v>0</v>
      </c>
      <c r="Q417" s="3" t="s">
        <v>26</v>
      </c>
      <c r="R417" s="3">
        <v>0</v>
      </c>
      <c r="S417" s="4">
        <v>0</v>
      </c>
      <c r="T417" s="4">
        <v>23</v>
      </c>
      <c r="U417" s="4">
        <v>63</v>
      </c>
      <c r="V417" s="4">
        <f>IF(ISERROR(VLOOKUP($S$417,'TAR FIN'!$A$1:$O$91,15,0)),0,VLOOKUP($S$417,'TAR FIN'!$A$1:$O$91,15,0))</f>
        <v>0</v>
      </c>
      <c r="W417" s="4">
        <f>IF(ISERROR(VLOOKUP($T$417,'TAR FIN'!$A$1:$O$91,15,0)),0,VLOOKUP($T$417,'TAR FIN'!$A$1:$O$91,15,0))</f>
        <v>320.44</v>
      </c>
      <c r="X417" s="4">
        <f>IF(ISERROR(VLOOKUP($U$417,'TAR FIN'!$A$1:$O$91,15,0)),0,VLOOKUP($U$417,'TAR FIN'!$A$1:$O$91,15,0))</f>
        <v>199.03</v>
      </c>
      <c r="Y417" s="4"/>
      <c r="Z417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7" s="4">
        <f>('TE BE'!$AB$18+'TE BF'!$AB$18+'TE CVA'!$AB$18)*(1-CUSTOS!$M$37)</f>
        <v>205.52329867469447</v>
      </c>
      <c r="AB417" s="4">
        <f>$K$417*$V$417</f>
        <v>0</v>
      </c>
      <c r="AC417" s="4">
        <f>$M$417*$W$417</f>
        <v>-138.10963999999998</v>
      </c>
      <c r="AD417" s="4">
        <f>$O$417*$X$417</f>
        <v>-85.781930000000003</v>
      </c>
      <c r="AE417" s="4">
        <f>$K$417*$Y$417</f>
        <v>0</v>
      </c>
      <c r="AF417" s="4">
        <f ca="1">$M$417*$Z$417</f>
        <v>-146.10788570244316</v>
      </c>
      <c r="AG417" s="4">
        <f>$O$417*$AA$417</f>
        <v>-88.580541728793321</v>
      </c>
    </row>
    <row r="418" spans="1:33" ht="11.25" customHeight="1" x14ac:dyDescent="0.3">
      <c r="A418" s="3" t="s">
        <v>21</v>
      </c>
      <c r="B418" s="3" t="s">
        <v>22</v>
      </c>
      <c r="C418" s="3" t="s">
        <v>23</v>
      </c>
      <c r="D418" s="3" t="s">
        <v>24</v>
      </c>
      <c r="E418" s="3" t="s">
        <v>32</v>
      </c>
      <c r="F418" s="3" t="s">
        <v>25</v>
      </c>
      <c r="G418" s="3" t="s">
        <v>25</v>
      </c>
      <c r="H418" s="3" t="s">
        <v>25</v>
      </c>
      <c r="I418" s="6">
        <v>44652</v>
      </c>
      <c r="J418" s="4">
        <v>0</v>
      </c>
      <c r="K418" s="4">
        <v>0</v>
      </c>
      <c r="L418" s="4">
        <v>17.241</v>
      </c>
      <c r="M418" s="4">
        <v>17.241</v>
      </c>
      <c r="N418" s="4">
        <v>17.241</v>
      </c>
      <c r="O418" s="4">
        <v>17.241</v>
      </c>
      <c r="P418" s="4">
        <v>245</v>
      </c>
      <c r="Q418" s="3" t="s">
        <v>26</v>
      </c>
      <c r="R418" s="3">
        <v>0</v>
      </c>
      <c r="S418" s="4">
        <v>0</v>
      </c>
      <c r="T418" s="4">
        <v>23</v>
      </c>
      <c r="U418" s="4">
        <v>63</v>
      </c>
      <c r="V418" s="4">
        <f>IF(ISERROR(VLOOKUP($S$418,'TAR FIN'!$A$1:$O$91,15,0)),0,VLOOKUP($S$418,'TAR FIN'!$A$1:$O$91,15,0))</f>
        <v>0</v>
      </c>
      <c r="W418" s="4">
        <f>IF(ISERROR(VLOOKUP($T$418,'TAR FIN'!$A$1:$O$91,15,0)),0,VLOOKUP($T$418,'TAR FIN'!$A$1:$O$91,15,0))</f>
        <v>320.44</v>
      </c>
      <c r="X418" s="4">
        <f>IF(ISERROR(VLOOKUP($U$418,'TAR FIN'!$A$1:$O$91,15,0)),0,VLOOKUP($U$418,'TAR FIN'!$A$1:$O$91,15,0))</f>
        <v>199.03</v>
      </c>
      <c r="Y418" s="4"/>
      <c r="Z418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8" s="4">
        <f>('TE BE'!$AB$18+'TE BF'!$AB$18+'TE CVA'!$AB$18)*(1-CUSTOS!$M$37)</f>
        <v>205.52329867469447</v>
      </c>
      <c r="AB418" s="4">
        <f>$K$418*$V$418</f>
        <v>0</v>
      </c>
      <c r="AC418" s="4">
        <f>$M$418*$W$418</f>
        <v>5524.70604</v>
      </c>
      <c r="AD418" s="4">
        <f>$O$418*$X$418</f>
        <v>3431.4762299999998</v>
      </c>
      <c r="AE418" s="4">
        <f>$K$418*$Y$418</f>
        <v>0</v>
      </c>
      <c r="AF418" s="4">
        <f ca="1">$M$418*$Z$418</f>
        <v>5844.654425512349</v>
      </c>
      <c r="AG418" s="4">
        <f>$O$418*$AA$418</f>
        <v>3543.4271924504073</v>
      </c>
    </row>
    <row r="419" spans="1:33" ht="11.25" customHeight="1" x14ac:dyDescent="0.3">
      <c r="A419" s="3" t="s">
        <v>21</v>
      </c>
      <c r="B419" s="3" t="s">
        <v>22</v>
      </c>
      <c r="C419" s="3" t="s">
        <v>23</v>
      </c>
      <c r="D419" s="3" t="s">
        <v>24</v>
      </c>
      <c r="E419" s="3" t="s">
        <v>32</v>
      </c>
      <c r="F419" s="3" t="s">
        <v>25</v>
      </c>
      <c r="G419" s="3" t="s">
        <v>25</v>
      </c>
      <c r="H419" s="3" t="s">
        <v>25</v>
      </c>
      <c r="I419" s="6">
        <v>44682</v>
      </c>
      <c r="J419" s="4">
        <v>0</v>
      </c>
      <c r="K419" s="4">
        <v>0</v>
      </c>
      <c r="L419" s="4">
        <v>22.236000000000001</v>
      </c>
      <c r="M419" s="4">
        <v>22.236000000000001</v>
      </c>
      <c r="N419" s="4">
        <v>22.236000000000001</v>
      </c>
      <c r="O419" s="4">
        <v>22.236000000000001</v>
      </c>
      <c r="P419" s="4">
        <v>294</v>
      </c>
      <c r="Q419" s="3" t="s">
        <v>26</v>
      </c>
      <c r="R419" s="3">
        <v>0</v>
      </c>
      <c r="S419" s="4">
        <v>0</v>
      </c>
      <c r="T419" s="4">
        <v>23</v>
      </c>
      <c r="U419" s="4">
        <v>63</v>
      </c>
      <c r="V419" s="4">
        <f>IF(ISERROR(VLOOKUP($S$419,'TAR FIN'!$A$1:$O$91,15,0)),0,VLOOKUP($S$419,'TAR FIN'!$A$1:$O$91,15,0))</f>
        <v>0</v>
      </c>
      <c r="W419" s="4">
        <f>IF(ISERROR(VLOOKUP($T$419,'TAR FIN'!$A$1:$O$91,15,0)),0,VLOOKUP($T$419,'TAR FIN'!$A$1:$O$91,15,0))</f>
        <v>320.44</v>
      </c>
      <c r="X419" s="4">
        <f>IF(ISERROR(VLOOKUP($U$419,'TAR FIN'!$A$1:$O$91,15,0)),0,VLOOKUP($U$419,'TAR FIN'!$A$1:$O$91,15,0))</f>
        <v>199.03</v>
      </c>
      <c r="Y419" s="4"/>
      <c r="Z419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19" s="4">
        <f>('TE BE'!$AB$18+'TE BF'!$AB$18+'TE CVA'!$AB$18)*(1-CUSTOS!$M$37)</f>
        <v>205.52329867469447</v>
      </c>
      <c r="AB419" s="4">
        <f>$K$419*$V$419</f>
        <v>0</v>
      </c>
      <c r="AC419" s="4">
        <f>$M$419*$W$419</f>
        <v>7125.3038400000005</v>
      </c>
      <c r="AD419" s="4">
        <f>$O$419*$X$419</f>
        <v>4425.6310800000001</v>
      </c>
      <c r="AE419" s="4">
        <f>$K$419*$Y$419</f>
        <v>0</v>
      </c>
      <c r="AF419" s="4">
        <f ca="1">$M$419*$Z$419</f>
        <v>7537.9465115534249</v>
      </c>
      <c r="AG419" s="4">
        <f>$O$419*$AA$419</f>
        <v>4570.0160693305061</v>
      </c>
    </row>
    <row r="420" spans="1:33" ht="11.25" customHeight="1" x14ac:dyDescent="0.3">
      <c r="A420" s="3" t="s">
        <v>21</v>
      </c>
      <c r="B420" s="3" t="s">
        <v>22</v>
      </c>
      <c r="C420" s="3" t="s">
        <v>23</v>
      </c>
      <c r="D420" s="3" t="s">
        <v>24</v>
      </c>
      <c r="E420" s="3" t="s">
        <v>32</v>
      </c>
      <c r="F420" s="3" t="s">
        <v>25</v>
      </c>
      <c r="G420" s="3" t="s">
        <v>25</v>
      </c>
      <c r="H420" s="3" t="s">
        <v>25</v>
      </c>
      <c r="I420" s="6">
        <v>44713</v>
      </c>
      <c r="J420" s="4">
        <v>0</v>
      </c>
      <c r="K420" s="4">
        <v>0</v>
      </c>
      <c r="L420" s="4">
        <v>25.146999999999998</v>
      </c>
      <c r="M420" s="4">
        <v>25.146999999999998</v>
      </c>
      <c r="N420" s="4">
        <v>25.146999999999998</v>
      </c>
      <c r="O420" s="4">
        <v>25.146999999999998</v>
      </c>
      <c r="P420" s="4">
        <v>316</v>
      </c>
      <c r="Q420" s="3" t="s">
        <v>26</v>
      </c>
      <c r="R420" s="3">
        <v>0</v>
      </c>
      <c r="S420" s="4">
        <v>0</v>
      </c>
      <c r="T420" s="4">
        <v>23</v>
      </c>
      <c r="U420" s="4">
        <v>63</v>
      </c>
      <c r="V420" s="4">
        <f>IF(ISERROR(VLOOKUP($S$420,'TAR FIN'!$A$1:$O$91,15,0)),0,VLOOKUP($S$420,'TAR FIN'!$A$1:$O$91,15,0))</f>
        <v>0</v>
      </c>
      <c r="W420" s="4">
        <f>IF(ISERROR(VLOOKUP($T$420,'TAR FIN'!$A$1:$O$91,15,0)),0,VLOOKUP($T$420,'TAR FIN'!$A$1:$O$91,15,0))</f>
        <v>320.44</v>
      </c>
      <c r="X420" s="4">
        <f>IF(ISERROR(VLOOKUP($U$420,'TAR FIN'!$A$1:$O$91,15,0)),0,VLOOKUP($U$420,'TAR FIN'!$A$1:$O$91,15,0))</f>
        <v>199.03</v>
      </c>
      <c r="Y420" s="4"/>
      <c r="Z420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420" s="4">
        <f>('TE BE'!$AB$18+'TE BF'!$AB$18+'TE CVA'!$AB$18)*(1-CUSTOS!$M$37)</f>
        <v>205.52329867469447</v>
      </c>
      <c r="AB420" s="4">
        <f>$K$420*$V$420</f>
        <v>0</v>
      </c>
      <c r="AC420" s="4">
        <f>$M$420*$W$420</f>
        <v>8058.1046799999995</v>
      </c>
      <c r="AD420" s="4">
        <f>$O$420*$X$420</f>
        <v>5005.0074100000002</v>
      </c>
      <c r="AE420" s="4">
        <f>$K$420*$Y$420</f>
        <v>0</v>
      </c>
      <c r="AF420" s="4">
        <f ca="1">$M$420*$Z$420</f>
        <v>8524.7679855205042</v>
      </c>
      <c r="AG420" s="4">
        <f>$O$420*$AA$420</f>
        <v>5168.2943917725415</v>
      </c>
    </row>
    <row r="421" spans="1:33" ht="11.25" customHeight="1" x14ac:dyDescent="0.3">
      <c r="A421" s="3" t="s">
        <v>21</v>
      </c>
      <c r="B421" s="3" t="s">
        <v>42</v>
      </c>
      <c r="C421" s="3" t="s">
        <v>33</v>
      </c>
      <c r="D421" s="3" t="s">
        <v>43</v>
      </c>
      <c r="E421" s="3" t="s">
        <v>25</v>
      </c>
      <c r="F421" s="3" t="s">
        <v>25</v>
      </c>
      <c r="G421" s="3" t="s">
        <v>25</v>
      </c>
      <c r="H421" s="3" t="s">
        <v>35</v>
      </c>
      <c r="I421" s="6">
        <v>44409</v>
      </c>
      <c r="J421" s="4">
        <v>0</v>
      </c>
      <c r="K421" s="4">
        <v>0</v>
      </c>
      <c r="L421" s="4">
        <v>0.13700000000000001</v>
      </c>
      <c r="M421" s="4">
        <v>0.13700000000000001</v>
      </c>
      <c r="N421" s="4">
        <v>0.13700000000000001</v>
      </c>
      <c r="O421" s="4">
        <v>0.13700000000000001</v>
      </c>
      <c r="P421" s="4">
        <v>0</v>
      </c>
      <c r="Q421" s="3" t="s">
        <v>26</v>
      </c>
      <c r="R421" s="3">
        <v>0</v>
      </c>
      <c r="S421" s="4">
        <v>0</v>
      </c>
      <c r="T421" s="4">
        <v>31</v>
      </c>
      <c r="U421" s="4">
        <v>71</v>
      </c>
      <c r="V421" s="4">
        <f>IF(ISERROR(VLOOKUP($S$421,'TAR FIN'!$A$1:$O$91,15,0)),0,VLOOKUP($S$421,'TAR FIN'!$A$1:$O$91,15,0))</f>
        <v>0</v>
      </c>
      <c r="W421" s="4">
        <f>IF(ISERROR(VLOOKUP($T$421,'TAR FIN'!$A$1:$O$91,15,0)),0,VLOOKUP($T$421,'TAR FIN'!$A$1:$O$91,15,0))</f>
        <v>243.73</v>
      </c>
      <c r="X421" s="4">
        <f>IF(ISERROR(VLOOKUP($U$421,'TAR FIN'!$A$1:$O$91,15,0)),0,VLOOKUP($U$421,'TAR FIN'!$A$1:$O$91,15,0))</f>
        <v>167.16</v>
      </c>
      <c r="Y421" s="4"/>
      <c r="Z421" s="4">
        <f ca="1">('TUSD BE'!$AM$35+'TUSD BF'!$AM$35+'TUSD CVA'!$AM$35)*(1-CUSTOS!$M$38)</f>
        <v>308.75483518149031</v>
      </c>
      <c r="AA421" s="4">
        <f>('TE BE'!$AB$26+'TE BF'!$AB$26+'TE CVA'!$AB$26)*(1-CUSTOS!$M$38)</f>
        <v>184.1432479319173</v>
      </c>
      <c r="AB421" s="4">
        <f>$K$421*$V$421</f>
        <v>0</v>
      </c>
      <c r="AC421" s="4">
        <f>$M$421*$W$421</f>
        <v>33.391010000000001</v>
      </c>
      <c r="AD421" s="4">
        <f>$O$421*$X$421</f>
        <v>22.900920000000003</v>
      </c>
      <c r="AE421" s="4">
        <f>$K$421*$Y$421</f>
        <v>0</v>
      </c>
      <c r="AF421" s="4">
        <f ca="1">$M$421*$Z$421</f>
        <v>42.299412419864176</v>
      </c>
      <c r="AG421" s="4">
        <f>$O$421*$AA$421</f>
        <v>25.227624966672671</v>
      </c>
    </row>
    <row r="422" spans="1:33" ht="11.25" customHeight="1" x14ac:dyDescent="0.3">
      <c r="A422" s="3" t="s">
        <v>21</v>
      </c>
      <c r="B422" s="3" t="s">
        <v>42</v>
      </c>
      <c r="C422" s="3" t="s">
        <v>33</v>
      </c>
      <c r="D422" s="3" t="s">
        <v>43</v>
      </c>
      <c r="E422" s="3" t="s">
        <v>25</v>
      </c>
      <c r="F422" s="3" t="s">
        <v>25</v>
      </c>
      <c r="G422" s="3" t="s">
        <v>25</v>
      </c>
      <c r="H422" s="3" t="s">
        <v>35</v>
      </c>
      <c r="I422" s="6">
        <v>44470</v>
      </c>
      <c r="J422" s="4">
        <v>0</v>
      </c>
      <c r="K422" s="4">
        <v>0</v>
      </c>
      <c r="L422" s="4">
        <v>0.44500000000000001</v>
      </c>
      <c r="M422" s="4">
        <v>0.44500000000000001</v>
      </c>
      <c r="N422" s="4">
        <v>0.44500000000000001</v>
      </c>
      <c r="O422" s="4">
        <v>0.44500000000000001</v>
      </c>
      <c r="P422" s="4">
        <v>0</v>
      </c>
      <c r="Q422" s="3" t="s">
        <v>26</v>
      </c>
      <c r="R422" s="3">
        <v>0</v>
      </c>
      <c r="S422" s="4">
        <v>0</v>
      </c>
      <c r="T422" s="4">
        <v>31</v>
      </c>
      <c r="U422" s="4">
        <v>71</v>
      </c>
      <c r="V422" s="4">
        <f>IF(ISERROR(VLOOKUP($S$422,'TAR FIN'!$A$1:$O$91,15,0)),0,VLOOKUP($S$422,'TAR FIN'!$A$1:$O$91,15,0))</f>
        <v>0</v>
      </c>
      <c r="W422" s="4">
        <f>IF(ISERROR(VLOOKUP($T$422,'TAR FIN'!$A$1:$O$91,15,0)),0,VLOOKUP($T$422,'TAR FIN'!$A$1:$O$91,15,0))</f>
        <v>243.73</v>
      </c>
      <c r="X422" s="4">
        <f>IF(ISERROR(VLOOKUP($U$422,'TAR FIN'!$A$1:$O$91,15,0)),0,VLOOKUP($U$422,'TAR FIN'!$A$1:$O$91,15,0))</f>
        <v>167.16</v>
      </c>
      <c r="Y422" s="4"/>
      <c r="Z422" s="4">
        <f ca="1">('TUSD BE'!$AM$35+'TUSD BF'!$AM$35+'TUSD CVA'!$AM$35)*(1-CUSTOS!$M$38)</f>
        <v>308.75483518149031</v>
      </c>
      <c r="AA422" s="4">
        <f>('TE BE'!$AB$26+'TE BF'!$AB$26+'TE CVA'!$AB$26)*(1-CUSTOS!$M$38)</f>
        <v>184.1432479319173</v>
      </c>
      <c r="AB422" s="4">
        <f>$K$422*$V$422</f>
        <v>0</v>
      </c>
      <c r="AC422" s="4">
        <f>$M$422*$W$422</f>
        <v>108.45985</v>
      </c>
      <c r="AD422" s="4">
        <f>$O$422*$X$422</f>
        <v>74.386200000000002</v>
      </c>
      <c r="AE422" s="4">
        <f>$K$422*$Y$422</f>
        <v>0</v>
      </c>
      <c r="AF422" s="4">
        <f ca="1">$M$422*$Z$422</f>
        <v>137.3959016557632</v>
      </c>
      <c r="AG422" s="4">
        <f>$O$422*$AA$422</f>
        <v>81.943745329703205</v>
      </c>
    </row>
    <row r="423" spans="1:33" ht="11.25" customHeight="1" x14ac:dyDescent="0.3">
      <c r="A423" s="3" t="s">
        <v>21</v>
      </c>
      <c r="B423" s="3" t="s">
        <v>42</v>
      </c>
      <c r="C423" s="3" t="s">
        <v>33</v>
      </c>
      <c r="D423" s="3" t="s">
        <v>43</v>
      </c>
      <c r="E423" s="3" t="s">
        <v>25</v>
      </c>
      <c r="F423" s="3" t="s">
        <v>25</v>
      </c>
      <c r="G423" s="3" t="s">
        <v>25</v>
      </c>
      <c r="H423" s="3" t="s">
        <v>35</v>
      </c>
      <c r="I423" s="6">
        <v>44501</v>
      </c>
      <c r="J423" s="4">
        <v>0</v>
      </c>
      <c r="K423" s="4">
        <v>0</v>
      </c>
      <c r="L423" s="4">
        <v>0.26400000000000001</v>
      </c>
      <c r="M423" s="4">
        <v>0.26400000000000001</v>
      </c>
      <c r="N423" s="4">
        <v>0.26400000000000001</v>
      </c>
      <c r="O423" s="4">
        <v>0.26400000000000001</v>
      </c>
      <c r="P423" s="4">
        <v>0</v>
      </c>
      <c r="Q423" s="3" t="s">
        <v>26</v>
      </c>
      <c r="R423" s="3">
        <v>0</v>
      </c>
      <c r="S423" s="4">
        <v>0</v>
      </c>
      <c r="T423" s="4">
        <v>31</v>
      </c>
      <c r="U423" s="4">
        <v>71</v>
      </c>
      <c r="V423" s="4">
        <f>IF(ISERROR(VLOOKUP($S$423,'TAR FIN'!$A$1:$O$91,15,0)),0,VLOOKUP($S$423,'TAR FIN'!$A$1:$O$91,15,0))</f>
        <v>0</v>
      </c>
      <c r="W423" s="4">
        <f>IF(ISERROR(VLOOKUP($T$423,'TAR FIN'!$A$1:$O$91,15,0)),0,VLOOKUP($T$423,'TAR FIN'!$A$1:$O$91,15,0))</f>
        <v>243.73</v>
      </c>
      <c r="X423" s="4">
        <f>IF(ISERROR(VLOOKUP($U$423,'TAR FIN'!$A$1:$O$91,15,0)),0,VLOOKUP($U$423,'TAR FIN'!$A$1:$O$91,15,0))</f>
        <v>167.16</v>
      </c>
      <c r="Y423" s="4"/>
      <c r="Z423" s="4">
        <f ca="1">('TUSD BE'!$AM$35+'TUSD BF'!$AM$35+'TUSD CVA'!$AM$35)*(1-CUSTOS!$M$38)</f>
        <v>308.75483518149031</v>
      </c>
      <c r="AA423" s="4">
        <f>('TE BE'!$AB$26+'TE BF'!$AB$26+'TE CVA'!$AB$26)*(1-CUSTOS!$M$38)</f>
        <v>184.1432479319173</v>
      </c>
      <c r="AB423" s="4">
        <f>$K$423*$V$423</f>
        <v>0</v>
      </c>
      <c r="AC423" s="4">
        <f>$M$423*$W$423</f>
        <v>64.344719999999995</v>
      </c>
      <c r="AD423" s="4">
        <f>$O$423*$X$423</f>
        <v>44.130240000000001</v>
      </c>
      <c r="AE423" s="4">
        <f>$K$423*$Y$423</f>
        <v>0</v>
      </c>
      <c r="AF423" s="4">
        <f ca="1">$M$423*$Z$423</f>
        <v>81.511276487913449</v>
      </c>
      <c r="AG423" s="4">
        <f>$O$423*$AA$423</f>
        <v>48.613817454026169</v>
      </c>
    </row>
    <row r="424" spans="1:33" ht="11.25" customHeight="1" x14ac:dyDescent="0.3">
      <c r="A424" s="3" t="s">
        <v>21</v>
      </c>
      <c r="B424" s="3" t="s">
        <v>42</v>
      </c>
      <c r="C424" s="3" t="s">
        <v>33</v>
      </c>
      <c r="D424" s="3" t="s">
        <v>43</v>
      </c>
      <c r="E424" s="3" t="s">
        <v>25</v>
      </c>
      <c r="F424" s="3" t="s">
        <v>25</v>
      </c>
      <c r="G424" s="3" t="s">
        <v>25</v>
      </c>
      <c r="H424" s="3" t="s">
        <v>35</v>
      </c>
      <c r="I424" s="6">
        <v>44531</v>
      </c>
      <c r="J424" s="4">
        <v>0</v>
      </c>
      <c r="K424" s="4">
        <v>0</v>
      </c>
      <c r="L424" s="4">
        <v>0.33200000000000002</v>
      </c>
      <c r="M424" s="4">
        <v>0.33200000000000002</v>
      </c>
      <c r="N424" s="4">
        <v>0.33200000000000002</v>
      </c>
      <c r="O424" s="4">
        <v>0.33200000000000002</v>
      </c>
      <c r="P424" s="4">
        <v>0</v>
      </c>
      <c r="Q424" s="3" t="s">
        <v>26</v>
      </c>
      <c r="R424" s="3">
        <v>0</v>
      </c>
      <c r="S424" s="4">
        <v>0</v>
      </c>
      <c r="T424" s="4">
        <v>31</v>
      </c>
      <c r="U424" s="4">
        <v>71</v>
      </c>
      <c r="V424" s="4">
        <f>IF(ISERROR(VLOOKUP($S$424,'TAR FIN'!$A$1:$O$91,15,0)),0,VLOOKUP($S$424,'TAR FIN'!$A$1:$O$91,15,0))</f>
        <v>0</v>
      </c>
      <c r="W424" s="4">
        <f>IF(ISERROR(VLOOKUP($T$424,'TAR FIN'!$A$1:$O$91,15,0)),0,VLOOKUP($T$424,'TAR FIN'!$A$1:$O$91,15,0))</f>
        <v>243.73</v>
      </c>
      <c r="X424" s="4">
        <f>IF(ISERROR(VLOOKUP($U$424,'TAR FIN'!$A$1:$O$91,15,0)),0,VLOOKUP($U$424,'TAR FIN'!$A$1:$O$91,15,0))</f>
        <v>167.16</v>
      </c>
      <c r="Y424" s="4"/>
      <c r="Z424" s="4">
        <f ca="1">('TUSD BE'!$AM$35+'TUSD BF'!$AM$35+'TUSD CVA'!$AM$35)*(1-CUSTOS!$M$38)</f>
        <v>308.75483518149031</v>
      </c>
      <c r="AA424" s="4">
        <f>('TE BE'!$AB$26+'TE BF'!$AB$26+'TE CVA'!$AB$26)*(1-CUSTOS!$M$38)</f>
        <v>184.1432479319173</v>
      </c>
      <c r="AB424" s="4">
        <f>$K$424*$V$424</f>
        <v>0</v>
      </c>
      <c r="AC424" s="4">
        <f>$M$424*$W$424</f>
        <v>80.918360000000007</v>
      </c>
      <c r="AD424" s="4">
        <f>$O$424*$X$424</f>
        <v>55.497120000000002</v>
      </c>
      <c r="AE424" s="4">
        <f>$K$424*$Y$424</f>
        <v>0</v>
      </c>
      <c r="AF424" s="4">
        <f ca="1">$M$424*$Z$424</f>
        <v>102.50660528025479</v>
      </c>
      <c r="AG424" s="4">
        <f>$O$424*$AA$424</f>
        <v>61.135558313396544</v>
      </c>
    </row>
    <row r="425" spans="1:33" ht="11.25" customHeight="1" x14ac:dyDescent="0.3">
      <c r="A425" s="3" t="s">
        <v>21</v>
      </c>
      <c r="B425" s="3" t="s">
        <v>42</v>
      </c>
      <c r="C425" s="3" t="s">
        <v>33</v>
      </c>
      <c r="D425" s="3" t="s">
        <v>43</v>
      </c>
      <c r="E425" s="3" t="s">
        <v>25</v>
      </c>
      <c r="F425" s="3" t="s">
        <v>25</v>
      </c>
      <c r="G425" s="3" t="s">
        <v>25</v>
      </c>
      <c r="H425" s="3" t="s">
        <v>35</v>
      </c>
      <c r="I425" s="6">
        <v>44562</v>
      </c>
      <c r="J425" s="4">
        <v>0</v>
      </c>
      <c r="K425" s="4">
        <v>0</v>
      </c>
      <c r="L425" s="4">
        <v>0.27600000000000002</v>
      </c>
      <c r="M425" s="4">
        <v>0.27600000000000002</v>
      </c>
      <c r="N425" s="4">
        <v>0.27600000000000002</v>
      </c>
      <c r="O425" s="4">
        <v>0.27600000000000002</v>
      </c>
      <c r="P425" s="4">
        <v>0</v>
      </c>
      <c r="Q425" s="3" t="s">
        <v>26</v>
      </c>
      <c r="R425" s="3">
        <v>0</v>
      </c>
      <c r="S425" s="4">
        <v>0</v>
      </c>
      <c r="T425" s="4">
        <v>31</v>
      </c>
      <c r="U425" s="4">
        <v>71</v>
      </c>
      <c r="V425" s="4">
        <f>IF(ISERROR(VLOOKUP($S$425,'TAR FIN'!$A$1:$O$91,15,0)),0,VLOOKUP($S$425,'TAR FIN'!$A$1:$O$91,15,0))</f>
        <v>0</v>
      </c>
      <c r="W425" s="4">
        <f>IF(ISERROR(VLOOKUP($T$425,'TAR FIN'!$A$1:$O$91,15,0)),0,VLOOKUP($T$425,'TAR FIN'!$A$1:$O$91,15,0))</f>
        <v>243.73</v>
      </c>
      <c r="X425" s="4">
        <f>IF(ISERROR(VLOOKUP($U$425,'TAR FIN'!$A$1:$O$91,15,0)),0,VLOOKUP($U$425,'TAR FIN'!$A$1:$O$91,15,0))</f>
        <v>167.16</v>
      </c>
      <c r="Y425" s="4"/>
      <c r="Z425" s="4">
        <f ca="1">('TUSD BE'!$AM$35+'TUSD BF'!$AM$35+'TUSD CVA'!$AM$35)*(1-CUSTOS!$M$38)</f>
        <v>308.75483518149031</v>
      </c>
      <c r="AA425" s="4">
        <f>('TE BE'!$AB$26+'TE BF'!$AB$26+'TE CVA'!$AB$26)*(1-CUSTOS!$M$38)</f>
        <v>184.1432479319173</v>
      </c>
      <c r="AB425" s="4">
        <f>$K$425*$V$425</f>
        <v>0</v>
      </c>
      <c r="AC425" s="4">
        <f>$M$425*$W$425</f>
        <v>67.269480000000001</v>
      </c>
      <c r="AD425" s="4">
        <f>$O$425*$X$425</f>
        <v>46.136160000000004</v>
      </c>
      <c r="AE425" s="4">
        <f>$K$425*$Y$425</f>
        <v>0</v>
      </c>
      <c r="AF425" s="4">
        <f ca="1">$M$425*$Z$425</f>
        <v>85.216334510091329</v>
      </c>
      <c r="AG425" s="4">
        <f>$O$425*$AA$425</f>
        <v>50.823536429209177</v>
      </c>
    </row>
    <row r="426" spans="1:33" ht="11.25" customHeight="1" x14ac:dyDescent="0.3">
      <c r="A426" s="3" t="s">
        <v>21</v>
      </c>
      <c r="B426" s="3" t="s">
        <v>42</v>
      </c>
      <c r="C426" s="3" t="s">
        <v>33</v>
      </c>
      <c r="D426" s="3" t="s">
        <v>43</v>
      </c>
      <c r="E426" s="3" t="s">
        <v>25</v>
      </c>
      <c r="F426" s="3" t="s">
        <v>25</v>
      </c>
      <c r="G426" s="3" t="s">
        <v>25</v>
      </c>
      <c r="H426" s="3" t="s">
        <v>35</v>
      </c>
      <c r="I426" s="6">
        <v>44593</v>
      </c>
      <c r="J426" s="4">
        <v>0</v>
      </c>
      <c r="K426" s="4">
        <v>0</v>
      </c>
      <c r="L426" s="4">
        <v>0.28100000000000003</v>
      </c>
      <c r="M426" s="4">
        <v>0.28100000000000003</v>
      </c>
      <c r="N426" s="4">
        <v>0.28100000000000003</v>
      </c>
      <c r="O426" s="4">
        <v>0.28100000000000003</v>
      </c>
      <c r="P426" s="4">
        <v>0</v>
      </c>
      <c r="Q426" s="3" t="s">
        <v>26</v>
      </c>
      <c r="R426" s="3">
        <v>0</v>
      </c>
      <c r="S426" s="4">
        <v>0</v>
      </c>
      <c r="T426" s="4">
        <v>31</v>
      </c>
      <c r="U426" s="4">
        <v>71</v>
      </c>
      <c r="V426" s="4">
        <f>IF(ISERROR(VLOOKUP($S$426,'TAR FIN'!$A$1:$O$91,15,0)),0,VLOOKUP($S$426,'TAR FIN'!$A$1:$O$91,15,0))</f>
        <v>0</v>
      </c>
      <c r="W426" s="4">
        <f>IF(ISERROR(VLOOKUP($T$426,'TAR FIN'!$A$1:$O$91,15,0)),0,VLOOKUP($T$426,'TAR FIN'!$A$1:$O$91,15,0))</f>
        <v>243.73</v>
      </c>
      <c r="X426" s="4">
        <f>IF(ISERROR(VLOOKUP($U$426,'TAR FIN'!$A$1:$O$91,15,0)),0,VLOOKUP($U$426,'TAR FIN'!$A$1:$O$91,15,0))</f>
        <v>167.16</v>
      </c>
      <c r="Y426" s="4"/>
      <c r="Z426" s="4">
        <f ca="1">('TUSD BE'!$AM$35+'TUSD BF'!$AM$35+'TUSD CVA'!$AM$35)*(1-CUSTOS!$M$38)</f>
        <v>308.75483518149031</v>
      </c>
      <c r="AA426" s="4">
        <f>('TE BE'!$AB$26+'TE BF'!$AB$26+'TE CVA'!$AB$26)*(1-CUSTOS!$M$38)</f>
        <v>184.1432479319173</v>
      </c>
      <c r="AB426" s="4">
        <f>$K$426*$V$426</f>
        <v>0</v>
      </c>
      <c r="AC426" s="4">
        <f>$M$426*$W$426</f>
        <v>68.488129999999998</v>
      </c>
      <c r="AD426" s="4">
        <f>$O$426*$X$426</f>
        <v>46.971960000000003</v>
      </c>
      <c r="AE426" s="4">
        <f>$K$426*$Y$426</f>
        <v>0</v>
      </c>
      <c r="AF426" s="4">
        <f ca="1">$M$426*$Z$426</f>
        <v>86.760108685998787</v>
      </c>
      <c r="AG426" s="4">
        <f>$O$426*$AA$426</f>
        <v>51.744252668868768</v>
      </c>
    </row>
    <row r="427" spans="1:33" ht="11.25" customHeight="1" x14ac:dyDescent="0.3">
      <c r="A427" s="3" t="s">
        <v>21</v>
      </c>
      <c r="B427" s="3" t="s">
        <v>42</v>
      </c>
      <c r="C427" s="3" t="s">
        <v>33</v>
      </c>
      <c r="D427" s="3" t="s">
        <v>43</v>
      </c>
      <c r="E427" s="3" t="s">
        <v>25</v>
      </c>
      <c r="F427" s="3" t="s">
        <v>25</v>
      </c>
      <c r="G427" s="3" t="s">
        <v>25</v>
      </c>
      <c r="H427" s="3" t="s">
        <v>35</v>
      </c>
      <c r="I427" s="6">
        <v>44621</v>
      </c>
      <c r="J427" s="4">
        <v>0</v>
      </c>
      <c r="K427" s="4">
        <v>0</v>
      </c>
      <c r="L427" s="4">
        <v>0.24199999999999999</v>
      </c>
      <c r="M427" s="4">
        <v>0.24199999999999999</v>
      </c>
      <c r="N427" s="4">
        <v>0.24199999999999999</v>
      </c>
      <c r="O427" s="4">
        <v>0.24199999999999999</v>
      </c>
      <c r="P427" s="4">
        <v>0</v>
      </c>
      <c r="Q427" s="3" t="s">
        <v>26</v>
      </c>
      <c r="R427" s="3">
        <v>0</v>
      </c>
      <c r="S427" s="4">
        <v>0</v>
      </c>
      <c r="T427" s="4">
        <v>31</v>
      </c>
      <c r="U427" s="4">
        <v>71</v>
      </c>
      <c r="V427" s="4">
        <f>IF(ISERROR(VLOOKUP($S$427,'TAR FIN'!$A$1:$O$91,15,0)),0,VLOOKUP($S$427,'TAR FIN'!$A$1:$O$91,15,0))</f>
        <v>0</v>
      </c>
      <c r="W427" s="4">
        <f>IF(ISERROR(VLOOKUP($T$427,'TAR FIN'!$A$1:$O$91,15,0)),0,VLOOKUP($T$427,'TAR FIN'!$A$1:$O$91,15,0))</f>
        <v>243.73</v>
      </c>
      <c r="X427" s="4">
        <f>IF(ISERROR(VLOOKUP($U$427,'TAR FIN'!$A$1:$O$91,15,0)),0,VLOOKUP($U$427,'TAR FIN'!$A$1:$O$91,15,0))</f>
        <v>167.16</v>
      </c>
      <c r="Y427" s="4"/>
      <c r="Z427" s="4">
        <f ca="1">('TUSD BE'!$AM$35+'TUSD BF'!$AM$35+'TUSD CVA'!$AM$35)*(1-CUSTOS!$M$38)</f>
        <v>308.75483518149031</v>
      </c>
      <c r="AA427" s="4">
        <f>('TE BE'!$AB$26+'TE BF'!$AB$26+'TE CVA'!$AB$26)*(1-CUSTOS!$M$38)</f>
        <v>184.1432479319173</v>
      </c>
      <c r="AB427" s="4">
        <f>$K$427*$V$427</f>
        <v>0</v>
      </c>
      <c r="AC427" s="4">
        <f>$M$427*$W$427</f>
        <v>58.982659999999996</v>
      </c>
      <c r="AD427" s="4">
        <f>$O$427*$X$427</f>
        <v>40.452719999999999</v>
      </c>
      <c r="AE427" s="4">
        <f>$K$427*$Y$427</f>
        <v>0</v>
      </c>
      <c r="AF427" s="4">
        <f ca="1">$M$427*$Z$427</f>
        <v>74.718670113920652</v>
      </c>
      <c r="AG427" s="4">
        <f>$O$427*$AA$427</f>
        <v>44.562665999523986</v>
      </c>
    </row>
    <row r="428" spans="1:33" ht="11.25" customHeight="1" x14ac:dyDescent="0.3">
      <c r="A428" s="3" t="s">
        <v>21</v>
      </c>
      <c r="B428" s="3" t="s">
        <v>42</v>
      </c>
      <c r="C428" s="3" t="s">
        <v>33</v>
      </c>
      <c r="D428" s="3" t="s">
        <v>43</v>
      </c>
      <c r="E428" s="3" t="s">
        <v>25</v>
      </c>
      <c r="F428" s="3" t="s">
        <v>25</v>
      </c>
      <c r="G428" s="3" t="s">
        <v>25</v>
      </c>
      <c r="H428" s="3" t="s">
        <v>35</v>
      </c>
      <c r="I428" s="6">
        <v>44652</v>
      </c>
      <c r="J428" s="4">
        <v>0</v>
      </c>
      <c r="K428" s="4">
        <v>0</v>
      </c>
      <c r="L428" s="4">
        <v>0.2</v>
      </c>
      <c r="M428" s="4">
        <v>0.2</v>
      </c>
      <c r="N428" s="4">
        <v>0.2</v>
      </c>
      <c r="O428" s="4">
        <v>0.2</v>
      </c>
      <c r="P428" s="4">
        <v>0</v>
      </c>
      <c r="Q428" s="3" t="s">
        <v>26</v>
      </c>
      <c r="R428" s="3">
        <v>0</v>
      </c>
      <c r="S428" s="4">
        <v>0</v>
      </c>
      <c r="T428" s="4">
        <v>31</v>
      </c>
      <c r="U428" s="4">
        <v>71</v>
      </c>
      <c r="V428" s="4">
        <f>IF(ISERROR(VLOOKUP($S$428,'TAR FIN'!$A$1:$O$91,15,0)),0,VLOOKUP($S$428,'TAR FIN'!$A$1:$O$91,15,0))</f>
        <v>0</v>
      </c>
      <c r="W428" s="4">
        <f>IF(ISERROR(VLOOKUP($T$428,'TAR FIN'!$A$1:$O$91,15,0)),0,VLOOKUP($T$428,'TAR FIN'!$A$1:$O$91,15,0))</f>
        <v>243.73</v>
      </c>
      <c r="X428" s="4">
        <f>IF(ISERROR(VLOOKUP($U$428,'TAR FIN'!$A$1:$O$91,15,0)),0,VLOOKUP($U$428,'TAR FIN'!$A$1:$O$91,15,0))</f>
        <v>167.16</v>
      </c>
      <c r="Y428" s="4"/>
      <c r="Z428" s="4">
        <f ca="1">('TUSD BE'!$AM$35+'TUSD BF'!$AM$35+'TUSD CVA'!$AM$35)*(1-CUSTOS!$M$38)</f>
        <v>308.75483518149031</v>
      </c>
      <c r="AA428" s="4">
        <f>('TE BE'!$AB$26+'TE BF'!$AB$26+'TE CVA'!$AB$26)*(1-CUSTOS!$M$38)</f>
        <v>184.1432479319173</v>
      </c>
      <c r="AB428" s="4">
        <f>$K$428*$V$428</f>
        <v>0</v>
      </c>
      <c r="AC428" s="4">
        <f>$M$428*$W$428</f>
        <v>48.746000000000002</v>
      </c>
      <c r="AD428" s="4">
        <f>$O$428*$X$428</f>
        <v>33.432000000000002</v>
      </c>
      <c r="AE428" s="4">
        <f>$K$428*$Y$428</f>
        <v>0</v>
      </c>
      <c r="AF428" s="4">
        <f ca="1">$M$428*$Z$428</f>
        <v>61.750967036298064</v>
      </c>
      <c r="AG428" s="4">
        <f>$O$428*$AA$428</f>
        <v>36.828649586383463</v>
      </c>
    </row>
    <row r="429" spans="1:33" ht="11.25" customHeight="1" x14ac:dyDescent="0.3">
      <c r="A429" s="3" t="s">
        <v>21</v>
      </c>
      <c r="B429" s="3" t="s">
        <v>42</v>
      </c>
      <c r="C429" s="3" t="s">
        <v>33</v>
      </c>
      <c r="D429" s="3" t="s">
        <v>43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44682</v>
      </c>
      <c r="J429" s="4">
        <v>0</v>
      </c>
      <c r="K429" s="4">
        <v>0</v>
      </c>
      <c r="L429" s="4">
        <v>0.16</v>
      </c>
      <c r="M429" s="4">
        <v>0.16</v>
      </c>
      <c r="N429" s="4">
        <v>0.16</v>
      </c>
      <c r="O429" s="4">
        <v>0.16</v>
      </c>
      <c r="P429" s="4">
        <v>0</v>
      </c>
      <c r="Q429" s="3" t="s">
        <v>26</v>
      </c>
      <c r="R429" s="3">
        <v>0</v>
      </c>
      <c r="S429" s="4">
        <v>0</v>
      </c>
      <c r="T429" s="4">
        <v>31</v>
      </c>
      <c r="U429" s="4">
        <v>71</v>
      </c>
      <c r="V429" s="4">
        <f>IF(ISERROR(VLOOKUP($S$429,'TAR FIN'!$A$1:$O$91,15,0)),0,VLOOKUP($S$429,'TAR FIN'!$A$1:$O$91,15,0))</f>
        <v>0</v>
      </c>
      <c r="W429" s="4">
        <f>IF(ISERROR(VLOOKUP($T$429,'TAR FIN'!$A$1:$O$91,15,0)),0,VLOOKUP($T$429,'TAR FIN'!$A$1:$O$91,15,0))</f>
        <v>243.73</v>
      </c>
      <c r="X429" s="4">
        <f>IF(ISERROR(VLOOKUP($U$429,'TAR FIN'!$A$1:$O$91,15,0)),0,VLOOKUP($U$429,'TAR FIN'!$A$1:$O$91,15,0))</f>
        <v>167.16</v>
      </c>
      <c r="Y429" s="4"/>
      <c r="Z429" s="4">
        <f ca="1">('TUSD BE'!$AM$35+'TUSD BF'!$AM$35+'TUSD CVA'!$AM$35)*(1-CUSTOS!$M$38)</f>
        <v>308.75483518149031</v>
      </c>
      <c r="AA429" s="4">
        <f>('TE BE'!$AB$26+'TE BF'!$AB$26+'TE CVA'!$AB$26)*(1-CUSTOS!$M$38)</f>
        <v>184.1432479319173</v>
      </c>
      <c r="AB429" s="4">
        <f>$K$429*$V$429</f>
        <v>0</v>
      </c>
      <c r="AC429" s="4">
        <f>$M$429*$W$429</f>
        <v>38.9968</v>
      </c>
      <c r="AD429" s="4">
        <f>$O$429*$X$429</f>
        <v>26.7456</v>
      </c>
      <c r="AE429" s="4">
        <f>$K$429*$Y$429</f>
        <v>0</v>
      </c>
      <c r="AF429" s="4">
        <f ca="1">$M$429*$Z$429</f>
        <v>49.400773629038447</v>
      </c>
      <c r="AG429" s="4">
        <f>$O$429*$AA$429</f>
        <v>29.462919669106768</v>
      </c>
    </row>
    <row r="430" spans="1:33" ht="11.25" customHeight="1" x14ac:dyDescent="0.3">
      <c r="A430" s="3" t="s">
        <v>21</v>
      </c>
      <c r="B430" s="3" t="s">
        <v>42</v>
      </c>
      <c r="C430" s="3" t="s">
        <v>33</v>
      </c>
      <c r="D430" s="3" t="s">
        <v>43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44713</v>
      </c>
      <c r="J430" s="4">
        <v>0</v>
      </c>
      <c r="K430" s="4">
        <v>0</v>
      </c>
      <c r="L430" s="4">
        <v>0.16</v>
      </c>
      <c r="M430" s="4">
        <v>0.16</v>
      </c>
      <c r="N430" s="4">
        <v>0.16</v>
      </c>
      <c r="O430" s="4">
        <v>0.16</v>
      </c>
      <c r="P430" s="4">
        <v>0</v>
      </c>
      <c r="Q430" s="3" t="s">
        <v>26</v>
      </c>
      <c r="R430" s="3">
        <v>0</v>
      </c>
      <c r="S430" s="4">
        <v>0</v>
      </c>
      <c r="T430" s="4">
        <v>31</v>
      </c>
      <c r="U430" s="4">
        <v>71</v>
      </c>
      <c r="V430" s="4">
        <f>IF(ISERROR(VLOOKUP($S$430,'TAR FIN'!$A$1:$O$91,15,0)),0,VLOOKUP($S$430,'TAR FIN'!$A$1:$O$91,15,0))</f>
        <v>0</v>
      </c>
      <c r="W430" s="4">
        <f>IF(ISERROR(VLOOKUP($T$430,'TAR FIN'!$A$1:$O$91,15,0)),0,VLOOKUP($T$430,'TAR FIN'!$A$1:$O$91,15,0))</f>
        <v>243.73</v>
      </c>
      <c r="X430" s="4">
        <f>IF(ISERROR(VLOOKUP($U$430,'TAR FIN'!$A$1:$O$91,15,0)),0,VLOOKUP($U$430,'TAR FIN'!$A$1:$O$91,15,0))</f>
        <v>167.16</v>
      </c>
      <c r="Y430" s="4"/>
      <c r="Z430" s="4">
        <f ca="1">('TUSD BE'!$AM$35+'TUSD BF'!$AM$35+'TUSD CVA'!$AM$35)*(1-CUSTOS!$M$38)</f>
        <v>308.75483518149031</v>
      </c>
      <c r="AA430" s="4">
        <f>('TE BE'!$AB$26+'TE BF'!$AB$26+'TE CVA'!$AB$26)*(1-CUSTOS!$M$38)</f>
        <v>184.1432479319173</v>
      </c>
      <c r="AB430" s="4">
        <f>$K$430*$V$430</f>
        <v>0</v>
      </c>
      <c r="AC430" s="4">
        <f>$M$430*$W$430</f>
        <v>38.9968</v>
      </c>
      <c r="AD430" s="4">
        <f>$O$430*$X$430</f>
        <v>26.7456</v>
      </c>
      <c r="AE430" s="4">
        <f>$K$430*$Y$430</f>
        <v>0</v>
      </c>
      <c r="AF430" s="4">
        <f ca="1">$M$430*$Z$430</f>
        <v>49.400773629038447</v>
      </c>
      <c r="AG430" s="4">
        <f>$O$430*$AA$430</f>
        <v>29.462919669106768</v>
      </c>
    </row>
    <row r="431" spans="1:33" ht="11.25" customHeight="1" x14ac:dyDescent="0.3">
      <c r="A431" s="3" t="s">
        <v>21</v>
      </c>
      <c r="B431" s="3" t="s">
        <v>42</v>
      </c>
      <c r="C431" s="3" t="s">
        <v>33</v>
      </c>
      <c r="D431" s="3" t="s">
        <v>43</v>
      </c>
      <c r="E431" s="3" t="s">
        <v>25</v>
      </c>
      <c r="F431" s="3" t="s">
        <v>25</v>
      </c>
      <c r="G431" s="3" t="s">
        <v>25</v>
      </c>
      <c r="H431" s="3" t="s">
        <v>36</v>
      </c>
      <c r="I431" s="6">
        <v>44409</v>
      </c>
      <c r="J431" s="4">
        <v>0</v>
      </c>
      <c r="K431" s="4">
        <v>0</v>
      </c>
      <c r="L431" s="4">
        <v>1.7000000000000001E-2</v>
      </c>
      <c r="M431" s="4">
        <v>1.7000000000000001E-2</v>
      </c>
      <c r="N431" s="4">
        <v>1.7000000000000001E-2</v>
      </c>
      <c r="O431" s="4">
        <v>1.7000000000000001E-2</v>
      </c>
      <c r="P431" s="4">
        <v>0</v>
      </c>
      <c r="Q431" s="3" t="s">
        <v>26</v>
      </c>
      <c r="R431" s="3">
        <v>0</v>
      </c>
      <c r="S431" s="4">
        <v>0</v>
      </c>
      <c r="T431" s="4">
        <v>30</v>
      </c>
      <c r="U431" s="4">
        <v>70</v>
      </c>
      <c r="V431" s="4">
        <f>IF(ISERROR(VLOOKUP($S$431,'TAR FIN'!$A$1:$O$91,15,0)),0,VLOOKUP($S$431,'TAR FIN'!$A$1:$O$91,15,0))</f>
        <v>0</v>
      </c>
      <c r="W431" s="4">
        <f>IF(ISERROR(VLOOKUP($T$431,'TAR FIN'!$A$1:$O$91,15,0)),0,VLOOKUP($T$431,'TAR FIN'!$A$1:$O$91,15,0))</f>
        <v>533.92999999999995</v>
      </c>
      <c r="X431" s="4">
        <f>IF(ISERROR(VLOOKUP($U$431,'TAR FIN'!$A$1:$O$91,15,0)),0,VLOOKUP($U$431,'TAR FIN'!$A$1:$O$91,15,0))</f>
        <v>167.16</v>
      </c>
      <c r="Y431" s="4"/>
      <c r="Z431" s="4">
        <f ca="1">('TUSD BE'!$AM$34+'TUSD BF'!$AM$34+'TUSD CVA'!$AM$34)*(1-CUSTOS!$M$38)</f>
        <v>685.07427471052529</v>
      </c>
      <c r="AA431" s="4">
        <f>('TE BE'!$AB$25+'TE BF'!$AB$25+'TE CVA'!$AB$25)*(1-CUSTOS!$M$38)</f>
        <v>184.1432479319173</v>
      </c>
      <c r="AB431" s="4">
        <f>$K$431*$V$431</f>
        <v>0</v>
      </c>
      <c r="AC431" s="4">
        <f>$M$431*$W$431</f>
        <v>9.07681</v>
      </c>
      <c r="AD431" s="4">
        <f>$O$431*$X$431</f>
        <v>2.84172</v>
      </c>
      <c r="AE431" s="4">
        <f>$K$431*$Y$431</f>
        <v>0</v>
      </c>
      <c r="AF431" s="4">
        <f ca="1">$M$431*$Z$431</f>
        <v>11.646262670078931</v>
      </c>
      <c r="AG431" s="4">
        <f>$O$431*$AA$431</f>
        <v>3.1304352148425942</v>
      </c>
    </row>
    <row r="432" spans="1:33" ht="11.25" customHeight="1" x14ac:dyDescent="0.3">
      <c r="A432" s="3" t="s">
        <v>21</v>
      </c>
      <c r="B432" s="3" t="s">
        <v>42</v>
      </c>
      <c r="C432" s="3" t="s">
        <v>33</v>
      </c>
      <c r="D432" s="3" t="s">
        <v>43</v>
      </c>
      <c r="E432" s="3" t="s">
        <v>25</v>
      </c>
      <c r="F432" s="3" t="s">
        <v>25</v>
      </c>
      <c r="G432" s="3" t="s">
        <v>25</v>
      </c>
      <c r="H432" s="3" t="s">
        <v>36</v>
      </c>
      <c r="I432" s="6">
        <v>44470</v>
      </c>
      <c r="J432" s="4">
        <v>0</v>
      </c>
      <c r="K432" s="4">
        <v>0</v>
      </c>
      <c r="L432" s="4">
        <v>1.4999999999999999E-2</v>
      </c>
      <c r="M432" s="4">
        <v>1.4999999999999999E-2</v>
      </c>
      <c r="N432" s="4">
        <v>1.4999999999999999E-2</v>
      </c>
      <c r="O432" s="4">
        <v>1.4999999999999999E-2</v>
      </c>
      <c r="P432" s="4">
        <v>0</v>
      </c>
      <c r="Q432" s="3" t="s">
        <v>26</v>
      </c>
      <c r="R432" s="3">
        <v>0</v>
      </c>
      <c r="S432" s="4">
        <v>0</v>
      </c>
      <c r="T432" s="4">
        <v>30</v>
      </c>
      <c r="U432" s="4">
        <v>70</v>
      </c>
      <c r="V432" s="4">
        <f>IF(ISERROR(VLOOKUP($S$432,'TAR FIN'!$A$1:$O$91,15,0)),0,VLOOKUP($S$432,'TAR FIN'!$A$1:$O$91,15,0))</f>
        <v>0</v>
      </c>
      <c r="W432" s="4">
        <f>IF(ISERROR(VLOOKUP($T$432,'TAR FIN'!$A$1:$O$91,15,0)),0,VLOOKUP($T$432,'TAR FIN'!$A$1:$O$91,15,0))</f>
        <v>533.92999999999995</v>
      </c>
      <c r="X432" s="4">
        <f>IF(ISERROR(VLOOKUP($U$432,'TAR FIN'!$A$1:$O$91,15,0)),0,VLOOKUP($U$432,'TAR FIN'!$A$1:$O$91,15,0))</f>
        <v>167.16</v>
      </c>
      <c r="Y432" s="4"/>
      <c r="Z432" s="4">
        <f ca="1">('TUSD BE'!$AM$34+'TUSD BF'!$AM$34+'TUSD CVA'!$AM$34)*(1-CUSTOS!$M$38)</f>
        <v>685.07427471052529</v>
      </c>
      <c r="AA432" s="4">
        <f>('TE BE'!$AB$25+'TE BF'!$AB$25+'TE CVA'!$AB$25)*(1-CUSTOS!$M$38)</f>
        <v>184.1432479319173</v>
      </c>
      <c r="AB432" s="4">
        <f>$K$432*$V$432</f>
        <v>0</v>
      </c>
      <c r="AC432" s="4">
        <f>$M$432*$W$432</f>
        <v>8.0089499999999987</v>
      </c>
      <c r="AD432" s="4">
        <f>$O$432*$X$432</f>
        <v>2.5074000000000001</v>
      </c>
      <c r="AE432" s="4">
        <f>$K$432*$Y$432</f>
        <v>0</v>
      </c>
      <c r="AF432" s="4">
        <f ca="1">$M$432*$Z$432</f>
        <v>10.276114120657878</v>
      </c>
      <c r="AG432" s="4">
        <f>$O$432*$AA$432</f>
        <v>2.7621487189787595</v>
      </c>
    </row>
    <row r="433" spans="1:33" ht="11.25" customHeight="1" x14ac:dyDescent="0.3">
      <c r="A433" s="3" t="s">
        <v>21</v>
      </c>
      <c r="B433" s="3" t="s">
        <v>42</v>
      </c>
      <c r="C433" s="3" t="s">
        <v>33</v>
      </c>
      <c r="D433" s="3" t="s">
        <v>43</v>
      </c>
      <c r="E433" s="3" t="s">
        <v>25</v>
      </c>
      <c r="F433" s="3" t="s">
        <v>25</v>
      </c>
      <c r="G433" s="3" t="s">
        <v>25</v>
      </c>
      <c r="H433" s="3" t="s">
        <v>36</v>
      </c>
      <c r="I433" s="6">
        <v>44501</v>
      </c>
      <c r="J433" s="4">
        <v>0</v>
      </c>
      <c r="K433" s="4">
        <v>0</v>
      </c>
      <c r="L433" s="4">
        <v>2.5999999999999999E-2</v>
      </c>
      <c r="M433" s="4">
        <v>2.5999999999999999E-2</v>
      </c>
      <c r="N433" s="4">
        <v>2.5999999999999999E-2</v>
      </c>
      <c r="O433" s="4">
        <v>2.5999999999999999E-2</v>
      </c>
      <c r="P433" s="4">
        <v>0</v>
      </c>
      <c r="Q433" s="3" t="s">
        <v>26</v>
      </c>
      <c r="R433" s="3">
        <v>0</v>
      </c>
      <c r="S433" s="4">
        <v>0</v>
      </c>
      <c r="T433" s="4">
        <v>30</v>
      </c>
      <c r="U433" s="4">
        <v>70</v>
      </c>
      <c r="V433" s="4">
        <f>IF(ISERROR(VLOOKUP($S$433,'TAR FIN'!$A$1:$O$91,15,0)),0,VLOOKUP($S$433,'TAR FIN'!$A$1:$O$91,15,0))</f>
        <v>0</v>
      </c>
      <c r="W433" s="4">
        <f>IF(ISERROR(VLOOKUP($T$433,'TAR FIN'!$A$1:$O$91,15,0)),0,VLOOKUP($T$433,'TAR FIN'!$A$1:$O$91,15,0))</f>
        <v>533.92999999999995</v>
      </c>
      <c r="X433" s="4">
        <f>IF(ISERROR(VLOOKUP($U$433,'TAR FIN'!$A$1:$O$91,15,0)),0,VLOOKUP($U$433,'TAR FIN'!$A$1:$O$91,15,0))</f>
        <v>167.16</v>
      </c>
      <c r="Y433" s="4"/>
      <c r="Z433" s="4">
        <f ca="1">('TUSD BE'!$AM$34+'TUSD BF'!$AM$34+'TUSD CVA'!$AM$34)*(1-CUSTOS!$M$38)</f>
        <v>685.07427471052529</v>
      </c>
      <c r="AA433" s="4">
        <f>('TE BE'!$AB$25+'TE BF'!$AB$25+'TE CVA'!$AB$25)*(1-CUSTOS!$M$38)</f>
        <v>184.1432479319173</v>
      </c>
      <c r="AB433" s="4">
        <f>$K$433*$V$433</f>
        <v>0</v>
      </c>
      <c r="AC433" s="4">
        <f>$M$433*$W$433</f>
        <v>13.882179999999998</v>
      </c>
      <c r="AD433" s="4">
        <f>$O$433*$X$433</f>
        <v>4.3461599999999994</v>
      </c>
      <c r="AE433" s="4">
        <f>$K$433*$Y$433</f>
        <v>0</v>
      </c>
      <c r="AF433" s="4">
        <f ca="1">$M$433*$Z$433</f>
        <v>17.811931142473657</v>
      </c>
      <c r="AG433" s="4">
        <f>$O$433*$AA$433</f>
        <v>4.7877244462298494</v>
      </c>
    </row>
    <row r="434" spans="1:33" ht="11.25" customHeight="1" x14ac:dyDescent="0.3">
      <c r="A434" s="3" t="s">
        <v>21</v>
      </c>
      <c r="B434" s="3" t="s">
        <v>42</v>
      </c>
      <c r="C434" s="3" t="s">
        <v>33</v>
      </c>
      <c r="D434" s="3" t="s">
        <v>43</v>
      </c>
      <c r="E434" s="3" t="s">
        <v>25</v>
      </c>
      <c r="F434" s="3" t="s">
        <v>25</v>
      </c>
      <c r="G434" s="3" t="s">
        <v>25</v>
      </c>
      <c r="H434" s="3" t="s">
        <v>36</v>
      </c>
      <c r="I434" s="6">
        <v>44531</v>
      </c>
      <c r="J434" s="4">
        <v>0</v>
      </c>
      <c r="K434" s="4">
        <v>0</v>
      </c>
      <c r="L434" s="4">
        <v>3.3000000000000002E-2</v>
      </c>
      <c r="M434" s="4">
        <v>3.3000000000000002E-2</v>
      </c>
      <c r="N434" s="4">
        <v>3.3000000000000002E-2</v>
      </c>
      <c r="O434" s="4">
        <v>3.3000000000000002E-2</v>
      </c>
      <c r="P434" s="4">
        <v>0</v>
      </c>
      <c r="Q434" s="3" t="s">
        <v>26</v>
      </c>
      <c r="R434" s="3">
        <v>0</v>
      </c>
      <c r="S434" s="4">
        <v>0</v>
      </c>
      <c r="T434" s="4">
        <v>30</v>
      </c>
      <c r="U434" s="4">
        <v>70</v>
      </c>
      <c r="V434" s="4">
        <f>IF(ISERROR(VLOOKUP($S$434,'TAR FIN'!$A$1:$O$91,15,0)),0,VLOOKUP($S$434,'TAR FIN'!$A$1:$O$91,15,0))</f>
        <v>0</v>
      </c>
      <c r="W434" s="4">
        <f>IF(ISERROR(VLOOKUP($T$434,'TAR FIN'!$A$1:$O$91,15,0)),0,VLOOKUP($T$434,'TAR FIN'!$A$1:$O$91,15,0))</f>
        <v>533.92999999999995</v>
      </c>
      <c r="X434" s="4">
        <f>IF(ISERROR(VLOOKUP($U$434,'TAR FIN'!$A$1:$O$91,15,0)),0,VLOOKUP($U$434,'TAR FIN'!$A$1:$O$91,15,0))</f>
        <v>167.16</v>
      </c>
      <c r="Y434" s="4"/>
      <c r="Z434" s="4">
        <f ca="1">('TUSD BE'!$AM$34+'TUSD BF'!$AM$34+'TUSD CVA'!$AM$34)*(1-CUSTOS!$M$38)</f>
        <v>685.07427471052529</v>
      </c>
      <c r="AA434" s="4">
        <f>('TE BE'!$AB$25+'TE BF'!$AB$25+'TE CVA'!$AB$25)*(1-CUSTOS!$M$38)</f>
        <v>184.1432479319173</v>
      </c>
      <c r="AB434" s="4">
        <f>$K$434*$V$434</f>
        <v>0</v>
      </c>
      <c r="AC434" s="4">
        <f>$M$434*$W$434</f>
        <v>17.619689999999999</v>
      </c>
      <c r="AD434" s="4">
        <f>$O$434*$X$434</f>
        <v>5.5162800000000001</v>
      </c>
      <c r="AE434" s="4">
        <f>$K$434*$Y$434</f>
        <v>0</v>
      </c>
      <c r="AF434" s="4">
        <f ca="1">$M$434*$Z$434</f>
        <v>22.607451065447336</v>
      </c>
      <c r="AG434" s="4">
        <f>$O$434*$AA$434</f>
        <v>6.0767271817532711</v>
      </c>
    </row>
    <row r="435" spans="1:33" ht="11.25" customHeight="1" x14ac:dyDescent="0.3">
      <c r="A435" s="3" t="s">
        <v>21</v>
      </c>
      <c r="B435" s="3" t="s">
        <v>42</v>
      </c>
      <c r="C435" s="3" t="s">
        <v>33</v>
      </c>
      <c r="D435" s="3" t="s">
        <v>43</v>
      </c>
      <c r="E435" s="3" t="s">
        <v>25</v>
      </c>
      <c r="F435" s="3" t="s">
        <v>25</v>
      </c>
      <c r="G435" s="3" t="s">
        <v>25</v>
      </c>
      <c r="H435" s="3" t="s">
        <v>36</v>
      </c>
      <c r="I435" s="6">
        <v>44562</v>
      </c>
      <c r="J435" s="4">
        <v>0</v>
      </c>
      <c r="K435" s="4">
        <v>0</v>
      </c>
      <c r="L435" s="4">
        <v>2.4E-2</v>
      </c>
      <c r="M435" s="4">
        <v>2.4E-2</v>
      </c>
      <c r="N435" s="4">
        <v>2.4E-2</v>
      </c>
      <c r="O435" s="4">
        <v>2.4E-2</v>
      </c>
      <c r="P435" s="4">
        <v>0</v>
      </c>
      <c r="Q435" s="3" t="s">
        <v>26</v>
      </c>
      <c r="R435" s="3">
        <v>0</v>
      </c>
      <c r="S435" s="4">
        <v>0</v>
      </c>
      <c r="T435" s="4">
        <v>30</v>
      </c>
      <c r="U435" s="4">
        <v>70</v>
      </c>
      <c r="V435" s="4">
        <f>IF(ISERROR(VLOOKUP($S$435,'TAR FIN'!$A$1:$O$91,15,0)),0,VLOOKUP($S$435,'TAR FIN'!$A$1:$O$91,15,0))</f>
        <v>0</v>
      </c>
      <c r="W435" s="4">
        <f>IF(ISERROR(VLOOKUP($T$435,'TAR FIN'!$A$1:$O$91,15,0)),0,VLOOKUP($T$435,'TAR FIN'!$A$1:$O$91,15,0))</f>
        <v>533.92999999999995</v>
      </c>
      <c r="X435" s="4">
        <f>IF(ISERROR(VLOOKUP($U$435,'TAR FIN'!$A$1:$O$91,15,0)),0,VLOOKUP($U$435,'TAR FIN'!$A$1:$O$91,15,0))</f>
        <v>167.16</v>
      </c>
      <c r="Y435" s="4"/>
      <c r="Z435" s="4">
        <f ca="1">('TUSD BE'!$AM$34+'TUSD BF'!$AM$34+'TUSD CVA'!$AM$34)*(1-CUSTOS!$M$38)</f>
        <v>685.07427471052529</v>
      </c>
      <c r="AA435" s="4">
        <f>('TE BE'!$AB$25+'TE BF'!$AB$25+'TE CVA'!$AB$25)*(1-CUSTOS!$M$38)</f>
        <v>184.1432479319173</v>
      </c>
      <c r="AB435" s="4">
        <f>$K$435*$V$435</f>
        <v>0</v>
      </c>
      <c r="AC435" s="4">
        <f>$M$435*$W$435</f>
        <v>12.814319999999999</v>
      </c>
      <c r="AD435" s="4">
        <f>$O$435*$X$435</f>
        <v>4.0118400000000003</v>
      </c>
      <c r="AE435" s="4">
        <f>$K$435*$Y$435</f>
        <v>0</v>
      </c>
      <c r="AF435" s="4">
        <f ca="1">$M$435*$Z$435</f>
        <v>16.441782593052608</v>
      </c>
      <c r="AG435" s="4">
        <f>$O$435*$AA$435</f>
        <v>4.4194379503660155</v>
      </c>
    </row>
    <row r="436" spans="1:33" ht="11.25" customHeight="1" x14ac:dyDescent="0.3">
      <c r="A436" s="3" t="s">
        <v>21</v>
      </c>
      <c r="B436" s="3" t="s">
        <v>42</v>
      </c>
      <c r="C436" s="3" t="s">
        <v>33</v>
      </c>
      <c r="D436" s="3" t="s">
        <v>43</v>
      </c>
      <c r="E436" s="3" t="s">
        <v>25</v>
      </c>
      <c r="F436" s="3" t="s">
        <v>25</v>
      </c>
      <c r="G436" s="3" t="s">
        <v>25</v>
      </c>
      <c r="H436" s="3" t="s">
        <v>36</v>
      </c>
      <c r="I436" s="6">
        <v>44593</v>
      </c>
      <c r="J436" s="4">
        <v>0</v>
      </c>
      <c r="K436" s="4">
        <v>0</v>
      </c>
      <c r="L436" s="4">
        <v>2.1000000000000001E-2</v>
      </c>
      <c r="M436" s="4">
        <v>2.1000000000000001E-2</v>
      </c>
      <c r="N436" s="4">
        <v>2.1000000000000001E-2</v>
      </c>
      <c r="O436" s="4">
        <v>2.1000000000000001E-2</v>
      </c>
      <c r="P436" s="4">
        <v>0</v>
      </c>
      <c r="Q436" s="3" t="s">
        <v>26</v>
      </c>
      <c r="R436" s="3">
        <v>0</v>
      </c>
      <c r="S436" s="4">
        <v>0</v>
      </c>
      <c r="T436" s="4">
        <v>30</v>
      </c>
      <c r="U436" s="4">
        <v>70</v>
      </c>
      <c r="V436" s="4">
        <f>IF(ISERROR(VLOOKUP($S$436,'TAR FIN'!$A$1:$O$91,15,0)),0,VLOOKUP($S$436,'TAR FIN'!$A$1:$O$91,15,0))</f>
        <v>0</v>
      </c>
      <c r="W436" s="4">
        <f>IF(ISERROR(VLOOKUP($T$436,'TAR FIN'!$A$1:$O$91,15,0)),0,VLOOKUP($T$436,'TAR FIN'!$A$1:$O$91,15,0))</f>
        <v>533.92999999999995</v>
      </c>
      <c r="X436" s="4">
        <f>IF(ISERROR(VLOOKUP($U$436,'TAR FIN'!$A$1:$O$91,15,0)),0,VLOOKUP($U$436,'TAR FIN'!$A$1:$O$91,15,0))</f>
        <v>167.16</v>
      </c>
      <c r="Y436" s="4"/>
      <c r="Z436" s="4">
        <f ca="1">('TUSD BE'!$AM$34+'TUSD BF'!$AM$34+'TUSD CVA'!$AM$34)*(1-CUSTOS!$M$38)</f>
        <v>685.07427471052529</v>
      </c>
      <c r="AA436" s="4">
        <f>('TE BE'!$AB$25+'TE BF'!$AB$25+'TE CVA'!$AB$25)*(1-CUSTOS!$M$38)</f>
        <v>184.1432479319173</v>
      </c>
      <c r="AB436" s="4">
        <f>$K$436*$V$436</f>
        <v>0</v>
      </c>
      <c r="AC436" s="4">
        <f>$M$436*$W$436</f>
        <v>11.212529999999999</v>
      </c>
      <c r="AD436" s="4">
        <f>$O$436*$X$436</f>
        <v>3.5103599999999999</v>
      </c>
      <c r="AE436" s="4">
        <f>$K$436*$Y$436</f>
        <v>0</v>
      </c>
      <c r="AF436" s="4">
        <f ca="1">$M$436*$Z$436</f>
        <v>14.386559768921032</v>
      </c>
      <c r="AG436" s="4">
        <f>$O$436*$AA$436</f>
        <v>3.8670082065702638</v>
      </c>
    </row>
    <row r="437" spans="1:33" ht="11.25" customHeight="1" x14ac:dyDescent="0.3">
      <c r="A437" s="3" t="s">
        <v>21</v>
      </c>
      <c r="B437" s="3" t="s">
        <v>42</v>
      </c>
      <c r="C437" s="3" t="s">
        <v>33</v>
      </c>
      <c r="D437" s="3" t="s">
        <v>43</v>
      </c>
      <c r="E437" s="3" t="s">
        <v>25</v>
      </c>
      <c r="F437" s="3" t="s">
        <v>25</v>
      </c>
      <c r="G437" s="3" t="s">
        <v>25</v>
      </c>
      <c r="H437" s="3" t="s">
        <v>36</v>
      </c>
      <c r="I437" s="6">
        <v>44621</v>
      </c>
      <c r="J437" s="4">
        <v>0</v>
      </c>
      <c r="K437" s="4">
        <v>0</v>
      </c>
      <c r="L437" s="4">
        <v>1.6E-2</v>
      </c>
      <c r="M437" s="4">
        <v>1.6E-2</v>
      </c>
      <c r="N437" s="4">
        <v>1.6E-2</v>
      </c>
      <c r="O437" s="4">
        <v>1.6E-2</v>
      </c>
      <c r="P437" s="4">
        <v>0</v>
      </c>
      <c r="Q437" s="3" t="s">
        <v>26</v>
      </c>
      <c r="R437" s="3">
        <v>0</v>
      </c>
      <c r="S437" s="4">
        <v>0</v>
      </c>
      <c r="T437" s="4">
        <v>30</v>
      </c>
      <c r="U437" s="4">
        <v>70</v>
      </c>
      <c r="V437" s="4">
        <f>IF(ISERROR(VLOOKUP($S$437,'TAR FIN'!$A$1:$O$91,15,0)),0,VLOOKUP($S$437,'TAR FIN'!$A$1:$O$91,15,0))</f>
        <v>0</v>
      </c>
      <c r="W437" s="4">
        <f>IF(ISERROR(VLOOKUP($T$437,'TAR FIN'!$A$1:$O$91,15,0)),0,VLOOKUP($T$437,'TAR FIN'!$A$1:$O$91,15,0))</f>
        <v>533.92999999999995</v>
      </c>
      <c r="X437" s="4">
        <f>IF(ISERROR(VLOOKUP($U$437,'TAR FIN'!$A$1:$O$91,15,0)),0,VLOOKUP($U$437,'TAR FIN'!$A$1:$O$91,15,0))</f>
        <v>167.16</v>
      </c>
      <c r="Y437" s="4"/>
      <c r="Z437" s="4">
        <f ca="1">('TUSD BE'!$AM$34+'TUSD BF'!$AM$34+'TUSD CVA'!$AM$34)*(1-CUSTOS!$M$38)</f>
        <v>685.07427471052529</v>
      </c>
      <c r="AA437" s="4">
        <f>('TE BE'!$AB$25+'TE BF'!$AB$25+'TE CVA'!$AB$25)*(1-CUSTOS!$M$38)</f>
        <v>184.1432479319173</v>
      </c>
      <c r="AB437" s="4">
        <f>$K$437*$V$437</f>
        <v>0</v>
      </c>
      <c r="AC437" s="4">
        <f>$M$437*$W$437</f>
        <v>8.5428800000000003</v>
      </c>
      <c r="AD437" s="4">
        <f>$O$437*$X$437</f>
        <v>2.67456</v>
      </c>
      <c r="AE437" s="4">
        <f>$K$437*$Y$437</f>
        <v>0</v>
      </c>
      <c r="AF437" s="4">
        <f ca="1">$M$437*$Z$437</f>
        <v>10.961188395368405</v>
      </c>
      <c r="AG437" s="4">
        <f>$O$437*$AA$437</f>
        <v>2.9462919669106769</v>
      </c>
    </row>
    <row r="438" spans="1:33" ht="11.25" customHeight="1" x14ac:dyDescent="0.3">
      <c r="A438" s="3" t="s">
        <v>21</v>
      </c>
      <c r="B438" s="3" t="s">
        <v>42</v>
      </c>
      <c r="C438" s="3" t="s">
        <v>33</v>
      </c>
      <c r="D438" s="3" t="s">
        <v>43</v>
      </c>
      <c r="E438" s="3" t="s">
        <v>25</v>
      </c>
      <c r="F438" s="3" t="s">
        <v>25</v>
      </c>
      <c r="G438" s="3" t="s">
        <v>25</v>
      </c>
      <c r="H438" s="3" t="s">
        <v>36</v>
      </c>
      <c r="I438" s="6">
        <v>44652</v>
      </c>
      <c r="J438" s="4">
        <v>0</v>
      </c>
      <c r="K438" s="4">
        <v>0</v>
      </c>
      <c r="L438" s="4">
        <v>1.7999999999999999E-2</v>
      </c>
      <c r="M438" s="4">
        <v>1.7999999999999999E-2</v>
      </c>
      <c r="N438" s="4">
        <v>1.7999999999999999E-2</v>
      </c>
      <c r="O438" s="4">
        <v>1.7999999999999999E-2</v>
      </c>
      <c r="P438" s="4">
        <v>0</v>
      </c>
      <c r="Q438" s="3" t="s">
        <v>26</v>
      </c>
      <c r="R438" s="3">
        <v>0</v>
      </c>
      <c r="S438" s="4">
        <v>0</v>
      </c>
      <c r="T438" s="4">
        <v>30</v>
      </c>
      <c r="U438" s="4">
        <v>70</v>
      </c>
      <c r="V438" s="4">
        <f>IF(ISERROR(VLOOKUP($S$438,'TAR FIN'!$A$1:$O$91,15,0)),0,VLOOKUP($S$438,'TAR FIN'!$A$1:$O$91,15,0))</f>
        <v>0</v>
      </c>
      <c r="W438" s="4">
        <f>IF(ISERROR(VLOOKUP($T$438,'TAR FIN'!$A$1:$O$91,15,0)),0,VLOOKUP($T$438,'TAR FIN'!$A$1:$O$91,15,0))</f>
        <v>533.92999999999995</v>
      </c>
      <c r="X438" s="4">
        <f>IF(ISERROR(VLOOKUP($U$438,'TAR FIN'!$A$1:$O$91,15,0)),0,VLOOKUP($U$438,'TAR FIN'!$A$1:$O$91,15,0))</f>
        <v>167.16</v>
      </c>
      <c r="Y438" s="4"/>
      <c r="Z438" s="4">
        <f ca="1">('TUSD BE'!$AM$34+'TUSD BF'!$AM$34+'TUSD CVA'!$AM$34)*(1-CUSTOS!$M$38)</f>
        <v>685.07427471052529</v>
      </c>
      <c r="AA438" s="4">
        <f>('TE BE'!$AB$25+'TE BF'!$AB$25+'TE CVA'!$AB$25)*(1-CUSTOS!$M$38)</f>
        <v>184.1432479319173</v>
      </c>
      <c r="AB438" s="4">
        <f>$K$438*$V$438</f>
        <v>0</v>
      </c>
      <c r="AC438" s="4">
        <f>$M$438*$W$438</f>
        <v>9.6107399999999981</v>
      </c>
      <c r="AD438" s="4">
        <f>$O$438*$X$438</f>
        <v>3.0088799999999996</v>
      </c>
      <c r="AE438" s="4">
        <f>$K$438*$Y$438</f>
        <v>0</v>
      </c>
      <c r="AF438" s="4">
        <f ca="1">$M$438*$Z$438</f>
        <v>12.331336944789454</v>
      </c>
      <c r="AG438" s="4">
        <f>$O$438*$AA$438</f>
        <v>3.3145784627745112</v>
      </c>
    </row>
    <row r="439" spans="1:33" ht="11.25" customHeight="1" x14ac:dyDescent="0.3">
      <c r="A439" s="3" t="s">
        <v>21</v>
      </c>
      <c r="B439" s="3" t="s">
        <v>42</v>
      </c>
      <c r="C439" s="3" t="s">
        <v>33</v>
      </c>
      <c r="D439" s="3" t="s">
        <v>43</v>
      </c>
      <c r="E439" s="3" t="s">
        <v>25</v>
      </c>
      <c r="F439" s="3" t="s">
        <v>25</v>
      </c>
      <c r="G439" s="3" t="s">
        <v>25</v>
      </c>
      <c r="H439" s="3" t="s">
        <v>36</v>
      </c>
      <c r="I439" s="6">
        <v>44682</v>
      </c>
      <c r="J439" s="4">
        <v>0</v>
      </c>
      <c r="K439" s="4">
        <v>0</v>
      </c>
      <c r="L439" s="4">
        <v>2.1999999999999999E-2</v>
      </c>
      <c r="M439" s="4">
        <v>2.1999999999999999E-2</v>
      </c>
      <c r="N439" s="4">
        <v>2.1999999999999999E-2</v>
      </c>
      <c r="O439" s="4">
        <v>2.1999999999999999E-2</v>
      </c>
      <c r="P439" s="4">
        <v>0</v>
      </c>
      <c r="Q439" s="3" t="s">
        <v>26</v>
      </c>
      <c r="R439" s="3">
        <v>0</v>
      </c>
      <c r="S439" s="4">
        <v>0</v>
      </c>
      <c r="T439" s="4">
        <v>30</v>
      </c>
      <c r="U439" s="4">
        <v>70</v>
      </c>
      <c r="V439" s="4">
        <f>IF(ISERROR(VLOOKUP($S$439,'TAR FIN'!$A$1:$O$91,15,0)),0,VLOOKUP($S$439,'TAR FIN'!$A$1:$O$91,15,0))</f>
        <v>0</v>
      </c>
      <c r="W439" s="4">
        <f>IF(ISERROR(VLOOKUP($T$439,'TAR FIN'!$A$1:$O$91,15,0)),0,VLOOKUP($T$439,'TAR FIN'!$A$1:$O$91,15,0))</f>
        <v>533.92999999999995</v>
      </c>
      <c r="X439" s="4">
        <f>IF(ISERROR(VLOOKUP($U$439,'TAR FIN'!$A$1:$O$91,15,0)),0,VLOOKUP($U$439,'TAR FIN'!$A$1:$O$91,15,0))</f>
        <v>167.16</v>
      </c>
      <c r="Y439" s="4"/>
      <c r="Z439" s="4">
        <f ca="1">('TUSD BE'!$AM$34+'TUSD BF'!$AM$34+'TUSD CVA'!$AM$34)*(1-CUSTOS!$M$38)</f>
        <v>685.07427471052529</v>
      </c>
      <c r="AA439" s="4">
        <f>('TE BE'!$AB$25+'TE BF'!$AB$25+'TE CVA'!$AB$25)*(1-CUSTOS!$M$38)</f>
        <v>184.1432479319173</v>
      </c>
      <c r="AB439" s="4">
        <f>$K$439*$V$439</f>
        <v>0</v>
      </c>
      <c r="AC439" s="4">
        <f>$M$439*$W$439</f>
        <v>11.746459999999999</v>
      </c>
      <c r="AD439" s="4">
        <f>$O$439*$X$439</f>
        <v>3.6775199999999999</v>
      </c>
      <c r="AE439" s="4">
        <f>$K$439*$Y$439</f>
        <v>0</v>
      </c>
      <c r="AF439" s="4">
        <f ca="1">$M$439*$Z$439</f>
        <v>15.071634043631555</v>
      </c>
      <c r="AG439" s="4">
        <f>$O$439*$AA$439</f>
        <v>4.0511514545021807</v>
      </c>
    </row>
    <row r="440" spans="1:33" ht="11.25" customHeight="1" x14ac:dyDescent="0.3">
      <c r="A440" s="3" t="s">
        <v>21</v>
      </c>
      <c r="B440" s="3" t="s">
        <v>42</v>
      </c>
      <c r="C440" s="3" t="s">
        <v>33</v>
      </c>
      <c r="D440" s="3" t="s">
        <v>43</v>
      </c>
      <c r="E440" s="3" t="s">
        <v>25</v>
      </c>
      <c r="F440" s="3" t="s">
        <v>25</v>
      </c>
      <c r="G440" s="3" t="s">
        <v>25</v>
      </c>
      <c r="H440" s="3" t="s">
        <v>36</v>
      </c>
      <c r="I440" s="6">
        <v>44713</v>
      </c>
      <c r="J440" s="4">
        <v>0</v>
      </c>
      <c r="K440" s="4">
        <v>0</v>
      </c>
      <c r="L440" s="4">
        <v>2.1999999999999999E-2</v>
      </c>
      <c r="M440" s="4">
        <v>2.1999999999999999E-2</v>
      </c>
      <c r="N440" s="4">
        <v>2.1999999999999999E-2</v>
      </c>
      <c r="O440" s="4">
        <v>2.1999999999999999E-2</v>
      </c>
      <c r="P440" s="4">
        <v>0</v>
      </c>
      <c r="Q440" s="3" t="s">
        <v>26</v>
      </c>
      <c r="R440" s="3">
        <v>0</v>
      </c>
      <c r="S440" s="4">
        <v>0</v>
      </c>
      <c r="T440" s="4">
        <v>30</v>
      </c>
      <c r="U440" s="4">
        <v>70</v>
      </c>
      <c r="V440" s="4">
        <f>IF(ISERROR(VLOOKUP($S$440,'TAR FIN'!$A$1:$O$91,15,0)),0,VLOOKUP($S$440,'TAR FIN'!$A$1:$O$91,15,0))</f>
        <v>0</v>
      </c>
      <c r="W440" s="4">
        <f>IF(ISERROR(VLOOKUP($T$440,'TAR FIN'!$A$1:$O$91,15,0)),0,VLOOKUP($T$440,'TAR FIN'!$A$1:$O$91,15,0))</f>
        <v>533.92999999999995</v>
      </c>
      <c r="X440" s="4">
        <f>IF(ISERROR(VLOOKUP($U$440,'TAR FIN'!$A$1:$O$91,15,0)),0,VLOOKUP($U$440,'TAR FIN'!$A$1:$O$91,15,0))</f>
        <v>167.16</v>
      </c>
      <c r="Y440" s="4"/>
      <c r="Z440" s="4">
        <f ca="1">('TUSD BE'!$AM$34+'TUSD BF'!$AM$34+'TUSD CVA'!$AM$34)*(1-CUSTOS!$M$38)</f>
        <v>685.07427471052529</v>
      </c>
      <c r="AA440" s="4">
        <f>('TE BE'!$AB$25+'TE BF'!$AB$25+'TE CVA'!$AB$25)*(1-CUSTOS!$M$38)</f>
        <v>184.1432479319173</v>
      </c>
      <c r="AB440" s="4">
        <f>$K$440*$V$440</f>
        <v>0</v>
      </c>
      <c r="AC440" s="4">
        <f>$M$440*$W$440</f>
        <v>11.746459999999999</v>
      </c>
      <c r="AD440" s="4">
        <f>$O$440*$X$440</f>
        <v>3.6775199999999999</v>
      </c>
      <c r="AE440" s="4">
        <f>$K$440*$Y$440</f>
        <v>0</v>
      </c>
      <c r="AF440" s="4">
        <f ca="1">$M$440*$Z$440</f>
        <v>15.071634043631555</v>
      </c>
      <c r="AG440" s="4">
        <f>$O$440*$AA$440</f>
        <v>4.0511514545021807</v>
      </c>
    </row>
    <row r="441" spans="1:33" ht="11.25" customHeight="1" x14ac:dyDescent="0.3">
      <c r="A441" s="3" t="s">
        <v>21</v>
      </c>
      <c r="B441" s="3" t="s">
        <v>42</v>
      </c>
      <c r="C441" s="3" t="s">
        <v>33</v>
      </c>
      <c r="D441" s="3" t="s">
        <v>43</v>
      </c>
      <c r="E441" s="3" t="s">
        <v>25</v>
      </c>
      <c r="F441" s="3" t="s">
        <v>25</v>
      </c>
      <c r="G441" s="3" t="s">
        <v>25</v>
      </c>
      <c r="H441" s="3" t="s">
        <v>34</v>
      </c>
      <c r="I441" s="6">
        <v>44409</v>
      </c>
      <c r="J441" s="4">
        <v>0</v>
      </c>
      <c r="K441" s="4">
        <v>0</v>
      </c>
      <c r="L441" s="4">
        <v>3.2000000000000001E-2</v>
      </c>
      <c r="M441" s="4">
        <v>3.2000000000000001E-2</v>
      </c>
      <c r="N441" s="4">
        <v>3.2000000000000001E-2</v>
      </c>
      <c r="O441" s="4">
        <v>3.2000000000000001E-2</v>
      </c>
      <c r="P441" s="4">
        <v>0</v>
      </c>
      <c r="Q441" s="3" t="s">
        <v>26</v>
      </c>
      <c r="R441" s="3">
        <v>0</v>
      </c>
      <c r="S441" s="4">
        <v>0</v>
      </c>
      <c r="T441" s="4">
        <v>29</v>
      </c>
      <c r="U441" s="4">
        <v>69</v>
      </c>
      <c r="V441" s="4">
        <f>IF(ISERROR(VLOOKUP($S$441,'TAR FIN'!$A$1:$O$91,15,0)),0,VLOOKUP($S$441,'TAR FIN'!$A$1:$O$91,15,0))</f>
        <v>0</v>
      </c>
      <c r="W441" s="4">
        <f>IF(ISERROR(VLOOKUP($T$441,'TAR FIN'!$A$1:$O$91,15,0)),0,VLOOKUP($T$441,'TAR FIN'!$A$1:$O$91,15,0))</f>
        <v>824.14</v>
      </c>
      <c r="X441" s="4">
        <f>IF(ISERROR(VLOOKUP($U$441,'TAR FIN'!$A$1:$O$91,15,0)),0,VLOOKUP($U$441,'TAR FIN'!$A$1:$O$91,15,0))</f>
        <v>262.98</v>
      </c>
      <c r="Y441" s="4"/>
      <c r="Z441" s="4">
        <f ca="1">('TUSD BE'!$AM$33+'TUSD BF'!$AM$33+'TUSD CVA'!$AM$33)*(1-CUSTOS!$M$38)</f>
        <v>1061.3938140842067</v>
      </c>
      <c r="AA441" s="4">
        <f>('TE BE'!$AB$24+'TE BF'!$AB$24+'TE CVA'!$AB$24)*(1-CUSTOS!$M$38)</f>
        <v>292.72708179946335</v>
      </c>
      <c r="AB441" s="4">
        <f>$K$441*$V$441</f>
        <v>0</v>
      </c>
      <c r="AC441" s="4">
        <f>$M$441*$W$441</f>
        <v>26.372479999999999</v>
      </c>
      <c r="AD441" s="4">
        <f>$O$441*$X$441</f>
        <v>8.4153600000000015</v>
      </c>
      <c r="AE441" s="4">
        <f>$K$441*$Y$441</f>
        <v>0</v>
      </c>
      <c r="AF441" s="4">
        <f ca="1">$M$441*$Z$441</f>
        <v>33.964602050694616</v>
      </c>
      <c r="AG441" s="4">
        <f>$O$441*$AA$441</f>
        <v>9.3672666175828265</v>
      </c>
    </row>
    <row r="442" spans="1:33" ht="11.25" customHeight="1" x14ac:dyDescent="0.3">
      <c r="A442" s="3" t="s">
        <v>21</v>
      </c>
      <c r="B442" s="3" t="s">
        <v>42</v>
      </c>
      <c r="C442" s="3" t="s">
        <v>33</v>
      </c>
      <c r="D442" s="3" t="s">
        <v>43</v>
      </c>
      <c r="E442" s="3" t="s">
        <v>25</v>
      </c>
      <c r="F442" s="3" t="s">
        <v>25</v>
      </c>
      <c r="G442" s="3" t="s">
        <v>25</v>
      </c>
      <c r="H442" s="3" t="s">
        <v>34</v>
      </c>
      <c r="I442" s="6">
        <v>44470</v>
      </c>
      <c r="J442" s="4">
        <v>0</v>
      </c>
      <c r="K442" s="4">
        <v>0</v>
      </c>
      <c r="L442" s="4">
        <v>2.9000000000000001E-2</v>
      </c>
      <c r="M442" s="4">
        <v>2.9000000000000001E-2</v>
      </c>
      <c r="N442" s="4">
        <v>2.9000000000000001E-2</v>
      </c>
      <c r="O442" s="4">
        <v>2.9000000000000001E-2</v>
      </c>
      <c r="P442" s="4">
        <v>0</v>
      </c>
      <c r="Q442" s="3" t="s">
        <v>26</v>
      </c>
      <c r="R442" s="3">
        <v>0</v>
      </c>
      <c r="S442" s="4">
        <v>0</v>
      </c>
      <c r="T442" s="4">
        <v>29</v>
      </c>
      <c r="U442" s="4">
        <v>69</v>
      </c>
      <c r="V442" s="4">
        <f>IF(ISERROR(VLOOKUP($S$442,'TAR FIN'!$A$1:$O$91,15,0)),0,VLOOKUP($S$442,'TAR FIN'!$A$1:$O$91,15,0))</f>
        <v>0</v>
      </c>
      <c r="W442" s="4">
        <f>IF(ISERROR(VLOOKUP($T$442,'TAR FIN'!$A$1:$O$91,15,0)),0,VLOOKUP($T$442,'TAR FIN'!$A$1:$O$91,15,0))</f>
        <v>824.14</v>
      </c>
      <c r="X442" s="4">
        <f>IF(ISERROR(VLOOKUP($U$442,'TAR FIN'!$A$1:$O$91,15,0)),0,VLOOKUP($U$442,'TAR FIN'!$A$1:$O$91,15,0))</f>
        <v>262.98</v>
      </c>
      <c r="Y442" s="4"/>
      <c r="Z442" s="4">
        <f ca="1">('TUSD BE'!$AM$33+'TUSD BF'!$AM$33+'TUSD CVA'!$AM$33)*(1-CUSTOS!$M$38)</f>
        <v>1061.3938140842067</v>
      </c>
      <c r="AA442" s="4">
        <f>('TE BE'!$AB$24+'TE BF'!$AB$24+'TE CVA'!$AB$24)*(1-CUSTOS!$M$38)</f>
        <v>292.72708179946335</v>
      </c>
      <c r="AB442" s="4">
        <f>$K$442*$V$442</f>
        <v>0</v>
      </c>
      <c r="AC442" s="4">
        <f>$M$442*$W$442</f>
        <v>23.90006</v>
      </c>
      <c r="AD442" s="4">
        <f>$O$442*$X$442</f>
        <v>7.6264200000000013</v>
      </c>
      <c r="AE442" s="4">
        <f>$K$442*$Y$442</f>
        <v>0</v>
      </c>
      <c r="AF442" s="4">
        <f ca="1">$M$442*$Z$442</f>
        <v>30.780420608441997</v>
      </c>
      <c r="AG442" s="4">
        <f>$O$442*$AA$442</f>
        <v>8.4890853721844373</v>
      </c>
    </row>
    <row r="443" spans="1:33" ht="11.25" customHeight="1" x14ac:dyDescent="0.3">
      <c r="A443" s="3" t="s">
        <v>21</v>
      </c>
      <c r="B443" s="3" t="s">
        <v>42</v>
      </c>
      <c r="C443" s="3" t="s">
        <v>33</v>
      </c>
      <c r="D443" s="3" t="s">
        <v>43</v>
      </c>
      <c r="E443" s="3" t="s">
        <v>25</v>
      </c>
      <c r="F443" s="3" t="s">
        <v>25</v>
      </c>
      <c r="G443" s="3" t="s">
        <v>25</v>
      </c>
      <c r="H443" s="3" t="s">
        <v>34</v>
      </c>
      <c r="I443" s="6">
        <v>44501</v>
      </c>
      <c r="J443" s="4">
        <v>0</v>
      </c>
      <c r="K443" s="4">
        <v>0</v>
      </c>
      <c r="L443" s="4">
        <v>3.4000000000000002E-2</v>
      </c>
      <c r="M443" s="4">
        <v>3.4000000000000002E-2</v>
      </c>
      <c r="N443" s="4">
        <v>3.4000000000000002E-2</v>
      </c>
      <c r="O443" s="4">
        <v>3.4000000000000002E-2</v>
      </c>
      <c r="P443" s="4">
        <v>0</v>
      </c>
      <c r="Q443" s="3" t="s">
        <v>26</v>
      </c>
      <c r="R443" s="3">
        <v>0</v>
      </c>
      <c r="S443" s="4">
        <v>0</v>
      </c>
      <c r="T443" s="4">
        <v>29</v>
      </c>
      <c r="U443" s="4">
        <v>69</v>
      </c>
      <c r="V443" s="4">
        <f>IF(ISERROR(VLOOKUP($S$443,'TAR FIN'!$A$1:$O$91,15,0)),0,VLOOKUP($S$443,'TAR FIN'!$A$1:$O$91,15,0))</f>
        <v>0</v>
      </c>
      <c r="W443" s="4">
        <f>IF(ISERROR(VLOOKUP($T$443,'TAR FIN'!$A$1:$O$91,15,0)),0,VLOOKUP($T$443,'TAR FIN'!$A$1:$O$91,15,0))</f>
        <v>824.14</v>
      </c>
      <c r="X443" s="4">
        <f>IF(ISERROR(VLOOKUP($U$443,'TAR FIN'!$A$1:$O$91,15,0)),0,VLOOKUP($U$443,'TAR FIN'!$A$1:$O$91,15,0))</f>
        <v>262.98</v>
      </c>
      <c r="Y443" s="4"/>
      <c r="Z443" s="4">
        <f ca="1">('TUSD BE'!$AM$33+'TUSD BF'!$AM$33+'TUSD CVA'!$AM$33)*(1-CUSTOS!$M$38)</f>
        <v>1061.3938140842067</v>
      </c>
      <c r="AA443" s="4">
        <f>('TE BE'!$AB$24+'TE BF'!$AB$24+'TE CVA'!$AB$24)*(1-CUSTOS!$M$38)</f>
        <v>292.72708179946335</v>
      </c>
      <c r="AB443" s="4">
        <f>$K$443*$V$443</f>
        <v>0</v>
      </c>
      <c r="AC443" s="4">
        <f>$M$443*$W$443</f>
        <v>28.020760000000003</v>
      </c>
      <c r="AD443" s="4">
        <f>$O$443*$X$443</f>
        <v>8.941320000000001</v>
      </c>
      <c r="AE443" s="4">
        <f>$K$443*$Y$443</f>
        <v>0</v>
      </c>
      <c r="AF443" s="4">
        <f ca="1">$M$443*$Z$443</f>
        <v>36.087389678863033</v>
      </c>
      <c r="AG443" s="4">
        <f>$O$443*$AA$443</f>
        <v>9.9527207811817551</v>
      </c>
    </row>
    <row r="444" spans="1:33" ht="11.25" customHeight="1" x14ac:dyDescent="0.3">
      <c r="A444" s="3" t="s">
        <v>21</v>
      </c>
      <c r="B444" s="3" t="s">
        <v>42</v>
      </c>
      <c r="C444" s="3" t="s">
        <v>33</v>
      </c>
      <c r="D444" s="3" t="s">
        <v>43</v>
      </c>
      <c r="E444" s="3" t="s">
        <v>25</v>
      </c>
      <c r="F444" s="3" t="s">
        <v>25</v>
      </c>
      <c r="G444" s="3" t="s">
        <v>25</v>
      </c>
      <c r="H444" s="3" t="s">
        <v>34</v>
      </c>
      <c r="I444" s="6">
        <v>44531</v>
      </c>
      <c r="J444" s="4">
        <v>0</v>
      </c>
      <c r="K444" s="4">
        <v>0</v>
      </c>
      <c r="L444" s="4">
        <v>0.05</v>
      </c>
      <c r="M444" s="4">
        <v>0.05</v>
      </c>
      <c r="N444" s="4">
        <v>0.05</v>
      </c>
      <c r="O444" s="4">
        <v>0.05</v>
      </c>
      <c r="P444" s="4">
        <v>0</v>
      </c>
      <c r="Q444" s="3" t="s">
        <v>26</v>
      </c>
      <c r="R444" s="3">
        <v>0</v>
      </c>
      <c r="S444" s="4">
        <v>0</v>
      </c>
      <c r="T444" s="4">
        <v>29</v>
      </c>
      <c r="U444" s="4">
        <v>69</v>
      </c>
      <c r="V444" s="4">
        <f>IF(ISERROR(VLOOKUP($S$444,'TAR FIN'!$A$1:$O$91,15,0)),0,VLOOKUP($S$444,'TAR FIN'!$A$1:$O$91,15,0))</f>
        <v>0</v>
      </c>
      <c r="W444" s="4">
        <f>IF(ISERROR(VLOOKUP($T$444,'TAR FIN'!$A$1:$O$91,15,0)),0,VLOOKUP($T$444,'TAR FIN'!$A$1:$O$91,15,0))</f>
        <v>824.14</v>
      </c>
      <c r="X444" s="4">
        <f>IF(ISERROR(VLOOKUP($U$444,'TAR FIN'!$A$1:$O$91,15,0)),0,VLOOKUP($U$444,'TAR FIN'!$A$1:$O$91,15,0))</f>
        <v>262.98</v>
      </c>
      <c r="Y444" s="4"/>
      <c r="Z444" s="4">
        <f ca="1">('TUSD BE'!$AM$33+'TUSD BF'!$AM$33+'TUSD CVA'!$AM$33)*(1-CUSTOS!$M$38)</f>
        <v>1061.3938140842067</v>
      </c>
      <c r="AA444" s="4">
        <f>('TE BE'!$AB$24+'TE BF'!$AB$24+'TE CVA'!$AB$24)*(1-CUSTOS!$M$38)</f>
        <v>292.72708179946335</v>
      </c>
      <c r="AB444" s="4">
        <f>$K$444*$V$444</f>
        <v>0</v>
      </c>
      <c r="AC444" s="4">
        <f>$M$444*$W$444</f>
        <v>41.207000000000001</v>
      </c>
      <c r="AD444" s="4">
        <f>$O$444*$X$444</f>
        <v>13.149000000000001</v>
      </c>
      <c r="AE444" s="4">
        <f>$K$444*$Y$444</f>
        <v>0</v>
      </c>
      <c r="AF444" s="4">
        <f ca="1">$M$444*$Z$444</f>
        <v>53.069690704210338</v>
      </c>
      <c r="AG444" s="4">
        <f>$O$444*$AA$444</f>
        <v>14.636354089973167</v>
      </c>
    </row>
    <row r="445" spans="1:33" ht="11.25" customHeight="1" x14ac:dyDescent="0.3">
      <c r="A445" s="3" t="s">
        <v>21</v>
      </c>
      <c r="B445" s="3" t="s">
        <v>42</v>
      </c>
      <c r="C445" s="3" t="s">
        <v>33</v>
      </c>
      <c r="D445" s="3" t="s">
        <v>43</v>
      </c>
      <c r="E445" s="3" t="s">
        <v>25</v>
      </c>
      <c r="F445" s="3" t="s">
        <v>25</v>
      </c>
      <c r="G445" s="3" t="s">
        <v>25</v>
      </c>
      <c r="H445" s="3" t="s">
        <v>34</v>
      </c>
      <c r="I445" s="6">
        <v>44562</v>
      </c>
      <c r="J445" s="4">
        <v>0</v>
      </c>
      <c r="K445" s="4">
        <v>0</v>
      </c>
      <c r="L445" s="4">
        <v>3.5000000000000003E-2</v>
      </c>
      <c r="M445" s="4">
        <v>3.5000000000000003E-2</v>
      </c>
      <c r="N445" s="4">
        <v>3.5000000000000003E-2</v>
      </c>
      <c r="O445" s="4">
        <v>3.5000000000000003E-2</v>
      </c>
      <c r="P445" s="4">
        <v>0</v>
      </c>
      <c r="Q445" s="3" t="s">
        <v>26</v>
      </c>
      <c r="R445" s="3">
        <v>0</v>
      </c>
      <c r="S445" s="4">
        <v>0</v>
      </c>
      <c r="T445" s="4">
        <v>29</v>
      </c>
      <c r="U445" s="4">
        <v>69</v>
      </c>
      <c r="V445" s="4">
        <f>IF(ISERROR(VLOOKUP($S$445,'TAR FIN'!$A$1:$O$91,15,0)),0,VLOOKUP($S$445,'TAR FIN'!$A$1:$O$91,15,0))</f>
        <v>0</v>
      </c>
      <c r="W445" s="4">
        <f>IF(ISERROR(VLOOKUP($T$445,'TAR FIN'!$A$1:$O$91,15,0)),0,VLOOKUP($T$445,'TAR FIN'!$A$1:$O$91,15,0))</f>
        <v>824.14</v>
      </c>
      <c r="X445" s="4">
        <f>IF(ISERROR(VLOOKUP($U$445,'TAR FIN'!$A$1:$O$91,15,0)),0,VLOOKUP($U$445,'TAR FIN'!$A$1:$O$91,15,0))</f>
        <v>262.98</v>
      </c>
      <c r="Y445" s="4"/>
      <c r="Z445" s="4">
        <f ca="1">('TUSD BE'!$AM$33+'TUSD BF'!$AM$33+'TUSD CVA'!$AM$33)*(1-CUSTOS!$M$38)</f>
        <v>1061.3938140842067</v>
      </c>
      <c r="AA445" s="4">
        <f>('TE BE'!$AB$24+'TE BF'!$AB$24+'TE CVA'!$AB$24)*(1-CUSTOS!$M$38)</f>
        <v>292.72708179946335</v>
      </c>
      <c r="AB445" s="4">
        <f>$K$445*$V$445</f>
        <v>0</v>
      </c>
      <c r="AC445" s="4">
        <f>$M$445*$W$445</f>
        <v>28.844900000000003</v>
      </c>
      <c r="AD445" s="4">
        <f>$O$445*$X$445</f>
        <v>9.2043000000000017</v>
      </c>
      <c r="AE445" s="4">
        <f>$K$445*$Y$445</f>
        <v>0</v>
      </c>
      <c r="AF445" s="4">
        <f ca="1">$M$445*$Z$445</f>
        <v>37.148783492947238</v>
      </c>
      <c r="AG445" s="4">
        <f>$O$445*$AA$445</f>
        <v>10.245447862981218</v>
      </c>
    </row>
    <row r="446" spans="1:33" ht="11.25" customHeight="1" x14ac:dyDescent="0.3">
      <c r="A446" s="3" t="s">
        <v>21</v>
      </c>
      <c r="B446" s="3" t="s">
        <v>42</v>
      </c>
      <c r="C446" s="3" t="s">
        <v>33</v>
      </c>
      <c r="D446" s="3" t="s">
        <v>43</v>
      </c>
      <c r="E446" s="3" t="s">
        <v>25</v>
      </c>
      <c r="F446" s="3" t="s">
        <v>25</v>
      </c>
      <c r="G446" s="3" t="s">
        <v>25</v>
      </c>
      <c r="H446" s="3" t="s">
        <v>34</v>
      </c>
      <c r="I446" s="6">
        <v>44593</v>
      </c>
      <c r="J446" s="4">
        <v>0</v>
      </c>
      <c r="K446" s="4">
        <v>0</v>
      </c>
      <c r="L446" s="4">
        <v>3.5999999999999997E-2</v>
      </c>
      <c r="M446" s="4">
        <v>3.5999999999999997E-2</v>
      </c>
      <c r="N446" s="4">
        <v>3.5999999999999997E-2</v>
      </c>
      <c r="O446" s="4">
        <v>3.5999999999999997E-2</v>
      </c>
      <c r="P446" s="4">
        <v>0</v>
      </c>
      <c r="Q446" s="3" t="s">
        <v>26</v>
      </c>
      <c r="R446" s="3">
        <v>0</v>
      </c>
      <c r="S446" s="4">
        <v>0</v>
      </c>
      <c r="T446" s="4">
        <v>29</v>
      </c>
      <c r="U446" s="4">
        <v>69</v>
      </c>
      <c r="V446" s="4">
        <f>IF(ISERROR(VLOOKUP($S$446,'TAR FIN'!$A$1:$O$91,15,0)),0,VLOOKUP($S$446,'TAR FIN'!$A$1:$O$91,15,0))</f>
        <v>0</v>
      </c>
      <c r="W446" s="4">
        <f>IF(ISERROR(VLOOKUP($T$446,'TAR FIN'!$A$1:$O$91,15,0)),0,VLOOKUP($T$446,'TAR FIN'!$A$1:$O$91,15,0))</f>
        <v>824.14</v>
      </c>
      <c r="X446" s="4">
        <f>IF(ISERROR(VLOOKUP($U$446,'TAR FIN'!$A$1:$O$91,15,0)),0,VLOOKUP($U$446,'TAR FIN'!$A$1:$O$91,15,0))</f>
        <v>262.98</v>
      </c>
      <c r="Y446" s="4"/>
      <c r="Z446" s="4">
        <f ca="1">('TUSD BE'!$AM$33+'TUSD BF'!$AM$33+'TUSD CVA'!$AM$33)*(1-CUSTOS!$M$38)</f>
        <v>1061.3938140842067</v>
      </c>
      <c r="AA446" s="4">
        <f>('TE BE'!$AB$24+'TE BF'!$AB$24+'TE CVA'!$AB$24)*(1-CUSTOS!$M$38)</f>
        <v>292.72708179946335</v>
      </c>
      <c r="AB446" s="4">
        <f>$K$446*$V$446</f>
        <v>0</v>
      </c>
      <c r="AC446" s="4">
        <f>$M$446*$W$446</f>
        <v>29.669039999999999</v>
      </c>
      <c r="AD446" s="4">
        <f>$O$446*$X$446</f>
        <v>9.4672800000000006</v>
      </c>
      <c r="AE446" s="4">
        <f>$K$446*$Y$446</f>
        <v>0</v>
      </c>
      <c r="AF446" s="4">
        <f ca="1">$M$446*$Z$446</f>
        <v>38.210177307031437</v>
      </c>
      <c r="AG446" s="4">
        <f>$O$446*$AA$446</f>
        <v>10.53817494478068</v>
      </c>
    </row>
    <row r="447" spans="1:33" ht="11.25" customHeight="1" x14ac:dyDescent="0.3">
      <c r="A447" s="3" t="s">
        <v>21</v>
      </c>
      <c r="B447" s="3" t="s">
        <v>42</v>
      </c>
      <c r="C447" s="3" t="s">
        <v>33</v>
      </c>
      <c r="D447" s="3" t="s">
        <v>43</v>
      </c>
      <c r="E447" s="3" t="s">
        <v>25</v>
      </c>
      <c r="F447" s="3" t="s">
        <v>25</v>
      </c>
      <c r="G447" s="3" t="s">
        <v>25</v>
      </c>
      <c r="H447" s="3" t="s">
        <v>34</v>
      </c>
      <c r="I447" s="6">
        <v>44621</v>
      </c>
      <c r="J447" s="4">
        <v>0</v>
      </c>
      <c r="K447" s="4">
        <v>0</v>
      </c>
      <c r="L447" s="4">
        <v>0.03</v>
      </c>
      <c r="M447" s="4">
        <v>0.03</v>
      </c>
      <c r="N447" s="4">
        <v>0.03</v>
      </c>
      <c r="O447" s="4">
        <v>0.03</v>
      </c>
      <c r="P447" s="4">
        <v>0</v>
      </c>
      <c r="Q447" s="3" t="s">
        <v>26</v>
      </c>
      <c r="R447" s="3">
        <v>0</v>
      </c>
      <c r="S447" s="4">
        <v>0</v>
      </c>
      <c r="T447" s="4">
        <v>29</v>
      </c>
      <c r="U447" s="4">
        <v>69</v>
      </c>
      <c r="V447" s="4">
        <f>IF(ISERROR(VLOOKUP($S$447,'TAR FIN'!$A$1:$O$91,15,0)),0,VLOOKUP($S$447,'TAR FIN'!$A$1:$O$91,15,0))</f>
        <v>0</v>
      </c>
      <c r="W447" s="4">
        <f>IF(ISERROR(VLOOKUP($T$447,'TAR FIN'!$A$1:$O$91,15,0)),0,VLOOKUP($T$447,'TAR FIN'!$A$1:$O$91,15,0))</f>
        <v>824.14</v>
      </c>
      <c r="X447" s="4">
        <f>IF(ISERROR(VLOOKUP($U$447,'TAR FIN'!$A$1:$O$91,15,0)),0,VLOOKUP($U$447,'TAR FIN'!$A$1:$O$91,15,0))</f>
        <v>262.98</v>
      </c>
      <c r="Y447" s="4"/>
      <c r="Z447" s="4">
        <f ca="1">('TUSD BE'!$AM$33+'TUSD BF'!$AM$33+'TUSD CVA'!$AM$33)*(1-CUSTOS!$M$38)</f>
        <v>1061.3938140842067</v>
      </c>
      <c r="AA447" s="4">
        <f>('TE BE'!$AB$24+'TE BF'!$AB$24+'TE CVA'!$AB$24)*(1-CUSTOS!$M$38)</f>
        <v>292.72708179946335</v>
      </c>
      <c r="AB447" s="4">
        <f>$K$447*$V$447</f>
        <v>0</v>
      </c>
      <c r="AC447" s="4">
        <f>$M$447*$W$447</f>
        <v>24.7242</v>
      </c>
      <c r="AD447" s="4">
        <f>$O$447*$X$447</f>
        <v>7.8894000000000002</v>
      </c>
      <c r="AE447" s="4">
        <f>$K$447*$Y$447</f>
        <v>0</v>
      </c>
      <c r="AF447" s="4">
        <f ca="1">$M$447*$Z$447</f>
        <v>31.841814422526202</v>
      </c>
      <c r="AG447" s="4">
        <f>$O$447*$AA$447</f>
        <v>8.7818124539838998</v>
      </c>
    </row>
    <row r="448" spans="1:33" ht="11.25" customHeight="1" x14ac:dyDescent="0.3">
      <c r="A448" s="3" t="s">
        <v>21</v>
      </c>
      <c r="B448" s="3" t="s">
        <v>42</v>
      </c>
      <c r="C448" s="3" t="s">
        <v>33</v>
      </c>
      <c r="D448" s="3" t="s">
        <v>43</v>
      </c>
      <c r="E448" s="3" t="s">
        <v>25</v>
      </c>
      <c r="F448" s="3" t="s">
        <v>25</v>
      </c>
      <c r="G448" s="3" t="s">
        <v>25</v>
      </c>
      <c r="H448" s="3" t="s">
        <v>34</v>
      </c>
      <c r="I448" s="6">
        <v>44652</v>
      </c>
      <c r="J448" s="4">
        <v>0</v>
      </c>
      <c r="K448" s="4">
        <v>0</v>
      </c>
      <c r="L448" s="4">
        <v>3.1E-2</v>
      </c>
      <c r="M448" s="4">
        <v>3.1E-2</v>
      </c>
      <c r="N448" s="4">
        <v>3.1E-2</v>
      </c>
      <c r="O448" s="4">
        <v>3.1E-2</v>
      </c>
      <c r="P448" s="4">
        <v>0</v>
      </c>
      <c r="Q448" s="3" t="s">
        <v>26</v>
      </c>
      <c r="R448" s="3">
        <v>0</v>
      </c>
      <c r="S448" s="4">
        <v>0</v>
      </c>
      <c r="T448" s="4">
        <v>29</v>
      </c>
      <c r="U448" s="4">
        <v>69</v>
      </c>
      <c r="V448" s="4">
        <f>IF(ISERROR(VLOOKUP($S$448,'TAR FIN'!$A$1:$O$91,15,0)),0,VLOOKUP($S$448,'TAR FIN'!$A$1:$O$91,15,0))</f>
        <v>0</v>
      </c>
      <c r="W448" s="4">
        <f>IF(ISERROR(VLOOKUP($T$448,'TAR FIN'!$A$1:$O$91,15,0)),0,VLOOKUP($T$448,'TAR FIN'!$A$1:$O$91,15,0))</f>
        <v>824.14</v>
      </c>
      <c r="X448" s="4">
        <f>IF(ISERROR(VLOOKUP($U$448,'TAR FIN'!$A$1:$O$91,15,0)),0,VLOOKUP($U$448,'TAR FIN'!$A$1:$O$91,15,0))</f>
        <v>262.98</v>
      </c>
      <c r="Y448" s="4"/>
      <c r="Z448" s="4">
        <f ca="1">('TUSD BE'!$AM$33+'TUSD BF'!$AM$33+'TUSD CVA'!$AM$33)*(1-CUSTOS!$M$38)</f>
        <v>1061.3938140842067</v>
      </c>
      <c r="AA448" s="4">
        <f>('TE BE'!$AB$24+'TE BF'!$AB$24+'TE CVA'!$AB$24)*(1-CUSTOS!$M$38)</f>
        <v>292.72708179946335</v>
      </c>
      <c r="AB448" s="4">
        <f>$K$448*$V$448</f>
        <v>0</v>
      </c>
      <c r="AC448" s="4">
        <f>$M$448*$W$448</f>
        <v>25.54834</v>
      </c>
      <c r="AD448" s="4">
        <f>$O$448*$X$448</f>
        <v>8.1523800000000008</v>
      </c>
      <c r="AE448" s="4">
        <f>$K$448*$Y$448</f>
        <v>0</v>
      </c>
      <c r="AF448" s="4">
        <f ca="1">$M$448*$Z$448</f>
        <v>32.903208236610411</v>
      </c>
      <c r="AG448" s="4">
        <f>$O$448*$AA$448</f>
        <v>9.074539535783364</v>
      </c>
    </row>
    <row r="449" spans="1:33" ht="11.25" customHeight="1" x14ac:dyDescent="0.3">
      <c r="A449" s="3" t="s">
        <v>21</v>
      </c>
      <c r="B449" s="3" t="s">
        <v>42</v>
      </c>
      <c r="C449" s="3" t="s">
        <v>33</v>
      </c>
      <c r="D449" s="3" t="s">
        <v>43</v>
      </c>
      <c r="E449" s="3" t="s">
        <v>25</v>
      </c>
      <c r="F449" s="3" t="s">
        <v>25</v>
      </c>
      <c r="G449" s="3" t="s">
        <v>25</v>
      </c>
      <c r="H449" s="3" t="s">
        <v>34</v>
      </c>
      <c r="I449" s="6">
        <v>44682</v>
      </c>
      <c r="J449" s="4">
        <v>0</v>
      </c>
      <c r="K449" s="4">
        <v>0</v>
      </c>
      <c r="L449" s="4">
        <v>4.2000000000000003E-2</v>
      </c>
      <c r="M449" s="4">
        <v>4.2000000000000003E-2</v>
      </c>
      <c r="N449" s="4">
        <v>4.2000000000000003E-2</v>
      </c>
      <c r="O449" s="4">
        <v>4.2000000000000003E-2</v>
      </c>
      <c r="P449" s="4">
        <v>0</v>
      </c>
      <c r="Q449" s="3" t="s">
        <v>26</v>
      </c>
      <c r="R449" s="3">
        <v>0</v>
      </c>
      <c r="S449" s="4">
        <v>0</v>
      </c>
      <c r="T449" s="4">
        <v>29</v>
      </c>
      <c r="U449" s="4">
        <v>69</v>
      </c>
      <c r="V449" s="4">
        <f>IF(ISERROR(VLOOKUP($S$449,'TAR FIN'!$A$1:$O$91,15,0)),0,VLOOKUP($S$449,'TAR FIN'!$A$1:$O$91,15,0))</f>
        <v>0</v>
      </c>
      <c r="W449" s="4">
        <f>IF(ISERROR(VLOOKUP($T$449,'TAR FIN'!$A$1:$O$91,15,0)),0,VLOOKUP($T$449,'TAR FIN'!$A$1:$O$91,15,0))</f>
        <v>824.14</v>
      </c>
      <c r="X449" s="4">
        <f>IF(ISERROR(VLOOKUP($U$449,'TAR FIN'!$A$1:$O$91,15,0)),0,VLOOKUP($U$449,'TAR FIN'!$A$1:$O$91,15,0))</f>
        <v>262.98</v>
      </c>
      <c r="Y449" s="4"/>
      <c r="Z449" s="4">
        <f ca="1">('TUSD BE'!$AM$33+'TUSD BF'!$AM$33+'TUSD CVA'!$AM$33)*(1-CUSTOS!$M$38)</f>
        <v>1061.3938140842067</v>
      </c>
      <c r="AA449" s="4">
        <f>('TE BE'!$AB$24+'TE BF'!$AB$24+'TE CVA'!$AB$24)*(1-CUSTOS!$M$38)</f>
        <v>292.72708179946335</v>
      </c>
      <c r="AB449" s="4">
        <f>$K$449*$V$449</f>
        <v>0</v>
      </c>
      <c r="AC449" s="4">
        <f>$M$449*$W$449</f>
        <v>34.613880000000002</v>
      </c>
      <c r="AD449" s="4">
        <f>$O$449*$X$449</f>
        <v>11.045160000000001</v>
      </c>
      <c r="AE449" s="4">
        <f>$K$449*$Y$449</f>
        <v>0</v>
      </c>
      <c r="AF449" s="4">
        <f ca="1">$M$449*$Z$449</f>
        <v>44.578540191536682</v>
      </c>
      <c r="AG449" s="4">
        <f>$O$449*$AA$449</f>
        <v>12.294537435577462</v>
      </c>
    </row>
    <row r="450" spans="1:33" ht="11.25" customHeight="1" x14ac:dyDescent="0.3">
      <c r="A450" s="3" t="s">
        <v>21</v>
      </c>
      <c r="B450" s="3" t="s">
        <v>42</v>
      </c>
      <c r="C450" s="3" t="s">
        <v>33</v>
      </c>
      <c r="D450" s="3" t="s">
        <v>43</v>
      </c>
      <c r="E450" s="3" t="s">
        <v>25</v>
      </c>
      <c r="F450" s="3" t="s">
        <v>25</v>
      </c>
      <c r="G450" s="3" t="s">
        <v>25</v>
      </c>
      <c r="H450" s="3" t="s">
        <v>34</v>
      </c>
      <c r="I450" s="6">
        <v>44713</v>
      </c>
      <c r="J450" s="4">
        <v>0</v>
      </c>
      <c r="K450" s="4">
        <v>0</v>
      </c>
      <c r="L450" s="4">
        <v>4.2000000000000003E-2</v>
      </c>
      <c r="M450" s="4">
        <v>4.2000000000000003E-2</v>
      </c>
      <c r="N450" s="4">
        <v>4.2000000000000003E-2</v>
      </c>
      <c r="O450" s="4">
        <v>4.2000000000000003E-2</v>
      </c>
      <c r="P450" s="4">
        <v>0</v>
      </c>
      <c r="Q450" s="3" t="s">
        <v>26</v>
      </c>
      <c r="R450" s="3">
        <v>0</v>
      </c>
      <c r="S450" s="4">
        <v>0</v>
      </c>
      <c r="T450" s="4">
        <v>29</v>
      </c>
      <c r="U450" s="4">
        <v>69</v>
      </c>
      <c r="V450" s="4">
        <f>IF(ISERROR(VLOOKUP($S$450,'TAR FIN'!$A$1:$O$91,15,0)),0,VLOOKUP($S$450,'TAR FIN'!$A$1:$O$91,15,0))</f>
        <v>0</v>
      </c>
      <c r="W450" s="4">
        <f>IF(ISERROR(VLOOKUP($T$450,'TAR FIN'!$A$1:$O$91,15,0)),0,VLOOKUP($T$450,'TAR FIN'!$A$1:$O$91,15,0))</f>
        <v>824.14</v>
      </c>
      <c r="X450" s="4">
        <f>IF(ISERROR(VLOOKUP($U$450,'TAR FIN'!$A$1:$O$91,15,0)),0,VLOOKUP($U$450,'TAR FIN'!$A$1:$O$91,15,0))</f>
        <v>262.98</v>
      </c>
      <c r="Y450" s="4"/>
      <c r="Z450" s="4">
        <f ca="1">('TUSD BE'!$AM$33+'TUSD BF'!$AM$33+'TUSD CVA'!$AM$33)*(1-CUSTOS!$M$38)</f>
        <v>1061.3938140842067</v>
      </c>
      <c r="AA450" s="4">
        <f>('TE BE'!$AB$24+'TE BF'!$AB$24+'TE CVA'!$AB$24)*(1-CUSTOS!$M$38)</f>
        <v>292.72708179946335</v>
      </c>
      <c r="AB450" s="4">
        <f>$K$450*$V$450</f>
        <v>0</v>
      </c>
      <c r="AC450" s="4">
        <f>$M$450*$W$450</f>
        <v>34.613880000000002</v>
      </c>
      <c r="AD450" s="4">
        <f>$O$450*$X$450</f>
        <v>11.045160000000001</v>
      </c>
      <c r="AE450" s="4">
        <f>$K$450*$Y$450</f>
        <v>0</v>
      </c>
      <c r="AF450" s="4">
        <f ca="1">$M$450*$Z$450</f>
        <v>44.578540191536682</v>
      </c>
      <c r="AG450" s="4">
        <f>$O$450*$AA$450</f>
        <v>12.294537435577462</v>
      </c>
    </row>
    <row r="451" spans="1:33" ht="11.25" customHeight="1" x14ac:dyDescent="0.3">
      <c r="A451" s="3" t="s">
        <v>21</v>
      </c>
      <c r="B451" s="3" t="s">
        <v>42</v>
      </c>
      <c r="C451" s="3" t="s">
        <v>23</v>
      </c>
      <c r="D451" s="3" t="s">
        <v>43</v>
      </c>
      <c r="E451" s="3" t="s">
        <v>51</v>
      </c>
      <c r="F451" s="3" t="s">
        <v>52</v>
      </c>
      <c r="G451" s="3" t="s">
        <v>25</v>
      </c>
      <c r="H451" s="3" t="s">
        <v>25</v>
      </c>
      <c r="I451" s="6">
        <v>44378</v>
      </c>
      <c r="J451" s="4">
        <v>0</v>
      </c>
      <c r="K451" s="4">
        <v>0</v>
      </c>
      <c r="L451" s="4">
        <v>4.2359999999999998</v>
      </c>
      <c r="M451" s="4">
        <v>4.2359999999999998</v>
      </c>
      <c r="N451" s="4">
        <v>4.2359999999999998</v>
      </c>
      <c r="O451" s="4">
        <v>4.2359999999999998</v>
      </c>
      <c r="P451" s="4">
        <v>0</v>
      </c>
      <c r="Q451" s="3" t="s">
        <v>26</v>
      </c>
      <c r="R451" s="3">
        <v>0</v>
      </c>
      <c r="S451" s="4">
        <v>0</v>
      </c>
      <c r="T451" s="4">
        <v>32</v>
      </c>
      <c r="U451" s="4">
        <v>72</v>
      </c>
      <c r="V451" s="4">
        <f>IF(ISERROR(VLOOKUP($S$451,'TAR FIN'!$A$1:$O$91,15,0)),0,VLOOKUP($S$451,'TAR FIN'!$A$1:$O$91,15,0))</f>
        <v>0</v>
      </c>
      <c r="W451" s="4">
        <f>IF(ISERROR(VLOOKUP($T$451,'TAR FIN'!$A$1:$O$91,15,0)),0,VLOOKUP($T$451,'TAR FIN'!$A$1:$O$91,15,0))</f>
        <v>357.74</v>
      </c>
      <c r="X451" s="4">
        <f>IF(ISERROR(VLOOKUP($U$451,'TAR FIN'!$A$1:$O$91,15,0)),0,VLOOKUP($U$451,'TAR FIN'!$A$1:$O$91,15,0))</f>
        <v>175.15</v>
      </c>
      <c r="Y451" s="4"/>
      <c r="Z451" s="4">
        <f ca="1">('TUSD BE'!$AM$36+'TUSD BF'!$AM$36+'TUSD CVA'!$AM$36)*(1-CUSTOS!$M$38)</f>
        <v>419.26134561460873</v>
      </c>
      <c r="AA451" s="4">
        <f>('TE BE'!$AB$27+'TE BF'!$AB$27+'TE CVA'!$AB$27)*(1-CUSTOS!$M$38)</f>
        <v>193.19190075421278</v>
      </c>
      <c r="AB451" s="4">
        <f>$K$451*$V$451</f>
        <v>0</v>
      </c>
      <c r="AC451" s="4">
        <f>$M$451*$W$451</f>
        <v>1515.3866399999999</v>
      </c>
      <c r="AD451" s="4">
        <f>$O$451*$X$451</f>
        <v>741.93539999999996</v>
      </c>
      <c r="AE451" s="4">
        <f>$K$451*$Y$451</f>
        <v>0</v>
      </c>
      <c r="AF451" s="4">
        <f ca="1">$M$451*$Z$451</f>
        <v>1775.9910600234825</v>
      </c>
      <c r="AG451" s="4">
        <f>$O$451*$AA$451</f>
        <v>818.36089159484527</v>
      </c>
    </row>
    <row r="452" spans="1:33" ht="11.25" customHeight="1" x14ac:dyDescent="0.3">
      <c r="A452" s="3" t="s">
        <v>21</v>
      </c>
      <c r="B452" s="3" t="s">
        <v>42</v>
      </c>
      <c r="C452" s="3" t="s">
        <v>23</v>
      </c>
      <c r="D452" s="3" t="s">
        <v>43</v>
      </c>
      <c r="E452" s="3" t="s">
        <v>51</v>
      </c>
      <c r="F452" s="3" t="s">
        <v>52</v>
      </c>
      <c r="G452" s="3" t="s">
        <v>25</v>
      </c>
      <c r="H452" s="3" t="s">
        <v>25</v>
      </c>
      <c r="I452" s="6">
        <v>44409</v>
      </c>
      <c r="J452" s="4">
        <v>0</v>
      </c>
      <c r="K452" s="4">
        <v>0</v>
      </c>
      <c r="L452" s="4">
        <v>5.0670000000000002</v>
      </c>
      <c r="M452" s="4">
        <v>5.0670000000000002</v>
      </c>
      <c r="N452" s="4">
        <v>5.0670000000000002</v>
      </c>
      <c r="O452" s="4">
        <v>5.0670000000000002</v>
      </c>
      <c r="P452" s="4">
        <v>0</v>
      </c>
      <c r="Q452" s="3" t="s">
        <v>26</v>
      </c>
      <c r="R452" s="3">
        <v>0</v>
      </c>
      <c r="S452" s="4">
        <v>0</v>
      </c>
      <c r="T452" s="4">
        <v>32</v>
      </c>
      <c r="U452" s="4">
        <v>72</v>
      </c>
      <c r="V452" s="4">
        <f>IF(ISERROR(VLOOKUP($S$452,'TAR FIN'!$A$1:$O$91,15,0)),0,VLOOKUP($S$452,'TAR FIN'!$A$1:$O$91,15,0))</f>
        <v>0</v>
      </c>
      <c r="W452" s="4">
        <f>IF(ISERROR(VLOOKUP($T$452,'TAR FIN'!$A$1:$O$91,15,0)),0,VLOOKUP($T$452,'TAR FIN'!$A$1:$O$91,15,0))</f>
        <v>357.74</v>
      </c>
      <c r="X452" s="4">
        <f>IF(ISERROR(VLOOKUP($U$452,'TAR FIN'!$A$1:$O$91,15,0)),0,VLOOKUP($U$452,'TAR FIN'!$A$1:$O$91,15,0))</f>
        <v>175.15</v>
      </c>
      <c r="Y452" s="4"/>
      <c r="Z452" s="4">
        <f ca="1">('TUSD BE'!$AM$36+'TUSD BF'!$AM$36+'TUSD CVA'!$AM$36)*(1-CUSTOS!$M$38)</f>
        <v>419.26134561460873</v>
      </c>
      <c r="AA452" s="4">
        <f>('TE BE'!$AB$27+'TE BF'!$AB$27+'TE CVA'!$AB$27)*(1-CUSTOS!$M$38)</f>
        <v>193.19190075421278</v>
      </c>
      <c r="AB452" s="4">
        <f>$K$452*$V$452</f>
        <v>0</v>
      </c>
      <c r="AC452" s="4">
        <f>$M$452*$W$452</f>
        <v>1812.66858</v>
      </c>
      <c r="AD452" s="4">
        <f>$O$452*$X$452</f>
        <v>887.48505000000011</v>
      </c>
      <c r="AE452" s="4">
        <f>$K$452*$Y$452</f>
        <v>0</v>
      </c>
      <c r="AF452" s="4">
        <f ca="1">$M$452*$Z$452</f>
        <v>2124.3972382292227</v>
      </c>
      <c r="AG452" s="4">
        <f>$O$452*$AA$452</f>
        <v>978.90336112159616</v>
      </c>
    </row>
    <row r="453" spans="1:33" ht="11.25" customHeight="1" x14ac:dyDescent="0.3">
      <c r="A453" s="3" t="s">
        <v>21</v>
      </c>
      <c r="B453" s="3" t="s">
        <v>42</v>
      </c>
      <c r="C453" s="3" t="s">
        <v>23</v>
      </c>
      <c r="D453" s="3" t="s">
        <v>43</v>
      </c>
      <c r="E453" s="3" t="s">
        <v>51</v>
      </c>
      <c r="F453" s="3" t="s">
        <v>52</v>
      </c>
      <c r="G453" s="3" t="s">
        <v>25</v>
      </c>
      <c r="H453" s="3" t="s">
        <v>25</v>
      </c>
      <c r="I453" s="6">
        <v>44440</v>
      </c>
      <c r="J453" s="4">
        <v>0</v>
      </c>
      <c r="K453" s="4">
        <v>0</v>
      </c>
      <c r="L453" s="4">
        <v>2.8380000000000001</v>
      </c>
      <c r="M453" s="4">
        <v>2.8380000000000001</v>
      </c>
      <c r="N453" s="4">
        <v>2.8380000000000001</v>
      </c>
      <c r="O453" s="4">
        <v>2.8380000000000001</v>
      </c>
      <c r="P453" s="4">
        <v>0</v>
      </c>
      <c r="Q453" s="3" t="s">
        <v>26</v>
      </c>
      <c r="R453" s="3">
        <v>0</v>
      </c>
      <c r="S453" s="4">
        <v>0</v>
      </c>
      <c r="T453" s="4">
        <v>32</v>
      </c>
      <c r="U453" s="4">
        <v>72</v>
      </c>
      <c r="V453" s="4">
        <f>IF(ISERROR(VLOOKUP($S$453,'TAR FIN'!$A$1:$O$91,15,0)),0,VLOOKUP($S$453,'TAR FIN'!$A$1:$O$91,15,0))</f>
        <v>0</v>
      </c>
      <c r="W453" s="4">
        <f>IF(ISERROR(VLOOKUP($T$453,'TAR FIN'!$A$1:$O$91,15,0)),0,VLOOKUP($T$453,'TAR FIN'!$A$1:$O$91,15,0))</f>
        <v>357.74</v>
      </c>
      <c r="X453" s="4">
        <f>IF(ISERROR(VLOOKUP($U$453,'TAR FIN'!$A$1:$O$91,15,0)),0,VLOOKUP($U$453,'TAR FIN'!$A$1:$O$91,15,0))</f>
        <v>175.15</v>
      </c>
      <c r="Y453" s="4"/>
      <c r="Z453" s="4">
        <f ca="1">('TUSD BE'!$AM$36+'TUSD BF'!$AM$36+'TUSD CVA'!$AM$36)*(1-CUSTOS!$M$38)</f>
        <v>419.26134561460873</v>
      </c>
      <c r="AA453" s="4">
        <f>('TE BE'!$AB$27+'TE BF'!$AB$27+'TE CVA'!$AB$27)*(1-CUSTOS!$M$38)</f>
        <v>193.19190075421278</v>
      </c>
      <c r="AB453" s="4">
        <f>$K$453*$V$453</f>
        <v>0</v>
      </c>
      <c r="AC453" s="4">
        <f>$M$453*$W$453</f>
        <v>1015.26612</v>
      </c>
      <c r="AD453" s="4">
        <f>$O$453*$X$453</f>
        <v>497.07570000000004</v>
      </c>
      <c r="AE453" s="4">
        <f>$K$453*$Y$453</f>
        <v>0</v>
      </c>
      <c r="AF453" s="4">
        <f ca="1">$M$453*$Z$453</f>
        <v>1189.8636988542596</v>
      </c>
      <c r="AG453" s="4">
        <f>$O$453*$AA$453</f>
        <v>548.27861434045587</v>
      </c>
    </row>
    <row r="454" spans="1:33" ht="11.25" customHeight="1" x14ac:dyDescent="0.3">
      <c r="A454" s="3" t="s">
        <v>21</v>
      </c>
      <c r="B454" s="3" t="s">
        <v>42</v>
      </c>
      <c r="C454" s="3" t="s">
        <v>23</v>
      </c>
      <c r="D454" s="3" t="s">
        <v>43</v>
      </c>
      <c r="E454" s="3" t="s">
        <v>51</v>
      </c>
      <c r="F454" s="3" t="s">
        <v>52</v>
      </c>
      <c r="G454" s="3" t="s">
        <v>25</v>
      </c>
      <c r="H454" s="3" t="s">
        <v>25</v>
      </c>
      <c r="I454" s="6">
        <v>44470</v>
      </c>
      <c r="J454" s="4">
        <v>0</v>
      </c>
      <c r="K454" s="4">
        <v>0</v>
      </c>
      <c r="L454" s="4">
        <v>5.6070000000000002</v>
      </c>
      <c r="M454" s="4">
        <v>5.6070000000000002</v>
      </c>
      <c r="N454" s="4">
        <v>5.6070000000000002</v>
      </c>
      <c r="O454" s="4">
        <v>5.6070000000000002</v>
      </c>
      <c r="P454" s="4">
        <v>0</v>
      </c>
      <c r="Q454" s="3" t="s">
        <v>26</v>
      </c>
      <c r="R454" s="3">
        <v>0</v>
      </c>
      <c r="S454" s="4">
        <v>0</v>
      </c>
      <c r="T454" s="4">
        <v>32</v>
      </c>
      <c r="U454" s="4">
        <v>72</v>
      </c>
      <c r="V454" s="4">
        <f>IF(ISERROR(VLOOKUP($S$454,'TAR FIN'!$A$1:$O$91,15,0)),0,VLOOKUP($S$454,'TAR FIN'!$A$1:$O$91,15,0))</f>
        <v>0</v>
      </c>
      <c r="W454" s="4">
        <f>IF(ISERROR(VLOOKUP($T$454,'TAR FIN'!$A$1:$O$91,15,0)),0,VLOOKUP($T$454,'TAR FIN'!$A$1:$O$91,15,0))</f>
        <v>357.74</v>
      </c>
      <c r="X454" s="4">
        <f>IF(ISERROR(VLOOKUP($U$454,'TAR FIN'!$A$1:$O$91,15,0)),0,VLOOKUP($U$454,'TAR FIN'!$A$1:$O$91,15,0))</f>
        <v>175.15</v>
      </c>
      <c r="Y454" s="4"/>
      <c r="Z454" s="4">
        <f ca="1">('TUSD BE'!$AM$36+'TUSD BF'!$AM$36+'TUSD CVA'!$AM$36)*(1-CUSTOS!$M$38)</f>
        <v>419.26134561460873</v>
      </c>
      <c r="AA454" s="4">
        <f>('TE BE'!$AB$27+'TE BF'!$AB$27+'TE CVA'!$AB$27)*(1-CUSTOS!$M$38)</f>
        <v>193.19190075421278</v>
      </c>
      <c r="AB454" s="4">
        <f>$K$454*$V$454</f>
        <v>0</v>
      </c>
      <c r="AC454" s="4">
        <f>$M$454*$W$454</f>
        <v>2005.8481800000002</v>
      </c>
      <c r="AD454" s="4">
        <f>$O$454*$X$454</f>
        <v>982.06605000000002</v>
      </c>
      <c r="AE454" s="4">
        <f>$K$454*$Y$454</f>
        <v>0</v>
      </c>
      <c r="AF454" s="4">
        <f ca="1">$M$454*$Z$454</f>
        <v>2350.7983648611112</v>
      </c>
      <c r="AG454" s="4">
        <f>$O$454*$AA$454</f>
        <v>1083.2269875288712</v>
      </c>
    </row>
    <row r="455" spans="1:33" ht="11.25" customHeight="1" x14ac:dyDescent="0.3">
      <c r="A455" s="3" t="s">
        <v>21</v>
      </c>
      <c r="B455" s="3" t="s">
        <v>42</v>
      </c>
      <c r="C455" s="3" t="s">
        <v>23</v>
      </c>
      <c r="D455" s="3" t="s">
        <v>43</v>
      </c>
      <c r="E455" s="3" t="s">
        <v>51</v>
      </c>
      <c r="F455" s="3" t="s">
        <v>52</v>
      </c>
      <c r="G455" s="3" t="s">
        <v>25</v>
      </c>
      <c r="H455" s="3" t="s">
        <v>25</v>
      </c>
      <c r="I455" s="6">
        <v>44501</v>
      </c>
      <c r="J455" s="4">
        <v>0</v>
      </c>
      <c r="K455" s="4">
        <v>0</v>
      </c>
      <c r="L455" s="4">
        <v>29.422000000000001</v>
      </c>
      <c r="M455" s="4">
        <v>29.422000000000001</v>
      </c>
      <c r="N455" s="4">
        <v>29.422000000000001</v>
      </c>
      <c r="O455" s="4">
        <v>29.422000000000001</v>
      </c>
      <c r="P455" s="4">
        <v>0</v>
      </c>
      <c r="Q455" s="3" t="s">
        <v>26</v>
      </c>
      <c r="R455" s="3">
        <v>0</v>
      </c>
      <c r="S455" s="4">
        <v>0</v>
      </c>
      <c r="T455" s="4">
        <v>32</v>
      </c>
      <c r="U455" s="4">
        <v>72</v>
      </c>
      <c r="V455" s="4">
        <f>IF(ISERROR(VLOOKUP($S$455,'TAR FIN'!$A$1:$O$91,15,0)),0,VLOOKUP($S$455,'TAR FIN'!$A$1:$O$91,15,0))</f>
        <v>0</v>
      </c>
      <c r="W455" s="4">
        <f>IF(ISERROR(VLOOKUP($T$455,'TAR FIN'!$A$1:$O$91,15,0)),0,VLOOKUP($T$455,'TAR FIN'!$A$1:$O$91,15,0))</f>
        <v>357.74</v>
      </c>
      <c r="X455" s="4">
        <f>IF(ISERROR(VLOOKUP($U$455,'TAR FIN'!$A$1:$O$91,15,0)),0,VLOOKUP($U$455,'TAR FIN'!$A$1:$O$91,15,0))</f>
        <v>175.15</v>
      </c>
      <c r="Y455" s="4"/>
      <c r="Z455" s="4">
        <f ca="1">('TUSD BE'!$AM$36+'TUSD BF'!$AM$36+'TUSD CVA'!$AM$36)*(1-CUSTOS!$M$38)</f>
        <v>419.26134561460873</v>
      </c>
      <c r="AA455" s="4">
        <f>('TE BE'!$AB$27+'TE BF'!$AB$27+'TE CVA'!$AB$27)*(1-CUSTOS!$M$38)</f>
        <v>193.19190075421278</v>
      </c>
      <c r="AB455" s="4">
        <f>$K$455*$V$455</f>
        <v>0</v>
      </c>
      <c r="AC455" s="4">
        <f>$M$455*$W$455</f>
        <v>10525.42628</v>
      </c>
      <c r="AD455" s="4">
        <f>$O$455*$X$455</f>
        <v>5153.2633000000005</v>
      </c>
      <c r="AE455" s="4">
        <f>$K$455*$Y$455</f>
        <v>0</v>
      </c>
      <c r="AF455" s="4">
        <f ca="1">$M$455*$Z$455</f>
        <v>12335.507310673018</v>
      </c>
      <c r="AG455" s="4">
        <f>$O$455*$AA$455</f>
        <v>5684.0921039904488</v>
      </c>
    </row>
    <row r="456" spans="1:33" ht="11.25" customHeight="1" x14ac:dyDescent="0.3">
      <c r="A456" s="3" t="s">
        <v>21</v>
      </c>
      <c r="B456" s="3" t="s">
        <v>42</v>
      </c>
      <c r="C456" s="3" t="s">
        <v>23</v>
      </c>
      <c r="D456" s="3" t="s">
        <v>43</v>
      </c>
      <c r="E456" s="3" t="s">
        <v>51</v>
      </c>
      <c r="F456" s="3" t="s">
        <v>52</v>
      </c>
      <c r="G456" s="3" t="s">
        <v>25</v>
      </c>
      <c r="H456" s="3" t="s">
        <v>25</v>
      </c>
      <c r="I456" s="6">
        <v>44531</v>
      </c>
      <c r="J456" s="4">
        <v>0</v>
      </c>
      <c r="K456" s="4">
        <v>0</v>
      </c>
      <c r="L456" s="4">
        <v>40.567999999999998</v>
      </c>
      <c r="M456" s="4">
        <v>40.567999999999998</v>
      </c>
      <c r="N456" s="4">
        <v>40.567999999999998</v>
      </c>
      <c r="O456" s="4">
        <v>40.567999999999998</v>
      </c>
      <c r="P456" s="4">
        <v>0</v>
      </c>
      <c r="Q456" s="3" t="s">
        <v>26</v>
      </c>
      <c r="R456" s="3">
        <v>0</v>
      </c>
      <c r="S456" s="4">
        <v>0</v>
      </c>
      <c r="T456" s="4">
        <v>32</v>
      </c>
      <c r="U456" s="4">
        <v>72</v>
      </c>
      <c r="V456" s="4">
        <f>IF(ISERROR(VLOOKUP($S$456,'TAR FIN'!$A$1:$O$91,15,0)),0,VLOOKUP($S$456,'TAR FIN'!$A$1:$O$91,15,0))</f>
        <v>0</v>
      </c>
      <c r="W456" s="4">
        <f>IF(ISERROR(VLOOKUP($T$456,'TAR FIN'!$A$1:$O$91,15,0)),0,VLOOKUP($T$456,'TAR FIN'!$A$1:$O$91,15,0))</f>
        <v>357.74</v>
      </c>
      <c r="X456" s="4">
        <f>IF(ISERROR(VLOOKUP($U$456,'TAR FIN'!$A$1:$O$91,15,0)),0,VLOOKUP($U$456,'TAR FIN'!$A$1:$O$91,15,0))</f>
        <v>175.15</v>
      </c>
      <c r="Y456" s="4"/>
      <c r="Z456" s="4">
        <f ca="1">('TUSD BE'!$AM$36+'TUSD BF'!$AM$36+'TUSD CVA'!$AM$36)*(1-CUSTOS!$M$38)</f>
        <v>419.26134561460873</v>
      </c>
      <c r="AA456" s="4">
        <f>('TE BE'!$AB$27+'TE BF'!$AB$27+'TE CVA'!$AB$27)*(1-CUSTOS!$M$38)</f>
        <v>193.19190075421278</v>
      </c>
      <c r="AB456" s="4">
        <f>$K$456*$V$456</f>
        <v>0</v>
      </c>
      <c r="AC456" s="4">
        <f>$M$456*$W$456</f>
        <v>14512.796319999999</v>
      </c>
      <c r="AD456" s="4">
        <f>$O$456*$X$456</f>
        <v>7105.4852000000001</v>
      </c>
      <c r="AE456" s="4">
        <f>$K$456*$Y$456</f>
        <v>0</v>
      </c>
      <c r="AF456" s="4">
        <f ca="1">$M$456*$Z$456</f>
        <v>17008.594268893445</v>
      </c>
      <c r="AG456" s="4">
        <f>$O$456*$AA$456</f>
        <v>7837.4090297969033</v>
      </c>
    </row>
    <row r="457" spans="1:33" ht="11.25" customHeight="1" x14ac:dyDescent="0.3">
      <c r="A457" s="3" t="s">
        <v>21</v>
      </c>
      <c r="B457" s="3" t="s">
        <v>42</v>
      </c>
      <c r="C457" s="3" t="s">
        <v>23</v>
      </c>
      <c r="D457" s="3" t="s">
        <v>43</v>
      </c>
      <c r="E457" s="3" t="s">
        <v>51</v>
      </c>
      <c r="F457" s="3" t="s">
        <v>52</v>
      </c>
      <c r="G457" s="3" t="s">
        <v>25</v>
      </c>
      <c r="H457" s="3" t="s">
        <v>25</v>
      </c>
      <c r="I457" s="6">
        <v>44562</v>
      </c>
      <c r="J457" s="4">
        <v>0</v>
      </c>
      <c r="K457" s="4">
        <v>0</v>
      </c>
      <c r="L457" s="4">
        <v>38.094000000000001</v>
      </c>
      <c r="M457" s="4">
        <v>38.094000000000001</v>
      </c>
      <c r="N457" s="4">
        <v>38.094000000000001</v>
      </c>
      <c r="O457" s="4">
        <v>38.094000000000001</v>
      </c>
      <c r="P457" s="4">
        <v>0</v>
      </c>
      <c r="Q457" s="3" t="s">
        <v>26</v>
      </c>
      <c r="R457" s="3">
        <v>0</v>
      </c>
      <c r="S457" s="4">
        <v>0</v>
      </c>
      <c r="T457" s="4">
        <v>32</v>
      </c>
      <c r="U457" s="4">
        <v>72</v>
      </c>
      <c r="V457" s="4">
        <f>IF(ISERROR(VLOOKUP($S$457,'TAR FIN'!$A$1:$O$91,15,0)),0,VLOOKUP($S$457,'TAR FIN'!$A$1:$O$91,15,0))</f>
        <v>0</v>
      </c>
      <c r="W457" s="4">
        <f>IF(ISERROR(VLOOKUP($T$457,'TAR FIN'!$A$1:$O$91,15,0)),0,VLOOKUP($T$457,'TAR FIN'!$A$1:$O$91,15,0))</f>
        <v>357.74</v>
      </c>
      <c r="X457" s="4">
        <f>IF(ISERROR(VLOOKUP($U$457,'TAR FIN'!$A$1:$O$91,15,0)),0,VLOOKUP($U$457,'TAR FIN'!$A$1:$O$91,15,0))</f>
        <v>175.15</v>
      </c>
      <c r="Y457" s="4"/>
      <c r="Z457" s="4">
        <f ca="1">('TUSD BE'!$AM$36+'TUSD BF'!$AM$36+'TUSD CVA'!$AM$36)*(1-CUSTOS!$M$38)</f>
        <v>419.26134561460873</v>
      </c>
      <c r="AA457" s="4">
        <f>('TE BE'!$AB$27+'TE BF'!$AB$27+'TE CVA'!$AB$27)*(1-CUSTOS!$M$38)</f>
        <v>193.19190075421278</v>
      </c>
      <c r="AB457" s="4">
        <f>$K$457*$V$457</f>
        <v>0</v>
      </c>
      <c r="AC457" s="4">
        <f>$M$457*$W$457</f>
        <v>13627.747560000002</v>
      </c>
      <c r="AD457" s="4">
        <f>$O$457*$X$457</f>
        <v>6672.1641000000009</v>
      </c>
      <c r="AE457" s="4">
        <f>$K$457*$Y$457</f>
        <v>0</v>
      </c>
      <c r="AF457" s="4">
        <f ca="1">$M$457*$Z$457</f>
        <v>15971.341699842906</v>
      </c>
      <c r="AG457" s="4">
        <f>$O$457*$AA$457</f>
        <v>7359.4522673309821</v>
      </c>
    </row>
    <row r="458" spans="1:33" ht="11.25" customHeight="1" x14ac:dyDescent="0.3">
      <c r="A458" s="3" t="s">
        <v>21</v>
      </c>
      <c r="B458" s="3" t="s">
        <v>42</v>
      </c>
      <c r="C458" s="3" t="s">
        <v>23</v>
      </c>
      <c r="D458" s="3" t="s">
        <v>43</v>
      </c>
      <c r="E458" s="3" t="s">
        <v>51</v>
      </c>
      <c r="F458" s="3" t="s">
        <v>52</v>
      </c>
      <c r="G458" s="3" t="s">
        <v>25</v>
      </c>
      <c r="H458" s="3" t="s">
        <v>25</v>
      </c>
      <c r="I458" s="6">
        <v>44593</v>
      </c>
      <c r="J458" s="4">
        <v>0</v>
      </c>
      <c r="K458" s="4">
        <v>0</v>
      </c>
      <c r="L458" s="4">
        <v>27.29</v>
      </c>
      <c r="M458" s="4">
        <v>27.29</v>
      </c>
      <c r="N458" s="4">
        <v>27.29</v>
      </c>
      <c r="O458" s="4">
        <v>27.29</v>
      </c>
      <c r="P458" s="4">
        <v>0</v>
      </c>
      <c r="Q458" s="3" t="s">
        <v>26</v>
      </c>
      <c r="R458" s="3">
        <v>0</v>
      </c>
      <c r="S458" s="4">
        <v>0</v>
      </c>
      <c r="T458" s="4">
        <v>32</v>
      </c>
      <c r="U458" s="4">
        <v>72</v>
      </c>
      <c r="V458" s="4">
        <f>IF(ISERROR(VLOOKUP($S$458,'TAR FIN'!$A$1:$O$91,15,0)),0,VLOOKUP($S$458,'TAR FIN'!$A$1:$O$91,15,0))</f>
        <v>0</v>
      </c>
      <c r="W458" s="4">
        <f>IF(ISERROR(VLOOKUP($T$458,'TAR FIN'!$A$1:$O$91,15,0)),0,VLOOKUP($T$458,'TAR FIN'!$A$1:$O$91,15,0))</f>
        <v>357.74</v>
      </c>
      <c r="X458" s="4">
        <f>IF(ISERROR(VLOOKUP($U$458,'TAR FIN'!$A$1:$O$91,15,0)),0,VLOOKUP($U$458,'TAR FIN'!$A$1:$O$91,15,0))</f>
        <v>175.15</v>
      </c>
      <c r="Y458" s="4"/>
      <c r="Z458" s="4">
        <f ca="1">('TUSD BE'!$AM$36+'TUSD BF'!$AM$36+'TUSD CVA'!$AM$36)*(1-CUSTOS!$M$38)</f>
        <v>419.26134561460873</v>
      </c>
      <c r="AA458" s="4">
        <f>('TE BE'!$AB$27+'TE BF'!$AB$27+'TE CVA'!$AB$27)*(1-CUSTOS!$M$38)</f>
        <v>193.19190075421278</v>
      </c>
      <c r="AB458" s="4">
        <f>$K$458*$V$458</f>
        <v>0</v>
      </c>
      <c r="AC458" s="4">
        <f>$M$458*$W$458</f>
        <v>9762.7245999999996</v>
      </c>
      <c r="AD458" s="4">
        <f>$O$458*$X$458</f>
        <v>4779.8434999999999</v>
      </c>
      <c r="AE458" s="4">
        <f>$K$458*$Y$458</f>
        <v>0</v>
      </c>
      <c r="AF458" s="4">
        <f ca="1">$M$458*$Z$458</f>
        <v>11441.642121822671</v>
      </c>
      <c r="AG458" s="4">
        <f>$O$458*$AA$458</f>
        <v>5272.2069715824664</v>
      </c>
    </row>
    <row r="459" spans="1:33" ht="11.25" customHeight="1" x14ac:dyDescent="0.3">
      <c r="A459" s="3" t="s">
        <v>21</v>
      </c>
      <c r="B459" s="3" t="s">
        <v>42</v>
      </c>
      <c r="C459" s="3" t="s">
        <v>23</v>
      </c>
      <c r="D459" s="3" t="s">
        <v>43</v>
      </c>
      <c r="E459" s="3" t="s">
        <v>51</v>
      </c>
      <c r="F459" s="3" t="s">
        <v>52</v>
      </c>
      <c r="G459" s="3" t="s">
        <v>25</v>
      </c>
      <c r="H459" s="3" t="s">
        <v>25</v>
      </c>
      <c r="I459" s="6">
        <v>44621</v>
      </c>
      <c r="J459" s="4">
        <v>0</v>
      </c>
      <c r="K459" s="4">
        <v>0</v>
      </c>
      <c r="L459" s="4">
        <v>3.7909999999999999</v>
      </c>
      <c r="M459" s="4">
        <v>3.7909999999999999</v>
      </c>
      <c r="N459" s="4">
        <v>3.7909999999999999</v>
      </c>
      <c r="O459" s="4">
        <v>3.7909999999999999</v>
      </c>
      <c r="P459" s="4">
        <v>0</v>
      </c>
      <c r="Q459" s="3" t="s">
        <v>26</v>
      </c>
      <c r="R459" s="3">
        <v>0</v>
      </c>
      <c r="S459" s="4">
        <v>0</v>
      </c>
      <c r="T459" s="4">
        <v>32</v>
      </c>
      <c r="U459" s="4">
        <v>72</v>
      </c>
      <c r="V459" s="4">
        <f>IF(ISERROR(VLOOKUP($S$459,'TAR FIN'!$A$1:$O$91,15,0)),0,VLOOKUP($S$459,'TAR FIN'!$A$1:$O$91,15,0))</f>
        <v>0</v>
      </c>
      <c r="W459" s="4">
        <f>IF(ISERROR(VLOOKUP($T$459,'TAR FIN'!$A$1:$O$91,15,0)),0,VLOOKUP($T$459,'TAR FIN'!$A$1:$O$91,15,0))</f>
        <v>357.74</v>
      </c>
      <c r="X459" s="4">
        <f>IF(ISERROR(VLOOKUP($U$459,'TAR FIN'!$A$1:$O$91,15,0)),0,VLOOKUP($U$459,'TAR FIN'!$A$1:$O$91,15,0))</f>
        <v>175.15</v>
      </c>
      <c r="Y459" s="4"/>
      <c r="Z459" s="4">
        <f ca="1">('TUSD BE'!$AM$36+'TUSD BF'!$AM$36+'TUSD CVA'!$AM$36)*(1-CUSTOS!$M$38)</f>
        <v>419.26134561460873</v>
      </c>
      <c r="AA459" s="4">
        <f>('TE BE'!$AB$27+'TE BF'!$AB$27+'TE CVA'!$AB$27)*(1-CUSTOS!$M$38)</f>
        <v>193.19190075421278</v>
      </c>
      <c r="AB459" s="4">
        <f>$K$459*$V$459</f>
        <v>0</v>
      </c>
      <c r="AC459" s="4">
        <f>$M$459*$W$459</f>
        <v>1356.1923400000001</v>
      </c>
      <c r="AD459" s="4">
        <f>$O$459*$X$459</f>
        <v>663.99365</v>
      </c>
      <c r="AE459" s="4">
        <f>$K$459*$Y$459</f>
        <v>0</v>
      </c>
      <c r="AF459" s="4">
        <f ca="1">$M$459*$Z$459</f>
        <v>1589.4197612249816</v>
      </c>
      <c r="AG459" s="4">
        <f>$O$459*$AA$459</f>
        <v>732.39049575922058</v>
      </c>
    </row>
    <row r="460" spans="1:33" ht="11.25" customHeight="1" x14ac:dyDescent="0.3">
      <c r="A460" s="3" t="s">
        <v>21</v>
      </c>
      <c r="B460" s="3" t="s">
        <v>42</v>
      </c>
      <c r="C460" s="3" t="s">
        <v>23</v>
      </c>
      <c r="D460" s="3" t="s">
        <v>43</v>
      </c>
      <c r="E460" s="3" t="s">
        <v>51</v>
      </c>
      <c r="F460" s="3" t="s">
        <v>52</v>
      </c>
      <c r="G460" s="3" t="s">
        <v>25</v>
      </c>
      <c r="H460" s="3" t="s">
        <v>25</v>
      </c>
      <c r="I460" s="6">
        <v>44652</v>
      </c>
      <c r="J460" s="4">
        <v>0</v>
      </c>
      <c r="K460" s="4">
        <v>0</v>
      </c>
      <c r="L460" s="4">
        <v>1.879</v>
      </c>
      <c r="M460" s="4">
        <v>1.879</v>
      </c>
      <c r="N460" s="4">
        <v>1.879</v>
      </c>
      <c r="O460" s="4">
        <v>1.879</v>
      </c>
      <c r="P460" s="4">
        <v>0</v>
      </c>
      <c r="Q460" s="3" t="s">
        <v>26</v>
      </c>
      <c r="R460" s="3">
        <v>0</v>
      </c>
      <c r="S460" s="4">
        <v>0</v>
      </c>
      <c r="T460" s="4">
        <v>32</v>
      </c>
      <c r="U460" s="4">
        <v>72</v>
      </c>
      <c r="V460" s="4">
        <f>IF(ISERROR(VLOOKUP($S$460,'TAR FIN'!$A$1:$O$91,15,0)),0,VLOOKUP($S$460,'TAR FIN'!$A$1:$O$91,15,0))</f>
        <v>0</v>
      </c>
      <c r="W460" s="4">
        <f>IF(ISERROR(VLOOKUP($T$460,'TAR FIN'!$A$1:$O$91,15,0)),0,VLOOKUP($T$460,'TAR FIN'!$A$1:$O$91,15,0))</f>
        <v>357.74</v>
      </c>
      <c r="X460" s="4">
        <f>IF(ISERROR(VLOOKUP($U$460,'TAR FIN'!$A$1:$O$91,15,0)),0,VLOOKUP($U$460,'TAR FIN'!$A$1:$O$91,15,0))</f>
        <v>175.15</v>
      </c>
      <c r="Y460" s="4"/>
      <c r="Z460" s="4">
        <f ca="1">('TUSD BE'!$AM$36+'TUSD BF'!$AM$36+'TUSD CVA'!$AM$36)*(1-CUSTOS!$M$38)</f>
        <v>419.26134561460873</v>
      </c>
      <c r="AA460" s="4">
        <f>('TE BE'!$AB$27+'TE BF'!$AB$27+'TE CVA'!$AB$27)*(1-CUSTOS!$M$38)</f>
        <v>193.19190075421278</v>
      </c>
      <c r="AB460" s="4">
        <f>$K$460*$V$460</f>
        <v>0</v>
      </c>
      <c r="AC460" s="4">
        <f>$M$460*$W$460</f>
        <v>672.19346000000007</v>
      </c>
      <c r="AD460" s="4">
        <f>$O$460*$X$460</f>
        <v>329.10685000000001</v>
      </c>
      <c r="AE460" s="4">
        <f>$K$460*$Y$460</f>
        <v>0</v>
      </c>
      <c r="AF460" s="4">
        <f ca="1">$M$460*$Z$460</f>
        <v>787.79206840984978</v>
      </c>
      <c r="AG460" s="4">
        <f>$O$460*$AA$460</f>
        <v>363.00758151716582</v>
      </c>
    </row>
    <row r="461" spans="1:33" ht="11.25" customHeight="1" x14ac:dyDescent="0.3">
      <c r="A461" s="3" t="s">
        <v>21</v>
      </c>
      <c r="B461" s="3" t="s">
        <v>42</v>
      </c>
      <c r="C461" s="3" t="s">
        <v>23</v>
      </c>
      <c r="D461" s="3" t="s">
        <v>43</v>
      </c>
      <c r="E461" s="3" t="s">
        <v>51</v>
      </c>
      <c r="F461" s="3" t="s">
        <v>52</v>
      </c>
      <c r="G461" s="3" t="s">
        <v>25</v>
      </c>
      <c r="H461" s="3" t="s">
        <v>25</v>
      </c>
      <c r="I461" s="6">
        <v>44682</v>
      </c>
      <c r="J461" s="4">
        <v>0</v>
      </c>
      <c r="K461" s="4">
        <v>0</v>
      </c>
      <c r="L461" s="4">
        <v>1.1619999999999999</v>
      </c>
      <c r="M461" s="4">
        <v>1.1619999999999999</v>
      </c>
      <c r="N461" s="4">
        <v>1.1619999999999999</v>
      </c>
      <c r="O461" s="4">
        <v>1.1619999999999999</v>
      </c>
      <c r="P461" s="4">
        <v>0</v>
      </c>
      <c r="Q461" s="3" t="s">
        <v>26</v>
      </c>
      <c r="R461" s="3">
        <v>0</v>
      </c>
      <c r="S461" s="4">
        <v>0</v>
      </c>
      <c r="T461" s="4">
        <v>32</v>
      </c>
      <c r="U461" s="4">
        <v>72</v>
      </c>
      <c r="V461" s="4">
        <f>IF(ISERROR(VLOOKUP($S$461,'TAR FIN'!$A$1:$O$91,15,0)),0,VLOOKUP($S$461,'TAR FIN'!$A$1:$O$91,15,0))</f>
        <v>0</v>
      </c>
      <c r="W461" s="4">
        <f>IF(ISERROR(VLOOKUP($T$461,'TAR FIN'!$A$1:$O$91,15,0)),0,VLOOKUP($T$461,'TAR FIN'!$A$1:$O$91,15,0))</f>
        <v>357.74</v>
      </c>
      <c r="X461" s="4">
        <f>IF(ISERROR(VLOOKUP($U$461,'TAR FIN'!$A$1:$O$91,15,0)),0,VLOOKUP($U$461,'TAR FIN'!$A$1:$O$91,15,0))</f>
        <v>175.15</v>
      </c>
      <c r="Y461" s="4"/>
      <c r="Z461" s="4">
        <f ca="1">('TUSD BE'!$AM$36+'TUSD BF'!$AM$36+'TUSD CVA'!$AM$36)*(1-CUSTOS!$M$38)</f>
        <v>419.26134561460873</v>
      </c>
      <c r="AA461" s="4">
        <f>('TE BE'!$AB$27+'TE BF'!$AB$27+'TE CVA'!$AB$27)*(1-CUSTOS!$M$38)</f>
        <v>193.19190075421278</v>
      </c>
      <c r="AB461" s="4">
        <f>$K$461*$V$461</f>
        <v>0</v>
      </c>
      <c r="AC461" s="4">
        <f>$M$461*$W$461</f>
        <v>415.69387999999998</v>
      </c>
      <c r="AD461" s="4">
        <f>$O$461*$X$461</f>
        <v>203.52429999999998</v>
      </c>
      <c r="AE461" s="4">
        <f>$K$461*$Y$461</f>
        <v>0</v>
      </c>
      <c r="AF461" s="4">
        <f ca="1">$M$461*$Z$461</f>
        <v>487.1816836041753</v>
      </c>
      <c r="AG461" s="4">
        <f>$O$461*$AA$461</f>
        <v>224.48898867639522</v>
      </c>
    </row>
    <row r="462" spans="1:33" ht="11.25" customHeight="1" x14ac:dyDescent="0.3">
      <c r="A462" s="3" t="s">
        <v>21</v>
      </c>
      <c r="B462" s="3" t="s">
        <v>42</v>
      </c>
      <c r="C462" s="3" t="s">
        <v>23</v>
      </c>
      <c r="D462" s="3" t="s">
        <v>43</v>
      </c>
      <c r="E462" s="3" t="s">
        <v>51</v>
      </c>
      <c r="F462" s="3" t="s">
        <v>52</v>
      </c>
      <c r="G462" s="3" t="s">
        <v>25</v>
      </c>
      <c r="H462" s="3" t="s">
        <v>25</v>
      </c>
      <c r="I462" s="6">
        <v>44713</v>
      </c>
      <c r="J462" s="4">
        <v>0</v>
      </c>
      <c r="K462" s="4">
        <v>0</v>
      </c>
      <c r="L462" s="4">
        <v>0.8</v>
      </c>
      <c r="M462" s="4">
        <v>0.8</v>
      </c>
      <c r="N462" s="4">
        <v>0.8</v>
      </c>
      <c r="O462" s="4">
        <v>0.8</v>
      </c>
      <c r="P462" s="4">
        <v>0</v>
      </c>
      <c r="Q462" s="3" t="s">
        <v>26</v>
      </c>
      <c r="R462" s="3">
        <v>0</v>
      </c>
      <c r="S462" s="4">
        <v>0</v>
      </c>
      <c r="T462" s="4">
        <v>32</v>
      </c>
      <c r="U462" s="4">
        <v>72</v>
      </c>
      <c r="V462" s="4">
        <f>IF(ISERROR(VLOOKUP($S$462,'TAR FIN'!$A$1:$O$91,15,0)),0,VLOOKUP($S$462,'TAR FIN'!$A$1:$O$91,15,0))</f>
        <v>0</v>
      </c>
      <c r="W462" s="4">
        <f>IF(ISERROR(VLOOKUP($T$462,'TAR FIN'!$A$1:$O$91,15,0)),0,VLOOKUP($T$462,'TAR FIN'!$A$1:$O$91,15,0))</f>
        <v>357.74</v>
      </c>
      <c r="X462" s="4">
        <f>IF(ISERROR(VLOOKUP($U$462,'TAR FIN'!$A$1:$O$91,15,0)),0,VLOOKUP($U$462,'TAR FIN'!$A$1:$O$91,15,0))</f>
        <v>175.15</v>
      </c>
      <c r="Y462" s="4"/>
      <c r="Z462" s="4">
        <f ca="1">('TUSD BE'!$AM$36+'TUSD BF'!$AM$36+'TUSD CVA'!$AM$36)*(1-CUSTOS!$M$38)</f>
        <v>419.26134561460873</v>
      </c>
      <c r="AA462" s="4">
        <f>('TE BE'!$AB$27+'TE BF'!$AB$27+'TE CVA'!$AB$27)*(1-CUSTOS!$M$38)</f>
        <v>193.19190075421278</v>
      </c>
      <c r="AB462" s="4">
        <f>$K$462*$V$462</f>
        <v>0</v>
      </c>
      <c r="AC462" s="4">
        <f>$M$462*$W$462</f>
        <v>286.19200000000001</v>
      </c>
      <c r="AD462" s="4">
        <f>$O$462*$X$462</f>
        <v>140.12</v>
      </c>
      <c r="AE462" s="4">
        <f>$K$462*$Y$462</f>
        <v>0</v>
      </c>
      <c r="AF462" s="4">
        <f ca="1">$M$462*$Z$462</f>
        <v>335.40907649168702</v>
      </c>
      <c r="AG462" s="4">
        <f>$O$462*$AA$462</f>
        <v>154.55352060337023</v>
      </c>
    </row>
    <row r="463" spans="1:33" ht="11.25" customHeight="1" x14ac:dyDescent="0.3">
      <c r="A463" s="3" t="s">
        <v>21</v>
      </c>
      <c r="B463" s="3" t="s">
        <v>42</v>
      </c>
      <c r="C463" s="3" t="s">
        <v>23</v>
      </c>
      <c r="D463" s="3" t="s">
        <v>43</v>
      </c>
      <c r="E463" s="3" t="s">
        <v>51</v>
      </c>
      <c r="F463" s="3" t="s">
        <v>53</v>
      </c>
      <c r="G463" s="3" t="s">
        <v>25</v>
      </c>
      <c r="H463" s="3" t="s">
        <v>25</v>
      </c>
      <c r="I463" s="6">
        <v>44378</v>
      </c>
      <c r="J463" s="4">
        <v>0</v>
      </c>
      <c r="K463" s="4">
        <v>0</v>
      </c>
      <c r="L463" s="4">
        <v>0.82299999999999995</v>
      </c>
      <c r="M463" s="4">
        <v>0.32919999999999999</v>
      </c>
      <c r="N463" s="4">
        <v>0.82299999999999995</v>
      </c>
      <c r="O463" s="4">
        <v>0.32919999999999999</v>
      </c>
      <c r="P463" s="4">
        <v>0</v>
      </c>
      <c r="Q463" s="3" t="s">
        <v>26</v>
      </c>
      <c r="R463" s="3">
        <v>0</v>
      </c>
      <c r="S463" s="4">
        <v>0</v>
      </c>
      <c r="T463" s="4">
        <v>32</v>
      </c>
      <c r="U463" s="4">
        <v>72</v>
      </c>
      <c r="V463" s="4">
        <f>IF(ISERROR(VLOOKUP($S$463,'TAR FIN'!$A$1:$O$91,15,0)),0,VLOOKUP($S$463,'TAR FIN'!$A$1:$O$91,15,0))</f>
        <v>0</v>
      </c>
      <c r="W463" s="4">
        <f>IF(ISERROR(VLOOKUP($T$463,'TAR FIN'!$A$1:$O$91,15,0)),0,VLOOKUP($T$463,'TAR FIN'!$A$1:$O$91,15,0))</f>
        <v>357.74</v>
      </c>
      <c r="X463" s="4">
        <f>IF(ISERROR(VLOOKUP($U$463,'TAR FIN'!$A$1:$O$91,15,0)),0,VLOOKUP($U$463,'TAR FIN'!$A$1:$O$91,15,0))</f>
        <v>175.15</v>
      </c>
      <c r="Y463" s="4"/>
      <c r="Z463" s="4">
        <f ca="1">('TUSD BE'!$AM$36+'TUSD BF'!$AM$36+'TUSD CVA'!$AM$36)*(1-CUSTOS!$M$38)</f>
        <v>419.26134561460873</v>
      </c>
      <c r="AA463" s="4">
        <f>('TE BE'!$AB$27+'TE BF'!$AB$27+'TE CVA'!$AB$27)*(1-CUSTOS!$M$38)</f>
        <v>193.19190075421278</v>
      </c>
      <c r="AB463" s="4">
        <f>$K$463*$V$463</f>
        <v>0</v>
      </c>
      <c r="AC463" s="4">
        <f>$M$463*$W$463</f>
        <v>117.76800799999999</v>
      </c>
      <c r="AD463" s="4">
        <f>$O$463*$X$463</f>
        <v>57.659379999999999</v>
      </c>
      <c r="AE463" s="4">
        <f>$K$463*$Y$463</f>
        <v>0</v>
      </c>
      <c r="AF463" s="4">
        <f ca="1">$M$463*$Z$463</f>
        <v>138.02083497632918</v>
      </c>
      <c r="AG463" s="4">
        <f>$O$463*$AA$463</f>
        <v>63.598773728286844</v>
      </c>
    </row>
    <row r="464" spans="1:33" ht="11.25" customHeight="1" x14ac:dyDescent="0.3">
      <c r="A464" s="3" t="s">
        <v>21</v>
      </c>
      <c r="B464" s="3" t="s">
        <v>42</v>
      </c>
      <c r="C464" s="3" t="s">
        <v>23</v>
      </c>
      <c r="D464" s="3" t="s">
        <v>43</v>
      </c>
      <c r="E464" s="3" t="s">
        <v>51</v>
      </c>
      <c r="F464" s="3" t="s">
        <v>53</v>
      </c>
      <c r="G464" s="3" t="s">
        <v>25</v>
      </c>
      <c r="H464" s="3" t="s">
        <v>25</v>
      </c>
      <c r="I464" s="6">
        <v>44409</v>
      </c>
      <c r="J464" s="4">
        <v>0</v>
      </c>
      <c r="K464" s="4">
        <v>0</v>
      </c>
      <c r="L464" s="4">
        <v>1.702</v>
      </c>
      <c r="M464" s="4">
        <v>0.68079999999999996</v>
      </c>
      <c r="N464" s="4">
        <v>1.702</v>
      </c>
      <c r="O464" s="4">
        <v>0.68079999999999996</v>
      </c>
      <c r="P464" s="4">
        <v>0</v>
      </c>
      <c r="Q464" s="3" t="s">
        <v>26</v>
      </c>
      <c r="R464" s="3">
        <v>0</v>
      </c>
      <c r="S464" s="4">
        <v>0</v>
      </c>
      <c r="T464" s="4">
        <v>32</v>
      </c>
      <c r="U464" s="4">
        <v>72</v>
      </c>
      <c r="V464" s="4">
        <f>IF(ISERROR(VLOOKUP($S$464,'TAR FIN'!$A$1:$O$91,15,0)),0,VLOOKUP($S$464,'TAR FIN'!$A$1:$O$91,15,0))</f>
        <v>0</v>
      </c>
      <c r="W464" s="4">
        <f>IF(ISERROR(VLOOKUP($T$464,'TAR FIN'!$A$1:$O$91,15,0)),0,VLOOKUP($T$464,'TAR FIN'!$A$1:$O$91,15,0))</f>
        <v>357.74</v>
      </c>
      <c r="X464" s="4">
        <f>IF(ISERROR(VLOOKUP($U$464,'TAR FIN'!$A$1:$O$91,15,0)),0,VLOOKUP($U$464,'TAR FIN'!$A$1:$O$91,15,0))</f>
        <v>175.15</v>
      </c>
      <c r="Y464" s="4"/>
      <c r="Z464" s="4">
        <f ca="1">('TUSD BE'!$AM$36+'TUSD BF'!$AM$36+'TUSD CVA'!$AM$36)*(1-CUSTOS!$M$38)</f>
        <v>419.26134561460873</v>
      </c>
      <c r="AA464" s="4">
        <f>('TE BE'!$AB$27+'TE BF'!$AB$27+'TE CVA'!$AB$27)*(1-CUSTOS!$M$38)</f>
        <v>193.19190075421278</v>
      </c>
      <c r="AB464" s="4">
        <f>$K$464*$V$464</f>
        <v>0</v>
      </c>
      <c r="AC464" s="4">
        <f>$M$464*$W$464</f>
        <v>243.54939199999998</v>
      </c>
      <c r="AD464" s="4">
        <f>$O$464*$X$464</f>
        <v>119.24212</v>
      </c>
      <c r="AE464" s="4">
        <f>$K$464*$Y$464</f>
        <v>0</v>
      </c>
      <c r="AF464" s="4">
        <f ca="1">$M$464*$Z$464</f>
        <v>285.43312409442558</v>
      </c>
      <c r="AG464" s="4">
        <f>$O$464*$AA$464</f>
        <v>131.52504603346804</v>
      </c>
    </row>
    <row r="465" spans="1:33" ht="11.25" customHeight="1" x14ac:dyDescent="0.3">
      <c r="A465" s="3" t="s">
        <v>21</v>
      </c>
      <c r="B465" s="3" t="s">
        <v>42</v>
      </c>
      <c r="C465" s="3" t="s">
        <v>23</v>
      </c>
      <c r="D465" s="3" t="s">
        <v>43</v>
      </c>
      <c r="E465" s="3" t="s">
        <v>51</v>
      </c>
      <c r="F465" s="3" t="s">
        <v>53</v>
      </c>
      <c r="G465" s="3" t="s">
        <v>25</v>
      </c>
      <c r="H465" s="3" t="s">
        <v>25</v>
      </c>
      <c r="I465" s="6">
        <v>44440</v>
      </c>
      <c r="J465" s="4">
        <v>0</v>
      </c>
      <c r="K465" s="4">
        <v>0</v>
      </c>
      <c r="L465" s="4">
        <v>1.234</v>
      </c>
      <c r="M465" s="4">
        <v>0.49359999999999998</v>
      </c>
      <c r="N465" s="4">
        <v>1.234</v>
      </c>
      <c r="O465" s="4">
        <v>0.49359999999999998</v>
      </c>
      <c r="P465" s="4">
        <v>0</v>
      </c>
      <c r="Q465" s="3" t="s">
        <v>26</v>
      </c>
      <c r="R465" s="3">
        <v>0</v>
      </c>
      <c r="S465" s="4">
        <v>0</v>
      </c>
      <c r="T465" s="4">
        <v>32</v>
      </c>
      <c r="U465" s="4">
        <v>72</v>
      </c>
      <c r="V465" s="4">
        <f>IF(ISERROR(VLOOKUP($S$465,'TAR FIN'!$A$1:$O$91,15,0)),0,VLOOKUP($S$465,'TAR FIN'!$A$1:$O$91,15,0))</f>
        <v>0</v>
      </c>
      <c r="W465" s="4">
        <f>IF(ISERROR(VLOOKUP($T$465,'TAR FIN'!$A$1:$O$91,15,0)),0,VLOOKUP($T$465,'TAR FIN'!$A$1:$O$91,15,0))</f>
        <v>357.74</v>
      </c>
      <c r="X465" s="4">
        <f>IF(ISERROR(VLOOKUP($U$465,'TAR FIN'!$A$1:$O$91,15,0)),0,VLOOKUP($U$465,'TAR FIN'!$A$1:$O$91,15,0))</f>
        <v>175.15</v>
      </c>
      <c r="Y465" s="4"/>
      <c r="Z465" s="4">
        <f ca="1">('TUSD BE'!$AM$36+'TUSD BF'!$AM$36+'TUSD CVA'!$AM$36)*(1-CUSTOS!$M$38)</f>
        <v>419.26134561460873</v>
      </c>
      <c r="AA465" s="4">
        <f>('TE BE'!$AB$27+'TE BF'!$AB$27+'TE CVA'!$AB$27)*(1-CUSTOS!$M$38)</f>
        <v>193.19190075421278</v>
      </c>
      <c r="AB465" s="4">
        <f>$K$465*$V$465</f>
        <v>0</v>
      </c>
      <c r="AC465" s="4">
        <f>$M$465*$W$465</f>
        <v>176.58046400000001</v>
      </c>
      <c r="AD465" s="4">
        <f>$O$465*$X$465</f>
        <v>86.454040000000006</v>
      </c>
      <c r="AE465" s="4">
        <f>$K$465*$Y$465</f>
        <v>0</v>
      </c>
      <c r="AF465" s="4">
        <f ca="1">$M$465*$Z$465</f>
        <v>206.94740019537088</v>
      </c>
      <c r="AG465" s="4">
        <f>$O$465*$AA$465</f>
        <v>95.35952221227943</v>
      </c>
    </row>
    <row r="466" spans="1:33" ht="11.25" customHeight="1" x14ac:dyDescent="0.3">
      <c r="A466" s="3" t="s">
        <v>21</v>
      </c>
      <c r="B466" s="3" t="s">
        <v>42</v>
      </c>
      <c r="C466" s="3" t="s">
        <v>23</v>
      </c>
      <c r="D466" s="3" t="s">
        <v>43</v>
      </c>
      <c r="E466" s="3" t="s">
        <v>51</v>
      </c>
      <c r="F466" s="3" t="s">
        <v>53</v>
      </c>
      <c r="G466" s="3" t="s">
        <v>25</v>
      </c>
      <c r="H466" s="3" t="s">
        <v>25</v>
      </c>
      <c r="I466" s="6">
        <v>44470</v>
      </c>
      <c r="J466" s="4">
        <v>0</v>
      </c>
      <c r="K466" s="4">
        <v>0</v>
      </c>
      <c r="L466" s="4">
        <v>2.4849999999999999</v>
      </c>
      <c r="M466" s="4">
        <v>0.99399999999999999</v>
      </c>
      <c r="N466" s="4">
        <v>2.4849999999999999</v>
      </c>
      <c r="O466" s="4">
        <v>0.99399999999999999</v>
      </c>
      <c r="P466" s="4">
        <v>0</v>
      </c>
      <c r="Q466" s="3" t="s">
        <v>26</v>
      </c>
      <c r="R466" s="3">
        <v>0</v>
      </c>
      <c r="S466" s="4">
        <v>0</v>
      </c>
      <c r="T466" s="4">
        <v>32</v>
      </c>
      <c r="U466" s="4">
        <v>72</v>
      </c>
      <c r="V466" s="4">
        <f>IF(ISERROR(VLOOKUP($S$466,'TAR FIN'!$A$1:$O$91,15,0)),0,VLOOKUP($S$466,'TAR FIN'!$A$1:$O$91,15,0))</f>
        <v>0</v>
      </c>
      <c r="W466" s="4">
        <f>IF(ISERROR(VLOOKUP($T$466,'TAR FIN'!$A$1:$O$91,15,0)),0,VLOOKUP($T$466,'TAR FIN'!$A$1:$O$91,15,0))</f>
        <v>357.74</v>
      </c>
      <c r="X466" s="4">
        <f>IF(ISERROR(VLOOKUP($U$466,'TAR FIN'!$A$1:$O$91,15,0)),0,VLOOKUP($U$466,'TAR FIN'!$A$1:$O$91,15,0))</f>
        <v>175.15</v>
      </c>
      <c r="Y466" s="4"/>
      <c r="Z466" s="4">
        <f ca="1">('TUSD BE'!$AM$36+'TUSD BF'!$AM$36+'TUSD CVA'!$AM$36)*(1-CUSTOS!$M$38)</f>
        <v>419.26134561460873</v>
      </c>
      <c r="AA466" s="4">
        <f>('TE BE'!$AB$27+'TE BF'!$AB$27+'TE CVA'!$AB$27)*(1-CUSTOS!$M$38)</f>
        <v>193.19190075421278</v>
      </c>
      <c r="AB466" s="4">
        <f>$K$466*$V$466</f>
        <v>0</v>
      </c>
      <c r="AC466" s="4">
        <f>$M$466*$W$466</f>
        <v>355.59356000000002</v>
      </c>
      <c r="AD466" s="4">
        <f>$O$466*$X$466</f>
        <v>174.09909999999999</v>
      </c>
      <c r="AE466" s="4">
        <f>$K$466*$Y$466</f>
        <v>0</v>
      </c>
      <c r="AF466" s="4">
        <f ca="1">$M$466*$Z$466</f>
        <v>416.7457775409211</v>
      </c>
      <c r="AG466" s="4">
        <f>$O$466*$AA$466</f>
        <v>192.03274934968749</v>
      </c>
    </row>
    <row r="467" spans="1:33" ht="11.25" customHeight="1" x14ac:dyDescent="0.3">
      <c r="A467" s="3" t="s">
        <v>21</v>
      </c>
      <c r="B467" s="3" t="s">
        <v>42</v>
      </c>
      <c r="C467" s="3" t="s">
        <v>23</v>
      </c>
      <c r="D467" s="3" t="s">
        <v>43</v>
      </c>
      <c r="E467" s="3" t="s">
        <v>51</v>
      </c>
      <c r="F467" s="3" t="s">
        <v>53</v>
      </c>
      <c r="G467" s="3" t="s">
        <v>25</v>
      </c>
      <c r="H467" s="3" t="s">
        <v>25</v>
      </c>
      <c r="I467" s="6">
        <v>44501</v>
      </c>
      <c r="J467" s="4">
        <v>0</v>
      </c>
      <c r="K467" s="4">
        <v>0</v>
      </c>
      <c r="L467" s="4">
        <v>12.452</v>
      </c>
      <c r="M467" s="4">
        <v>4.9808000000000003</v>
      </c>
      <c r="N467" s="4">
        <v>12.452</v>
      </c>
      <c r="O467" s="4">
        <v>4.9808000000000003</v>
      </c>
      <c r="P467" s="4">
        <v>0</v>
      </c>
      <c r="Q467" s="3" t="s">
        <v>26</v>
      </c>
      <c r="R467" s="3">
        <v>0</v>
      </c>
      <c r="S467" s="4">
        <v>0</v>
      </c>
      <c r="T467" s="4">
        <v>32</v>
      </c>
      <c r="U467" s="4">
        <v>72</v>
      </c>
      <c r="V467" s="4">
        <f>IF(ISERROR(VLOOKUP($S$467,'TAR FIN'!$A$1:$O$91,15,0)),0,VLOOKUP($S$467,'TAR FIN'!$A$1:$O$91,15,0))</f>
        <v>0</v>
      </c>
      <c r="W467" s="4">
        <f>IF(ISERROR(VLOOKUP($T$467,'TAR FIN'!$A$1:$O$91,15,0)),0,VLOOKUP($T$467,'TAR FIN'!$A$1:$O$91,15,0))</f>
        <v>357.74</v>
      </c>
      <c r="X467" s="4">
        <f>IF(ISERROR(VLOOKUP($U$467,'TAR FIN'!$A$1:$O$91,15,0)),0,VLOOKUP($U$467,'TAR FIN'!$A$1:$O$91,15,0))</f>
        <v>175.15</v>
      </c>
      <c r="Y467" s="4"/>
      <c r="Z467" s="4">
        <f ca="1">('TUSD BE'!$AM$36+'TUSD BF'!$AM$36+'TUSD CVA'!$AM$36)*(1-CUSTOS!$M$38)</f>
        <v>419.26134561460873</v>
      </c>
      <c r="AA467" s="4">
        <f>('TE BE'!$AB$27+'TE BF'!$AB$27+'TE CVA'!$AB$27)*(1-CUSTOS!$M$38)</f>
        <v>193.19190075421278</v>
      </c>
      <c r="AB467" s="4">
        <f>$K$467*$V$467</f>
        <v>0</v>
      </c>
      <c r="AC467" s="4">
        <f>$M$467*$W$467</f>
        <v>1781.8313920000003</v>
      </c>
      <c r="AD467" s="4">
        <f>$O$467*$X$467</f>
        <v>872.3871200000001</v>
      </c>
      <c r="AE467" s="4">
        <f>$K$467*$Y$467</f>
        <v>0</v>
      </c>
      <c r="AF467" s="4">
        <f ca="1">$M$467*$Z$467</f>
        <v>2088.2569102372431</v>
      </c>
      <c r="AG467" s="4">
        <f>$O$467*$AA$467</f>
        <v>962.25021927658304</v>
      </c>
    </row>
    <row r="468" spans="1:33" ht="11.25" customHeight="1" x14ac:dyDescent="0.3">
      <c r="A468" s="3" t="s">
        <v>21</v>
      </c>
      <c r="B468" s="3" t="s">
        <v>42</v>
      </c>
      <c r="C468" s="3" t="s">
        <v>23</v>
      </c>
      <c r="D468" s="3" t="s">
        <v>43</v>
      </c>
      <c r="E468" s="3" t="s">
        <v>51</v>
      </c>
      <c r="F468" s="3" t="s">
        <v>53</v>
      </c>
      <c r="G468" s="3" t="s">
        <v>25</v>
      </c>
      <c r="H468" s="3" t="s">
        <v>25</v>
      </c>
      <c r="I468" s="6">
        <v>44531</v>
      </c>
      <c r="J468" s="4">
        <v>0</v>
      </c>
      <c r="K468" s="4">
        <v>0</v>
      </c>
      <c r="L468" s="4">
        <v>17.614999999999998</v>
      </c>
      <c r="M468" s="4">
        <v>7.0460000000000003</v>
      </c>
      <c r="N468" s="4">
        <v>17.614999999999998</v>
      </c>
      <c r="O468" s="4">
        <v>7.0460000000000003</v>
      </c>
      <c r="P468" s="4">
        <v>0</v>
      </c>
      <c r="Q468" s="3" t="s">
        <v>26</v>
      </c>
      <c r="R468" s="3">
        <v>0</v>
      </c>
      <c r="S468" s="4">
        <v>0</v>
      </c>
      <c r="T468" s="4">
        <v>32</v>
      </c>
      <c r="U468" s="4">
        <v>72</v>
      </c>
      <c r="V468" s="4">
        <f>IF(ISERROR(VLOOKUP($S$468,'TAR FIN'!$A$1:$O$91,15,0)),0,VLOOKUP($S$468,'TAR FIN'!$A$1:$O$91,15,0))</f>
        <v>0</v>
      </c>
      <c r="W468" s="4">
        <f>IF(ISERROR(VLOOKUP($T$468,'TAR FIN'!$A$1:$O$91,15,0)),0,VLOOKUP($T$468,'TAR FIN'!$A$1:$O$91,15,0))</f>
        <v>357.74</v>
      </c>
      <c r="X468" s="4">
        <f>IF(ISERROR(VLOOKUP($U$468,'TAR FIN'!$A$1:$O$91,15,0)),0,VLOOKUP($U$468,'TAR FIN'!$A$1:$O$91,15,0))</f>
        <v>175.15</v>
      </c>
      <c r="Y468" s="4"/>
      <c r="Z468" s="4">
        <f ca="1">('TUSD BE'!$AM$36+'TUSD BF'!$AM$36+'TUSD CVA'!$AM$36)*(1-CUSTOS!$M$38)</f>
        <v>419.26134561460873</v>
      </c>
      <c r="AA468" s="4">
        <f>('TE BE'!$AB$27+'TE BF'!$AB$27+'TE CVA'!$AB$27)*(1-CUSTOS!$M$38)</f>
        <v>193.19190075421278</v>
      </c>
      <c r="AB468" s="4">
        <f>$K$468*$V$468</f>
        <v>0</v>
      </c>
      <c r="AC468" s="4">
        <f>$M$468*$W$468</f>
        <v>2520.6360400000003</v>
      </c>
      <c r="AD468" s="4">
        <f>$O$468*$X$468</f>
        <v>1234.1069</v>
      </c>
      <c r="AE468" s="4">
        <f>$K$468*$Y$468</f>
        <v>0</v>
      </c>
      <c r="AF468" s="4">
        <f ca="1">$M$468*$Z$468</f>
        <v>2954.115441200533</v>
      </c>
      <c r="AG468" s="4">
        <f>$O$468*$AA$468</f>
        <v>1361.2301327141834</v>
      </c>
    </row>
    <row r="469" spans="1:33" ht="11.25" customHeight="1" x14ac:dyDescent="0.3">
      <c r="A469" s="3" t="s">
        <v>21</v>
      </c>
      <c r="B469" s="3" t="s">
        <v>42</v>
      </c>
      <c r="C469" s="3" t="s">
        <v>23</v>
      </c>
      <c r="D469" s="3" t="s">
        <v>43</v>
      </c>
      <c r="E469" s="3" t="s">
        <v>51</v>
      </c>
      <c r="F469" s="3" t="s">
        <v>53</v>
      </c>
      <c r="G469" s="3" t="s">
        <v>25</v>
      </c>
      <c r="H469" s="3" t="s">
        <v>25</v>
      </c>
      <c r="I469" s="6">
        <v>44562</v>
      </c>
      <c r="J469" s="4">
        <v>0</v>
      </c>
      <c r="K469" s="4">
        <v>0</v>
      </c>
      <c r="L469" s="4">
        <v>19.951000000000001</v>
      </c>
      <c r="M469" s="4">
        <v>7.9804000000000004</v>
      </c>
      <c r="N469" s="4">
        <v>19.951000000000001</v>
      </c>
      <c r="O469" s="4">
        <v>7.9804000000000004</v>
      </c>
      <c r="P469" s="4">
        <v>0</v>
      </c>
      <c r="Q469" s="3" t="s">
        <v>26</v>
      </c>
      <c r="R469" s="3">
        <v>0</v>
      </c>
      <c r="S469" s="4">
        <v>0</v>
      </c>
      <c r="T469" s="4">
        <v>32</v>
      </c>
      <c r="U469" s="4">
        <v>72</v>
      </c>
      <c r="V469" s="4">
        <f>IF(ISERROR(VLOOKUP($S$469,'TAR FIN'!$A$1:$O$91,15,0)),0,VLOOKUP($S$469,'TAR FIN'!$A$1:$O$91,15,0))</f>
        <v>0</v>
      </c>
      <c r="W469" s="4">
        <f>IF(ISERROR(VLOOKUP($T$469,'TAR FIN'!$A$1:$O$91,15,0)),0,VLOOKUP($T$469,'TAR FIN'!$A$1:$O$91,15,0))</f>
        <v>357.74</v>
      </c>
      <c r="X469" s="4">
        <f>IF(ISERROR(VLOOKUP($U$469,'TAR FIN'!$A$1:$O$91,15,0)),0,VLOOKUP($U$469,'TAR FIN'!$A$1:$O$91,15,0))</f>
        <v>175.15</v>
      </c>
      <c r="Y469" s="4"/>
      <c r="Z469" s="4">
        <f ca="1">('TUSD BE'!$AM$36+'TUSD BF'!$AM$36+'TUSD CVA'!$AM$36)*(1-CUSTOS!$M$38)</f>
        <v>419.26134561460873</v>
      </c>
      <c r="AA469" s="4">
        <f>('TE BE'!$AB$27+'TE BF'!$AB$27+'TE CVA'!$AB$27)*(1-CUSTOS!$M$38)</f>
        <v>193.19190075421278</v>
      </c>
      <c r="AB469" s="4">
        <f>$K$469*$V$469</f>
        <v>0</v>
      </c>
      <c r="AC469" s="4">
        <f>$M$469*$W$469</f>
        <v>2854.9082960000001</v>
      </c>
      <c r="AD469" s="4">
        <f>$O$469*$X$469</f>
        <v>1397.7670600000001</v>
      </c>
      <c r="AE469" s="4">
        <f>$K$469*$Y$469</f>
        <v>0</v>
      </c>
      <c r="AF469" s="4">
        <f ca="1">$M$469*$Z$469</f>
        <v>3345.8732425428238</v>
      </c>
      <c r="AG469" s="4">
        <f>$O$469*$AA$469</f>
        <v>1541.7486447789197</v>
      </c>
    </row>
    <row r="470" spans="1:33" ht="11.25" customHeight="1" x14ac:dyDescent="0.3">
      <c r="A470" s="3" t="s">
        <v>21</v>
      </c>
      <c r="B470" s="3" t="s">
        <v>42</v>
      </c>
      <c r="C470" s="3" t="s">
        <v>23</v>
      </c>
      <c r="D470" s="3" t="s">
        <v>43</v>
      </c>
      <c r="E470" s="3" t="s">
        <v>51</v>
      </c>
      <c r="F470" s="3" t="s">
        <v>53</v>
      </c>
      <c r="G470" s="3" t="s">
        <v>25</v>
      </c>
      <c r="H470" s="3" t="s">
        <v>25</v>
      </c>
      <c r="I470" s="6">
        <v>44593</v>
      </c>
      <c r="J470" s="4">
        <v>0</v>
      </c>
      <c r="K470" s="4">
        <v>0</v>
      </c>
      <c r="L470" s="4">
        <v>13.702999999999999</v>
      </c>
      <c r="M470" s="4">
        <v>5.4812000000000003</v>
      </c>
      <c r="N470" s="4">
        <v>13.702999999999999</v>
      </c>
      <c r="O470" s="4">
        <v>5.4812000000000003</v>
      </c>
      <c r="P470" s="4">
        <v>0</v>
      </c>
      <c r="Q470" s="3" t="s">
        <v>26</v>
      </c>
      <c r="R470" s="3">
        <v>0</v>
      </c>
      <c r="S470" s="4">
        <v>0</v>
      </c>
      <c r="T470" s="4">
        <v>32</v>
      </c>
      <c r="U470" s="4">
        <v>72</v>
      </c>
      <c r="V470" s="4">
        <f>IF(ISERROR(VLOOKUP($S$470,'TAR FIN'!$A$1:$O$91,15,0)),0,VLOOKUP($S$470,'TAR FIN'!$A$1:$O$91,15,0))</f>
        <v>0</v>
      </c>
      <c r="W470" s="4">
        <f>IF(ISERROR(VLOOKUP($T$470,'TAR FIN'!$A$1:$O$91,15,0)),0,VLOOKUP($T$470,'TAR FIN'!$A$1:$O$91,15,0))</f>
        <v>357.74</v>
      </c>
      <c r="X470" s="4">
        <f>IF(ISERROR(VLOOKUP($U$470,'TAR FIN'!$A$1:$O$91,15,0)),0,VLOOKUP($U$470,'TAR FIN'!$A$1:$O$91,15,0))</f>
        <v>175.15</v>
      </c>
      <c r="Y470" s="4"/>
      <c r="Z470" s="4">
        <f ca="1">('TUSD BE'!$AM$36+'TUSD BF'!$AM$36+'TUSD CVA'!$AM$36)*(1-CUSTOS!$M$38)</f>
        <v>419.26134561460873</v>
      </c>
      <c r="AA470" s="4">
        <f>('TE BE'!$AB$27+'TE BF'!$AB$27+'TE CVA'!$AB$27)*(1-CUSTOS!$M$38)</f>
        <v>193.19190075421278</v>
      </c>
      <c r="AB470" s="4">
        <f>$K$470*$V$470</f>
        <v>0</v>
      </c>
      <c r="AC470" s="4">
        <f>$M$470*$W$470</f>
        <v>1960.8444880000002</v>
      </c>
      <c r="AD470" s="4">
        <f>$O$470*$X$470</f>
        <v>960.03218000000004</v>
      </c>
      <c r="AE470" s="4">
        <f>$K$470*$Y$470</f>
        <v>0</v>
      </c>
      <c r="AF470" s="4">
        <f ca="1">$M$470*$Z$470</f>
        <v>2298.0552875827934</v>
      </c>
      <c r="AG470" s="4">
        <f>$O$470*$AA$470</f>
        <v>1058.9234464139911</v>
      </c>
    </row>
    <row r="471" spans="1:33" ht="11.25" customHeight="1" x14ac:dyDescent="0.3">
      <c r="A471" s="3" t="s">
        <v>21</v>
      </c>
      <c r="B471" s="3" t="s">
        <v>42</v>
      </c>
      <c r="C471" s="3" t="s">
        <v>23</v>
      </c>
      <c r="D471" s="3" t="s">
        <v>43</v>
      </c>
      <c r="E471" s="3" t="s">
        <v>51</v>
      </c>
      <c r="F471" s="3" t="s">
        <v>53</v>
      </c>
      <c r="G471" s="3" t="s">
        <v>25</v>
      </c>
      <c r="H471" s="3" t="s">
        <v>25</v>
      </c>
      <c r="I471" s="6">
        <v>44621</v>
      </c>
      <c r="J471" s="4">
        <v>0</v>
      </c>
      <c r="K471" s="4">
        <v>0</v>
      </c>
      <c r="L471" s="4">
        <v>1.51</v>
      </c>
      <c r="M471" s="4">
        <v>0.60399999999999998</v>
      </c>
      <c r="N471" s="4">
        <v>1.51</v>
      </c>
      <c r="O471" s="4">
        <v>0.60399999999999998</v>
      </c>
      <c r="P471" s="4">
        <v>0</v>
      </c>
      <c r="Q471" s="3" t="s">
        <v>26</v>
      </c>
      <c r="R471" s="3">
        <v>0</v>
      </c>
      <c r="S471" s="4">
        <v>0</v>
      </c>
      <c r="T471" s="4">
        <v>32</v>
      </c>
      <c r="U471" s="4">
        <v>72</v>
      </c>
      <c r="V471" s="4">
        <f>IF(ISERROR(VLOOKUP($S$471,'TAR FIN'!$A$1:$O$91,15,0)),0,VLOOKUP($S$471,'TAR FIN'!$A$1:$O$91,15,0))</f>
        <v>0</v>
      </c>
      <c r="W471" s="4">
        <f>IF(ISERROR(VLOOKUP($T$471,'TAR FIN'!$A$1:$O$91,15,0)),0,VLOOKUP($T$471,'TAR FIN'!$A$1:$O$91,15,0))</f>
        <v>357.74</v>
      </c>
      <c r="X471" s="4">
        <f>IF(ISERROR(VLOOKUP($U$471,'TAR FIN'!$A$1:$O$91,15,0)),0,VLOOKUP($U$471,'TAR FIN'!$A$1:$O$91,15,0))</f>
        <v>175.15</v>
      </c>
      <c r="Y471" s="4"/>
      <c r="Z471" s="4">
        <f ca="1">('TUSD BE'!$AM$36+'TUSD BF'!$AM$36+'TUSD CVA'!$AM$36)*(1-CUSTOS!$M$38)</f>
        <v>419.26134561460873</v>
      </c>
      <c r="AA471" s="4">
        <f>('TE BE'!$AB$27+'TE BF'!$AB$27+'TE CVA'!$AB$27)*(1-CUSTOS!$M$38)</f>
        <v>193.19190075421278</v>
      </c>
      <c r="AB471" s="4">
        <f>$K$471*$V$471</f>
        <v>0</v>
      </c>
      <c r="AC471" s="4">
        <f>$M$471*$W$471</f>
        <v>216.07496</v>
      </c>
      <c r="AD471" s="4">
        <f>$O$471*$X$471</f>
        <v>105.7906</v>
      </c>
      <c r="AE471" s="4">
        <f>$K$471*$Y$471</f>
        <v>0</v>
      </c>
      <c r="AF471" s="4">
        <f ca="1">$M$471*$Z$471</f>
        <v>253.23385275122365</v>
      </c>
      <c r="AG471" s="4">
        <f>$O$471*$AA$471</f>
        <v>116.68790805554451</v>
      </c>
    </row>
    <row r="472" spans="1:33" ht="11.25" customHeight="1" x14ac:dyDescent="0.3">
      <c r="A472" s="3" t="s">
        <v>21</v>
      </c>
      <c r="B472" s="3" t="s">
        <v>42</v>
      </c>
      <c r="C472" s="3" t="s">
        <v>23</v>
      </c>
      <c r="D472" s="3" t="s">
        <v>43</v>
      </c>
      <c r="E472" s="3" t="s">
        <v>51</v>
      </c>
      <c r="F472" s="3" t="s">
        <v>53</v>
      </c>
      <c r="G472" s="3" t="s">
        <v>25</v>
      </c>
      <c r="H472" s="3" t="s">
        <v>25</v>
      </c>
      <c r="I472" s="6">
        <v>44652</v>
      </c>
      <c r="J472" s="4">
        <v>0</v>
      </c>
      <c r="K472" s="4">
        <v>0</v>
      </c>
      <c r="L472" s="4">
        <v>0.372</v>
      </c>
      <c r="M472" s="4">
        <v>0.14879999999999999</v>
      </c>
      <c r="N472" s="4">
        <v>0.372</v>
      </c>
      <c r="O472" s="4">
        <v>0.14879999999999999</v>
      </c>
      <c r="P472" s="4">
        <v>0</v>
      </c>
      <c r="Q472" s="3" t="s">
        <v>26</v>
      </c>
      <c r="R472" s="3">
        <v>0</v>
      </c>
      <c r="S472" s="4">
        <v>0</v>
      </c>
      <c r="T472" s="4">
        <v>32</v>
      </c>
      <c r="U472" s="4">
        <v>72</v>
      </c>
      <c r="V472" s="4">
        <f>IF(ISERROR(VLOOKUP($S$472,'TAR FIN'!$A$1:$O$91,15,0)),0,VLOOKUP($S$472,'TAR FIN'!$A$1:$O$91,15,0))</f>
        <v>0</v>
      </c>
      <c r="W472" s="4">
        <f>IF(ISERROR(VLOOKUP($T$472,'TAR FIN'!$A$1:$O$91,15,0)),0,VLOOKUP($T$472,'TAR FIN'!$A$1:$O$91,15,0))</f>
        <v>357.74</v>
      </c>
      <c r="X472" s="4">
        <f>IF(ISERROR(VLOOKUP($U$472,'TAR FIN'!$A$1:$O$91,15,0)),0,VLOOKUP($U$472,'TAR FIN'!$A$1:$O$91,15,0))</f>
        <v>175.15</v>
      </c>
      <c r="Y472" s="4"/>
      <c r="Z472" s="4">
        <f ca="1">('TUSD BE'!$AM$36+'TUSD BF'!$AM$36+'TUSD CVA'!$AM$36)*(1-CUSTOS!$M$38)</f>
        <v>419.26134561460873</v>
      </c>
      <c r="AA472" s="4">
        <f>('TE BE'!$AB$27+'TE BF'!$AB$27+'TE CVA'!$AB$27)*(1-CUSTOS!$M$38)</f>
        <v>193.19190075421278</v>
      </c>
      <c r="AB472" s="4">
        <f>$K$472*$V$472</f>
        <v>0</v>
      </c>
      <c r="AC472" s="4">
        <f>$M$472*$W$472</f>
        <v>53.231711999999995</v>
      </c>
      <c r="AD472" s="4">
        <f>$O$472*$X$472</f>
        <v>26.06232</v>
      </c>
      <c r="AE472" s="4">
        <f>$K$472*$Y$472</f>
        <v>0</v>
      </c>
      <c r="AF472" s="4">
        <f ca="1">$M$472*$Z$472</f>
        <v>62.386088227453776</v>
      </c>
      <c r="AG472" s="4">
        <f>$O$472*$AA$472</f>
        <v>28.746954832226859</v>
      </c>
    </row>
    <row r="473" spans="1:33" ht="11.25" customHeight="1" x14ac:dyDescent="0.3">
      <c r="A473" s="3" t="s">
        <v>21</v>
      </c>
      <c r="B473" s="3" t="s">
        <v>42</v>
      </c>
      <c r="C473" s="3" t="s">
        <v>23</v>
      </c>
      <c r="D473" s="3" t="s">
        <v>43</v>
      </c>
      <c r="E473" s="3" t="s">
        <v>51</v>
      </c>
      <c r="F473" s="3" t="s">
        <v>53</v>
      </c>
      <c r="G473" s="3" t="s">
        <v>25</v>
      </c>
      <c r="H473" s="3" t="s">
        <v>25</v>
      </c>
      <c r="I473" s="6">
        <v>44682</v>
      </c>
      <c r="J473" s="4">
        <v>0</v>
      </c>
      <c r="K473" s="4">
        <v>0</v>
      </c>
      <c r="L473" s="4">
        <v>0.152</v>
      </c>
      <c r="M473" s="4">
        <v>6.08E-2</v>
      </c>
      <c r="N473" s="4">
        <v>0.152</v>
      </c>
      <c r="O473" s="4">
        <v>6.08E-2</v>
      </c>
      <c r="P473" s="4">
        <v>0</v>
      </c>
      <c r="Q473" s="3" t="s">
        <v>26</v>
      </c>
      <c r="R473" s="3">
        <v>0</v>
      </c>
      <c r="S473" s="4">
        <v>0</v>
      </c>
      <c r="T473" s="4">
        <v>32</v>
      </c>
      <c r="U473" s="4">
        <v>72</v>
      </c>
      <c r="V473" s="4">
        <f>IF(ISERROR(VLOOKUP($S$473,'TAR FIN'!$A$1:$O$91,15,0)),0,VLOOKUP($S$473,'TAR FIN'!$A$1:$O$91,15,0))</f>
        <v>0</v>
      </c>
      <c r="W473" s="4">
        <f>IF(ISERROR(VLOOKUP($T$473,'TAR FIN'!$A$1:$O$91,15,0)),0,VLOOKUP($T$473,'TAR FIN'!$A$1:$O$91,15,0))</f>
        <v>357.74</v>
      </c>
      <c r="X473" s="4">
        <f>IF(ISERROR(VLOOKUP($U$473,'TAR FIN'!$A$1:$O$91,15,0)),0,VLOOKUP($U$473,'TAR FIN'!$A$1:$O$91,15,0))</f>
        <v>175.15</v>
      </c>
      <c r="Y473" s="4"/>
      <c r="Z473" s="4">
        <f ca="1">('TUSD BE'!$AM$36+'TUSD BF'!$AM$36+'TUSD CVA'!$AM$36)*(1-CUSTOS!$M$38)</f>
        <v>419.26134561460873</v>
      </c>
      <c r="AA473" s="4">
        <f>('TE BE'!$AB$27+'TE BF'!$AB$27+'TE CVA'!$AB$27)*(1-CUSTOS!$M$38)</f>
        <v>193.19190075421278</v>
      </c>
      <c r="AB473" s="4">
        <f>$K$473*$V$473</f>
        <v>0</v>
      </c>
      <c r="AC473" s="4">
        <f>$M$473*$W$473</f>
        <v>21.750592000000001</v>
      </c>
      <c r="AD473" s="4">
        <f>$O$473*$X$473</f>
        <v>10.64912</v>
      </c>
      <c r="AE473" s="4">
        <f>$K$473*$Y$473</f>
        <v>0</v>
      </c>
      <c r="AF473" s="4">
        <f ca="1">$M$473*$Z$473</f>
        <v>25.491089813368209</v>
      </c>
      <c r="AG473" s="4">
        <f>$O$473*$AA$473</f>
        <v>11.746067565856137</v>
      </c>
    </row>
    <row r="474" spans="1:33" ht="11.25" customHeight="1" x14ac:dyDescent="0.3">
      <c r="A474" s="3" t="s">
        <v>21</v>
      </c>
      <c r="B474" s="3" t="s">
        <v>42</v>
      </c>
      <c r="C474" s="3" t="s">
        <v>23</v>
      </c>
      <c r="D474" s="3" t="s">
        <v>43</v>
      </c>
      <c r="E474" s="3" t="s">
        <v>25</v>
      </c>
      <c r="F474" s="3" t="s">
        <v>25</v>
      </c>
      <c r="G474" s="3" t="s">
        <v>25</v>
      </c>
      <c r="H474" s="3" t="s">
        <v>25</v>
      </c>
      <c r="I474" s="6">
        <v>44378</v>
      </c>
      <c r="J474" s="4">
        <v>0</v>
      </c>
      <c r="K474" s="4">
        <v>0</v>
      </c>
      <c r="L474" s="4">
        <v>1126.674</v>
      </c>
      <c r="M474" s="4">
        <v>1126.674</v>
      </c>
      <c r="N474" s="4">
        <v>1126.674</v>
      </c>
      <c r="O474" s="4">
        <v>1126.674</v>
      </c>
      <c r="P474" s="4">
        <v>4531</v>
      </c>
      <c r="Q474" s="3" t="s">
        <v>26</v>
      </c>
      <c r="R474" s="3">
        <v>0</v>
      </c>
      <c r="S474" s="4">
        <v>0</v>
      </c>
      <c r="T474" s="4">
        <v>32</v>
      </c>
      <c r="U474" s="4">
        <v>72</v>
      </c>
      <c r="V474" s="4">
        <f>IF(ISERROR(VLOOKUP($S$474,'TAR FIN'!$A$1:$O$91,15,0)),0,VLOOKUP($S$474,'TAR FIN'!$A$1:$O$91,15,0))</f>
        <v>0</v>
      </c>
      <c r="W474" s="4">
        <f>IF(ISERROR(VLOOKUP($T$474,'TAR FIN'!$A$1:$O$91,15,0)),0,VLOOKUP($T$474,'TAR FIN'!$A$1:$O$91,15,0))</f>
        <v>357.74</v>
      </c>
      <c r="X474" s="4">
        <f>IF(ISERROR(VLOOKUP($U$474,'TAR FIN'!$A$1:$O$91,15,0)),0,VLOOKUP($U$474,'TAR FIN'!$A$1:$O$91,15,0))</f>
        <v>175.15</v>
      </c>
      <c r="Y474" s="4"/>
      <c r="Z474" s="4">
        <f ca="1">('TUSD BE'!$AM$36+'TUSD BF'!$AM$36+'TUSD CVA'!$AM$36)*(1-CUSTOS!$M$38)</f>
        <v>419.26134561460873</v>
      </c>
      <c r="AA474" s="4">
        <f>('TE BE'!$AB$27+'TE BF'!$AB$27+'TE CVA'!$AB$27)*(1-CUSTOS!$M$38)</f>
        <v>193.19190075421278</v>
      </c>
      <c r="AB474" s="4">
        <f>$K$474*$V$474</f>
        <v>0</v>
      </c>
      <c r="AC474" s="4">
        <f>$M$474*$W$474</f>
        <v>403056.35676</v>
      </c>
      <c r="AD474" s="4">
        <f>$O$474*$X$474</f>
        <v>197336.95110000001</v>
      </c>
      <c r="AE474" s="4">
        <f>$K$474*$Y$474</f>
        <v>0</v>
      </c>
      <c r="AF474" s="4">
        <f ca="1">$M$474*$Z$474</f>
        <v>472370.85730899364</v>
      </c>
      <c r="AG474" s="4">
        <f>$O$474*$AA$474</f>
        <v>217664.29159035193</v>
      </c>
    </row>
    <row r="475" spans="1:33" ht="11.25" customHeight="1" x14ac:dyDescent="0.3">
      <c r="A475" s="3" t="s">
        <v>27</v>
      </c>
      <c r="B475" s="3" t="s">
        <v>42</v>
      </c>
      <c r="C475" s="3" t="s">
        <v>23</v>
      </c>
      <c r="D475" s="3" t="s">
        <v>43</v>
      </c>
      <c r="E475" s="3" t="s">
        <v>25</v>
      </c>
      <c r="F475" s="3" t="s">
        <v>25</v>
      </c>
      <c r="G475" s="3" t="s">
        <v>25</v>
      </c>
      <c r="H475" s="3" t="s">
        <v>25</v>
      </c>
      <c r="I475" s="6">
        <v>44378</v>
      </c>
      <c r="J475" s="4">
        <v>0</v>
      </c>
      <c r="K475" s="4">
        <v>0</v>
      </c>
      <c r="L475" s="4">
        <v>-1.522</v>
      </c>
      <c r="M475" s="4">
        <v>-1.522</v>
      </c>
      <c r="N475" s="4">
        <v>-1.522</v>
      </c>
      <c r="O475" s="4">
        <v>-1.522</v>
      </c>
      <c r="P475" s="4">
        <v>0</v>
      </c>
      <c r="Q475" s="3" t="s">
        <v>26</v>
      </c>
      <c r="R475" s="3">
        <v>0</v>
      </c>
      <c r="S475" s="4">
        <v>0</v>
      </c>
      <c r="T475" s="4">
        <v>32</v>
      </c>
      <c r="U475" s="4">
        <v>72</v>
      </c>
      <c r="V475" s="4">
        <f>IF(ISERROR(VLOOKUP($S$475,'TAR FIN'!$A$1:$O$91,15,0)),0,VLOOKUP($S$475,'TAR FIN'!$A$1:$O$91,15,0))</f>
        <v>0</v>
      </c>
      <c r="W475" s="4">
        <f>IF(ISERROR(VLOOKUP($T$475,'TAR FIN'!$A$1:$O$91,15,0)),0,VLOOKUP($T$475,'TAR FIN'!$A$1:$O$91,15,0))</f>
        <v>357.74</v>
      </c>
      <c r="X475" s="4">
        <f>IF(ISERROR(VLOOKUP($U$475,'TAR FIN'!$A$1:$O$91,15,0)),0,VLOOKUP($U$475,'TAR FIN'!$A$1:$O$91,15,0))</f>
        <v>175.15</v>
      </c>
      <c r="Y475" s="4"/>
      <c r="Z475" s="4">
        <f ca="1">('TUSD BE'!$AM$36+'TUSD BF'!$AM$36+'TUSD CVA'!$AM$36)*(1-CUSTOS!$M$38)</f>
        <v>419.26134561460873</v>
      </c>
      <c r="AA475" s="4">
        <f>('TE BE'!$AB$27+'TE BF'!$AB$27+'TE CVA'!$AB$27)*(1-CUSTOS!$M$38)</f>
        <v>193.19190075421278</v>
      </c>
      <c r="AB475" s="4">
        <f>$K$475*$V$475</f>
        <v>0</v>
      </c>
      <c r="AC475" s="4">
        <f>$M$475*$W$475</f>
        <v>-544.48027999999999</v>
      </c>
      <c r="AD475" s="4">
        <f>$O$475*$X$475</f>
        <v>-266.57830000000001</v>
      </c>
      <c r="AE475" s="4">
        <f>$K$475*$Y$475</f>
        <v>0</v>
      </c>
      <c r="AF475" s="4">
        <f ca="1">$M$475*$Z$475</f>
        <v>-638.11576802543448</v>
      </c>
      <c r="AG475" s="4">
        <f>$O$475*$AA$475</f>
        <v>-294.03807294791187</v>
      </c>
    </row>
    <row r="476" spans="1:33" ht="11.25" customHeight="1" x14ac:dyDescent="0.3">
      <c r="A476" s="3" t="s">
        <v>28</v>
      </c>
      <c r="B476" s="3" t="s">
        <v>42</v>
      </c>
      <c r="C476" s="3" t="s">
        <v>23</v>
      </c>
      <c r="D476" s="3" t="s">
        <v>43</v>
      </c>
      <c r="E476" s="3" t="s">
        <v>25</v>
      </c>
      <c r="F476" s="3" t="s">
        <v>25</v>
      </c>
      <c r="G476" s="3" t="s">
        <v>25</v>
      </c>
      <c r="H476" s="3" t="s">
        <v>25</v>
      </c>
      <c r="I476" s="6">
        <v>44378</v>
      </c>
      <c r="J476" s="4">
        <v>0</v>
      </c>
      <c r="K476" s="4">
        <v>0</v>
      </c>
      <c r="L476" s="4">
        <v>12.750999999999999</v>
      </c>
      <c r="M476" s="4">
        <v>12.750999999999999</v>
      </c>
      <c r="N476" s="4">
        <v>12.750999999999999</v>
      </c>
      <c r="O476" s="4">
        <v>12.750999999999999</v>
      </c>
      <c r="P476" s="4">
        <v>37</v>
      </c>
      <c r="Q476" s="3" t="s">
        <v>26</v>
      </c>
      <c r="R476" s="3">
        <v>0</v>
      </c>
      <c r="S476" s="4">
        <v>0</v>
      </c>
      <c r="T476" s="4">
        <v>32</v>
      </c>
      <c r="U476" s="4">
        <v>72</v>
      </c>
      <c r="V476" s="4">
        <f>IF(ISERROR(VLOOKUP($S$476,'TAR FIN'!$A$1:$O$91,15,0)),0,VLOOKUP($S$476,'TAR FIN'!$A$1:$O$91,15,0))</f>
        <v>0</v>
      </c>
      <c r="W476" s="4">
        <f>IF(ISERROR(VLOOKUP($T$476,'TAR FIN'!$A$1:$O$91,15,0)),0,VLOOKUP($T$476,'TAR FIN'!$A$1:$O$91,15,0))</f>
        <v>357.74</v>
      </c>
      <c r="X476" s="4">
        <f>IF(ISERROR(VLOOKUP($U$476,'TAR FIN'!$A$1:$O$91,15,0)),0,VLOOKUP($U$476,'TAR FIN'!$A$1:$O$91,15,0))</f>
        <v>175.15</v>
      </c>
      <c r="Y476" s="4"/>
      <c r="Z476" s="4">
        <f ca="1">('TUSD BE'!$AM$36+'TUSD BF'!$AM$36+'TUSD CVA'!$AM$36)*(1-CUSTOS!$M$38)</f>
        <v>419.26134561460873</v>
      </c>
      <c r="AA476" s="4">
        <f>('TE BE'!$AB$27+'TE BF'!$AB$27+'TE CVA'!$AB$27)*(1-CUSTOS!$M$38)</f>
        <v>193.19190075421278</v>
      </c>
      <c r="AB476" s="4">
        <f>$K$476*$V$476</f>
        <v>0</v>
      </c>
      <c r="AC476" s="4">
        <f>$M$476*$W$476</f>
        <v>4561.5427399999999</v>
      </c>
      <c r="AD476" s="4">
        <f>$O$476*$X$476</f>
        <v>2233.3376499999999</v>
      </c>
      <c r="AE476" s="4">
        <f>$K$476*$Y$476</f>
        <v>0</v>
      </c>
      <c r="AF476" s="4">
        <f ca="1">$M$476*$Z$476</f>
        <v>5346.0014179318759</v>
      </c>
      <c r="AG476" s="4">
        <f>$O$476*$AA$476</f>
        <v>2463.3899265169671</v>
      </c>
    </row>
    <row r="477" spans="1:33" ht="11.25" customHeight="1" x14ac:dyDescent="0.3">
      <c r="A477" s="3" t="s">
        <v>21</v>
      </c>
      <c r="B477" s="3" t="s">
        <v>42</v>
      </c>
      <c r="C477" s="3" t="s">
        <v>23</v>
      </c>
      <c r="D477" s="3" t="s">
        <v>43</v>
      </c>
      <c r="E477" s="3" t="s">
        <v>25</v>
      </c>
      <c r="F477" s="3" t="s">
        <v>25</v>
      </c>
      <c r="G477" s="3" t="s">
        <v>25</v>
      </c>
      <c r="H477" s="3" t="s">
        <v>25</v>
      </c>
      <c r="I477" s="6">
        <v>44409</v>
      </c>
      <c r="J477" s="4">
        <v>0</v>
      </c>
      <c r="K477" s="4">
        <v>0</v>
      </c>
      <c r="L477" s="4">
        <v>1124.0170000000001</v>
      </c>
      <c r="M477" s="4">
        <v>1124.0170000000001</v>
      </c>
      <c r="N477" s="4">
        <v>1124.0170000000001</v>
      </c>
      <c r="O477" s="4">
        <v>1124.0170000000001</v>
      </c>
      <c r="P477" s="4">
        <v>4536</v>
      </c>
      <c r="Q477" s="3" t="s">
        <v>26</v>
      </c>
      <c r="R477" s="3">
        <v>0</v>
      </c>
      <c r="S477" s="4">
        <v>0</v>
      </c>
      <c r="T477" s="4">
        <v>32</v>
      </c>
      <c r="U477" s="4">
        <v>72</v>
      </c>
      <c r="V477" s="4">
        <f>IF(ISERROR(VLOOKUP($S$477,'TAR FIN'!$A$1:$O$91,15,0)),0,VLOOKUP($S$477,'TAR FIN'!$A$1:$O$91,15,0))</f>
        <v>0</v>
      </c>
      <c r="W477" s="4">
        <f>IF(ISERROR(VLOOKUP($T$477,'TAR FIN'!$A$1:$O$91,15,0)),0,VLOOKUP($T$477,'TAR FIN'!$A$1:$O$91,15,0))</f>
        <v>357.74</v>
      </c>
      <c r="X477" s="4">
        <f>IF(ISERROR(VLOOKUP($U$477,'TAR FIN'!$A$1:$O$91,15,0)),0,VLOOKUP($U$477,'TAR FIN'!$A$1:$O$91,15,0))</f>
        <v>175.15</v>
      </c>
      <c r="Y477" s="4"/>
      <c r="Z477" s="4">
        <f ca="1">('TUSD BE'!$AM$36+'TUSD BF'!$AM$36+'TUSD CVA'!$AM$36)*(1-CUSTOS!$M$38)</f>
        <v>419.26134561460873</v>
      </c>
      <c r="AA477" s="4">
        <f>('TE BE'!$AB$27+'TE BF'!$AB$27+'TE CVA'!$AB$27)*(1-CUSTOS!$M$38)</f>
        <v>193.19190075421278</v>
      </c>
      <c r="AB477" s="4">
        <f>$K$477*$V$477</f>
        <v>0</v>
      </c>
      <c r="AC477" s="4">
        <f>$M$477*$W$477</f>
        <v>402105.84158000001</v>
      </c>
      <c r="AD477" s="4">
        <f>$O$477*$X$477</f>
        <v>196871.57755000002</v>
      </c>
      <c r="AE477" s="4">
        <f>$K$477*$Y$477</f>
        <v>0</v>
      </c>
      <c r="AF477" s="4">
        <f ca="1">$M$477*$Z$477</f>
        <v>471256.87991369568</v>
      </c>
      <c r="AG477" s="4">
        <f>$O$477*$AA$477</f>
        <v>217150.980710048</v>
      </c>
    </row>
    <row r="478" spans="1:33" ht="11.25" customHeight="1" x14ac:dyDescent="0.3">
      <c r="A478" s="3" t="s">
        <v>27</v>
      </c>
      <c r="B478" s="3" t="s">
        <v>42</v>
      </c>
      <c r="C478" s="3" t="s">
        <v>23</v>
      </c>
      <c r="D478" s="3" t="s">
        <v>43</v>
      </c>
      <c r="E478" s="3" t="s">
        <v>25</v>
      </c>
      <c r="F478" s="3" t="s">
        <v>25</v>
      </c>
      <c r="G478" s="3" t="s">
        <v>25</v>
      </c>
      <c r="H478" s="3" t="s">
        <v>25</v>
      </c>
      <c r="I478" s="6">
        <v>44409</v>
      </c>
      <c r="J478" s="4">
        <v>0</v>
      </c>
      <c r="K478" s="4">
        <v>0</v>
      </c>
      <c r="L478" s="4">
        <v>1.9E-2</v>
      </c>
      <c r="M478" s="4">
        <v>1.9E-2</v>
      </c>
      <c r="N478" s="4">
        <v>1.9E-2</v>
      </c>
      <c r="O478" s="4">
        <v>1.9E-2</v>
      </c>
      <c r="P478" s="4">
        <v>0</v>
      </c>
      <c r="Q478" s="3" t="s">
        <v>26</v>
      </c>
      <c r="R478" s="3">
        <v>0</v>
      </c>
      <c r="S478" s="4">
        <v>0</v>
      </c>
      <c r="T478" s="4">
        <v>32</v>
      </c>
      <c r="U478" s="4">
        <v>72</v>
      </c>
      <c r="V478" s="4">
        <f>IF(ISERROR(VLOOKUP($S$478,'TAR FIN'!$A$1:$O$91,15,0)),0,VLOOKUP($S$478,'TAR FIN'!$A$1:$O$91,15,0))</f>
        <v>0</v>
      </c>
      <c r="W478" s="4">
        <f>IF(ISERROR(VLOOKUP($T$478,'TAR FIN'!$A$1:$O$91,15,0)),0,VLOOKUP($T$478,'TAR FIN'!$A$1:$O$91,15,0))</f>
        <v>357.74</v>
      </c>
      <c r="X478" s="4">
        <f>IF(ISERROR(VLOOKUP($U$478,'TAR FIN'!$A$1:$O$91,15,0)),0,VLOOKUP($U$478,'TAR FIN'!$A$1:$O$91,15,0))</f>
        <v>175.15</v>
      </c>
      <c r="Y478" s="4"/>
      <c r="Z478" s="4">
        <f ca="1">('TUSD BE'!$AM$36+'TUSD BF'!$AM$36+'TUSD CVA'!$AM$36)*(1-CUSTOS!$M$38)</f>
        <v>419.26134561460873</v>
      </c>
      <c r="AA478" s="4">
        <f>('TE BE'!$AB$27+'TE BF'!$AB$27+'TE CVA'!$AB$27)*(1-CUSTOS!$M$38)</f>
        <v>193.19190075421278</v>
      </c>
      <c r="AB478" s="4">
        <f>$K$478*$V$478</f>
        <v>0</v>
      </c>
      <c r="AC478" s="4">
        <f>$M$478*$W$478</f>
        <v>6.7970600000000001</v>
      </c>
      <c r="AD478" s="4">
        <f>$O$478*$X$478</f>
        <v>3.3278500000000002</v>
      </c>
      <c r="AE478" s="4">
        <f>$K$478*$Y$478</f>
        <v>0</v>
      </c>
      <c r="AF478" s="4">
        <f ca="1">$M$478*$Z$478</f>
        <v>7.9659655666775659</v>
      </c>
      <c r="AG478" s="4">
        <f>$O$478*$AA$478</f>
        <v>3.6706461143300428</v>
      </c>
    </row>
    <row r="479" spans="1:33" ht="11.25" customHeight="1" x14ac:dyDescent="0.3">
      <c r="A479" s="3" t="s">
        <v>28</v>
      </c>
      <c r="B479" s="3" t="s">
        <v>42</v>
      </c>
      <c r="C479" s="3" t="s">
        <v>23</v>
      </c>
      <c r="D479" s="3" t="s">
        <v>43</v>
      </c>
      <c r="E479" s="3" t="s">
        <v>25</v>
      </c>
      <c r="F479" s="3" t="s">
        <v>25</v>
      </c>
      <c r="G479" s="3" t="s">
        <v>25</v>
      </c>
      <c r="H479" s="3" t="s">
        <v>25</v>
      </c>
      <c r="I479" s="6">
        <v>44409</v>
      </c>
      <c r="J479" s="4">
        <v>0</v>
      </c>
      <c r="K479" s="4">
        <v>0</v>
      </c>
      <c r="L479" s="4">
        <v>12.103999999999999</v>
      </c>
      <c r="M479" s="4">
        <v>12.103999999999999</v>
      </c>
      <c r="N479" s="4">
        <v>12.103999999999999</v>
      </c>
      <c r="O479" s="4">
        <v>12.103999999999999</v>
      </c>
      <c r="P479" s="4">
        <v>39</v>
      </c>
      <c r="Q479" s="3" t="s">
        <v>26</v>
      </c>
      <c r="R479" s="3">
        <v>0</v>
      </c>
      <c r="S479" s="4">
        <v>0</v>
      </c>
      <c r="T479" s="4">
        <v>32</v>
      </c>
      <c r="U479" s="4">
        <v>72</v>
      </c>
      <c r="V479" s="4">
        <f>IF(ISERROR(VLOOKUP($S$479,'TAR FIN'!$A$1:$O$91,15,0)),0,VLOOKUP($S$479,'TAR FIN'!$A$1:$O$91,15,0))</f>
        <v>0</v>
      </c>
      <c r="W479" s="4">
        <f>IF(ISERROR(VLOOKUP($T$479,'TAR FIN'!$A$1:$O$91,15,0)),0,VLOOKUP($T$479,'TAR FIN'!$A$1:$O$91,15,0))</f>
        <v>357.74</v>
      </c>
      <c r="X479" s="4">
        <f>IF(ISERROR(VLOOKUP($U$479,'TAR FIN'!$A$1:$O$91,15,0)),0,VLOOKUP($U$479,'TAR FIN'!$A$1:$O$91,15,0))</f>
        <v>175.15</v>
      </c>
      <c r="Y479" s="4"/>
      <c r="Z479" s="4">
        <f ca="1">('TUSD BE'!$AM$36+'TUSD BF'!$AM$36+'TUSD CVA'!$AM$36)*(1-CUSTOS!$M$38)</f>
        <v>419.26134561460873</v>
      </c>
      <c r="AA479" s="4">
        <f>('TE BE'!$AB$27+'TE BF'!$AB$27+'TE CVA'!$AB$27)*(1-CUSTOS!$M$38)</f>
        <v>193.19190075421278</v>
      </c>
      <c r="AB479" s="4">
        <f>$K$479*$V$479</f>
        <v>0</v>
      </c>
      <c r="AC479" s="4">
        <f>$M$479*$W$479</f>
        <v>4330.0849600000001</v>
      </c>
      <c r="AD479" s="4">
        <f>$O$479*$X$479</f>
        <v>2120.0155999999997</v>
      </c>
      <c r="AE479" s="4">
        <f>$K$479*$Y$479</f>
        <v>0</v>
      </c>
      <c r="AF479" s="4">
        <f ca="1">$M$479*$Z$479</f>
        <v>5074.7393273192238</v>
      </c>
      <c r="AG479" s="4">
        <f>$O$479*$AA$479</f>
        <v>2338.3947667289913</v>
      </c>
    </row>
    <row r="480" spans="1:33" ht="11.25" customHeight="1" x14ac:dyDescent="0.3">
      <c r="A480" s="3" t="s">
        <v>21</v>
      </c>
      <c r="B480" s="3" t="s">
        <v>42</v>
      </c>
      <c r="C480" s="3" t="s">
        <v>23</v>
      </c>
      <c r="D480" s="3" t="s">
        <v>43</v>
      </c>
      <c r="E480" s="3" t="s">
        <v>25</v>
      </c>
      <c r="F480" s="3" t="s">
        <v>25</v>
      </c>
      <c r="G480" s="3" t="s">
        <v>25</v>
      </c>
      <c r="H480" s="3" t="s">
        <v>25</v>
      </c>
      <c r="I480" s="6">
        <v>44440</v>
      </c>
      <c r="J480" s="4">
        <v>0</v>
      </c>
      <c r="K480" s="4">
        <v>0</v>
      </c>
      <c r="L480" s="4">
        <v>1096.153</v>
      </c>
      <c r="M480" s="4">
        <v>1096.153</v>
      </c>
      <c r="N480" s="4">
        <v>1096.153</v>
      </c>
      <c r="O480" s="4">
        <v>1096.153</v>
      </c>
      <c r="P480" s="4">
        <v>4534</v>
      </c>
      <c r="Q480" s="3" t="s">
        <v>26</v>
      </c>
      <c r="R480" s="3">
        <v>0</v>
      </c>
      <c r="S480" s="4">
        <v>0</v>
      </c>
      <c r="T480" s="4">
        <v>32</v>
      </c>
      <c r="U480" s="4">
        <v>72</v>
      </c>
      <c r="V480" s="4">
        <f>IF(ISERROR(VLOOKUP($S$480,'TAR FIN'!$A$1:$O$91,15,0)),0,VLOOKUP($S$480,'TAR FIN'!$A$1:$O$91,15,0))</f>
        <v>0</v>
      </c>
      <c r="W480" s="4">
        <f>IF(ISERROR(VLOOKUP($T$480,'TAR FIN'!$A$1:$O$91,15,0)),0,VLOOKUP($T$480,'TAR FIN'!$A$1:$O$91,15,0))</f>
        <v>357.74</v>
      </c>
      <c r="X480" s="4">
        <f>IF(ISERROR(VLOOKUP($U$480,'TAR FIN'!$A$1:$O$91,15,0)),0,VLOOKUP($U$480,'TAR FIN'!$A$1:$O$91,15,0))</f>
        <v>175.15</v>
      </c>
      <c r="Y480" s="4"/>
      <c r="Z480" s="4">
        <f ca="1">('TUSD BE'!$AM$36+'TUSD BF'!$AM$36+'TUSD CVA'!$AM$36)*(1-CUSTOS!$M$38)</f>
        <v>419.26134561460873</v>
      </c>
      <c r="AA480" s="4">
        <f>('TE BE'!$AB$27+'TE BF'!$AB$27+'TE CVA'!$AB$27)*(1-CUSTOS!$M$38)</f>
        <v>193.19190075421278</v>
      </c>
      <c r="AB480" s="4">
        <f>$K$480*$V$480</f>
        <v>0</v>
      </c>
      <c r="AC480" s="4">
        <f>$M$480*$W$480</f>
        <v>392137.77422000002</v>
      </c>
      <c r="AD480" s="4">
        <f>$O$480*$X$480</f>
        <v>191991.19795</v>
      </c>
      <c r="AE480" s="4">
        <f>$K$480*$Y$480</f>
        <v>0</v>
      </c>
      <c r="AF480" s="4">
        <f ca="1">$M$480*$Z$480</f>
        <v>459574.58177949023</v>
      </c>
      <c r="AG480" s="4">
        <f>$O$480*$AA$480</f>
        <v>211767.88158743261</v>
      </c>
    </row>
    <row r="481" spans="1:33" ht="11.25" customHeight="1" x14ac:dyDescent="0.3">
      <c r="A481" s="3" t="s">
        <v>27</v>
      </c>
      <c r="B481" s="3" t="s">
        <v>42</v>
      </c>
      <c r="C481" s="3" t="s">
        <v>23</v>
      </c>
      <c r="D481" s="3" t="s">
        <v>43</v>
      </c>
      <c r="E481" s="3" t="s">
        <v>25</v>
      </c>
      <c r="F481" s="3" t="s">
        <v>25</v>
      </c>
      <c r="G481" s="3" t="s">
        <v>25</v>
      </c>
      <c r="H481" s="3" t="s">
        <v>25</v>
      </c>
      <c r="I481" s="6">
        <v>44440</v>
      </c>
      <c r="J481" s="4">
        <v>0</v>
      </c>
      <c r="K481" s="4">
        <v>0</v>
      </c>
      <c r="L481" s="4">
        <v>-2.4340000000000002</v>
      </c>
      <c r="M481" s="4">
        <v>-2.4340000000000002</v>
      </c>
      <c r="N481" s="4">
        <v>-2.4340000000000002</v>
      </c>
      <c r="O481" s="4">
        <v>-2.4340000000000002</v>
      </c>
      <c r="P481" s="4">
        <v>0</v>
      </c>
      <c r="Q481" s="3" t="s">
        <v>26</v>
      </c>
      <c r="R481" s="3">
        <v>0</v>
      </c>
      <c r="S481" s="4">
        <v>0</v>
      </c>
      <c r="T481" s="4">
        <v>32</v>
      </c>
      <c r="U481" s="4">
        <v>72</v>
      </c>
      <c r="V481" s="4">
        <f>IF(ISERROR(VLOOKUP($S$481,'TAR FIN'!$A$1:$O$91,15,0)),0,VLOOKUP($S$481,'TAR FIN'!$A$1:$O$91,15,0))</f>
        <v>0</v>
      </c>
      <c r="W481" s="4">
        <f>IF(ISERROR(VLOOKUP($T$481,'TAR FIN'!$A$1:$O$91,15,0)),0,VLOOKUP($T$481,'TAR FIN'!$A$1:$O$91,15,0))</f>
        <v>357.74</v>
      </c>
      <c r="X481" s="4">
        <f>IF(ISERROR(VLOOKUP($U$481,'TAR FIN'!$A$1:$O$91,15,0)),0,VLOOKUP($U$481,'TAR FIN'!$A$1:$O$91,15,0))</f>
        <v>175.15</v>
      </c>
      <c r="Y481" s="4"/>
      <c r="Z481" s="4">
        <f ca="1">('TUSD BE'!$AM$36+'TUSD BF'!$AM$36+'TUSD CVA'!$AM$36)*(1-CUSTOS!$M$38)</f>
        <v>419.26134561460873</v>
      </c>
      <c r="AA481" s="4">
        <f>('TE BE'!$AB$27+'TE BF'!$AB$27+'TE CVA'!$AB$27)*(1-CUSTOS!$M$38)</f>
        <v>193.19190075421278</v>
      </c>
      <c r="AB481" s="4">
        <f>$K$481*$V$481</f>
        <v>0</v>
      </c>
      <c r="AC481" s="4">
        <f>$M$481*$W$481</f>
        <v>-870.73916000000008</v>
      </c>
      <c r="AD481" s="4">
        <f>$O$481*$X$481</f>
        <v>-426.31510000000003</v>
      </c>
      <c r="AE481" s="4">
        <f>$K$481*$Y$481</f>
        <v>0</v>
      </c>
      <c r="AF481" s="4">
        <f ca="1">$M$481*$Z$481</f>
        <v>-1020.4821152259577</v>
      </c>
      <c r="AG481" s="4">
        <f>$O$481*$AA$481</f>
        <v>-470.22908643575391</v>
      </c>
    </row>
    <row r="482" spans="1:33" ht="11.25" customHeight="1" x14ac:dyDescent="0.3">
      <c r="A482" s="3" t="s">
        <v>28</v>
      </c>
      <c r="B482" s="3" t="s">
        <v>42</v>
      </c>
      <c r="C482" s="3" t="s">
        <v>23</v>
      </c>
      <c r="D482" s="3" t="s">
        <v>43</v>
      </c>
      <c r="E482" s="3" t="s">
        <v>25</v>
      </c>
      <c r="F482" s="3" t="s">
        <v>25</v>
      </c>
      <c r="G482" s="3" t="s">
        <v>25</v>
      </c>
      <c r="H482" s="3" t="s">
        <v>25</v>
      </c>
      <c r="I482" s="6">
        <v>44440</v>
      </c>
      <c r="J482" s="4">
        <v>0</v>
      </c>
      <c r="K482" s="4">
        <v>0</v>
      </c>
      <c r="L482" s="4">
        <v>10.117000000000001</v>
      </c>
      <c r="M482" s="4">
        <v>10.117000000000001</v>
      </c>
      <c r="N482" s="4">
        <v>10.117000000000001</v>
      </c>
      <c r="O482" s="4">
        <v>10.117000000000001</v>
      </c>
      <c r="P482" s="4">
        <v>40</v>
      </c>
      <c r="Q482" s="3" t="s">
        <v>26</v>
      </c>
      <c r="R482" s="3">
        <v>0</v>
      </c>
      <c r="S482" s="4">
        <v>0</v>
      </c>
      <c r="T482" s="4">
        <v>32</v>
      </c>
      <c r="U482" s="4">
        <v>72</v>
      </c>
      <c r="V482" s="4">
        <f>IF(ISERROR(VLOOKUP($S$482,'TAR FIN'!$A$1:$O$91,15,0)),0,VLOOKUP($S$482,'TAR FIN'!$A$1:$O$91,15,0))</f>
        <v>0</v>
      </c>
      <c r="W482" s="4">
        <f>IF(ISERROR(VLOOKUP($T$482,'TAR FIN'!$A$1:$O$91,15,0)),0,VLOOKUP($T$482,'TAR FIN'!$A$1:$O$91,15,0))</f>
        <v>357.74</v>
      </c>
      <c r="X482" s="4">
        <f>IF(ISERROR(VLOOKUP($U$482,'TAR FIN'!$A$1:$O$91,15,0)),0,VLOOKUP($U$482,'TAR FIN'!$A$1:$O$91,15,0))</f>
        <v>175.15</v>
      </c>
      <c r="Y482" s="4"/>
      <c r="Z482" s="4">
        <f ca="1">('TUSD BE'!$AM$36+'TUSD BF'!$AM$36+'TUSD CVA'!$AM$36)*(1-CUSTOS!$M$38)</f>
        <v>419.26134561460873</v>
      </c>
      <c r="AA482" s="4">
        <f>('TE BE'!$AB$27+'TE BF'!$AB$27+'TE CVA'!$AB$27)*(1-CUSTOS!$M$38)</f>
        <v>193.19190075421278</v>
      </c>
      <c r="AB482" s="4">
        <f>$K$482*$V$482</f>
        <v>0</v>
      </c>
      <c r="AC482" s="4">
        <f>$M$482*$W$482</f>
        <v>3619.2555800000005</v>
      </c>
      <c r="AD482" s="4">
        <f>$O$482*$X$482</f>
        <v>1771.9925500000002</v>
      </c>
      <c r="AE482" s="4">
        <f>$K$482*$Y$482</f>
        <v>0</v>
      </c>
      <c r="AF482" s="4">
        <f ca="1">$M$482*$Z$482</f>
        <v>4241.6670335829967</v>
      </c>
      <c r="AG482" s="4">
        <f>$O$482*$AA$482</f>
        <v>1954.5224599303708</v>
      </c>
    </row>
    <row r="483" spans="1:33" ht="11.25" customHeight="1" x14ac:dyDescent="0.3">
      <c r="A483" s="3" t="s">
        <v>21</v>
      </c>
      <c r="B483" s="3" t="s">
        <v>42</v>
      </c>
      <c r="C483" s="3" t="s">
        <v>23</v>
      </c>
      <c r="D483" s="3" t="s">
        <v>43</v>
      </c>
      <c r="E483" s="3" t="s">
        <v>25</v>
      </c>
      <c r="F483" s="3" t="s">
        <v>25</v>
      </c>
      <c r="G483" s="3" t="s">
        <v>25</v>
      </c>
      <c r="H483" s="3" t="s">
        <v>25</v>
      </c>
      <c r="I483" s="6">
        <v>44470</v>
      </c>
      <c r="J483" s="4">
        <v>0</v>
      </c>
      <c r="K483" s="4">
        <v>0</v>
      </c>
      <c r="L483" s="4">
        <v>1158.865</v>
      </c>
      <c r="M483" s="4">
        <v>1158.865</v>
      </c>
      <c r="N483" s="4">
        <v>1158.865</v>
      </c>
      <c r="O483" s="4">
        <v>1158.865</v>
      </c>
      <c r="P483" s="4">
        <v>4539</v>
      </c>
      <c r="Q483" s="3" t="s">
        <v>26</v>
      </c>
      <c r="R483" s="3">
        <v>0</v>
      </c>
      <c r="S483" s="4">
        <v>0</v>
      </c>
      <c r="T483" s="4">
        <v>32</v>
      </c>
      <c r="U483" s="4">
        <v>72</v>
      </c>
      <c r="V483" s="4">
        <f>IF(ISERROR(VLOOKUP($S$483,'TAR FIN'!$A$1:$O$91,15,0)),0,VLOOKUP($S$483,'TAR FIN'!$A$1:$O$91,15,0))</f>
        <v>0</v>
      </c>
      <c r="W483" s="4">
        <f>IF(ISERROR(VLOOKUP($T$483,'TAR FIN'!$A$1:$O$91,15,0)),0,VLOOKUP($T$483,'TAR FIN'!$A$1:$O$91,15,0))</f>
        <v>357.74</v>
      </c>
      <c r="X483" s="4">
        <f>IF(ISERROR(VLOOKUP($U$483,'TAR FIN'!$A$1:$O$91,15,0)),0,VLOOKUP($U$483,'TAR FIN'!$A$1:$O$91,15,0))</f>
        <v>175.15</v>
      </c>
      <c r="Y483" s="4"/>
      <c r="Z483" s="4">
        <f ca="1">('TUSD BE'!$AM$36+'TUSD BF'!$AM$36+'TUSD CVA'!$AM$36)*(1-CUSTOS!$M$38)</f>
        <v>419.26134561460873</v>
      </c>
      <c r="AA483" s="4">
        <f>('TE BE'!$AB$27+'TE BF'!$AB$27+'TE CVA'!$AB$27)*(1-CUSTOS!$M$38)</f>
        <v>193.19190075421278</v>
      </c>
      <c r="AB483" s="4">
        <f>$K$483*$V$483</f>
        <v>0</v>
      </c>
      <c r="AC483" s="4">
        <f>$M$483*$W$483</f>
        <v>414572.3651</v>
      </c>
      <c r="AD483" s="4">
        <f>$O$483*$X$483</f>
        <v>202975.20475</v>
      </c>
      <c r="AE483" s="4">
        <f>$K$483*$Y$483</f>
        <v>0</v>
      </c>
      <c r="AF483" s="4">
        <f ca="1">$M$483*$Z$483</f>
        <v>485867.29928567354</v>
      </c>
      <c r="AG483" s="4">
        <f>$O$483*$AA$483</f>
        <v>223883.33206753081</v>
      </c>
    </row>
    <row r="484" spans="1:33" ht="11.25" customHeight="1" x14ac:dyDescent="0.3">
      <c r="A484" s="3" t="s">
        <v>27</v>
      </c>
      <c r="B484" s="3" t="s">
        <v>42</v>
      </c>
      <c r="C484" s="3" t="s">
        <v>23</v>
      </c>
      <c r="D484" s="3" t="s">
        <v>43</v>
      </c>
      <c r="E484" s="3" t="s">
        <v>25</v>
      </c>
      <c r="F484" s="3" t="s">
        <v>25</v>
      </c>
      <c r="G484" s="3" t="s">
        <v>25</v>
      </c>
      <c r="H484" s="3" t="s">
        <v>25</v>
      </c>
      <c r="I484" s="6">
        <v>44470</v>
      </c>
      <c r="J484" s="4">
        <v>0</v>
      </c>
      <c r="K484" s="4">
        <v>0</v>
      </c>
      <c r="L484" s="4">
        <v>-1.619</v>
      </c>
      <c r="M484" s="4">
        <v>-1.619</v>
      </c>
      <c r="N484" s="4">
        <v>-1.619</v>
      </c>
      <c r="O484" s="4">
        <v>-1.619</v>
      </c>
      <c r="P484" s="4">
        <v>0</v>
      </c>
      <c r="Q484" s="3" t="s">
        <v>26</v>
      </c>
      <c r="R484" s="3">
        <v>0</v>
      </c>
      <c r="S484" s="4">
        <v>0</v>
      </c>
      <c r="T484" s="4">
        <v>32</v>
      </c>
      <c r="U484" s="4">
        <v>72</v>
      </c>
      <c r="V484" s="4">
        <f>IF(ISERROR(VLOOKUP($S$484,'TAR FIN'!$A$1:$O$91,15,0)),0,VLOOKUP($S$484,'TAR FIN'!$A$1:$O$91,15,0))</f>
        <v>0</v>
      </c>
      <c r="W484" s="4">
        <f>IF(ISERROR(VLOOKUP($T$484,'TAR FIN'!$A$1:$O$91,15,0)),0,VLOOKUP($T$484,'TAR FIN'!$A$1:$O$91,15,0))</f>
        <v>357.74</v>
      </c>
      <c r="X484" s="4">
        <f>IF(ISERROR(VLOOKUP($U$484,'TAR FIN'!$A$1:$O$91,15,0)),0,VLOOKUP($U$484,'TAR FIN'!$A$1:$O$91,15,0))</f>
        <v>175.15</v>
      </c>
      <c r="Y484" s="4"/>
      <c r="Z484" s="4">
        <f ca="1">('TUSD BE'!$AM$36+'TUSD BF'!$AM$36+'TUSD CVA'!$AM$36)*(1-CUSTOS!$M$38)</f>
        <v>419.26134561460873</v>
      </c>
      <c r="AA484" s="4">
        <f>('TE BE'!$AB$27+'TE BF'!$AB$27+'TE CVA'!$AB$27)*(1-CUSTOS!$M$38)</f>
        <v>193.19190075421278</v>
      </c>
      <c r="AB484" s="4">
        <f>$K$484*$V$484</f>
        <v>0</v>
      </c>
      <c r="AC484" s="4">
        <f>$M$484*$W$484</f>
        <v>-579.18106</v>
      </c>
      <c r="AD484" s="4">
        <f>$O$484*$X$484</f>
        <v>-283.56785000000002</v>
      </c>
      <c r="AE484" s="4">
        <f>$K$484*$Y$484</f>
        <v>0</v>
      </c>
      <c r="AF484" s="4">
        <f ca="1">$M$484*$Z$484</f>
        <v>-678.78411855005152</v>
      </c>
      <c r="AG484" s="4">
        <f>$O$484*$AA$484</f>
        <v>-312.77768732107052</v>
      </c>
    </row>
    <row r="485" spans="1:33" ht="11.25" customHeight="1" x14ac:dyDescent="0.3">
      <c r="A485" s="3" t="s">
        <v>28</v>
      </c>
      <c r="B485" s="3" t="s">
        <v>42</v>
      </c>
      <c r="C485" s="3" t="s">
        <v>23</v>
      </c>
      <c r="D485" s="3" t="s">
        <v>43</v>
      </c>
      <c r="E485" s="3" t="s">
        <v>25</v>
      </c>
      <c r="F485" s="3" t="s">
        <v>25</v>
      </c>
      <c r="G485" s="3" t="s">
        <v>25</v>
      </c>
      <c r="H485" s="3" t="s">
        <v>25</v>
      </c>
      <c r="I485" s="6">
        <v>44470</v>
      </c>
      <c r="J485" s="4">
        <v>0</v>
      </c>
      <c r="K485" s="4">
        <v>0</v>
      </c>
      <c r="L485" s="4">
        <v>11.327</v>
      </c>
      <c r="M485" s="4">
        <v>11.327</v>
      </c>
      <c r="N485" s="4">
        <v>11.327</v>
      </c>
      <c r="O485" s="4">
        <v>11.327</v>
      </c>
      <c r="P485" s="4">
        <v>45</v>
      </c>
      <c r="Q485" s="3" t="s">
        <v>26</v>
      </c>
      <c r="R485" s="3">
        <v>0</v>
      </c>
      <c r="S485" s="4">
        <v>0</v>
      </c>
      <c r="T485" s="4">
        <v>32</v>
      </c>
      <c r="U485" s="4">
        <v>72</v>
      </c>
      <c r="V485" s="4">
        <f>IF(ISERROR(VLOOKUP($S$485,'TAR FIN'!$A$1:$O$91,15,0)),0,VLOOKUP($S$485,'TAR FIN'!$A$1:$O$91,15,0))</f>
        <v>0</v>
      </c>
      <c r="W485" s="4">
        <f>IF(ISERROR(VLOOKUP($T$485,'TAR FIN'!$A$1:$O$91,15,0)),0,VLOOKUP($T$485,'TAR FIN'!$A$1:$O$91,15,0))</f>
        <v>357.74</v>
      </c>
      <c r="X485" s="4">
        <f>IF(ISERROR(VLOOKUP($U$485,'TAR FIN'!$A$1:$O$91,15,0)),0,VLOOKUP($U$485,'TAR FIN'!$A$1:$O$91,15,0))</f>
        <v>175.15</v>
      </c>
      <c r="Y485" s="4"/>
      <c r="Z485" s="4">
        <f ca="1">('TUSD BE'!$AM$36+'TUSD BF'!$AM$36+'TUSD CVA'!$AM$36)*(1-CUSTOS!$M$38)</f>
        <v>419.26134561460873</v>
      </c>
      <c r="AA485" s="4">
        <f>('TE BE'!$AB$27+'TE BF'!$AB$27+'TE CVA'!$AB$27)*(1-CUSTOS!$M$38)</f>
        <v>193.19190075421278</v>
      </c>
      <c r="AB485" s="4">
        <f>$K$485*$V$485</f>
        <v>0</v>
      </c>
      <c r="AC485" s="4">
        <f>$M$485*$W$485</f>
        <v>4052.1209800000001</v>
      </c>
      <c r="AD485" s="4">
        <f>$O$485*$X$485</f>
        <v>1983.9240500000001</v>
      </c>
      <c r="AE485" s="4">
        <f>$K$485*$Y$485</f>
        <v>0</v>
      </c>
      <c r="AF485" s="4">
        <f ca="1">$M$485*$Z$485</f>
        <v>4748.9732617766731</v>
      </c>
      <c r="AG485" s="4">
        <f>$O$485*$AA$485</f>
        <v>2188.2846598429683</v>
      </c>
    </row>
    <row r="486" spans="1:33" ht="11.25" customHeight="1" x14ac:dyDescent="0.3">
      <c r="A486" s="3" t="s">
        <v>21</v>
      </c>
      <c r="B486" s="3" t="s">
        <v>42</v>
      </c>
      <c r="C486" s="3" t="s">
        <v>23</v>
      </c>
      <c r="D486" s="3" t="s">
        <v>43</v>
      </c>
      <c r="E486" s="3" t="s">
        <v>25</v>
      </c>
      <c r="F486" s="3" t="s">
        <v>25</v>
      </c>
      <c r="G486" s="3" t="s">
        <v>25</v>
      </c>
      <c r="H486" s="3" t="s">
        <v>25</v>
      </c>
      <c r="I486" s="6">
        <v>44501</v>
      </c>
      <c r="J486" s="4">
        <v>0</v>
      </c>
      <c r="K486" s="4">
        <v>0</v>
      </c>
      <c r="L486" s="4">
        <v>1383.107</v>
      </c>
      <c r="M486" s="4">
        <v>1383.107</v>
      </c>
      <c r="N486" s="4">
        <v>1383.107</v>
      </c>
      <c r="O486" s="4">
        <v>1383.107</v>
      </c>
      <c r="P486" s="4">
        <v>4514</v>
      </c>
      <c r="Q486" s="3" t="s">
        <v>26</v>
      </c>
      <c r="R486" s="3">
        <v>0</v>
      </c>
      <c r="S486" s="4">
        <v>0</v>
      </c>
      <c r="T486" s="4">
        <v>32</v>
      </c>
      <c r="U486" s="4">
        <v>72</v>
      </c>
      <c r="V486" s="4">
        <f>IF(ISERROR(VLOOKUP($S$486,'TAR FIN'!$A$1:$O$91,15,0)),0,VLOOKUP($S$486,'TAR FIN'!$A$1:$O$91,15,0))</f>
        <v>0</v>
      </c>
      <c r="W486" s="4">
        <f>IF(ISERROR(VLOOKUP($T$486,'TAR FIN'!$A$1:$O$91,15,0)),0,VLOOKUP($T$486,'TAR FIN'!$A$1:$O$91,15,0))</f>
        <v>357.74</v>
      </c>
      <c r="X486" s="4">
        <f>IF(ISERROR(VLOOKUP($U$486,'TAR FIN'!$A$1:$O$91,15,0)),0,VLOOKUP($U$486,'TAR FIN'!$A$1:$O$91,15,0))</f>
        <v>175.15</v>
      </c>
      <c r="Y486" s="4"/>
      <c r="Z486" s="4">
        <f ca="1">('TUSD BE'!$AM$36+'TUSD BF'!$AM$36+'TUSD CVA'!$AM$36)*(1-CUSTOS!$M$38)</f>
        <v>419.26134561460873</v>
      </c>
      <c r="AA486" s="4">
        <f>('TE BE'!$AB$27+'TE BF'!$AB$27+'TE CVA'!$AB$27)*(1-CUSTOS!$M$38)</f>
        <v>193.19190075421278</v>
      </c>
      <c r="AB486" s="4">
        <f>$K$486*$V$486</f>
        <v>0</v>
      </c>
      <c r="AC486" s="4">
        <f>$M$486*$W$486</f>
        <v>494792.69818000001</v>
      </c>
      <c r="AD486" s="4">
        <f>$O$486*$X$486</f>
        <v>242251.19104999999</v>
      </c>
      <c r="AE486" s="4">
        <f>$K$486*$Y$486</f>
        <v>0</v>
      </c>
      <c r="AF486" s="4">
        <f ca="1">$M$486*$Z$486</f>
        <v>579883.30194898462</v>
      </c>
      <c r="AG486" s="4">
        <f>$O$486*$AA$486</f>
        <v>267205.07027645694</v>
      </c>
    </row>
    <row r="487" spans="1:33" ht="11.25" customHeight="1" x14ac:dyDescent="0.3">
      <c r="A487" s="3" t="s">
        <v>27</v>
      </c>
      <c r="B487" s="3" t="s">
        <v>42</v>
      </c>
      <c r="C487" s="3" t="s">
        <v>23</v>
      </c>
      <c r="D487" s="3" t="s">
        <v>43</v>
      </c>
      <c r="E487" s="3" t="s">
        <v>25</v>
      </c>
      <c r="F487" s="3" t="s">
        <v>25</v>
      </c>
      <c r="G487" s="3" t="s">
        <v>25</v>
      </c>
      <c r="H487" s="3" t="s">
        <v>25</v>
      </c>
      <c r="I487" s="6">
        <v>44501</v>
      </c>
      <c r="J487" s="4">
        <v>0</v>
      </c>
      <c r="K487" s="4">
        <v>0</v>
      </c>
      <c r="L487" s="4">
        <v>-8.7420000000000009</v>
      </c>
      <c r="M487" s="4">
        <v>-8.7420000000000009</v>
      </c>
      <c r="N487" s="4">
        <v>-8.7420000000000009</v>
      </c>
      <c r="O487" s="4">
        <v>-8.7420000000000009</v>
      </c>
      <c r="P487" s="4">
        <v>0</v>
      </c>
      <c r="Q487" s="3" t="s">
        <v>26</v>
      </c>
      <c r="R487" s="3">
        <v>0</v>
      </c>
      <c r="S487" s="4">
        <v>0</v>
      </c>
      <c r="T487" s="4">
        <v>32</v>
      </c>
      <c r="U487" s="4">
        <v>72</v>
      </c>
      <c r="V487" s="4">
        <f>IF(ISERROR(VLOOKUP($S$487,'TAR FIN'!$A$1:$O$91,15,0)),0,VLOOKUP($S$487,'TAR FIN'!$A$1:$O$91,15,0))</f>
        <v>0</v>
      </c>
      <c r="W487" s="4">
        <f>IF(ISERROR(VLOOKUP($T$487,'TAR FIN'!$A$1:$O$91,15,0)),0,VLOOKUP($T$487,'TAR FIN'!$A$1:$O$91,15,0))</f>
        <v>357.74</v>
      </c>
      <c r="X487" s="4">
        <f>IF(ISERROR(VLOOKUP($U$487,'TAR FIN'!$A$1:$O$91,15,0)),0,VLOOKUP($U$487,'TAR FIN'!$A$1:$O$91,15,0))</f>
        <v>175.15</v>
      </c>
      <c r="Y487" s="4"/>
      <c r="Z487" s="4">
        <f ca="1">('TUSD BE'!$AM$36+'TUSD BF'!$AM$36+'TUSD CVA'!$AM$36)*(1-CUSTOS!$M$38)</f>
        <v>419.26134561460873</v>
      </c>
      <c r="AA487" s="4">
        <f>('TE BE'!$AB$27+'TE BF'!$AB$27+'TE CVA'!$AB$27)*(1-CUSTOS!$M$38)</f>
        <v>193.19190075421278</v>
      </c>
      <c r="AB487" s="4">
        <f>$K$487*$V$487</f>
        <v>0</v>
      </c>
      <c r="AC487" s="4">
        <f>$M$487*$W$487</f>
        <v>-3127.3630800000005</v>
      </c>
      <c r="AD487" s="4">
        <f>$O$487*$X$487</f>
        <v>-1531.1613000000002</v>
      </c>
      <c r="AE487" s="4">
        <f>$K$487*$Y$487</f>
        <v>0</v>
      </c>
      <c r="AF487" s="4">
        <f ca="1">$M$487*$Z$487</f>
        <v>-3665.1826833629098</v>
      </c>
      <c r="AG487" s="4">
        <f>$O$487*$AA$487</f>
        <v>-1688.8835963933284</v>
      </c>
    </row>
    <row r="488" spans="1:33" ht="11.25" customHeight="1" x14ac:dyDescent="0.3">
      <c r="A488" s="3" t="s">
        <v>28</v>
      </c>
      <c r="B488" s="3" t="s">
        <v>42</v>
      </c>
      <c r="C488" s="3" t="s">
        <v>23</v>
      </c>
      <c r="D488" s="3" t="s">
        <v>43</v>
      </c>
      <c r="E488" s="3" t="s">
        <v>25</v>
      </c>
      <c r="F488" s="3" t="s">
        <v>25</v>
      </c>
      <c r="G488" s="3" t="s">
        <v>25</v>
      </c>
      <c r="H488" s="3" t="s">
        <v>25</v>
      </c>
      <c r="I488" s="6">
        <v>44501</v>
      </c>
      <c r="J488" s="4">
        <v>0</v>
      </c>
      <c r="K488" s="4">
        <v>0</v>
      </c>
      <c r="L488" s="4">
        <v>16.164999999999999</v>
      </c>
      <c r="M488" s="4">
        <v>16.164999999999999</v>
      </c>
      <c r="N488" s="4">
        <v>16.164999999999999</v>
      </c>
      <c r="O488" s="4">
        <v>16.164999999999999</v>
      </c>
      <c r="P488" s="4">
        <v>47</v>
      </c>
      <c r="Q488" s="3" t="s">
        <v>26</v>
      </c>
      <c r="R488" s="3">
        <v>0</v>
      </c>
      <c r="S488" s="4">
        <v>0</v>
      </c>
      <c r="T488" s="4">
        <v>32</v>
      </c>
      <c r="U488" s="4">
        <v>72</v>
      </c>
      <c r="V488" s="4">
        <f>IF(ISERROR(VLOOKUP($S$488,'TAR FIN'!$A$1:$O$91,15,0)),0,VLOOKUP($S$488,'TAR FIN'!$A$1:$O$91,15,0))</f>
        <v>0</v>
      </c>
      <c r="W488" s="4">
        <f>IF(ISERROR(VLOOKUP($T$488,'TAR FIN'!$A$1:$O$91,15,0)),0,VLOOKUP($T$488,'TAR FIN'!$A$1:$O$91,15,0))</f>
        <v>357.74</v>
      </c>
      <c r="X488" s="4">
        <f>IF(ISERROR(VLOOKUP($U$488,'TAR FIN'!$A$1:$O$91,15,0)),0,VLOOKUP($U$488,'TAR FIN'!$A$1:$O$91,15,0))</f>
        <v>175.15</v>
      </c>
      <c r="Y488" s="4"/>
      <c r="Z488" s="4">
        <f ca="1">('TUSD BE'!$AM$36+'TUSD BF'!$AM$36+'TUSD CVA'!$AM$36)*(1-CUSTOS!$M$38)</f>
        <v>419.26134561460873</v>
      </c>
      <c r="AA488" s="4">
        <f>('TE BE'!$AB$27+'TE BF'!$AB$27+'TE CVA'!$AB$27)*(1-CUSTOS!$M$38)</f>
        <v>193.19190075421278</v>
      </c>
      <c r="AB488" s="4">
        <f>$K$488*$V$488</f>
        <v>0</v>
      </c>
      <c r="AC488" s="4">
        <f>$M$488*$W$488</f>
        <v>5782.8670999999995</v>
      </c>
      <c r="AD488" s="4">
        <f>$O$488*$X$488</f>
        <v>2831.2997500000001</v>
      </c>
      <c r="AE488" s="4">
        <f>$K$488*$Y$488</f>
        <v>0</v>
      </c>
      <c r="AF488" s="4">
        <f ca="1">$M$488*$Z$488</f>
        <v>6777.3596518601498</v>
      </c>
      <c r="AG488" s="4">
        <f>$O$488*$AA$488</f>
        <v>3122.9470756918495</v>
      </c>
    </row>
    <row r="489" spans="1:33" ht="11.25" customHeight="1" x14ac:dyDescent="0.3">
      <c r="A489" s="3" t="s">
        <v>21</v>
      </c>
      <c r="B489" s="3" t="s">
        <v>42</v>
      </c>
      <c r="C489" s="3" t="s">
        <v>23</v>
      </c>
      <c r="D489" s="3" t="s">
        <v>43</v>
      </c>
      <c r="E489" s="3" t="s">
        <v>25</v>
      </c>
      <c r="F489" s="3" t="s">
        <v>25</v>
      </c>
      <c r="G489" s="3" t="s">
        <v>25</v>
      </c>
      <c r="H489" s="3" t="s">
        <v>25</v>
      </c>
      <c r="I489" s="6">
        <v>44531</v>
      </c>
      <c r="J489" s="4">
        <v>0</v>
      </c>
      <c r="K489" s="4">
        <v>0</v>
      </c>
      <c r="L489" s="4">
        <v>1749.32</v>
      </c>
      <c r="M489" s="4">
        <v>1749.32</v>
      </c>
      <c r="N489" s="4">
        <v>1749.32</v>
      </c>
      <c r="O489" s="4">
        <v>1749.32</v>
      </c>
      <c r="P489" s="4">
        <v>4519</v>
      </c>
      <c r="Q489" s="3" t="s">
        <v>26</v>
      </c>
      <c r="R489" s="3">
        <v>0</v>
      </c>
      <c r="S489" s="4">
        <v>0</v>
      </c>
      <c r="T489" s="4">
        <v>32</v>
      </c>
      <c r="U489" s="4">
        <v>72</v>
      </c>
      <c r="V489" s="4">
        <f>IF(ISERROR(VLOOKUP($S$489,'TAR FIN'!$A$1:$O$91,15,0)),0,VLOOKUP($S$489,'TAR FIN'!$A$1:$O$91,15,0))</f>
        <v>0</v>
      </c>
      <c r="W489" s="4">
        <f>IF(ISERROR(VLOOKUP($T$489,'TAR FIN'!$A$1:$O$91,15,0)),0,VLOOKUP($T$489,'TAR FIN'!$A$1:$O$91,15,0))</f>
        <v>357.74</v>
      </c>
      <c r="X489" s="4">
        <f>IF(ISERROR(VLOOKUP($U$489,'TAR FIN'!$A$1:$O$91,15,0)),0,VLOOKUP($U$489,'TAR FIN'!$A$1:$O$91,15,0))</f>
        <v>175.15</v>
      </c>
      <c r="Y489" s="4"/>
      <c r="Z489" s="4">
        <f ca="1">('TUSD BE'!$AM$36+'TUSD BF'!$AM$36+'TUSD CVA'!$AM$36)*(1-CUSTOS!$M$38)</f>
        <v>419.26134561460873</v>
      </c>
      <c r="AA489" s="4">
        <f>('TE BE'!$AB$27+'TE BF'!$AB$27+'TE CVA'!$AB$27)*(1-CUSTOS!$M$38)</f>
        <v>193.19190075421278</v>
      </c>
      <c r="AB489" s="4">
        <f>$K$489*$V$489</f>
        <v>0</v>
      </c>
      <c r="AC489" s="4">
        <f>$M$489*$W$489</f>
        <v>625801.73679999996</v>
      </c>
      <c r="AD489" s="4">
        <f>$O$489*$X$489</f>
        <v>306393.39799999999</v>
      </c>
      <c r="AE489" s="4">
        <f>$K$489*$Y$489</f>
        <v>0</v>
      </c>
      <c r="AF489" s="4">
        <f ca="1">$M$489*$Z$489</f>
        <v>733422.25711054727</v>
      </c>
      <c r="AG489" s="4">
        <f>$O$489*$AA$489</f>
        <v>337954.45582735952</v>
      </c>
    </row>
    <row r="490" spans="1:33" ht="11.25" customHeight="1" x14ac:dyDescent="0.3">
      <c r="A490" s="3" t="s">
        <v>27</v>
      </c>
      <c r="B490" s="3" t="s">
        <v>42</v>
      </c>
      <c r="C490" s="3" t="s">
        <v>23</v>
      </c>
      <c r="D490" s="3" t="s">
        <v>43</v>
      </c>
      <c r="E490" s="3" t="s">
        <v>25</v>
      </c>
      <c r="F490" s="3" t="s">
        <v>25</v>
      </c>
      <c r="G490" s="3" t="s">
        <v>25</v>
      </c>
      <c r="H490" s="3" t="s">
        <v>25</v>
      </c>
      <c r="I490" s="6">
        <v>44531</v>
      </c>
      <c r="J490" s="4">
        <v>0</v>
      </c>
      <c r="K490" s="4">
        <v>0</v>
      </c>
      <c r="L490" s="4">
        <v>3.4449999999999998</v>
      </c>
      <c r="M490" s="4">
        <v>3.4449999999999998</v>
      </c>
      <c r="N490" s="4">
        <v>3.4449999999999998</v>
      </c>
      <c r="O490" s="4">
        <v>3.4449999999999998</v>
      </c>
      <c r="P490" s="4">
        <v>0</v>
      </c>
      <c r="Q490" s="3" t="s">
        <v>26</v>
      </c>
      <c r="R490" s="3">
        <v>0</v>
      </c>
      <c r="S490" s="4">
        <v>0</v>
      </c>
      <c r="T490" s="4">
        <v>32</v>
      </c>
      <c r="U490" s="4">
        <v>72</v>
      </c>
      <c r="V490" s="4">
        <f>IF(ISERROR(VLOOKUP($S$490,'TAR FIN'!$A$1:$O$91,15,0)),0,VLOOKUP($S$490,'TAR FIN'!$A$1:$O$91,15,0))</f>
        <v>0</v>
      </c>
      <c r="W490" s="4">
        <f>IF(ISERROR(VLOOKUP($T$490,'TAR FIN'!$A$1:$O$91,15,0)),0,VLOOKUP($T$490,'TAR FIN'!$A$1:$O$91,15,0))</f>
        <v>357.74</v>
      </c>
      <c r="X490" s="4">
        <f>IF(ISERROR(VLOOKUP($U$490,'TAR FIN'!$A$1:$O$91,15,0)),0,VLOOKUP($U$490,'TAR FIN'!$A$1:$O$91,15,0))</f>
        <v>175.15</v>
      </c>
      <c r="Y490" s="4"/>
      <c r="Z490" s="4">
        <f ca="1">('TUSD BE'!$AM$36+'TUSD BF'!$AM$36+'TUSD CVA'!$AM$36)*(1-CUSTOS!$M$38)</f>
        <v>419.26134561460873</v>
      </c>
      <c r="AA490" s="4">
        <f>('TE BE'!$AB$27+'TE BF'!$AB$27+'TE CVA'!$AB$27)*(1-CUSTOS!$M$38)</f>
        <v>193.19190075421278</v>
      </c>
      <c r="AB490" s="4">
        <f>$K$490*$V$490</f>
        <v>0</v>
      </c>
      <c r="AC490" s="4">
        <f>$M$490*$W$490</f>
        <v>1232.4142999999999</v>
      </c>
      <c r="AD490" s="4">
        <f>$O$490*$X$490</f>
        <v>603.39175</v>
      </c>
      <c r="AE490" s="4">
        <f>$K$490*$Y$490</f>
        <v>0</v>
      </c>
      <c r="AF490" s="4">
        <f ca="1">$M$490*$Z$490</f>
        <v>1444.355335642327</v>
      </c>
      <c r="AG490" s="4">
        <f>$O$490*$AA$490</f>
        <v>665.54609809826297</v>
      </c>
    </row>
    <row r="491" spans="1:33" ht="11.25" customHeight="1" x14ac:dyDescent="0.3">
      <c r="A491" s="3" t="s">
        <v>28</v>
      </c>
      <c r="B491" s="3" t="s">
        <v>42</v>
      </c>
      <c r="C491" s="3" t="s">
        <v>23</v>
      </c>
      <c r="D491" s="3" t="s">
        <v>43</v>
      </c>
      <c r="E491" s="3" t="s">
        <v>25</v>
      </c>
      <c r="F491" s="3" t="s">
        <v>25</v>
      </c>
      <c r="G491" s="3" t="s">
        <v>25</v>
      </c>
      <c r="H491" s="3" t="s">
        <v>25</v>
      </c>
      <c r="I491" s="6">
        <v>44531</v>
      </c>
      <c r="J491" s="4">
        <v>0</v>
      </c>
      <c r="K491" s="4">
        <v>0</v>
      </c>
      <c r="L491" s="4">
        <v>26.19</v>
      </c>
      <c r="M491" s="4">
        <v>26.19</v>
      </c>
      <c r="N491" s="4">
        <v>26.19</v>
      </c>
      <c r="O491" s="4">
        <v>26.19</v>
      </c>
      <c r="P491" s="4">
        <v>49</v>
      </c>
      <c r="Q491" s="3" t="s">
        <v>26</v>
      </c>
      <c r="R491" s="3">
        <v>0</v>
      </c>
      <c r="S491" s="4">
        <v>0</v>
      </c>
      <c r="T491" s="4">
        <v>32</v>
      </c>
      <c r="U491" s="4">
        <v>72</v>
      </c>
      <c r="V491" s="4">
        <f>IF(ISERROR(VLOOKUP($S$491,'TAR FIN'!$A$1:$O$91,15,0)),0,VLOOKUP($S$491,'TAR FIN'!$A$1:$O$91,15,0))</f>
        <v>0</v>
      </c>
      <c r="W491" s="4">
        <f>IF(ISERROR(VLOOKUP($T$491,'TAR FIN'!$A$1:$O$91,15,0)),0,VLOOKUP($T$491,'TAR FIN'!$A$1:$O$91,15,0))</f>
        <v>357.74</v>
      </c>
      <c r="X491" s="4">
        <f>IF(ISERROR(VLOOKUP($U$491,'TAR FIN'!$A$1:$O$91,15,0)),0,VLOOKUP($U$491,'TAR FIN'!$A$1:$O$91,15,0))</f>
        <v>175.15</v>
      </c>
      <c r="Y491" s="4"/>
      <c r="Z491" s="4">
        <f ca="1">('TUSD BE'!$AM$36+'TUSD BF'!$AM$36+'TUSD CVA'!$AM$36)*(1-CUSTOS!$M$38)</f>
        <v>419.26134561460873</v>
      </c>
      <c r="AA491" s="4">
        <f>('TE BE'!$AB$27+'TE BF'!$AB$27+'TE CVA'!$AB$27)*(1-CUSTOS!$M$38)</f>
        <v>193.19190075421278</v>
      </c>
      <c r="AB491" s="4">
        <f>$K$491*$V$491</f>
        <v>0</v>
      </c>
      <c r="AC491" s="4">
        <f>$M$491*$W$491</f>
        <v>9369.2106000000003</v>
      </c>
      <c r="AD491" s="4">
        <f>$O$491*$X$491</f>
        <v>4587.1785</v>
      </c>
      <c r="AE491" s="4">
        <f>$K$491*$Y$491</f>
        <v>0</v>
      </c>
      <c r="AF491" s="4">
        <f ca="1">$M$491*$Z$491</f>
        <v>10980.454641646604</v>
      </c>
      <c r="AG491" s="4">
        <f>$O$491*$AA$491</f>
        <v>5059.6958807528326</v>
      </c>
    </row>
    <row r="492" spans="1:33" ht="11.25" customHeight="1" x14ac:dyDescent="0.3">
      <c r="A492" s="3" t="s">
        <v>21</v>
      </c>
      <c r="B492" s="3" t="s">
        <v>42</v>
      </c>
      <c r="C492" s="3" t="s">
        <v>23</v>
      </c>
      <c r="D492" s="3" t="s">
        <v>43</v>
      </c>
      <c r="E492" s="3" t="s">
        <v>25</v>
      </c>
      <c r="F492" s="3" t="s">
        <v>25</v>
      </c>
      <c r="G492" s="3" t="s">
        <v>25</v>
      </c>
      <c r="H492" s="3" t="s">
        <v>25</v>
      </c>
      <c r="I492" s="6">
        <v>44562</v>
      </c>
      <c r="J492" s="4">
        <v>0</v>
      </c>
      <c r="K492" s="4">
        <v>0</v>
      </c>
      <c r="L492" s="4">
        <v>2106.8679999999999</v>
      </c>
      <c r="M492" s="4">
        <v>2106.8679999999999</v>
      </c>
      <c r="N492" s="4">
        <v>2106.8679999999999</v>
      </c>
      <c r="O492" s="4">
        <v>2106.8679999999999</v>
      </c>
      <c r="P492" s="4">
        <v>4514</v>
      </c>
      <c r="Q492" s="3" t="s">
        <v>26</v>
      </c>
      <c r="R492" s="3">
        <v>0</v>
      </c>
      <c r="S492" s="4">
        <v>0</v>
      </c>
      <c r="T492" s="4">
        <v>32</v>
      </c>
      <c r="U492" s="4">
        <v>72</v>
      </c>
      <c r="V492" s="4">
        <f>IF(ISERROR(VLOOKUP($S$492,'TAR FIN'!$A$1:$O$91,15,0)),0,VLOOKUP($S$492,'TAR FIN'!$A$1:$O$91,15,0))</f>
        <v>0</v>
      </c>
      <c r="W492" s="4">
        <f>IF(ISERROR(VLOOKUP($T$492,'TAR FIN'!$A$1:$O$91,15,0)),0,VLOOKUP($T$492,'TAR FIN'!$A$1:$O$91,15,0))</f>
        <v>357.74</v>
      </c>
      <c r="X492" s="4">
        <f>IF(ISERROR(VLOOKUP($U$492,'TAR FIN'!$A$1:$O$91,15,0)),0,VLOOKUP($U$492,'TAR FIN'!$A$1:$O$91,15,0))</f>
        <v>175.15</v>
      </c>
      <c r="Y492" s="4"/>
      <c r="Z492" s="4">
        <f ca="1">('TUSD BE'!$AM$36+'TUSD BF'!$AM$36+'TUSD CVA'!$AM$36)*(1-CUSTOS!$M$38)</f>
        <v>419.26134561460873</v>
      </c>
      <c r="AA492" s="4">
        <f>('TE BE'!$AB$27+'TE BF'!$AB$27+'TE CVA'!$AB$27)*(1-CUSTOS!$M$38)</f>
        <v>193.19190075421278</v>
      </c>
      <c r="AB492" s="4">
        <f>$K$492*$V$492</f>
        <v>0</v>
      </c>
      <c r="AC492" s="4">
        <f>$M$492*$W$492</f>
        <v>753710.95831999998</v>
      </c>
      <c r="AD492" s="4">
        <f>$O$492*$X$492</f>
        <v>369017.9302</v>
      </c>
      <c r="AE492" s="4">
        <f>$K$492*$Y$492</f>
        <v>0</v>
      </c>
      <c r="AF492" s="4">
        <f ca="1">$M$492*$Z$492</f>
        <v>883328.31271235947</v>
      </c>
      <c r="AG492" s="4">
        <f>$O$492*$AA$492</f>
        <v>407029.83355822676</v>
      </c>
    </row>
    <row r="493" spans="1:33" ht="11.25" customHeight="1" x14ac:dyDescent="0.3">
      <c r="A493" s="3" t="s">
        <v>27</v>
      </c>
      <c r="B493" s="3" t="s">
        <v>42</v>
      </c>
      <c r="C493" s="3" t="s">
        <v>23</v>
      </c>
      <c r="D493" s="3" t="s">
        <v>43</v>
      </c>
      <c r="E493" s="3" t="s">
        <v>25</v>
      </c>
      <c r="F493" s="3" t="s">
        <v>25</v>
      </c>
      <c r="G493" s="3" t="s">
        <v>25</v>
      </c>
      <c r="H493" s="3" t="s">
        <v>25</v>
      </c>
      <c r="I493" s="6">
        <v>44562</v>
      </c>
      <c r="J493" s="4">
        <v>0</v>
      </c>
      <c r="K493" s="4">
        <v>0</v>
      </c>
      <c r="L493" s="4">
        <v>1.38</v>
      </c>
      <c r="M493" s="4">
        <v>1.38</v>
      </c>
      <c r="N493" s="4">
        <v>1.38</v>
      </c>
      <c r="O493" s="4">
        <v>1.38</v>
      </c>
      <c r="P493" s="4">
        <v>0</v>
      </c>
      <c r="Q493" s="3" t="s">
        <v>26</v>
      </c>
      <c r="R493" s="3">
        <v>0</v>
      </c>
      <c r="S493" s="4">
        <v>0</v>
      </c>
      <c r="T493" s="4">
        <v>32</v>
      </c>
      <c r="U493" s="4">
        <v>72</v>
      </c>
      <c r="V493" s="4">
        <f>IF(ISERROR(VLOOKUP($S$493,'TAR FIN'!$A$1:$O$91,15,0)),0,VLOOKUP($S$493,'TAR FIN'!$A$1:$O$91,15,0))</f>
        <v>0</v>
      </c>
      <c r="W493" s="4">
        <f>IF(ISERROR(VLOOKUP($T$493,'TAR FIN'!$A$1:$O$91,15,0)),0,VLOOKUP($T$493,'TAR FIN'!$A$1:$O$91,15,0))</f>
        <v>357.74</v>
      </c>
      <c r="X493" s="4">
        <f>IF(ISERROR(VLOOKUP($U$493,'TAR FIN'!$A$1:$O$91,15,0)),0,VLOOKUP($U$493,'TAR FIN'!$A$1:$O$91,15,0))</f>
        <v>175.15</v>
      </c>
      <c r="Y493" s="4"/>
      <c r="Z493" s="4">
        <f ca="1">('TUSD BE'!$AM$36+'TUSD BF'!$AM$36+'TUSD CVA'!$AM$36)*(1-CUSTOS!$M$38)</f>
        <v>419.26134561460873</v>
      </c>
      <c r="AA493" s="4">
        <f>('TE BE'!$AB$27+'TE BF'!$AB$27+'TE CVA'!$AB$27)*(1-CUSTOS!$M$38)</f>
        <v>193.19190075421278</v>
      </c>
      <c r="AB493" s="4">
        <f>$K$493*$V$493</f>
        <v>0</v>
      </c>
      <c r="AC493" s="4">
        <f>$M$493*$W$493</f>
        <v>493.68119999999999</v>
      </c>
      <c r="AD493" s="4">
        <f>$O$493*$X$493</f>
        <v>241.70699999999999</v>
      </c>
      <c r="AE493" s="4">
        <f>$K$493*$Y$493</f>
        <v>0</v>
      </c>
      <c r="AF493" s="4">
        <f ca="1">$M$493*$Z$493</f>
        <v>578.58065694816003</v>
      </c>
      <c r="AG493" s="4">
        <f>$O$493*$AA$493</f>
        <v>266.60482304081364</v>
      </c>
    </row>
    <row r="494" spans="1:33" ht="11.25" customHeight="1" x14ac:dyDescent="0.3">
      <c r="A494" s="3" t="s">
        <v>28</v>
      </c>
      <c r="B494" s="3" t="s">
        <v>42</v>
      </c>
      <c r="C494" s="3" t="s">
        <v>23</v>
      </c>
      <c r="D494" s="3" t="s">
        <v>43</v>
      </c>
      <c r="E494" s="3" t="s">
        <v>25</v>
      </c>
      <c r="F494" s="3" t="s">
        <v>25</v>
      </c>
      <c r="G494" s="3" t="s">
        <v>25</v>
      </c>
      <c r="H494" s="3" t="s">
        <v>25</v>
      </c>
      <c r="I494" s="6">
        <v>44562</v>
      </c>
      <c r="J494" s="4">
        <v>0</v>
      </c>
      <c r="K494" s="4">
        <v>0</v>
      </c>
      <c r="L494" s="4">
        <v>26.847999999999999</v>
      </c>
      <c r="M494" s="4">
        <v>26.847999999999999</v>
      </c>
      <c r="N494" s="4">
        <v>26.847999999999999</v>
      </c>
      <c r="O494" s="4">
        <v>26.847999999999999</v>
      </c>
      <c r="P494" s="4">
        <v>50</v>
      </c>
      <c r="Q494" s="3" t="s">
        <v>26</v>
      </c>
      <c r="R494" s="3">
        <v>0</v>
      </c>
      <c r="S494" s="4">
        <v>0</v>
      </c>
      <c r="T494" s="4">
        <v>32</v>
      </c>
      <c r="U494" s="4">
        <v>72</v>
      </c>
      <c r="V494" s="4">
        <f>IF(ISERROR(VLOOKUP($S$494,'TAR FIN'!$A$1:$O$91,15,0)),0,VLOOKUP($S$494,'TAR FIN'!$A$1:$O$91,15,0))</f>
        <v>0</v>
      </c>
      <c r="W494" s="4">
        <f>IF(ISERROR(VLOOKUP($T$494,'TAR FIN'!$A$1:$O$91,15,0)),0,VLOOKUP($T$494,'TAR FIN'!$A$1:$O$91,15,0))</f>
        <v>357.74</v>
      </c>
      <c r="X494" s="4">
        <f>IF(ISERROR(VLOOKUP($U$494,'TAR FIN'!$A$1:$O$91,15,0)),0,VLOOKUP($U$494,'TAR FIN'!$A$1:$O$91,15,0))</f>
        <v>175.15</v>
      </c>
      <c r="Y494" s="4"/>
      <c r="Z494" s="4">
        <f ca="1">('TUSD BE'!$AM$36+'TUSD BF'!$AM$36+'TUSD CVA'!$AM$36)*(1-CUSTOS!$M$38)</f>
        <v>419.26134561460873</v>
      </c>
      <c r="AA494" s="4">
        <f>('TE BE'!$AB$27+'TE BF'!$AB$27+'TE CVA'!$AB$27)*(1-CUSTOS!$M$38)</f>
        <v>193.19190075421278</v>
      </c>
      <c r="AB494" s="4">
        <f>$K$494*$V$494</f>
        <v>0</v>
      </c>
      <c r="AC494" s="4">
        <f>$M$494*$W$494</f>
        <v>9604.6035200000006</v>
      </c>
      <c r="AD494" s="4">
        <f>$O$494*$X$494</f>
        <v>4702.4272000000001</v>
      </c>
      <c r="AE494" s="4">
        <f>$K$494*$Y$494</f>
        <v>0</v>
      </c>
      <c r="AF494" s="4">
        <f ca="1">$M$494*$Z$494</f>
        <v>11256.328607061014</v>
      </c>
      <c r="AG494" s="4">
        <f>$O$494*$AA$494</f>
        <v>5186.8161514491048</v>
      </c>
    </row>
    <row r="495" spans="1:33" ht="11.25" customHeight="1" x14ac:dyDescent="0.3">
      <c r="A495" s="3" t="s">
        <v>21</v>
      </c>
      <c r="B495" s="3" t="s">
        <v>42</v>
      </c>
      <c r="C495" s="3" t="s">
        <v>23</v>
      </c>
      <c r="D495" s="3" t="s">
        <v>43</v>
      </c>
      <c r="E495" s="3" t="s">
        <v>25</v>
      </c>
      <c r="F495" s="3" t="s">
        <v>25</v>
      </c>
      <c r="G495" s="3" t="s">
        <v>25</v>
      </c>
      <c r="H495" s="3" t="s">
        <v>25</v>
      </c>
      <c r="I495" s="6">
        <v>44593</v>
      </c>
      <c r="J495" s="4">
        <v>0</v>
      </c>
      <c r="K495" s="4">
        <v>0</v>
      </c>
      <c r="L495" s="4">
        <v>2103.116</v>
      </c>
      <c r="M495" s="4">
        <v>2103.116</v>
      </c>
      <c r="N495" s="4">
        <v>2103.116</v>
      </c>
      <c r="O495" s="4">
        <v>2103.116</v>
      </c>
      <c r="P495" s="4">
        <v>4485</v>
      </c>
      <c r="Q495" s="3" t="s">
        <v>26</v>
      </c>
      <c r="R495" s="3">
        <v>0</v>
      </c>
      <c r="S495" s="4">
        <v>0</v>
      </c>
      <c r="T495" s="4">
        <v>32</v>
      </c>
      <c r="U495" s="4">
        <v>72</v>
      </c>
      <c r="V495" s="4">
        <f>IF(ISERROR(VLOOKUP($S$495,'TAR FIN'!$A$1:$O$91,15,0)),0,VLOOKUP($S$495,'TAR FIN'!$A$1:$O$91,15,0))</f>
        <v>0</v>
      </c>
      <c r="W495" s="4">
        <f>IF(ISERROR(VLOOKUP($T$495,'TAR FIN'!$A$1:$O$91,15,0)),0,VLOOKUP($T$495,'TAR FIN'!$A$1:$O$91,15,0))</f>
        <v>357.74</v>
      </c>
      <c r="X495" s="4">
        <f>IF(ISERROR(VLOOKUP($U$495,'TAR FIN'!$A$1:$O$91,15,0)),0,VLOOKUP($U$495,'TAR FIN'!$A$1:$O$91,15,0))</f>
        <v>175.15</v>
      </c>
      <c r="Y495" s="4"/>
      <c r="Z495" s="4">
        <f ca="1">('TUSD BE'!$AM$36+'TUSD BF'!$AM$36+'TUSD CVA'!$AM$36)*(1-CUSTOS!$M$38)</f>
        <v>419.26134561460873</v>
      </c>
      <c r="AA495" s="4">
        <f>('TE BE'!$AB$27+'TE BF'!$AB$27+'TE CVA'!$AB$27)*(1-CUSTOS!$M$38)</f>
        <v>193.19190075421278</v>
      </c>
      <c r="AB495" s="4">
        <f>$K$495*$V$495</f>
        <v>0</v>
      </c>
      <c r="AC495" s="4">
        <f>$M$495*$W$495</f>
        <v>752368.71784000006</v>
      </c>
      <c r="AD495" s="4">
        <f>$O$495*$X$495</f>
        <v>368360.76740000001</v>
      </c>
      <c r="AE495" s="4">
        <f>$K$495*$Y$495</f>
        <v>0</v>
      </c>
      <c r="AF495" s="4">
        <f ca="1">$M$495*$Z$495</f>
        <v>881755.2441436135</v>
      </c>
      <c r="AG495" s="4">
        <f>$O$495*$AA$495</f>
        <v>406304.97754659696</v>
      </c>
    </row>
    <row r="496" spans="1:33" ht="11.25" customHeight="1" x14ac:dyDescent="0.3">
      <c r="A496" s="3" t="s">
        <v>27</v>
      </c>
      <c r="B496" s="3" t="s">
        <v>42</v>
      </c>
      <c r="C496" s="3" t="s">
        <v>23</v>
      </c>
      <c r="D496" s="3" t="s">
        <v>43</v>
      </c>
      <c r="E496" s="3" t="s">
        <v>25</v>
      </c>
      <c r="F496" s="3" t="s">
        <v>25</v>
      </c>
      <c r="G496" s="3" t="s">
        <v>25</v>
      </c>
      <c r="H496" s="3" t="s">
        <v>25</v>
      </c>
      <c r="I496" s="6">
        <v>44593</v>
      </c>
      <c r="J496" s="4">
        <v>0</v>
      </c>
      <c r="K496" s="4">
        <v>0</v>
      </c>
      <c r="L496" s="4">
        <v>15.670999999999999</v>
      </c>
      <c r="M496" s="4">
        <v>15.670999999999999</v>
      </c>
      <c r="N496" s="4">
        <v>15.670999999999999</v>
      </c>
      <c r="O496" s="4">
        <v>15.670999999999999</v>
      </c>
      <c r="P496" s="4">
        <v>0</v>
      </c>
      <c r="Q496" s="3" t="s">
        <v>26</v>
      </c>
      <c r="R496" s="3">
        <v>0</v>
      </c>
      <c r="S496" s="4">
        <v>0</v>
      </c>
      <c r="T496" s="4">
        <v>32</v>
      </c>
      <c r="U496" s="4">
        <v>72</v>
      </c>
      <c r="V496" s="4">
        <f>IF(ISERROR(VLOOKUP($S$496,'TAR FIN'!$A$1:$O$91,15,0)),0,VLOOKUP($S$496,'TAR FIN'!$A$1:$O$91,15,0))</f>
        <v>0</v>
      </c>
      <c r="W496" s="4">
        <f>IF(ISERROR(VLOOKUP($T$496,'TAR FIN'!$A$1:$O$91,15,0)),0,VLOOKUP($T$496,'TAR FIN'!$A$1:$O$91,15,0))</f>
        <v>357.74</v>
      </c>
      <c r="X496" s="4">
        <f>IF(ISERROR(VLOOKUP($U$496,'TAR FIN'!$A$1:$O$91,15,0)),0,VLOOKUP($U$496,'TAR FIN'!$A$1:$O$91,15,0))</f>
        <v>175.15</v>
      </c>
      <c r="Y496" s="4"/>
      <c r="Z496" s="4">
        <f ca="1">('TUSD BE'!$AM$36+'TUSD BF'!$AM$36+'TUSD CVA'!$AM$36)*(1-CUSTOS!$M$38)</f>
        <v>419.26134561460873</v>
      </c>
      <c r="AA496" s="4">
        <f>('TE BE'!$AB$27+'TE BF'!$AB$27+'TE CVA'!$AB$27)*(1-CUSTOS!$M$38)</f>
        <v>193.19190075421278</v>
      </c>
      <c r="AB496" s="4">
        <f>$K$496*$V$496</f>
        <v>0</v>
      </c>
      <c r="AC496" s="4">
        <f>$M$496*$W$496</f>
        <v>5606.14354</v>
      </c>
      <c r="AD496" s="4">
        <f>$O$496*$X$496</f>
        <v>2744.77565</v>
      </c>
      <c r="AE496" s="4">
        <f>$K$496*$Y$496</f>
        <v>0</v>
      </c>
      <c r="AF496" s="4">
        <f ca="1">$M$496*$Z$496</f>
        <v>6570.2445471265328</v>
      </c>
      <c r="AG496" s="4">
        <f>$O$496*$AA$496</f>
        <v>3027.5102767192684</v>
      </c>
    </row>
    <row r="497" spans="1:33" ht="11.25" customHeight="1" x14ac:dyDescent="0.3">
      <c r="A497" s="3" t="s">
        <v>28</v>
      </c>
      <c r="B497" s="3" t="s">
        <v>42</v>
      </c>
      <c r="C497" s="3" t="s">
        <v>23</v>
      </c>
      <c r="D497" s="3" t="s">
        <v>43</v>
      </c>
      <c r="E497" s="3" t="s">
        <v>25</v>
      </c>
      <c r="F497" s="3" t="s">
        <v>25</v>
      </c>
      <c r="G497" s="3" t="s">
        <v>25</v>
      </c>
      <c r="H497" s="3" t="s">
        <v>25</v>
      </c>
      <c r="I497" s="6">
        <v>44593</v>
      </c>
      <c r="J497" s="4">
        <v>0</v>
      </c>
      <c r="K497" s="4">
        <v>0</v>
      </c>
      <c r="L497" s="4">
        <v>17.902999999999999</v>
      </c>
      <c r="M497" s="4">
        <v>17.902999999999999</v>
      </c>
      <c r="N497" s="4">
        <v>17.902999999999999</v>
      </c>
      <c r="O497" s="4">
        <v>17.902999999999999</v>
      </c>
      <c r="P497" s="4">
        <v>50</v>
      </c>
      <c r="Q497" s="3" t="s">
        <v>26</v>
      </c>
      <c r="R497" s="3">
        <v>0</v>
      </c>
      <c r="S497" s="4">
        <v>0</v>
      </c>
      <c r="T497" s="4">
        <v>32</v>
      </c>
      <c r="U497" s="4">
        <v>72</v>
      </c>
      <c r="V497" s="4">
        <f>IF(ISERROR(VLOOKUP($S$497,'TAR FIN'!$A$1:$O$91,15,0)),0,VLOOKUP($S$497,'TAR FIN'!$A$1:$O$91,15,0))</f>
        <v>0</v>
      </c>
      <c r="W497" s="4">
        <f>IF(ISERROR(VLOOKUP($T$497,'TAR FIN'!$A$1:$O$91,15,0)),0,VLOOKUP($T$497,'TAR FIN'!$A$1:$O$91,15,0))</f>
        <v>357.74</v>
      </c>
      <c r="X497" s="4">
        <f>IF(ISERROR(VLOOKUP($U$497,'TAR FIN'!$A$1:$O$91,15,0)),0,VLOOKUP($U$497,'TAR FIN'!$A$1:$O$91,15,0))</f>
        <v>175.15</v>
      </c>
      <c r="Y497" s="4"/>
      <c r="Z497" s="4">
        <f ca="1">('TUSD BE'!$AM$36+'TUSD BF'!$AM$36+'TUSD CVA'!$AM$36)*(1-CUSTOS!$M$38)</f>
        <v>419.26134561460873</v>
      </c>
      <c r="AA497" s="4">
        <f>('TE BE'!$AB$27+'TE BF'!$AB$27+'TE CVA'!$AB$27)*(1-CUSTOS!$M$38)</f>
        <v>193.19190075421278</v>
      </c>
      <c r="AB497" s="4">
        <f>$K$497*$V$497</f>
        <v>0</v>
      </c>
      <c r="AC497" s="4">
        <f>$M$497*$W$497</f>
        <v>6404.6192199999996</v>
      </c>
      <c r="AD497" s="4">
        <f>$O$497*$X$497</f>
        <v>3135.71045</v>
      </c>
      <c r="AE497" s="4">
        <f>$K$497*$Y$497</f>
        <v>0</v>
      </c>
      <c r="AF497" s="4">
        <f ca="1">$M$497*$Z$497</f>
        <v>7506.0358705383396</v>
      </c>
      <c r="AG497" s="4">
        <f>$O$497*$AA$497</f>
        <v>3458.7145992026713</v>
      </c>
    </row>
    <row r="498" spans="1:33" ht="11.25" customHeight="1" x14ac:dyDescent="0.3">
      <c r="A498" s="3" t="s">
        <v>21</v>
      </c>
      <c r="B498" s="3" t="s">
        <v>42</v>
      </c>
      <c r="C498" s="3" t="s">
        <v>23</v>
      </c>
      <c r="D498" s="3" t="s">
        <v>43</v>
      </c>
      <c r="E498" s="3" t="s">
        <v>25</v>
      </c>
      <c r="F498" s="3" t="s">
        <v>25</v>
      </c>
      <c r="G498" s="3" t="s">
        <v>25</v>
      </c>
      <c r="H498" s="3" t="s">
        <v>25</v>
      </c>
      <c r="I498" s="6">
        <v>44621</v>
      </c>
      <c r="J498" s="4">
        <v>0</v>
      </c>
      <c r="K498" s="4">
        <v>0</v>
      </c>
      <c r="L498" s="4">
        <v>1813.027</v>
      </c>
      <c r="M498" s="4">
        <v>1813.027</v>
      </c>
      <c r="N498" s="4">
        <v>1813.027</v>
      </c>
      <c r="O498" s="4">
        <v>1813.027</v>
      </c>
      <c r="P498" s="4">
        <v>4493</v>
      </c>
      <c r="Q498" s="3" t="s">
        <v>26</v>
      </c>
      <c r="R498" s="3">
        <v>0</v>
      </c>
      <c r="S498" s="4">
        <v>0</v>
      </c>
      <c r="T498" s="4">
        <v>32</v>
      </c>
      <c r="U498" s="4">
        <v>72</v>
      </c>
      <c r="V498" s="4">
        <f>IF(ISERROR(VLOOKUP($S$498,'TAR FIN'!$A$1:$O$91,15,0)),0,VLOOKUP($S$498,'TAR FIN'!$A$1:$O$91,15,0))</f>
        <v>0</v>
      </c>
      <c r="W498" s="4">
        <f>IF(ISERROR(VLOOKUP($T$498,'TAR FIN'!$A$1:$O$91,15,0)),0,VLOOKUP($T$498,'TAR FIN'!$A$1:$O$91,15,0))</f>
        <v>357.74</v>
      </c>
      <c r="X498" s="4">
        <f>IF(ISERROR(VLOOKUP($U$498,'TAR FIN'!$A$1:$O$91,15,0)),0,VLOOKUP($U$498,'TAR FIN'!$A$1:$O$91,15,0))</f>
        <v>175.15</v>
      </c>
      <c r="Y498" s="4"/>
      <c r="Z498" s="4">
        <f ca="1">('TUSD BE'!$AM$36+'TUSD BF'!$AM$36+'TUSD CVA'!$AM$36)*(1-CUSTOS!$M$38)</f>
        <v>419.26134561460873</v>
      </c>
      <c r="AA498" s="4">
        <f>('TE BE'!$AB$27+'TE BF'!$AB$27+'TE CVA'!$AB$27)*(1-CUSTOS!$M$38)</f>
        <v>193.19190075421278</v>
      </c>
      <c r="AB498" s="4">
        <f>$K$498*$V$498</f>
        <v>0</v>
      </c>
      <c r="AC498" s="4">
        <f>$M$498*$W$498</f>
        <v>648592.27898000006</v>
      </c>
      <c r="AD498" s="4">
        <f>$O$498*$X$498</f>
        <v>317551.67905000004</v>
      </c>
      <c r="AE498" s="4">
        <f>$K$498*$Y$498</f>
        <v>0</v>
      </c>
      <c r="AF498" s="4">
        <f ca="1">$M$498*$Z$498</f>
        <v>760132.13965561718</v>
      </c>
      <c r="AG498" s="4">
        <f>$O$498*$AA$498</f>
        <v>350262.13224870816</v>
      </c>
    </row>
    <row r="499" spans="1:33" ht="11.25" customHeight="1" x14ac:dyDescent="0.3">
      <c r="A499" s="3" t="s">
        <v>27</v>
      </c>
      <c r="B499" s="3" t="s">
        <v>42</v>
      </c>
      <c r="C499" s="3" t="s">
        <v>23</v>
      </c>
      <c r="D499" s="3" t="s">
        <v>43</v>
      </c>
      <c r="E499" s="3" t="s">
        <v>25</v>
      </c>
      <c r="F499" s="3" t="s">
        <v>25</v>
      </c>
      <c r="G499" s="3" t="s">
        <v>25</v>
      </c>
      <c r="H499" s="3" t="s">
        <v>25</v>
      </c>
      <c r="I499" s="6">
        <v>44621</v>
      </c>
      <c r="J499" s="4">
        <v>0</v>
      </c>
      <c r="K499" s="4">
        <v>0</v>
      </c>
      <c r="L499" s="4">
        <v>1.29</v>
      </c>
      <c r="M499" s="4">
        <v>1.29</v>
      </c>
      <c r="N499" s="4">
        <v>1.29</v>
      </c>
      <c r="O499" s="4">
        <v>1.29</v>
      </c>
      <c r="P499" s="4">
        <v>0</v>
      </c>
      <c r="Q499" s="3" t="s">
        <v>26</v>
      </c>
      <c r="R499" s="3">
        <v>0</v>
      </c>
      <c r="S499" s="4">
        <v>0</v>
      </c>
      <c r="T499" s="4">
        <v>32</v>
      </c>
      <c r="U499" s="4">
        <v>72</v>
      </c>
      <c r="V499" s="4">
        <f>IF(ISERROR(VLOOKUP($S$499,'TAR FIN'!$A$1:$O$91,15,0)),0,VLOOKUP($S$499,'TAR FIN'!$A$1:$O$91,15,0))</f>
        <v>0</v>
      </c>
      <c r="W499" s="4">
        <f>IF(ISERROR(VLOOKUP($T$499,'TAR FIN'!$A$1:$O$91,15,0)),0,VLOOKUP($T$499,'TAR FIN'!$A$1:$O$91,15,0))</f>
        <v>357.74</v>
      </c>
      <c r="X499" s="4">
        <f>IF(ISERROR(VLOOKUP($U$499,'TAR FIN'!$A$1:$O$91,15,0)),0,VLOOKUP($U$499,'TAR FIN'!$A$1:$O$91,15,0))</f>
        <v>175.15</v>
      </c>
      <c r="Y499" s="4"/>
      <c r="Z499" s="4">
        <f ca="1">('TUSD BE'!$AM$36+'TUSD BF'!$AM$36+'TUSD CVA'!$AM$36)*(1-CUSTOS!$M$38)</f>
        <v>419.26134561460873</v>
      </c>
      <c r="AA499" s="4">
        <f>('TE BE'!$AB$27+'TE BF'!$AB$27+'TE CVA'!$AB$27)*(1-CUSTOS!$M$38)</f>
        <v>193.19190075421278</v>
      </c>
      <c r="AB499" s="4">
        <f>$K$499*$V$499</f>
        <v>0</v>
      </c>
      <c r="AC499" s="4">
        <f>$M$499*$W$499</f>
        <v>461.4846</v>
      </c>
      <c r="AD499" s="4">
        <f>$O$499*$X$499</f>
        <v>225.9435</v>
      </c>
      <c r="AE499" s="4">
        <f>$K$499*$Y$499</f>
        <v>0</v>
      </c>
      <c r="AF499" s="4">
        <f ca="1">$M$499*$Z$499</f>
        <v>540.84713584284532</v>
      </c>
      <c r="AG499" s="4">
        <f>$O$499*$AA$499</f>
        <v>249.2175519729345</v>
      </c>
    </row>
    <row r="500" spans="1:33" ht="11.25" customHeight="1" x14ac:dyDescent="0.3">
      <c r="A500" s="3" t="s">
        <v>28</v>
      </c>
      <c r="B500" s="3" t="s">
        <v>42</v>
      </c>
      <c r="C500" s="3" t="s">
        <v>23</v>
      </c>
      <c r="D500" s="3" t="s">
        <v>43</v>
      </c>
      <c r="E500" s="3" t="s">
        <v>25</v>
      </c>
      <c r="F500" s="3" t="s">
        <v>25</v>
      </c>
      <c r="G500" s="3" t="s">
        <v>25</v>
      </c>
      <c r="H500" s="3" t="s">
        <v>25</v>
      </c>
      <c r="I500" s="6">
        <v>44621</v>
      </c>
      <c r="J500" s="4">
        <v>0</v>
      </c>
      <c r="K500" s="4">
        <v>0</v>
      </c>
      <c r="L500" s="4">
        <v>34.594000000000001</v>
      </c>
      <c r="M500" s="4">
        <v>34.594000000000001</v>
      </c>
      <c r="N500" s="4">
        <v>34.594000000000001</v>
      </c>
      <c r="O500" s="4">
        <v>34.594000000000001</v>
      </c>
      <c r="P500" s="4">
        <v>45</v>
      </c>
      <c r="Q500" s="3" t="s">
        <v>26</v>
      </c>
      <c r="R500" s="3">
        <v>0</v>
      </c>
      <c r="S500" s="4">
        <v>0</v>
      </c>
      <c r="T500" s="4">
        <v>32</v>
      </c>
      <c r="U500" s="4">
        <v>72</v>
      </c>
      <c r="V500" s="4">
        <f>IF(ISERROR(VLOOKUP($S$500,'TAR FIN'!$A$1:$O$91,15,0)),0,VLOOKUP($S$500,'TAR FIN'!$A$1:$O$91,15,0))</f>
        <v>0</v>
      </c>
      <c r="W500" s="4">
        <f>IF(ISERROR(VLOOKUP($T$500,'TAR FIN'!$A$1:$O$91,15,0)),0,VLOOKUP($T$500,'TAR FIN'!$A$1:$O$91,15,0))</f>
        <v>357.74</v>
      </c>
      <c r="X500" s="4">
        <f>IF(ISERROR(VLOOKUP($U$500,'TAR FIN'!$A$1:$O$91,15,0)),0,VLOOKUP($U$500,'TAR FIN'!$A$1:$O$91,15,0))</f>
        <v>175.15</v>
      </c>
      <c r="Y500" s="4"/>
      <c r="Z500" s="4">
        <f ca="1">('TUSD BE'!$AM$36+'TUSD BF'!$AM$36+'TUSD CVA'!$AM$36)*(1-CUSTOS!$M$38)</f>
        <v>419.26134561460873</v>
      </c>
      <c r="AA500" s="4">
        <f>('TE BE'!$AB$27+'TE BF'!$AB$27+'TE CVA'!$AB$27)*(1-CUSTOS!$M$38)</f>
        <v>193.19190075421278</v>
      </c>
      <c r="AB500" s="4">
        <f>$K$500*$V$500</f>
        <v>0</v>
      </c>
      <c r="AC500" s="4">
        <f>$M$500*$W$500</f>
        <v>12375.657560000001</v>
      </c>
      <c r="AD500" s="4">
        <f>$O$500*$X$500</f>
        <v>6059.1391000000003</v>
      </c>
      <c r="AE500" s="4">
        <f>$K$500*$Y$500</f>
        <v>0</v>
      </c>
      <c r="AF500" s="4">
        <f ca="1">$M$500*$Z$500</f>
        <v>14503.926990191774</v>
      </c>
      <c r="AG500" s="4">
        <f>$O$500*$AA$500</f>
        <v>6683.2806146912371</v>
      </c>
    </row>
    <row r="501" spans="1:33" ht="11.25" customHeight="1" x14ac:dyDescent="0.3">
      <c r="A501" s="3" t="s">
        <v>21</v>
      </c>
      <c r="B501" s="3" t="s">
        <v>42</v>
      </c>
      <c r="C501" s="3" t="s">
        <v>23</v>
      </c>
      <c r="D501" s="3" t="s">
        <v>43</v>
      </c>
      <c r="E501" s="3" t="s">
        <v>25</v>
      </c>
      <c r="F501" s="3" t="s">
        <v>25</v>
      </c>
      <c r="G501" s="3" t="s">
        <v>25</v>
      </c>
      <c r="H501" s="3" t="s">
        <v>25</v>
      </c>
      <c r="I501" s="6">
        <v>44652</v>
      </c>
      <c r="J501" s="4">
        <v>0</v>
      </c>
      <c r="K501" s="4">
        <v>0</v>
      </c>
      <c r="L501" s="4">
        <v>1764.9369999999999</v>
      </c>
      <c r="M501" s="4">
        <v>1764.9369999999999</v>
      </c>
      <c r="N501" s="4">
        <v>1764.9369999999999</v>
      </c>
      <c r="O501" s="4">
        <v>1764.9369999999999</v>
      </c>
      <c r="P501" s="4">
        <v>4502</v>
      </c>
      <c r="Q501" s="3" t="s">
        <v>26</v>
      </c>
      <c r="R501" s="3">
        <v>0</v>
      </c>
      <c r="S501" s="4">
        <v>0</v>
      </c>
      <c r="T501" s="4">
        <v>32</v>
      </c>
      <c r="U501" s="4">
        <v>72</v>
      </c>
      <c r="V501" s="4">
        <f>IF(ISERROR(VLOOKUP($S$501,'TAR FIN'!$A$1:$O$91,15,0)),0,VLOOKUP($S$501,'TAR FIN'!$A$1:$O$91,15,0))</f>
        <v>0</v>
      </c>
      <c r="W501" s="4">
        <f>IF(ISERROR(VLOOKUP($T$501,'TAR FIN'!$A$1:$O$91,15,0)),0,VLOOKUP($T$501,'TAR FIN'!$A$1:$O$91,15,0))</f>
        <v>357.74</v>
      </c>
      <c r="X501" s="4">
        <f>IF(ISERROR(VLOOKUP($U$501,'TAR FIN'!$A$1:$O$91,15,0)),0,VLOOKUP($U$501,'TAR FIN'!$A$1:$O$91,15,0))</f>
        <v>175.15</v>
      </c>
      <c r="Y501" s="4"/>
      <c r="Z501" s="4">
        <f ca="1">('TUSD BE'!$AM$36+'TUSD BF'!$AM$36+'TUSD CVA'!$AM$36)*(1-CUSTOS!$M$38)</f>
        <v>419.26134561460873</v>
      </c>
      <c r="AA501" s="4">
        <f>('TE BE'!$AB$27+'TE BF'!$AB$27+'TE CVA'!$AB$27)*(1-CUSTOS!$M$38)</f>
        <v>193.19190075421278</v>
      </c>
      <c r="AB501" s="4">
        <f>$K$501*$V$501</f>
        <v>0</v>
      </c>
      <c r="AC501" s="4">
        <f>$M$501*$W$501</f>
        <v>631388.56238000002</v>
      </c>
      <c r="AD501" s="4">
        <f>$O$501*$X$501</f>
        <v>309128.71554999996</v>
      </c>
      <c r="AE501" s="4">
        <f>$K$501*$Y$501</f>
        <v>0</v>
      </c>
      <c r="AF501" s="4">
        <f ca="1">$M$501*$Z$501</f>
        <v>739969.86154501059</v>
      </c>
      <c r="AG501" s="4">
        <f>$O$501*$AA$501</f>
        <v>340971.533741438</v>
      </c>
    </row>
    <row r="502" spans="1:33" ht="11.25" customHeight="1" x14ac:dyDescent="0.3">
      <c r="A502" s="3" t="s">
        <v>27</v>
      </c>
      <c r="B502" s="3" t="s">
        <v>42</v>
      </c>
      <c r="C502" s="3" t="s">
        <v>23</v>
      </c>
      <c r="D502" s="3" t="s">
        <v>43</v>
      </c>
      <c r="E502" s="3" t="s">
        <v>25</v>
      </c>
      <c r="F502" s="3" t="s">
        <v>25</v>
      </c>
      <c r="G502" s="3" t="s">
        <v>25</v>
      </c>
      <c r="H502" s="3" t="s">
        <v>25</v>
      </c>
      <c r="I502" s="6">
        <v>44652</v>
      </c>
      <c r="J502" s="4">
        <v>0</v>
      </c>
      <c r="K502" s="4">
        <v>0</v>
      </c>
      <c r="L502" s="4">
        <v>-3.8220000000000001</v>
      </c>
      <c r="M502" s="4">
        <v>-3.8220000000000001</v>
      </c>
      <c r="N502" s="4">
        <v>-3.8220000000000001</v>
      </c>
      <c r="O502" s="4">
        <v>-3.8220000000000001</v>
      </c>
      <c r="P502" s="4">
        <v>0</v>
      </c>
      <c r="Q502" s="3" t="s">
        <v>26</v>
      </c>
      <c r="R502" s="3">
        <v>0</v>
      </c>
      <c r="S502" s="4">
        <v>0</v>
      </c>
      <c r="T502" s="4">
        <v>32</v>
      </c>
      <c r="U502" s="4">
        <v>72</v>
      </c>
      <c r="V502" s="4">
        <f>IF(ISERROR(VLOOKUP($S$502,'TAR FIN'!$A$1:$O$91,15,0)),0,VLOOKUP($S$502,'TAR FIN'!$A$1:$O$91,15,0))</f>
        <v>0</v>
      </c>
      <c r="W502" s="4">
        <f>IF(ISERROR(VLOOKUP($T$502,'TAR FIN'!$A$1:$O$91,15,0)),0,VLOOKUP($T$502,'TAR FIN'!$A$1:$O$91,15,0))</f>
        <v>357.74</v>
      </c>
      <c r="X502" s="4">
        <f>IF(ISERROR(VLOOKUP($U$502,'TAR FIN'!$A$1:$O$91,15,0)),0,VLOOKUP($U$502,'TAR FIN'!$A$1:$O$91,15,0))</f>
        <v>175.15</v>
      </c>
      <c r="Y502" s="4"/>
      <c r="Z502" s="4">
        <f ca="1">('TUSD BE'!$AM$36+'TUSD BF'!$AM$36+'TUSD CVA'!$AM$36)*(1-CUSTOS!$M$38)</f>
        <v>419.26134561460873</v>
      </c>
      <c r="AA502" s="4">
        <f>('TE BE'!$AB$27+'TE BF'!$AB$27+'TE CVA'!$AB$27)*(1-CUSTOS!$M$38)</f>
        <v>193.19190075421278</v>
      </c>
      <c r="AB502" s="4">
        <f>$K$502*$V$502</f>
        <v>0</v>
      </c>
      <c r="AC502" s="4">
        <f>$M$502*$W$502</f>
        <v>-1367.2822800000001</v>
      </c>
      <c r="AD502" s="4">
        <f>$O$502*$X$502</f>
        <v>-669.42330000000004</v>
      </c>
      <c r="AE502" s="4">
        <f>$K$502*$Y$502</f>
        <v>0</v>
      </c>
      <c r="AF502" s="4">
        <f ca="1">$M$502*$Z$502</f>
        <v>-1602.4168629390347</v>
      </c>
      <c r="AG502" s="4">
        <f>$O$502*$AA$502</f>
        <v>-738.37944468260127</v>
      </c>
    </row>
    <row r="503" spans="1:33" ht="11.25" customHeight="1" x14ac:dyDescent="0.3">
      <c r="A503" s="3" t="s">
        <v>28</v>
      </c>
      <c r="B503" s="3" t="s">
        <v>42</v>
      </c>
      <c r="C503" s="3" t="s">
        <v>23</v>
      </c>
      <c r="D503" s="3" t="s">
        <v>43</v>
      </c>
      <c r="E503" s="3" t="s">
        <v>25</v>
      </c>
      <c r="F503" s="3" t="s">
        <v>25</v>
      </c>
      <c r="G503" s="3" t="s">
        <v>25</v>
      </c>
      <c r="H503" s="3" t="s">
        <v>25</v>
      </c>
      <c r="I503" s="6">
        <v>44652</v>
      </c>
      <c r="J503" s="4">
        <v>0</v>
      </c>
      <c r="K503" s="4">
        <v>0</v>
      </c>
      <c r="L503" s="4">
        <v>25.048999999999999</v>
      </c>
      <c r="M503" s="4">
        <v>25.048999999999999</v>
      </c>
      <c r="N503" s="4">
        <v>25.048999999999999</v>
      </c>
      <c r="O503" s="4">
        <v>25.048999999999999</v>
      </c>
      <c r="P503" s="4">
        <v>40</v>
      </c>
      <c r="Q503" s="3" t="s">
        <v>26</v>
      </c>
      <c r="R503" s="3">
        <v>0</v>
      </c>
      <c r="S503" s="4">
        <v>0</v>
      </c>
      <c r="T503" s="4">
        <v>32</v>
      </c>
      <c r="U503" s="4">
        <v>72</v>
      </c>
      <c r="V503" s="4">
        <f>IF(ISERROR(VLOOKUP($S$503,'TAR FIN'!$A$1:$O$91,15,0)),0,VLOOKUP($S$503,'TAR FIN'!$A$1:$O$91,15,0))</f>
        <v>0</v>
      </c>
      <c r="W503" s="4">
        <f>IF(ISERROR(VLOOKUP($T$503,'TAR FIN'!$A$1:$O$91,15,0)),0,VLOOKUP($T$503,'TAR FIN'!$A$1:$O$91,15,0))</f>
        <v>357.74</v>
      </c>
      <c r="X503" s="4">
        <f>IF(ISERROR(VLOOKUP($U$503,'TAR FIN'!$A$1:$O$91,15,0)),0,VLOOKUP($U$503,'TAR FIN'!$A$1:$O$91,15,0))</f>
        <v>175.15</v>
      </c>
      <c r="Y503" s="4"/>
      <c r="Z503" s="4">
        <f ca="1">('TUSD BE'!$AM$36+'TUSD BF'!$AM$36+'TUSD CVA'!$AM$36)*(1-CUSTOS!$M$38)</f>
        <v>419.26134561460873</v>
      </c>
      <c r="AA503" s="4">
        <f>('TE BE'!$AB$27+'TE BF'!$AB$27+'TE CVA'!$AB$27)*(1-CUSTOS!$M$38)</f>
        <v>193.19190075421278</v>
      </c>
      <c r="AB503" s="4">
        <f>$K$503*$V$503</f>
        <v>0</v>
      </c>
      <c r="AC503" s="4">
        <f>$M$503*$W$503</f>
        <v>8961.0292599999993</v>
      </c>
      <c r="AD503" s="4">
        <f>$O$503*$X$503</f>
        <v>4387.3323499999997</v>
      </c>
      <c r="AE503" s="4">
        <f>$K$503*$Y$503</f>
        <v>0</v>
      </c>
      <c r="AF503" s="4">
        <f ca="1">$M$503*$Z$503</f>
        <v>10502.077446300334</v>
      </c>
      <c r="AG503" s="4">
        <f>$O$503*$AA$503</f>
        <v>4839.2639219922758</v>
      </c>
    </row>
    <row r="504" spans="1:33" ht="11.25" customHeight="1" x14ac:dyDescent="0.3">
      <c r="A504" s="3" t="s">
        <v>21</v>
      </c>
      <c r="B504" s="3" t="s">
        <v>42</v>
      </c>
      <c r="C504" s="3" t="s">
        <v>23</v>
      </c>
      <c r="D504" s="3" t="s">
        <v>43</v>
      </c>
      <c r="E504" s="3" t="s">
        <v>25</v>
      </c>
      <c r="F504" s="3" t="s">
        <v>25</v>
      </c>
      <c r="G504" s="3" t="s">
        <v>25</v>
      </c>
      <c r="H504" s="3" t="s">
        <v>25</v>
      </c>
      <c r="I504" s="6">
        <v>44682</v>
      </c>
      <c r="J504" s="4">
        <v>0</v>
      </c>
      <c r="K504" s="4">
        <v>0</v>
      </c>
      <c r="L504" s="4">
        <v>1466.04</v>
      </c>
      <c r="M504" s="4">
        <v>1466.04</v>
      </c>
      <c r="N504" s="4">
        <v>1466.04</v>
      </c>
      <c r="O504" s="4">
        <v>1466.04</v>
      </c>
      <c r="P504" s="4">
        <v>4505</v>
      </c>
      <c r="Q504" s="3" t="s">
        <v>26</v>
      </c>
      <c r="R504" s="3">
        <v>0</v>
      </c>
      <c r="S504" s="4">
        <v>0</v>
      </c>
      <c r="T504" s="4">
        <v>32</v>
      </c>
      <c r="U504" s="4">
        <v>72</v>
      </c>
      <c r="V504" s="4">
        <f>IF(ISERROR(VLOOKUP($S$504,'TAR FIN'!$A$1:$O$91,15,0)),0,VLOOKUP($S$504,'TAR FIN'!$A$1:$O$91,15,0))</f>
        <v>0</v>
      </c>
      <c r="W504" s="4">
        <f>IF(ISERROR(VLOOKUP($T$504,'TAR FIN'!$A$1:$O$91,15,0)),0,VLOOKUP($T$504,'TAR FIN'!$A$1:$O$91,15,0))</f>
        <v>357.74</v>
      </c>
      <c r="X504" s="4">
        <f>IF(ISERROR(VLOOKUP($U$504,'TAR FIN'!$A$1:$O$91,15,0)),0,VLOOKUP($U$504,'TAR FIN'!$A$1:$O$91,15,0))</f>
        <v>175.15</v>
      </c>
      <c r="Y504" s="4"/>
      <c r="Z504" s="4">
        <f ca="1">('TUSD BE'!$AM$36+'TUSD BF'!$AM$36+'TUSD CVA'!$AM$36)*(1-CUSTOS!$M$38)</f>
        <v>419.26134561460873</v>
      </c>
      <c r="AA504" s="4">
        <f>('TE BE'!$AB$27+'TE BF'!$AB$27+'TE CVA'!$AB$27)*(1-CUSTOS!$M$38)</f>
        <v>193.19190075421278</v>
      </c>
      <c r="AB504" s="4">
        <f>$K$504*$V$504</f>
        <v>0</v>
      </c>
      <c r="AC504" s="4">
        <f>$M$504*$W$504</f>
        <v>524461.1496</v>
      </c>
      <c r="AD504" s="4">
        <f>$O$504*$X$504</f>
        <v>256776.90599999999</v>
      </c>
      <c r="AE504" s="4">
        <f>$K$504*$Y$504</f>
        <v>0</v>
      </c>
      <c r="AF504" s="4">
        <f ca="1">$M$504*$Z$504</f>
        <v>614653.90312484093</v>
      </c>
      <c r="AG504" s="4">
        <f>$O$504*$AA$504</f>
        <v>283227.0541817061</v>
      </c>
    </row>
    <row r="505" spans="1:33" ht="11.25" customHeight="1" x14ac:dyDescent="0.3">
      <c r="A505" s="3" t="s">
        <v>27</v>
      </c>
      <c r="B505" s="3" t="s">
        <v>42</v>
      </c>
      <c r="C505" s="3" t="s">
        <v>23</v>
      </c>
      <c r="D505" s="3" t="s">
        <v>43</v>
      </c>
      <c r="E505" s="3" t="s">
        <v>25</v>
      </c>
      <c r="F505" s="3" t="s">
        <v>25</v>
      </c>
      <c r="G505" s="3" t="s">
        <v>25</v>
      </c>
      <c r="H505" s="3" t="s">
        <v>25</v>
      </c>
      <c r="I505" s="6">
        <v>44682</v>
      </c>
      <c r="J505" s="4">
        <v>0</v>
      </c>
      <c r="K505" s="4">
        <v>0</v>
      </c>
      <c r="L505" s="4">
        <v>0.58299999999999996</v>
      </c>
      <c r="M505" s="4">
        <v>0.58299999999999996</v>
      </c>
      <c r="N505" s="4">
        <v>0.58299999999999996</v>
      </c>
      <c r="O505" s="4">
        <v>0.58299999999999996</v>
      </c>
      <c r="P505" s="4">
        <v>0</v>
      </c>
      <c r="Q505" s="3" t="s">
        <v>26</v>
      </c>
      <c r="R505" s="3">
        <v>0</v>
      </c>
      <c r="S505" s="4">
        <v>0</v>
      </c>
      <c r="T505" s="4">
        <v>32</v>
      </c>
      <c r="U505" s="4">
        <v>72</v>
      </c>
      <c r="V505" s="4">
        <f>IF(ISERROR(VLOOKUP($S$505,'TAR FIN'!$A$1:$O$91,15,0)),0,VLOOKUP($S$505,'TAR FIN'!$A$1:$O$91,15,0))</f>
        <v>0</v>
      </c>
      <c r="W505" s="4">
        <f>IF(ISERROR(VLOOKUP($T$505,'TAR FIN'!$A$1:$O$91,15,0)),0,VLOOKUP($T$505,'TAR FIN'!$A$1:$O$91,15,0))</f>
        <v>357.74</v>
      </c>
      <c r="X505" s="4">
        <f>IF(ISERROR(VLOOKUP($U$505,'TAR FIN'!$A$1:$O$91,15,0)),0,VLOOKUP($U$505,'TAR FIN'!$A$1:$O$91,15,0))</f>
        <v>175.15</v>
      </c>
      <c r="Y505" s="4"/>
      <c r="Z505" s="4">
        <f ca="1">('TUSD BE'!$AM$36+'TUSD BF'!$AM$36+'TUSD CVA'!$AM$36)*(1-CUSTOS!$M$38)</f>
        <v>419.26134561460873</v>
      </c>
      <c r="AA505" s="4">
        <f>('TE BE'!$AB$27+'TE BF'!$AB$27+'TE CVA'!$AB$27)*(1-CUSTOS!$M$38)</f>
        <v>193.19190075421278</v>
      </c>
      <c r="AB505" s="4">
        <f>$K$505*$V$505</f>
        <v>0</v>
      </c>
      <c r="AC505" s="4">
        <f>$M$505*$W$505</f>
        <v>208.56242</v>
      </c>
      <c r="AD505" s="4">
        <f>$O$505*$X$505</f>
        <v>102.11245</v>
      </c>
      <c r="AE505" s="4">
        <f>$K$505*$Y$505</f>
        <v>0</v>
      </c>
      <c r="AF505" s="4">
        <f ca="1">$M$505*$Z$505</f>
        <v>244.42936449331688</v>
      </c>
      <c r="AG505" s="4">
        <f>$O$505*$AA$505</f>
        <v>112.63087813970604</v>
      </c>
    </row>
    <row r="506" spans="1:33" ht="11.25" customHeight="1" x14ac:dyDescent="0.3">
      <c r="A506" s="3" t="s">
        <v>28</v>
      </c>
      <c r="B506" s="3" t="s">
        <v>42</v>
      </c>
      <c r="C506" s="3" t="s">
        <v>23</v>
      </c>
      <c r="D506" s="3" t="s">
        <v>43</v>
      </c>
      <c r="E506" s="3" t="s">
        <v>25</v>
      </c>
      <c r="F506" s="3" t="s">
        <v>25</v>
      </c>
      <c r="G506" s="3" t="s">
        <v>25</v>
      </c>
      <c r="H506" s="3" t="s">
        <v>25</v>
      </c>
      <c r="I506" s="6">
        <v>44682</v>
      </c>
      <c r="J506" s="4">
        <v>0</v>
      </c>
      <c r="K506" s="4">
        <v>0</v>
      </c>
      <c r="L506" s="4">
        <v>14.222</v>
      </c>
      <c r="M506" s="4">
        <v>14.222</v>
      </c>
      <c r="N506" s="4">
        <v>14.222</v>
      </c>
      <c r="O506" s="4">
        <v>14.222</v>
      </c>
      <c r="P506" s="4">
        <v>48</v>
      </c>
      <c r="Q506" s="3" t="s">
        <v>26</v>
      </c>
      <c r="R506" s="3">
        <v>0</v>
      </c>
      <c r="S506" s="4">
        <v>0</v>
      </c>
      <c r="T506" s="4">
        <v>32</v>
      </c>
      <c r="U506" s="4">
        <v>72</v>
      </c>
      <c r="V506" s="4">
        <f>IF(ISERROR(VLOOKUP($S$506,'TAR FIN'!$A$1:$O$91,15,0)),0,VLOOKUP($S$506,'TAR FIN'!$A$1:$O$91,15,0))</f>
        <v>0</v>
      </c>
      <c r="W506" s="4">
        <f>IF(ISERROR(VLOOKUP($T$506,'TAR FIN'!$A$1:$O$91,15,0)),0,VLOOKUP($T$506,'TAR FIN'!$A$1:$O$91,15,0))</f>
        <v>357.74</v>
      </c>
      <c r="X506" s="4">
        <f>IF(ISERROR(VLOOKUP($U$506,'TAR FIN'!$A$1:$O$91,15,0)),0,VLOOKUP($U$506,'TAR FIN'!$A$1:$O$91,15,0))</f>
        <v>175.15</v>
      </c>
      <c r="Y506" s="4"/>
      <c r="Z506" s="4">
        <f ca="1">('TUSD BE'!$AM$36+'TUSD BF'!$AM$36+'TUSD CVA'!$AM$36)*(1-CUSTOS!$M$38)</f>
        <v>419.26134561460873</v>
      </c>
      <c r="AA506" s="4">
        <f>('TE BE'!$AB$27+'TE BF'!$AB$27+'TE CVA'!$AB$27)*(1-CUSTOS!$M$38)</f>
        <v>193.19190075421278</v>
      </c>
      <c r="AB506" s="4">
        <f>$K$506*$V$506</f>
        <v>0</v>
      </c>
      <c r="AC506" s="4">
        <f>$M$506*$W$506</f>
        <v>5087.7782799999995</v>
      </c>
      <c r="AD506" s="4">
        <f>$O$506*$X$506</f>
        <v>2490.9832999999999</v>
      </c>
      <c r="AE506" s="4">
        <f>$K$506*$Y$506</f>
        <v>0</v>
      </c>
      <c r="AF506" s="4">
        <f ca="1">$M$506*$Z$506</f>
        <v>5962.7348573309655</v>
      </c>
      <c r="AG506" s="4">
        <f>$O$506*$AA$506</f>
        <v>2747.5752125264139</v>
      </c>
    </row>
    <row r="507" spans="1:33" ht="11.25" customHeight="1" x14ac:dyDescent="0.3">
      <c r="A507" s="3" t="s">
        <v>21</v>
      </c>
      <c r="B507" s="3" t="s">
        <v>42</v>
      </c>
      <c r="C507" s="3" t="s">
        <v>23</v>
      </c>
      <c r="D507" s="3" t="s">
        <v>43</v>
      </c>
      <c r="E507" s="3" t="s">
        <v>25</v>
      </c>
      <c r="F507" s="3" t="s">
        <v>25</v>
      </c>
      <c r="G507" s="3" t="s">
        <v>25</v>
      </c>
      <c r="H507" s="3" t="s">
        <v>25</v>
      </c>
      <c r="I507" s="6">
        <v>44713</v>
      </c>
      <c r="J507" s="4">
        <v>0</v>
      </c>
      <c r="K507" s="4">
        <v>0</v>
      </c>
      <c r="L507" s="4">
        <v>1335.79</v>
      </c>
      <c r="M507" s="4">
        <v>1335.79</v>
      </c>
      <c r="N507" s="4">
        <v>1335.79</v>
      </c>
      <c r="O507" s="4">
        <v>1335.79</v>
      </c>
      <c r="P507" s="4">
        <v>4496</v>
      </c>
      <c r="Q507" s="3" t="s">
        <v>26</v>
      </c>
      <c r="R507" s="3">
        <v>0</v>
      </c>
      <c r="S507" s="4">
        <v>0</v>
      </c>
      <c r="T507" s="4">
        <v>32</v>
      </c>
      <c r="U507" s="4">
        <v>72</v>
      </c>
      <c r="V507" s="4">
        <f>IF(ISERROR(VLOOKUP($S$507,'TAR FIN'!$A$1:$O$91,15,0)),0,VLOOKUP($S$507,'TAR FIN'!$A$1:$O$91,15,0))</f>
        <v>0</v>
      </c>
      <c r="W507" s="4">
        <f>IF(ISERROR(VLOOKUP($T$507,'TAR FIN'!$A$1:$O$91,15,0)),0,VLOOKUP($T$507,'TAR FIN'!$A$1:$O$91,15,0))</f>
        <v>357.74</v>
      </c>
      <c r="X507" s="4">
        <f>IF(ISERROR(VLOOKUP($U$507,'TAR FIN'!$A$1:$O$91,15,0)),0,VLOOKUP($U$507,'TAR FIN'!$A$1:$O$91,15,0))</f>
        <v>175.15</v>
      </c>
      <c r="Y507" s="4"/>
      <c r="Z507" s="4">
        <f ca="1">('TUSD BE'!$AM$36+'TUSD BF'!$AM$36+'TUSD CVA'!$AM$36)*(1-CUSTOS!$M$38)</f>
        <v>419.26134561460873</v>
      </c>
      <c r="AA507" s="4">
        <f>('TE BE'!$AB$27+'TE BF'!$AB$27+'TE CVA'!$AB$27)*(1-CUSTOS!$M$38)</f>
        <v>193.19190075421278</v>
      </c>
      <c r="AB507" s="4">
        <f>$K$507*$V$507</f>
        <v>0</v>
      </c>
      <c r="AC507" s="4">
        <f>$M$507*$W$507</f>
        <v>477865.51459999999</v>
      </c>
      <c r="AD507" s="4">
        <f>$O$507*$X$507</f>
        <v>233963.61850000001</v>
      </c>
      <c r="AE507" s="4">
        <f>$K$507*$Y$507</f>
        <v>0</v>
      </c>
      <c r="AF507" s="4">
        <f ca="1">$M$507*$Z$507</f>
        <v>560045.11285853817</v>
      </c>
      <c r="AG507" s="4">
        <f>$O$507*$AA$507</f>
        <v>258063.8091084699</v>
      </c>
    </row>
    <row r="508" spans="1:33" ht="11.25" customHeight="1" x14ac:dyDescent="0.3">
      <c r="A508" s="3" t="s">
        <v>27</v>
      </c>
      <c r="B508" s="3" t="s">
        <v>42</v>
      </c>
      <c r="C508" s="3" t="s">
        <v>23</v>
      </c>
      <c r="D508" s="3" t="s">
        <v>43</v>
      </c>
      <c r="E508" s="3" t="s">
        <v>25</v>
      </c>
      <c r="F508" s="3" t="s">
        <v>25</v>
      </c>
      <c r="G508" s="3" t="s">
        <v>25</v>
      </c>
      <c r="H508" s="3" t="s">
        <v>25</v>
      </c>
      <c r="I508" s="6">
        <v>44713</v>
      </c>
      <c r="J508" s="4">
        <v>0</v>
      </c>
      <c r="K508" s="4">
        <v>0</v>
      </c>
      <c r="L508" s="4">
        <v>-2.8180000000000001</v>
      </c>
      <c r="M508" s="4">
        <v>-2.8180000000000001</v>
      </c>
      <c r="N508" s="4">
        <v>-2.8180000000000001</v>
      </c>
      <c r="O508" s="4">
        <v>-2.8180000000000001</v>
      </c>
      <c r="P508" s="4">
        <v>0</v>
      </c>
      <c r="Q508" s="3" t="s">
        <v>26</v>
      </c>
      <c r="R508" s="3">
        <v>0</v>
      </c>
      <c r="S508" s="4">
        <v>0</v>
      </c>
      <c r="T508" s="4">
        <v>32</v>
      </c>
      <c r="U508" s="4">
        <v>72</v>
      </c>
      <c r="V508" s="4">
        <f>IF(ISERROR(VLOOKUP($S$508,'TAR FIN'!$A$1:$O$91,15,0)),0,VLOOKUP($S$508,'TAR FIN'!$A$1:$O$91,15,0))</f>
        <v>0</v>
      </c>
      <c r="W508" s="4">
        <f>IF(ISERROR(VLOOKUP($T$508,'TAR FIN'!$A$1:$O$91,15,0)),0,VLOOKUP($T$508,'TAR FIN'!$A$1:$O$91,15,0))</f>
        <v>357.74</v>
      </c>
      <c r="X508" s="4">
        <f>IF(ISERROR(VLOOKUP($U$508,'TAR FIN'!$A$1:$O$91,15,0)),0,VLOOKUP($U$508,'TAR FIN'!$A$1:$O$91,15,0))</f>
        <v>175.15</v>
      </c>
      <c r="Y508" s="4"/>
      <c r="Z508" s="4">
        <f ca="1">('TUSD BE'!$AM$36+'TUSD BF'!$AM$36+'TUSD CVA'!$AM$36)*(1-CUSTOS!$M$38)</f>
        <v>419.26134561460873</v>
      </c>
      <c r="AA508" s="4">
        <f>('TE BE'!$AB$27+'TE BF'!$AB$27+'TE CVA'!$AB$27)*(1-CUSTOS!$M$38)</f>
        <v>193.19190075421278</v>
      </c>
      <c r="AB508" s="4">
        <f>$K$508*$V$508</f>
        <v>0</v>
      </c>
      <c r="AC508" s="4">
        <f>$M$508*$W$508</f>
        <v>-1008.1113200000001</v>
      </c>
      <c r="AD508" s="4">
        <f>$O$508*$X$508</f>
        <v>-493.57270000000005</v>
      </c>
      <c r="AE508" s="4">
        <f>$K$508*$Y$508</f>
        <v>0</v>
      </c>
      <c r="AF508" s="4">
        <f ca="1">$M$508*$Z$508</f>
        <v>-1181.4784719419674</v>
      </c>
      <c r="AG508" s="4">
        <f>$O$508*$AA$508</f>
        <v>-544.41477632537158</v>
      </c>
    </row>
    <row r="509" spans="1:33" ht="11.25" customHeight="1" x14ac:dyDescent="0.3">
      <c r="A509" s="3" t="s">
        <v>28</v>
      </c>
      <c r="B509" s="3" t="s">
        <v>42</v>
      </c>
      <c r="C509" s="3" t="s">
        <v>23</v>
      </c>
      <c r="D509" s="3" t="s">
        <v>43</v>
      </c>
      <c r="E509" s="3" t="s">
        <v>25</v>
      </c>
      <c r="F509" s="3" t="s">
        <v>25</v>
      </c>
      <c r="G509" s="3" t="s">
        <v>25</v>
      </c>
      <c r="H509" s="3" t="s">
        <v>25</v>
      </c>
      <c r="I509" s="6">
        <v>44713</v>
      </c>
      <c r="J509" s="4">
        <v>0</v>
      </c>
      <c r="K509" s="4">
        <v>0</v>
      </c>
      <c r="L509" s="4">
        <v>22.350999999999999</v>
      </c>
      <c r="M509" s="4">
        <v>22.350999999999999</v>
      </c>
      <c r="N509" s="4">
        <v>22.350999999999999</v>
      </c>
      <c r="O509" s="4">
        <v>22.350999999999999</v>
      </c>
      <c r="P509" s="4">
        <v>52</v>
      </c>
      <c r="Q509" s="3" t="s">
        <v>26</v>
      </c>
      <c r="R509" s="3">
        <v>0</v>
      </c>
      <c r="S509" s="4">
        <v>0</v>
      </c>
      <c r="T509" s="4">
        <v>32</v>
      </c>
      <c r="U509" s="4">
        <v>72</v>
      </c>
      <c r="V509" s="4">
        <f>IF(ISERROR(VLOOKUP($S$509,'TAR FIN'!$A$1:$O$91,15,0)),0,VLOOKUP($S$509,'TAR FIN'!$A$1:$O$91,15,0))</f>
        <v>0</v>
      </c>
      <c r="W509" s="4">
        <f>IF(ISERROR(VLOOKUP($T$509,'TAR FIN'!$A$1:$O$91,15,0)),0,VLOOKUP($T$509,'TAR FIN'!$A$1:$O$91,15,0))</f>
        <v>357.74</v>
      </c>
      <c r="X509" s="4">
        <f>IF(ISERROR(VLOOKUP($U$509,'TAR FIN'!$A$1:$O$91,15,0)),0,VLOOKUP($U$509,'TAR FIN'!$A$1:$O$91,15,0))</f>
        <v>175.15</v>
      </c>
      <c r="Y509" s="4"/>
      <c r="Z509" s="4">
        <f ca="1">('TUSD BE'!$AM$36+'TUSD BF'!$AM$36+'TUSD CVA'!$AM$36)*(1-CUSTOS!$M$38)</f>
        <v>419.26134561460873</v>
      </c>
      <c r="AA509" s="4">
        <f>('TE BE'!$AB$27+'TE BF'!$AB$27+'TE CVA'!$AB$27)*(1-CUSTOS!$M$38)</f>
        <v>193.19190075421278</v>
      </c>
      <c r="AB509" s="4">
        <f>$K$509*$V$509</f>
        <v>0</v>
      </c>
      <c r="AC509" s="4">
        <f>$M$509*$W$509</f>
        <v>7995.84674</v>
      </c>
      <c r="AD509" s="4">
        <f>$O$509*$X$509</f>
        <v>3914.77765</v>
      </c>
      <c r="AE509" s="4">
        <f>$K$509*$Y$509</f>
        <v>0</v>
      </c>
      <c r="AF509" s="4">
        <f ca="1">$M$509*$Z$509</f>
        <v>9370.910335832119</v>
      </c>
      <c r="AG509" s="4">
        <f>$O$509*$AA$509</f>
        <v>4318.0321737574095</v>
      </c>
    </row>
    <row r="510" spans="1:33" ht="11.25" customHeight="1" x14ac:dyDescent="0.3">
      <c r="A510" s="3" t="s">
        <v>21</v>
      </c>
      <c r="B510" s="3" t="s">
        <v>37</v>
      </c>
      <c r="C510" s="3" t="s">
        <v>33</v>
      </c>
      <c r="D510" s="3" t="s">
        <v>41</v>
      </c>
      <c r="E510" s="3" t="s">
        <v>25</v>
      </c>
      <c r="F510" s="3" t="s">
        <v>25</v>
      </c>
      <c r="G510" s="3" t="s">
        <v>25</v>
      </c>
      <c r="H510" s="3" t="s">
        <v>35</v>
      </c>
      <c r="I510" s="6">
        <v>44378</v>
      </c>
      <c r="J510" s="4">
        <v>0</v>
      </c>
      <c r="K510" s="4">
        <v>0</v>
      </c>
      <c r="L510" s="4">
        <v>0.42899999999999999</v>
      </c>
      <c r="M510" s="4">
        <v>0.42899999999999999</v>
      </c>
      <c r="N510" s="4">
        <v>0.42899999999999999</v>
      </c>
      <c r="O510" s="4">
        <v>0.42899999999999999</v>
      </c>
      <c r="P510" s="4">
        <v>0</v>
      </c>
      <c r="Q510" s="3" t="s">
        <v>26</v>
      </c>
      <c r="R510" s="3">
        <v>0</v>
      </c>
      <c r="S510" s="4">
        <v>0</v>
      </c>
      <c r="T510" s="4">
        <v>46</v>
      </c>
      <c r="U510" s="4">
        <v>86</v>
      </c>
      <c r="V510" s="4">
        <f>IF(ISERROR(VLOOKUP($S$510,'TAR FIN'!$A$1:$O$91,15,0)),0,VLOOKUP($S$510,'TAR FIN'!$A$1:$O$91,15,0))</f>
        <v>0</v>
      </c>
      <c r="W510" s="4">
        <f>IF(ISERROR(VLOOKUP($T$510,'TAR FIN'!$A$1:$O$91,15,0)),0,VLOOKUP($T$510,'TAR FIN'!$A$1:$O$91,15,0))</f>
        <v>315.24</v>
      </c>
      <c r="X510" s="4">
        <f>IF(ISERROR(VLOOKUP($U$510,'TAR FIN'!$A$1:$O$91,15,0)),0,VLOOKUP($U$510,'TAR FIN'!$A$1:$O$91,15,0))</f>
        <v>189.96</v>
      </c>
      <c r="Y510" s="4"/>
      <c r="Z510" s="4">
        <f ca="1">('TUSD BE'!$AM$50+'TUSD BF'!$AM$50+'TUSD CVA'!$AM$50)*1</f>
        <v>357.05828664618559</v>
      </c>
      <c r="AA510" s="4">
        <f>('TE BE'!$AB$41+'TE BF'!$AB$41+'TE CVA'!$AB$41)*1</f>
        <v>195.89707226799715</v>
      </c>
      <c r="AB510" s="4">
        <f>$K$510*$V$510</f>
        <v>0</v>
      </c>
      <c r="AC510" s="4">
        <f>$M$510*$W$510</f>
        <v>135.23796000000002</v>
      </c>
      <c r="AD510" s="4">
        <f>$O$510*$X$510</f>
        <v>81.492840000000001</v>
      </c>
      <c r="AE510" s="4">
        <f>$K$510*$Y$510</f>
        <v>0</v>
      </c>
      <c r="AF510" s="4">
        <f ca="1">$M$510*$Z$510</f>
        <v>153.17800497121362</v>
      </c>
      <c r="AG510" s="4">
        <f>$O$510*$AA$510</f>
        <v>84.039844002970767</v>
      </c>
    </row>
    <row r="511" spans="1:33" ht="11.25" customHeight="1" x14ac:dyDescent="0.3">
      <c r="A511" s="3" t="s">
        <v>21</v>
      </c>
      <c r="B511" s="3" t="s">
        <v>37</v>
      </c>
      <c r="C511" s="3" t="s">
        <v>33</v>
      </c>
      <c r="D511" s="3" t="s">
        <v>41</v>
      </c>
      <c r="E511" s="3" t="s">
        <v>25</v>
      </c>
      <c r="F511" s="3" t="s">
        <v>25</v>
      </c>
      <c r="G511" s="3" t="s">
        <v>25</v>
      </c>
      <c r="H511" s="3" t="s">
        <v>35</v>
      </c>
      <c r="I511" s="6">
        <v>44409</v>
      </c>
      <c r="J511" s="4">
        <v>0</v>
      </c>
      <c r="K511" s="4">
        <v>0</v>
      </c>
      <c r="L511" s="4">
        <v>0.34499999999999997</v>
      </c>
      <c r="M511" s="4">
        <v>0.34499999999999997</v>
      </c>
      <c r="N511" s="4">
        <v>0.34499999999999997</v>
      </c>
      <c r="O511" s="4">
        <v>0.34499999999999997</v>
      </c>
      <c r="P511" s="4">
        <v>0</v>
      </c>
      <c r="Q511" s="3" t="s">
        <v>26</v>
      </c>
      <c r="R511" s="3">
        <v>0</v>
      </c>
      <c r="S511" s="4">
        <v>0</v>
      </c>
      <c r="T511" s="4">
        <v>46</v>
      </c>
      <c r="U511" s="4">
        <v>86</v>
      </c>
      <c r="V511" s="4">
        <f>IF(ISERROR(VLOOKUP($S$511,'TAR FIN'!$A$1:$O$91,15,0)),0,VLOOKUP($S$511,'TAR FIN'!$A$1:$O$91,15,0))</f>
        <v>0</v>
      </c>
      <c r="W511" s="4">
        <f>IF(ISERROR(VLOOKUP($T$511,'TAR FIN'!$A$1:$O$91,15,0)),0,VLOOKUP($T$511,'TAR FIN'!$A$1:$O$91,15,0))</f>
        <v>315.24</v>
      </c>
      <c r="X511" s="4">
        <f>IF(ISERROR(VLOOKUP($U$511,'TAR FIN'!$A$1:$O$91,15,0)),0,VLOOKUP($U$511,'TAR FIN'!$A$1:$O$91,15,0))</f>
        <v>189.96</v>
      </c>
      <c r="Y511" s="4"/>
      <c r="Z511" s="4">
        <f ca="1">('TUSD BE'!$AM$50+'TUSD BF'!$AM$50+'TUSD CVA'!$AM$50)*1</f>
        <v>357.05828664618559</v>
      </c>
      <c r="AA511" s="4">
        <f>('TE BE'!$AB$41+'TE BF'!$AB$41+'TE CVA'!$AB$41)*1</f>
        <v>195.89707226799715</v>
      </c>
      <c r="AB511" s="4">
        <f>$K$511*$V$511</f>
        <v>0</v>
      </c>
      <c r="AC511" s="4">
        <f>$M$511*$W$511</f>
        <v>108.75779999999999</v>
      </c>
      <c r="AD511" s="4">
        <f>$O$511*$X$511</f>
        <v>65.536199999999994</v>
      </c>
      <c r="AE511" s="4">
        <f>$K$511*$Y$511</f>
        <v>0</v>
      </c>
      <c r="AF511" s="4">
        <f ca="1">$M$511*$Z$511</f>
        <v>123.18510889293402</v>
      </c>
      <c r="AG511" s="4">
        <f>$O$511*$AA$511</f>
        <v>67.584489932459007</v>
      </c>
    </row>
    <row r="512" spans="1:33" ht="11.25" customHeight="1" x14ac:dyDescent="0.3">
      <c r="A512" s="3" t="s">
        <v>21</v>
      </c>
      <c r="B512" s="3" t="s">
        <v>37</v>
      </c>
      <c r="C512" s="3" t="s">
        <v>33</v>
      </c>
      <c r="D512" s="3" t="s">
        <v>41</v>
      </c>
      <c r="E512" s="3" t="s">
        <v>25</v>
      </c>
      <c r="F512" s="3" t="s">
        <v>25</v>
      </c>
      <c r="G512" s="3" t="s">
        <v>25</v>
      </c>
      <c r="H512" s="3" t="s">
        <v>35</v>
      </c>
      <c r="I512" s="6">
        <v>44440</v>
      </c>
      <c r="J512" s="4">
        <v>0</v>
      </c>
      <c r="K512" s="4">
        <v>0</v>
      </c>
      <c r="L512" s="4">
        <v>0.19600000000000001</v>
      </c>
      <c r="M512" s="4">
        <v>0.19600000000000001</v>
      </c>
      <c r="N512" s="4">
        <v>0.19600000000000001</v>
      </c>
      <c r="O512" s="4">
        <v>0.19600000000000001</v>
      </c>
      <c r="P512" s="4">
        <v>0</v>
      </c>
      <c r="Q512" s="3" t="s">
        <v>26</v>
      </c>
      <c r="R512" s="3">
        <v>0</v>
      </c>
      <c r="S512" s="4">
        <v>0</v>
      </c>
      <c r="T512" s="4">
        <v>46</v>
      </c>
      <c r="U512" s="4">
        <v>86</v>
      </c>
      <c r="V512" s="4">
        <f>IF(ISERROR(VLOOKUP($S$512,'TAR FIN'!$A$1:$O$91,15,0)),0,VLOOKUP($S$512,'TAR FIN'!$A$1:$O$91,15,0))</f>
        <v>0</v>
      </c>
      <c r="W512" s="4">
        <f>IF(ISERROR(VLOOKUP($T$512,'TAR FIN'!$A$1:$O$91,15,0)),0,VLOOKUP($T$512,'TAR FIN'!$A$1:$O$91,15,0))</f>
        <v>315.24</v>
      </c>
      <c r="X512" s="4">
        <f>IF(ISERROR(VLOOKUP($U$512,'TAR FIN'!$A$1:$O$91,15,0)),0,VLOOKUP($U$512,'TAR FIN'!$A$1:$O$91,15,0))</f>
        <v>189.96</v>
      </c>
      <c r="Y512" s="4"/>
      <c r="Z512" s="4">
        <f ca="1">('TUSD BE'!$AM$50+'TUSD BF'!$AM$50+'TUSD CVA'!$AM$50)*1</f>
        <v>357.05828664618559</v>
      </c>
      <c r="AA512" s="4">
        <f>('TE BE'!$AB$41+'TE BF'!$AB$41+'TE CVA'!$AB$41)*1</f>
        <v>195.89707226799715</v>
      </c>
      <c r="AB512" s="4">
        <f>$K$512*$V$512</f>
        <v>0</v>
      </c>
      <c r="AC512" s="4">
        <f>$M$512*$W$512</f>
        <v>61.787040000000005</v>
      </c>
      <c r="AD512" s="4">
        <f>$O$512*$X$512</f>
        <v>37.23216</v>
      </c>
      <c r="AE512" s="4">
        <f>$K$512*$Y$512</f>
        <v>0</v>
      </c>
      <c r="AF512" s="4">
        <f ca="1">$M$512*$Z$512</f>
        <v>69.983424182652385</v>
      </c>
      <c r="AG512" s="4">
        <f>$O$512*$AA$512</f>
        <v>38.395826164527442</v>
      </c>
    </row>
    <row r="513" spans="1:33" ht="11.25" customHeight="1" x14ac:dyDescent="0.3">
      <c r="A513" s="3" t="s">
        <v>21</v>
      </c>
      <c r="B513" s="3" t="s">
        <v>37</v>
      </c>
      <c r="C513" s="3" t="s">
        <v>33</v>
      </c>
      <c r="D513" s="3" t="s">
        <v>41</v>
      </c>
      <c r="E513" s="3" t="s">
        <v>25</v>
      </c>
      <c r="F513" s="3" t="s">
        <v>25</v>
      </c>
      <c r="G513" s="3" t="s">
        <v>25</v>
      </c>
      <c r="H513" s="3" t="s">
        <v>35</v>
      </c>
      <c r="I513" s="6">
        <v>44470</v>
      </c>
      <c r="J513" s="4">
        <v>0</v>
      </c>
      <c r="K513" s="4">
        <v>0</v>
      </c>
      <c r="L513" s="4">
        <v>0.192</v>
      </c>
      <c r="M513" s="4">
        <v>0.192</v>
      </c>
      <c r="N513" s="4">
        <v>0.192</v>
      </c>
      <c r="O513" s="4">
        <v>0.192</v>
      </c>
      <c r="P513" s="4">
        <v>0</v>
      </c>
      <c r="Q513" s="3" t="s">
        <v>26</v>
      </c>
      <c r="R513" s="3">
        <v>0</v>
      </c>
      <c r="S513" s="4">
        <v>0</v>
      </c>
      <c r="T513" s="4">
        <v>46</v>
      </c>
      <c r="U513" s="4">
        <v>86</v>
      </c>
      <c r="V513" s="4">
        <f>IF(ISERROR(VLOOKUP($S$513,'TAR FIN'!$A$1:$O$91,15,0)),0,VLOOKUP($S$513,'TAR FIN'!$A$1:$O$91,15,0))</f>
        <v>0</v>
      </c>
      <c r="W513" s="4">
        <f>IF(ISERROR(VLOOKUP($T$513,'TAR FIN'!$A$1:$O$91,15,0)),0,VLOOKUP($T$513,'TAR FIN'!$A$1:$O$91,15,0))</f>
        <v>315.24</v>
      </c>
      <c r="X513" s="4">
        <f>IF(ISERROR(VLOOKUP($U$513,'TAR FIN'!$A$1:$O$91,15,0)),0,VLOOKUP($U$513,'TAR FIN'!$A$1:$O$91,15,0))</f>
        <v>189.96</v>
      </c>
      <c r="Y513" s="4"/>
      <c r="Z513" s="4">
        <f ca="1">('TUSD BE'!$AM$50+'TUSD BF'!$AM$50+'TUSD CVA'!$AM$50)*1</f>
        <v>357.05828664618559</v>
      </c>
      <c r="AA513" s="4">
        <f>('TE BE'!$AB$41+'TE BF'!$AB$41+'TE CVA'!$AB$41)*1</f>
        <v>195.89707226799715</v>
      </c>
      <c r="AB513" s="4">
        <f>$K$513*$V$513</f>
        <v>0</v>
      </c>
      <c r="AC513" s="4">
        <f>$M$513*$W$513</f>
        <v>60.52608</v>
      </c>
      <c r="AD513" s="4">
        <f>$O$513*$X$513</f>
        <v>36.472320000000003</v>
      </c>
      <c r="AE513" s="4">
        <f>$K$513*$Y$513</f>
        <v>0</v>
      </c>
      <c r="AF513" s="4">
        <f ca="1">$M$513*$Z$513</f>
        <v>68.55519103606764</v>
      </c>
      <c r="AG513" s="4">
        <f>$O$513*$AA$513</f>
        <v>37.612237875455456</v>
      </c>
    </row>
    <row r="514" spans="1:33" ht="11.25" customHeight="1" x14ac:dyDescent="0.3">
      <c r="A514" s="3" t="s">
        <v>21</v>
      </c>
      <c r="B514" s="3" t="s">
        <v>37</v>
      </c>
      <c r="C514" s="3" t="s">
        <v>33</v>
      </c>
      <c r="D514" s="3" t="s">
        <v>41</v>
      </c>
      <c r="E514" s="3" t="s">
        <v>25</v>
      </c>
      <c r="F514" s="3" t="s">
        <v>25</v>
      </c>
      <c r="G514" s="3" t="s">
        <v>25</v>
      </c>
      <c r="H514" s="3" t="s">
        <v>35</v>
      </c>
      <c r="I514" s="6">
        <v>44501</v>
      </c>
      <c r="J514" s="4">
        <v>0</v>
      </c>
      <c r="K514" s="4">
        <v>0</v>
      </c>
      <c r="L514" s="4">
        <v>0.28599999999999998</v>
      </c>
      <c r="M514" s="4">
        <v>0.28599999999999998</v>
      </c>
      <c r="N514" s="4">
        <v>0.28599999999999998</v>
      </c>
      <c r="O514" s="4">
        <v>0.28599999999999998</v>
      </c>
      <c r="P514" s="4">
        <v>0</v>
      </c>
      <c r="Q514" s="3" t="s">
        <v>26</v>
      </c>
      <c r="R514" s="3">
        <v>0</v>
      </c>
      <c r="S514" s="4">
        <v>0</v>
      </c>
      <c r="T514" s="4">
        <v>46</v>
      </c>
      <c r="U514" s="4">
        <v>86</v>
      </c>
      <c r="V514" s="4">
        <f>IF(ISERROR(VLOOKUP($S$514,'TAR FIN'!$A$1:$O$91,15,0)),0,VLOOKUP($S$514,'TAR FIN'!$A$1:$O$91,15,0))</f>
        <v>0</v>
      </c>
      <c r="W514" s="4">
        <f>IF(ISERROR(VLOOKUP($T$514,'TAR FIN'!$A$1:$O$91,15,0)),0,VLOOKUP($T$514,'TAR FIN'!$A$1:$O$91,15,0))</f>
        <v>315.24</v>
      </c>
      <c r="X514" s="4">
        <f>IF(ISERROR(VLOOKUP($U$514,'TAR FIN'!$A$1:$O$91,15,0)),0,VLOOKUP($U$514,'TAR FIN'!$A$1:$O$91,15,0))</f>
        <v>189.96</v>
      </c>
      <c r="Y514" s="4"/>
      <c r="Z514" s="4">
        <f ca="1">('TUSD BE'!$AM$50+'TUSD BF'!$AM$50+'TUSD CVA'!$AM$50)*1</f>
        <v>357.05828664618559</v>
      </c>
      <c r="AA514" s="4">
        <f>('TE BE'!$AB$41+'TE BF'!$AB$41+'TE CVA'!$AB$41)*1</f>
        <v>195.89707226799715</v>
      </c>
      <c r="AB514" s="4">
        <f>$K$514*$V$514</f>
        <v>0</v>
      </c>
      <c r="AC514" s="4">
        <f>$M$514*$W$514</f>
        <v>90.158639999999991</v>
      </c>
      <c r="AD514" s="4">
        <f>$O$514*$X$514</f>
        <v>54.328559999999996</v>
      </c>
      <c r="AE514" s="4">
        <f>$K$514*$Y$514</f>
        <v>0</v>
      </c>
      <c r="AF514" s="4">
        <f ca="1">$M$514*$Z$514</f>
        <v>102.11866998080907</v>
      </c>
      <c r="AG514" s="4">
        <f>$O$514*$AA$514</f>
        <v>56.02656266864718</v>
      </c>
    </row>
    <row r="515" spans="1:33" ht="11.25" customHeight="1" x14ac:dyDescent="0.3">
      <c r="A515" s="3" t="s">
        <v>21</v>
      </c>
      <c r="B515" s="3" t="s">
        <v>37</v>
      </c>
      <c r="C515" s="3" t="s">
        <v>33</v>
      </c>
      <c r="D515" s="3" t="s">
        <v>41</v>
      </c>
      <c r="E515" s="3" t="s">
        <v>25</v>
      </c>
      <c r="F515" s="3" t="s">
        <v>25</v>
      </c>
      <c r="G515" s="3" t="s">
        <v>25</v>
      </c>
      <c r="H515" s="3" t="s">
        <v>35</v>
      </c>
      <c r="I515" s="6">
        <v>44531</v>
      </c>
      <c r="J515" s="4">
        <v>0</v>
      </c>
      <c r="K515" s="4">
        <v>0</v>
      </c>
      <c r="L515" s="4">
        <v>0.39400000000000002</v>
      </c>
      <c r="M515" s="4">
        <v>0.39400000000000002</v>
      </c>
      <c r="N515" s="4">
        <v>0.39400000000000002</v>
      </c>
      <c r="O515" s="4">
        <v>0.39400000000000002</v>
      </c>
      <c r="P515" s="4">
        <v>0</v>
      </c>
      <c r="Q515" s="3" t="s">
        <v>26</v>
      </c>
      <c r="R515" s="3">
        <v>0</v>
      </c>
      <c r="S515" s="4">
        <v>0</v>
      </c>
      <c r="T515" s="4">
        <v>46</v>
      </c>
      <c r="U515" s="4">
        <v>86</v>
      </c>
      <c r="V515" s="4">
        <f>IF(ISERROR(VLOOKUP($S$515,'TAR FIN'!$A$1:$O$91,15,0)),0,VLOOKUP($S$515,'TAR FIN'!$A$1:$O$91,15,0))</f>
        <v>0</v>
      </c>
      <c r="W515" s="4">
        <f>IF(ISERROR(VLOOKUP($T$515,'TAR FIN'!$A$1:$O$91,15,0)),0,VLOOKUP($T$515,'TAR FIN'!$A$1:$O$91,15,0))</f>
        <v>315.24</v>
      </c>
      <c r="X515" s="4">
        <f>IF(ISERROR(VLOOKUP($U$515,'TAR FIN'!$A$1:$O$91,15,0)),0,VLOOKUP($U$515,'TAR FIN'!$A$1:$O$91,15,0))</f>
        <v>189.96</v>
      </c>
      <c r="Y515" s="4"/>
      <c r="Z515" s="4">
        <f ca="1">('TUSD BE'!$AM$50+'TUSD BF'!$AM$50+'TUSD CVA'!$AM$50)*1</f>
        <v>357.05828664618559</v>
      </c>
      <c r="AA515" s="4">
        <f>('TE BE'!$AB$41+'TE BF'!$AB$41+'TE CVA'!$AB$41)*1</f>
        <v>195.89707226799715</v>
      </c>
      <c r="AB515" s="4">
        <f>$K$515*$V$515</f>
        <v>0</v>
      </c>
      <c r="AC515" s="4">
        <f>$M$515*$W$515</f>
        <v>124.20456000000001</v>
      </c>
      <c r="AD515" s="4">
        <f>$O$515*$X$515</f>
        <v>74.844240000000013</v>
      </c>
      <c r="AE515" s="4">
        <f>$K$515*$Y$515</f>
        <v>0</v>
      </c>
      <c r="AF515" s="4">
        <f ca="1">$M$515*$Z$515</f>
        <v>140.68096493859713</v>
      </c>
      <c r="AG515" s="4">
        <f>$O$515*$AA$515</f>
        <v>77.183446473590877</v>
      </c>
    </row>
    <row r="516" spans="1:33" ht="11.25" customHeight="1" x14ac:dyDescent="0.3">
      <c r="A516" s="3" t="s">
        <v>21</v>
      </c>
      <c r="B516" s="3" t="s">
        <v>37</v>
      </c>
      <c r="C516" s="3" t="s">
        <v>33</v>
      </c>
      <c r="D516" s="3" t="s">
        <v>41</v>
      </c>
      <c r="E516" s="3" t="s">
        <v>25</v>
      </c>
      <c r="F516" s="3" t="s">
        <v>25</v>
      </c>
      <c r="G516" s="3" t="s">
        <v>25</v>
      </c>
      <c r="H516" s="3" t="s">
        <v>35</v>
      </c>
      <c r="I516" s="6">
        <v>44562</v>
      </c>
      <c r="J516" s="4">
        <v>0</v>
      </c>
      <c r="K516" s="4">
        <v>0</v>
      </c>
      <c r="L516" s="4">
        <v>0.47399999999999998</v>
      </c>
      <c r="M516" s="4">
        <v>0.47399999999999998</v>
      </c>
      <c r="N516" s="4">
        <v>0.47399999999999998</v>
      </c>
      <c r="O516" s="4">
        <v>0.47399999999999998</v>
      </c>
      <c r="P516" s="4">
        <v>0</v>
      </c>
      <c r="Q516" s="3" t="s">
        <v>26</v>
      </c>
      <c r="R516" s="3">
        <v>0</v>
      </c>
      <c r="S516" s="4">
        <v>0</v>
      </c>
      <c r="T516" s="4">
        <v>46</v>
      </c>
      <c r="U516" s="4">
        <v>86</v>
      </c>
      <c r="V516" s="4">
        <f>IF(ISERROR(VLOOKUP($S$516,'TAR FIN'!$A$1:$O$91,15,0)),0,VLOOKUP($S$516,'TAR FIN'!$A$1:$O$91,15,0))</f>
        <v>0</v>
      </c>
      <c r="W516" s="4">
        <f>IF(ISERROR(VLOOKUP($T$516,'TAR FIN'!$A$1:$O$91,15,0)),0,VLOOKUP($T$516,'TAR FIN'!$A$1:$O$91,15,0))</f>
        <v>315.24</v>
      </c>
      <c r="X516" s="4">
        <f>IF(ISERROR(VLOOKUP($U$516,'TAR FIN'!$A$1:$O$91,15,0)),0,VLOOKUP($U$516,'TAR FIN'!$A$1:$O$91,15,0))</f>
        <v>189.96</v>
      </c>
      <c r="Y516" s="4"/>
      <c r="Z516" s="4">
        <f ca="1">('TUSD BE'!$AM$50+'TUSD BF'!$AM$50+'TUSD CVA'!$AM$50)*1</f>
        <v>357.05828664618559</v>
      </c>
      <c r="AA516" s="4">
        <f>('TE BE'!$AB$41+'TE BF'!$AB$41+'TE CVA'!$AB$41)*1</f>
        <v>195.89707226799715</v>
      </c>
      <c r="AB516" s="4">
        <f>$K$516*$V$516</f>
        <v>0</v>
      </c>
      <c r="AC516" s="4">
        <f>$M$516*$W$516</f>
        <v>149.42375999999999</v>
      </c>
      <c r="AD516" s="4">
        <f>$O$516*$X$516</f>
        <v>90.041039999999995</v>
      </c>
      <c r="AE516" s="4">
        <f>$K$516*$Y$516</f>
        <v>0</v>
      </c>
      <c r="AF516" s="4">
        <f ca="1">$M$516*$Z$516</f>
        <v>169.24562787029197</v>
      </c>
      <c r="AG516" s="4">
        <f>$O$516*$AA$516</f>
        <v>92.855212255030636</v>
      </c>
    </row>
    <row r="517" spans="1:33" ht="11.25" customHeight="1" x14ac:dyDescent="0.3">
      <c r="A517" s="3" t="s">
        <v>21</v>
      </c>
      <c r="B517" s="3" t="s">
        <v>37</v>
      </c>
      <c r="C517" s="3" t="s">
        <v>33</v>
      </c>
      <c r="D517" s="3" t="s">
        <v>41</v>
      </c>
      <c r="E517" s="3" t="s">
        <v>25</v>
      </c>
      <c r="F517" s="3" t="s">
        <v>25</v>
      </c>
      <c r="G517" s="3" t="s">
        <v>25</v>
      </c>
      <c r="H517" s="3" t="s">
        <v>35</v>
      </c>
      <c r="I517" s="6">
        <v>44593</v>
      </c>
      <c r="J517" s="4">
        <v>0</v>
      </c>
      <c r="K517" s="4">
        <v>0</v>
      </c>
      <c r="L517" s="4">
        <v>0.59299999999999997</v>
      </c>
      <c r="M517" s="4">
        <v>0.59299999999999997</v>
      </c>
      <c r="N517" s="4">
        <v>0.59299999999999997</v>
      </c>
      <c r="O517" s="4">
        <v>0.59299999999999997</v>
      </c>
      <c r="P517" s="4">
        <v>0</v>
      </c>
      <c r="Q517" s="3" t="s">
        <v>26</v>
      </c>
      <c r="R517" s="3">
        <v>0</v>
      </c>
      <c r="S517" s="4">
        <v>0</v>
      </c>
      <c r="T517" s="4">
        <v>46</v>
      </c>
      <c r="U517" s="4">
        <v>86</v>
      </c>
      <c r="V517" s="4">
        <f>IF(ISERROR(VLOOKUP($S$517,'TAR FIN'!$A$1:$O$91,15,0)),0,VLOOKUP($S$517,'TAR FIN'!$A$1:$O$91,15,0))</f>
        <v>0</v>
      </c>
      <c r="W517" s="4">
        <f>IF(ISERROR(VLOOKUP($T$517,'TAR FIN'!$A$1:$O$91,15,0)),0,VLOOKUP($T$517,'TAR FIN'!$A$1:$O$91,15,0))</f>
        <v>315.24</v>
      </c>
      <c r="X517" s="4">
        <f>IF(ISERROR(VLOOKUP($U$517,'TAR FIN'!$A$1:$O$91,15,0)),0,VLOOKUP($U$517,'TAR FIN'!$A$1:$O$91,15,0))</f>
        <v>189.96</v>
      </c>
      <c r="Y517" s="4"/>
      <c r="Z517" s="4">
        <f ca="1">('TUSD BE'!$AM$50+'TUSD BF'!$AM$50+'TUSD CVA'!$AM$50)*1</f>
        <v>357.05828664618559</v>
      </c>
      <c r="AA517" s="4">
        <f>('TE BE'!$AB$41+'TE BF'!$AB$41+'TE CVA'!$AB$41)*1</f>
        <v>195.89707226799715</v>
      </c>
      <c r="AB517" s="4">
        <f>$K$517*$V$517</f>
        <v>0</v>
      </c>
      <c r="AC517" s="4">
        <f>$M$517*$W$517</f>
        <v>186.93732</v>
      </c>
      <c r="AD517" s="4">
        <f>$O$517*$X$517</f>
        <v>112.64628</v>
      </c>
      <c r="AE517" s="4">
        <f>$K$517*$Y$517</f>
        <v>0</v>
      </c>
      <c r="AF517" s="4">
        <f ca="1">$M$517*$Z$517</f>
        <v>211.73556398118805</v>
      </c>
      <c r="AG517" s="4">
        <f>$O$517*$AA$517</f>
        <v>116.1669638549223</v>
      </c>
    </row>
    <row r="518" spans="1:33" ht="11.25" customHeight="1" x14ac:dyDescent="0.3">
      <c r="A518" s="3" t="s">
        <v>21</v>
      </c>
      <c r="B518" s="3" t="s">
        <v>37</v>
      </c>
      <c r="C518" s="3" t="s">
        <v>33</v>
      </c>
      <c r="D518" s="3" t="s">
        <v>41</v>
      </c>
      <c r="E518" s="3" t="s">
        <v>25</v>
      </c>
      <c r="F518" s="3" t="s">
        <v>25</v>
      </c>
      <c r="G518" s="3" t="s">
        <v>25</v>
      </c>
      <c r="H518" s="3" t="s">
        <v>35</v>
      </c>
      <c r="I518" s="6">
        <v>44621</v>
      </c>
      <c r="J518" s="4">
        <v>0</v>
      </c>
      <c r="K518" s="4">
        <v>0</v>
      </c>
      <c r="L518" s="4">
        <v>0.46</v>
      </c>
      <c r="M518" s="4">
        <v>0.46</v>
      </c>
      <c r="N518" s="4">
        <v>0.46</v>
      </c>
      <c r="O518" s="4">
        <v>0.46</v>
      </c>
      <c r="P518" s="4">
        <v>0</v>
      </c>
      <c r="Q518" s="3" t="s">
        <v>26</v>
      </c>
      <c r="R518" s="3">
        <v>0</v>
      </c>
      <c r="S518" s="4">
        <v>0</v>
      </c>
      <c r="T518" s="4">
        <v>46</v>
      </c>
      <c r="U518" s="4">
        <v>86</v>
      </c>
      <c r="V518" s="4">
        <f>IF(ISERROR(VLOOKUP($S$518,'TAR FIN'!$A$1:$O$91,15,0)),0,VLOOKUP($S$518,'TAR FIN'!$A$1:$O$91,15,0))</f>
        <v>0</v>
      </c>
      <c r="W518" s="4">
        <f>IF(ISERROR(VLOOKUP($T$518,'TAR FIN'!$A$1:$O$91,15,0)),0,VLOOKUP($T$518,'TAR FIN'!$A$1:$O$91,15,0))</f>
        <v>315.24</v>
      </c>
      <c r="X518" s="4">
        <f>IF(ISERROR(VLOOKUP($U$518,'TAR FIN'!$A$1:$O$91,15,0)),0,VLOOKUP($U$518,'TAR FIN'!$A$1:$O$91,15,0))</f>
        <v>189.96</v>
      </c>
      <c r="Y518" s="4"/>
      <c r="Z518" s="4">
        <f ca="1">('TUSD BE'!$AM$50+'TUSD BF'!$AM$50+'TUSD CVA'!$AM$50)*1</f>
        <v>357.05828664618559</v>
      </c>
      <c r="AA518" s="4">
        <f>('TE BE'!$AB$41+'TE BF'!$AB$41+'TE CVA'!$AB$41)*1</f>
        <v>195.89707226799715</v>
      </c>
      <c r="AB518" s="4">
        <f>$K$518*$V$518</f>
        <v>0</v>
      </c>
      <c r="AC518" s="4">
        <f>$M$518*$W$518</f>
        <v>145.0104</v>
      </c>
      <c r="AD518" s="4">
        <f>$O$518*$X$518</f>
        <v>87.381600000000006</v>
      </c>
      <c r="AE518" s="4">
        <f>$K$518*$Y$518</f>
        <v>0</v>
      </c>
      <c r="AF518" s="4">
        <f ca="1">$M$518*$Z$518</f>
        <v>164.24681185724538</v>
      </c>
      <c r="AG518" s="4">
        <f>$O$518*$AA$518</f>
        <v>90.112653243278686</v>
      </c>
    </row>
    <row r="519" spans="1:33" ht="11.25" customHeight="1" x14ac:dyDescent="0.3">
      <c r="A519" s="3" t="s">
        <v>21</v>
      </c>
      <c r="B519" s="3" t="s">
        <v>37</v>
      </c>
      <c r="C519" s="3" t="s">
        <v>33</v>
      </c>
      <c r="D519" s="3" t="s">
        <v>41</v>
      </c>
      <c r="E519" s="3" t="s">
        <v>25</v>
      </c>
      <c r="F519" s="3" t="s">
        <v>25</v>
      </c>
      <c r="G519" s="3" t="s">
        <v>25</v>
      </c>
      <c r="H519" s="3" t="s">
        <v>35</v>
      </c>
      <c r="I519" s="6">
        <v>44652</v>
      </c>
      <c r="J519" s="4">
        <v>0</v>
      </c>
      <c r="K519" s="4">
        <v>0</v>
      </c>
      <c r="L519" s="4">
        <v>0.18099999999999999</v>
      </c>
      <c r="M519" s="4">
        <v>0.18099999999999999</v>
      </c>
      <c r="N519" s="4">
        <v>0.18099999999999999</v>
      </c>
      <c r="O519" s="4">
        <v>0.18099999999999999</v>
      </c>
      <c r="P519" s="4">
        <v>0</v>
      </c>
      <c r="Q519" s="3" t="s">
        <v>26</v>
      </c>
      <c r="R519" s="3">
        <v>0</v>
      </c>
      <c r="S519" s="4">
        <v>0</v>
      </c>
      <c r="T519" s="4">
        <v>46</v>
      </c>
      <c r="U519" s="4">
        <v>86</v>
      </c>
      <c r="V519" s="4">
        <f>IF(ISERROR(VLOOKUP($S$519,'TAR FIN'!$A$1:$O$91,15,0)),0,VLOOKUP($S$519,'TAR FIN'!$A$1:$O$91,15,0))</f>
        <v>0</v>
      </c>
      <c r="W519" s="4">
        <f>IF(ISERROR(VLOOKUP($T$519,'TAR FIN'!$A$1:$O$91,15,0)),0,VLOOKUP($T$519,'TAR FIN'!$A$1:$O$91,15,0))</f>
        <v>315.24</v>
      </c>
      <c r="X519" s="4">
        <f>IF(ISERROR(VLOOKUP($U$519,'TAR FIN'!$A$1:$O$91,15,0)),0,VLOOKUP($U$519,'TAR FIN'!$A$1:$O$91,15,0))</f>
        <v>189.96</v>
      </c>
      <c r="Y519" s="4"/>
      <c r="Z519" s="4">
        <f ca="1">('TUSD BE'!$AM$50+'TUSD BF'!$AM$50+'TUSD CVA'!$AM$50)*1</f>
        <v>357.05828664618559</v>
      </c>
      <c r="AA519" s="4">
        <f>('TE BE'!$AB$41+'TE BF'!$AB$41+'TE CVA'!$AB$41)*1</f>
        <v>195.89707226799715</v>
      </c>
      <c r="AB519" s="4">
        <f>$K$519*$V$519</f>
        <v>0</v>
      </c>
      <c r="AC519" s="4">
        <f>$M$519*$W$519</f>
        <v>57.058439999999997</v>
      </c>
      <c r="AD519" s="4">
        <f>$O$519*$X$519</f>
        <v>34.382759999999998</v>
      </c>
      <c r="AE519" s="4">
        <f>$K$519*$Y$519</f>
        <v>0</v>
      </c>
      <c r="AF519" s="4">
        <f ca="1">$M$519*$Z$519</f>
        <v>64.627549882959585</v>
      </c>
      <c r="AG519" s="4">
        <f>$O$519*$AA$519</f>
        <v>35.457370080507481</v>
      </c>
    </row>
    <row r="520" spans="1:33" ht="11.25" customHeight="1" x14ac:dyDescent="0.3">
      <c r="A520" s="3" t="s">
        <v>21</v>
      </c>
      <c r="B520" s="3" t="s">
        <v>37</v>
      </c>
      <c r="C520" s="3" t="s">
        <v>33</v>
      </c>
      <c r="D520" s="3" t="s">
        <v>41</v>
      </c>
      <c r="E520" s="3" t="s">
        <v>25</v>
      </c>
      <c r="F520" s="3" t="s">
        <v>25</v>
      </c>
      <c r="G520" s="3" t="s">
        <v>25</v>
      </c>
      <c r="H520" s="3" t="s">
        <v>35</v>
      </c>
      <c r="I520" s="6">
        <v>44682</v>
      </c>
      <c r="J520" s="4">
        <v>0</v>
      </c>
      <c r="K520" s="4">
        <v>0</v>
      </c>
      <c r="L520" s="4">
        <v>0.14000000000000001</v>
      </c>
      <c r="M520" s="4">
        <v>0.14000000000000001</v>
      </c>
      <c r="N520" s="4">
        <v>0.14000000000000001</v>
      </c>
      <c r="O520" s="4">
        <v>0.14000000000000001</v>
      </c>
      <c r="P520" s="4">
        <v>0</v>
      </c>
      <c r="Q520" s="3" t="s">
        <v>26</v>
      </c>
      <c r="R520" s="3">
        <v>0</v>
      </c>
      <c r="S520" s="4">
        <v>0</v>
      </c>
      <c r="T520" s="4">
        <v>46</v>
      </c>
      <c r="U520" s="4">
        <v>86</v>
      </c>
      <c r="V520" s="4">
        <f>IF(ISERROR(VLOOKUP($S$520,'TAR FIN'!$A$1:$O$91,15,0)),0,VLOOKUP($S$520,'TAR FIN'!$A$1:$O$91,15,0))</f>
        <v>0</v>
      </c>
      <c r="W520" s="4">
        <f>IF(ISERROR(VLOOKUP($T$520,'TAR FIN'!$A$1:$O$91,15,0)),0,VLOOKUP($T$520,'TAR FIN'!$A$1:$O$91,15,0))</f>
        <v>315.24</v>
      </c>
      <c r="X520" s="4">
        <f>IF(ISERROR(VLOOKUP($U$520,'TAR FIN'!$A$1:$O$91,15,0)),0,VLOOKUP($U$520,'TAR FIN'!$A$1:$O$91,15,0))</f>
        <v>189.96</v>
      </c>
      <c r="Y520" s="4"/>
      <c r="Z520" s="4">
        <f ca="1">('TUSD BE'!$AM$50+'TUSD BF'!$AM$50+'TUSD CVA'!$AM$50)*1</f>
        <v>357.05828664618559</v>
      </c>
      <c r="AA520" s="4">
        <f>('TE BE'!$AB$41+'TE BF'!$AB$41+'TE CVA'!$AB$41)*1</f>
        <v>195.89707226799715</v>
      </c>
      <c r="AB520" s="4">
        <f>$K$520*$V$520</f>
        <v>0</v>
      </c>
      <c r="AC520" s="4">
        <f>$M$520*$W$520</f>
        <v>44.133600000000008</v>
      </c>
      <c r="AD520" s="4">
        <f>$O$520*$X$520</f>
        <v>26.594400000000004</v>
      </c>
      <c r="AE520" s="4">
        <f>$K$520*$Y$520</f>
        <v>0</v>
      </c>
      <c r="AF520" s="4">
        <f ca="1">$M$520*$Z$520</f>
        <v>49.988160130465985</v>
      </c>
      <c r="AG520" s="4">
        <f>$O$520*$AA$520</f>
        <v>27.425590117519604</v>
      </c>
    </row>
    <row r="521" spans="1:33" ht="11.25" customHeight="1" x14ac:dyDescent="0.3">
      <c r="A521" s="3" t="s">
        <v>21</v>
      </c>
      <c r="B521" s="3" t="s">
        <v>37</v>
      </c>
      <c r="C521" s="3" t="s">
        <v>33</v>
      </c>
      <c r="D521" s="3" t="s">
        <v>41</v>
      </c>
      <c r="E521" s="3" t="s">
        <v>25</v>
      </c>
      <c r="F521" s="3" t="s">
        <v>25</v>
      </c>
      <c r="G521" s="3" t="s">
        <v>25</v>
      </c>
      <c r="H521" s="3" t="s">
        <v>35</v>
      </c>
      <c r="I521" s="6">
        <v>44713</v>
      </c>
      <c r="J521" s="4">
        <v>0</v>
      </c>
      <c r="K521" s="4">
        <v>0</v>
      </c>
      <c r="L521" s="4">
        <v>0.34399999999999997</v>
      </c>
      <c r="M521" s="4">
        <v>0.34399999999999997</v>
      </c>
      <c r="N521" s="4">
        <v>0.34399999999999997</v>
      </c>
      <c r="O521" s="4">
        <v>0.34399999999999997</v>
      </c>
      <c r="P521" s="4">
        <v>0</v>
      </c>
      <c r="Q521" s="3" t="s">
        <v>26</v>
      </c>
      <c r="R521" s="3">
        <v>0</v>
      </c>
      <c r="S521" s="4">
        <v>0</v>
      </c>
      <c r="T521" s="4">
        <v>46</v>
      </c>
      <c r="U521" s="4">
        <v>86</v>
      </c>
      <c r="V521" s="4">
        <f>IF(ISERROR(VLOOKUP($S$521,'TAR FIN'!$A$1:$O$91,15,0)),0,VLOOKUP($S$521,'TAR FIN'!$A$1:$O$91,15,0))</f>
        <v>0</v>
      </c>
      <c r="W521" s="4">
        <f>IF(ISERROR(VLOOKUP($T$521,'TAR FIN'!$A$1:$O$91,15,0)),0,VLOOKUP($T$521,'TAR FIN'!$A$1:$O$91,15,0))</f>
        <v>315.24</v>
      </c>
      <c r="X521" s="4">
        <f>IF(ISERROR(VLOOKUP($U$521,'TAR FIN'!$A$1:$O$91,15,0)),0,VLOOKUP($U$521,'TAR FIN'!$A$1:$O$91,15,0))</f>
        <v>189.96</v>
      </c>
      <c r="Y521" s="4"/>
      <c r="Z521" s="4">
        <f ca="1">('TUSD BE'!$AM$50+'TUSD BF'!$AM$50+'TUSD CVA'!$AM$50)*1</f>
        <v>357.05828664618559</v>
      </c>
      <c r="AA521" s="4">
        <f>('TE BE'!$AB$41+'TE BF'!$AB$41+'TE CVA'!$AB$41)*1</f>
        <v>195.89707226799715</v>
      </c>
      <c r="AB521" s="4">
        <f>$K$521*$V$521</f>
        <v>0</v>
      </c>
      <c r="AC521" s="4">
        <f>$M$521*$W$521</f>
        <v>108.44256</v>
      </c>
      <c r="AD521" s="4">
        <f>$O$521*$X$521</f>
        <v>65.346239999999995</v>
      </c>
      <c r="AE521" s="4">
        <f>$K$521*$Y$521</f>
        <v>0</v>
      </c>
      <c r="AF521" s="4">
        <f ca="1">$M$521*$Z$521</f>
        <v>122.82805060628783</v>
      </c>
      <c r="AG521" s="4">
        <f>$O$521*$AA$521</f>
        <v>67.388592860191011</v>
      </c>
    </row>
    <row r="522" spans="1:33" ht="11.25" customHeight="1" x14ac:dyDescent="0.3">
      <c r="A522" s="3" t="s">
        <v>21</v>
      </c>
      <c r="B522" s="3" t="s">
        <v>37</v>
      </c>
      <c r="C522" s="3" t="s">
        <v>33</v>
      </c>
      <c r="D522" s="3" t="s">
        <v>41</v>
      </c>
      <c r="E522" s="3" t="s">
        <v>25</v>
      </c>
      <c r="F522" s="3" t="s">
        <v>25</v>
      </c>
      <c r="G522" s="3" t="s">
        <v>25</v>
      </c>
      <c r="H522" s="3" t="s">
        <v>36</v>
      </c>
      <c r="I522" s="6">
        <v>44378</v>
      </c>
      <c r="J522" s="4">
        <v>0</v>
      </c>
      <c r="K522" s="4">
        <v>0</v>
      </c>
      <c r="L522" s="4">
        <v>3.2000000000000001E-2</v>
      </c>
      <c r="M522" s="4">
        <v>3.2000000000000001E-2</v>
      </c>
      <c r="N522" s="4">
        <v>3.2000000000000001E-2</v>
      </c>
      <c r="O522" s="4">
        <v>3.2000000000000001E-2</v>
      </c>
      <c r="P522" s="4">
        <v>0</v>
      </c>
      <c r="Q522" s="3" t="s">
        <v>26</v>
      </c>
      <c r="R522" s="3">
        <v>0</v>
      </c>
      <c r="S522" s="4">
        <v>0</v>
      </c>
      <c r="T522" s="4">
        <v>45</v>
      </c>
      <c r="U522" s="4">
        <v>85</v>
      </c>
      <c r="V522" s="4">
        <f>IF(ISERROR(VLOOKUP($S$522,'TAR FIN'!$A$1:$O$91,15,0)),0,VLOOKUP($S$522,'TAR FIN'!$A$1:$O$91,15,0))</f>
        <v>0</v>
      </c>
      <c r="W522" s="4">
        <f>IF(ISERROR(VLOOKUP($T$522,'TAR FIN'!$A$1:$O$91,15,0)),0,VLOOKUP($T$522,'TAR FIN'!$A$1:$O$91,15,0))</f>
        <v>721.58</v>
      </c>
      <c r="X522" s="4">
        <f>IF(ISERROR(VLOOKUP($U$522,'TAR FIN'!$A$1:$O$91,15,0)),0,VLOOKUP($U$522,'TAR FIN'!$A$1:$O$91,15,0))</f>
        <v>189.96</v>
      </c>
      <c r="Y522" s="4"/>
      <c r="Z522" s="4">
        <f ca="1">('TUSD BE'!$AM$49+'TUSD BF'!$AM$49+'TUSD CVA'!$AM$49)*1</f>
        <v>814.58961420525986</v>
      </c>
      <c r="AA522" s="4">
        <f>('TE BE'!$AB$40+'TE BF'!$AB$40+'TE CVA'!$AB$40)*1</f>
        <v>195.89707226799715</v>
      </c>
      <c r="AB522" s="4">
        <f>$K$522*$V$522</f>
        <v>0</v>
      </c>
      <c r="AC522" s="4">
        <f>$M$522*$W$522</f>
        <v>23.090560000000004</v>
      </c>
      <c r="AD522" s="4">
        <f>$O$522*$X$522</f>
        <v>6.0787200000000006</v>
      </c>
      <c r="AE522" s="4">
        <f>$K$522*$Y$522</f>
        <v>0</v>
      </c>
      <c r="AF522" s="4">
        <f ca="1">$M$522*$Z$522</f>
        <v>26.066867654568316</v>
      </c>
      <c r="AG522" s="4">
        <f>$O$522*$AA$522</f>
        <v>6.268706312575909</v>
      </c>
    </row>
    <row r="523" spans="1:33" ht="11.25" customHeight="1" x14ac:dyDescent="0.3">
      <c r="A523" s="3" t="s">
        <v>21</v>
      </c>
      <c r="B523" s="3" t="s">
        <v>37</v>
      </c>
      <c r="C523" s="3" t="s">
        <v>33</v>
      </c>
      <c r="D523" s="3" t="s">
        <v>41</v>
      </c>
      <c r="E523" s="3" t="s">
        <v>25</v>
      </c>
      <c r="F523" s="3" t="s">
        <v>25</v>
      </c>
      <c r="G523" s="3" t="s">
        <v>25</v>
      </c>
      <c r="H523" s="3" t="s">
        <v>36</v>
      </c>
      <c r="I523" s="6">
        <v>44409</v>
      </c>
      <c r="J523" s="4">
        <v>0</v>
      </c>
      <c r="K523" s="4">
        <v>0</v>
      </c>
      <c r="L523" s="4">
        <v>2.4E-2</v>
      </c>
      <c r="M523" s="4">
        <v>2.4E-2</v>
      </c>
      <c r="N523" s="4">
        <v>2.4E-2</v>
      </c>
      <c r="O523" s="4">
        <v>2.4E-2</v>
      </c>
      <c r="P523" s="4">
        <v>0</v>
      </c>
      <c r="Q523" s="3" t="s">
        <v>26</v>
      </c>
      <c r="R523" s="3">
        <v>0</v>
      </c>
      <c r="S523" s="4">
        <v>0</v>
      </c>
      <c r="T523" s="4">
        <v>45</v>
      </c>
      <c r="U523" s="4">
        <v>85</v>
      </c>
      <c r="V523" s="4">
        <f>IF(ISERROR(VLOOKUP($S$523,'TAR FIN'!$A$1:$O$91,15,0)),0,VLOOKUP($S$523,'TAR FIN'!$A$1:$O$91,15,0))</f>
        <v>0</v>
      </c>
      <c r="W523" s="4">
        <f>IF(ISERROR(VLOOKUP($T$523,'TAR FIN'!$A$1:$O$91,15,0)),0,VLOOKUP($T$523,'TAR FIN'!$A$1:$O$91,15,0))</f>
        <v>721.58</v>
      </c>
      <c r="X523" s="4">
        <f>IF(ISERROR(VLOOKUP($U$523,'TAR FIN'!$A$1:$O$91,15,0)),0,VLOOKUP($U$523,'TAR FIN'!$A$1:$O$91,15,0))</f>
        <v>189.96</v>
      </c>
      <c r="Y523" s="4"/>
      <c r="Z523" s="4">
        <f ca="1">('TUSD BE'!$AM$49+'TUSD BF'!$AM$49+'TUSD CVA'!$AM$49)*1</f>
        <v>814.58961420525986</v>
      </c>
      <c r="AA523" s="4">
        <f>('TE BE'!$AB$40+'TE BF'!$AB$40+'TE CVA'!$AB$40)*1</f>
        <v>195.89707226799715</v>
      </c>
      <c r="AB523" s="4">
        <f>$K$523*$V$523</f>
        <v>0</v>
      </c>
      <c r="AC523" s="4">
        <f>$M$523*$W$523</f>
        <v>17.317920000000001</v>
      </c>
      <c r="AD523" s="4">
        <f>$O$523*$X$523</f>
        <v>4.5590400000000004</v>
      </c>
      <c r="AE523" s="4">
        <f>$K$523*$Y$523</f>
        <v>0</v>
      </c>
      <c r="AF523" s="4">
        <f ca="1">$M$523*$Z$523</f>
        <v>19.550150740926238</v>
      </c>
      <c r="AG523" s="4">
        <f>$O$523*$AA$523</f>
        <v>4.701529734431932</v>
      </c>
    </row>
    <row r="524" spans="1:33" ht="11.25" customHeight="1" x14ac:dyDescent="0.3">
      <c r="A524" s="3" t="s">
        <v>21</v>
      </c>
      <c r="B524" s="3" t="s">
        <v>37</v>
      </c>
      <c r="C524" s="3" t="s">
        <v>33</v>
      </c>
      <c r="D524" s="3" t="s">
        <v>41</v>
      </c>
      <c r="E524" s="3" t="s">
        <v>25</v>
      </c>
      <c r="F524" s="3" t="s">
        <v>25</v>
      </c>
      <c r="G524" s="3" t="s">
        <v>25</v>
      </c>
      <c r="H524" s="3" t="s">
        <v>36</v>
      </c>
      <c r="I524" s="6">
        <v>44440</v>
      </c>
      <c r="J524" s="4">
        <v>0</v>
      </c>
      <c r="K524" s="4">
        <v>0</v>
      </c>
      <c r="L524" s="4">
        <v>1.2999999999999999E-2</v>
      </c>
      <c r="M524" s="4">
        <v>1.2999999999999999E-2</v>
      </c>
      <c r="N524" s="4">
        <v>1.2999999999999999E-2</v>
      </c>
      <c r="O524" s="4">
        <v>1.2999999999999999E-2</v>
      </c>
      <c r="P524" s="4">
        <v>0</v>
      </c>
      <c r="Q524" s="3" t="s">
        <v>26</v>
      </c>
      <c r="R524" s="3">
        <v>0</v>
      </c>
      <c r="S524" s="4">
        <v>0</v>
      </c>
      <c r="T524" s="4">
        <v>45</v>
      </c>
      <c r="U524" s="4">
        <v>85</v>
      </c>
      <c r="V524" s="4">
        <f>IF(ISERROR(VLOOKUP($S$524,'TAR FIN'!$A$1:$O$91,15,0)),0,VLOOKUP($S$524,'TAR FIN'!$A$1:$O$91,15,0))</f>
        <v>0</v>
      </c>
      <c r="W524" s="4">
        <f>IF(ISERROR(VLOOKUP($T$524,'TAR FIN'!$A$1:$O$91,15,0)),0,VLOOKUP($T$524,'TAR FIN'!$A$1:$O$91,15,0))</f>
        <v>721.58</v>
      </c>
      <c r="X524" s="4">
        <f>IF(ISERROR(VLOOKUP($U$524,'TAR FIN'!$A$1:$O$91,15,0)),0,VLOOKUP($U$524,'TAR FIN'!$A$1:$O$91,15,0))</f>
        <v>189.96</v>
      </c>
      <c r="Y524" s="4"/>
      <c r="Z524" s="4">
        <f ca="1">('TUSD BE'!$AM$49+'TUSD BF'!$AM$49+'TUSD CVA'!$AM$49)*1</f>
        <v>814.58961420525986</v>
      </c>
      <c r="AA524" s="4">
        <f>('TE BE'!$AB$40+'TE BF'!$AB$40+'TE CVA'!$AB$40)*1</f>
        <v>195.89707226799715</v>
      </c>
      <c r="AB524" s="4">
        <f>$K$524*$V$524</f>
        <v>0</v>
      </c>
      <c r="AC524" s="4">
        <f>$M$524*$W$524</f>
        <v>9.3805399999999999</v>
      </c>
      <c r="AD524" s="4">
        <f>$O$524*$X$524</f>
        <v>2.4694799999999999</v>
      </c>
      <c r="AE524" s="4">
        <f>$K$524*$Y$524</f>
        <v>0</v>
      </c>
      <c r="AF524" s="4">
        <f ca="1">$M$524*$Z$524</f>
        <v>10.589664984668378</v>
      </c>
      <c r="AG524" s="4">
        <f>$O$524*$AA$524</f>
        <v>2.5466619394839629</v>
      </c>
    </row>
    <row r="525" spans="1:33" ht="11.25" customHeight="1" x14ac:dyDescent="0.3">
      <c r="A525" s="3" t="s">
        <v>21</v>
      </c>
      <c r="B525" s="3" t="s">
        <v>37</v>
      </c>
      <c r="C525" s="3" t="s">
        <v>33</v>
      </c>
      <c r="D525" s="3" t="s">
        <v>41</v>
      </c>
      <c r="E525" s="3" t="s">
        <v>25</v>
      </c>
      <c r="F525" s="3" t="s">
        <v>25</v>
      </c>
      <c r="G525" s="3" t="s">
        <v>25</v>
      </c>
      <c r="H525" s="3" t="s">
        <v>36</v>
      </c>
      <c r="I525" s="6">
        <v>44470</v>
      </c>
      <c r="J525" s="4">
        <v>0</v>
      </c>
      <c r="K525" s="4">
        <v>0</v>
      </c>
      <c r="L525" s="4">
        <v>1.7000000000000001E-2</v>
      </c>
      <c r="M525" s="4">
        <v>1.7000000000000001E-2</v>
      </c>
      <c r="N525" s="4">
        <v>1.7000000000000001E-2</v>
      </c>
      <c r="O525" s="4">
        <v>1.7000000000000001E-2</v>
      </c>
      <c r="P525" s="4">
        <v>0</v>
      </c>
      <c r="Q525" s="3" t="s">
        <v>26</v>
      </c>
      <c r="R525" s="3">
        <v>0</v>
      </c>
      <c r="S525" s="4">
        <v>0</v>
      </c>
      <c r="T525" s="4">
        <v>45</v>
      </c>
      <c r="U525" s="4">
        <v>85</v>
      </c>
      <c r="V525" s="4">
        <f>IF(ISERROR(VLOOKUP($S$525,'TAR FIN'!$A$1:$O$91,15,0)),0,VLOOKUP($S$525,'TAR FIN'!$A$1:$O$91,15,0))</f>
        <v>0</v>
      </c>
      <c r="W525" s="4">
        <f>IF(ISERROR(VLOOKUP($T$525,'TAR FIN'!$A$1:$O$91,15,0)),0,VLOOKUP($T$525,'TAR FIN'!$A$1:$O$91,15,0))</f>
        <v>721.58</v>
      </c>
      <c r="X525" s="4">
        <f>IF(ISERROR(VLOOKUP($U$525,'TAR FIN'!$A$1:$O$91,15,0)),0,VLOOKUP($U$525,'TAR FIN'!$A$1:$O$91,15,0))</f>
        <v>189.96</v>
      </c>
      <c r="Y525" s="4"/>
      <c r="Z525" s="4">
        <f ca="1">('TUSD BE'!$AM$49+'TUSD BF'!$AM$49+'TUSD CVA'!$AM$49)*1</f>
        <v>814.58961420525986</v>
      </c>
      <c r="AA525" s="4">
        <f>('TE BE'!$AB$40+'TE BF'!$AB$40+'TE CVA'!$AB$40)*1</f>
        <v>195.89707226799715</v>
      </c>
      <c r="AB525" s="4">
        <f>$K$525*$V$525</f>
        <v>0</v>
      </c>
      <c r="AC525" s="4">
        <f>$M$525*$W$525</f>
        <v>12.266860000000001</v>
      </c>
      <c r="AD525" s="4">
        <f>$O$525*$X$525</f>
        <v>3.2293200000000004</v>
      </c>
      <c r="AE525" s="4">
        <f>$K$525*$Y$525</f>
        <v>0</v>
      </c>
      <c r="AF525" s="4">
        <f ca="1">$M$525*$Z$525</f>
        <v>13.848023441489419</v>
      </c>
      <c r="AG525" s="4">
        <f>$O$525*$AA$525</f>
        <v>3.3302502285559519</v>
      </c>
    </row>
    <row r="526" spans="1:33" ht="11.25" customHeight="1" x14ac:dyDescent="0.3">
      <c r="A526" s="3" t="s">
        <v>21</v>
      </c>
      <c r="B526" s="3" t="s">
        <v>37</v>
      </c>
      <c r="C526" s="3" t="s">
        <v>33</v>
      </c>
      <c r="D526" s="3" t="s">
        <v>41</v>
      </c>
      <c r="E526" s="3" t="s">
        <v>25</v>
      </c>
      <c r="F526" s="3" t="s">
        <v>25</v>
      </c>
      <c r="G526" s="3" t="s">
        <v>25</v>
      </c>
      <c r="H526" s="3" t="s">
        <v>36</v>
      </c>
      <c r="I526" s="6">
        <v>44501</v>
      </c>
      <c r="J526" s="4">
        <v>0</v>
      </c>
      <c r="K526" s="4">
        <v>0</v>
      </c>
      <c r="L526" s="4">
        <v>0.04</v>
      </c>
      <c r="M526" s="4">
        <v>0.04</v>
      </c>
      <c r="N526" s="4">
        <v>0.04</v>
      </c>
      <c r="O526" s="4">
        <v>0.04</v>
      </c>
      <c r="P526" s="4">
        <v>0</v>
      </c>
      <c r="Q526" s="3" t="s">
        <v>26</v>
      </c>
      <c r="R526" s="3">
        <v>0</v>
      </c>
      <c r="S526" s="4">
        <v>0</v>
      </c>
      <c r="T526" s="4">
        <v>45</v>
      </c>
      <c r="U526" s="4">
        <v>85</v>
      </c>
      <c r="V526" s="4">
        <f>IF(ISERROR(VLOOKUP($S$526,'TAR FIN'!$A$1:$O$91,15,0)),0,VLOOKUP($S$526,'TAR FIN'!$A$1:$O$91,15,0))</f>
        <v>0</v>
      </c>
      <c r="W526" s="4">
        <f>IF(ISERROR(VLOOKUP($T$526,'TAR FIN'!$A$1:$O$91,15,0)),0,VLOOKUP($T$526,'TAR FIN'!$A$1:$O$91,15,0))</f>
        <v>721.58</v>
      </c>
      <c r="X526" s="4">
        <f>IF(ISERROR(VLOOKUP($U$526,'TAR FIN'!$A$1:$O$91,15,0)),0,VLOOKUP($U$526,'TAR FIN'!$A$1:$O$91,15,0))</f>
        <v>189.96</v>
      </c>
      <c r="Y526" s="4"/>
      <c r="Z526" s="4">
        <f ca="1">('TUSD BE'!$AM$49+'TUSD BF'!$AM$49+'TUSD CVA'!$AM$49)*1</f>
        <v>814.58961420525986</v>
      </c>
      <c r="AA526" s="4">
        <f>('TE BE'!$AB$40+'TE BF'!$AB$40+'TE CVA'!$AB$40)*1</f>
        <v>195.89707226799715</v>
      </c>
      <c r="AB526" s="4">
        <f>$K$526*$V$526</f>
        <v>0</v>
      </c>
      <c r="AC526" s="4">
        <f>$M$526*$W$526</f>
        <v>28.863200000000003</v>
      </c>
      <c r="AD526" s="4">
        <f>$O$526*$X$526</f>
        <v>7.5984000000000007</v>
      </c>
      <c r="AE526" s="4">
        <f>$K$526*$Y$526</f>
        <v>0</v>
      </c>
      <c r="AF526" s="4">
        <f ca="1">$M$526*$Z$526</f>
        <v>32.583584568210398</v>
      </c>
      <c r="AG526" s="4">
        <f>$O$526*$AA$526</f>
        <v>7.8358828907198861</v>
      </c>
    </row>
    <row r="527" spans="1:33" ht="11.25" customHeight="1" x14ac:dyDescent="0.3">
      <c r="A527" s="3" t="s">
        <v>21</v>
      </c>
      <c r="B527" s="3" t="s">
        <v>37</v>
      </c>
      <c r="C527" s="3" t="s">
        <v>33</v>
      </c>
      <c r="D527" s="3" t="s">
        <v>41</v>
      </c>
      <c r="E527" s="3" t="s">
        <v>25</v>
      </c>
      <c r="F527" s="3" t="s">
        <v>25</v>
      </c>
      <c r="G527" s="3" t="s">
        <v>25</v>
      </c>
      <c r="H527" s="3" t="s">
        <v>36</v>
      </c>
      <c r="I527" s="6">
        <v>44531</v>
      </c>
      <c r="J527" s="4">
        <v>0</v>
      </c>
      <c r="K527" s="4">
        <v>0</v>
      </c>
      <c r="L527" s="4">
        <v>5.1999999999999998E-2</v>
      </c>
      <c r="M527" s="4">
        <v>5.1999999999999998E-2</v>
      </c>
      <c r="N527" s="4">
        <v>5.1999999999999998E-2</v>
      </c>
      <c r="O527" s="4">
        <v>5.1999999999999998E-2</v>
      </c>
      <c r="P527" s="4">
        <v>0</v>
      </c>
      <c r="Q527" s="3" t="s">
        <v>26</v>
      </c>
      <c r="R527" s="3">
        <v>0</v>
      </c>
      <c r="S527" s="4">
        <v>0</v>
      </c>
      <c r="T527" s="4">
        <v>45</v>
      </c>
      <c r="U527" s="4">
        <v>85</v>
      </c>
      <c r="V527" s="4">
        <f>IF(ISERROR(VLOOKUP($S$527,'TAR FIN'!$A$1:$O$91,15,0)),0,VLOOKUP($S$527,'TAR FIN'!$A$1:$O$91,15,0))</f>
        <v>0</v>
      </c>
      <c r="W527" s="4">
        <f>IF(ISERROR(VLOOKUP($T$527,'TAR FIN'!$A$1:$O$91,15,0)),0,VLOOKUP($T$527,'TAR FIN'!$A$1:$O$91,15,0))</f>
        <v>721.58</v>
      </c>
      <c r="X527" s="4">
        <f>IF(ISERROR(VLOOKUP($U$527,'TAR FIN'!$A$1:$O$91,15,0)),0,VLOOKUP($U$527,'TAR FIN'!$A$1:$O$91,15,0))</f>
        <v>189.96</v>
      </c>
      <c r="Y527" s="4"/>
      <c r="Z527" s="4">
        <f ca="1">('TUSD BE'!$AM$49+'TUSD BF'!$AM$49+'TUSD CVA'!$AM$49)*1</f>
        <v>814.58961420525986</v>
      </c>
      <c r="AA527" s="4">
        <f>('TE BE'!$AB$40+'TE BF'!$AB$40+'TE CVA'!$AB$40)*1</f>
        <v>195.89707226799715</v>
      </c>
      <c r="AB527" s="4">
        <f>$K$527*$V$527</f>
        <v>0</v>
      </c>
      <c r="AC527" s="4">
        <f>$M$527*$W$527</f>
        <v>37.52216</v>
      </c>
      <c r="AD527" s="4">
        <f>$O$527*$X$527</f>
        <v>9.8779199999999996</v>
      </c>
      <c r="AE527" s="4">
        <f>$K$527*$Y$527</f>
        <v>0</v>
      </c>
      <c r="AF527" s="4">
        <f ca="1">$M$527*$Z$527</f>
        <v>42.358659938673512</v>
      </c>
      <c r="AG527" s="4">
        <f>$O$527*$AA$527</f>
        <v>10.186647757935852</v>
      </c>
    </row>
    <row r="528" spans="1:33" ht="11.25" customHeight="1" x14ac:dyDescent="0.3">
      <c r="A528" s="3" t="s">
        <v>21</v>
      </c>
      <c r="B528" s="3" t="s">
        <v>37</v>
      </c>
      <c r="C528" s="3" t="s">
        <v>33</v>
      </c>
      <c r="D528" s="3" t="s">
        <v>41</v>
      </c>
      <c r="E528" s="3" t="s">
        <v>25</v>
      </c>
      <c r="F528" s="3" t="s">
        <v>25</v>
      </c>
      <c r="G528" s="3" t="s">
        <v>25</v>
      </c>
      <c r="H528" s="3" t="s">
        <v>36</v>
      </c>
      <c r="I528" s="6">
        <v>44562</v>
      </c>
      <c r="J528" s="4">
        <v>0</v>
      </c>
      <c r="K528" s="4">
        <v>0</v>
      </c>
      <c r="L528" s="4">
        <v>6.0999999999999999E-2</v>
      </c>
      <c r="M528" s="4">
        <v>6.0999999999999999E-2</v>
      </c>
      <c r="N528" s="4">
        <v>6.0999999999999999E-2</v>
      </c>
      <c r="O528" s="4">
        <v>6.0999999999999999E-2</v>
      </c>
      <c r="P528" s="4">
        <v>0</v>
      </c>
      <c r="Q528" s="3" t="s">
        <v>26</v>
      </c>
      <c r="R528" s="3">
        <v>0</v>
      </c>
      <c r="S528" s="4">
        <v>0</v>
      </c>
      <c r="T528" s="4">
        <v>45</v>
      </c>
      <c r="U528" s="4">
        <v>85</v>
      </c>
      <c r="V528" s="4">
        <f>IF(ISERROR(VLOOKUP($S$528,'TAR FIN'!$A$1:$O$91,15,0)),0,VLOOKUP($S$528,'TAR FIN'!$A$1:$O$91,15,0))</f>
        <v>0</v>
      </c>
      <c r="W528" s="4">
        <f>IF(ISERROR(VLOOKUP($T$528,'TAR FIN'!$A$1:$O$91,15,0)),0,VLOOKUP($T$528,'TAR FIN'!$A$1:$O$91,15,0))</f>
        <v>721.58</v>
      </c>
      <c r="X528" s="4">
        <f>IF(ISERROR(VLOOKUP($U$528,'TAR FIN'!$A$1:$O$91,15,0)),0,VLOOKUP($U$528,'TAR FIN'!$A$1:$O$91,15,0))</f>
        <v>189.96</v>
      </c>
      <c r="Y528" s="4"/>
      <c r="Z528" s="4">
        <f ca="1">('TUSD BE'!$AM$49+'TUSD BF'!$AM$49+'TUSD CVA'!$AM$49)*1</f>
        <v>814.58961420525986</v>
      </c>
      <c r="AA528" s="4">
        <f>('TE BE'!$AB$40+'TE BF'!$AB$40+'TE CVA'!$AB$40)*1</f>
        <v>195.89707226799715</v>
      </c>
      <c r="AB528" s="4">
        <f>$K$528*$V$528</f>
        <v>0</v>
      </c>
      <c r="AC528" s="4">
        <f>$M$528*$W$528</f>
        <v>44.016379999999998</v>
      </c>
      <c r="AD528" s="4">
        <f>$O$528*$X$528</f>
        <v>11.58756</v>
      </c>
      <c r="AE528" s="4">
        <f>$K$528*$Y$528</f>
        <v>0</v>
      </c>
      <c r="AF528" s="4">
        <f ca="1">$M$528*$Z$528</f>
        <v>49.68996646652085</v>
      </c>
      <c r="AG528" s="4">
        <f>$O$528*$AA$528</f>
        <v>11.949721408347825</v>
      </c>
    </row>
    <row r="529" spans="1:33" ht="11.25" customHeight="1" x14ac:dyDescent="0.3">
      <c r="A529" s="3" t="s">
        <v>21</v>
      </c>
      <c r="B529" s="3" t="s">
        <v>37</v>
      </c>
      <c r="C529" s="3" t="s">
        <v>33</v>
      </c>
      <c r="D529" s="3" t="s">
        <v>41</v>
      </c>
      <c r="E529" s="3" t="s">
        <v>25</v>
      </c>
      <c r="F529" s="3" t="s">
        <v>25</v>
      </c>
      <c r="G529" s="3" t="s">
        <v>25</v>
      </c>
      <c r="H529" s="3" t="s">
        <v>36</v>
      </c>
      <c r="I529" s="6">
        <v>44593</v>
      </c>
      <c r="J529" s="4">
        <v>0</v>
      </c>
      <c r="K529" s="4">
        <v>0</v>
      </c>
      <c r="L529" s="4">
        <v>6.9000000000000006E-2</v>
      </c>
      <c r="M529" s="4">
        <v>6.9000000000000006E-2</v>
      </c>
      <c r="N529" s="4">
        <v>6.9000000000000006E-2</v>
      </c>
      <c r="O529" s="4">
        <v>6.9000000000000006E-2</v>
      </c>
      <c r="P529" s="4">
        <v>0</v>
      </c>
      <c r="Q529" s="3" t="s">
        <v>26</v>
      </c>
      <c r="R529" s="3">
        <v>0</v>
      </c>
      <c r="S529" s="4">
        <v>0</v>
      </c>
      <c r="T529" s="4">
        <v>45</v>
      </c>
      <c r="U529" s="4">
        <v>85</v>
      </c>
      <c r="V529" s="4">
        <f>IF(ISERROR(VLOOKUP($S$529,'TAR FIN'!$A$1:$O$91,15,0)),0,VLOOKUP($S$529,'TAR FIN'!$A$1:$O$91,15,0))</f>
        <v>0</v>
      </c>
      <c r="W529" s="4">
        <f>IF(ISERROR(VLOOKUP($T$529,'TAR FIN'!$A$1:$O$91,15,0)),0,VLOOKUP($T$529,'TAR FIN'!$A$1:$O$91,15,0))</f>
        <v>721.58</v>
      </c>
      <c r="X529" s="4">
        <f>IF(ISERROR(VLOOKUP($U$529,'TAR FIN'!$A$1:$O$91,15,0)),0,VLOOKUP($U$529,'TAR FIN'!$A$1:$O$91,15,0))</f>
        <v>189.96</v>
      </c>
      <c r="Y529" s="4"/>
      <c r="Z529" s="4">
        <f ca="1">('TUSD BE'!$AM$49+'TUSD BF'!$AM$49+'TUSD CVA'!$AM$49)*1</f>
        <v>814.58961420525986</v>
      </c>
      <c r="AA529" s="4">
        <f>('TE BE'!$AB$40+'TE BF'!$AB$40+'TE CVA'!$AB$40)*1</f>
        <v>195.89707226799715</v>
      </c>
      <c r="AB529" s="4">
        <f>$K$529*$V$529</f>
        <v>0</v>
      </c>
      <c r="AC529" s="4">
        <f>$M$529*$W$529</f>
        <v>49.789020000000008</v>
      </c>
      <c r="AD529" s="4">
        <f>$O$529*$X$529</f>
        <v>13.107240000000001</v>
      </c>
      <c r="AE529" s="4">
        <f>$K$529*$Y$529</f>
        <v>0</v>
      </c>
      <c r="AF529" s="4">
        <f ca="1">$M$529*$Z$529</f>
        <v>56.206683380162936</v>
      </c>
      <c r="AG529" s="4">
        <f>$O$529*$AA$529</f>
        <v>13.516897986491804</v>
      </c>
    </row>
    <row r="530" spans="1:33" ht="11.25" customHeight="1" x14ac:dyDescent="0.3">
      <c r="A530" s="3" t="s">
        <v>21</v>
      </c>
      <c r="B530" s="3" t="s">
        <v>37</v>
      </c>
      <c r="C530" s="3" t="s">
        <v>33</v>
      </c>
      <c r="D530" s="3" t="s">
        <v>41</v>
      </c>
      <c r="E530" s="3" t="s">
        <v>25</v>
      </c>
      <c r="F530" s="3" t="s">
        <v>25</v>
      </c>
      <c r="G530" s="3" t="s">
        <v>25</v>
      </c>
      <c r="H530" s="3" t="s">
        <v>36</v>
      </c>
      <c r="I530" s="6">
        <v>44621</v>
      </c>
      <c r="J530" s="4">
        <v>0</v>
      </c>
      <c r="K530" s="4">
        <v>0</v>
      </c>
      <c r="L530" s="4">
        <v>5.2999999999999999E-2</v>
      </c>
      <c r="M530" s="4">
        <v>5.2999999999999999E-2</v>
      </c>
      <c r="N530" s="4">
        <v>5.2999999999999999E-2</v>
      </c>
      <c r="O530" s="4">
        <v>5.2999999999999999E-2</v>
      </c>
      <c r="P530" s="4">
        <v>0</v>
      </c>
      <c r="Q530" s="3" t="s">
        <v>26</v>
      </c>
      <c r="R530" s="3">
        <v>0</v>
      </c>
      <c r="S530" s="4">
        <v>0</v>
      </c>
      <c r="T530" s="4">
        <v>45</v>
      </c>
      <c r="U530" s="4">
        <v>85</v>
      </c>
      <c r="V530" s="4">
        <f>IF(ISERROR(VLOOKUP($S$530,'TAR FIN'!$A$1:$O$91,15,0)),0,VLOOKUP($S$530,'TAR FIN'!$A$1:$O$91,15,0))</f>
        <v>0</v>
      </c>
      <c r="W530" s="4">
        <f>IF(ISERROR(VLOOKUP($T$530,'TAR FIN'!$A$1:$O$91,15,0)),0,VLOOKUP($T$530,'TAR FIN'!$A$1:$O$91,15,0))</f>
        <v>721.58</v>
      </c>
      <c r="X530" s="4">
        <f>IF(ISERROR(VLOOKUP($U$530,'TAR FIN'!$A$1:$O$91,15,0)),0,VLOOKUP($U$530,'TAR FIN'!$A$1:$O$91,15,0))</f>
        <v>189.96</v>
      </c>
      <c r="Y530" s="4"/>
      <c r="Z530" s="4">
        <f ca="1">('TUSD BE'!$AM$49+'TUSD BF'!$AM$49+'TUSD CVA'!$AM$49)*1</f>
        <v>814.58961420525986</v>
      </c>
      <c r="AA530" s="4">
        <f>('TE BE'!$AB$40+'TE BF'!$AB$40+'TE CVA'!$AB$40)*1</f>
        <v>195.89707226799715</v>
      </c>
      <c r="AB530" s="4">
        <f>$K$530*$V$530</f>
        <v>0</v>
      </c>
      <c r="AC530" s="4">
        <f>$M$530*$W$530</f>
        <v>38.243740000000003</v>
      </c>
      <c r="AD530" s="4">
        <f>$O$530*$X$530</f>
        <v>10.067880000000001</v>
      </c>
      <c r="AE530" s="4">
        <f>$K$530*$Y$530</f>
        <v>0</v>
      </c>
      <c r="AF530" s="4">
        <f ca="1">$M$530*$Z$530</f>
        <v>43.173249552878772</v>
      </c>
      <c r="AG530" s="4">
        <f>$O$530*$AA$530</f>
        <v>10.382544830203848</v>
      </c>
    </row>
    <row r="531" spans="1:33" ht="11.25" customHeight="1" x14ac:dyDescent="0.3">
      <c r="A531" s="3" t="s">
        <v>21</v>
      </c>
      <c r="B531" s="3" t="s">
        <v>37</v>
      </c>
      <c r="C531" s="3" t="s">
        <v>33</v>
      </c>
      <c r="D531" s="3" t="s">
        <v>41</v>
      </c>
      <c r="E531" s="3" t="s">
        <v>25</v>
      </c>
      <c r="F531" s="3" t="s">
        <v>25</v>
      </c>
      <c r="G531" s="3" t="s">
        <v>25</v>
      </c>
      <c r="H531" s="3" t="s">
        <v>36</v>
      </c>
      <c r="I531" s="6">
        <v>44652</v>
      </c>
      <c r="J531" s="4">
        <v>0</v>
      </c>
      <c r="K531" s="4">
        <v>0</v>
      </c>
      <c r="L531" s="4">
        <v>2.4E-2</v>
      </c>
      <c r="M531" s="4">
        <v>2.4E-2</v>
      </c>
      <c r="N531" s="4">
        <v>2.4E-2</v>
      </c>
      <c r="O531" s="4">
        <v>2.4E-2</v>
      </c>
      <c r="P531" s="4">
        <v>0</v>
      </c>
      <c r="Q531" s="3" t="s">
        <v>26</v>
      </c>
      <c r="R531" s="3">
        <v>0</v>
      </c>
      <c r="S531" s="4">
        <v>0</v>
      </c>
      <c r="T531" s="4">
        <v>45</v>
      </c>
      <c r="U531" s="4">
        <v>85</v>
      </c>
      <c r="V531" s="4">
        <f>IF(ISERROR(VLOOKUP($S$531,'TAR FIN'!$A$1:$O$91,15,0)),0,VLOOKUP($S$531,'TAR FIN'!$A$1:$O$91,15,0))</f>
        <v>0</v>
      </c>
      <c r="W531" s="4">
        <f>IF(ISERROR(VLOOKUP($T$531,'TAR FIN'!$A$1:$O$91,15,0)),0,VLOOKUP($T$531,'TAR FIN'!$A$1:$O$91,15,0))</f>
        <v>721.58</v>
      </c>
      <c r="X531" s="4">
        <f>IF(ISERROR(VLOOKUP($U$531,'TAR FIN'!$A$1:$O$91,15,0)),0,VLOOKUP($U$531,'TAR FIN'!$A$1:$O$91,15,0))</f>
        <v>189.96</v>
      </c>
      <c r="Y531" s="4"/>
      <c r="Z531" s="4">
        <f ca="1">('TUSD BE'!$AM$49+'TUSD BF'!$AM$49+'TUSD CVA'!$AM$49)*1</f>
        <v>814.58961420525986</v>
      </c>
      <c r="AA531" s="4">
        <f>('TE BE'!$AB$40+'TE BF'!$AB$40+'TE CVA'!$AB$40)*1</f>
        <v>195.89707226799715</v>
      </c>
      <c r="AB531" s="4">
        <f>$K$531*$V$531</f>
        <v>0</v>
      </c>
      <c r="AC531" s="4">
        <f>$M$531*$W$531</f>
        <v>17.317920000000001</v>
      </c>
      <c r="AD531" s="4">
        <f>$O$531*$X$531</f>
        <v>4.5590400000000004</v>
      </c>
      <c r="AE531" s="4">
        <f>$K$531*$Y$531</f>
        <v>0</v>
      </c>
      <c r="AF531" s="4">
        <f ca="1">$M$531*$Z$531</f>
        <v>19.550150740926238</v>
      </c>
      <c r="AG531" s="4">
        <f>$O$531*$AA$531</f>
        <v>4.701529734431932</v>
      </c>
    </row>
    <row r="532" spans="1:33" ht="11.25" customHeight="1" x14ac:dyDescent="0.3">
      <c r="A532" s="3" t="s">
        <v>21</v>
      </c>
      <c r="B532" s="3" t="s">
        <v>37</v>
      </c>
      <c r="C532" s="3" t="s">
        <v>33</v>
      </c>
      <c r="D532" s="3" t="s">
        <v>41</v>
      </c>
      <c r="E532" s="3" t="s">
        <v>25</v>
      </c>
      <c r="F532" s="3" t="s">
        <v>25</v>
      </c>
      <c r="G532" s="3" t="s">
        <v>25</v>
      </c>
      <c r="H532" s="3" t="s">
        <v>36</v>
      </c>
      <c r="I532" s="6">
        <v>44682</v>
      </c>
      <c r="J532" s="4">
        <v>0</v>
      </c>
      <c r="K532" s="4">
        <v>0</v>
      </c>
      <c r="L532" s="4">
        <v>1.2999999999999999E-2</v>
      </c>
      <c r="M532" s="4">
        <v>1.2999999999999999E-2</v>
      </c>
      <c r="N532" s="4">
        <v>1.2999999999999999E-2</v>
      </c>
      <c r="O532" s="4">
        <v>1.2999999999999999E-2</v>
      </c>
      <c r="P532" s="4">
        <v>0</v>
      </c>
      <c r="Q532" s="3" t="s">
        <v>26</v>
      </c>
      <c r="R532" s="3">
        <v>0</v>
      </c>
      <c r="S532" s="4">
        <v>0</v>
      </c>
      <c r="T532" s="4">
        <v>45</v>
      </c>
      <c r="U532" s="4">
        <v>85</v>
      </c>
      <c r="V532" s="4">
        <f>IF(ISERROR(VLOOKUP($S$532,'TAR FIN'!$A$1:$O$91,15,0)),0,VLOOKUP($S$532,'TAR FIN'!$A$1:$O$91,15,0))</f>
        <v>0</v>
      </c>
      <c r="W532" s="4">
        <f>IF(ISERROR(VLOOKUP($T$532,'TAR FIN'!$A$1:$O$91,15,0)),0,VLOOKUP($T$532,'TAR FIN'!$A$1:$O$91,15,0))</f>
        <v>721.58</v>
      </c>
      <c r="X532" s="4">
        <f>IF(ISERROR(VLOOKUP($U$532,'TAR FIN'!$A$1:$O$91,15,0)),0,VLOOKUP($U$532,'TAR FIN'!$A$1:$O$91,15,0))</f>
        <v>189.96</v>
      </c>
      <c r="Y532" s="4"/>
      <c r="Z532" s="4">
        <f ca="1">('TUSD BE'!$AM$49+'TUSD BF'!$AM$49+'TUSD CVA'!$AM$49)*1</f>
        <v>814.58961420525986</v>
      </c>
      <c r="AA532" s="4">
        <f>('TE BE'!$AB$40+'TE BF'!$AB$40+'TE CVA'!$AB$40)*1</f>
        <v>195.89707226799715</v>
      </c>
      <c r="AB532" s="4">
        <f>$K$532*$V$532</f>
        <v>0</v>
      </c>
      <c r="AC532" s="4">
        <f>$M$532*$W$532</f>
        <v>9.3805399999999999</v>
      </c>
      <c r="AD532" s="4">
        <f>$O$532*$X$532</f>
        <v>2.4694799999999999</v>
      </c>
      <c r="AE532" s="4">
        <f>$K$532*$Y$532</f>
        <v>0</v>
      </c>
      <c r="AF532" s="4">
        <f ca="1">$M$532*$Z$532</f>
        <v>10.589664984668378</v>
      </c>
      <c r="AG532" s="4">
        <f>$O$532*$AA$532</f>
        <v>2.5466619394839629</v>
      </c>
    </row>
    <row r="533" spans="1:33" ht="11.25" customHeight="1" x14ac:dyDescent="0.3">
      <c r="A533" s="3" t="s">
        <v>21</v>
      </c>
      <c r="B533" s="3" t="s">
        <v>37</v>
      </c>
      <c r="C533" s="3" t="s">
        <v>33</v>
      </c>
      <c r="D533" s="3" t="s">
        <v>41</v>
      </c>
      <c r="E533" s="3" t="s">
        <v>25</v>
      </c>
      <c r="F533" s="3" t="s">
        <v>25</v>
      </c>
      <c r="G533" s="3" t="s">
        <v>25</v>
      </c>
      <c r="H533" s="3" t="s">
        <v>36</v>
      </c>
      <c r="I533" s="6">
        <v>44713</v>
      </c>
      <c r="J533" s="4">
        <v>0</v>
      </c>
      <c r="K533" s="4">
        <v>0</v>
      </c>
      <c r="L533" s="4">
        <v>2.9000000000000001E-2</v>
      </c>
      <c r="M533" s="4">
        <v>2.9000000000000001E-2</v>
      </c>
      <c r="N533" s="4">
        <v>2.9000000000000001E-2</v>
      </c>
      <c r="O533" s="4">
        <v>2.9000000000000001E-2</v>
      </c>
      <c r="P533" s="4">
        <v>0</v>
      </c>
      <c r="Q533" s="3" t="s">
        <v>26</v>
      </c>
      <c r="R533" s="3">
        <v>0</v>
      </c>
      <c r="S533" s="4">
        <v>0</v>
      </c>
      <c r="T533" s="4">
        <v>45</v>
      </c>
      <c r="U533" s="4">
        <v>85</v>
      </c>
      <c r="V533" s="4">
        <f>IF(ISERROR(VLOOKUP($S$533,'TAR FIN'!$A$1:$O$91,15,0)),0,VLOOKUP($S$533,'TAR FIN'!$A$1:$O$91,15,0))</f>
        <v>0</v>
      </c>
      <c r="W533" s="4">
        <f>IF(ISERROR(VLOOKUP($T$533,'TAR FIN'!$A$1:$O$91,15,0)),0,VLOOKUP($T$533,'TAR FIN'!$A$1:$O$91,15,0))</f>
        <v>721.58</v>
      </c>
      <c r="X533" s="4">
        <f>IF(ISERROR(VLOOKUP($U$533,'TAR FIN'!$A$1:$O$91,15,0)),0,VLOOKUP($U$533,'TAR FIN'!$A$1:$O$91,15,0))</f>
        <v>189.96</v>
      </c>
      <c r="Y533" s="4"/>
      <c r="Z533" s="4">
        <f ca="1">('TUSD BE'!$AM$49+'TUSD BF'!$AM$49+'TUSD CVA'!$AM$49)*1</f>
        <v>814.58961420525986</v>
      </c>
      <c r="AA533" s="4">
        <f>('TE BE'!$AB$40+'TE BF'!$AB$40+'TE CVA'!$AB$40)*1</f>
        <v>195.89707226799715</v>
      </c>
      <c r="AB533" s="4">
        <f>$K$533*$V$533</f>
        <v>0</v>
      </c>
      <c r="AC533" s="4">
        <f>$M$533*$W$533</f>
        <v>20.925820000000002</v>
      </c>
      <c r="AD533" s="4">
        <f>$O$533*$X$533</f>
        <v>5.5088400000000002</v>
      </c>
      <c r="AE533" s="4">
        <f>$K$533*$Y$533</f>
        <v>0</v>
      </c>
      <c r="AF533" s="4">
        <f ca="1">$M$533*$Z$533</f>
        <v>23.623098811952538</v>
      </c>
      <c r="AG533" s="4">
        <f>$O$533*$AA$533</f>
        <v>5.6810150957719179</v>
      </c>
    </row>
    <row r="534" spans="1:33" ht="11.25" customHeight="1" x14ac:dyDescent="0.3">
      <c r="A534" s="3" t="s">
        <v>21</v>
      </c>
      <c r="B534" s="3" t="s">
        <v>37</v>
      </c>
      <c r="C534" s="3" t="s">
        <v>33</v>
      </c>
      <c r="D534" s="3" t="s">
        <v>41</v>
      </c>
      <c r="E534" s="3" t="s">
        <v>25</v>
      </c>
      <c r="F534" s="3" t="s">
        <v>25</v>
      </c>
      <c r="G534" s="3" t="s">
        <v>25</v>
      </c>
      <c r="H534" s="3" t="s">
        <v>34</v>
      </c>
      <c r="I534" s="6">
        <v>44378</v>
      </c>
      <c r="J534" s="4">
        <v>0</v>
      </c>
      <c r="K534" s="4">
        <v>0</v>
      </c>
      <c r="L534" s="4">
        <v>1.9E-2</v>
      </c>
      <c r="M534" s="4">
        <v>1.9E-2</v>
      </c>
      <c r="N534" s="4">
        <v>1.9E-2</v>
      </c>
      <c r="O534" s="4">
        <v>1.9E-2</v>
      </c>
      <c r="P534" s="4">
        <v>0</v>
      </c>
      <c r="Q534" s="3" t="s">
        <v>26</v>
      </c>
      <c r="R534" s="3">
        <v>0</v>
      </c>
      <c r="S534" s="4">
        <v>0</v>
      </c>
      <c r="T534" s="4">
        <v>44</v>
      </c>
      <c r="U534" s="4">
        <v>84</v>
      </c>
      <c r="V534" s="4">
        <f>IF(ISERROR(VLOOKUP($S$534,'TAR FIN'!$A$1:$O$91,15,0)),0,VLOOKUP($S$534,'TAR FIN'!$A$1:$O$91,15,0))</f>
        <v>0</v>
      </c>
      <c r="W534" s="4">
        <f>IF(ISERROR(VLOOKUP($T$534,'TAR FIN'!$A$1:$O$91,15,0)),0,VLOOKUP($T$534,'TAR FIN'!$A$1:$O$91,15,0))</f>
        <v>1127.9100000000001</v>
      </c>
      <c r="X534" s="4">
        <f>IF(ISERROR(VLOOKUP($U$534,'TAR FIN'!$A$1:$O$91,15,0)),0,VLOOKUP($U$534,'TAR FIN'!$A$1:$O$91,15,0))</f>
        <v>298.83999999999997</v>
      </c>
      <c r="Y534" s="4"/>
      <c r="Z534" s="4">
        <f ca="1">('TUSD BE'!$AM$48+'TUSD BF'!$AM$48+'TUSD CVA'!$AM$48)*1</f>
        <v>1272.1208638466596</v>
      </c>
      <c r="AA534" s="4">
        <f>('TE BE'!$AB$39+'TE BF'!$AB$39+'TE CVA'!$AB$39)*1</f>
        <v>311.4117891483653</v>
      </c>
      <c r="AB534" s="4">
        <f>$K$534*$V$534</f>
        <v>0</v>
      </c>
      <c r="AC534" s="4">
        <f>$M$534*$W$534</f>
        <v>21.430289999999999</v>
      </c>
      <c r="AD534" s="4">
        <f>$O$534*$X$534</f>
        <v>5.6779599999999997</v>
      </c>
      <c r="AE534" s="4">
        <f>$K$534*$Y$534</f>
        <v>0</v>
      </c>
      <c r="AF534" s="4">
        <f ca="1">$M$534*$Z$534</f>
        <v>24.170296413086533</v>
      </c>
      <c r="AG534" s="4">
        <f>$O$534*$AA$534</f>
        <v>5.9168239938189409</v>
      </c>
    </row>
    <row r="535" spans="1:33" ht="11.25" customHeight="1" x14ac:dyDescent="0.3">
      <c r="A535" s="3" t="s">
        <v>21</v>
      </c>
      <c r="B535" s="3" t="s">
        <v>37</v>
      </c>
      <c r="C535" s="3" t="s">
        <v>33</v>
      </c>
      <c r="D535" s="3" t="s">
        <v>41</v>
      </c>
      <c r="E535" s="3" t="s">
        <v>25</v>
      </c>
      <c r="F535" s="3" t="s">
        <v>25</v>
      </c>
      <c r="G535" s="3" t="s">
        <v>25</v>
      </c>
      <c r="H535" s="3" t="s">
        <v>34</v>
      </c>
      <c r="I535" s="6">
        <v>44409</v>
      </c>
      <c r="J535" s="4">
        <v>0</v>
      </c>
      <c r="K535" s="4">
        <v>0</v>
      </c>
      <c r="L535" s="4">
        <v>0.02</v>
      </c>
      <c r="M535" s="4">
        <v>0.02</v>
      </c>
      <c r="N535" s="4">
        <v>0.02</v>
      </c>
      <c r="O535" s="4">
        <v>0.02</v>
      </c>
      <c r="P535" s="4">
        <v>0</v>
      </c>
      <c r="Q535" s="3" t="s">
        <v>26</v>
      </c>
      <c r="R535" s="3">
        <v>0</v>
      </c>
      <c r="S535" s="4">
        <v>0</v>
      </c>
      <c r="T535" s="4">
        <v>44</v>
      </c>
      <c r="U535" s="4">
        <v>84</v>
      </c>
      <c r="V535" s="4">
        <f>IF(ISERROR(VLOOKUP($S$535,'TAR FIN'!$A$1:$O$91,15,0)),0,VLOOKUP($S$535,'TAR FIN'!$A$1:$O$91,15,0))</f>
        <v>0</v>
      </c>
      <c r="W535" s="4">
        <f>IF(ISERROR(VLOOKUP($T$535,'TAR FIN'!$A$1:$O$91,15,0)),0,VLOOKUP($T$535,'TAR FIN'!$A$1:$O$91,15,0))</f>
        <v>1127.9100000000001</v>
      </c>
      <c r="X535" s="4">
        <f>IF(ISERROR(VLOOKUP($U$535,'TAR FIN'!$A$1:$O$91,15,0)),0,VLOOKUP($U$535,'TAR FIN'!$A$1:$O$91,15,0))</f>
        <v>298.83999999999997</v>
      </c>
      <c r="Y535" s="4"/>
      <c r="Z535" s="4">
        <f ca="1">('TUSD BE'!$AM$48+'TUSD BF'!$AM$48+'TUSD CVA'!$AM$48)*1</f>
        <v>1272.1208638466596</v>
      </c>
      <c r="AA535" s="4">
        <f>('TE BE'!$AB$39+'TE BF'!$AB$39+'TE CVA'!$AB$39)*1</f>
        <v>311.4117891483653</v>
      </c>
      <c r="AB535" s="4">
        <f>$K$535*$V$535</f>
        <v>0</v>
      </c>
      <c r="AC535" s="4">
        <f>$M$535*$W$535</f>
        <v>22.558200000000003</v>
      </c>
      <c r="AD535" s="4">
        <f>$O$535*$X$535</f>
        <v>5.9767999999999999</v>
      </c>
      <c r="AE535" s="4">
        <f>$K$535*$Y$535</f>
        <v>0</v>
      </c>
      <c r="AF535" s="4">
        <f ca="1">$M$535*$Z$535</f>
        <v>25.442417276933192</v>
      </c>
      <c r="AG535" s="4">
        <f>$O$535*$AA$535</f>
        <v>6.2282357829673058</v>
      </c>
    </row>
    <row r="536" spans="1:33" ht="11.25" customHeight="1" x14ac:dyDescent="0.3">
      <c r="A536" s="3" t="s">
        <v>21</v>
      </c>
      <c r="B536" s="3" t="s">
        <v>37</v>
      </c>
      <c r="C536" s="3" t="s">
        <v>33</v>
      </c>
      <c r="D536" s="3" t="s">
        <v>41</v>
      </c>
      <c r="E536" s="3" t="s">
        <v>25</v>
      </c>
      <c r="F536" s="3" t="s">
        <v>25</v>
      </c>
      <c r="G536" s="3" t="s">
        <v>25</v>
      </c>
      <c r="H536" s="3" t="s">
        <v>34</v>
      </c>
      <c r="I536" s="6">
        <v>44440</v>
      </c>
      <c r="J536" s="4">
        <v>0</v>
      </c>
      <c r="K536" s="4">
        <v>0</v>
      </c>
      <c r="L536" s="4">
        <v>1.4E-2</v>
      </c>
      <c r="M536" s="4">
        <v>1.4E-2</v>
      </c>
      <c r="N536" s="4">
        <v>1.4E-2</v>
      </c>
      <c r="O536" s="4">
        <v>1.4E-2</v>
      </c>
      <c r="P536" s="4">
        <v>0</v>
      </c>
      <c r="Q536" s="3" t="s">
        <v>26</v>
      </c>
      <c r="R536" s="3">
        <v>0</v>
      </c>
      <c r="S536" s="4">
        <v>0</v>
      </c>
      <c r="T536" s="4">
        <v>44</v>
      </c>
      <c r="U536" s="4">
        <v>84</v>
      </c>
      <c r="V536" s="4">
        <f>IF(ISERROR(VLOOKUP($S$536,'TAR FIN'!$A$1:$O$91,15,0)),0,VLOOKUP($S$536,'TAR FIN'!$A$1:$O$91,15,0))</f>
        <v>0</v>
      </c>
      <c r="W536" s="4">
        <f>IF(ISERROR(VLOOKUP($T$536,'TAR FIN'!$A$1:$O$91,15,0)),0,VLOOKUP($T$536,'TAR FIN'!$A$1:$O$91,15,0))</f>
        <v>1127.9100000000001</v>
      </c>
      <c r="X536" s="4">
        <f>IF(ISERROR(VLOOKUP($U$536,'TAR FIN'!$A$1:$O$91,15,0)),0,VLOOKUP($U$536,'TAR FIN'!$A$1:$O$91,15,0))</f>
        <v>298.83999999999997</v>
      </c>
      <c r="Y536" s="4"/>
      <c r="Z536" s="4">
        <f ca="1">('TUSD BE'!$AM$48+'TUSD BF'!$AM$48+'TUSD CVA'!$AM$48)*1</f>
        <v>1272.1208638466596</v>
      </c>
      <c r="AA536" s="4">
        <f>('TE BE'!$AB$39+'TE BF'!$AB$39+'TE CVA'!$AB$39)*1</f>
        <v>311.4117891483653</v>
      </c>
      <c r="AB536" s="4">
        <f>$K$536*$V$536</f>
        <v>0</v>
      </c>
      <c r="AC536" s="4">
        <f>$M$536*$W$536</f>
        <v>15.790740000000001</v>
      </c>
      <c r="AD536" s="4">
        <f>$O$536*$X$536</f>
        <v>4.1837599999999995</v>
      </c>
      <c r="AE536" s="4">
        <f>$K$536*$Y$536</f>
        <v>0</v>
      </c>
      <c r="AF536" s="4">
        <f ca="1">$M$536*$Z$536</f>
        <v>17.809692093853236</v>
      </c>
      <c r="AG536" s="4">
        <f>$O$536*$AA$536</f>
        <v>4.3597650480771142</v>
      </c>
    </row>
    <row r="537" spans="1:33" ht="11.25" customHeight="1" x14ac:dyDescent="0.3">
      <c r="A537" s="3" t="s">
        <v>21</v>
      </c>
      <c r="B537" s="3" t="s">
        <v>37</v>
      </c>
      <c r="C537" s="3" t="s">
        <v>33</v>
      </c>
      <c r="D537" s="3" t="s">
        <v>41</v>
      </c>
      <c r="E537" s="3" t="s">
        <v>25</v>
      </c>
      <c r="F537" s="3" t="s">
        <v>25</v>
      </c>
      <c r="G537" s="3" t="s">
        <v>25</v>
      </c>
      <c r="H537" s="3" t="s">
        <v>34</v>
      </c>
      <c r="I537" s="6">
        <v>44470</v>
      </c>
      <c r="J537" s="4">
        <v>0</v>
      </c>
      <c r="K537" s="4">
        <v>0</v>
      </c>
      <c r="L537" s="4">
        <v>1.4999999999999999E-2</v>
      </c>
      <c r="M537" s="4">
        <v>1.4999999999999999E-2</v>
      </c>
      <c r="N537" s="4">
        <v>1.4999999999999999E-2</v>
      </c>
      <c r="O537" s="4">
        <v>1.4999999999999999E-2</v>
      </c>
      <c r="P537" s="4">
        <v>0</v>
      </c>
      <c r="Q537" s="3" t="s">
        <v>26</v>
      </c>
      <c r="R537" s="3">
        <v>0</v>
      </c>
      <c r="S537" s="4">
        <v>0</v>
      </c>
      <c r="T537" s="4">
        <v>44</v>
      </c>
      <c r="U537" s="4">
        <v>84</v>
      </c>
      <c r="V537" s="4">
        <f>IF(ISERROR(VLOOKUP($S$537,'TAR FIN'!$A$1:$O$91,15,0)),0,VLOOKUP($S$537,'TAR FIN'!$A$1:$O$91,15,0))</f>
        <v>0</v>
      </c>
      <c r="W537" s="4">
        <f>IF(ISERROR(VLOOKUP($T$537,'TAR FIN'!$A$1:$O$91,15,0)),0,VLOOKUP($T$537,'TAR FIN'!$A$1:$O$91,15,0))</f>
        <v>1127.9100000000001</v>
      </c>
      <c r="X537" s="4">
        <f>IF(ISERROR(VLOOKUP($U$537,'TAR FIN'!$A$1:$O$91,15,0)),0,VLOOKUP($U$537,'TAR FIN'!$A$1:$O$91,15,0))</f>
        <v>298.83999999999997</v>
      </c>
      <c r="Y537" s="4"/>
      <c r="Z537" s="4">
        <f ca="1">('TUSD BE'!$AM$48+'TUSD BF'!$AM$48+'TUSD CVA'!$AM$48)*1</f>
        <v>1272.1208638466596</v>
      </c>
      <c r="AA537" s="4">
        <f>('TE BE'!$AB$39+'TE BF'!$AB$39+'TE CVA'!$AB$39)*1</f>
        <v>311.4117891483653</v>
      </c>
      <c r="AB537" s="4">
        <f>$K$537*$V$537</f>
        <v>0</v>
      </c>
      <c r="AC537" s="4">
        <f>$M$537*$W$537</f>
        <v>16.91865</v>
      </c>
      <c r="AD537" s="4">
        <f>$O$537*$X$537</f>
        <v>4.4825999999999997</v>
      </c>
      <c r="AE537" s="4">
        <f>$K$537*$Y$537</f>
        <v>0</v>
      </c>
      <c r="AF537" s="4">
        <f ca="1">$M$537*$Z$537</f>
        <v>19.081812957699892</v>
      </c>
      <c r="AG537" s="4">
        <f>$O$537*$AA$537</f>
        <v>4.6711768372254792</v>
      </c>
    </row>
    <row r="538" spans="1:33" ht="11.25" customHeight="1" x14ac:dyDescent="0.3">
      <c r="A538" s="3" t="s">
        <v>21</v>
      </c>
      <c r="B538" s="3" t="s">
        <v>37</v>
      </c>
      <c r="C538" s="3" t="s">
        <v>33</v>
      </c>
      <c r="D538" s="3" t="s">
        <v>41</v>
      </c>
      <c r="E538" s="3" t="s">
        <v>25</v>
      </c>
      <c r="F538" s="3" t="s">
        <v>25</v>
      </c>
      <c r="G538" s="3" t="s">
        <v>25</v>
      </c>
      <c r="H538" s="3" t="s">
        <v>34</v>
      </c>
      <c r="I538" s="6">
        <v>44501</v>
      </c>
      <c r="J538" s="4">
        <v>0</v>
      </c>
      <c r="K538" s="4">
        <v>0</v>
      </c>
      <c r="L538" s="4">
        <v>1.4E-2</v>
      </c>
      <c r="M538" s="4">
        <v>1.4E-2</v>
      </c>
      <c r="N538" s="4">
        <v>1.4E-2</v>
      </c>
      <c r="O538" s="4">
        <v>1.4E-2</v>
      </c>
      <c r="P538" s="4">
        <v>0</v>
      </c>
      <c r="Q538" s="3" t="s">
        <v>26</v>
      </c>
      <c r="R538" s="3">
        <v>0</v>
      </c>
      <c r="S538" s="4">
        <v>0</v>
      </c>
      <c r="T538" s="4">
        <v>44</v>
      </c>
      <c r="U538" s="4">
        <v>84</v>
      </c>
      <c r="V538" s="4">
        <f>IF(ISERROR(VLOOKUP($S$538,'TAR FIN'!$A$1:$O$91,15,0)),0,VLOOKUP($S$538,'TAR FIN'!$A$1:$O$91,15,0))</f>
        <v>0</v>
      </c>
      <c r="W538" s="4">
        <f>IF(ISERROR(VLOOKUP($T$538,'TAR FIN'!$A$1:$O$91,15,0)),0,VLOOKUP($T$538,'TAR FIN'!$A$1:$O$91,15,0))</f>
        <v>1127.9100000000001</v>
      </c>
      <c r="X538" s="4">
        <f>IF(ISERROR(VLOOKUP($U$538,'TAR FIN'!$A$1:$O$91,15,0)),0,VLOOKUP($U$538,'TAR FIN'!$A$1:$O$91,15,0))</f>
        <v>298.83999999999997</v>
      </c>
      <c r="Y538" s="4"/>
      <c r="Z538" s="4">
        <f ca="1">('TUSD BE'!$AM$48+'TUSD BF'!$AM$48+'TUSD CVA'!$AM$48)*1</f>
        <v>1272.1208638466596</v>
      </c>
      <c r="AA538" s="4">
        <f>('TE BE'!$AB$39+'TE BF'!$AB$39+'TE CVA'!$AB$39)*1</f>
        <v>311.4117891483653</v>
      </c>
      <c r="AB538" s="4">
        <f>$K$538*$V$538</f>
        <v>0</v>
      </c>
      <c r="AC538" s="4">
        <f>$M$538*$W$538</f>
        <v>15.790740000000001</v>
      </c>
      <c r="AD538" s="4">
        <f>$O$538*$X$538</f>
        <v>4.1837599999999995</v>
      </c>
      <c r="AE538" s="4">
        <f>$K$538*$Y$538</f>
        <v>0</v>
      </c>
      <c r="AF538" s="4">
        <f ca="1">$M$538*$Z$538</f>
        <v>17.809692093853236</v>
      </c>
      <c r="AG538" s="4">
        <f>$O$538*$AA$538</f>
        <v>4.3597650480771142</v>
      </c>
    </row>
    <row r="539" spans="1:33" ht="11.25" customHeight="1" x14ac:dyDescent="0.3">
      <c r="A539" s="3" t="s">
        <v>21</v>
      </c>
      <c r="B539" s="3" t="s">
        <v>37</v>
      </c>
      <c r="C539" s="3" t="s">
        <v>33</v>
      </c>
      <c r="D539" s="3" t="s">
        <v>41</v>
      </c>
      <c r="E539" s="3" t="s">
        <v>25</v>
      </c>
      <c r="F539" s="3" t="s">
        <v>25</v>
      </c>
      <c r="G539" s="3" t="s">
        <v>25</v>
      </c>
      <c r="H539" s="3" t="s">
        <v>34</v>
      </c>
      <c r="I539" s="6">
        <v>44531</v>
      </c>
      <c r="J539" s="4">
        <v>0</v>
      </c>
      <c r="K539" s="4">
        <v>0</v>
      </c>
      <c r="L539" s="4">
        <v>0.02</v>
      </c>
      <c r="M539" s="4">
        <v>0.02</v>
      </c>
      <c r="N539" s="4">
        <v>0.02</v>
      </c>
      <c r="O539" s="4">
        <v>0.02</v>
      </c>
      <c r="P539" s="4">
        <v>0</v>
      </c>
      <c r="Q539" s="3" t="s">
        <v>26</v>
      </c>
      <c r="R539" s="3">
        <v>0</v>
      </c>
      <c r="S539" s="4">
        <v>0</v>
      </c>
      <c r="T539" s="4">
        <v>44</v>
      </c>
      <c r="U539" s="4">
        <v>84</v>
      </c>
      <c r="V539" s="4">
        <f>IF(ISERROR(VLOOKUP($S$539,'TAR FIN'!$A$1:$O$91,15,0)),0,VLOOKUP($S$539,'TAR FIN'!$A$1:$O$91,15,0))</f>
        <v>0</v>
      </c>
      <c r="W539" s="4">
        <f>IF(ISERROR(VLOOKUP($T$539,'TAR FIN'!$A$1:$O$91,15,0)),0,VLOOKUP($T$539,'TAR FIN'!$A$1:$O$91,15,0))</f>
        <v>1127.9100000000001</v>
      </c>
      <c r="X539" s="4">
        <f>IF(ISERROR(VLOOKUP($U$539,'TAR FIN'!$A$1:$O$91,15,0)),0,VLOOKUP($U$539,'TAR FIN'!$A$1:$O$91,15,0))</f>
        <v>298.83999999999997</v>
      </c>
      <c r="Y539" s="4"/>
      <c r="Z539" s="4">
        <f ca="1">('TUSD BE'!$AM$48+'TUSD BF'!$AM$48+'TUSD CVA'!$AM$48)*1</f>
        <v>1272.1208638466596</v>
      </c>
      <c r="AA539" s="4">
        <f>('TE BE'!$AB$39+'TE BF'!$AB$39+'TE CVA'!$AB$39)*1</f>
        <v>311.4117891483653</v>
      </c>
      <c r="AB539" s="4">
        <f>$K$539*$V$539</f>
        <v>0</v>
      </c>
      <c r="AC539" s="4">
        <f>$M$539*$W$539</f>
        <v>22.558200000000003</v>
      </c>
      <c r="AD539" s="4">
        <f>$O$539*$X$539</f>
        <v>5.9767999999999999</v>
      </c>
      <c r="AE539" s="4">
        <f>$K$539*$Y$539</f>
        <v>0</v>
      </c>
      <c r="AF539" s="4">
        <f ca="1">$M$539*$Z$539</f>
        <v>25.442417276933192</v>
      </c>
      <c r="AG539" s="4">
        <f>$O$539*$AA$539</f>
        <v>6.2282357829673058</v>
      </c>
    </row>
    <row r="540" spans="1:33" ht="11.25" customHeight="1" x14ac:dyDescent="0.3">
      <c r="A540" s="3" t="s">
        <v>21</v>
      </c>
      <c r="B540" s="3" t="s">
        <v>37</v>
      </c>
      <c r="C540" s="3" t="s">
        <v>33</v>
      </c>
      <c r="D540" s="3" t="s">
        <v>41</v>
      </c>
      <c r="E540" s="3" t="s">
        <v>25</v>
      </c>
      <c r="F540" s="3" t="s">
        <v>25</v>
      </c>
      <c r="G540" s="3" t="s">
        <v>25</v>
      </c>
      <c r="H540" s="3" t="s">
        <v>34</v>
      </c>
      <c r="I540" s="6">
        <v>44562</v>
      </c>
      <c r="J540" s="4">
        <v>0</v>
      </c>
      <c r="K540" s="4">
        <v>0</v>
      </c>
      <c r="L540" s="4">
        <v>0.02</v>
      </c>
      <c r="M540" s="4">
        <v>0.02</v>
      </c>
      <c r="N540" s="4">
        <v>0.02</v>
      </c>
      <c r="O540" s="4">
        <v>0.02</v>
      </c>
      <c r="P540" s="4">
        <v>0</v>
      </c>
      <c r="Q540" s="3" t="s">
        <v>26</v>
      </c>
      <c r="R540" s="3">
        <v>0</v>
      </c>
      <c r="S540" s="4">
        <v>0</v>
      </c>
      <c r="T540" s="4">
        <v>44</v>
      </c>
      <c r="U540" s="4">
        <v>84</v>
      </c>
      <c r="V540" s="4">
        <f>IF(ISERROR(VLOOKUP($S$540,'TAR FIN'!$A$1:$O$91,15,0)),0,VLOOKUP($S$540,'TAR FIN'!$A$1:$O$91,15,0))</f>
        <v>0</v>
      </c>
      <c r="W540" s="4">
        <f>IF(ISERROR(VLOOKUP($T$540,'TAR FIN'!$A$1:$O$91,15,0)),0,VLOOKUP($T$540,'TAR FIN'!$A$1:$O$91,15,0))</f>
        <v>1127.9100000000001</v>
      </c>
      <c r="X540" s="4">
        <f>IF(ISERROR(VLOOKUP($U$540,'TAR FIN'!$A$1:$O$91,15,0)),0,VLOOKUP($U$540,'TAR FIN'!$A$1:$O$91,15,0))</f>
        <v>298.83999999999997</v>
      </c>
      <c r="Y540" s="4"/>
      <c r="Z540" s="4">
        <f ca="1">('TUSD BE'!$AM$48+'TUSD BF'!$AM$48+'TUSD CVA'!$AM$48)*1</f>
        <v>1272.1208638466596</v>
      </c>
      <c r="AA540" s="4">
        <f>('TE BE'!$AB$39+'TE BF'!$AB$39+'TE CVA'!$AB$39)*1</f>
        <v>311.4117891483653</v>
      </c>
      <c r="AB540" s="4">
        <f>$K$540*$V$540</f>
        <v>0</v>
      </c>
      <c r="AC540" s="4">
        <f>$M$540*$W$540</f>
        <v>22.558200000000003</v>
      </c>
      <c r="AD540" s="4">
        <f>$O$540*$X$540</f>
        <v>5.9767999999999999</v>
      </c>
      <c r="AE540" s="4">
        <f>$K$540*$Y$540</f>
        <v>0</v>
      </c>
      <c r="AF540" s="4">
        <f ca="1">$M$540*$Z$540</f>
        <v>25.442417276933192</v>
      </c>
      <c r="AG540" s="4">
        <f>$O$540*$AA$540</f>
        <v>6.2282357829673058</v>
      </c>
    </row>
    <row r="541" spans="1:33" ht="11.25" customHeight="1" x14ac:dyDescent="0.3">
      <c r="A541" s="3" t="s">
        <v>21</v>
      </c>
      <c r="B541" s="3" t="s">
        <v>37</v>
      </c>
      <c r="C541" s="3" t="s">
        <v>33</v>
      </c>
      <c r="D541" s="3" t="s">
        <v>41</v>
      </c>
      <c r="E541" s="3" t="s">
        <v>25</v>
      </c>
      <c r="F541" s="3" t="s">
        <v>25</v>
      </c>
      <c r="G541" s="3" t="s">
        <v>25</v>
      </c>
      <c r="H541" s="3" t="s">
        <v>34</v>
      </c>
      <c r="I541" s="6">
        <v>44593</v>
      </c>
      <c r="J541" s="4">
        <v>0</v>
      </c>
      <c r="K541" s="4">
        <v>0</v>
      </c>
      <c r="L541" s="4">
        <v>2.7E-2</v>
      </c>
      <c r="M541" s="4">
        <v>2.7E-2</v>
      </c>
      <c r="N541" s="4">
        <v>2.7E-2</v>
      </c>
      <c r="O541" s="4">
        <v>2.7E-2</v>
      </c>
      <c r="P541" s="4">
        <v>0</v>
      </c>
      <c r="Q541" s="3" t="s">
        <v>26</v>
      </c>
      <c r="R541" s="3">
        <v>0</v>
      </c>
      <c r="S541" s="4">
        <v>0</v>
      </c>
      <c r="T541" s="4">
        <v>44</v>
      </c>
      <c r="U541" s="4">
        <v>84</v>
      </c>
      <c r="V541" s="4">
        <f>IF(ISERROR(VLOOKUP($S$541,'TAR FIN'!$A$1:$O$91,15,0)),0,VLOOKUP($S$541,'TAR FIN'!$A$1:$O$91,15,0))</f>
        <v>0</v>
      </c>
      <c r="W541" s="4">
        <f>IF(ISERROR(VLOOKUP($T$541,'TAR FIN'!$A$1:$O$91,15,0)),0,VLOOKUP($T$541,'TAR FIN'!$A$1:$O$91,15,0))</f>
        <v>1127.9100000000001</v>
      </c>
      <c r="X541" s="4">
        <f>IF(ISERROR(VLOOKUP($U$541,'TAR FIN'!$A$1:$O$91,15,0)),0,VLOOKUP($U$541,'TAR FIN'!$A$1:$O$91,15,0))</f>
        <v>298.83999999999997</v>
      </c>
      <c r="Y541" s="4"/>
      <c r="Z541" s="4">
        <f ca="1">('TUSD BE'!$AM$48+'TUSD BF'!$AM$48+'TUSD CVA'!$AM$48)*1</f>
        <v>1272.1208638466596</v>
      </c>
      <c r="AA541" s="4">
        <f>('TE BE'!$AB$39+'TE BF'!$AB$39+'TE CVA'!$AB$39)*1</f>
        <v>311.4117891483653</v>
      </c>
      <c r="AB541" s="4">
        <f>$K$541*$V$541</f>
        <v>0</v>
      </c>
      <c r="AC541" s="4">
        <f>$M$541*$W$541</f>
        <v>30.453570000000003</v>
      </c>
      <c r="AD541" s="4">
        <f>$O$541*$X$541</f>
        <v>8.0686799999999987</v>
      </c>
      <c r="AE541" s="4">
        <f>$K$541*$Y$541</f>
        <v>0</v>
      </c>
      <c r="AF541" s="4">
        <f ca="1">$M$541*$Z$541</f>
        <v>34.347263323859806</v>
      </c>
      <c r="AG541" s="4">
        <f>$O$541*$AA$541</f>
        <v>8.4081183070058625</v>
      </c>
    </row>
    <row r="542" spans="1:33" ht="11.25" customHeight="1" x14ac:dyDescent="0.3">
      <c r="A542" s="3" t="s">
        <v>21</v>
      </c>
      <c r="B542" s="3" t="s">
        <v>37</v>
      </c>
      <c r="C542" s="3" t="s">
        <v>33</v>
      </c>
      <c r="D542" s="3" t="s">
        <v>41</v>
      </c>
      <c r="E542" s="3" t="s">
        <v>25</v>
      </c>
      <c r="F542" s="3" t="s">
        <v>25</v>
      </c>
      <c r="G542" s="3" t="s">
        <v>25</v>
      </c>
      <c r="H542" s="3" t="s">
        <v>34</v>
      </c>
      <c r="I542" s="6">
        <v>44621</v>
      </c>
      <c r="J542" s="4">
        <v>0</v>
      </c>
      <c r="K542" s="4">
        <v>0</v>
      </c>
      <c r="L542" s="4">
        <v>0.03</v>
      </c>
      <c r="M542" s="4">
        <v>0.03</v>
      </c>
      <c r="N542" s="4">
        <v>0.03</v>
      </c>
      <c r="O542" s="4">
        <v>0.03</v>
      </c>
      <c r="P542" s="4">
        <v>0</v>
      </c>
      <c r="Q542" s="3" t="s">
        <v>26</v>
      </c>
      <c r="R542" s="3">
        <v>0</v>
      </c>
      <c r="S542" s="4">
        <v>0</v>
      </c>
      <c r="T542" s="4">
        <v>44</v>
      </c>
      <c r="U542" s="4">
        <v>84</v>
      </c>
      <c r="V542" s="4">
        <f>IF(ISERROR(VLOOKUP($S$542,'TAR FIN'!$A$1:$O$91,15,0)),0,VLOOKUP($S$542,'TAR FIN'!$A$1:$O$91,15,0))</f>
        <v>0</v>
      </c>
      <c r="W542" s="4">
        <f>IF(ISERROR(VLOOKUP($T$542,'TAR FIN'!$A$1:$O$91,15,0)),0,VLOOKUP($T$542,'TAR FIN'!$A$1:$O$91,15,0))</f>
        <v>1127.9100000000001</v>
      </c>
      <c r="X542" s="4">
        <f>IF(ISERROR(VLOOKUP($U$542,'TAR FIN'!$A$1:$O$91,15,0)),0,VLOOKUP($U$542,'TAR FIN'!$A$1:$O$91,15,0))</f>
        <v>298.83999999999997</v>
      </c>
      <c r="Y542" s="4"/>
      <c r="Z542" s="4">
        <f ca="1">('TUSD BE'!$AM$48+'TUSD BF'!$AM$48+'TUSD CVA'!$AM$48)*1</f>
        <v>1272.1208638466596</v>
      </c>
      <c r="AA542" s="4">
        <f>('TE BE'!$AB$39+'TE BF'!$AB$39+'TE CVA'!$AB$39)*1</f>
        <v>311.4117891483653</v>
      </c>
      <c r="AB542" s="4">
        <f>$K$542*$V$542</f>
        <v>0</v>
      </c>
      <c r="AC542" s="4">
        <f>$M$542*$W$542</f>
        <v>33.837299999999999</v>
      </c>
      <c r="AD542" s="4">
        <f>$O$542*$X$542</f>
        <v>8.9651999999999994</v>
      </c>
      <c r="AE542" s="4">
        <f>$K$542*$Y$542</f>
        <v>0</v>
      </c>
      <c r="AF542" s="4">
        <f ca="1">$M$542*$Z$542</f>
        <v>38.163625915399784</v>
      </c>
      <c r="AG542" s="4">
        <f>$O$542*$AA$542</f>
        <v>9.3423536744509583</v>
      </c>
    </row>
    <row r="543" spans="1:33" ht="11.25" customHeight="1" x14ac:dyDescent="0.3">
      <c r="A543" s="3" t="s">
        <v>21</v>
      </c>
      <c r="B543" s="3" t="s">
        <v>37</v>
      </c>
      <c r="C543" s="3" t="s">
        <v>33</v>
      </c>
      <c r="D543" s="3" t="s">
        <v>41</v>
      </c>
      <c r="E543" s="3" t="s">
        <v>25</v>
      </c>
      <c r="F543" s="3" t="s">
        <v>25</v>
      </c>
      <c r="G543" s="3" t="s">
        <v>25</v>
      </c>
      <c r="H543" s="3" t="s">
        <v>34</v>
      </c>
      <c r="I543" s="6">
        <v>44652</v>
      </c>
      <c r="J543" s="4">
        <v>0</v>
      </c>
      <c r="K543" s="4">
        <v>0</v>
      </c>
      <c r="L543" s="4">
        <v>2.3E-2</v>
      </c>
      <c r="M543" s="4">
        <v>2.3E-2</v>
      </c>
      <c r="N543" s="4">
        <v>2.3E-2</v>
      </c>
      <c r="O543" s="4">
        <v>2.3E-2</v>
      </c>
      <c r="P543" s="4">
        <v>0</v>
      </c>
      <c r="Q543" s="3" t="s">
        <v>26</v>
      </c>
      <c r="R543" s="3">
        <v>0</v>
      </c>
      <c r="S543" s="4">
        <v>0</v>
      </c>
      <c r="T543" s="4">
        <v>44</v>
      </c>
      <c r="U543" s="4">
        <v>84</v>
      </c>
      <c r="V543" s="4">
        <f>IF(ISERROR(VLOOKUP($S$543,'TAR FIN'!$A$1:$O$91,15,0)),0,VLOOKUP($S$543,'TAR FIN'!$A$1:$O$91,15,0))</f>
        <v>0</v>
      </c>
      <c r="W543" s="4">
        <f>IF(ISERROR(VLOOKUP($T$543,'TAR FIN'!$A$1:$O$91,15,0)),0,VLOOKUP($T$543,'TAR FIN'!$A$1:$O$91,15,0))</f>
        <v>1127.9100000000001</v>
      </c>
      <c r="X543" s="4">
        <f>IF(ISERROR(VLOOKUP($U$543,'TAR FIN'!$A$1:$O$91,15,0)),0,VLOOKUP($U$543,'TAR FIN'!$A$1:$O$91,15,0))</f>
        <v>298.83999999999997</v>
      </c>
      <c r="Y543" s="4"/>
      <c r="Z543" s="4">
        <f ca="1">('TUSD BE'!$AM$48+'TUSD BF'!$AM$48+'TUSD CVA'!$AM$48)*1</f>
        <v>1272.1208638466596</v>
      </c>
      <c r="AA543" s="4">
        <f>('TE BE'!$AB$39+'TE BF'!$AB$39+'TE CVA'!$AB$39)*1</f>
        <v>311.4117891483653</v>
      </c>
      <c r="AB543" s="4">
        <f>$K$543*$V$543</f>
        <v>0</v>
      </c>
      <c r="AC543" s="4">
        <f>$M$543*$W$543</f>
        <v>25.941930000000003</v>
      </c>
      <c r="AD543" s="4">
        <f>$O$543*$X$543</f>
        <v>6.8733199999999997</v>
      </c>
      <c r="AE543" s="4">
        <f>$K$543*$Y$543</f>
        <v>0</v>
      </c>
      <c r="AF543" s="4">
        <f ca="1">$M$543*$Z$543</f>
        <v>29.258779868473169</v>
      </c>
      <c r="AG543" s="4">
        <f>$O$543*$AA$543</f>
        <v>7.1624711504124017</v>
      </c>
    </row>
    <row r="544" spans="1:33" ht="11.25" customHeight="1" x14ac:dyDescent="0.3">
      <c r="A544" s="3" t="s">
        <v>21</v>
      </c>
      <c r="B544" s="3" t="s">
        <v>37</v>
      </c>
      <c r="C544" s="3" t="s">
        <v>33</v>
      </c>
      <c r="D544" s="3" t="s">
        <v>41</v>
      </c>
      <c r="E544" s="3" t="s">
        <v>25</v>
      </c>
      <c r="F544" s="3" t="s">
        <v>25</v>
      </c>
      <c r="G544" s="3" t="s">
        <v>25</v>
      </c>
      <c r="H544" s="3" t="s">
        <v>34</v>
      </c>
      <c r="I544" s="6">
        <v>44682</v>
      </c>
      <c r="J544" s="4">
        <v>0</v>
      </c>
      <c r="K544" s="4">
        <v>0</v>
      </c>
      <c r="L544" s="4">
        <v>1.2999999999999999E-2</v>
      </c>
      <c r="M544" s="4">
        <v>1.2999999999999999E-2</v>
      </c>
      <c r="N544" s="4">
        <v>1.2999999999999999E-2</v>
      </c>
      <c r="O544" s="4">
        <v>1.2999999999999999E-2</v>
      </c>
      <c r="P544" s="4">
        <v>0</v>
      </c>
      <c r="Q544" s="3" t="s">
        <v>26</v>
      </c>
      <c r="R544" s="3">
        <v>0</v>
      </c>
      <c r="S544" s="4">
        <v>0</v>
      </c>
      <c r="T544" s="4">
        <v>44</v>
      </c>
      <c r="U544" s="4">
        <v>84</v>
      </c>
      <c r="V544" s="4">
        <f>IF(ISERROR(VLOOKUP($S$544,'TAR FIN'!$A$1:$O$91,15,0)),0,VLOOKUP($S$544,'TAR FIN'!$A$1:$O$91,15,0))</f>
        <v>0</v>
      </c>
      <c r="W544" s="4">
        <f>IF(ISERROR(VLOOKUP($T$544,'TAR FIN'!$A$1:$O$91,15,0)),0,VLOOKUP($T$544,'TAR FIN'!$A$1:$O$91,15,0))</f>
        <v>1127.9100000000001</v>
      </c>
      <c r="X544" s="4">
        <f>IF(ISERROR(VLOOKUP($U$544,'TAR FIN'!$A$1:$O$91,15,0)),0,VLOOKUP($U$544,'TAR FIN'!$A$1:$O$91,15,0))</f>
        <v>298.83999999999997</v>
      </c>
      <c r="Y544" s="4"/>
      <c r="Z544" s="4">
        <f ca="1">('TUSD BE'!$AM$48+'TUSD BF'!$AM$48+'TUSD CVA'!$AM$48)*1</f>
        <v>1272.1208638466596</v>
      </c>
      <c r="AA544" s="4">
        <f>('TE BE'!$AB$39+'TE BF'!$AB$39+'TE CVA'!$AB$39)*1</f>
        <v>311.4117891483653</v>
      </c>
      <c r="AB544" s="4">
        <f>$K$544*$V$544</f>
        <v>0</v>
      </c>
      <c r="AC544" s="4">
        <f>$M$544*$W$544</f>
        <v>14.66283</v>
      </c>
      <c r="AD544" s="4">
        <f>$O$544*$X$544</f>
        <v>3.8849199999999997</v>
      </c>
      <c r="AE544" s="4">
        <f>$K$544*$Y$544</f>
        <v>0</v>
      </c>
      <c r="AF544" s="4">
        <f ca="1">$M$544*$Z$544</f>
        <v>16.537571230006574</v>
      </c>
      <c r="AG544" s="4">
        <f>$O$544*$AA$544</f>
        <v>4.0483532589287483</v>
      </c>
    </row>
    <row r="545" spans="1:33" ht="11.25" customHeight="1" x14ac:dyDescent="0.3">
      <c r="A545" s="3" t="s">
        <v>21</v>
      </c>
      <c r="B545" s="3" t="s">
        <v>37</v>
      </c>
      <c r="C545" s="3" t="s">
        <v>33</v>
      </c>
      <c r="D545" s="3" t="s">
        <v>41</v>
      </c>
      <c r="E545" s="3" t="s">
        <v>25</v>
      </c>
      <c r="F545" s="3" t="s">
        <v>25</v>
      </c>
      <c r="G545" s="3" t="s">
        <v>25</v>
      </c>
      <c r="H545" s="3" t="s">
        <v>34</v>
      </c>
      <c r="I545" s="6">
        <v>44713</v>
      </c>
      <c r="J545" s="4">
        <v>0</v>
      </c>
      <c r="K545" s="4">
        <v>0</v>
      </c>
      <c r="L545" s="4">
        <v>1.2E-2</v>
      </c>
      <c r="M545" s="4">
        <v>1.2E-2</v>
      </c>
      <c r="N545" s="4">
        <v>1.2E-2</v>
      </c>
      <c r="O545" s="4">
        <v>1.2E-2</v>
      </c>
      <c r="P545" s="4">
        <v>0</v>
      </c>
      <c r="Q545" s="3" t="s">
        <v>26</v>
      </c>
      <c r="R545" s="3">
        <v>0</v>
      </c>
      <c r="S545" s="4">
        <v>0</v>
      </c>
      <c r="T545" s="4">
        <v>44</v>
      </c>
      <c r="U545" s="4">
        <v>84</v>
      </c>
      <c r="V545" s="4">
        <f>IF(ISERROR(VLOOKUP($S$545,'TAR FIN'!$A$1:$O$91,15,0)),0,VLOOKUP($S$545,'TAR FIN'!$A$1:$O$91,15,0))</f>
        <v>0</v>
      </c>
      <c r="W545" s="4">
        <f>IF(ISERROR(VLOOKUP($T$545,'TAR FIN'!$A$1:$O$91,15,0)),0,VLOOKUP($T$545,'TAR FIN'!$A$1:$O$91,15,0))</f>
        <v>1127.9100000000001</v>
      </c>
      <c r="X545" s="4">
        <f>IF(ISERROR(VLOOKUP($U$545,'TAR FIN'!$A$1:$O$91,15,0)),0,VLOOKUP($U$545,'TAR FIN'!$A$1:$O$91,15,0))</f>
        <v>298.83999999999997</v>
      </c>
      <c r="Y545" s="4"/>
      <c r="Z545" s="4">
        <f ca="1">('TUSD BE'!$AM$48+'TUSD BF'!$AM$48+'TUSD CVA'!$AM$48)*1</f>
        <v>1272.1208638466596</v>
      </c>
      <c r="AA545" s="4">
        <f>('TE BE'!$AB$39+'TE BF'!$AB$39+'TE CVA'!$AB$39)*1</f>
        <v>311.4117891483653</v>
      </c>
      <c r="AB545" s="4">
        <f>$K$545*$V$545</f>
        <v>0</v>
      </c>
      <c r="AC545" s="4">
        <f>$M$545*$W$545</f>
        <v>13.534920000000001</v>
      </c>
      <c r="AD545" s="4">
        <f>$O$545*$X$545</f>
        <v>3.5860799999999999</v>
      </c>
      <c r="AE545" s="4">
        <f>$K$545*$Y$545</f>
        <v>0</v>
      </c>
      <c r="AF545" s="4">
        <f ca="1">$M$545*$Z$545</f>
        <v>15.265450366159916</v>
      </c>
      <c r="AG545" s="4">
        <f>$O$545*$AA$545</f>
        <v>3.7369414697803838</v>
      </c>
    </row>
    <row r="546" spans="1:33" ht="11.25" customHeight="1" x14ac:dyDescent="0.3">
      <c r="A546" s="3" t="s">
        <v>21</v>
      </c>
      <c r="B546" s="3" t="s">
        <v>37</v>
      </c>
      <c r="C546" s="3" t="s">
        <v>33</v>
      </c>
      <c r="D546" s="3" t="s">
        <v>38</v>
      </c>
      <c r="E546" s="3" t="s">
        <v>25</v>
      </c>
      <c r="F546" s="3" t="s">
        <v>25</v>
      </c>
      <c r="G546" s="3" t="s">
        <v>25</v>
      </c>
      <c r="H546" s="3" t="s">
        <v>34</v>
      </c>
      <c r="I546" s="6">
        <v>44562</v>
      </c>
      <c r="J546" s="4">
        <v>0</v>
      </c>
      <c r="K546" s="4">
        <v>0</v>
      </c>
      <c r="L546" s="4">
        <v>5.3410000000000002</v>
      </c>
      <c r="M546" s="4">
        <v>5.3410000000000002</v>
      </c>
      <c r="N546" s="4">
        <v>5.3410000000000002</v>
      </c>
      <c r="O546" s="4">
        <v>5.3410000000000002</v>
      </c>
      <c r="P546" s="4">
        <v>0</v>
      </c>
      <c r="Q546" s="3" t="s">
        <v>26</v>
      </c>
      <c r="R546" s="3">
        <v>0</v>
      </c>
      <c r="S546" s="4">
        <v>0</v>
      </c>
      <c r="T546" s="4">
        <v>44</v>
      </c>
      <c r="U546" s="4">
        <v>84</v>
      </c>
      <c r="V546" s="4">
        <f>IF(ISERROR(VLOOKUP($S$546,'TAR FIN'!$A$1:$O$91,15,0)),0,VLOOKUP($S$546,'TAR FIN'!$A$1:$O$91,15,0))</f>
        <v>0</v>
      </c>
      <c r="W546" s="4">
        <f>IF(ISERROR(VLOOKUP($T$546,'TAR FIN'!$A$1:$O$91,15,0)),0,VLOOKUP($T$546,'TAR FIN'!$A$1:$O$91,15,0))</f>
        <v>1127.9100000000001</v>
      </c>
      <c r="X546" s="4">
        <f>IF(ISERROR(VLOOKUP($U$546,'TAR FIN'!$A$1:$O$91,15,0)),0,VLOOKUP($U$546,'TAR FIN'!$A$1:$O$91,15,0))</f>
        <v>298.83999999999997</v>
      </c>
      <c r="Y546" s="4"/>
      <c r="Z546" s="4">
        <f ca="1">('TUSD BE'!$AM$48+'TUSD BF'!$AM$48+'TUSD CVA'!$AM$48)*1</f>
        <v>1272.1208638466596</v>
      </c>
      <c r="AA546" s="4">
        <f>('TE BE'!$AB$39+'TE BF'!$AB$39+'TE CVA'!$AB$39)*1</f>
        <v>311.4117891483653</v>
      </c>
      <c r="AB546" s="4">
        <f>$K$546*$V$546</f>
        <v>0</v>
      </c>
      <c r="AC546" s="4">
        <f>$M$546*$W$546</f>
        <v>6024.1673100000007</v>
      </c>
      <c r="AD546" s="4">
        <f>$O$546*$X$546</f>
        <v>1596.1044399999998</v>
      </c>
      <c r="AE546" s="4">
        <f>$K$546*$Y$546</f>
        <v>0</v>
      </c>
      <c r="AF546" s="4">
        <f ca="1">$M$546*$Z$546</f>
        <v>6794.3975338050095</v>
      </c>
      <c r="AG546" s="4">
        <f>$O$546*$AA$546</f>
        <v>1663.2503658414191</v>
      </c>
    </row>
    <row r="547" spans="1:33" ht="11.25" customHeight="1" x14ac:dyDescent="0.3">
      <c r="A547" s="3" t="s">
        <v>21</v>
      </c>
      <c r="B547" s="3" t="s">
        <v>37</v>
      </c>
      <c r="C547" s="3" t="s">
        <v>33</v>
      </c>
      <c r="D547" s="3" t="s">
        <v>44</v>
      </c>
      <c r="E547" s="3" t="s">
        <v>25</v>
      </c>
      <c r="F547" s="3" t="s">
        <v>25</v>
      </c>
      <c r="G547" s="3" t="s">
        <v>25</v>
      </c>
      <c r="H547" s="3" t="s">
        <v>35</v>
      </c>
      <c r="I547" s="6">
        <v>44652</v>
      </c>
      <c r="J547" s="4">
        <v>0</v>
      </c>
      <c r="K547" s="4">
        <v>0</v>
      </c>
      <c r="L547" s="4">
        <v>0.433</v>
      </c>
      <c r="M547" s="4">
        <v>0.433</v>
      </c>
      <c r="N547" s="4">
        <v>0.433</v>
      </c>
      <c r="O547" s="4">
        <v>0.433</v>
      </c>
      <c r="P547" s="4">
        <v>0</v>
      </c>
      <c r="Q547" s="3" t="s">
        <v>26</v>
      </c>
      <c r="R547" s="3">
        <v>0</v>
      </c>
      <c r="S547" s="4">
        <v>0</v>
      </c>
      <c r="T547" s="4">
        <v>46</v>
      </c>
      <c r="U547" s="4">
        <v>86</v>
      </c>
      <c r="V547" s="4">
        <f>IF(ISERROR(VLOOKUP($S$547,'TAR FIN'!$A$1:$O$91,15,0)),0,VLOOKUP($S$547,'TAR FIN'!$A$1:$O$91,15,0))</f>
        <v>0</v>
      </c>
      <c r="W547" s="4">
        <f>IF(ISERROR(VLOOKUP($T$547,'TAR FIN'!$A$1:$O$91,15,0)),0,VLOOKUP($T$547,'TAR FIN'!$A$1:$O$91,15,0))</f>
        <v>315.24</v>
      </c>
      <c r="X547" s="4">
        <f>IF(ISERROR(VLOOKUP($U$547,'TAR FIN'!$A$1:$O$91,15,0)),0,VLOOKUP($U$547,'TAR FIN'!$A$1:$O$91,15,0))</f>
        <v>189.96</v>
      </c>
      <c r="Y547" s="4"/>
      <c r="Z547" s="4">
        <f ca="1">('TUSD BE'!$AM$50+'TUSD BF'!$AM$50+'TUSD CVA'!$AM$50)*1</f>
        <v>357.05828664618559</v>
      </c>
      <c r="AA547" s="4">
        <f>('TE BE'!$AB$41+'TE BF'!$AB$41+'TE CVA'!$AB$41)*1</f>
        <v>195.89707226799715</v>
      </c>
      <c r="AB547" s="4">
        <f>$K$547*$V$547</f>
        <v>0</v>
      </c>
      <c r="AC547" s="4">
        <f>$M$547*$W$547</f>
        <v>136.49892</v>
      </c>
      <c r="AD547" s="4">
        <f>$O$547*$X$547</f>
        <v>82.252679999999998</v>
      </c>
      <c r="AE547" s="4">
        <f>$K$547*$Y$547</f>
        <v>0</v>
      </c>
      <c r="AF547" s="4">
        <f ca="1">$M$547*$Z$547</f>
        <v>154.60623811779837</v>
      </c>
      <c r="AG547" s="4">
        <f>$O$547*$AA$547</f>
        <v>84.823432292042767</v>
      </c>
    </row>
    <row r="548" spans="1:33" ht="11.25" customHeight="1" x14ac:dyDescent="0.3">
      <c r="A548" s="3" t="s">
        <v>21</v>
      </c>
      <c r="B548" s="3" t="s">
        <v>37</v>
      </c>
      <c r="C548" s="3" t="s">
        <v>33</v>
      </c>
      <c r="D548" s="3" t="s">
        <v>44</v>
      </c>
      <c r="E548" s="3" t="s">
        <v>25</v>
      </c>
      <c r="F548" s="3" t="s">
        <v>25</v>
      </c>
      <c r="G548" s="3" t="s">
        <v>25</v>
      </c>
      <c r="H548" s="3" t="s">
        <v>35</v>
      </c>
      <c r="I548" s="6">
        <v>44682</v>
      </c>
      <c r="J548" s="4">
        <v>0</v>
      </c>
      <c r="K548" s="4">
        <v>0</v>
      </c>
      <c r="L548" s="4">
        <v>1.272</v>
      </c>
      <c r="M548" s="4">
        <v>1.272</v>
      </c>
      <c r="N548" s="4">
        <v>1.272</v>
      </c>
      <c r="O548" s="4">
        <v>1.272</v>
      </c>
      <c r="P548" s="4">
        <v>0</v>
      </c>
      <c r="Q548" s="3" t="s">
        <v>26</v>
      </c>
      <c r="R548" s="3">
        <v>0</v>
      </c>
      <c r="S548" s="4">
        <v>0</v>
      </c>
      <c r="T548" s="4">
        <v>46</v>
      </c>
      <c r="U548" s="4">
        <v>86</v>
      </c>
      <c r="V548" s="4">
        <f>IF(ISERROR(VLOOKUP($S$548,'TAR FIN'!$A$1:$O$91,15,0)),0,VLOOKUP($S$548,'TAR FIN'!$A$1:$O$91,15,0))</f>
        <v>0</v>
      </c>
      <c r="W548" s="4">
        <f>IF(ISERROR(VLOOKUP($T$548,'TAR FIN'!$A$1:$O$91,15,0)),0,VLOOKUP($T$548,'TAR FIN'!$A$1:$O$91,15,0))</f>
        <v>315.24</v>
      </c>
      <c r="X548" s="4">
        <f>IF(ISERROR(VLOOKUP($U$548,'TAR FIN'!$A$1:$O$91,15,0)),0,VLOOKUP($U$548,'TAR FIN'!$A$1:$O$91,15,0))</f>
        <v>189.96</v>
      </c>
      <c r="Y548" s="4"/>
      <c r="Z548" s="4">
        <f ca="1">('TUSD BE'!$AM$50+'TUSD BF'!$AM$50+'TUSD CVA'!$AM$50)*1</f>
        <v>357.05828664618559</v>
      </c>
      <c r="AA548" s="4">
        <f>('TE BE'!$AB$41+'TE BF'!$AB$41+'TE CVA'!$AB$41)*1</f>
        <v>195.89707226799715</v>
      </c>
      <c r="AB548" s="4">
        <f>$K$548*$V$548</f>
        <v>0</v>
      </c>
      <c r="AC548" s="4">
        <f>$M$548*$W$548</f>
        <v>400.98528000000005</v>
      </c>
      <c r="AD548" s="4">
        <f>$O$548*$X$548</f>
        <v>241.62912</v>
      </c>
      <c r="AE548" s="4">
        <f>$K$548*$Y$548</f>
        <v>0</v>
      </c>
      <c r="AF548" s="4">
        <f ca="1">$M$548*$Z$548</f>
        <v>454.17814061394807</v>
      </c>
      <c r="AG548" s="4">
        <f>$O$548*$AA$548</f>
        <v>249.18107592489238</v>
      </c>
    </row>
    <row r="549" spans="1:33" ht="11.25" customHeight="1" x14ac:dyDescent="0.3">
      <c r="A549" s="3" t="s">
        <v>21</v>
      </c>
      <c r="B549" s="3" t="s">
        <v>37</v>
      </c>
      <c r="C549" s="3" t="s">
        <v>33</v>
      </c>
      <c r="D549" s="3" t="s">
        <v>44</v>
      </c>
      <c r="E549" s="3" t="s">
        <v>25</v>
      </c>
      <c r="F549" s="3" t="s">
        <v>25</v>
      </c>
      <c r="G549" s="3" t="s">
        <v>25</v>
      </c>
      <c r="H549" s="3" t="s">
        <v>35</v>
      </c>
      <c r="I549" s="6">
        <v>44713</v>
      </c>
      <c r="J549" s="4">
        <v>0</v>
      </c>
      <c r="K549" s="4">
        <v>0</v>
      </c>
      <c r="L549" s="4">
        <v>1.7450000000000001</v>
      </c>
      <c r="M549" s="4">
        <v>1.7450000000000001</v>
      </c>
      <c r="N549" s="4">
        <v>1.7450000000000001</v>
      </c>
      <c r="O549" s="4">
        <v>1.7450000000000001</v>
      </c>
      <c r="P549" s="4">
        <v>0</v>
      </c>
      <c r="Q549" s="3" t="s">
        <v>26</v>
      </c>
      <c r="R549" s="3">
        <v>0</v>
      </c>
      <c r="S549" s="4">
        <v>0</v>
      </c>
      <c r="T549" s="4">
        <v>46</v>
      </c>
      <c r="U549" s="4">
        <v>86</v>
      </c>
      <c r="V549" s="4">
        <f>IF(ISERROR(VLOOKUP($S$549,'TAR FIN'!$A$1:$O$91,15,0)),0,VLOOKUP($S$549,'TAR FIN'!$A$1:$O$91,15,0))</f>
        <v>0</v>
      </c>
      <c r="W549" s="4">
        <f>IF(ISERROR(VLOOKUP($T$549,'TAR FIN'!$A$1:$O$91,15,0)),0,VLOOKUP($T$549,'TAR FIN'!$A$1:$O$91,15,0))</f>
        <v>315.24</v>
      </c>
      <c r="X549" s="4">
        <f>IF(ISERROR(VLOOKUP($U$549,'TAR FIN'!$A$1:$O$91,15,0)),0,VLOOKUP($U$549,'TAR FIN'!$A$1:$O$91,15,0))</f>
        <v>189.96</v>
      </c>
      <c r="Y549" s="4"/>
      <c r="Z549" s="4">
        <f ca="1">('TUSD BE'!$AM$50+'TUSD BF'!$AM$50+'TUSD CVA'!$AM$50)*1</f>
        <v>357.05828664618559</v>
      </c>
      <c r="AA549" s="4">
        <f>('TE BE'!$AB$41+'TE BF'!$AB$41+'TE CVA'!$AB$41)*1</f>
        <v>195.89707226799715</v>
      </c>
      <c r="AB549" s="4">
        <f>$K$549*$V$549</f>
        <v>0</v>
      </c>
      <c r="AC549" s="4">
        <f>$M$549*$W$549</f>
        <v>550.0938000000001</v>
      </c>
      <c r="AD549" s="4">
        <f>$O$549*$X$549</f>
        <v>331.48020000000002</v>
      </c>
      <c r="AE549" s="4">
        <f>$K$549*$Y$549</f>
        <v>0</v>
      </c>
      <c r="AF549" s="4">
        <f ca="1">$M$549*$Z$549</f>
        <v>623.06671019759392</v>
      </c>
      <c r="AG549" s="4">
        <f>$O$549*$AA$549</f>
        <v>341.84039110765502</v>
      </c>
    </row>
    <row r="550" spans="1:33" ht="11.25" customHeight="1" x14ac:dyDescent="0.3">
      <c r="A550" s="3" t="s">
        <v>21</v>
      </c>
      <c r="B550" s="3" t="s">
        <v>37</v>
      </c>
      <c r="C550" s="3" t="s">
        <v>33</v>
      </c>
      <c r="D550" s="3" t="s">
        <v>44</v>
      </c>
      <c r="E550" s="3" t="s">
        <v>25</v>
      </c>
      <c r="F550" s="3" t="s">
        <v>25</v>
      </c>
      <c r="G550" s="3" t="s">
        <v>25</v>
      </c>
      <c r="H550" s="3" t="s">
        <v>36</v>
      </c>
      <c r="I550" s="6">
        <v>44652</v>
      </c>
      <c r="J550" s="4">
        <v>0</v>
      </c>
      <c r="K550" s="4">
        <v>0</v>
      </c>
      <c r="L550" s="4">
        <v>1.0999999999999999E-2</v>
      </c>
      <c r="M550" s="4">
        <v>1.0999999999999999E-2</v>
      </c>
      <c r="N550" s="4">
        <v>1.0999999999999999E-2</v>
      </c>
      <c r="O550" s="4">
        <v>1.0999999999999999E-2</v>
      </c>
      <c r="P550" s="4">
        <v>0</v>
      </c>
      <c r="Q550" s="3" t="s">
        <v>26</v>
      </c>
      <c r="R550" s="3">
        <v>0</v>
      </c>
      <c r="S550" s="4">
        <v>0</v>
      </c>
      <c r="T550" s="4">
        <v>45</v>
      </c>
      <c r="U550" s="4">
        <v>85</v>
      </c>
      <c r="V550" s="4">
        <f>IF(ISERROR(VLOOKUP($S$550,'TAR FIN'!$A$1:$O$91,15,0)),0,VLOOKUP($S$550,'TAR FIN'!$A$1:$O$91,15,0))</f>
        <v>0</v>
      </c>
      <c r="W550" s="4">
        <f>IF(ISERROR(VLOOKUP($T$550,'TAR FIN'!$A$1:$O$91,15,0)),0,VLOOKUP($T$550,'TAR FIN'!$A$1:$O$91,15,0))</f>
        <v>721.58</v>
      </c>
      <c r="X550" s="4">
        <f>IF(ISERROR(VLOOKUP($U$550,'TAR FIN'!$A$1:$O$91,15,0)),0,VLOOKUP($U$550,'TAR FIN'!$A$1:$O$91,15,0))</f>
        <v>189.96</v>
      </c>
      <c r="Y550" s="4"/>
      <c r="Z550" s="4">
        <f ca="1">('TUSD BE'!$AM$49+'TUSD BF'!$AM$49+'TUSD CVA'!$AM$49)*1</f>
        <v>814.58961420525986</v>
      </c>
      <c r="AA550" s="4">
        <f>('TE BE'!$AB$40+'TE BF'!$AB$40+'TE CVA'!$AB$40)*1</f>
        <v>195.89707226799715</v>
      </c>
      <c r="AB550" s="4">
        <f>$K$550*$V$550</f>
        <v>0</v>
      </c>
      <c r="AC550" s="4">
        <f>$M$550*$W$550</f>
        <v>7.9373800000000001</v>
      </c>
      <c r="AD550" s="4">
        <f>$O$550*$X$550</f>
        <v>2.0895600000000001</v>
      </c>
      <c r="AE550" s="4">
        <f>$K$550*$Y$550</f>
        <v>0</v>
      </c>
      <c r="AF550" s="4">
        <f ca="1">$M$550*$Z$550</f>
        <v>8.9604857562578584</v>
      </c>
      <c r="AG550" s="4">
        <f>$O$550*$AA$550</f>
        <v>2.1548677949479687</v>
      </c>
    </row>
    <row r="551" spans="1:33" ht="11.25" customHeight="1" x14ac:dyDescent="0.3">
      <c r="A551" s="3" t="s">
        <v>21</v>
      </c>
      <c r="B551" s="3" t="s">
        <v>37</v>
      </c>
      <c r="C551" s="3" t="s">
        <v>33</v>
      </c>
      <c r="D551" s="3" t="s">
        <v>44</v>
      </c>
      <c r="E551" s="3" t="s">
        <v>25</v>
      </c>
      <c r="F551" s="3" t="s">
        <v>25</v>
      </c>
      <c r="G551" s="3" t="s">
        <v>25</v>
      </c>
      <c r="H551" s="3" t="s">
        <v>36</v>
      </c>
      <c r="I551" s="6">
        <v>44682</v>
      </c>
      <c r="J551" s="4">
        <v>0</v>
      </c>
      <c r="K551" s="4">
        <v>0</v>
      </c>
      <c r="L551" s="4">
        <v>7.5999999999999998E-2</v>
      </c>
      <c r="M551" s="4">
        <v>7.5999999999999998E-2</v>
      </c>
      <c r="N551" s="4">
        <v>7.5999999999999998E-2</v>
      </c>
      <c r="O551" s="4">
        <v>7.5999999999999998E-2</v>
      </c>
      <c r="P551" s="4">
        <v>0</v>
      </c>
      <c r="Q551" s="3" t="s">
        <v>26</v>
      </c>
      <c r="R551" s="3">
        <v>0</v>
      </c>
      <c r="S551" s="4">
        <v>0</v>
      </c>
      <c r="T551" s="4">
        <v>45</v>
      </c>
      <c r="U551" s="4">
        <v>85</v>
      </c>
      <c r="V551" s="4">
        <f>IF(ISERROR(VLOOKUP($S$551,'TAR FIN'!$A$1:$O$91,15,0)),0,VLOOKUP($S$551,'TAR FIN'!$A$1:$O$91,15,0))</f>
        <v>0</v>
      </c>
      <c r="W551" s="4">
        <f>IF(ISERROR(VLOOKUP($T$551,'TAR FIN'!$A$1:$O$91,15,0)),0,VLOOKUP($T$551,'TAR FIN'!$A$1:$O$91,15,0))</f>
        <v>721.58</v>
      </c>
      <c r="X551" s="4">
        <f>IF(ISERROR(VLOOKUP($U$551,'TAR FIN'!$A$1:$O$91,15,0)),0,VLOOKUP($U$551,'TAR FIN'!$A$1:$O$91,15,0))</f>
        <v>189.96</v>
      </c>
      <c r="Y551" s="4"/>
      <c r="Z551" s="4">
        <f ca="1">('TUSD BE'!$AM$49+'TUSD BF'!$AM$49+'TUSD CVA'!$AM$49)*1</f>
        <v>814.58961420525986</v>
      </c>
      <c r="AA551" s="4">
        <f>('TE BE'!$AB$40+'TE BF'!$AB$40+'TE CVA'!$AB$40)*1</f>
        <v>195.89707226799715</v>
      </c>
      <c r="AB551" s="4">
        <f>$K$551*$V$551</f>
        <v>0</v>
      </c>
      <c r="AC551" s="4">
        <f>$M$551*$W$551</f>
        <v>54.84008</v>
      </c>
      <c r="AD551" s="4">
        <f>$O$551*$X$551</f>
        <v>14.436960000000001</v>
      </c>
      <c r="AE551" s="4">
        <f>$K$551*$Y$551</f>
        <v>0</v>
      </c>
      <c r="AF551" s="4">
        <f ca="1">$M$551*$Z$551</f>
        <v>61.908810679599746</v>
      </c>
      <c r="AG551" s="4">
        <f>$O$551*$AA$551</f>
        <v>14.888177492367783</v>
      </c>
    </row>
    <row r="552" spans="1:33" ht="11.25" customHeight="1" x14ac:dyDescent="0.3">
      <c r="A552" s="3" t="s">
        <v>21</v>
      </c>
      <c r="B552" s="3" t="s">
        <v>37</v>
      </c>
      <c r="C552" s="3" t="s">
        <v>33</v>
      </c>
      <c r="D552" s="3" t="s">
        <v>44</v>
      </c>
      <c r="E552" s="3" t="s">
        <v>25</v>
      </c>
      <c r="F552" s="3" t="s">
        <v>25</v>
      </c>
      <c r="G552" s="3" t="s">
        <v>25</v>
      </c>
      <c r="H552" s="3" t="s">
        <v>36</v>
      </c>
      <c r="I552" s="6">
        <v>44713</v>
      </c>
      <c r="J552" s="4">
        <v>0</v>
      </c>
      <c r="K552" s="4">
        <v>0</v>
      </c>
      <c r="L552" s="4">
        <v>0.113</v>
      </c>
      <c r="M552" s="4">
        <v>0.113</v>
      </c>
      <c r="N552" s="4">
        <v>0.113</v>
      </c>
      <c r="O552" s="4">
        <v>0.113</v>
      </c>
      <c r="P552" s="4">
        <v>0</v>
      </c>
      <c r="Q552" s="3" t="s">
        <v>26</v>
      </c>
      <c r="R552" s="3">
        <v>0</v>
      </c>
      <c r="S552" s="4">
        <v>0</v>
      </c>
      <c r="T552" s="4">
        <v>45</v>
      </c>
      <c r="U552" s="4">
        <v>85</v>
      </c>
      <c r="V552" s="4">
        <f>IF(ISERROR(VLOOKUP($S$552,'TAR FIN'!$A$1:$O$91,15,0)),0,VLOOKUP($S$552,'TAR FIN'!$A$1:$O$91,15,0))</f>
        <v>0</v>
      </c>
      <c r="W552" s="4">
        <f>IF(ISERROR(VLOOKUP($T$552,'TAR FIN'!$A$1:$O$91,15,0)),0,VLOOKUP($T$552,'TAR FIN'!$A$1:$O$91,15,0))</f>
        <v>721.58</v>
      </c>
      <c r="X552" s="4">
        <f>IF(ISERROR(VLOOKUP($U$552,'TAR FIN'!$A$1:$O$91,15,0)),0,VLOOKUP($U$552,'TAR FIN'!$A$1:$O$91,15,0))</f>
        <v>189.96</v>
      </c>
      <c r="Y552" s="4"/>
      <c r="Z552" s="4">
        <f ca="1">('TUSD BE'!$AM$49+'TUSD BF'!$AM$49+'TUSD CVA'!$AM$49)*1</f>
        <v>814.58961420525986</v>
      </c>
      <c r="AA552" s="4">
        <f>('TE BE'!$AB$40+'TE BF'!$AB$40+'TE CVA'!$AB$40)*1</f>
        <v>195.89707226799715</v>
      </c>
      <c r="AB552" s="4">
        <f>$K$552*$V$552</f>
        <v>0</v>
      </c>
      <c r="AC552" s="4">
        <f>$M$552*$W$552</f>
        <v>81.538540000000012</v>
      </c>
      <c r="AD552" s="4">
        <f>$O$552*$X$552</f>
        <v>21.465480000000003</v>
      </c>
      <c r="AE552" s="4">
        <f>$K$552*$Y$552</f>
        <v>0</v>
      </c>
      <c r="AF552" s="4">
        <f ca="1">$M$552*$Z$552</f>
        <v>92.048626405194369</v>
      </c>
      <c r="AG552" s="4">
        <f>$O$552*$AA$552</f>
        <v>22.136369166283679</v>
      </c>
    </row>
    <row r="553" spans="1:33" ht="11.25" customHeight="1" x14ac:dyDescent="0.3">
      <c r="A553" s="3" t="s">
        <v>21</v>
      </c>
      <c r="B553" s="3" t="s">
        <v>37</v>
      </c>
      <c r="C553" s="3" t="s">
        <v>33</v>
      </c>
      <c r="D553" s="3" t="s">
        <v>44</v>
      </c>
      <c r="E553" s="3" t="s">
        <v>25</v>
      </c>
      <c r="F553" s="3" t="s">
        <v>25</v>
      </c>
      <c r="G553" s="3" t="s">
        <v>25</v>
      </c>
      <c r="H553" s="3" t="s">
        <v>34</v>
      </c>
      <c r="I553" s="6">
        <v>44562</v>
      </c>
      <c r="J553" s="4">
        <v>0</v>
      </c>
      <c r="K553" s="4">
        <v>0</v>
      </c>
      <c r="L553" s="4">
        <v>2.669</v>
      </c>
      <c r="M553" s="4">
        <v>2.669</v>
      </c>
      <c r="N553" s="4">
        <v>2.669</v>
      </c>
      <c r="O553" s="4">
        <v>2.669</v>
      </c>
      <c r="P553" s="4">
        <v>0</v>
      </c>
      <c r="Q553" s="3" t="s">
        <v>26</v>
      </c>
      <c r="R553" s="3">
        <v>0</v>
      </c>
      <c r="S553" s="4">
        <v>0</v>
      </c>
      <c r="T553" s="4">
        <v>44</v>
      </c>
      <c r="U553" s="4">
        <v>84</v>
      </c>
      <c r="V553" s="4">
        <f>IF(ISERROR(VLOOKUP($S$553,'TAR FIN'!$A$1:$O$91,15,0)),0,VLOOKUP($S$553,'TAR FIN'!$A$1:$O$91,15,0))</f>
        <v>0</v>
      </c>
      <c r="W553" s="4">
        <f>IF(ISERROR(VLOOKUP($T$553,'TAR FIN'!$A$1:$O$91,15,0)),0,VLOOKUP($T$553,'TAR FIN'!$A$1:$O$91,15,0))</f>
        <v>1127.9100000000001</v>
      </c>
      <c r="X553" s="4">
        <f>IF(ISERROR(VLOOKUP($U$553,'TAR FIN'!$A$1:$O$91,15,0)),0,VLOOKUP($U$553,'TAR FIN'!$A$1:$O$91,15,0))</f>
        <v>298.83999999999997</v>
      </c>
      <c r="Y553" s="4"/>
      <c r="Z553" s="4">
        <f ca="1">('TUSD BE'!$AM$48+'TUSD BF'!$AM$48+'TUSD CVA'!$AM$48)*1</f>
        <v>1272.1208638466596</v>
      </c>
      <c r="AA553" s="4">
        <f>('TE BE'!$AB$39+'TE BF'!$AB$39+'TE CVA'!$AB$39)*1</f>
        <v>311.4117891483653</v>
      </c>
      <c r="AB553" s="4">
        <f>$K$553*$V$553</f>
        <v>0</v>
      </c>
      <c r="AC553" s="4">
        <f>$M$553*$W$553</f>
        <v>3010.3917900000001</v>
      </c>
      <c r="AD553" s="4">
        <f>$O$553*$X$553</f>
        <v>797.60395999999992</v>
      </c>
      <c r="AE553" s="4">
        <f>$K$553*$Y$553</f>
        <v>0</v>
      </c>
      <c r="AF553" s="4">
        <f ca="1">$M$553*$Z$553</f>
        <v>3395.2905856067346</v>
      </c>
      <c r="AG553" s="4">
        <f>$O$553*$AA$553</f>
        <v>831.158065236987</v>
      </c>
    </row>
    <row r="554" spans="1:33" ht="11.25" customHeight="1" x14ac:dyDescent="0.3">
      <c r="A554" s="3" t="s">
        <v>21</v>
      </c>
      <c r="B554" s="3" t="s">
        <v>37</v>
      </c>
      <c r="C554" s="3" t="s">
        <v>33</v>
      </c>
      <c r="D554" s="3" t="s">
        <v>44</v>
      </c>
      <c r="E554" s="3" t="s">
        <v>25</v>
      </c>
      <c r="F554" s="3" t="s">
        <v>25</v>
      </c>
      <c r="G554" s="3" t="s">
        <v>25</v>
      </c>
      <c r="H554" s="3" t="s">
        <v>34</v>
      </c>
      <c r="I554" s="6">
        <v>44652</v>
      </c>
      <c r="J554" s="4">
        <v>0</v>
      </c>
      <c r="K554" s="4">
        <v>0</v>
      </c>
      <c r="L554" s="4">
        <v>1.4E-2</v>
      </c>
      <c r="M554" s="4">
        <v>1.4E-2</v>
      </c>
      <c r="N554" s="4">
        <v>1.4E-2</v>
      </c>
      <c r="O554" s="4">
        <v>1.4E-2</v>
      </c>
      <c r="P554" s="4">
        <v>0</v>
      </c>
      <c r="Q554" s="3" t="s">
        <v>26</v>
      </c>
      <c r="R554" s="3">
        <v>0</v>
      </c>
      <c r="S554" s="4">
        <v>0</v>
      </c>
      <c r="T554" s="4">
        <v>44</v>
      </c>
      <c r="U554" s="4">
        <v>84</v>
      </c>
      <c r="V554" s="4">
        <f>IF(ISERROR(VLOOKUP($S$554,'TAR FIN'!$A$1:$O$91,15,0)),0,VLOOKUP($S$554,'TAR FIN'!$A$1:$O$91,15,0))</f>
        <v>0</v>
      </c>
      <c r="W554" s="4">
        <f>IF(ISERROR(VLOOKUP($T$554,'TAR FIN'!$A$1:$O$91,15,0)),0,VLOOKUP($T$554,'TAR FIN'!$A$1:$O$91,15,0))</f>
        <v>1127.9100000000001</v>
      </c>
      <c r="X554" s="4">
        <f>IF(ISERROR(VLOOKUP($U$554,'TAR FIN'!$A$1:$O$91,15,0)),0,VLOOKUP($U$554,'TAR FIN'!$A$1:$O$91,15,0))</f>
        <v>298.83999999999997</v>
      </c>
      <c r="Y554" s="4"/>
      <c r="Z554" s="4">
        <f ca="1">('TUSD BE'!$AM$48+'TUSD BF'!$AM$48+'TUSD CVA'!$AM$48)*1</f>
        <v>1272.1208638466596</v>
      </c>
      <c r="AA554" s="4">
        <f>('TE BE'!$AB$39+'TE BF'!$AB$39+'TE CVA'!$AB$39)*1</f>
        <v>311.4117891483653</v>
      </c>
      <c r="AB554" s="4">
        <f>$K$554*$V$554</f>
        <v>0</v>
      </c>
      <c r="AC554" s="4">
        <f>$M$554*$W$554</f>
        <v>15.790740000000001</v>
      </c>
      <c r="AD554" s="4">
        <f>$O$554*$X$554</f>
        <v>4.1837599999999995</v>
      </c>
      <c r="AE554" s="4">
        <f>$K$554*$Y$554</f>
        <v>0</v>
      </c>
      <c r="AF554" s="4">
        <f ca="1">$M$554*$Z$554</f>
        <v>17.809692093853236</v>
      </c>
      <c r="AG554" s="4">
        <f>$O$554*$AA$554</f>
        <v>4.3597650480771142</v>
      </c>
    </row>
    <row r="555" spans="1:33" ht="11.25" customHeight="1" x14ac:dyDescent="0.3">
      <c r="A555" s="3" t="s">
        <v>21</v>
      </c>
      <c r="B555" s="3" t="s">
        <v>37</v>
      </c>
      <c r="C555" s="3" t="s">
        <v>33</v>
      </c>
      <c r="D555" s="3" t="s">
        <v>44</v>
      </c>
      <c r="E555" s="3" t="s">
        <v>25</v>
      </c>
      <c r="F555" s="3" t="s">
        <v>25</v>
      </c>
      <c r="G555" s="3" t="s">
        <v>25</v>
      </c>
      <c r="H555" s="3" t="s">
        <v>34</v>
      </c>
      <c r="I555" s="6">
        <v>44682</v>
      </c>
      <c r="J555" s="4">
        <v>0</v>
      </c>
      <c r="K555" s="4">
        <v>0</v>
      </c>
      <c r="L555" s="4">
        <v>6.7000000000000004E-2</v>
      </c>
      <c r="M555" s="4">
        <v>6.7000000000000004E-2</v>
      </c>
      <c r="N555" s="4">
        <v>6.7000000000000004E-2</v>
      </c>
      <c r="O555" s="4">
        <v>6.7000000000000004E-2</v>
      </c>
      <c r="P555" s="4">
        <v>0</v>
      </c>
      <c r="Q555" s="3" t="s">
        <v>26</v>
      </c>
      <c r="R555" s="3">
        <v>0</v>
      </c>
      <c r="S555" s="4">
        <v>0</v>
      </c>
      <c r="T555" s="4">
        <v>44</v>
      </c>
      <c r="U555" s="4">
        <v>84</v>
      </c>
      <c r="V555" s="4">
        <f>IF(ISERROR(VLOOKUP($S$555,'TAR FIN'!$A$1:$O$91,15,0)),0,VLOOKUP($S$555,'TAR FIN'!$A$1:$O$91,15,0))</f>
        <v>0</v>
      </c>
      <c r="W555" s="4">
        <f>IF(ISERROR(VLOOKUP($T$555,'TAR FIN'!$A$1:$O$91,15,0)),0,VLOOKUP($T$555,'TAR FIN'!$A$1:$O$91,15,0))</f>
        <v>1127.9100000000001</v>
      </c>
      <c r="X555" s="4">
        <f>IF(ISERROR(VLOOKUP($U$555,'TAR FIN'!$A$1:$O$91,15,0)),0,VLOOKUP($U$555,'TAR FIN'!$A$1:$O$91,15,0))</f>
        <v>298.83999999999997</v>
      </c>
      <c r="Y555" s="4"/>
      <c r="Z555" s="4">
        <f ca="1">('TUSD BE'!$AM$48+'TUSD BF'!$AM$48+'TUSD CVA'!$AM$48)*1</f>
        <v>1272.1208638466596</v>
      </c>
      <c r="AA555" s="4">
        <f>('TE BE'!$AB$39+'TE BF'!$AB$39+'TE CVA'!$AB$39)*1</f>
        <v>311.4117891483653</v>
      </c>
      <c r="AB555" s="4">
        <f>$K$555*$V$555</f>
        <v>0</v>
      </c>
      <c r="AC555" s="4">
        <f>$M$555*$W$555</f>
        <v>75.569970000000012</v>
      </c>
      <c r="AD555" s="4">
        <f>$O$555*$X$555</f>
        <v>20.022279999999999</v>
      </c>
      <c r="AE555" s="4">
        <f>$K$555*$Y$555</f>
        <v>0</v>
      </c>
      <c r="AF555" s="4">
        <f ca="1">$M$555*$Z$555</f>
        <v>85.232097877726204</v>
      </c>
      <c r="AG555" s="4">
        <f>$O$555*$AA$555</f>
        <v>20.864589872940478</v>
      </c>
    </row>
    <row r="556" spans="1:33" ht="11.25" customHeight="1" x14ac:dyDescent="0.3">
      <c r="A556" s="3" t="s">
        <v>21</v>
      </c>
      <c r="B556" s="3" t="s">
        <v>37</v>
      </c>
      <c r="C556" s="3" t="s">
        <v>33</v>
      </c>
      <c r="D556" s="3" t="s">
        <v>44</v>
      </c>
      <c r="E556" s="3" t="s">
        <v>25</v>
      </c>
      <c r="F556" s="3" t="s">
        <v>25</v>
      </c>
      <c r="G556" s="3" t="s">
        <v>25</v>
      </c>
      <c r="H556" s="3" t="s">
        <v>34</v>
      </c>
      <c r="I556" s="6">
        <v>44713</v>
      </c>
      <c r="J556" s="4">
        <v>0</v>
      </c>
      <c r="K556" s="4">
        <v>0</v>
      </c>
      <c r="L556" s="4">
        <v>9.6000000000000002E-2</v>
      </c>
      <c r="M556" s="4">
        <v>9.6000000000000002E-2</v>
      </c>
      <c r="N556" s="4">
        <v>9.6000000000000002E-2</v>
      </c>
      <c r="O556" s="4">
        <v>9.6000000000000002E-2</v>
      </c>
      <c r="P556" s="4">
        <v>0</v>
      </c>
      <c r="Q556" s="3" t="s">
        <v>26</v>
      </c>
      <c r="R556" s="3">
        <v>0</v>
      </c>
      <c r="S556" s="4">
        <v>0</v>
      </c>
      <c r="T556" s="4">
        <v>44</v>
      </c>
      <c r="U556" s="4">
        <v>84</v>
      </c>
      <c r="V556" s="4">
        <f>IF(ISERROR(VLOOKUP($S$556,'TAR FIN'!$A$1:$O$91,15,0)),0,VLOOKUP($S$556,'TAR FIN'!$A$1:$O$91,15,0))</f>
        <v>0</v>
      </c>
      <c r="W556" s="4">
        <f>IF(ISERROR(VLOOKUP($T$556,'TAR FIN'!$A$1:$O$91,15,0)),0,VLOOKUP($T$556,'TAR FIN'!$A$1:$O$91,15,0))</f>
        <v>1127.9100000000001</v>
      </c>
      <c r="X556" s="4">
        <f>IF(ISERROR(VLOOKUP($U$556,'TAR FIN'!$A$1:$O$91,15,0)),0,VLOOKUP($U$556,'TAR FIN'!$A$1:$O$91,15,0))</f>
        <v>298.83999999999997</v>
      </c>
      <c r="Y556" s="4"/>
      <c r="Z556" s="4">
        <f ca="1">('TUSD BE'!$AM$48+'TUSD BF'!$AM$48+'TUSD CVA'!$AM$48)*1</f>
        <v>1272.1208638466596</v>
      </c>
      <c r="AA556" s="4">
        <f>('TE BE'!$AB$39+'TE BF'!$AB$39+'TE CVA'!$AB$39)*1</f>
        <v>311.4117891483653</v>
      </c>
      <c r="AB556" s="4">
        <f>$K$556*$V$556</f>
        <v>0</v>
      </c>
      <c r="AC556" s="4">
        <f>$M$556*$W$556</f>
        <v>108.27936000000001</v>
      </c>
      <c r="AD556" s="4">
        <f>$O$556*$X$556</f>
        <v>28.688639999999999</v>
      </c>
      <c r="AE556" s="4">
        <f>$K$556*$Y$556</f>
        <v>0</v>
      </c>
      <c r="AF556" s="4">
        <f ca="1">$M$556*$Z$556</f>
        <v>122.12360292927933</v>
      </c>
      <c r="AG556" s="4">
        <f>$O$556*$AA$556</f>
        <v>29.89553175824307</v>
      </c>
    </row>
    <row r="557" spans="1:33" ht="11.25" customHeight="1" x14ac:dyDescent="0.3">
      <c r="A557" s="3" t="s">
        <v>21</v>
      </c>
      <c r="B557" s="3" t="s">
        <v>37</v>
      </c>
      <c r="C557" s="3" t="s">
        <v>33</v>
      </c>
      <c r="D557" s="3" t="s">
        <v>48</v>
      </c>
      <c r="E557" s="3" t="s">
        <v>49</v>
      </c>
      <c r="F557" s="3" t="s">
        <v>25</v>
      </c>
      <c r="G557" s="3" t="s">
        <v>25</v>
      </c>
      <c r="H557" s="3" t="s">
        <v>34</v>
      </c>
      <c r="I557" s="6">
        <v>44562</v>
      </c>
      <c r="J557" s="4">
        <v>0</v>
      </c>
      <c r="K557" s="88">
        <v>0</v>
      </c>
      <c r="L557" s="4">
        <v>0.69399999999999995</v>
      </c>
      <c r="M557" s="88">
        <v>0.69399999999999995</v>
      </c>
      <c r="N557" s="4">
        <v>0.69399999999999995</v>
      </c>
      <c r="O557" s="88">
        <v>0.69399999999999995</v>
      </c>
      <c r="P557" s="4">
        <v>0</v>
      </c>
      <c r="Q557" s="3" t="s">
        <v>26</v>
      </c>
      <c r="R557" s="3">
        <v>0</v>
      </c>
      <c r="S557" s="4">
        <v>0</v>
      </c>
      <c r="T557" s="4">
        <v>44</v>
      </c>
      <c r="U557" s="4">
        <v>84</v>
      </c>
      <c r="V557" s="88">
        <f>IF(ISERROR(VLOOKUP($S$557,'TAR FIN'!$A$1:$O$91,15,0)),0,VLOOKUP($S$557,'TAR FIN'!$A$1:$O$91,15,0))</f>
        <v>0</v>
      </c>
      <c r="W557" s="88">
        <f>IF(ISERROR(VLOOKUP($T$557,'TAR FIN'!$A$1:$O$91,15,0)),0,VLOOKUP($T$557,'TAR FIN'!$A$1:$O$91,15,0))*(1-0.06)</f>
        <v>1060.2354</v>
      </c>
      <c r="X557" s="88">
        <f>IF(ISERROR(VLOOKUP($U$557,'TAR FIN'!$A$1:$O$91,15,0)),0,VLOOKUP($U$557,'TAR FIN'!$A$1:$O$91,15,0))*(1-0.06)</f>
        <v>280.90959999999995</v>
      </c>
      <c r="Y557" s="88"/>
      <c r="Z557" s="88">
        <f ca="1">('TUSD BE'!$AM$48+'TUSD BF'!$AM$48+'TUSD CVA'!$AM$48)*1*(1-0.03)</f>
        <v>1233.9572379312599</v>
      </c>
      <c r="AA557" s="88">
        <f>('TE BE'!$AB$39+'TE BF'!$AB$39+'TE CVA'!$AB$39)*1*(1-0.03)</f>
        <v>302.06943547391433</v>
      </c>
      <c r="AB557" s="4">
        <f>$K$557*$V$557</f>
        <v>0</v>
      </c>
      <c r="AC557" s="4">
        <f>$M$557*$W$557</f>
        <v>735.8033676</v>
      </c>
      <c r="AD557" s="4">
        <f>$O$557*$X$557</f>
        <v>194.95126239999996</v>
      </c>
      <c r="AE557" s="4">
        <f>$K$557*$Y$557</f>
        <v>0</v>
      </c>
      <c r="AF557" s="4">
        <f ca="1">$M$557*$Z$557</f>
        <v>856.36632312429435</v>
      </c>
      <c r="AG557" s="4">
        <f>$O$557*$AA$557</f>
        <v>209.63618821889654</v>
      </c>
    </row>
    <row r="558" spans="1:33" ht="11.25" customHeight="1" x14ac:dyDescent="0.3">
      <c r="A558" s="3" t="s">
        <v>21</v>
      </c>
      <c r="B558" s="3" t="s">
        <v>37</v>
      </c>
      <c r="C558" s="3" t="s">
        <v>23</v>
      </c>
      <c r="D558" s="3" t="s">
        <v>41</v>
      </c>
      <c r="E558" s="3" t="s">
        <v>25</v>
      </c>
      <c r="F558" s="3" t="s">
        <v>25</v>
      </c>
      <c r="G558" s="3" t="s">
        <v>25</v>
      </c>
      <c r="H558" s="3" t="s">
        <v>25</v>
      </c>
      <c r="I558" s="6">
        <v>44378</v>
      </c>
      <c r="J558" s="4">
        <v>0</v>
      </c>
      <c r="K558" s="4">
        <v>0</v>
      </c>
      <c r="L558" s="4">
        <v>511.387</v>
      </c>
      <c r="M558" s="4">
        <v>511.387</v>
      </c>
      <c r="N558" s="4">
        <v>511.387</v>
      </c>
      <c r="O558" s="4">
        <v>511.387</v>
      </c>
      <c r="P558" s="4">
        <v>1166</v>
      </c>
      <c r="Q558" s="3" t="s">
        <v>26</v>
      </c>
      <c r="R558" s="3">
        <v>0</v>
      </c>
      <c r="S558" s="4">
        <v>0</v>
      </c>
      <c r="T558" s="4">
        <v>47</v>
      </c>
      <c r="U558" s="4">
        <v>87</v>
      </c>
      <c r="V558" s="4">
        <f>IF(ISERROR(VLOOKUP($S$558,'TAR FIN'!$A$1:$O$91,15,0)),0,VLOOKUP($S$558,'TAR FIN'!$A$1:$O$91,15,0))</f>
        <v>0</v>
      </c>
      <c r="W558" s="4">
        <f>IF(ISERROR(VLOOKUP($T$558,'TAR FIN'!$A$1:$O$91,15,0)),0,VLOOKUP($T$558,'TAR FIN'!$A$1:$O$91,15,0))</f>
        <v>406.52</v>
      </c>
      <c r="X558" s="4">
        <f>IF(ISERROR(VLOOKUP($U$558,'TAR FIN'!$A$1:$O$91,15,0)),0,VLOOKUP($U$558,'TAR FIN'!$A$1:$O$91,15,0))</f>
        <v>199.03</v>
      </c>
      <c r="Y558" s="4"/>
      <c r="Z558" s="4">
        <f ca="1">('TUSD BE'!$AM$51+'TUSD BF'!$AM$51+'TUSD CVA'!$AM$51)*1</f>
        <v>446.02270810064761</v>
      </c>
      <c r="AA558" s="4">
        <f>('TE BE'!$AB$42+'TE BF'!$AB$42+'TE CVA'!$AB$42)*1</f>
        <v>205.52329867469447</v>
      </c>
      <c r="AB558" s="4">
        <f>$K$558*$V$558</f>
        <v>0</v>
      </c>
      <c r="AC558" s="4">
        <f>$M$558*$W$558</f>
        <v>207889.04324</v>
      </c>
      <c r="AD558" s="4">
        <f>$O$558*$X$558</f>
        <v>101781.35460999999</v>
      </c>
      <c r="AE558" s="4">
        <f>$K$558*$Y$558</f>
        <v>0</v>
      </c>
      <c r="AF558" s="4">
        <f ca="1">$M$558*$Z$558</f>
        <v>228090.21462746587</v>
      </c>
      <c r="AG558" s="4">
        <f>$O$558*$AA$558</f>
        <v>105101.94313935598</v>
      </c>
    </row>
    <row r="559" spans="1:33" ht="11.25" customHeight="1" x14ac:dyDescent="0.3">
      <c r="A559" s="3" t="s">
        <v>27</v>
      </c>
      <c r="B559" s="3" t="s">
        <v>37</v>
      </c>
      <c r="C559" s="3" t="s">
        <v>23</v>
      </c>
      <c r="D559" s="3" t="s">
        <v>41</v>
      </c>
      <c r="E559" s="3" t="s">
        <v>25</v>
      </c>
      <c r="F559" s="3" t="s">
        <v>25</v>
      </c>
      <c r="G559" s="3" t="s">
        <v>25</v>
      </c>
      <c r="H559" s="3" t="s">
        <v>25</v>
      </c>
      <c r="I559" s="6">
        <v>44378</v>
      </c>
      <c r="J559" s="4">
        <v>0</v>
      </c>
      <c r="K559" s="4">
        <v>0</v>
      </c>
      <c r="L559" s="4">
        <v>-10.084</v>
      </c>
      <c r="M559" s="4">
        <v>-10.084</v>
      </c>
      <c r="N559" s="4">
        <v>-10.084</v>
      </c>
      <c r="O559" s="4">
        <v>-10.084</v>
      </c>
      <c r="P559" s="4">
        <v>0</v>
      </c>
      <c r="Q559" s="3" t="s">
        <v>26</v>
      </c>
      <c r="R559" s="3">
        <v>0</v>
      </c>
      <c r="S559" s="4">
        <v>0</v>
      </c>
      <c r="T559" s="4">
        <v>47</v>
      </c>
      <c r="U559" s="4">
        <v>87</v>
      </c>
      <c r="V559" s="4">
        <f>IF(ISERROR(VLOOKUP($S$559,'TAR FIN'!$A$1:$O$91,15,0)),0,VLOOKUP($S$559,'TAR FIN'!$A$1:$O$91,15,0))</f>
        <v>0</v>
      </c>
      <c r="W559" s="4">
        <f>IF(ISERROR(VLOOKUP($T$559,'TAR FIN'!$A$1:$O$91,15,0)),0,VLOOKUP($T$559,'TAR FIN'!$A$1:$O$91,15,0))</f>
        <v>406.52</v>
      </c>
      <c r="X559" s="4">
        <f>IF(ISERROR(VLOOKUP($U$559,'TAR FIN'!$A$1:$O$91,15,0)),0,VLOOKUP($U$559,'TAR FIN'!$A$1:$O$91,15,0))</f>
        <v>199.03</v>
      </c>
      <c r="Y559" s="4"/>
      <c r="Z559" s="4">
        <f ca="1">('TUSD BE'!$AM$51+'TUSD BF'!$AM$51+'TUSD CVA'!$AM$51)*1</f>
        <v>446.02270810064761</v>
      </c>
      <c r="AA559" s="4">
        <f>('TE BE'!$AB$42+'TE BF'!$AB$42+'TE CVA'!$AB$42)*1</f>
        <v>205.52329867469447</v>
      </c>
      <c r="AB559" s="4">
        <f>$K$559*$V$559</f>
        <v>0</v>
      </c>
      <c r="AC559" s="4">
        <f>$M$559*$W$559</f>
        <v>-4099.3476799999999</v>
      </c>
      <c r="AD559" s="4">
        <f>$O$559*$X$559</f>
        <v>-2007.0185199999999</v>
      </c>
      <c r="AE559" s="4">
        <f>$K$559*$Y$559</f>
        <v>0</v>
      </c>
      <c r="AF559" s="4">
        <f ca="1">$M$559*$Z$559</f>
        <v>-4497.6929884869305</v>
      </c>
      <c r="AG559" s="4">
        <f>$O$559*$AA$559</f>
        <v>-2072.4969438356188</v>
      </c>
    </row>
    <row r="560" spans="1:33" ht="11.25" customHeight="1" x14ac:dyDescent="0.3">
      <c r="A560" s="3" t="s">
        <v>28</v>
      </c>
      <c r="B560" s="3" t="s">
        <v>37</v>
      </c>
      <c r="C560" s="3" t="s">
        <v>23</v>
      </c>
      <c r="D560" s="3" t="s">
        <v>41</v>
      </c>
      <c r="E560" s="3" t="s">
        <v>25</v>
      </c>
      <c r="F560" s="3" t="s">
        <v>25</v>
      </c>
      <c r="G560" s="3" t="s">
        <v>25</v>
      </c>
      <c r="H560" s="3" t="s">
        <v>25</v>
      </c>
      <c r="I560" s="6">
        <v>44378</v>
      </c>
      <c r="J560" s="4">
        <v>0</v>
      </c>
      <c r="K560" s="4">
        <v>0</v>
      </c>
      <c r="L560" s="4">
        <v>50.249000000000002</v>
      </c>
      <c r="M560" s="4">
        <v>50.249000000000002</v>
      </c>
      <c r="N560" s="4">
        <v>50.249000000000002</v>
      </c>
      <c r="O560" s="4">
        <v>50.249000000000002</v>
      </c>
      <c r="P560" s="4">
        <v>38</v>
      </c>
      <c r="Q560" s="3" t="s">
        <v>26</v>
      </c>
      <c r="R560" s="3">
        <v>0</v>
      </c>
      <c r="S560" s="4">
        <v>0</v>
      </c>
      <c r="T560" s="4">
        <v>47</v>
      </c>
      <c r="U560" s="4">
        <v>87</v>
      </c>
      <c r="V560" s="4">
        <f>IF(ISERROR(VLOOKUP($S$560,'TAR FIN'!$A$1:$O$91,15,0)),0,VLOOKUP($S$560,'TAR FIN'!$A$1:$O$91,15,0))</f>
        <v>0</v>
      </c>
      <c r="W560" s="4">
        <f>IF(ISERROR(VLOOKUP($T$560,'TAR FIN'!$A$1:$O$91,15,0)),0,VLOOKUP($T$560,'TAR FIN'!$A$1:$O$91,15,0))</f>
        <v>406.52</v>
      </c>
      <c r="X560" s="4">
        <f>IF(ISERROR(VLOOKUP($U$560,'TAR FIN'!$A$1:$O$91,15,0)),0,VLOOKUP($U$560,'TAR FIN'!$A$1:$O$91,15,0))</f>
        <v>199.03</v>
      </c>
      <c r="Y560" s="4"/>
      <c r="Z560" s="4">
        <f ca="1">('TUSD BE'!$AM$51+'TUSD BF'!$AM$51+'TUSD CVA'!$AM$51)*1</f>
        <v>446.02270810064761</v>
      </c>
      <c r="AA560" s="4">
        <f>('TE BE'!$AB$42+'TE BF'!$AB$42+'TE CVA'!$AB$42)*1</f>
        <v>205.52329867469447</v>
      </c>
      <c r="AB560" s="4">
        <f>$K$560*$V$560</f>
        <v>0</v>
      </c>
      <c r="AC560" s="4">
        <f>$M$560*$W$560</f>
        <v>20427.223480000001</v>
      </c>
      <c r="AD560" s="4">
        <f>$O$560*$X$560</f>
        <v>10001.05847</v>
      </c>
      <c r="AE560" s="4">
        <f>$K$560*$Y$560</f>
        <v>0</v>
      </c>
      <c r="AF560" s="4">
        <f ca="1">$M$560*$Z$560</f>
        <v>22412.195059349444</v>
      </c>
      <c r="AG560" s="4">
        <f>$O$560*$AA$560</f>
        <v>10327.340235104723</v>
      </c>
    </row>
    <row r="561" spans="1:33" ht="11.25" customHeight="1" x14ac:dyDescent="0.3">
      <c r="A561" s="3" t="s">
        <v>21</v>
      </c>
      <c r="B561" s="3" t="s">
        <v>37</v>
      </c>
      <c r="C561" s="3" t="s">
        <v>23</v>
      </c>
      <c r="D561" s="3" t="s">
        <v>41</v>
      </c>
      <c r="E561" s="3" t="s">
        <v>25</v>
      </c>
      <c r="F561" s="3" t="s">
        <v>25</v>
      </c>
      <c r="G561" s="3" t="s">
        <v>25</v>
      </c>
      <c r="H561" s="3" t="s">
        <v>25</v>
      </c>
      <c r="I561" s="6">
        <v>44409</v>
      </c>
      <c r="J561" s="4">
        <v>0</v>
      </c>
      <c r="K561" s="4">
        <v>0</v>
      </c>
      <c r="L561" s="4">
        <v>549.75400000000002</v>
      </c>
      <c r="M561" s="4">
        <v>549.75400000000002</v>
      </c>
      <c r="N561" s="4">
        <v>549.75400000000002</v>
      </c>
      <c r="O561" s="4">
        <v>549.75400000000002</v>
      </c>
      <c r="P561" s="4">
        <v>1164</v>
      </c>
      <c r="Q561" s="3" t="s">
        <v>26</v>
      </c>
      <c r="R561" s="3">
        <v>0</v>
      </c>
      <c r="S561" s="4">
        <v>0</v>
      </c>
      <c r="T561" s="4">
        <v>47</v>
      </c>
      <c r="U561" s="4">
        <v>87</v>
      </c>
      <c r="V561" s="4">
        <f>IF(ISERROR(VLOOKUP($S$561,'TAR FIN'!$A$1:$O$91,15,0)),0,VLOOKUP($S$561,'TAR FIN'!$A$1:$O$91,15,0))</f>
        <v>0</v>
      </c>
      <c r="W561" s="4">
        <f>IF(ISERROR(VLOOKUP($T$561,'TAR FIN'!$A$1:$O$91,15,0)),0,VLOOKUP($T$561,'TAR FIN'!$A$1:$O$91,15,0))</f>
        <v>406.52</v>
      </c>
      <c r="X561" s="4">
        <f>IF(ISERROR(VLOOKUP($U$561,'TAR FIN'!$A$1:$O$91,15,0)),0,VLOOKUP($U$561,'TAR FIN'!$A$1:$O$91,15,0))</f>
        <v>199.03</v>
      </c>
      <c r="Y561" s="4"/>
      <c r="Z561" s="4">
        <f ca="1">('TUSD BE'!$AM$51+'TUSD BF'!$AM$51+'TUSD CVA'!$AM$51)*1</f>
        <v>446.02270810064761</v>
      </c>
      <c r="AA561" s="4">
        <f>('TE BE'!$AB$42+'TE BF'!$AB$42+'TE CVA'!$AB$42)*1</f>
        <v>205.52329867469447</v>
      </c>
      <c r="AB561" s="4">
        <f>$K$561*$V$561</f>
        <v>0</v>
      </c>
      <c r="AC561" s="4">
        <f>$M$561*$W$561</f>
        <v>223485.99608000001</v>
      </c>
      <c r="AD561" s="4">
        <f>$O$561*$X$561</f>
        <v>109417.53862000001</v>
      </c>
      <c r="AE561" s="4">
        <f>$K$561*$Y$561</f>
        <v>0</v>
      </c>
      <c r="AF561" s="4">
        <f ca="1">$M$561*$Z$561</f>
        <v>245202.76786916342</v>
      </c>
      <c r="AG561" s="4">
        <f>$O$561*$AA$561</f>
        <v>112987.25553960798</v>
      </c>
    </row>
    <row r="562" spans="1:33" ht="11.25" customHeight="1" x14ac:dyDescent="0.3">
      <c r="A562" s="3" t="s">
        <v>27</v>
      </c>
      <c r="B562" s="3" t="s">
        <v>37</v>
      </c>
      <c r="C562" s="3" t="s">
        <v>23</v>
      </c>
      <c r="D562" s="3" t="s">
        <v>41</v>
      </c>
      <c r="E562" s="3" t="s">
        <v>25</v>
      </c>
      <c r="F562" s="3" t="s">
        <v>25</v>
      </c>
      <c r="G562" s="3" t="s">
        <v>25</v>
      </c>
      <c r="H562" s="3" t="s">
        <v>25</v>
      </c>
      <c r="I562" s="6">
        <v>44409</v>
      </c>
      <c r="J562" s="4">
        <v>0</v>
      </c>
      <c r="K562" s="4">
        <v>0</v>
      </c>
      <c r="L562" s="4">
        <v>-6.5000000000000002E-2</v>
      </c>
      <c r="M562" s="4">
        <v>-6.5000000000000002E-2</v>
      </c>
      <c r="N562" s="4">
        <v>-6.5000000000000002E-2</v>
      </c>
      <c r="O562" s="4">
        <v>-6.5000000000000002E-2</v>
      </c>
      <c r="P562" s="4">
        <v>0</v>
      </c>
      <c r="Q562" s="3" t="s">
        <v>26</v>
      </c>
      <c r="R562" s="3">
        <v>0</v>
      </c>
      <c r="S562" s="4">
        <v>0</v>
      </c>
      <c r="T562" s="4">
        <v>47</v>
      </c>
      <c r="U562" s="4">
        <v>87</v>
      </c>
      <c r="V562" s="4">
        <f>IF(ISERROR(VLOOKUP($S$562,'TAR FIN'!$A$1:$O$91,15,0)),0,VLOOKUP($S$562,'TAR FIN'!$A$1:$O$91,15,0))</f>
        <v>0</v>
      </c>
      <c r="W562" s="4">
        <f>IF(ISERROR(VLOOKUP($T$562,'TAR FIN'!$A$1:$O$91,15,0)),0,VLOOKUP($T$562,'TAR FIN'!$A$1:$O$91,15,0))</f>
        <v>406.52</v>
      </c>
      <c r="X562" s="4">
        <f>IF(ISERROR(VLOOKUP($U$562,'TAR FIN'!$A$1:$O$91,15,0)),0,VLOOKUP($U$562,'TAR FIN'!$A$1:$O$91,15,0))</f>
        <v>199.03</v>
      </c>
      <c r="Y562" s="4"/>
      <c r="Z562" s="4">
        <f ca="1">('TUSD BE'!$AM$51+'TUSD BF'!$AM$51+'TUSD CVA'!$AM$51)*1</f>
        <v>446.02270810064761</v>
      </c>
      <c r="AA562" s="4">
        <f>('TE BE'!$AB$42+'TE BF'!$AB$42+'TE CVA'!$AB$42)*1</f>
        <v>205.52329867469447</v>
      </c>
      <c r="AB562" s="4">
        <f>$K$562*$V$562</f>
        <v>0</v>
      </c>
      <c r="AC562" s="4">
        <f>$M$562*$W$562</f>
        <v>-26.4238</v>
      </c>
      <c r="AD562" s="4">
        <f>$O$562*$X$562</f>
        <v>-12.936950000000001</v>
      </c>
      <c r="AE562" s="4">
        <f>$K$562*$Y$562</f>
        <v>0</v>
      </c>
      <c r="AF562" s="4">
        <f ca="1">$M$562*$Z$562</f>
        <v>-28.991476026542095</v>
      </c>
      <c r="AG562" s="4">
        <f>$O$562*$AA$562</f>
        <v>-13.359014413855141</v>
      </c>
    </row>
    <row r="563" spans="1:33" ht="11.25" customHeight="1" x14ac:dyDescent="0.3">
      <c r="A563" s="3" t="s">
        <v>28</v>
      </c>
      <c r="B563" s="3" t="s">
        <v>37</v>
      </c>
      <c r="C563" s="3" t="s">
        <v>23</v>
      </c>
      <c r="D563" s="3" t="s">
        <v>41</v>
      </c>
      <c r="E563" s="3" t="s">
        <v>25</v>
      </c>
      <c r="F563" s="3" t="s">
        <v>25</v>
      </c>
      <c r="G563" s="3" t="s">
        <v>25</v>
      </c>
      <c r="H563" s="3" t="s">
        <v>25</v>
      </c>
      <c r="I563" s="6">
        <v>44409</v>
      </c>
      <c r="J563" s="4">
        <v>0</v>
      </c>
      <c r="K563" s="4">
        <v>0</v>
      </c>
      <c r="L563" s="4">
        <v>43.874000000000002</v>
      </c>
      <c r="M563" s="4">
        <v>43.874000000000002</v>
      </c>
      <c r="N563" s="4">
        <v>43.874000000000002</v>
      </c>
      <c r="O563" s="4">
        <v>43.874000000000002</v>
      </c>
      <c r="P563" s="4">
        <v>42</v>
      </c>
      <c r="Q563" s="3" t="s">
        <v>26</v>
      </c>
      <c r="R563" s="3">
        <v>0</v>
      </c>
      <c r="S563" s="4">
        <v>0</v>
      </c>
      <c r="T563" s="4">
        <v>47</v>
      </c>
      <c r="U563" s="4">
        <v>87</v>
      </c>
      <c r="V563" s="4">
        <f>IF(ISERROR(VLOOKUP($S$563,'TAR FIN'!$A$1:$O$91,15,0)),0,VLOOKUP($S$563,'TAR FIN'!$A$1:$O$91,15,0))</f>
        <v>0</v>
      </c>
      <c r="W563" s="4">
        <f>IF(ISERROR(VLOOKUP($T$563,'TAR FIN'!$A$1:$O$91,15,0)),0,VLOOKUP($T$563,'TAR FIN'!$A$1:$O$91,15,0))</f>
        <v>406.52</v>
      </c>
      <c r="X563" s="4">
        <f>IF(ISERROR(VLOOKUP($U$563,'TAR FIN'!$A$1:$O$91,15,0)),0,VLOOKUP($U$563,'TAR FIN'!$A$1:$O$91,15,0))</f>
        <v>199.03</v>
      </c>
      <c r="Y563" s="4"/>
      <c r="Z563" s="4">
        <f ca="1">('TUSD BE'!$AM$51+'TUSD BF'!$AM$51+'TUSD CVA'!$AM$51)*1</f>
        <v>446.02270810064761</v>
      </c>
      <c r="AA563" s="4">
        <f>('TE BE'!$AB$42+'TE BF'!$AB$42+'TE CVA'!$AB$42)*1</f>
        <v>205.52329867469447</v>
      </c>
      <c r="AB563" s="4">
        <f>$K$563*$V$563</f>
        <v>0</v>
      </c>
      <c r="AC563" s="4">
        <f>$M$563*$W$563</f>
        <v>17835.658480000002</v>
      </c>
      <c r="AD563" s="4">
        <f>$O$563*$X$563</f>
        <v>8732.2422200000001</v>
      </c>
      <c r="AE563" s="4">
        <f>$K$563*$Y$563</f>
        <v>0</v>
      </c>
      <c r="AF563" s="4">
        <f ca="1">$M$563*$Z$563</f>
        <v>19568.800295207813</v>
      </c>
      <c r="AG563" s="4">
        <f>$O$563*$AA$563</f>
        <v>9017.1292060535452</v>
      </c>
    </row>
    <row r="564" spans="1:33" ht="11.25" customHeight="1" x14ac:dyDescent="0.3">
      <c r="A564" s="3" t="s">
        <v>21</v>
      </c>
      <c r="B564" s="3" t="s">
        <v>37</v>
      </c>
      <c r="C564" s="3" t="s">
        <v>23</v>
      </c>
      <c r="D564" s="3" t="s">
        <v>41</v>
      </c>
      <c r="E564" s="3" t="s">
        <v>25</v>
      </c>
      <c r="F564" s="3" t="s">
        <v>25</v>
      </c>
      <c r="G564" s="3" t="s">
        <v>25</v>
      </c>
      <c r="H564" s="3" t="s">
        <v>25</v>
      </c>
      <c r="I564" s="6">
        <v>44440</v>
      </c>
      <c r="J564" s="4">
        <v>0</v>
      </c>
      <c r="K564" s="4">
        <v>0</v>
      </c>
      <c r="L564" s="4">
        <v>507.43700000000001</v>
      </c>
      <c r="M564" s="4">
        <v>507.43700000000001</v>
      </c>
      <c r="N564" s="4">
        <v>507.43700000000001</v>
      </c>
      <c r="O564" s="4">
        <v>507.43700000000001</v>
      </c>
      <c r="P564" s="4">
        <v>1174</v>
      </c>
      <c r="Q564" s="3" t="s">
        <v>26</v>
      </c>
      <c r="R564" s="3">
        <v>0</v>
      </c>
      <c r="S564" s="4">
        <v>0</v>
      </c>
      <c r="T564" s="4">
        <v>47</v>
      </c>
      <c r="U564" s="4">
        <v>87</v>
      </c>
      <c r="V564" s="4">
        <f>IF(ISERROR(VLOOKUP($S$564,'TAR FIN'!$A$1:$O$91,15,0)),0,VLOOKUP($S$564,'TAR FIN'!$A$1:$O$91,15,0))</f>
        <v>0</v>
      </c>
      <c r="W564" s="4">
        <f>IF(ISERROR(VLOOKUP($T$564,'TAR FIN'!$A$1:$O$91,15,0)),0,VLOOKUP($T$564,'TAR FIN'!$A$1:$O$91,15,0))</f>
        <v>406.52</v>
      </c>
      <c r="X564" s="4">
        <f>IF(ISERROR(VLOOKUP($U$564,'TAR FIN'!$A$1:$O$91,15,0)),0,VLOOKUP($U$564,'TAR FIN'!$A$1:$O$91,15,0))</f>
        <v>199.03</v>
      </c>
      <c r="Y564" s="4"/>
      <c r="Z564" s="4">
        <f ca="1">('TUSD BE'!$AM$51+'TUSD BF'!$AM$51+'TUSD CVA'!$AM$51)*1</f>
        <v>446.02270810064761</v>
      </c>
      <c r="AA564" s="4">
        <f>('TE BE'!$AB$42+'TE BF'!$AB$42+'TE CVA'!$AB$42)*1</f>
        <v>205.52329867469447</v>
      </c>
      <c r="AB564" s="4">
        <f>$K$564*$V$564</f>
        <v>0</v>
      </c>
      <c r="AC564" s="4">
        <f>$M$564*$W$564</f>
        <v>206283.28923999998</v>
      </c>
      <c r="AD564" s="4">
        <f>$O$564*$X$564</f>
        <v>100995.18611000001</v>
      </c>
      <c r="AE564" s="4">
        <f>$K$564*$Y$564</f>
        <v>0</v>
      </c>
      <c r="AF564" s="4">
        <f ca="1">$M$564*$Z$564</f>
        <v>226328.42493046832</v>
      </c>
      <c r="AG564" s="4">
        <f>$O$564*$AA$564</f>
        <v>104290.12610959094</v>
      </c>
    </row>
    <row r="565" spans="1:33" ht="11.25" customHeight="1" x14ac:dyDescent="0.3">
      <c r="A565" s="3" t="s">
        <v>28</v>
      </c>
      <c r="B565" s="3" t="s">
        <v>37</v>
      </c>
      <c r="C565" s="3" t="s">
        <v>23</v>
      </c>
      <c r="D565" s="3" t="s">
        <v>41</v>
      </c>
      <c r="E565" s="3" t="s">
        <v>25</v>
      </c>
      <c r="F565" s="3" t="s">
        <v>25</v>
      </c>
      <c r="G565" s="3" t="s">
        <v>25</v>
      </c>
      <c r="H565" s="3" t="s">
        <v>25</v>
      </c>
      <c r="I565" s="6">
        <v>44440</v>
      </c>
      <c r="J565" s="4">
        <v>0</v>
      </c>
      <c r="K565" s="4">
        <v>0</v>
      </c>
      <c r="L565" s="4">
        <v>46.741999999999997</v>
      </c>
      <c r="M565" s="4">
        <v>46.741999999999997</v>
      </c>
      <c r="N565" s="4">
        <v>46.741999999999997</v>
      </c>
      <c r="O565" s="4">
        <v>46.741999999999997</v>
      </c>
      <c r="P565" s="4">
        <v>42</v>
      </c>
      <c r="Q565" s="3" t="s">
        <v>26</v>
      </c>
      <c r="R565" s="3">
        <v>0</v>
      </c>
      <c r="S565" s="4">
        <v>0</v>
      </c>
      <c r="T565" s="4">
        <v>47</v>
      </c>
      <c r="U565" s="4">
        <v>87</v>
      </c>
      <c r="V565" s="4">
        <f>IF(ISERROR(VLOOKUP($S$565,'TAR FIN'!$A$1:$O$91,15,0)),0,VLOOKUP($S$565,'TAR FIN'!$A$1:$O$91,15,0))</f>
        <v>0</v>
      </c>
      <c r="W565" s="4">
        <f>IF(ISERROR(VLOOKUP($T$565,'TAR FIN'!$A$1:$O$91,15,0)),0,VLOOKUP($T$565,'TAR FIN'!$A$1:$O$91,15,0))</f>
        <v>406.52</v>
      </c>
      <c r="X565" s="4">
        <f>IF(ISERROR(VLOOKUP($U$565,'TAR FIN'!$A$1:$O$91,15,0)),0,VLOOKUP($U$565,'TAR FIN'!$A$1:$O$91,15,0))</f>
        <v>199.03</v>
      </c>
      <c r="Y565" s="4"/>
      <c r="Z565" s="4">
        <f ca="1">('TUSD BE'!$AM$51+'TUSD BF'!$AM$51+'TUSD CVA'!$AM$51)*1</f>
        <v>446.02270810064761</v>
      </c>
      <c r="AA565" s="4">
        <f>('TE BE'!$AB$42+'TE BF'!$AB$42+'TE CVA'!$AB$42)*1</f>
        <v>205.52329867469447</v>
      </c>
      <c r="AB565" s="4">
        <f>$K$565*$V$565</f>
        <v>0</v>
      </c>
      <c r="AC565" s="4">
        <f>$M$565*$W$565</f>
        <v>19001.557839999998</v>
      </c>
      <c r="AD565" s="4">
        <f>$O$565*$X$565</f>
        <v>9303.0602600000002</v>
      </c>
      <c r="AE565" s="4">
        <f>$K$565*$Y$565</f>
        <v>0</v>
      </c>
      <c r="AF565" s="4">
        <f ca="1">$M$565*$Z$565</f>
        <v>20847.993422040468</v>
      </c>
      <c r="AG565" s="4">
        <f>$O$565*$AA$565</f>
        <v>9606.5700266525691</v>
      </c>
    </row>
    <row r="566" spans="1:33" ht="11.25" customHeight="1" x14ac:dyDescent="0.3">
      <c r="A566" s="3" t="s">
        <v>21</v>
      </c>
      <c r="B566" s="3" t="s">
        <v>37</v>
      </c>
      <c r="C566" s="3" t="s">
        <v>23</v>
      </c>
      <c r="D566" s="3" t="s">
        <v>41</v>
      </c>
      <c r="E566" s="3" t="s">
        <v>25</v>
      </c>
      <c r="F566" s="3" t="s">
        <v>25</v>
      </c>
      <c r="G566" s="3" t="s">
        <v>25</v>
      </c>
      <c r="H566" s="3" t="s">
        <v>25</v>
      </c>
      <c r="I566" s="6">
        <v>44470</v>
      </c>
      <c r="J566" s="4">
        <v>0</v>
      </c>
      <c r="K566" s="4">
        <v>0</v>
      </c>
      <c r="L566" s="4">
        <v>545.47500000000002</v>
      </c>
      <c r="M566" s="4">
        <v>545.47500000000002</v>
      </c>
      <c r="N566" s="4">
        <v>545.47500000000002</v>
      </c>
      <c r="O566" s="4">
        <v>545.47500000000002</v>
      </c>
      <c r="P566" s="4">
        <v>1180</v>
      </c>
      <c r="Q566" s="3" t="s">
        <v>26</v>
      </c>
      <c r="R566" s="3">
        <v>0</v>
      </c>
      <c r="S566" s="4">
        <v>0</v>
      </c>
      <c r="T566" s="4">
        <v>47</v>
      </c>
      <c r="U566" s="4">
        <v>87</v>
      </c>
      <c r="V566" s="4">
        <f>IF(ISERROR(VLOOKUP($S$566,'TAR FIN'!$A$1:$O$91,15,0)),0,VLOOKUP($S$566,'TAR FIN'!$A$1:$O$91,15,0))</f>
        <v>0</v>
      </c>
      <c r="W566" s="4">
        <f>IF(ISERROR(VLOOKUP($T$566,'TAR FIN'!$A$1:$O$91,15,0)),0,VLOOKUP($T$566,'TAR FIN'!$A$1:$O$91,15,0))</f>
        <v>406.52</v>
      </c>
      <c r="X566" s="4">
        <f>IF(ISERROR(VLOOKUP($U$566,'TAR FIN'!$A$1:$O$91,15,0)),0,VLOOKUP($U$566,'TAR FIN'!$A$1:$O$91,15,0))</f>
        <v>199.03</v>
      </c>
      <c r="Y566" s="4"/>
      <c r="Z566" s="4">
        <f ca="1">('TUSD BE'!$AM$51+'TUSD BF'!$AM$51+'TUSD CVA'!$AM$51)*1</f>
        <v>446.02270810064761</v>
      </c>
      <c r="AA566" s="4">
        <f>('TE BE'!$AB$42+'TE BF'!$AB$42+'TE CVA'!$AB$42)*1</f>
        <v>205.52329867469447</v>
      </c>
      <c r="AB566" s="4">
        <f>$K$566*$V$566</f>
        <v>0</v>
      </c>
      <c r="AC566" s="4">
        <f>$M$566*$W$566</f>
        <v>221746.497</v>
      </c>
      <c r="AD566" s="4">
        <f>$O$566*$X$566</f>
        <v>108565.88925000001</v>
      </c>
      <c r="AE566" s="4">
        <f>$K$566*$Y$566</f>
        <v>0</v>
      </c>
      <c r="AF566" s="4">
        <f ca="1">$M$566*$Z$566</f>
        <v>243294.23670120077</v>
      </c>
      <c r="AG566" s="4">
        <f>$O$566*$AA$566</f>
        <v>112107.82134457897</v>
      </c>
    </row>
    <row r="567" spans="1:33" ht="11.25" customHeight="1" x14ac:dyDescent="0.3">
      <c r="A567" s="3" t="s">
        <v>28</v>
      </c>
      <c r="B567" s="3" t="s">
        <v>37</v>
      </c>
      <c r="C567" s="3" t="s">
        <v>23</v>
      </c>
      <c r="D567" s="3" t="s">
        <v>41</v>
      </c>
      <c r="E567" s="3" t="s">
        <v>25</v>
      </c>
      <c r="F567" s="3" t="s">
        <v>25</v>
      </c>
      <c r="G567" s="3" t="s">
        <v>25</v>
      </c>
      <c r="H567" s="3" t="s">
        <v>25</v>
      </c>
      <c r="I567" s="6">
        <v>44470</v>
      </c>
      <c r="J567" s="4">
        <v>0</v>
      </c>
      <c r="K567" s="4">
        <v>0</v>
      </c>
      <c r="L567" s="4">
        <v>43.554000000000002</v>
      </c>
      <c r="M567" s="4">
        <v>43.554000000000002</v>
      </c>
      <c r="N567" s="4">
        <v>43.554000000000002</v>
      </c>
      <c r="O567" s="4">
        <v>43.554000000000002</v>
      </c>
      <c r="P567" s="4">
        <v>45</v>
      </c>
      <c r="Q567" s="3" t="s">
        <v>26</v>
      </c>
      <c r="R567" s="3">
        <v>0</v>
      </c>
      <c r="S567" s="4">
        <v>0</v>
      </c>
      <c r="T567" s="4">
        <v>47</v>
      </c>
      <c r="U567" s="4">
        <v>87</v>
      </c>
      <c r="V567" s="4">
        <f>IF(ISERROR(VLOOKUP($S$567,'TAR FIN'!$A$1:$O$91,15,0)),0,VLOOKUP($S$567,'TAR FIN'!$A$1:$O$91,15,0))</f>
        <v>0</v>
      </c>
      <c r="W567" s="4">
        <f>IF(ISERROR(VLOOKUP($T$567,'TAR FIN'!$A$1:$O$91,15,0)),0,VLOOKUP($T$567,'TAR FIN'!$A$1:$O$91,15,0))</f>
        <v>406.52</v>
      </c>
      <c r="X567" s="4">
        <f>IF(ISERROR(VLOOKUP($U$567,'TAR FIN'!$A$1:$O$91,15,0)),0,VLOOKUP($U$567,'TAR FIN'!$A$1:$O$91,15,0))</f>
        <v>199.03</v>
      </c>
      <c r="Y567" s="4"/>
      <c r="Z567" s="4">
        <f ca="1">('TUSD BE'!$AM$51+'TUSD BF'!$AM$51+'TUSD CVA'!$AM$51)*1</f>
        <v>446.02270810064761</v>
      </c>
      <c r="AA567" s="4">
        <f>('TE BE'!$AB$42+'TE BF'!$AB$42+'TE CVA'!$AB$42)*1</f>
        <v>205.52329867469447</v>
      </c>
      <c r="AB567" s="4">
        <f>$K$567*$V$567</f>
        <v>0</v>
      </c>
      <c r="AC567" s="4">
        <f>$M$567*$W$567</f>
        <v>17705.572080000002</v>
      </c>
      <c r="AD567" s="4">
        <f>$O$567*$X$567</f>
        <v>8668.5526200000004</v>
      </c>
      <c r="AE567" s="4">
        <f>$K$567*$Y$567</f>
        <v>0</v>
      </c>
      <c r="AF567" s="4">
        <f ca="1">$M$567*$Z$567</f>
        <v>19426.073028615607</v>
      </c>
      <c r="AG567" s="4">
        <f>$O$567*$AA$567</f>
        <v>8951.361750477643</v>
      </c>
    </row>
    <row r="568" spans="1:33" ht="11.25" customHeight="1" x14ac:dyDescent="0.3">
      <c r="A568" s="3" t="s">
        <v>21</v>
      </c>
      <c r="B568" s="3" t="s">
        <v>37</v>
      </c>
      <c r="C568" s="3" t="s">
        <v>23</v>
      </c>
      <c r="D568" s="3" t="s">
        <v>41</v>
      </c>
      <c r="E568" s="3" t="s">
        <v>25</v>
      </c>
      <c r="F568" s="3" t="s">
        <v>25</v>
      </c>
      <c r="G568" s="3" t="s">
        <v>25</v>
      </c>
      <c r="H568" s="3" t="s">
        <v>25</v>
      </c>
      <c r="I568" s="6">
        <v>44501</v>
      </c>
      <c r="J568" s="4">
        <v>0</v>
      </c>
      <c r="K568" s="4">
        <v>0</v>
      </c>
      <c r="L568" s="4">
        <v>601.43600000000004</v>
      </c>
      <c r="M568" s="4">
        <v>601.43600000000004</v>
      </c>
      <c r="N568" s="4">
        <v>601.43600000000004</v>
      </c>
      <c r="O568" s="4">
        <v>601.43600000000004</v>
      </c>
      <c r="P568" s="4">
        <v>1177</v>
      </c>
      <c r="Q568" s="3" t="s">
        <v>26</v>
      </c>
      <c r="R568" s="3">
        <v>0</v>
      </c>
      <c r="S568" s="4">
        <v>0</v>
      </c>
      <c r="T568" s="4">
        <v>47</v>
      </c>
      <c r="U568" s="4">
        <v>87</v>
      </c>
      <c r="V568" s="4">
        <f>IF(ISERROR(VLOOKUP($S$568,'TAR FIN'!$A$1:$O$91,15,0)),0,VLOOKUP($S$568,'TAR FIN'!$A$1:$O$91,15,0))</f>
        <v>0</v>
      </c>
      <c r="W568" s="4">
        <f>IF(ISERROR(VLOOKUP($T$568,'TAR FIN'!$A$1:$O$91,15,0)),0,VLOOKUP($T$568,'TAR FIN'!$A$1:$O$91,15,0))</f>
        <v>406.52</v>
      </c>
      <c r="X568" s="4">
        <f>IF(ISERROR(VLOOKUP($U$568,'TAR FIN'!$A$1:$O$91,15,0)),0,VLOOKUP($U$568,'TAR FIN'!$A$1:$O$91,15,0))</f>
        <v>199.03</v>
      </c>
      <c r="Y568" s="4"/>
      <c r="Z568" s="4">
        <f ca="1">('TUSD BE'!$AM$51+'TUSD BF'!$AM$51+'TUSD CVA'!$AM$51)*1</f>
        <v>446.02270810064761</v>
      </c>
      <c r="AA568" s="4">
        <f>('TE BE'!$AB$42+'TE BF'!$AB$42+'TE CVA'!$AB$42)*1</f>
        <v>205.52329867469447</v>
      </c>
      <c r="AB568" s="4">
        <f>$K$568*$V$568</f>
        <v>0</v>
      </c>
      <c r="AC568" s="4">
        <f>$M$568*$W$568</f>
        <v>244495.76272</v>
      </c>
      <c r="AD568" s="4">
        <f>$O$568*$X$568</f>
        <v>119703.80708000001</v>
      </c>
      <c r="AE568" s="4">
        <f>$K$568*$Y$568</f>
        <v>0</v>
      </c>
      <c r="AF568" s="4">
        <f ca="1">$M$568*$Z$568</f>
        <v>268254.11346922111</v>
      </c>
      <c r="AG568" s="4">
        <f>$O$568*$AA$568</f>
        <v>123609.11066171355</v>
      </c>
    </row>
    <row r="569" spans="1:33" ht="11.25" customHeight="1" x14ac:dyDescent="0.3">
      <c r="A569" s="3" t="s">
        <v>27</v>
      </c>
      <c r="B569" s="3" t="s">
        <v>37</v>
      </c>
      <c r="C569" s="3" t="s">
        <v>23</v>
      </c>
      <c r="D569" s="3" t="s">
        <v>41</v>
      </c>
      <c r="E569" s="3" t="s">
        <v>25</v>
      </c>
      <c r="F569" s="3" t="s">
        <v>25</v>
      </c>
      <c r="G569" s="3" t="s">
        <v>25</v>
      </c>
      <c r="H569" s="3" t="s">
        <v>25</v>
      </c>
      <c r="I569" s="6">
        <v>44501</v>
      </c>
      <c r="J569" s="4">
        <v>0</v>
      </c>
      <c r="K569" s="4">
        <v>0</v>
      </c>
      <c r="L569" s="4">
        <v>-0.159</v>
      </c>
      <c r="M569" s="4">
        <v>-0.159</v>
      </c>
      <c r="N569" s="4">
        <v>-0.159</v>
      </c>
      <c r="O569" s="4">
        <v>-0.159</v>
      </c>
      <c r="P569" s="4">
        <v>0</v>
      </c>
      <c r="Q569" s="3" t="s">
        <v>26</v>
      </c>
      <c r="R569" s="3">
        <v>0</v>
      </c>
      <c r="S569" s="4">
        <v>0</v>
      </c>
      <c r="T569" s="4">
        <v>47</v>
      </c>
      <c r="U569" s="4">
        <v>87</v>
      </c>
      <c r="V569" s="4">
        <f>IF(ISERROR(VLOOKUP($S$569,'TAR FIN'!$A$1:$O$91,15,0)),0,VLOOKUP($S$569,'TAR FIN'!$A$1:$O$91,15,0))</f>
        <v>0</v>
      </c>
      <c r="W569" s="4">
        <f>IF(ISERROR(VLOOKUP($T$569,'TAR FIN'!$A$1:$O$91,15,0)),0,VLOOKUP($T$569,'TAR FIN'!$A$1:$O$91,15,0))</f>
        <v>406.52</v>
      </c>
      <c r="X569" s="4">
        <f>IF(ISERROR(VLOOKUP($U$569,'TAR FIN'!$A$1:$O$91,15,0)),0,VLOOKUP($U$569,'TAR FIN'!$A$1:$O$91,15,0))</f>
        <v>199.03</v>
      </c>
      <c r="Y569" s="4"/>
      <c r="Z569" s="4">
        <f ca="1">('TUSD BE'!$AM$51+'TUSD BF'!$AM$51+'TUSD CVA'!$AM$51)*1</f>
        <v>446.02270810064761</v>
      </c>
      <c r="AA569" s="4">
        <f>('TE BE'!$AB$42+'TE BF'!$AB$42+'TE CVA'!$AB$42)*1</f>
        <v>205.52329867469447</v>
      </c>
      <c r="AB569" s="4">
        <f>$K$569*$V$569</f>
        <v>0</v>
      </c>
      <c r="AC569" s="4">
        <f>$M$569*$W$569</f>
        <v>-64.636679999999998</v>
      </c>
      <c r="AD569" s="4">
        <f>$O$569*$X$569</f>
        <v>-31.645770000000002</v>
      </c>
      <c r="AE569" s="4">
        <f>$K$569*$Y$569</f>
        <v>0</v>
      </c>
      <c r="AF569" s="4">
        <f ca="1">$M$569*$Z$569</f>
        <v>-70.917610588002972</v>
      </c>
      <c r="AG569" s="4">
        <f>$O$569*$AA$569</f>
        <v>-32.678204489276425</v>
      </c>
    </row>
    <row r="570" spans="1:33" ht="11.25" customHeight="1" x14ac:dyDescent="0.3">
      <c r="A570" s="3" t="s">
        <v>28</v>
      </c>
      <c r="B570" s="3" t="s">
        <v>37</v>
      </c>
      <c r="C570" s="3" t="s">
        <v>23</v>
      </c>
      <c r="D570" s="3" t="s">
        <v>41</v>
      </c>
      <c r="E570" s="3" t="s">
        <v>25</v>
      </c>
      <c r="F570" s="3" t="s">
        <v>25</v>
      </c>
      <c r="G570" s="3" t="s">
        <v>25</v>
      </c>
      <c r="H570" s="3" t="s">
        <v>25</v>
      </c>
      <c r="I570" s="6">
        <v>44501</v>
      </c>
      <c r="J570" s="4">
        <v>0</v>
      </c>
      <c r="K570" s="4">
        <v>0</v>
      </c>
      <c r="L570" s="4">
        <v>34.328000000000003</v>
      </c>
      <c r="M570" s="4">
        <v>34.328000000000003</v>
      </c>
      <c r="N570" s="4">
        <v>34.328000000000003</v>
      </c>
      <c r="O570" s="4">
        <v>34.328000000000003</v>
      </c>
      <c r="P570" s="4">
        <v>48</v>
      </c>
      <c r="Q570" s="3" t="s">
        <v>26</v>
      </c>
      <c r="R570" s="3">
        <v>0</v>
      </c>
      <c r="S570" s="4">
        <v>0</v>
      </c>
      <c r="T570" s="4">
        <v>47</v>
      </c>
      <c r="U570" s="4">
        <v>87</v>
      </c>
      <c r="V570" s="4">
        <f>IF(ISERROR(VLOOKUP($S$570,'TAR FIN'!$A$1:$O$91,15,0)),0,VLOOKUP($S$570,'TAR FIN'!$A$1:$O$91,15,0))</f>
        <v>0</v>
      </c>
      <c r="W570" s="4">
        <f>IF(ISERROR(VLOOKUP($T$570,'TAR FIN'!$A$1:$O$91,15,0)),0,VLOOKUP($T$570,'TAR FIN'!$A$1:$O$91,15,0))</f>
        <v>406.52</v>
      </c>
      <c r="X570" s="4">
        <f>IF(ISERROR(VLOOKUP($U$570,'TAR FIN'!$A$1:$O$91,15,0)),0,VLOOKUP($U$570,'TAR FIN'!$A$1:$O$91,15,0))</f>
        <v>199.03</v>
      </c>
      <c r="Y570" s="4"/>
      <c r="Z570" s="4">
        <f ca="1">('TUSD BE'!$AM$51+'TUSD BF'!$AM$51+'TUSD CVA'!$AM$51)*1</f>
        <v>446.02270810064761</v>
      </c>
      <c r="AA570" s="4">
        <f>('TE BE'!$AB$42+'TE BF'!$AB$42+'TE CVA'!$AB$42)*1</f>
        <v>205.52329867469447</v>
      </c>
      <c r="AB570" s="4">
        <f>$K$570*$V$570</f>
        <v>0</v>
      </c>
      <c r="AC570" s="4">
        <f>$M$570*$W$570</f>
        <v>13955.01856</v>
      </c>
      <c r="AD570" s="4">
        <f>$O$570*$X$570</f>
        <v>6832.301840000001</v>
      </c>
      <c r="AE570" s="4">
        <f>$K$570*$Y$570</f>
        <v>0</v>
      </c>
      <c r="AF570" s="4">
        <f ca="1">$M$570*$Z$570</f>
        <v>15311.067523679032</v>
      </c>
      <c r="AG570" s="4">
        <f>$O$570*$AA$570</f>
        <v>7055.2037969049125</v>
      </c>
    </row>
    <row r="571" spans="1:33" ht="11.25" customHeight="1" x14ac:dyDescent="0.3">
      <c r="A571" s="3" t="s">
        <v>28</v>
      </c>
      <c r="B571" s="3" t="s">
        <v>37</v>
      </c>
      <c r="C571" s="3" t="s">
        <v>23</v>
      </c>
      <c r="D571" s="3" t="s">
        <v>41</v>
      </c>
      <c r="E571" s="3" t="s">
        <v>25</v>
      </c>
      <c r="F571" s="3" t="s">
        <v>25</v>
      </c>
      <c r="G571" s="3" t="s">
        <v>25</v>
      </c>
      <c r="H571" s="3" t="s">
        <v>25</v>
      </c>
      <c r="I571" s="6">
        <v>44501</v>
      </c>
      <c r="J571" s="4">
        <v>0</v>
      </c>
      <c r="K571" s="4">
        <v>0</v>
      </c>
      <c r="L571" s="4">
        <v>0.377</v>
      </c>
      <c r="M571" s="4">
        <v>0.377</v>
      </c>
      <c r="N571" s="4">
        <v>0.377</v>
      </c>
      <c r="O571" s="4">
        <v>0.377</v>
      </c>
      <c r="P571" s="4">
        <v>1</v>
      </c>
      <c r="Q571" s="3" t="s">
        <v>26</v>
      </c>
      <c r="R571" s="3">
        <v>0</v>
      </c>
      <c r="S571" s="4">
        <v>0</v>
      </c>
      <c r="T571" s="4">
        <v>47</v>
      </c>
      <c r="U571" s="4">
        <v>87</v>
      </c>
      <c r="V571" s="4">
        <f>IF(ISERROR(VLOOKUP($S$571,'TAR FIN'!$A$1:$O$91,15,0)),0,VLOOKUP($S$571,'TAR FIN'!$A$1:$O$91,15,0))</f>
        <v>0</v>
      </c>
      <c r="W571" s="4">
        <f>IF(ISERROR(VLOOKUP($T$571,'TAR FIN'!$A$1:$O$91,15,0)),0,VLOOKUP($T$571,'TAR FIN'!$A$1:$O$91,15,0))</f>
        <v>406.52</v>
      </c>
      <c r="X571" s="4">
        <f>IF(ISERROR(VLOOKUP($U$571,'TAR FIN'!$A$1:$O$91,15,0)),0,VLOOKUP($U$571,'TAR FIN'!$A$1:$O$91,15,0))</f>
        <v>199.03</v>
      </c>
      <c r="Y571" s="4"/>
      <c r="Z571" s="4">
        <f ca="1">('TUSD BE'!$AM$51+'TUSD BF'!$AM$51+'TUSD CVA'!$AM$51)*1</f>
        <v>446.02270810064761</v>
      </c>
      <c r="AA571" s="4">
        <f>('TE BE'!$AB$42+'TE BF'!$AB$42+'TE CVA'!$AB$42)*1</f>
        <v>205.52329867469447</v>
      </c>
      <c r="AB571" s="4">
        <f>$K$571*$V$571</f>
        <v>0</v>
      </c>
      <c r="AC571" s="4">
        <f>$M$571*$W$571</f>
        <v>153.25803999999999</v>
      </c>
      <c r="AD571" s="4">
        <f>$O$571*$X$571</f>
        <v>75.034310000000005</v>
      </c>
      <c r="AE571" s="4">
        <f>$K$571*$Y$571</f>
        <v>0</v>
      </c>
      <c r="AF571" s="4">
        <f ca="1">$M$571*$Z$571</f>
        <v>168.15056095394414</v>
      </c>
      <c r="AG571" s="4">
        <f>$O$571*$AA$571</f>
        <v>77.482283600359821</v>
      </c>
    </row>
    <row r="572" spans="1:33" ht="11.25" customHeight="1" x14ac:dyDescent="0.3">
      <c r="A572" s="3" t="s">
        <v>21</v>
      </c>
      <c r="B572" s="3" t="s">
        <v>37</v>
      </c>
      <c r="C572" s="3" t="s">
        <v>23</v>
      </c>
      <c r="D572" s="3" t="s">
        <v>41</v>
      </c>
      <c r="E572" s="3" t="s">
        <v>25</v>
      </c>
      <c r="F572" s="3" t="s">
        <v>25</v>
      </c>
      <c r="G572" s="3" t="s">
        <v>25</v>
      </c>
      <c r="H572" s="3" t="s">
        <v>25</v>
      </c>
      <c r="I572" s="6">
        <v>44531</v>
      </c>
      <c r="J572" s="4">
        <v>0</v>
      </c>
      <c r="K572" s="4">
        <v>0</v>
      </c>
      <c r="L572" s="4">
        <v>657.19600000000003</v>
      </c>
      <c r="M572" s="4">
        <v>657.19600000000003</v>
      </c>
      <c r="N572" s="4">
        <v>657.19600000000003</v>
      </c>
      <c r="O572" s="4">
        <v>657.19600000000003</v>
      </c>
      <c r="P572" s="4">
        <v>1183</v>
      </c>
      <c r="Q572" s="3" t="s">
        <v>26</v>
      </c>
      <c r="R572" s="3">
        <v>0</v>
      </c>
      <c r="S572" s="4">
        <v>0</v>
      </c>
      <c r="T572" s="4">
        <v>47</v>
      </c>
      <c r="U572" s="4">
        <v>87</v>
      </c>
      <c r="V572" s="4">
        <f>IF(ISERROR(VLOOKUP($S$572,'TAR FIN'!$A$1:$O$91,15,0)),0,VLOOKUP($S$572,'TAR FIN'!$A$1:$O$91,15,0))</f>
        <v>0</v>
      </c>
      <c r="W572" s="4">
        <f>IF(ISERROR(VLOOKUP($T$572,'TAR FIN'!$A$1:$O$91,15,0)),0,VLOOKUP($T$572,'TAR FIN'!$A$1:$O$91,15,0))</f>
        <v>406.52</v>
      </c>
      <c r="X572" s="4">
        <f>IF(ISERROR(VLOOKUP($U$572,'TAR FIN'!$A$1:$O$91,15,0)),0,VLOOKUP($U$572,'TAR FIN'!$A$1:$O$91,15,0))</f>
        <v>199.03</v>
      </c>
      <c r="Y572" s="4"/>
      <c r="Z572" s="4">
        <f ca="1">('TUSD BE'!$AM$51+'TUSD BF'!$AM$51+'TUSD CVA'!$AM$51)*1</f>
        <v>446.02270810064761</v>
      </c>
      <c r="AA572" s="4">
        <f>('TE BE'!$AB$42+'TE BF'!$AB$42+'TE CVA'!$AB$42)*1</f>
        <v>205.52329867469447</v>
      </c>
      <c r="AB572" s="4">
        <f>$K$572*$V$572</f>
        <v>0</v>
      </c>
      <c r="AC572" s="4">
        <f>$M$572*$W$572</f>
        <v>267163.31792</v>
      </c>
      <c r="AD572" s="4">
        <f>$O$572*$X$572</f>
        <v>130801.71988</v>
      </c>
      <c r="AE572" s="4">
        <f>$K$572*$Y$572</f>
        <v>0</v>
      </c>
      <c r="AF572" s="4">
        <f ca="1">$M$572*$Z$572</f>
        <v>293124.33967291319</v>
      </c>
      <c r="AG572" s="4">
        <f>$O$572*$AA$572</f>
        <v>135069.08979581451</v>
      </c>
    </row>
    <row r="573" spans="1:33" ht="11.25" customHeight="1" x14ac:dyDescent="0.3">
      <c r="A573" s="3" t="s">
        <v>28</v>
      </c>
      <c r="B573" s="3" t="s">
        <v>37</v>
      </c>
      <c r="C573" s="3" t="s">
        <v>23</v>
      </c>
      <c r="D573" s="3" t="s">
        <v>41</v>
      </c>
      <c r="E573" s="3" t="s">
        <v>25</v>
      </c>
      <c r="F573" s="3" t="s">
        <v>25</v>
      </c>
      <c r="G573" s="3" t="s">
        <v>25</v>
      </c>
      <c r="H573" s="3" t="s">
        <v>25</v>
      </c>
      <c r="I573" s="6">
        <v>44531</v>
      </c>
      <c r="J573" s="4">
        <v>0</v>
      </c>
      <c r="K573" s="4">
        <v>0</v>
      </c>
      <c r="L573" s="4">
        <v>36.639000000000003</v>
      </c>
      <c r="M573" s="4">
        <v>36.639000000000003</v>
      </c>
      <c r="N573" s="4">
        <v>36.639000000000003</v>
      </c>
      <c r="O573" s="4">
        <v>36.639000000000003</v>
      </c>
      <c r="P573" s="4">
        <v>48</v>
      </c>
      <c r="Q573" s="3" t="s">
        <v>26</v>
      </c>
      <c r="R573" s="3">
        <v>0</v>
      </c>
      <c r="S573" s="4">
        <v>0</v>
      </c>
      <c r="T573" s="4">
        <v>47</v>
      </c>
      <c r="U573" s="4">
        <v>87</v>
      </c>
      <c r="V573" s="4">
        <f>IF(ISERROR(VLOOKUP($S$573,'TAR FIN'!$A$1:$O$91,15,0)),0,VLOOKUP($S$573,'TAR FIN'!$A$1:$O$91,15,0))</f>
        <v>0</v>
      </c>
      <c r="W573" s="4">
        <f>IF(ISERROR(VLOOKUP($T$573,'TAR FIN'!$A$1:$O$91,15,0)),0,VLOOKUP($T$573,'TAR FIN'!$A$1:$O$91,15,0))</f>
        <v>406.52</v>
      </c>
      <c r="X573" s="4">
        <f>IF(ISERROR(VLOOKUP($U$573,'TAR FIN'!$A$1:$O$91,15,0)),0,VLOOKUP($U$573,'TAR FIN'!$A$1:$O$91,15,0))</f>
        <v>199.03</v>
      </c>
      <c r="Y573" s="4"/>
      <c r="Z573" s="4">
        <f ca="1">('TUSD BE'!$AM$51+'TUSD BF'!$AM$51+'TUSD CVA'!$AM$51)*1</f>
        <v>446.02270810064761</v>
      </c>
      <c r="AA573" s="4">
        <f>('TE BE'!$AB$42+'TE BF'!$AB$42+'TE CVA'!$AB$42)*1</f>
        <v>205.52329867469447</v>
      </c>
      <c r="AB573" s="4">
        <f>$K$573*$V$573</f>
        <v>0</v>
      </c>
      <c r="AC573" s="4">
        <f>$M$573*$W$573</f>
        <v>14894.486280000001</v>
      </c>
      <c r="AD573" s="4">
        <f>$O$573*$X$573</f>
        <v>7292.2601700000005</v>
      </c>
      <c r="AE573" s="4">
        <f>$K$573*$Y$573</f>
        <v>0</v>
      </c>
      <c r="AF573" s="4">
        <f ca="1">$M$573*$Z$573</f>
        <v>16341.826002099629</v>
      </c>
      <c r="AG573" s="4">
        <f>$O$573*$AA$573</f>
        <v>7530.1681401421311</v>
      </c>
    </row>
    <row r="574" spans="1:33" ht="11.25" customHeight="1" x14ac:dyDescent="0.3">
      <c r="A574" s="3" t="s">
        <v>21</v>
      </c>
      <c r="B574" s="3" t="s">
        <v>37</v>
      </c>
      <c r="C574" s="3" t="s">
        <v>23</v>
      </c>
      <c r="D574" s="3" t="s">
        <v>41</v>
      </c>
      <c r="E574" s="3" t="s">
        <v>25</v>
      </c>
      <c r="F574" s="3" t="s">
        <v>25</v>
      </c>
      <c r="G574" s="3" t="s">
        <v>25</v>
      </c>
      <c r="H574" s="3" t="s">
        <v>25</v>
      </c>
      <c r="I574" s="6">
        <v>44562</v>
      </c>
      <c r="J574" s="4">
        <v>0</v>
      </c>
      <c r="K574" s="4">
        <v>0</v>
      </c>
      <c r="L574" s="4">
        <v>719.601</v>
      </c>
      <c r="M574" s="4">
        <v>719.601</v>
      </c>
      <c r="N574" s="4">
        <v>719.601</v>
      </c>
      <c r="O574" s="4">
        <v>719.601</v>
      </c>
      <c r="P574" s="4">
        <v>1195</v>
      </c>
      <c r="Q574" s="3" t="s">
        <v>26</v>
      </c>
      <c r="R574" s="3">
        <v>0</v>
      </c>
      <c r="S574" s="4">
        <v>0</v>
      </c>
      <c r="T574" s="4">
        <v>47</v>
      </c>
      <c r="U574" s="4">
        <v>87</v>
      </c>
      <c r="V574" s="4">
        <f>IF(ISERROR(VLOOKUP($S$574,'TAR FIN'!$A$1:$O$91,15,0)),0,VLOOKUP($S$574,'TAR FIN'!$A$1:$O$91,15,0))</f>
        <v>0</v>
      </c>
      <c r="W574" s="4">
        <f>IF(ISERROR(VLOOKUP($T$574,'TAR FIN'!$A$1:$O$91,15,0)),0,VLOOKUP($T$574,'TAR FIN'!$A$1:$O$91,15,0))</f>
        <v>406.52</v>
      </c>
      <c r="X574" s="4">
        <f>IF(ISERROR(VLOOKUP($U$574,'TAR FIN'!$A$1:$O$91,15,0)),0,VLOOKUP($U$574,'TAR FIN'!$A$1:$O$91,15,0))</f>
        <v>199.03</v>
      </c>
      <c r="Y574" s="4"/>
      <c r="Z574" s="4">
        <f ca="1">('TUSD BE'!$AM$51+'TUSD BF'!$AM$51+'TUSD CVA'!$AM$51)*1</f>
        <v>446.02270810064761</v>
      </c>
      <c r="AA574" s="4">
        <f>('TE BE'!$AB$42+'TE BF'!$AB$42+'TE CVA'!$AB$42)*1</f>
        <v>205.52329867469447</v>
      </c>
      <c r="AB574" s="4">
        <f>$K$574*$V$574</f>
        <v>0</v>
      </c>
      <c r="AC574" s="4">
        <f>$M$574*$W$574</f>
        <v>292532.19851999998</v>
      </c>
      <c r="AD574" s="4">
        <f>$O$574*$X$574</f>
        <v>143222.18703</v>
      </c>
      <c r="AE574" s="4">
        <f>$K$574*$Y$574</f>
        <v>0</v>
      </c>
      <c r="AF574" s="4">
        <f ca="1">$M$574*$Z$574</f>
        <v>320958.38677193411</v>
      </c>
      <c r="AG574" s="4">
        <f>$O$574*$AA$574</f>
        <v>147894.77124960881</v>
      </c>
    </row>
    <row r="575" spans="1:33" ht="11.25" customHeight="1" x14ac:dyDescent="0.3">
      <c r="A575" s="3" t="s">
        <v>27</v>
      </c>
      <c r="B575" s="3" t="s">
        <v>37</v>
      </c>
      <c r="C575" s="3" t="s">
        <v>23</v>
      </c>
      <c r="D575" s="3" t="s">
        <v>41</v>
      </c>
      <c r="E575" s="3" t="s">
        <v>25</v>
      </c>
      <c r="F575" s="3" t="s">
        <v>25</v>
      </c>
      <c r="G575" s="3" t="s">
        <v>25</v>
      </c>
      <c r="H575" s="3" t="s">
        <v>25</v>
      </c>
      <c r="I575" s="6">
        <v>44562</v>
      </c>
      <c r="J575" s="4">
        <v>0</v>
      </c>
      <c r="K575" s="4">
        <v>0</v>
      </c>
      <c r="L575" s="4">
        <v>3.2050000000000001</v>
      </c>
      <c r="M575" s="4">
        <v>3.2050000000000001</v>
      </c>
      <c r="N575" s="4">
        <v>3.2050000000000001</v>
      </c>
      <c r="O575" s="4">
        <v>3.2050000000000001</v>
      </c>
      <c r="P575" s="4">
        <v>0</v>
      </c>
      <c r="Q575" s="3" t="s">
        <v>26</v>
      </c>
      <c r="R575" s="3">
        <v>0</v>
      </c>
      <c r="S575" s="4">
        <v>0</v>
      </c>
      <c r="T575" s="4">
        <v>47</v>
      </c>
      <c r="U575" s="4">
        <v>87</v>
      </c>
      <c r="V575" s="4">
        <f>IF(ISERROR(VLOOKUP($S$575,'TAR FIN'!$A$1:$O$91,15,0)),0,VLOOKUP($S$575,'TAR FIN'!$A$1:$O$91,15,0))</f>
        <v>0</v>
      </c>
      <c r="W575" s="4">
        <f>IF(ISERROR(VLOOKUP($T$575,'TAR FIN'!$A$1:$O$91,15,0)),0,VLOOKUP($T$575,'TAR FIN'!$A$1:$O$91,15,0))</f>
        <v>406.52</v>
      </c>
      <c r="X575" s="4">
        <f>IF(ISERROR(VLOOKUP($U$575,'TAR FIN'!$A$1:$O$91,15,0)),0,VLOOKUP($U$575,'TAR FIN'!$A$1:$O$91,15,0))</f>
        <v>199.03</v>
      </c>
      <c r="Y575" s="4"/>
      <c r="Z575" s="4">
        <f ca="1">('TUSD BE'!$AM$51+'TUSD BF'!$AM$51+'TUSD CVA'!$AM$51)*1</f>
        <v>446.02270810064761</v>
      </c>
      <c r="AA575" s="4">
        <f>('TE BE'!$AB$42+'TE BF'!$AB$42+'TE CVA'!$AB$42)*1</f>
        <v>205.52329867469447</v>
      </c>
      <c r="AB575" s="4">
        <f>$K$575*$V$575</f>
        <v>0</v>
      </c>
      <c r="AC575" s="4">
        <f>$M$575*$W$575</f>
        <v>1302.8966</v>
      </c>
      <c r="AD575" s="4">
        <f>$O$575*$X$575</f>
        <v>637.89115000000004</v>
      </c>
      <c r="AE575" s="4">
        <f>$K$575*$Y$575</f>
        <v>0</v>
      </c>
      <c r="AF575" s="4">
        <f ca="1">$M$575*$Z$575</f>
        <v>1429.5027794625755</v>
      </c>
      <c r="AG575" s="4">
        <f>$O$575*$AA$575</f>
        <v>658.70217225239583</v>
      </c>
    </row>
    <row r="576" spans="1:33" ht="11.25" customHeight="1" x14ac:dyDescent="0.3">
      <c r="A576" s="3" t="s">
        <v>28</v>
      </c>
      <c r="B576" s="3" t="s">
        <v>37</v>
      </c>
      <c r="C576" s="3" t="s">
        <v>23</v>
      </c>
      <c r="D576" s="3" t="s">
        <v>41</v>
      </c>
      <c r="E576" s="3" t="s">
        <v>25</v>
      </c>
      <c r="F576" s="3" t="s">
        <v>25</v>
      </c>
      <c r="G576" s="3" t="s">
        <v>25</v>
      </c>
      <c r="H576" s="3" t="s">
        <v>25</v>
      </c>
      <c r="I576" s="6">
        <v>44562</v>
      </c>
      <c r="J576" s="4">
        <v>0</v>
      </c>
      <c r="K576" s="4">
        <v>0</v>
      </c>
      <c r="L576" s="4">
        <v>43.732999999999997</v>
      </c>
      <c r="M576" s="4">
        <v>43.732999999999997</v>
      </c>
      <c r="N576" s="4">
        <v>43.732999999999997</v>
      </c>
      <c r="O576" s="4">
        <v>43.732999999999997</v>
      </c>
      <c r="P576" s="4">
        <v>47</v>
      </c>
      <c r="Q576" s="3" t="s">
        <v>26</v>
      </c>
      <c r="R576" s="3">
        <v>0</v>
      </c>
      <c r="S576" s="4">
        <v>0</v>
      </c>
      <c r="T576" s="4">
        <v>47</v>
      </c>
      <c r="U576" s="4">
        <v>87</v>
      </c>
      <c r="V576" s="4">
        <f>IF(ISERROR(VLOOKUP($S$576,'TAR FIN'!$A$1:$O$91,15,0)),0,VLOOKUP($S$576,'TAR FIN'!$A$1:$O$91,15,0))</f>
        <v>0</v>
      </c>
      <c r="W576" s="4">
        <f>IF(ISERROR(VLOOKUP($T$576,'TAR FIN'!$A$1:$O$91,15,0)),0,VLOOKUP($T$576,'TAR FIN'!$A$1:$O$91,15,0))</f>
        <v>406.52</v>
      </c>
      <c r="X576" s="4">
        <f>IF(ISERROR(VLOOKUP($U$576,'TAR FIN'!$A$1:$O$91,15,0)),0,VLOOKUP($U$576,'TAR FIN'!$A$1:$O$91,15,0))</f>
        <v>199.03</v>
      </c>
      <c r="Y576" s="4"/>
      <c r="Z576" s="4">
        <f ca="1">('TUSD BE'!$AM$51+'TUSD BF'!$AM$51+'TUSD CVA'!$AM$51)*1</f>
        <v>446.02270810064761</v>
      </c>
      <c r="AA576" s="4">
        <f>('TE BE'!$AB$42+'TE BF'!$AB$42+'TE CVA'!$AB$42)*1</f>
        <v>205.52329867469447</v>
      </c>
      <c r="AB576" s="4">
        <f>$K$576*$V$576</f>
        <v>0</v>
      </c>
      <c r="AC576" s="4">
        <f>$M$576*$W$576</f>
        <v>17778.33916</v>
      </c>
      <c r="AD576" s="4">
        <f>$O$576*$X$576</f>
        <v>8704.1789900000003</v>
      </c>
      <c r="AE576" s="4">
        <f>$K$576*$Y$576</f>
        <v>0</v>
      </c>
      <c r="AF576" s="4">
        <f ca="1">$M$576*$Z$576</f>
        <v>19505.911093365619</v>
      </c>
      <c r="AG576" s="4">
        <f>$O$576*$AA$576</f>
        <v>8988.150420940412</v>
      </c>
    </row>
    <row r="577" spans="1:33" ht="11.25" customHeight="1" x14ac:dyDescent="0.3">
      <c r="A577" s="3" t="s">
        <v>21</v>
      </c>
      <c r="B577" s="3" t="s">
        <v>37</v>
      </c>
      <c r="C577" s="3" t="s">
        <v>23</v>
      </c>
      <c r="D577" s="3" t="s">
        <v>41</v>
      </c>
      <c r="E577" s="3" t="s">
        <v>25</v>
      </c>
      <c r="F577" s="3" t="s">
        <v>25</v>
      </c>
      <c r="G577" s="3" t="s">
        <v>25</v>
      </c>
      <c r="H577" s="3" t="s">
        <v>25</v>
      </c>
      <c r="I577" s="6">
        <v>44593</v>
      </c>
      <c r="J577" s="4">
        <v>0</v>
      </c>
      <c r="K577" s="4">
        <v>0</v>
      </c>
      <c r="L577" s="4">
        <v>849.50099999999998</v>
      </c>
      <c r="M577" s="4">
        <v>849.50099999999998</v>
      </c>
      <c r="N577" s="4">
        <v>849.50099999999998</v>
      </c>
      <c r="O577" s="4">
        <v>849.50099999999998</v>
      </c>
      <c r="P577" s="4">
        <v>1197</v>
      </c>
      <c r="Q577" s="3" t="s">
        <v>26</v>
      </c>
      <c r="R577" s="3">
        <v>0</v>
      </c>
      <c r="S577" s="4">
        <v>0</v>
      </c>
      <c r="T577" s="4">
        <v>47</v>
      </c>
      <c r="U577" s="4">
        <v>87</v>
      </c>
      <c r="V577" s="4">
        <f>IF(ISERROR(VLOOKUP($S$577,'TAR FIN'!$A$1:$O$91,15,0)),0,VLOOKUP($S$577,'TAR FIN'!$A$1:$O$91,15,0))</f>
        <v>0</v>
      </c>
      <c r="W577" s="4">
        <f>IF(ISERROR(VLOOKUP($T$577,'TAR FIN'!$A$1:$O$91,15,0)),0,VLOOKUP($T$577,'TAR FIN'!$A$1:$O$91,15,0))</f>
        <v>406.52</v>
      </c>
      <c r="X577" s="4">
        <f>IF(ISERROR(VLOOKUP($U$577,'TAR FIN'!$A$1:$O$91,15,0)),0,VLOOKUP($U$577,'TAR FIN'!$A$1:$O$91,15,0))</f>
        <v>199.03</v>
      </c>
      <c r="Y577" s="4"/>
      <c r="Z577" s="4">
        <f ca="1">('TUSD BE'!$AM$51+'TUSD BF'!$AM$51+'TUSD CVA'!$AM$51)*1</f>
        <v>446.02270810064761</v>
      </c>
      <c r="AA577" s="4">
        <f>('TE BE'!$AB$42+'TE BF'!$AB$42+'TE CVA'!$AB$42)*1</f>
        <v>205.52329867469447</v>
      </c>
      <c r="AB577" s="4">
        <f>$K$577*$V$577</f>
        <v>0</v>
      </c>
      <c r="AC577" s="4">
        <f>$M$577*$W$577</f>
        <v>345339.14651999995</v>
      </c>
      <c r="AD577" s="4">
        <f>$O$577*$X$577</f>
        <v>169076.18403</v>
      </c>
      <c r="AE577" s="4">
        <f>$K$577*$Y$577</f>
        <v>0</v>
      </c>
      <c r="AF577" s="4">
        <f ca="1">$M$577*$Z$577</f>
        <v>378896.73655420821</v>
      </c>
      <c r="AG577" s="4">
        <f>$O$577*$AA$577</f>
        <v>174592.24774745162</v>
      </c>
    </row>
    <row r="578" spans="1:33" ht="11.25" customHeight="1" x14ac:dyDescent="0.3">
      <c r="A578" s="3" t="s">
        <v>27</v>
      </c>
      <c r="B578" s="3" t="s">
        <v>37</v>
      </c>
      <c r="C578" s="3" t="s">
        <v>23</v>
      </c>
      <c r="D578" s="3" t="s">
        <v>41</v>
      </c>
      <c r="E578" s="3" t="s">
        <v>25</v>
      </c>
      <c r="F578" s="3" t="s">
        <v>25</v>
      </c>
      <c r="G578" s="3" t="s">
        <v>25</v>
      </c>
      <c r="H578" s="3" t="s">
        <v>25</v>
      </c>
      <c r="I578" s="6">
        <v>44593</v>
      </c>
      <c r="J578" s="4">
        <v>0</v>
      </c>
      <c r="K578" s="4">
        <v>0</v>
      </c>
      <c r="L578" s="4">
        <v>46.793999999999997</v>
      </c>
      <c r="M578" s="4">
        <v>46.793999999999997</v>
      </c>
      <c r="N578" s="4">
        <v>46.793999999999997</v>
      </c>
      <c r="O578" s="4">
        <v>46.793999999999997</v>
      </c>
      <c r="P578" s="4">
        <v>0</v>
      </c>
      <c r="Q578" s="3" t="s">
        <v>26</v>
      </c>
      <c r="R578" s="3">
        <v>0</v>
      </c>
      <c r="S578" s="4">
        <v>0</v>
      </c>
      <c r="T578" s="4">
        <v>47</v>
      </c>
      <c r="U578" s="4">
        <v>87</v>
      </c>
      <c r="V578" s="4">
        <f>IF(ISERROR(VLOOKUP($S$578,'TAR FIN'!$A$1:$O$91,15,0)),0,VLOOKUP($S$578,'TAR FIN'!$A$1:$O$91,15,0))</f>
        <v>0</v>
      </c>
      <c r="W578" s="4">
        <f>IF(ISERROR(VLOOKUP($T$578,'TAR FIN'!$A$1:$O$91,15,0)),0,VLOOKUP($T$578,'TAR FIN'!$A$1:$O$91,15,0))</f>
        <v>406.52</v>
      </c>
      <c r="X578" s="4">
        <f>IF(ISERROR(VLOOKUP($U$578,'TAR FIN'!$A$1:$O$91,15,0)),0,VLOOKUP($U$578,'TAR FIN'!$A$1:$O$91,15,0))</f>
        <v>199.03</v>
      </c>
      <c r="Y578" s="4"/>
      <c r="Z578" s="4">
        <f ca="1">('TUSD BE'!$AM$51+'TUSD BF'!$AM$51+'TUSD CVA'!$AM$51)*1</f>
        <v>446.02270810064761</v>
      </c>
      <c r="AA578" s="4">
        <f>('TE BE'!$AB$42+'TE BF'!$AB$42+'TE CVA'!$AB$42)*1</f>
        <v>205.52329867469447</v>
      </c>
      <c r="AB578" s="4">
        <f>$K$578*$V$578</f>
        <v>0</v>
      </c>
      <c r="AC578" s="4">
        <f>$M$578*$W$578</f>
        <v>19022.69688</v>
      </c>
      <c r="AD578" s="4">
        <f>$O$578*$X$578</f>
        <v>9313.4098199999989</v>
      </c>
      <c r="AE578" s="4">
        <f>$K$578*$Y$578</f>
        <v>0</v>
      </c>
      <c r="AF578" s="4">
        <f ca="1">$M$578*$Z$578</f>
        <v>20871.186602861704</v>
      </c>
      <c r="AG578" s="4">
        <f>$O$578*$AA$578</f>
        <v>9617.2572381836526</v>
      </c>
    </row>
    <row r="579" spans="1:33" ht="11.25" customHeight="1" x14ac:dyDescent="0.3">
      <c r="A579" s="3" t="s">
        <v>28</v>
      </c>
      <c r="B579" s="3" t="s">
        <v>37</v>
      </c>
      <c r="C579" s="3" t="s">
        <v>23</v>
      </c>
      <c r="D579" s="3" t="s">
        <v>41</v>
      </c>
      <c r="E579" s="3" t="s">
        <v>25</v>
      </c>
      <c r="F579" s="3" t="s">
        <v>25</v>
      </c>
      <c r="G579" s="3" t="s">
        <v>25</v>
      </c>
      <c r="H579" s="3" t="s">
        <v>25</v>
      </c>
      <c r="I579" s="6">
        <v>44593</v>
      </c>
      <c r="J579" s="4">
        <v>0</v>
      </c>
      <c r="K579" s="4">
        <v>0</v>
      </c>
      <c r="L579" s="4">
        <v>60.008000000000003</v>
      </c>
      <c r="M579" s="4">
        <v>60.008000000000003</v>
      </c>
      <c r="N579" s="4">
        <v>60.008000000000003</v>
      </c>
      <c r="O579" s="4">
        <v>60.008000000000003</v>
      </c>
      <c r="P579" s="4">
        <v>47</v>
      </c>
      <c r="Q579" s="3" t="s">
        <v>26</v>
      </c>
      <c r="R579" s="3">
        <v>0</v>
      </c>
      <c r="S579" s="4">
        <v>0</v>
      </c>
      <c r="T579" s="4">
        <v>47</v>
      </c>
      <c r="U579" s="4">
        <v>87</v>
      </c>
      <c r="V579" s="4">
        <f>IF(ISERROR(VLOOKUP($S$579,'TAR FIN'!$A$1:$O$91,15,0)),0,VLOOKUP($S$579,'TAR FIN'!$A$1:$O$91,15,0))</f>
        <v>0</v>
      </c>
      <c r="W579" s="4">
        <f>IF(ISERROR(VLOOKUP($T$579,'TAR FIN'!$A$1:$O$91,15,0)),0,VLOOKUP($T$579,'TAR FIN'!$A$1:$O$91,15,0))</f>
        <v>406.52</v>
      </c>
      <c r="X579" s="4">
        <f>IF(ISERROR(VLOOKUP($U$579,'TAR FIN'!$A$1:$O$91,15,0)),0,VLOOKUP($U$579,'TAR FIN'!$A$1:$O$91,15,0))</f>
        <v>199.03</v>
      </c>
      <c r="Y579" s="4"/>
      <c r="Z579" s="4">
        <f ca="1">('TUSD BE'!$AM$51+'TUSD BF'!$AM$51+'TUSD CVA'!$AM$51)*1</f>
        <v>446.02270810064761</v>
      </c>
      <c r="AA579" s="4">
        <f>('TE BE'!$AB$42+'TE BF'!$AB$42+'TE CVA'!$AB$42)*1</f>
        <v>205.52329867469447</v>
      </c>
      <c r="AB579" s="4">
        <f>$K$579*$V$579</f>
        <v>0</v>
      </c>
      <c r="AC579" s="4">
        <f>$M$579*$W$579</f>
        <v>24394.452160000001</v>
      </c>
      <c r="AD579" s="4">
        <f>$O$579*$X$579</f>
        <v>11943.392240000001</v>
      </c>
      <c r="AE579" s="4">
        <f>$K$579*$Y$579</f>
        <v>0</v>
      </c>
      <c r="AF579" s="4">
        <f ca="1">$M$579*$Z$579</f>
        <v>26764.930667703662</v>
      </c>
      <c r="AG579" s="4">
        <f>$O$579*$AA$579</f>
        <v>12333.042106871066</v>
      </c>
    </row>
    <row r="580" spans="1:33" ht="11.25" customHeight="1" x14ac:dyDescent="0.3">
      <c r="A580" s="3" t="s">
        <v>21</v>
      </c>
      <c r="B580" s="3" t="s">
        <v>37</v>
      </c>
      <c r="C580" s="3" t="s">
        <v>23</v>
      </c>
      <c r="D580" s="3" t="s">
        <v>41</v>
      </c>
      <c r="E580" s="3" t="s">
        <v>25</v>
      </c>
      <c r="F580" s="3" t="s">
        <v>25</v>
      </c>
      <c r="G580" s="3" t="s">
        <v>25</v>
      </c>
      <c r="H580" s="3" t="s">
        <v>25</v>
      </c>
      <c r="I580" s="6">
        <v>44621</v>
      </c>
      <c r="J580" s="4">
        <v>0</v>
      </c>
      <c r="K580" s="4">
        <v>0</v>
      </c>
      <c r="L580" s="4">
        <v>730.76400000000001</v>
      </c>
      <c r="M580" s="4">
        <v>730.76400000000001</v>
      </c>
      <c r="N580" s="4">
        <v>730.76400000000001</v>
      </c>
      <c r="O580" s="4">
        <v>730.76400000000001</v>
      </c>
      <c r="P580" s="4">
        <v>1240</v>
      </c>
      <c r="Q580" s="3" t="s">
        <v>26</v>
      </c>
      <c r="R580" s="3">
        <v>0</v>
      </c>
      <c r="S580" s="4">
        <v>0</v>
      </c>
      <c r="T580" s="4">
        <v>47</v>
      </c>
      <c r="U580" s="4">
        <v>87</v>
      </c>
      <c r="V580" s="4">
        <f>IF(ISERROR(VLOOKUP($S$580,'TAR FIN'!$A$1:$O$91,15,0)),0,VLOOKUP($S$580,'TAR FIN'!$A$1:$O$91,15,0))</f>
        <v>0</v>
      </c>
      <c r="W580" s="4">
        <f>IF(ISERROR(VLOOKUP($T$580,'TAR FIN'!$A$1:$O$91,15,0)),0,VLOOKUP($T$580,'TAR FIN'!$A$1:$O$91,15,0))</f>
        <v>406.52</v>
      </c>
      <c r="X580" s="4">
        <f>IF(ISERROR(VLOOKUP($U$580,'TAR FIN'!$A$1:$O$91,15,0)),0,VLOOKUP($U$580,'TAR FIN'!$A$1:$O$91,15,0))</f>
        <v>199.03</v>
      </c>
      <c r="Y580" s="4"/>
      <c r="Z580" s="4">
        <f ca="1">('TUSD BE'!$AM$51+'TUSD BF'!$AM$51+'TUSD CVA'!$AM$51)*1</f>
        <v>446.02270810064761</v>
      </c>
      <c r="AA580" s="4">
        <f>('TE BE'!$AB$42+'TE BF'!$AB$42+'TE CVA'!$AB$42)*1</f>
        <v>205.52329867469447</v>
      </c>
      <c r="AB580" s="4">
        <f>$K$580*$V$580</f>
        <v>0</v>
      </c>
      <c r="AC580" s="4">
        <f>$M$580*$W$580</f>
        <v>297070.18128000002</v>
      </c>
      <c r="AD580" s="4">
        <f>$O$580*$X$580</f>
        <v>145443.95892</v>
      </c>
      <c r="AE580" s="4">
        <f>$K$580*$Y$580</f>
        <v>0</v>
      </c>
      <c r="AF580" s="4">
        <f ca="1">$M$580*$Z$580</f>
        <v>325937.33826246165</v>
      </c>
      <c r="AG580" s="4">
        <f>$O$580*$AA$580</f>
        <v>150189.02783271443</v>
      </c>
    </row>
    <row r="581" spans="1:33" ht="11.25" customHeight="1" x14ac:dyDescent="0.3">
      <c r="A581" s="3" t="s">
        <v>28</v>
      </c>
      <c r="B581" s="3" t="s">
        <v>37</v>
      </c>
      <c r="C581" s="3" t="s">
        <v>23</v>
      </c>
      <c r="D581" s="3" t="s">
        <v>41</v>
      </c>
      <c r="E581" s="3" t="s">
        <v>25</v>
      </c>
      <c r="F581" s="3" t="s">
        <v>25</v>
      </c>
      <c r="G581" s="3" t="s">
        <v>25</v>
      </c>
      <c r="H581" s="3" t="s">
        <v>25</v>
      </c>
      <c r="I581" s="6">
        <v>44621</v>
      </c>
      <c r="J581" s="4">
        <v>0</v>
      </c>
      <c r="K581" s="4">
        <v>0</v>
      </c>
      <c r="L581" s="4">
        <v>68.831999999999994</v>
      </c>
      <c r="M581" s="4">
        <v>68.831999999999994</v>
      </c>
      <c r="N581" s="4">
        <v>68.831999999999994</v>
      </c>
      <c r="O581" s="4">
        <v>68.831999999999994</v>
      </c>
      <c r="P581" s="4">
        <v>51</v>
      </c>
      <c r="Q581" s="3" t="s">
        <v>26</v>
      </c>
      <c r="R581" s="3">
        <v>0</v>
      </c>
      <c r="S581" s="4">
        <v>0</v>
      </c>
      <c r="T581" s="4">
        <v>47</v>
      </c>
      <c r="U581" s="4">
        <v>87</v>
      </c>
      <c r="V581" s="4">
        <f>IF(ISERROR(VLOOKUP($S$581,'TAR FIN'!$A$1:$O$91,15,0)),0,VLOOKUP($S$581,'TAR FIN'!$A$1:$O$91,15,0))</f>
        <v>0</v>
      </c>
      <c r="W581" s="4">
        <f>IF(ISERROR(VLOOKUP($T$581,'TAR FIN'!$A$1:$O$91,15,0)),0,VLOOKUP($T$581,'TAR FIN'!$A$1:$O$91,15,0))</f>
        <v>406.52</v>
      </c>
      <c r="X581" s="4">
        <f>IF(ISERROR(VLOOKUP($U$581,'TAR FIN'!$A$1:$O$91,15,0)),0,VLOOKUP($U$581,'TAR FIN'!$A$1:$O$91,15,0))</f>
        <v>199.03</v>
      </c>
      <c r="Y581" s="4"/>
      <c r="Z581" s="4">
        <f ca="1">('TUSD BE'!$AM$51+'TUSD BF'!$AM$51+'TUSD CVA'!$AM$51)*1</f>
        <v>446.02270810064761</v>
      </c>
      <c r="AA581" s="4">
        <f>('TE BE'!$AB$42+'TE BF'!$AB$42+'TE CVA'!$AB$42)*1</f>
        <v>205.52329867469447</v>
      </c>
      <c r="AB581" s="4">
        <f>$K$581*$V$581</f>
        <v>0</v>
      </c>
      <c r="AC581" s="4">
        <f>$M$581*$W$581</f>
        <v>27981.584639999997</v>
      </c>
      <c r="AD581" s="4">
        <f>$O$581*$X$581</f>
        <v>13699.632959999999</v>
      </c>
      <c r="AE581" s="4">
        <f>$K$581*$Y$581</f>
        <v>0</v>
      </c>
      <c r="AF581" s="4">
        <f ca="1">$M$581*$Z$581</f>
        <v>30700.635043983773</v>
      </c>
      <c r="AG581" s="4">
        <f>$O$581*$AA$581</f>
        <v>14146.579694376569</v>
      </c>
    </row>
    <row r="582" spans="1:33" ht="11.25" customHeight="1" x14ac:dyDescent="0.3">
      <c r="A582" s="3" t="s">
        <v>21</v>
      </c>
      <c r="B582" s="3" t="s">
        <v>37</v>
      </c>
      <c r="C582" s="3" t="s">
        <v>23</v>
      </c>
      <c r="D582" s="3" t="s">
        <v>41</v>
      </c>
      <c r="E582" s="3" t="s">
        <v>25</v>
      </c>
      <c r="F582" s="3" t="s">
        <v>25</v>
      </c>
      <c r="G582" s="3" t="s">
        <v>25</v>
      </c>
      <c r="H582" s="3" t="s">
        <v>25</v>
      </c>
      <c r="I582" s="6">
        <v>44652</v>
      </c>
      <c r="J582" s="4">
        <v>0</v>
      </c>
      <c r="K582" s="4">
        <v>0</v>
      </c>
      <c r="L582" s="4">
        <v>547.755</v>
      </c>
      <c r="M582" s="4">
        <v>547.755</v>
      </c>
      <c r="N582" s="4">
        <v>547.755</v>
      </c>
      <c r="O582" s="4">
        <v>547.755</v>
      </c>
      <c r="P582" s="4">
        <v>1211</v>
      </c>
      <c r="Q582" s="3" t="s">
        <v>26</v>
      </c>
      <c r="R582" s="3">
        <v>0</v>
      </c>
      <c r="S582" s="4">
        <v>0</v>
      </c>
      <c r="T582" s="4">
        <v>47</v>
      </c>
      <c r="U582" s="4">
        <v>87</v>
      </c>
      <c r="V582" s="4">
        <f>IF(ISERROR(VLOOKUP($S$582,'TAR FIN'!$A$1:$O$91,15,0)),0,VLOOKUP($S$582,'TAR FIN'!$A$1:$O$91,15,0))</f>
        <v>0</v>
      </c>
      <c r="W582" s="4">
        <f>IF(ISERROR(VLOOKUP($T$582,'TAR FIN'!$A$1:$O$91,15,0)),0,VLOOKUP($T$582,'TAR FIN'!$A$1:$O$91,15,0))</f>
        <v>406.52</v>
      </c>
      <c r="X582" s="4">
        <f>IF(ISERROR(VLOOKUP($U$582,'TAR FIN'!$A$1:$O$91,15,0)),0,VLOOKUP($U$582,'TAR FIN'!$A$1:$O$91,15,0))</f>
        <v>199.03</v>
      </c>
      <c r="Y582" s="4"/>
      <c r="Z582" s="4">
        <f ca="1">('TUSD BE'!$AM$51+'TUSD BF'!$AM$51+'TUSD CVA'!$AM$51)*1</f>
        <v>446.02270810064761</v>
      </c>
      <c r="AA582" s="4">
        <f>('TE BE'!$AB$42+'TE BF'!$AB$42+'TE CVA'!$AB$42)*1</f>
        <v>205.52329867469447</v>
      </c>
      <c r="AB582" s="4">
        <f>$K$582*$V$582</f>
        <v>0</v>
      </c>
      <c r="AC582" s="4">
        <f>$M$582*$W$582</f>
        <v>222673.36259999999</v>
      </c>
      <c r="AD582" s="4">
        <f>$O$582*$X$582</f>
        <v>109019.67765</v>
      </c>
      <c r="AE582" s="4">
        <f>$K$582*$Y$582</f>
        <v>0</v>
      </c>
      <c r="AF582" s="4">
        <f ca="1">$M$582*$Z$582</f>
        <v>244311.16847567022</v>
      </c>
      <c r="AG582" s="4">
        <f>$O$582*$AA$582</f>
        <v>112576.41446555727</v>
      </c>
    </row>
    <row r="583" spans="1:33" ht="11.25" customHeight="1" x14ac:dyDescent="0.3">
      <c r="A583" s="3" t="s">
        <v>27</v>
      </c>
      <c r="B583" s="3" t="s">
        <v>37</v>
      </c>
      <c r="C583" s="3" t="s">
        <v>23</v>
      </c>
      <c r="D583" s="3" t="s">
        <v>41</v>
      </c>
      <c r="E583" s="3" t="s">
        <v>25</v>
      </c>
      <c r="F583" s="3" t="s">
        <v>25</v>
      </c>
      <c r="G583" s="3" t="s">
        <v>25</v>
      </c>
      <c r="H583" s="3" t="s">
        <v>25</v>
      </c>
      <c r="I583" s="6">
        <v>44652</v>
      </c>
      <c r="J583" s="4">
        <v>0</v>
      </c>
      <c r="K583" s="4">
        <v>0</v>
      </c>
      <c r="L583" s="4">
        <v>0.83199999999999996</v>
      </c>
      <c r="M583" s="4">
        <v>0.83199999999999996</v>
      </c>
      <c r="N583" s="4">
        <v>0.83199999999999996</v>
      </c>
      <c r="O583" s="4">
        <v>0.83199999999999996</v>
      </c>
      <c r="P583" s="4">
        <v>0</v>
      </c>
      <c r="Q583" s="3" t="s">
        <v>26</v>
      </c>
      <c r="R583" s="3">
        <v>0</v>
      </c>
      <c r="S583" s="4">
        <v>0</v>
      </c>
      <c r="T583" s="4">
        <v>47</v>
      </c>
      <c r="U583" s="4">
        <v>87</v>
      </c>
      <c r="V583" s="4">
        <f>IF(ISERROR(VLOOKUP($S$583,'TAR FIN'!$A$1:$O$91,15,0)),0,VLOOKUP($S$583,'TAR FIN'!$A$1:$O$91,15,0))</f>
        <v>0</v>
      </c>
      <c r="W583" s="4">
        <f>IF(ISERROR(VLOOKUP($T$583,'TAR FIN'!$A$1:$O$91,15,0)),0,VLOOKUP($T$583,'TAR FIN'!$A$1:$O$91,15,0))</f>
        <v>406.52</v>
      </c>
      <c r="X583" s="4">
        <f>IF(ISERROR(VLOOKUP($U$583,'TAR FIN'!$A$1:$O$91,15,0)),0,VLOOKUP($U$583,'TAR FIN'!$A$1:$O$91,15,0))</f>
        <v>199.03</v>
      </c>
      <c r="Y583" s="4"/>
      <c r="Z583" s="4">
        <f ca="1">('TUSD BE'!$AM$51+'TUSD BF'!$AM$51+'TUSD CVA'!$AM$51)*1</f>
        <v>446.02270810064761</v>
      </c>
      <c r="AA583" s="4">
        <f>('TE BE'!$AB$42+'TE BF'!$AB$42+'TE CVA'!$AB$42)*1</f>
        <v>205.52329867469447</v>
      </c>
      <c r="AB583" s="4">
        <f>$K$583*$V$583</f>
        <v>0</v>
      </c>
      <c r="AC583" s="4">
        <f>$M$583*$W$583</f>
        <v>338.22463999999997</v>
      </c>
      <c r="AD583" s="4">
        <f>$O$583*$X$583</f>
        <v>165.59296000000001</v>
      </c>
      <c r="AE583" s="4">
        <f>$K$583*$Y$583</f>
        <v>0</v>
      </c>
      <c r="AF583" s="4">
        <f ca="1">$M$583*$Z$583</f>
        <v>371.0908931397388</v>
      </c>
      <c r="AG583" s="4">
        <f>$O$583*$AA$583</f>
        <v>170.99538449734578</v>
      </c>
    </row>
    <row r="584" spans="1:33" ht="11.25" customHeight="1" x14ac:dyDescent="0.3">
      <c r="A584" s="3" t="s">
        <v>28</v>
      </c>
      <c r="B584" s="3" t="s">
        <v>37</v>
      </c>
      <c r="C584" s="3" t="s">
        <v>23</v>
      </c>
      <c r="D584" s="3" t="s">
        <v>41</v>
      </c>
      <c r="E584" s="3" t="s">
        <v>25</v>
      </c>
      <c r="F584" s="3" t="s">
        <v>25</v>
      </c>
      <c r="G584" s="3" t="s">
        <v>25</v>
      </c>
      <c r="H584" s="3" t="s">
        <v>25</v>
      </c>
      <c r="I584" s="6">
        <v>44652</v>
      </c>
      <c r="J584" s="4">
        <v>0</v>
      </c>
      <c r="K584" s="4">
        <v>0</v>
      </c>
      <c r="L584" s="4">
        <v>44.404000000000003</v>
      </c>
      <c r="M584" s="4">
        <v>44.404000000000003</v>
      </c>
      <c r="N584" s="4">
        <v>44.404000000000003</v>
      </c>
      <c r="O584" s="4">
        <v>44.404000000000003</v>
      </c>
      <c r="P584" s="4">
        <v>54</v>
      </c>
      <c r="Q584" s="3" t="s">
        <v>26</v>
      </c>
      <c r="R584" s="3">
        <v>0</v>
      </c>
      <c r="S584" s="4">
        <v>0</v>
      </c>
      <c r="T584" s="4">
        <v>47</v>
      </c>
      <c r="U584" s="4">
        <v>87</v>
      </c>
      <c r="V584" s="4">
        <f>IF(ISERROR(VLOOKUP($S$584,'TAR FIN'!$A$1:$O$91,15,0)),0,VLOOKUP($S$584,'TAR FIN'!$A$1:$O$91,15,0))</f>
        <v>0</v>
      </c>
      <c r="W584" s="4">
        <f>IF(ISERROR(VLOOKUP($T$584,'TAR FIN'!$A$1:$O$91,15,0)),0,VLOOKUP($T$584,'TAR FIN'!$A$1:$O$91,15,0))</f>
        <v>406.52</v>
      </c>
      <c r="X584" s="4">
        <f>IF(ISERROR(VLOOKUP($U$584,'TAR FIN'!$A$1:$O$91,15,0)),0,VLOOKUP($U$584,'TAR FIN'!$A$1:$O$91,15,0))</f>
        <v>199.03</v>
      </c>
      <c r="Y584" s="4"/>
      <c r="Z584" s="4">
        <f ca="1">('TUSD BE'!$AM$51+'TUSD BF'!$AM$51+'TUSD CVA'!$AM$51)*1</f>
        <v>446.02270810064761</v>
      </c>
      <c r="AA584" s="4">
        <f>('TE BE'!$AB$42+'TE BF'!$AB$42+'TE CVA'!$AB$42)*1</f>
        <v>205.52329867469447</v>
      </c>
      <c r="AB584" s="4">
        <f>$K$584*$V$584</f>
        <v>0</v>
      </c>
      <c r="AC584" s="4">
        <f>$M$584*$W$584</f>
        <v>18051.114079999999</v>
      </c>
      <c r="AD584" s="4">
        <f>$O$584*$X$584</f>
        <v>8837.7281200000016</v>
      </c>
      <c r="AE584" s="4">
        <f>$K$584*$Y$584</f>
        <v>0</v>
      </c>
      <c r="AF584" s="4">
        <f ca="1">$M$584*$Z$584</f>
        <v>19805.192330501159</v>
      </c>
      <c r="AG584" s="4">
        <f>$O$584*$AA$584</f>
        <v>9126.0565543511348</v>
      </c>
    </row>
    <row r="585" spans="1:33" ht="11.25" customHeight="1" x14ac:dyDescent="0.3">
      <c r="A585" s="3" t="s">
        <v>21</v>
      </c>
      <c r="B585" s="3" t="s">
        <v>37</v>
      </c>
      <c r="C585" s="3" t="s">
        <v>23</v>
      </c>
      <c r="D585" s="3" t="s">
        <v>41</v>
      </c>
      <c r="E585" s="3" t="s">
        <v>25</v>
      </c>
      <c r="F585" s="3" t="s">
        <v>25</v>
      </c>
      <c r="G585" s="3" t="s">
        <v>25</v>
      </c>
      <c r="H585" s="3" t="s">
        <v>25</v>
      </c>
      <c r="I585" s="6">
        <v>44682</v>
      </c>
      <c r="J585" s="4">
        <v>0</v>
      </c>
      <c r="K585" s="4">
        <v>0</v>
      </c>
      <c r="L585" s="4">
        <v>541.12</v>
      </c>
      <c r="M585" s="4">
        <v>541.12</v>
      </c>
      <c r="N585" s="4">
        <v>541.12</v>
      </c>
      <c r="O585" s="4">
        <v>541.12</v>
      </c>
      <c r="P585" s="4">
        <v>1205</v>
      </c>
      <c r="Q585" s="3" t="s">
        <v>26</v>
      </c>
      <c r="R585" s="3">
        <v>0</v>
      </c>
      <c r="S585" s="4">
        <v>0</v>
      </c>
      <c r="T585" s="4">
        <v>47</v>
      </c>
      <c r="U585" s="4">
        <v>87</v>
      </c>
      <c r="V585" s="4">
        <f>IF(ISERROR(VLOOKUP($S$585,'TAR FIN'!$A$1:$O$91,15,0)),0,VLOOKUP($S$585,'TAR FIN'!$A$1:$O$91,15,0))</f>
        <v>0</v>
      </c>
      <c r="W585" s="4">
        <f>IF(ISERROR(VLOOKUP($T$585,'TAR FIN'!$A$1:$O$91,15,0)),0,VLOOKUP($T$585,'TAR FIN'!$A$1:$O$91,15,0))</f>
        <v>406.52</v>
      </c>
      <c r="X585" s="4">
        <f>IF(ISERROR(VLOOKUP($U$585,'TAR FIN'!$A$1:$O$91,15,0)),0,VLOOKUP($U$585,'TAR FIN'!$A$1:$O$91,15,0))</f>
        <v>199.03</v>
      </c>
      <c r="Y585" s="4"/>
      <c r="Z585" s="4">
        <f ca="1">('TUSD BE'!$AM$51+'TUSD BF'!$AM$51+'TUSD CVA'!$AM$51)*1</f>
        <v>446.02270810064761</v>
      </c>
      <c r="AA585" s="4">
        <f>('TE BE'!$AB$42+'TE BF'!$AB$42+'TE CVA'!$AB$42)*1</f>
        <v>205.52329867469447</v>
      </c>
      <c r="AB585" s="4">
        <f>$K$585*$V$585</f>
        <v>0</v>
      </c>
      <c r="AC585" s="4">
        <f>$M$585*$W$585</f>
        <v>219976.1024</v>
      </c>
      <c r="AD585" s="4">
        <f>$O$585*$X$585</f>
        <v>107699.1136</v>
      </c>
      <c r="AE585" s="4">
        <f>$K$585*$Y$585</f>
        <v>0</v>
      </c>
      <c r="AF585" s="4">
        <f ca="1">$M$585*$Z$585</f>
        <v>241351.80780742245</v>
      </c>
      <c r="AG585" s="4">
        <f>$O$585*$AA$585</f>
        <v>111212.76737885068</v>
      </c>
    </row>
    <row r="586" spans="1:33" ht="11.25" customHeight="1" x14ac:dyDescent="0.3">
      <c r="A586" s="3" t="s">
        <v>28</v>
      </c>
      <c r="B586" s="3" t="s">
        <v>37</v>
      </c>
      <c r="C586" s="3" t="s">
        <v>23</v>
      </c>
      <c r="D586" s="3" t="s">
        <v>41</v>
      </c>
      <c r="E586" s="3" t="s">
        <v>25</v>
      </c>
      <c r="F586" s="3" t="s">
        <v>25</v>
      </c>
      <c r="G586" s="3" t="s">
        <v>25</v>
      </c>
      <c r="H586" s="3" t="s">
        <v>25</v>
      </c>
      <c r="I586" s="6">
        <v>44682</v>
      </c>
      <c r="J586" s="4">
        <v>0</v>
      </c>
      <c r="K586" s="4">
        <v>0</v>
      </c>
      <c r="L586" s="4">
        <v>65.277000000000001</v>
      </c>
      <c r="M586" s="4">
        <v>65.277000000000001</v>
      </c>
      <c r="N586" s="4">
        <v>65.277000000000001</v>
      </c>
      <c r="O586" s="4">
        <v>65.277000000000001</v>
      </c>
      <c r="P586" s="4">
        <v>57</v>
      </c>
      <c r="Q586" s="3" t="s">
        <v>26</v>
      </c>
      <c r="R586" s="3">
        <v>0</v>
      </c>
      <c r="S586" s="4">
        <v>0</v>
      </c>
      <c r="T586" s="4">
        <v>47</v>
      </c>
      <c r="U586" s="4">
        <v>87</v>
      </c>
      <c r="V586" s="4">
        <f>IF(ISERROR(VLOOKUP($S$586,'TAR FIN'!$A$1:$O$91,15,0)),0,VLOOKUP($S$586,'TAR FIN'!$A$1:$O$91,15,0))</f>
        <v>0</v>
      </c>
      <c r="W586" s="4">
        <f>IF(ISERROR(VLOOKUP($T$586,'TAR FIN'!$A$1:$O$91,15,0)),0,VLOOKUP($T$586,'TAR FIN'!$A$1:$O$91,15,0))</f>
        <v>406.52</v>
      </c>
      <c r="X586" s="4">
        <f>IF(ISERROR(VLOOKUP($U$586,'TAR FIN'!$A$1:$O$91,15,0)),0,VLOOKUP($U$586,'TAR FIN'!$A$1:$O$91,15,0))</f>
        <v>199.03</v>
      </c>
      <c r="Y586" s="4"/>
      <c r="Z586" s="4">
        <f ca="1">('TUSD BE'!$AM$51+'TUSD BF'!$AM$51+'TUSD CVA'!$AM$51)*1</f>
        <v>446.02270810064761</v>
      </c>
      <c r="AA586" s="4">
        <f>('TE BE'!$AB$42+'TE BF'!$AB$42+'TE CVA'!$AB$42)*1</f>
        <v>205.52329867469447</v>
      </c>
      <c r="AB586" s="4">
        <f>$K$586*$V$586</f>
        <v>0</v>
      </c>
      <c r="AC586" s="4">
        <f>$M$586*$W$586</f>
        <v>26536.406039999998</v>
      </c>
      <c r="AD586" s="4">
        <f>$O$586*$X$586</f>
        <v>12992.08131</v>
      </c>
      <c r="AE586" s="4">
        <f>$K$586*$Y$586</f>
        <v>0</v>
      </c>
      <c r="AF586" s="4">
        <f ca="1">$M$586*$Z$586</f>
        <v>29115.024316685973</v>
      </c>
      <c r="AG586" s="4">
        <f>$O$586*$AA$586</f>
        <v>13415.944367588032</v>
      </c>
    </row>
    <row r="587" spans="1:33" ht="11.25" customHeight="1" x14ac:dyDescent="0.3">
      <c r="A587" s="3" t="s">
        <v>21</v>
      </c>
      <c r="B587" s="3" t="s">
        <v>37</v>
      </c>
      <c r="C587" s="3" t="s">
        <v>23</v>
      </c>
      <c r="D587" s="3" t="s">
        <v>41</v>
      </c>
      <c r="E587" s="3" t="s">
        <v>25</v>
      </c>
      <c r="F587" s="3" t="s">
        <v>25</v>
      </c>
      <c r="G587" s="3" t="s">
        <v>25</v>
      </c>
      <c r="H587" s="3" t="s">
        <v>25</v>
      </c>
      <c r="I587" s="6">
        <v>44713</v>
      </c>
      <c r="J587" s="4">
        <v>0</v>
      </c>
      <c r="K587" s="4">
        <v>0</v>
      </c>
      <c r="L587" s="4">
        <v>562.08100000000002</v>
      </c>
      <c r="M587" s="4">
        <v>562.08100000000002</v>
      </c>
      <c r="N587" s="4">
        <v>562.08100000000002</v>
      </c>
      <c r="O587" s="4">
        <v>562.08100000000002</v>
      </c>
      <c r="P587" s="4">
        <v>1203</v>
      </c>
      <c r="Q587" s="3" t="s">
        <v>26</v>
      </c>
      <c r="R587" s="3">
        <v>0</v>
      </c>
      <c r="S587" s="4">
        <v>0</v>
      </c>
      <c r="T587" s="4">
        <v>47</v>
      </c>
      <c r="U587" s="4">
        <v>87</v>
      </c>
      <c r="V587" s="4">
        <f>IF(ISERROR(VLOOKUP($S$587,'TAR FIN'!$A$1:$O$91,15,0)),0,VLOOKUP($S$587,'TAR FIN'!$A$1:$O$91,15,0))</f>
        <v>0</v>
      </c>
      <c r="W587" s="4">
        <f>IF(ISERROR(VLOOKUP($T$587,'TAR FIN'!$A$1:$O$91,15,0)),0,VLOOKUP($T$587,'TAR FIN'!$A$1:$O$91,15,0))</f>
        <v>406.52</v>
      </c>
      <c r="X587" s="4">
        <f>IF(ISERROR(VLOOKUP($U$587,'TAR FIN'!$A$1:$O$91,15,0)),0,VLOOKUP($U$587,'TAR FIN'!$A$1:$O$91,15,0))</f>
        <v>199.03</v>
      </c>
      <c r="Y587" s="4"/>
      <c r="Z587" s="4">
        <f ca="1">('TUSD BE'!$AM$51+'TUSD BF'!$AM$51+'TUSD CVA'!$AM$51)*1</f>
        <v>446.02270810064761</v>
      </c>
      <c r="AA587" s="4">
        <f>('TE BE'!$AB$42+'TE BF'!$AB$42+'TE CVA'!$AB$42)*1</f>
        <v>205.52329867469447</v>
      </c>
      <c r="AB587" s="4">
        <f>$K$587*$V$587</f>
        <v>0</v>
      </c>
      <c r="AC587" s="4">
        <f>$M$587*$W$587</f>
        <v>228497.16811999999</v>
      </c>
      <c r="AD587" s="4">
        <f>$O$587*$X$587</f>
        <v>111870.98143</v>
      </c>
      <c r="AE587" s="4">
        <f>$K$587*$Y$587</f>
        <v>0</v>
      </c>
      <c r="AF587" s="4">
        <f ca="1">$M$587*$Z$587</f>
        <v>250700.88979192011</v>
      </c>
      <c r="AG587" s="4">
        <f>$O$587*$AA$587</f>
        <v>115520.74124237095</v>
      </c>
    </row>
    <row r="588" spans="1:33" ht="11.25" customHeight="1" x14ac:dyDescent="0.3">
      <c r="A588" s="3" t="s">
        <v>27</v>
      </c>
      <c r="B588" s="3" t="s">
        <v>37</v>
      </c>
      <c r="C588" s="3" t="s">
        <v>23</v>
      </c>
      <c r="D588" s="3" t="s">
        <v>41</v>
      </c>
      <c r="E588" s="3" t="s">
        <v>25</v>
      </c>
      <c r="F588" s="3" t="s">
        <v>25</v>
      </c>
      <c r="G588" s="3" t="s">
        <v>25</v>
      </c>
      <c r="H588" s="3" t="s">
        <v>25</v>
      </c>
      <c r="I588" s="6">
        <v>44713</v>
      </c>
      <c r="J588" s="4">
        <v>0</v>
      </c>
      <c r="K588" s="4">
        <v>0</v>
      </c>
      <c r="L588" s="4">
        <v>0.309</v>
      </c>
      <c r="M588" s="4">
        <v>0.309</v>
      </c>
      <c r="N588" s="4">
        <v>0.309</v>
      </c>
      <c r="O588" s="4">
        <v>0.309</v>
      </c>
      <c r="P588" s="4">
        <v>0</v>
      </c>
      <c r="Q588" s="3" t="s">
        <v>26</v>
      </c>
      <c r="R588" s="3">
        <v>0</v>
      </c>
      <c r="S588" s="4">
        <v>0</v>
      </c>
      <c r="T588" s="4">
        <v>47</v>
      </c>
      <c r="U588" s="4">
        <v>87</v>
      </c>
      <c r="V588" s="4">
        <f>IF(ISERROR(VLOOKUP($S$588,'TAR FIN'!$A$1:$O$91,15,0)),0,VLOOKUP($S$588,'TAR FIN'!$A$1:$O$91,15,0))</f>
        <v>0</v>
      </c>
      <c r="W588" s="4">
        <f>IF(ISERROR(VLOOKUP($T$588,'TAR FIN'!$A$1:$O$91,15,0)),0,VLOOKUP($T$588,'TAR FIN'!$A$1:$O$91,15,0))</f>
        <v>406.52</v>
      </c>
      <c r="X588" s="4">
        <f>IF(ISERROR(VLOOKUP($U$588,'TAR FIN'!$A$1:$O$91,15,0)),0,VLOOKUP($U$588,'TAR FIN'!$A$1:$O$91,15,0))</f>
        <v>199.03</v>
      </c>
      <c r="Y588" s="4"/>
      <c r="Z588" s="4">
        <f ca="1">('TUSD BE'!$AM$51+'TUSD BF'!$AM$51+'TUSD CVA'!$AM$51)*1</f>
        <v>446.02270810064761</v>
      </c>
      <c r="AA588" s="4">
        <f>('TE BE'!$AB$42+'TE BF'!$AB$42+'TE CVA'!$AB$42)*1</f>
        <v>205.52329867469447</v>
      </c>
      <c r="AB588" s="4">
        <f>$K$588*$V$588</f>
        <v>0</v>
      </c>
      <c r="AC588" s="4">
        <f>$M$588*$W$588</f>
        <v>125.61467999999999</v>
      </c>
      <c r="AD588" s="4">
        <f>$O$588*$X$588</f>
        <v>61.50027</v>
      </c>
      <c r="AE588" s="4">
        <f>$K$588*$Y$588</f>
        <v>0</v>
      </c>
      <c r="AF588" s="4">
        <f ca="1">$M$588*$Z$588</f>
        <v>137.82101680310012</v>
      </c>
      <c r="AG588" s="4">
        <f>$O$588*$AA$588</f>
        <v>63.50669929048059</v>
      </c>
    </row>
    <row r="589" spans="1:33" ht="11.25" customHeight="1" x14ac:dyDescent="0.3">
      <c r="A589" s="3" t="s">
        <v>28</v>
      </c>
      <c r="B589" s="3" t="s">
        <v>37</v>
      </c>
      <c r="C589" s="3" t="s">
        <v>23</v>
      </c>
      <c r="D589" s="3" t="s">
        <v>41</v>
      </c>
      <c r="E589" s="3" t="s">
        <v>25</v>
      </c>
      <c r="F589" s="3" t="s">
        <v>25</v>
      </c>
      <c r="G589" s="3" t="s">
        <v>25</v>
      </c>
      <c r="H589" s="3" t="s">
        <v>25</v>
      </c>
      <c r="I589" s="6">
        <v>44713</v>
      </c>
      <c r="J589" s="4">
        <v>0</v>
      </c>
      <c r="K589" s="4">
        <v>0</v>
      </c>
      <c r="L589" s="4">
        <v>78.087000000000003</v>
      </c>
      <c r="M589" s="4">
        <v>78.087000000000003</v>
      </c>
      <c r="N589" s="4">
        <v>78.087000000000003</v>
      </c>
      <c r="O589" s="4">
        <v>78.087000000000003</v>
      </c>
      <c r="P589" s="4">
        <v>60</v>
      </c>
      <c r="Q589" s="3" t="s">
        <v>26</v>
      </c>
      <c r="R589" s="3">
        <v>0</v>
      </c>
      <c r="S589" s="4">
        <v>0</v>
      </c>
      <c r="T589" s="4">
        <v>47</v>
      </c>
      <c r="U589" s="4">
        <v>87</v>
      </c>
      <c r="V589" s="4">
        <f>IF(ISERROR(VLOOKUP($S$589,'TAR FIN'!$A$1:$O$91,15,0)),0,VLOOKUP($S$589,'TAR FIN'!$A$1:$O$91,15,0))</f>
        <v>0</v>
      </c>
      <c r="W589" s="4">
        <f>IF(ISERROR(VLOOKUP($T$589,'TAR FIN'!$A$1:$O$91,15,0)),0,VLOOKUP($T$589,'TAR FIN'!$A$1:$O$91,15,0))</f>
        <v>406.52</v>
      </c>
      <c r="X589" s="4">
        <f>IF(ISERROR(VLOOKUP($U$589,'TAR FIN'!$A$1:$O$91,15,0)),0,VLOOKUP($U$589,'TAR FIN'!$A$1:$O$91,15,0))</f>
        <v>199.03</v>
      </c>
      <c r="Y589" s="4"/>
      <c r="Z589" s="4">
        <f ca="1">('TUSD BE'!$AM$51+'TUSD BF'!$AM$51+'TUSD CVA'!$AM$51)*1</f>
        <v>446.02270810064761</v>
      </c>
      <c r="AA589" s="4">
        <f>('TE BE'!$AB$42+'TE BF'!$AB$42+'TE CVA'!$AB$42)*1</f>
        <v>205.52329867469447</v>
      </c>
      <c r="AB589" s="4">
        <f>$K$589*$V$589</f>
        <v>0</v>
      </c>
      <c r="AC589" s="4">
        <f>$M$589*$W$589</f>
        <v>31743.927240000001</v>
      </c>
      <c r="AD589" s="4">
        <f>$O$589*$X$589</f>
        <v>15541.655610000002</v>
      </c>
      <c r="AE589" s="4">
        <f>$K$589*$Y$589</f>
        <v>0</v>
      </c>
      <c r="AF589" s="4">
        <f ca="1">$M$589*$Z$589</f>
        <v>34828.575207455273</v>
      </c>
      <c r="AG589" s="4">
        <f>$O$589*$AA$589</f>
        <v>16048.697823610868</v>
      </c>
    </row>
    <row r="590" spans="1:33" ht="11.25" customHeight="1" x14ac:dyDescent="0.3">
      <c r="A590" s="3" t="s">
        <v>21</v>
      </c>
      <c r="B590" s="3" t="s">
        <v>37</v>
      </c>
      <c r="C590" s="3" t="s">
        <v>23</v>
      </c>
      <c r="D590" s="3" t="s">
        <v>50</v>
      </c>
      <c r="E590" s="3" t="s">
        <v>25</v>
      </c>
      <c r="F590" s="3" t="s">
        <v>25</v>
      </c>
      <c r="G590" s="3" t="s">
        <v>25</v>
      </c>
      <c r="H590" s="3" t="s">
        <v>25</v>
      </c>
      <c r="I590" s="6">
        <v>44378</v>
      </c>
      <c r="J590" s="4">
        <v>0</v>
      </c>
      <c r="K590" s="4">
        <v>0</v>
      </c>
      <c r="L590" s="4">
        <v>6.4450000000000003</v>
      </c>
      <c r="M590" s="4">
        <v>6.4450000000000003</v>
      </c>
      <c r="N590" s="4">
        <v>6.4450000000000003</v>
      </c>
      <c r="O590" s="4">
        <v>6.4450000000000003</v>
      </c>
      <c r="P590" s="4">
        <v>17</v>
      </c>
      <c r="Q590" s="3" t="s">
        <v>26</v>
      </c>
      <c r="R590" s="3">
        <v>0</v>
      </c>
      <c r="S590" s="4">
        <v>0</v>
      </c>
      <c r="T590" s="4">
        <v>47</v>
      </c>
      <c r="U590" s="4">
        <v>87</v>
      </c>
      <c r="V590" s="4">
        <f>IF(ISERROR(VLOOKUP($S$590,'TAR FIN'!$A$1:$O$91,15,0)),0,VLOOKUP($S$590,'TAR FIN'!$A$1:$O$91,15,0))</f>
        <v>0</v>
      </c>
      <c r="W590" s="4">
        <f>IF(ISERROR(VLOOKUP($T$590,'TAR FIN'!$A$1:$O$91,15,0)),0,VLOOKUP($T$590,'TAR FIN'!$A$1:$O$91,15,0))</f>
        <v>406.52</v>
      </c>
      <c r="X590" s="4">
        <f>IF(ISERROR(VLOOKUP($U$590,'TAR FIN'!$A$1:$O$91,15,0)),0,VLOOKUP($U$590,'TAR FIN'!$A$1:$O$91,15,0))</f>
        <v>199.03</v>
      </c>
      <c r="Y590" s="4"/>
      <c r="Z590" s="4">
        <f ca="1">('TUSD BE'!$AM$51+'TUSD BF'!$AM$51+'TUSD CVA'!$AM$51)*1</f>
        <v>446.02270810064761</v>
      </c>
      <c r="AA590" s="4">
        <f>('TE BE'!$AB$42+'TE BF'!$AB$42+'TE CVA'!$AB$42)*1</f>
        <v>205.52329867469447</v>
      </c>
      <c r="AB590" s="4">
        <f>$K$590*$V$590</f>
        <v>0</v>
      </c>
      <c r="AC590" s="4">
        <f>$M$590*$W$590</f>
        <v>2620.0214000000001</v>
      </c>
      <c r="AD590" s="4">
        <f>$O$590*$X$590</f>
        <v>1282.7483500000001</v>
      </c>
      <c r="AE590" s="4">
        <f>$K$590*$Y$590</f>
        <v>0</v>
      </c>
      <c r="AF590" s="4">
        <f ca="1">$M$590*$Z$590</f>
        <v>2874.6163537086741</v>
      </c>
      <c r="AG590" s="4">
        <f>$O$590*$AA$590</f>
        <v>1324.597659958406</v>
      </c>
    </row>
    <row r="591" spans="1:33" ht="11.25" customHeight="1" x14ac:dyDescent="0.3">
      <c r="A591" s="3" t="s">
        <v>21</v>
      </c>
      <c r="B591" s="3" t="s">
        <v>37</v>
      </c>
      <c r="C591" s="3" t="s">
        <v>23</v>
      </c>
      <c r="D591" s="3" t="s">
        <v>50</v>
      </c>
      <c r="E591" s="3" t="s">
        <v>25</v>
      </c>
      <c r="F591" s="3" t="s">
        <v>25</v>
      </c>
      <c r="G591" s="3" t="s">
        <v>25</v>
      </c>
      <c r="H591" s="3" t="s">
        <v>25</v>
      </c>
      <c r="I591" s="6">
        <v>44409</v>
      </c>
      <c r="J591" s="4">
        <v>0</v>
      </c>
      <c r="K591" s="4">
        <v>0</v>
      </c>
      <c r="L591" s="4">
        <v>6.4909999999999997</v>
      </c>
      <c r="M591" s="4">
        <v>6.4909999999999997</v>
      </c>
      <c r="N591" s="4">
        <v>6.4909999999999997</v>
      </c>
      <c r="O591" s="4">
        <v>6.4909999999999997</v>
      </c>
      <c r="P591" s="4">
        <v>17</v>
      </c>
      <c r="Q591" s="3" t="s">
        <v>26</v>
      </c>
      <c r="R591" s="3">
        <v>0</v>
      </c>
      <c r="S591" s="4">
        <v>0</v>
      </c>
      <c r="T591" s="4">
        <v>47</v>
      </c>
      <c r="U591" s="4">
        <v>87</v>
      </c>
      <c r="V591" s="4">
        <f>IF(ISERROR(VLOOKUP($S$591,'TAR FIN'!$A$1:$O$91,15,0)),0,VLOOKUP($S$591,'TAR FIN'!$A$1:$O$91,15,0))</f>
        <v>0</v>
      </c>
      <c r="W591" s="4">
        <f>IF(ISERROR(VLOOKUP($T$591,'TAR FIN'!$A$1:$O$91,15,0)),0,VLOOKUP($T$591,'TAR FIN'!$A$1:$O$91,15,0))</f>
        <v>406.52</v>
      </c>
      <c r="X591" s="4">
        <f>IF(ISERROR(VLOOKUP($U$591,'TAR FIN'!$A$1:$O$91,15,0)),0,VLOOKUP($U$591,'TAR FIN'!$A$1:$O$91,15,0))</f>
        <v>199.03</v>
      </c>
      <c r="Y591" s="4"/>
      <c r="Z591" s="4">
        <f ca="1">('TUSD BE'!$AM$51+'TUSD BF'!$AM$51+'TUSD CVA'!$AM$51)*1</f>
        <v>446.02270810064761</v>
      </c>
      <c r="AA591" s="4">
        <f>('TE BE'!$AB$42+'TE BF'!$AB$42+'TE CVA'!$AB$42)*1</f>
        <v>205.52329867469447</v>
      </c>
      <c r="AB591" s="4">
        <f>$K$591*$V$591</f>
        <v>0</v>
      </c>
      <c r="AC591" s="4">
        <f>$M$591*$W$591</f>
        <v>2638.7213199999997</v>
      </c>
      <c r="AD591" s="4">
        <f>$O$591*$X$591</f>
        <v>1291.90373</v>
      </c>
      <c r="AE591" s="4">
        <f>$K$591*$Y$591</f>
        <v>0</v>
      </c>
      <c r="AF591" s="4">
        <f ca="1">$M$591*$Z$591</f>
        <v>2895.1333982813035</v>
      </c>
      <c r="AG591" s="4">
        <f>$O$591*$AA$591</f>
        <v>1334.0517316974417</v>
      </c>
    </row>
    <row r="592" spans="1:33" ht="11.25" customHeight="1" x14ac:dyDescent="0.3">
      <c r="A592" s="3" t="s">
        <v>21</v>
      </c>
      <c r="B592" s="3" t="s">
        <v>37</v>
      </c>
      <c r="C592" s="3" t="s">
        <v>23</v>
      </c>
      <c r="D592" s="3" t="s">
        <v>50</v>
      </c>
      <c r="E592" s="3" t="s">
        <v>25</v>
      </c>
      <c r="F592" s="3" t="s">
        <v>25</v>
      </c>
      <c r="G592" s="3" t="s">
        <v>25</v>
      </c>
      <c r="H592" s="3" t="s">
        <v>25</v>
      </c>
      <c r="I592" s="6">
        <v>44440</v>
      </c>
      <c r="J592" s="4">
        <v>0</v>
      </c>
      <c r="K592" s="4">
        <v>0</v>
      </c>
      <c r="L592" s="4">
        <v>5.141</v>
      </c>
      <c r="M592" s="4">
        <v>5.141</v>
      </c>
      <c r="N592" s="4">
        <v>5.141</v>
      </c>
      <c r="O592" s="4">
        <v>5.141</v>
      </c>
      <c r="P592" s="4">
        <v>17</v>
      </c>
      <c r="Q592" s="3" t="s">
        <v>26</v>
      </c>
      <c r="R592" s="3">
        <v>0</v>
      </c>
      <c r="S592" s="4">
        <v>0</v>
      </c>
      <c r="T592" s="4">
        <v>47</v>
      </c>
      <c r="U592" s="4">
        <v>87</v>
      </c>
      <c r="V592" s="4">
        <f>IF(ISERROR(VLOOKUP($S$592,'TAR FIN'!$A$1:$O$91,15,0)),0,VLOOKUP($S$592,'TAR FIN'!$A$1:$O$91,15,0))</f>
        <v>0</v>
      </c>
      <c r="W592" s="4">
        <f>IF(ISERROR(VLOOKUP($T$592,'TAR FIN'!$A$1:$O$91,15,0)),0,VLOOKUP($T$592,'TAR FIN'!$A$1:$O$91,15,0))</f>
        <v>406.52</v>
      </c>
      <c r="X592" s="4">
        <f>IF(ISERROR(VLOOKUP($U$592,'TAR FIN'!$A$1:$O$91,15,0)),0,VLOOKUP($U$592,'TAR FIN'!$A$1:$O$91,15,0))</f>
        <v>199.03</v>
      </c>
      <c r="Y592" s="4"/>
      <c r="Z592" s="4">
        <f ca="1">('TUSD BE'!$AM$51+'TUSD BF'!$AM$51+'TUSD CVA'!$AM$51)*1</f>
        <v>446.02270810064761</v>
      </c>
      <c r="AA592" s="4">
        <f>('TE BE'!$AB$42+'TE BF'!$AB$42+'TE CVA'!$AB$42)*1</f>
        <v>205.52329867469447</v>
      </c>
      <c r="AB592" s="4">
        <f>$K$592*$V$592</f>
        <v>0</v>
      </c>
      <c r="AC592" s="4">
        <f>$M$592*$W$592</f>
        <v>2089.91932</v>
      </c>
      <c r="AD592" s="4">
        <f>$O$592*$X$592</f>
        <v>1023.21323</v>
      </c>
      <c r="AE592" s="4">
        <f>$K$592*$Y$592</f>
        <v>0</v>
      </c>
      <c r="AF592" s="4">
        <f ca="1">$M$592*$Z$592</f>
        <v>2293.0027423454294</v>
      </c>
      <c r="AG592" s="4">
        <f>$O$592*$AA$592</f>
        <v>1056.5952784866042</v>
      </c>
    </row>
    <row r="593" spans="1:33" ht="11.25" customHeight="1" x14ac:dyDescent="0.3">
      <c r="A593" s="3" t="s">
        <v>21</v>
      </c>
      <c r="B593" s="3" t="s">
        <v>37</v>
      </c>
      <c r="C593" s="3" t="s">
        <v>23</v>
      </c>
      <c r="D593" s="3" t="s">
        <v>50</v>
      </c>
      <c r="E593" s="3" t="s">
        <v>25</v>
      </c>
      <c r="F593" s="3" t="s">
        <v>25</v>
      </c>
      <c r="G593" s="3" t="s">
        <v>25</v>
      </c>
      <c r="H593" s="3" t="s">
        <v>25</v>
      </c>
      <c r="I593" s="6">
        <v>44470</v>
      </c>
      <c r="J593" s="4">
        <v>0</v>
      </c>
      <c r="K593" s="4">
        <v>0</v>
      </c>
      <c r="L593" s="4">
        <v>5.4859999999999998</v>
      </c>
      <c r="M593" s="4">
        <v>5.4859999999999998</v>
      </c>
      <c r="N593" s="4">
        <v>5.4859999999999998</v>
      </c>
      <c r="O593" s="4">
        <v>5.4859999999999998</v>
      </c>
      <c r="P593" s="4">
        <v>17</v>
      </c>
      <c r="Q593" s="3" t="s">
        <v>26</v>
      </c>
      <c r="R593" s="3">
        <v>0</v>
      </c>
      <c r="S593" s="4">
        <v>0</v>
      </c>
      <c r="T593" s="4">
        <v>47</v>
      </c>
      <c r="U593" s="4">
        <v>87</v>
      </c>
      <c r="V593" s="4">
        <f>IF(ISERROR(VLOOKUP($S$593,'TAR FIN'!$A$1:$O$91,15,0)),0,VLOOKUP($S$593,'TAR FIN'!$A$1:$O$91,15,0))</f>
        <v>0</v>
      </c>
      <c r="W593" s="4">
        <f>IF(ISERROR(VLOOKUP($T$593,'TAR FIN'!$A$1:$O$91,15,0)),0,VLOOKUP($T$593,'TAR FIN'!$A$1:$O$91,15,0))</f>
        <v>406.52</v>
      </c>
      <c r="X593" s="4">
        <f>IF(ISERROR(VLOOKUP($U$593,'TAR FIN'!$A$1:$O$91,15,0)),0,VLOOKUP($U$593,'TAR FIN'!$A$1:$O$91,15,0))</f>
        <v>199.03</v>
      </c>
      <c r="Y593" s="4"/>
      <c r="Z593" s="4">
        <f ca="1">('TUSD BE'!$AM$51+'TUSD BF'!$AM$51+'TUSD CVA'!$AM$51)*1</f>
        <v>446.02270810064761</v>
      </c>
      <c r="AA593" s="4">
        <f>('TE BE'!$AB$42+'TE BF'!$AB$42+'TE CVA'!$AB$42)*1</f>
        <v>205.52329867469447</v>
      </c>
      <c r="AB593" s="4">
        <f>$K$593*$V$593</f>
        <v>0</v>
      </c>
      <c r="AC593" s="4">
        <f>$M$593*$W$593</f>
        <v>2230.1687199999997</v>
      </c>
      <c r="AD593" s="4">
        <f>$O$593*$X$593</f>
        <v>1091.8785800000001</v>
      </c>
      <c r="AE593" s="4">
        <f>$K$593*$Y$593</f>
        <v>0</v>
      </c>
      <c r="AF593" s="4">
        <f ca="1">$M$593*$Z$593</f>
        <v>2446.8805766401529</v>
      </c>
      <c r="AG593" s="4">
        <f>$O$593*$AA$593</f>
        <v>1127.5008165293739</v>
      </c>
    </row>
    <row r="594" spans="1:33" ht="11.25" customHeight="1" x14ac:dyDescent="0.3">
      <c r="A594" s="3" t="s">
        <v>21</v>
      </c>
      <c r="B594" s="3" t="s">
        <v>37</v>
      </c>
      <c r="C594" s="3" t="s">
        <v>23</v>
      </c>
      <c r="D594" s="3" t="s">
        <v>50</v>
      </c>
      <c r="E594" s="3" t="s">
        <v>25</v>
      </c>
      <c r="F594" s="3" t="s">
        <v>25</v>
      </c>
      <c r="G594" s="3" t="s">
        <v>25</v>
      </c>
      <c r="H594" s="3" t="s">
        <v>25</v>
      </c>
      <c r="I594" s="6">
        <v>44501</v>
      </c>
      <c r="J594" s="4">
        <v>0</v>
      </c>
      <c r="K594" s="4">
        <v>0</v>
      </c>
      <c r="L594" s="4">
        <v>5.7949999999999999</v>
      </c>
      <c r="M594" s="4">
        <v>5.7949999999999999</v>
      </c>
      <c r="N594" s="4">
        <v>5.7949999999999999</v>
      </c>
      <c r="O594" s="4">
        <v>5.7949999999999999</v>
      </c>
      <c r="P594" s="4">
        <v>17</v>
      </c>
      <c r="Q594" s="3" t="s">
        <v>26</v>
      </c>
      <c r="R594" s="3">
        <v>0</v>
      </c>
      <c r="S594" s="4">
        <v>0</v>
      </c>
      <c r="T594" s="4">
        <v>47</v>
      </c>
      <c r="U594" s="4">
        <v>87</v>
      </c>
      <c r="V594" s="4">
        <f>IF(ISERROR(VLOOKUP($S$594,'TAR FIN'!$A$1:$O$91,15,0)),0,VLOOKUP($S$594,'TAR FIN'!$A$1:$O$91,15,0))</f>
        <v>0</v>
      </c>
      <c r="W594" s="4">
        <f>IF(ISERROR(VLOOKUP($T$594,'TAR FIN'!$A$1:$O$91,15,0)),0,VLOOKUP($T$594,'TAR FIN'!$A$1:$O$91,15,0))</f>
        <v>406.52</v>
      </c>
      <c r="X594" s="4">
        <f>IF(ISERROR(VLOOKUP($U$594,'TAR FIN'!$A$1:$O$91,15,0)),0,VLOOKUP($U$594,'TAR FIN'!$A$1:$O$91,15,0))</f>
        <v>199.03</v>
      </c>
      <c r="Y594" s="4"/>
      <c r="Z594" s="4">
        <f ca="1">('TUSD BE'!$AM$51+'TUSD BF'!$AM$51+'TUSD CVA'!$AM$51)*1</f>
        <v>446.02270810064761</v>
      </c>
      <c r="AA594" s="4">
        <f>('TE BE'!$AB$42+'TE BF'!$AB$42+'TE CVA'!$AB$42)*1</f>
        <v>205.52329867469447</v>
      </c>
      <c r="AB594" s="4">
        <f>$K$594*$V$594</f>
        <v>0</v>
      </c>
      <c r="AC594" s="4">
        <f>$M$594*$W$594</f>
        <v>2355.7833999999998</v>
      </c>
      <c r="AD594" s="4">
        <f>$O$594*$X$594</f>
        <v>1153.3788500000001</v>
      </c>
      <c r="AE594" s="4">
        <f>$K$594*$Y$594</f>
        <v>0</v>
      </c>
      <c r="AF594" s="4">
        <f ca="1">$M$594*$Z$594</f>
        <v>2584.7015934432529</v>
      </c>
      <c r="AG594" s="4">
        <f>$O$594*$AA$594</f>
        <v>1191.0075158198545</v>
      </c>
    </row>
    <row r="595" spans="1:33" ht="11.25" customHeight="1" x14ac:dyDescent="0.3">
      <c r="A595" s="3" t="s">
        <v>21</v>
      </c>
      <c r="B595" s="3" t="s">
        <v>37</v>
      </c>
      <c r="C595" s="3" t="s">
        <v>23</v>
      </c>
      <c r="D595" s="3" t="s">
        <v>50</v>
      </c>
      <c r="E595" s="3" t="s">
        <v>25</v>
      </c>
      <c r="F595" s="3" t="s">
        <v>25</v>
      </c>
      <c r="G595" s="3" t="s">
        <v>25</v>
      </c>
      <c r="H595" s="3" t="s">
        <v>25</v>
      </c>
      <c r="I595" s="6">
        <v>44531</v>
      </c>
      <c r="J595" s="4">
        <v>0</v>
      </c>
      <c r="K595" s="4">
        <v>0</v>
      </c>
      <c r="L595" s="4">
        <v>7.4290000000000003</v>
      </c>
      <c r="M595" s="4">
        <v>7.4290000000000003</v>
      </c>
      <c r="N595" s="4">
        <v>7.4290000000000003</v>
      </c>
      <c r="O595" s="4">
        <v>7.4290000000000003</v>
      </c>
      <c r="P595" s="4">
        <v>17</v>
      </c>
      <c r="Q595" s="3" t="s">
        <v>26</v>
      </c>
      <c r="R595" s="3">
        <v>0</v>
      </c>
      <c r="S595" s="4">
        <v>0</v>
      </c>
      <c r="T595" s="4">
        <v>47</v>
      </c>
      <c r="U595" s="4">
        <v>87</v>
      </c>
      <c r="V595" s="4">
        <f>IF(ISERROR(VLOOKUP($S$595,'TAR FIN'!$A$1:$O$91,15,0)),0,VLOOKUP($S$595,'TAR FIN'!$A$1:$O$91,15,0))</f>
        <v>0</v>
      </c>
      <c r="W595" s="4">
        <f>IF(ISERROR(VLOOKUP($T$595,'TAR FIN'!$A$1:$O$91,15,0)),0,VLOOKUP($T$595,'TAR FIN'!$A$1:$O$91,15,0))</f>
        <v>406.52</v>
      </c>
      <c r="X595" s="4">
        <f>IF(ISERROR(VLOOKUP($U$595,'TAR FIN'!$A$1:$O$91,15,0)),0,VLOOKUP($U$595,'TAR FIN'!$A$1:$O$91,15,0))</f>
        <v>199.03</v>
      </c>
      <c r="Y595" s="4"/>
      <c r="Z595" s="4">
        <f ca="1">('TUSD BE'!$AM$51+'TUSD BF'!$AM$51+'TUSD CVA'!$AM$51)*1</f>
        <v>446.02270810064761</v>
      </c>
      <c r="AA595" s="4">
        <f>('TE BE'!$AB$42+'TE BF'!$AB$42+'TE CVA'!$AB$42)*1</f>
        <v>205.52329867469447</v>
      </c>
      <c r="AB595" s="4">
        <f>$K$595*$V$595</f>
        <v>0</v>
      </c>
      <c r="AC595" s="4">
        <f>$M$595*$W$595</f>
        <v>3020.0370800000001</v>
      </c>
      <c r="AD595" s="4">
        <f>$O$595*$X$595</f>
        <v>1478.5938700000002</v>
      </c>
      <c r="AE595" s="4">
        <f>$K$595*$Y$595</f>
        <v>0</v>
      </c>
      <c r="AF595" s="4">
        <f ca="1">$M$595*$Z$595</f>
        <v>3313.5026984797114</v>
      </c>
      <c r="AG595" s="4">
        <f>$O$595*$AA$595</f>
        <v>1526.8325858543053</v>
      </c>
    </row>
    <row r="596" spans="1:33" ht="11.25" customHeight="1" x14ac:dyDescent="0.3">
      <c r="A596" s="3" t="s">
        <v>21</v>
      </c>
      <c r="B596" s="3" t="s">
        <v>37</v>
      </c>
      <c r="C596" s="3" t="s">
        <v>23</v>
      </c>
      <c r="D596" s="3" t="s">
        <v>50</v>
      </c>
      <c r="E596" s="3" t="s">
        <v>25</v>
      </c>
      <c r="F596" s="3" t="s">
        <v>25</v>
      </c>
      <c r="G596" s="3" t="s">
        <v>25</v>
      </c>
      <c r="H596" s="3" t="s">
        <v>25</v>
      </c>
      <c r="I596" s="6">
        <v>44562</v>
      </c>
      <c r="J596" s="4">
        <v>0</v>
      </c>
      <c r="K596" s="4">
        <v>0</v>
      </c>
      <c r="L596" s="4">
        <v>8.8239999999999998</v>
      </c>
      <c r="M596" s="4">
        <v>8.8239999999999998</v>
      </c>
      <c r="N596" s="4">
        <v>8.8239999999999998</v>
      </c>
      <c r="O596" s="4">
        <v>8.8239999999999998</v>
      </c>
      <c r="P596" s="4">
        <v>16</v>
      </c>
      <c r="Q596" s="3" t="s">
        <v>26</v>
      </c>
      <c r="R596" s="3">
        <v>0</v>
      </c>
      <c r="S596" s="4">
        <v>0</v>
      </c>
      <c r="T596" s="4">
        <v>47</v>
      </c>
      <c r="U596" s="4">
        <v>87</v>
      </c>
      <c r="V596" s="4">
        <f>IF(ISERROR(VLOOKUP($S$596,'TAR FIN'!$A$1:$O$91,15,0)),0,VLOOKUP($S$596,'TAR FIN'!$A$1:$O$91,15,0))</f>
        <v>0</v>
      </c>
      <c r="W596" s="4">
        <f>IF(ISERROR(VLOOKUP($T$596,'TAR FIN'!$A$1:$O$91,15,0)),0,VLOOKUP($T$596,'TAR FIN'!$A$1:$O$91,15,0))</f>
        <v>406.52</v>
      </c>
      <c r="X596" s="4">
        <f>IF(ISERROR(VLOOKUP($U$596,'TAR FIN'!$A$1:$O$91,15,0)),0,VLOOKUP($U$596,'TAR FIN'!$A$1:$O$91,15,0))</f>
        <v>199.03</v>
      </c>
      <c r="Y596" s="4"/>
      <c r="Z596" s="4">
        <f ca="1">('TUSD BE'!$AM$51+'TUSD BF'!$AM$51+'TUSD CVA'!$AM$51)*1</f>
        <v>446.02270810064761</v>
      </c>
      <c r="AA596" s="4">
        <f>('TE BE'!$AB$42+'TE BF'!$AB$42+'TE CVA'!$AB$42)*1</f>
        <v>205.52329867469447</v>
      </c>
      <c r="AB596" s="4">
        <f>$K$596*$V$596</f>
        <v>0</v>
      </c>
      <c r="AC596" s="4">
        <f>$M$596*$W$596</f>
        <v>3587.1324799999998</v>
      </c>
      <c r="AD596" s="4">
        <f>$O$596*$X$596</f>
        <v>1756.24072</v>
      </c>
      <c r="AE596" s="4">
        <f>$K$596*$Y$596</f>
        <v>0</v>
      </c>
      <c r="AF596" s="4">
        <f ca="1">$M$596*$Z$596</f>
        <v>3935.7043762801145</v>
      </c>
      <c r="AG596" s="4">
        <f>$O$596*$AA$596</f>
        <v>1813.537587505504</v>
      </c>
    </row>
    <row r="597" spans="1:33" ht="11.25" customHeight="1" x14ac:dyDescent="0.3">
      <c r="A597" s="3" t="s">
        <v>21</v>
      </c>
      <c r="B597" s="3" t="s">
        <v>37</v>
      </c>
      <c r="C597" s="3" t="s">
        <v>23</v>
      </c>
      <c r="D597" s="3" t="s">
        <v>50</v>
      </c>
      <c r="E597" s="3" t="s">
        <v>25</v>
      </c>
      <c r="F597" s="3" t="s">
        <v>25</v>
      </c>
      <c r="G597" s="3" t="s">
        <v>25</v>
      </c>
      <c r="H597" s="3" t="s">
        <v>25</v>
      </c>
      <c r="I597" s="6">
        <v>44593</v>
      </c>
      <c r="J597" s="4">
        <v>0</v>
      </c>
      <c r="K597" s="4">
        <v>0</v>
      </c>
      <c r="L597" s="4">
        <v>9.2780000000000005</v>
      </c>
      <c r="M597" s="4">
        <v>9.2780000000000005</v>
      </c>
      <c r="N597" s="4">
        <v>9.2780000000000005</v>
      </c>
      <c r="O597" s="4">
        <v>9.2780000000000005</v>
      </c>
      <c r="P597" s="4">
        <v>16</v>
      </c>
      <c r="Q597" s="3" t="s">
        <v>26</v>
      </c>
      <c r="R597" s="3">
        <v>0</v>
      </c>
      <c r="S597" s="4">
        <v>0</v>
      </c>
      <c r="T597" s="4">
        <v>47</v>
      </c>
      <c r="U597" s="4">
        <v>87</v>
      </c>
      <c r="V597" s="4">
        <f>IF(ISERROR(VLOOKUP($S$597,'TAR FIN'!$A$1:$O$91,15,0)),0,VLOOKUP($S$597,'TAR FIN'!$A$1:$O$91,15,0))</f>
        <v>0</v>
      </c>
      <c r="W597" s="4">
        <f>IF(ISERROR(VLOOKUP($T$597,'TAR FIN'!$A$1:$O$91,15,0)),0,VLOOKUP($T$597,'TAR FIN'!$A$1:$O$91,15,0))</f>
        <v>406.52</v>
      </c>
      <c r="X597" s="4">
        <f>IF(ISERROR(VLOOKUP($U$597,'TAR FIN'!$A$1:$O$91,15,0)),0,VLOOKUP($U$597,'TAR FIN'!$A$1:$O$91,15,0))</f>
        <v>199.03</v>
      </c>
      <c r="Y597" s="4"/>
      <c r="Z597" s="4">
        <f ca="1">('TUSD BE'!$AM$51+'TUSD BF'!$AM$51+'TUSD CVA'!$AM$51)*1</f>
        <v>446.02270810064761</v>
      </c>
      <c r="AA597" s="4">
        <f>('TE BE'!$AB$42+'TE BF'!$AB$42+'TE CVA'!$AB$42)*1</f>
        <v>205.52329867469447</v>
      </c>
      <c r="AB597" s="4">
        <f>$K$597*$V$597</f>
        <v>0</v>
      </c>
      <c r="AC597" s="4">
        <f>$M$597*$W$597</f>
        <v>3771.69256</v>
      </c>
      <c r="AD597" s="4">
        <f>$O$597*$X$597</f>
        <v>1846.6003400000002</v>
      </c>
      <c r="AE597" s="4">
        <f>$K$597*$Y$597</f>
        <v>0</v>
      </c>
      <c r="AF597" s="4">
        <f ca="1">$M$597*$Z$597</f>
        <v>4138.1986857578086</v>
      </c>
      <c r="AG597" s="4">
        <f>$O$597*$AA$597</f>
        <v>1906.8451651038154</v>
      </c>
    </row>
    <row r="598" spans="1:33" ht="11.25" customHeight="1" x14ac:dyDescent="0.3">
      <c r="A598" s="3" t="s">
        <v>21</v>
      </c>
      <c r="B598" s="3" t="s">
        <v>37</v>
      </c>
      <c r="C598" s="3" t="s">
        <v>23</v>
      </c>
      <c r="D598" s="3" t="s">
        <v>50</v>
      </c>
      <c r="E598" s="3" t="s">
        <v>25</v>
      </c>
      <c r="F598" s="3" t="s">
        <v>25</v>
      </c>
      <c r="G598" s="3" t="s">
        <v>25</v>
      </c>
      <c r="H598" s="3" t="s">
        <v>25</v>
      </c>
      <c r="I598" s="6">
        <v>44621</v>
      </c>
      <c r="J598" s="4">
        <v>0</v>
      </c>
      <c r="K598" s="4">
        <v>0</v>
      </c>
      <c r="L598" s="4">
        <v>7.883</v>
      </c>
      <c r="M598" s="4">
        <v>7.883</v>
      </c>
      <c r="N598" s="4">
        <v>7.883</v>
      </c>
      <c r="O598" s="4">
        <v>7.883</v>
      </c>
      <c r="P598" s="4">
        <v>16</v>
      </c>
      <c r="Q598" s="3" t="s">
        <v>26</v>
      </c>
      <c r="R598" s="3">
        <v>0</v>
      </c>
      <c r="S598" s="4">
        <v>0</v>
      </c>
      <c r="T598" s="4">
        <v>47</v>
      </c>
      <c r="U598" s="4">
        <v>87</v>
      </c>
      <c r="V598" s="4">
        <f>IF(ISERROR(VLOOKUP($S$598,'TAR FIN'!$A$1:$O$91,15,0)),0,VLOOKUP($S$598,'TAR FIN'!$A$1:$O$91,15,0))</f>
        <v>0</v>
      </c>
      <c r="W598" s="4">
        <f>IF(ISERROR(VLOOKUP($T$598,'TAR FIN'!$A$1:$O$91,15,0)),0,VLOOKUP($T$598,'TAR FIN'!$A$1:$O$91,15,0))</f>
        <v>406.52</v>
      </c>
      <c r="X598" s="4">
        <f>IF(ISERROR(VLOOKUP($U$598,'TAR FIN'!$A$1:$O$91,15,0)),0,VLOOKUP($U$598,'TAR FIN'!$A$1:$O$91,15,0))</f>
        <v>199.03</v>
      </c>
      <c r="Y598" s="4"/>
      <c r="Z598" s="4">
        <f ca="1">('TUSD BE'!$AM$51+'TUSD BF'!$AM$51+'TUSD CVA'!$AM$51)*1</f>
        <v>446.02270810064761</v>
      </c>
      <c r="AA598" s="4">
        <f>('TE BE'!$AB$42+'TE BF'!$AB$42+'TE CVA'!$AB$42)*1</f>
        <v>205.52329867469447</v>
      </c>
      <c r="AB598" s="4">
        <f>$K$598*$V$598</f>
        <v>0</v>
      </c>
      <c r="AC598" s="4">
        <f>$M$598*$W$598</f>
        <v>3204.5971599999998</v>
      </c>
      <c r="AD598" s="4">
        <f>$O$598*$X$598</f>
        <v>1568.9534900000001</v>
      </c>
      <c r="AE598" s="4">
        <f>$K$598*$Y$598</f>
        <v>0</v>
      </c>
      <c r="AF598" s="4">
        <f ca="1">$M$598*$Z$598</f>
        <v>3515.997007957405</v>
      </c>
      <c r="AG598" s="4">
        <f>$O$598*$AA$598</f>
        <v>1620.1401634526164</v>
      </c>
    </row>
    <row r="599" spans="1:33" ht="11.25" customHeight="1" x14ac:dyDescent="0.3">
      <c r="A599" s="3" t="s">
        <v>21</v>
      </c>
      <c r="B599" s="3" t="s">
        <v>37</v>
      </c>
      <c r="C599" s="3" t="s">
        <v>23</v>
      </c>
      <c r="D599" s="3" t="s">
        <v>50</v>
      </c>
      <c r="E599" s="3" t="s">
        <v>25</v>
      </c>
      <c r="F599" s="3" t="s">
        <v>25</v>
      </c>
      <c r="G599" s="3" t="s">
        <v>25</v>
      </c>
      <c r="H599" s="3" t="s">
        <v>25</v>
      </c>
      <c r="I599" s="6">
        <v>44652</v>
      </c>
      <c r="J599" s="4">
        <v>0</v>
      </c>
      <c r="K599" s="4">
        <v>0</v>
      </c>
      <c r="L599" s="4">
        <v>5.2270000000000003</v>
      </c>
      <c r="M599" s="4">
        <v>5.2270000000000003</v>
      </c>
      <c r="N599" s="4">
        <v>5.2270000000000003</v>
      </c>
      <c r="O599" s="4">
        <v>5.2270000000000003</v>
      </c>
      <c r="P599" s="4">
        <v>16</v>
      </c>
      <c r="Q599" s="3" t="s">
        <v>26</v>
      </c>
      <c r="R599" s="3">
        <v>0</v>
      </c>
      <c r="S599" s="4">
        <v>0</v>
      </c>
      <c r="T599" s="4">
        <v>47</v>
      </c>
      <c r="U599" s="4">
        <v>87</v>
      </c>
      <c r="V599" s="4">
        <f>IF(ISERROR(VLOOKUP($S$599,'TAR FIN'!$A$1:$O$91,15,0)),0,VLOOKUP($S$599,'TAR FIN'!$A$1:$O$91,15,0))</f>
        <v>0</v>
      </c>
      <c r="W599" s="4">
        <f>IF(ISERROR(VLOOKUP($T$599,'TAR FIN'!$A$1:$O$91,15,0)),0,VLOOKUP($T$599,'TAR FIN'!$A$1:$O$91,15,0))</f>
        <v>406.52</v>
      </c>
      <c r="X599" s="4">
        <f>IF(ISERROR(VLOOKUP($U$599,'TAR FIN'!$A$1:$O$91,15,0)),0,VLOOKUP($U$599,'TAR FIN'!$A$1:$O$91,15,0))</f>
        <v>199.03</v>
      </c>
      <c r="Y599" s="4"/>
      <c r="Z599" s="4">
        <f ca="1">('TUSD BE'!$AM$51+'TUSD BF'!$AM$51+'TUSD CVA'!$AM$51)*1</f>
        <v>446.02270810064761</v>
      </c>
      <c r="AA599" s="4">
        <f>('TE BE'!$AB$42+'TE BF'!$AB$42+'TE CVA'!$AB$42)*1</f>
        <v>205.52329867469447</v>
      </c>
      <c r="AB599" s="4">
        <f>$K$599*$V$599</f>
        <v>0</v>
      </c>
      <c r="AC599" s="4">
        <f>$M$599*$W$599</f>
        <v>2124.88004</v>
      </c>
      <c r="AD599" s="4">
        <f>$O$599*$X$599</f>
        <v>1040.3298100000002</v>
      </c>
      <c r="AE599" s="4">
        <f>$K$599*$Y$599</f>
        <v>0</v>
      </c>
      <c r="AF599" s="4">
        <f ca="1">$M$599*$Z$599</f>
        <v>2331.3606952420851</v>
      </c>
      <c r="AG599" s="4">
        <f>$O$599*$AA$599</f>
        <v>1074.2702821726282</v>
      </c>
    </row>
    <row r="600" spans="1:33" ht="11.25" customHeight="1" x14ac:dyDescent="0.3">
      <c r="A600" s="3" t="s">
        <v>21</v>
      </c>
      <c r="B600" s="3" t="s">
        <v>37</v>
      </c>
      <c r="C600" s="3" t="s">
        <v>23</v>
      </c>
      <c r="D600" s="3" t="s">
        <v>50</v>
      </c>
      <c r="E600" s="3" t="s">
        <v>25</v>
      </c>
      <c r="F600" s="3" t="s">
        <v>25</v>
      </c>
      <c r="G600" s="3" t="s">
        <v>25</v>
      </c>
      <c r="H600" s="3" t="s">
        <v>25</v>
      </c>
      <c r="I600" s="6">
        <v>44682</v>
      </c>
      <c r="J600" s="4">
        <v>0</v>
      </c>
      <c r="K600" s="4">
        <v>0</v>
      </c>
      <c r="L600" s="4">
        <v>5.6920000000000002</v>
      </c>
      <c r="M600" s="4">
        <v>5.6920000000000002</v>
      </c>
      <c r="N600" s="4">
        <v>5.6920000000000002</v>
      </c>
      <c r="O600" s="4">
        <v>5.6920000000000002</v>
      </c>
      <c r="P600" s="4">
        <v>17</v>
      </c>
      <c r="Q600" s="3" t="s">
        <v>26</v>
      </c>
      <c r="R600" s="3">
        <v>0</v>
      </c>
      <c r="S600" s="4">
        <v>0</v>
      </c>
      <c r="T600" s="4">
        <v>47</v>
      </c>
      <c r="U600" s="4">
        <v>87</v>
      </c>
      <c r="V600" s="4">
        <f>IF(ISERROR(VLOOKUP($S$600,'TAR FIN'!$A$1:$O$91,15,0)),0,VLOOKUP($S$600,'TAR FIN'!$A$1:$O$91,15,0))</f>
        <v>0</v>
      </c>
      <c r="W600" s="4">
        <f>IF(ISERROR(VLOOKUP($T$600,'TAR FIN'!$A$1:$O$91,15,0)),0,VLOOKUP($T$600,'TAR FIN'!$A$1:$O$91,15,0))</f>
        <v>406.52</v>
      </c>
      <c r="X600" s="4">
        <f>IF(ISERROR(VLOOKUP($U$600,'TAR FIN'!$A$1:$O$91,15,0)),0,VLOOKUP($U$600,'TAR FIN'!$A$1:$O$91,15,0))</f>
        <v>199.03</v>
      </c>
      <c r="Y600" s="4"/>
      <c r="Z600" s="4">
        <f ca="1">('TUSD BE'!$AM$51+'TUSD BF'!$AM$51+'TUSD CVA'!$AM$51)*1</f>
        <v>446.02270810064761</v>
      </c>
      <c r="AA600" s="4">
        <f>('TE BE'!$AB$42+'TE BF'!$AB$42+'TE CVA'!$AB$42)*1</f>
        <v>205.52329867469447</v>
      </c>
      <c r="AB600" s="4">
        <f>$K$600*$V$600</f>
        <v>0</v>
      </c>
      <c r="AC600" s="4">
        <f>$M$600*$W$600</f>
        <v>2313.9118399999998</v>
      </c>
      <c r="AD600" s="4">
        <f>$O$600*$X$600</f>
        <v>1132.8787600000001</v>
      </c>
      <c r="AE600" s="4">
        <f>$K$600*$Y$600</f>
        <v>0</v>
      </c>
      <c r="AF600" s="4">
        <f ca="1">$M$600*$Z$600</f>
        <v>2538.7612545088864</v>
      </c>
      <c r="AG600" s="4">
        <f>$O$600*$AA$600</f>
        <v>1169.8386160563609</v>
      </c>
    </row>
    <row r="601" spans="1:33" ht="11.25" customHeight="1" x14ac:dyDescent="0.3">
      <c r="A601" s="3" t="s">
        <v>21</v>
      </c>
      <c r="B601" s="3" t="s">
        <v>37</v>
      </c>
      <c r="C601" s="3" t="s">
        <v>23</v>
      </c>
      <c r="D601" s="3" t="s">
        <v>50</v>
      </c>
      <c r="E601" s="3" t="s">
        <v>25</v>
      </c>
      <c r="F601" s="3" t="s">
        <v>25</v>
      </c>
      <c r="G601" s="3" t="s">
        <v>25</v>
      </c>
      <c r="H601" s="3" t="s">
        <v>25</v>
      </c>
      <c r="I601" s="6">
        <v>44713</v>
      </c>
      <c r="J601" s="4">
        <v>0</v>
      </c>
      <c r="K601" s="4">
        <v>0</v>
      </c>
      <c r="L601" s="4">
        <v>6.0880000000000001</v>
      </c>
      <c r="M601" s="4">
        <v>6.0880000000000001</v>
      </c>
      <c r="N601" s="4">
        <v>6.0880000000000001</v>
      </c>
      <c r="O601" s="4">
        <v>6.0880000000000001</v>
      </c>
      <c r="P601" s="4">
        <v>17</v>
      </c>
      <c r="Q601" s="3" t="s">
        <v>26</v>
      </c>
      <c r="R601" s="3">
        <v>0</v>
      </c>
      <c r="S601" s="4">
        <v>0</v>
      </c>
      <c r="T601" s="4">
        <v>47</v>
      </c>
      <c r="U601" s="4">
        <v>87</v>
      </c>
      <c r="V601" s="4">
        <f>IF(ISERROR(VLOOKUP($S$601,'TAR FIN'!$A$1:$O$91,15,0)),0,VLOOKUP($S$601,'TAR FIN'!$A$1:$O$91,15,0))</f>
        <v>0</v>
      </c>
      <c r="W601" s="4">
        <f>IF(ISERROR(VLOOKUP($T$601,'TAR FIN'!$A$1:$O$91,15,0)),0,VLOOKUP($T$601,'TAR FIN'!$A$1:$O$91,15,0))</f>
        <v>406.52</v>
      </c>
      <c r="X601" s="4">
        <f>IF(ISERROR(VLOOKUP($U$601,'TAR FIN'!$A$1:$O$91,15,0)),0,VLOOKUP($U$601,'TAR FIN'!$A$1:$O$91,15,0))</f>
        <v>199.03</v>
      </c>
      <c r="Y601" s="4"/>
      <c r="Z601" s="4">
        <f ca="1">('TUSD BE'!$AM$51+'TUSD BF'!$AM$51+'TUSD CVA'!$AM$51)*1</f>
        <v>446.02270810064761</v>
      </c>
      <c r="AA601" s="4">
        <f>('TE BE'!$AB$42+'TE BF'!$AB$42+'TE CVA'!$AB$42)*1</f>
        <v>205.52329867469447</v>
      </c>
      <c r="AB601" s="4">
        <f>$K$601*$V$601</f>
        <v>0</v>
      </c>
      <c r="AC601" s="4">
        <f>$M$601*$W$601</f>
        <v>2474.8937599999999</v>
      </c>
      <c r="AD601" s="4">
        <f>$O$601*$X$601</f>
        <v>1211.6946399999999</v>
      </c>
      <c r="AE601" s="4">
        <f>$K$601*$Y$601</f>
        <v>0</v>
      </c>
      <c r="AF601" s="4">
        <f ca="1">$M$601*$Z$601</f>
        <v>2715.3862469167425</v>
      </c>
      <c r="AG601" s="4">
        <f>$O$601*$AA$601</f>
        <v>1251.22584233154</v>
      </c>
    </row>
    <row r="602" spans="1:33" ht="11.25" customHeight="1" x14ac:dyDescent="0.3">
      <c r="A602" s="3" t="s">
        <v>21</v>
      </c>
      <c r="B602" s="3" t="s">
        <v>37</v>
      </c>
      <c r="C602" s="3" t="s">
        <v>23</v>
      </c>
      <c r="D602" s="3" t="s">
        <v>38</v>
      </c>
      <c r="E602" s="3" t="s">
        <v>25</v>
      </c>
      <c r="F602" s="3" t="s">
        <v>25</v>
      </c>
      <c r="G602" s="3" t="s">
        <v>25</v>
      </c>
      <c r="H602" s="3" t="s">
        <v>25</v>
      </c>
      <c r="I602" s="6">
        <v>44378</v>
      </c>
      <c r="J602" s="4">
        <v>0</v>
      </c>
      <c r="K602" s="4">
        <v>0</v>
      </c>
      <c r="L602" s="4">
        <v>59.738</v>
      </c>
      <c r="M602" s="4">
        <v>59.738</v>
      </c>
      <c r="N602" s="4">
        <v>59.738</v>
      </c>
      <c r="O602" s="4">
        <v>59.738</v>
      </c>
      <c r="P602" s="4">
        <v>49</v>
      </c>
      <c r="Q602" s="3" t="s">
        <v>26</v>
      </c>
      <c r="R602" s="3">
        <v>0</v>
      </c>
      <c r="S602" s="4">
        <v>0</v>
      </c>
      <c r="T602" s="4">
        <v>47</v>
      </c>
      <c r="U602" s="4">
        <v>87</v>
      </c>
      <c r="V602" s="4">
        <f>IF(ISERROR(VLOOKUP($S$602,'TAR FIN'!$A$1:$O$91,15,0)),0,VLOOKUP($S$602,'TAR FIN'!$A$1:$O$91,15,0))</f>
        <v>0</v>
      </c>
      <c r="W602" s="4">
        <f>IF(ISERROR(VLOOKUP($T$602,'TAR FIN'!$A$1:$O$91,15,0)),0,VLOOKUP($T$602,'TAR FIN'!$A$1:$O$91,15,0))</f>
        <v>406.52</v>
      </c>
      <c r="X602" s="4">
        <f>IF(ISERROR(VLOOKUP($U$602,'TAR FIN'!$A$1:$O$91,15,0)),0,VLOOKUP($U$602,'TAR FIN'!$A$1:$O$91,15,0))</f>
        <v>199.03</v>
      </c>
      <c r="Y602" s="4"/>
      <c r="Z602" s="4">
        <f ca="1">('TUSD BE'!$AM$51+'TUSD BF'!$AM$51+'TUSD CVA'!$AM$51)*1</f>
        <v>446.02270810064761</v>
      </c>
      <c r="AA602" s="4">
        <f>('TE BE'!$AB$42+'TE BF'!$AB$42+'TE CVA'!$AB$42)*1</f>
        <v>205.52329867469447</v>
      </c>
      <c r="AB602" s="4">
        <f>$K$602*$V$602</f>
        <v>0</v>
      </c>
      <c r="AC602" s="4">
        <f>$M$602*$W$602</f>
        <v>24284.691759999998</v>
      </c>
      <c r="AD602" s="4">
        <f>$O$602*$X$602</f>
        <v>11889.654140000001</v>
      </c>
      <c r="AE602" s="4">
        <f>$K$602*$Y$602</f>
        <v>0</v>
      </c>
      <c r="AF602" s="4">
        <f ca="1">$M$602*$Z$602</f>
        <v>26644.504536516488</v>
      </c>
      <c r="AG602" s="4">
        <f>$O$602*$AA$602</f>
        <v>12277.550816228899</v>
      </c>
    </row>
    <row r="603" spans="1:33" ht="11.25" customHeight="1" x14ac:dyDescent="0.3">
      <c r="A603" s="3" t="s">
        <v>27</v>
      </c>
      <c r="B603" s="3" t="s">
        <v>37</v>
      </c>
      <c r="C603" s="3" t="s">
        <v>23</v>
      </c>
      <c r="D603" s="3" t="s">
        <v>38</v>
      </c>
      <c r="E603" s="3" t="s">
        <v>25</v>
      </c>
      <c r="F603" s="3" t="s">
        <v>25</v>
      </c>
      <c r="G603" s="3" t="s">
        <v>25</v>
      </c>
      <c r="H603" s="3" t="s">
        <v>25</v>
      </c>
      <c r="I603" s="6">
        <v>44378</v>
      </c>
      <c r="J603" s="4">
        <v>0</v>
      </c>
      <c r="K603" s="4">
        <v>0</v>
      </c>
      <c r="L603" s="4">
        <v>0.64900000000000002</v>
      </c>
      <c r="M603" s="4">
        <v>0.64900000000000002</v>
      </c>
      <c r="N603" s="4">
        <v>0.64900000000000002</v>
      </c>
      <c r="O603" s="4">
        <v>0.64900000000000002</v>
      </c>
      <c r="P603" s="4">
        <v>0</v>
      </c>
      <c r="Q603" s="3" t="s">
        <v>26</v>
      </c>
      <c r="R603" s="3">
        <v>0</v>
      </c>
      <c r="S603" s="4">
        <v>0</v>
      </c>
      <c r="T603" s="4">
        <v>47</v>
      </c>
      <c r="U603" s="4">
        <v>87</v>
      </c>
      <c r="V603" s="4">
        <f>IF(ISERROR(VLOOKUP($S$603,'TAR FIN'!$A$1:$O$91,15,0)),0,VLOOKUP($S$603,'TAR FIN'!$A$1:$O$91,15,0))</f>
        <v>0</v>
      </c>
      <c r="W603" s="4">
        <f>IF(ISERROR(VLOOKUP($T$603,'TAR FIN'!$A$1:$O$91,15,0)),0,VLOOKUP($T$603,'TAR FIN'!$A$1:$O$91,15,0))</f>
        <v>406.52</v>
      </c>
      <c r="X603" s="4">
        <f>IF(ISERROR(VLOOKUP($U$603,'TAR FIN'!$A$1:$O$91,15,0)),0,VLOOKUP($U$603,'TAR FIN'!$A$1:$O$91,15,0))</f>
        <v>199.03</v>
      </c>
      <c r="Y603" s="4"/>
      <c r="Z603" s="4">
        <f ca="1">('TUSD BE'!$AM$51+'TUSD BF'!$AM$51+'TUSD CVA'!$AM$51)*1</f>
        <v>446.02270810064761</v>
      </c>
      <c r="AA603" s="4">
        <f>('TE BE'!$AB$42+'TE BF'!$AB$42+'TE CVA'!$AB$42)*1</f>
        <v>205.52329867469447</v>
      </c>
      <c r="AB603" s="4">
        <f>$K$603*$V$603</f>
        <v>0</v>
      </c>
      <c r="AC603" s="4">
        <f>$M$603*$W$603</f>
        <v>263.83148</v>
      </c>
      <c r="AD603" s="4">
        <f>$O$603*$X$603</f>
        <v>129.17046999999999</v>
      </c>
      <c r="AE603" s="4">
        <f>$K$603*$Y$603</f>
        <v>0</v>
      </c>
      <c r="AF603" s="4">
        <f ca="1">$M$603*$Z$603</f>
        <v>289.46873755732031</v>
      </c>
      <c r="AG603" s="4">
        <f>$O$603*$AA$603</f>
        <v>133.38462083987673</v>
      </c>
    </row>
    <row r="604" spans="1:33" ht="11.25" customHeight="1" x14ac:dyDescent="0.3">
      <c r="A604" s="3" t="s">
        <v>28</v>
      </c>
      <c r="B604" s="3" t="s">
        <v>37</v>
      </c>
      <c r="C604" s="3" t="s">
        <v>23</v>
      </c>
      <c r="D604" s="3" t="s">
        <v>38</v>
      </c>
      <c r="E604" s="3" t="s">
        <v>25</v>
      </c>
      <c r="F604" s="3" t="s">
        <v>25</v>
      </c>
      <c r="G604" s="3" t="s">
        <v>25</v>
      </c>
      <c r="H604" s="3" t="s">
        <v>25</v>
      </c>
      <c r="I604" s="6">
        <v>44378</v>
      </c>
      <c r="J604" s="4">
        <v>0</v>
      </c>
      <c r="K604" s="4">
        <v>0</v>
      </c>
      <c r="L604" s="4">
        <v>6.319</v>
      </c>
      <c r="M604" s="4">
        <v>6.319</v>
      </c>
      <c r="N604" s="4">
        <v>6.319</v>
      </c>
      <c r="O604" s="4">
        <v>6.319</v>
      </c>
      <c r="P604" s="4">
        <v>5</v>
      </c>
      <c r="Q604" s="3" t="s">
        <v>26</v>
      </c>
      <c r="R604" s="3">
        <v>0</v>
      </c>
      <c r="S604" s="4">
        <v>0</v>
      </c>
      <c r="T604" s="4">
        <v>47</v>
      </c>
      <c r="U604" s="4">
        <v>87</v>
      </c>
      <c r="V604" s="4">
        <f>IF(ISERROR(VLOOKUP($S$604,'TAR FIN'!$A$1:$O$91,15,0)),0,VLOOKUP($S$604,'TAR FIN'!$A$1:$O$91,15,0))</f>
        <v>0</v>
      </c>
      <c r="W604" s="4">
        <f>IF(ISERROR(VLOOKUP($T$604,'TAR FIN'!$A$1:$O$91,15,0)),0,VLOOKUP($T$604,'TAR FIN'!$A$1:$O$91,15,0))</f>
        <v>406.52</v>
      </c>
      <c r="X604" s="4">
        <f>IF(ISERROR(VLOOKUP($U$604,'TAR FIN'!$A$1:$O$91,15,0)),0,VLOOKUP($U$604,'TAR FIN'!$A$1:$O$91,15,0))</f>
        <v>199.03</v>
      </c>
      <c r="Y604" s="4"/>
      <c r="Z604" s="4">
        <f ca="1">('TUSD BE'!$AM$51+'TUSD BF'!$AM$51+'TUSD CVA'!$AM$51)*1</f>
        <v>446.02270810064761</v>
      </c>
      <c r="AA604" s="4">
        <f>('TE BE'!$AB$42+'TE BF'!$AB$42+'TE CVA'!$AB$42)*1</f>
        <v>205.52329867469447</v>
      </c>
      <c r="AB604" s="4">
        <f>$K$604*$V$604</f>
        <v>0</v>
      </c>
      <c r="AC604" s="4">
        <f>$M$604*$W$604</f>
        <v>2568.79988</v>
      </c>
      <c r="AD604" s="4">
        <f>$O$604*$X$604</f>
        <v>1257.67057</v>
      </c>
      <c r="AE604" s="4">
        <f>$K$604*$Y$604</f>
        <v>0</v>
      </c>
      <c r="AF604" s="4">
        <f ca="1">$M$604*$Z$604</f>
        <v>2818.4174924879921</v>
      </c>
      <c r="AG604" s="4">
        <f>$O$604*$AA$604</f>
        <v>1298.7017243253943</v>
      </c>
    </row>
    <row r="605" spans="1:33" ht="11.25" customHeight="1" x14ac:dyDescent="0.3">
      <c r="A605" s="3" t="s">
        <v>21</v>
      </c>
      <c r="B605" s="3" t="s">
        <v>37</v>
      </c>
      <c r="C605" s="3" t="s">
        <v>23</v>
      </c>
      <c r="D605" s="3" t="s">
        <v>38</v>
      </c>
      <c r="E605" s="3" t="s">
        <v>25</v>
      </c>
      <c r="F605" s="3" t="s">
        <v>25</v>
      </c>
      <c r="G605" s="3" t="s">
        <v>25</v>
      </c>
      <c r="H605" s="3" t="s">
        <v>25</v>
      </c>
      <c r="I605" s="6">
        <v>44409</v>
      </c>
      <c r="J605" s="4">
        <v>0</v>
      </c>
      <c r="K605" s="4">
        <v>0</v>
      </c>
      <c r="L605" s="4">
        <v>68.061999999999998</v>
      </c>
      <c r="M605" s="4">
        <v>68.061999999999998</v>
      </c>
      <c r="N605" s="4">
        <v>68.061999999999998</v>
      </c>
      <c r="O605" s="4">
        <v>68.061999999999998</v>
      </c>
      <c r="P605" s="4">
        <v>49</v>
      </c>
      <c r="Q605" s="3" t="s">
        <v>26</v>
      </c>
      <c r="R605" s="3">
        <v>0</v>
      </c>
      <c r="S605" s="4">
        <v>0</v>
      </c>
      <c r="T605" s="4">
        <v>47</v>
      </c>
      <c r="U605" s="4">
        <v>87</v>
      </c>
      <c r="V605" s="4">
        <f>IF(ISERROR(VLOOKUP($S$605,'TAR FIN'!$A$1:$O$91,15,0)),0,VLOOKUP($S$605,'TAR FIN'!$A$1:$O$91,15,0))</f>
        <v>0</v>
      </c>
      <c r="W605" s="4">
        <f>IF(ISERROR(VLOOKUP($T$605,'TAR FIN'!$A$1:$O$91,15,0)),0,VLOOKUP($T$605,'TAR FIN'!$A$1:$O$91,15,0))</f>
        <v>406.52</v>
      </c>
      <c r="X605" s="4">
        <f>IF(ISERROR(VLOOKUP($U$605,'TAR FIN'!$A$1:$O$91,15,0)),0,VLOOKUP($U$605,'TAR FIN'!$A$1:$O$91,15,0))</f>
        <v>199.03</v>
      </c>
      <c r="Y605" s="4"/>
      <c r="Z605" s="4">
        <f ca="1">('TUSD BE'!$AM$51+'TUSD BF'!$AM$51+'TUSD CVA'!$AM$51)*1</f>
        <v>446.02270810064761</v>
      </c>
      <c r="AA605" s="4">
        <f>('TE BE'!$AB$42+'TE BF'!$AB$42+'TE CVA'!$AB$42)*1</f>
        <v>205.52329867469447</v>
      </c>
      <c r="AB605" s="4">
        <f>$K$605*$V$605</f>
        <v>0</v>
      </c>
      <c r="AC605" s="4">
        <f>$M$605*$W$605</f>
        <v>27668.564239999996</v>
      </c>
      <c r="AD605" s="4">
        <f>$O$605*$X$605</f>
        <v>13546.379859999999</v>
      </c>
      <c r="AE605" s="4">
        <f>$K$605*$Y$605</f>
        <v>0</v>
      </c>
      <c r="AF605" s="4">
        <f ca="1">$M$605*$Z$605</f>
        <v>30357.197558746277</v>
      </c>
      <c r="AG605" s="4">
        <f>$O$605*$AA$605</f>
        <v>13988.326754397054</v>
      </c>
    </row>
    <row r="606" spans="1:33" ht="11.25" customHeight="1" x14ac:dyDescent="0.3">
      <c r="A606" s="3" t="s">
        <v>28</v>
      </c>
      <c r="B606" s="3" t="s">
        <v>37</v>
      </c>
      <c r="C606" s="3" t="s">
        <v>23</v>
      </c>
      <c r="D606" s="3" t="s">
        <v>38</v>
      </c>
      <c r="E606" s="3" t="s">
        <v>25</v>
      </c>
      <c r="F606" s="3" t="s">
        <v>25</v>
      </c>
      <c r="G606" s="3" t="s">
        <v>25</v>
      </c>
      <c r="H606" s="3" t="s">
        <v>25</v>
      </c>
      <c r="I606" s="6">
        <v>44409</v>
      </c>
      <c r="J606" s="4">
        <v>0</v>
      </c>
      <c r="K606" s="4">
        <v>0</v>
      </c>
      <c r="L606" s="4">
        <v>3.5510000000000002</v>
      </c>
      <c r="M606" s="4">
        <v>3.5510000000000002</v>
      </c>
      <c r="N606" s="4">
        <v>3.5510000000000002</v>
      </c>
      <c r="O606" s="4">
        <v>3.5510000000000002</v>
      </c>
      <c r="P606" s="4">
        <v>5</v>
      </c>
      <c r="Q606" s="3" t="s">
        <v>26</v>
      </c>
      <c r="R606" s="3">
        <v>0</v>
      </c>
      <c r="S606" s="4">
        <v>0</v>
      </c>
      <c r="T606" s="4">
        <v>47</v>
      </c>
      <c r="U606" s="4">
        <v>87</v>
      </c>
      <c r="V606" s="4">
        <f>IF(ISERROR(VLOOKUP($S$606,'TAR FIN'!$A$1:$O$91,15,0)),0,VLOOKUP($S$606,'TAR FIN'!$A$1:$O$91,15,0))</f>
        <v>0</v>
      </c>
      <c r="W606" s="4">
        <f>IF(ISERROR(VLOOKUP($T$606,'TAR FIN'!$A$1:$O$91,15,0)),0,VLOOKUP($T$606,'TAR FIN'!$A$1:$O$91,15,0))</f>
        <v>406.52</v>
      </c>
      <c r="X606" s="4">
        <f>IF(ISERROR(VLOOKUP($U$606,'TAR FIN'!$A$1:$O$91,15,0)),0,VLOOKUP($U$606,'TAR FIN'!$A$1:$O$91,15,0))</f>
        <v>199.03</v>
      </c>
      <c r="Y606" s="4"/>
      <c r="Z606" s="4">
        <f ca="1">('TUSD BE'!$AM$51+'TUSD BF'!$AM$51+'TUSD CVA'!$AM$51)*1</f>
        <v>446.02270810064761</v>
      </c>
      <c r="AA606" s="4">
        <f>('TE BE'!$AB$42+'TE BF'!$AB$42+'TE CVA'!$AB$42)*1</f>
        <v>205.52329867469447</v>
      </c>
      <c r="AB606" s="4">
        <f>$K$606*$V$606</f>
        <v>0</v>
      </c>
      <c r="AC606" s="4">
        <f>$M$606*$W$606</f>
        <v>1443.55252</v>
      </c>
      <c r="AD606" s="4">
        <f>$O$606*$X$606</f>
        <v>706.75553000000002</v>
      </c>
      <c r="AE606" s="4">
        <f>$K$606*$Y$606</f>
        <v>0</v>
      </c>
      <c r="AF606" s="4">
        <f ca="1">$M$606*$Z$606</f>
        <v>1583.8266364653998</v>
      </c>
      <c r="AG606" s="4">
        <f>$O$606*$AA$606</f>
        <v>729.8132335938401</v>
      </c>
    </row>
    <row r="607" spans="1:33" ht="11.25" customHeight="1" x14ac:dyDescent="0.3">
      <c r="A607" s="3" t="s">
        <v>21</v>
      </c>
      <c r="B607" s="3" t="s">
        <v>37</v>
      </c>
      <c r="C607" s="3" t="s">
        <v>23</v>
      </c>
      <c r="D607" s="3" t="s">
        <v>38</v>
      </c>
      <c r="E607" s="3" t="s">
        <v>25</v>
      </c>
      <c r="F607" s="3" t="s">
        <v>25</v>
      </c>
      <c r="G607" s="3" t="s">
        <v>25</v>
      </c>
      <c r="H607" s="3" t="s">
        <v>25</v>
      </c>
      <c r="I607" s="6">
        <v>44440</v>
      </c>
      <c r="J607" s="4">
        <v>0</v>
      </c>
      <c r="K607" s="4">
        <v>0</v>
      </c>
      <c r="L607" s="4">
        <v>71.777000000000001</v>
      </c>
      <c r="M607" s="4">
        <v>71.777000000000001</v>
      </c>
      <c r="N607" s="4">
        <v>71.777000000000001</v>
      </c>
      <c r="O607" s="4">
        <v>71.777000000000001</v>
      </c>
      <c r="P607" s="4">
        <v>51</v>
      </c>
      <c r="Q607" s="3" t="s">
        <v>26</v>
      </c>
      <c r="R607" s="3">
        <v>0</v>
      </c>
      <c r="S607" s="4">
        <v>0</v>
      </c>
      <c r="T607" s="4">
        <v>47</v>
      </c>
      <c r="U607" s="4">
        <v>87</v>
      </c>
      <c r="V607" s="4">
        <f>IF(ISERROR(VLOOKUP($S$607,'TAR FIN'!$A$1:$O$91,15,0)),0,VLOOKUP($S$607,'TAR FIN'!$A$1:$O$91,15,0))</f>
        <v>0</v>
      </c>
      <c r="W607" s="4">
        <f>IF(ISERROR(VLOOKUP($T$607,'TAR FIN'!$A$1:$O$91,15,0)),0,VLOOKUP($T$607,'TAR FIN'!$A$1:$O$91,15,0))</f>
        <v>406.52</v>
      </c>
      <c r="X607" s="4">
        <f>IF(ISERROR(VLOOKUP($U$607,'TAR FIN'!$A$1:$O$91,15,0)),0,VLOOKUP($U$607,'TAR FIN'!$A$1:$O$91,15,0))</f>
        <v>199.03</v>
      </c>
      <c r="Y607" s="4"/>
      <c r="Z607" s="4">
        <f ca="1">('TUSD BE'!$AM$51+'TUSD BF'!$AM$51+'TUSD CVA'!$AM$51)*1</f>
        <v>446.02270810064761</v>
      </c>
      <c r="AA607" s="4">
        <f>('TE BE'!$AB$42+'TE BF'!$AB$42+'TE CVA'!$AB$42)*1</f>
        <v>205.52329867469447</v>
      </c>
      <c r="AB607" s="4">
        <f>$K$607*$V$607</f>
        <v>0</v>
      </c>
      <c r="AC607" s="4">
        <f>$M$607*$W$607</f>
        <v>29178.786039999999</v>
      </c>
      <c r="AD607" s="4">
        <f>$O$607*$X$607</f>
        <v>14285.776310000001</v>
      </c>
      <c r="AE607" s="4">
        <f>$K$607*$Y$607</f>
        <v>0</v>
      </c>
      <c r="AF607" s="4">
        <f ca="1">$M$607*$Z$607</f>
        <v>32014.171919340184</v>
      </c>
      <c r="AG607" s="4">
        <f>$O$607*$AA$607</f>
        <v>14751.845808973545</v>
      </c>
    </row>
    <row r="608" spans="1:33" ht="11.25" customHeight="1" x14ac:dyDescent="0.3">
      <c r="A608" s="3" t="s">
        <v>28</v>
      </c>
      <c r="B608" s="3" t="s">
        <v>37</v>
      </c>
      <c r="C608" s="3" t="s">
        <v>23</v>
      </c>
      <c r="D608" s="3" t="s">
        <v>38</v>
      </c>
      <c r="E608" s="3" t="s">
        <v>25</v>
      </c>
      <c r="F608" s="3" t="s">
        <v>25</v>
      </c>
      <c r="G608" s="3" t="s">
        <v>25</v>
      </c>
      <c r="H608" s="3" t="s">
        <v>25</v>
      </c>
      <c r="I608" s="6">
        <v>44440</v>
      </c>
      <c r="J608" s="4">
        <v>0</v>
      </c>
      <c r="K608" s="4">
        <v>0</v>
      </c>
      <c r="L608" s="4">
        <v>2.2349999999999999</v>
      </c>
      <c r="M608" s="4">
        <v>2.2349999999999999</v>
      </c>
      <c r="N608" s="4">
        <v>2.2349999999999999</v>
      </c>
      <c r="O608" s="4">
        <v>2.2349999999999999</v>
      </c>
      <c r="P608" s="4">
        <v>5</v>
      </c>
      <c r="Q608" s="3" t="s">
        <v>26</v>
      </c>
      <c r="R608" s="3">
        <v>0</v>
      </c>
      <c r="S608" s="4">
        <v>0</v>
      </c>
      <c r="T608" s="4">
        <v>47</v>
      </c>
      <c r="U608" s="4">
        <v>87</v>
      </c>
      <c r="V608" s="4">
        <f>IF(ISERROR(VLOOKUP($S$608,'TAR FIN'!$A$1:$O$91,15,0)),0,VLOOKUP($S$608,'TAR FIN'!$A$1:$O$91,15,0))</f>
        <v>0</v>
      </c>
      <c r="W608" s="4">
        <f>IF(ISERROR(VLOOKUP($T$608,'TAR FIN'!$A$1:$O$91,15,0)),0,VLOOKUP($T$608,'TAR FIN'!$A$1:$O$91,15,0))</f>
        <v>406.52</v>
      </c>
      <c r="X608" s="4">
        <f>IF(ISERROR(VLOOKUP($U$608,'TAR FIN'!$A$1:$O$91,15,0)),0,VLOOKUP($U$608,'TAR FIN'!$A$1:$O$91,15,0))</f>
        <v>199.03</v>
      </c>
      <c r="Y608" s="4"/>
      <c r="Z608" s="4">
        <f ca="1">('TUSD BE'!$AM$51+'TUSD BF'!$AM$51+'TUSD CVA'!$AM$51)*1</f>
        <v>446.02270810064761</v>
      </c>
      <c r="AA608" s="4">
        <f>('TE BE'!$AB$42+'TE BF'!$AB$42+'TE CVA'!$AB$42)*1</f>
        <v>205.52329867469447</v>
      </c>
      <c r="AB608" s="4">
        <f>$K$608*$V$608</f>
        <v>0</v>
      </c>
      <c r="AC608" s="4">
        <f>$M$608*$W$608</f>
        <v>908.57219999999995</v>
      </c>
      <c r="AD608" s="4">
        <f>$O$608*$X$608</f>
        <v>444.83204999999998</v>
      </c>
      <c r="AE608" s="4">
        <f>$K$608*$Y$608</f>
        <v>0</v>
      </c>
      <c r="AF608" s="4">
        <f ca="1">$M$608*$Z$608</f>
        <v>996.86075260494738</v>
      </c>
      <c r="AG608" s="4">
        <f>$O$608*$AA$608</f>
        <v>459.3445725379421</v>
      </c>
    </row>
    <row r="609" spans="1:33" ht="11.25" customHeight="1" x14ac:dyDescent="0.3">
      <c r="A609" s="3" t="s">
        <v>21</v>
      </c>
      <c r="B609" s="3" t="s">
        <v>37</v>
      </c>
      <c r="C609" s="3" t="s">
        <v>23</v>
      </c>
      <c r="D609" s="3" t="s">
        <v>38</v>
      </c>
      <c r="E609" s="3" t="s">
        <v>25</v>
      </c>
      <c r="F609" s="3" t="s">
        <v>25</v>
      </c>
      <c r="G609" s="3" t="s">
        <v>25</v>
      </c>
      <c r="H609" s="3" t="s">
        <v>25</v>
      </c>
      <c r="I609" s="6">
        <v>44470</v>
      </c>
      <c r="J609" s="4">
        <v>0</v>
      </c>
      <c r="K609" s="4">
        <v>0</v>
      </c>
      <c r="L609" s="4">
        <v>64.519000000000005</v>
      </c>
      <c r="M609" s="4">
        <v>64.519000000000005</v>
      </c>
      <c r="N609" s="4">
        <v>64.519000000000005</v>
      </c>
      <c r="O609" s="4">
        <v>64.519000000000005</v>
      </c>
      <c r="P609" s="4">
        <v>49</v>
      </c>
      <c r="Q609" s="3" t="s">
        <v>26</v>
      </c>
      <c r="R609" s="3">
        <v>0</v>
      </c>
      <c r="S609" s="4">
        <v>0</v>
      </c>
      <c r="T609" s="4">
        <v>47</v>
      </c>
      <c r="U609" s="4">
        <v>87</v>
      </c>
      <c r="V609" s="4">
        <f>IF(ISERROR(VLOOKUP($S$609,'TAR FIN'!$A$1:$O$91,15,0)),0,VLOOKUP($S$609,'TAR FIN'!$A$1:$O$91,15,0))</f>
        <v>0</v>
      </c>
      <c r="W609" s="4">
        <f>IF(ISERROR(VLOOKUP($T$609,'TAR FIN'!$A$1:$O$91,15,0)),0,VLOOKUP($T$609,'TAR FIN'!$A$1:$O$91,15,0))</f>
        <v>406.52</v>
      </c>
      <c r="X609" s="4">
        <f>IF(ISERROR(VLOOKUP($U$609,'TAR FIN'!$A$1:$O$91,15,0)),0,VLOOKUP($U$609,'TAR FIN'!$A$1:$O$91,15,0))</f>
        <v>199.03</v>
      </c>
      <c r="Y609" s="4"/>
      <c r="Z609" s="4">
        <f ca="1">('TUSD BE'!$AM$51+'TUSD BF'!$AM$51+'TUSD CVA'!$AM$51)*1</f>
        <v>446.02270810064761</v>
      </c>
      <c r="AA609" s="4">
        <f>('TE BE'!$AB$42+'TE BF'!$AB$42+'TE CVA'!$AB$42)*1</f>
        <v>205.52329867469447</v>
      </c>
      <c r="AB609" s="4">
        <f>$K$609*$V$609</f>
        <v>0</v>
      </c>
      <c r="AC609" s="4">
        <f>$M$609*$W$609</f>
        <v>26228.263880000002</v>
      </c>
      <c r="AD609" s="4">
        <f>$O$609*$X$609</f>
        <v>12841.216570000001</v>
      </c>
      <c r="AE609" s="4">
        <f>$K$609*$Y$609</f>
        <v>0</v>
      </c>
      <c r="AF609" s="4">
        <f ca="1">$M$609*$Z$609</f>
        <v>28776.939103945686</v>
      </c>
      <c r="AG609" s="4">
        <f>$O$609*$AA$609</f>
        <v>13260.157707192613</v>
      </c>
    </row>
    <row r="610" spans="1:33" ht="11.25" customHeight="1" x14ac:dyDescent="0.3">
      <c r="A610" s="3" t="s">
        <v>28</v>
      </c>
      <c r="B610" s="3" t="s">
        <v>37</v>
      </c>
      <c r="C610" s="3" t="s">
        <v>23</v>
      </c>
      <c r="D610" s="3" t="s">
        <v>38</v>
      </c>
      <c r="E610" s="3" t="s">
        <v>25</v>
      </c>
      <c r="F610" s="3" t="s">
        <v>25</v>
      </c>
      <c r="G610" s="3" t="s">
        <v>25</v>
      </c>
      <c r="H610" s="3" t="s">
        <v>25</v>
      </c>
      <c r="I610" s="6">
        <v>44470</v>
      </c>
      <c r="J610" s="4">
        <v>0</v>
      </c>
      <c r="K610" s="4">
        <v>0</v>
      </c>
      <c r="L610" s="4">
        <v>1.17</v>
      </c>
      <c r="M610" s="4">
        <v>1.17</v>
      </c>
      <c r="N610" s="4">
        <v>1.17</v>
      </c>
      <c r="O610" s="4">
        <v>1.17</v>
      </c>
      <c r="P610" s="4">
        <v>5</v>
      </c>
      <c r="Q610" s="3" t="s">
        <v>26</v>
      </c>
      <c r="R610" s="3">
        <v>0</v>
      </c>
      <c r="S610" s="4">
        <v>0</v>
      </c>
      <c r="T610" s="4">
        <v>47</v>
      </c>
      <c r="U610" s="4">
        <v>87</v>
      </c>
      <c r="V610" s="4">
        <f>IF(ISERROR(VLOOKUP($S$610,'TAR FIN'!$A$1:$O$91,15,0)),0,VLOOKUP($S$610,'TAR FIN'!$A$1:$O$91,15,0))</f>
        <v>0</v>
      </c>
      <c r="W610" s="4">
        <f>IF(ISERROR(VLOOKUP($T$610,'TAR FIN'!$A$1:$O$91,15,0)),0,VLOOKUP($T$610,'TAR FIN'!$A$1:$O$91,15,0))</f>
        <v>406.52</v>
      </c>
      <c r="X610" s="4">
        <f>IF(ISERROR(VLOOKUP($U$610,'TAR FIN'!$A$1:$O$91,15,0)),0,VLOOKUP($U$610,'TAR FIN'!$A$1:$O$91,15,0))</f>
        <v>199.03</v>
      </c>
      <c r="Y610" s="4"/>
      <c r="Z610" s="4">
        <f ca="1">('TUSD BE'!$AM$51+'TUSD BF'!$AM$51+'TUSD CVA'!$AM$51)*1</f>
        <v>446.02270810064761</v>
      </c>
      <c r="AA610" s="4">
        <f>('TE BE'!$AB$42+'TE BF'!$AB$42+'TE CVA'!$AB$42)*1</f>
        <v>205.52329867469447</v>
      </c>
      <c r="AB610" s="4">
        <f>$K$610*$V$610</f>
        <v>0</v>
      </c>
      <c r="AC610" s="4">
        <f>$M$610*$W$610</f>
        <v>475.62839999999994</v>
      </c>
      <c r="AD610" s="4">
        <f>$O$610*$X$610</f>
        <v>232.86509999999998</v>
      </c>
      <c r="AE610" s="4">
        <f>$K$610*$Y$610</f>
        <v>0</v>
      </c>
      <c r="AF610" s="4">
        <f ca="1">$M$610*$Z$610</f>
        <v>521.84656847775761</v>
      </c>
      <c r="AG610" s="4">
        <f>$O$610*$AA$610</f>
        <v>240.46225944939252</v>
      </c>
    </row>
    <row r="611" spans="1:33" ht="11.25" customHeight="1" x14ac:dyDescent="0.3">
      <c r="A611" s="3" t="s">
        <v>21</v>
      </c>
      <c r="B611" s="3" t="s">
        <v>37</v>
      </c>
      <c r="C611" s="3" t="s">
        <v>23</v>
      </c>
      <c r="D611" s="3" t="s">
        <v>38</v>
      </c>
      <c r="E611" s="3" t="s">
        <v>25</v>
      </c>
      <c r="F611" s="3" t="s">
        <v>25</v>
      </c>
      <c r="G611" s="3" t="s">
        <v>25</v>
      </c>
      <c r="H611" s="3" t="s">
        <v>25</v>
      </c>
      <c r="I611" s="6">
        <v>44501</v>
      </c>
      <c r="J611" s="4">
        <v>0</v>
      </c>
      <c r="K611" s="4">
        <v>0</v>
      </c>
      <c r="L611" s="4">
        <v>65.290999999999997</v>
      </c>
      <c r="M611" s="4">
        <v>65.290999999999997</v>
      </c>
      <c r="N611" s="4">
        <v>65.290999999999997</v>
      </c>
      <c r="O611" s="4">
        <v>65.290999999999997</v>
      </c>
      <c r="P611" s="4">
        <v>50</v>
      </c>
      <c r="Q611" s="3" t="s">
        <v>26</v>
      </c>
      <c r="R611" s="3">
        <v>0</v>
      </c>
      <c r="S611" s="4">
        <v>0</v>
      </c>
      <c r="T611" s="4">
        <v>47</v>
      </c>
      <c r="U611" s="4">
        <v>87</v>
      </c>
      <c r="V611" s="4">
        <f>IF(ISERROR(VLOOKUP($S$611,'TAR FIN'!$A$1:$O$91,15,0)),0,VLOOKUP($S$611,'TAR FIN'!$A$1:$O$91,15,0))</f>
        <v>0</v>
      </c>
      <c r="W611" s="4">
        <f>IF(ISERROR(VLOOKUP($T$611,'TAR FIN'!$A$1:$O$91,15,0)),0,VLOOKUP($T$611,'TAR FIN'!$A$1:$O$91,15,0))</f>
        <v>406.52</v>
      </c>
      <c r="X611" s="4">
        <f>IF(ISERROR(VLOOKUP($U$611,'TAR FIN'!$A$1:$O$91,15,0)),0,VLOOKUP($U$611,'TAR FIN'!$A$1:$O$91,15,0))</f>
        <v>199.03</v>
      </c>
      <c r="Y611" s="4"/>
      <c r="Z611" s="4">
        <f ca="1">('TUSD BE'!$AM$51+'TUSD BF'!$AM$51+'TUSD CVA'!$AM$51)*1</f>
        <v>446.02270810064761</v>
      </c>
      <c r="AA611" s="4">
        <f>('TE BE'!$AB$42+'TE BF'!$AB$42+'TE CVA'!$AB$42)*1</f>
        <v>205.52329867469447</v>
      </c>
      <c r="AB611" s="4">
        <f>$K$611*$V$611</f>
        <v>0</v>
      </c>
      <c r="AC611" s="4">
        <f>$M$611*$W$611</f>
        <v>26542.097319999997</v>
      </c>
      <c r="AD611" s="4">
        <f>$O$611*$X$611</f>
        <v>12994.86773</v>
      </c>
      <c r="AE611" s="4">
        <f>$K$611*$Y$611</f>
        <v>0</v>
      </c>
      <c r="AF611" s="4">
        <f ca="1">$M$611*$Z$611</f>
        <v>29121.268634599382</v>
      </c>
      <c r="AG611" s="4">
        <f>$O$611*$AA$611</f>
        <v>13418.821693769476</v>
      </c>
    </row>
    <row r="612" spans="1:33" ht="11.25" customHeight="1" x14ac:dyDescent="0.3">
      <c r="A612" s="3" t="s">
        <v>28</v>
      </c>
      <c r="B612" s="3" t="s">
        <v>37</v>
      </c>
      <c r="C612" s="3" t="s">
        <v>23</v>
      </c>
      <c r="D612" s="3" t="s">
        <v>38</v>
      </c>
      <c r="E612" s="3" t="s">
        <v>25</v>
      </c>
      <c r="F612" s="3" t="s">
        <v>25</v>
      </c>
      <c r="G612" s="3" t="s">
        <v>25</v>
      </c>
      <c r="H612" s="3" t="s">
        <v>25</v>
      </c>
      <c r="I612" s="6">
        <v>44501</v>
      </c>
      <c r="J612" s="4">
        <v>0</v>
      </c>
      <c r="K612" s="4">
        <v>0</v>
      </c>
      <c r="L612" s="4">
        <v>0.5</v>
      </c>
      <c r="M612" s="4">
        <v>0.5</v>
      </c>
      <c r="N612" s="4">
        <v>0.5</v>
      </c>
      <c r="O612" s="4">
        <v>0.5</v>
      </c>
      <c r="P612" s="4">
        <v>5</v>
      </c>
      <c r="Q612" s="3" t="s">
        <v>26</v>
      </c>
      <c r="R612" s="3">
        <v>0</v>
      </c>
      <c r="S612" s="4">
        <v>0</v>
      </c>
      <c r="T612" s="4">
        <v>47</v>
      </c>
      <c r="U612" s="4">
        <v>87</v>
      </c>
      <c r="V612" s="4">
        <f>IF(ISERROR(VLOOKUP($S$612,'TAR FIN'!$A$1:$O$91,15,0)),0,VLOOKUP($S$612,'TAR FIN'!$A$1:$O$91,15,0))</f>
        <v>0</v>
      </c>
      <c r="W612" s="4">
        <f>IF(ISERROR(VLOOKUP($T$612,'TAR FIN'!$A$1:$O$91,15,0)),0,VLOOKUP($T$612,'TAR FIN'!$A$1:$O$91,15,0))</f>
        <v>406.52</v>
      </c>
      <c r="X612" s="4">
        <f>IF(ISERROR(VLOOKUP($U$612,'TAR FIN'!$A$1:$O$91,15,0)),0,VLOOKUP($U$612,'TAR FIN'!$A$1:$O$91,15,0))</f>
        <v>199.03</v>
      </c>
      <c r="Y612" s="4"/>
      <c r="Z612" s="4">
        <f ca="1">('TUSD BE'!$AM$51+'TUSD BF'!$AM$51+'TUSD CVA'!$AM$51)*1</f>
        <v>446.02270810064761</v>
      </c>
      <c r="AA612" s="4">
        <f>('TE BE'!$AB$42+'TE BF'!$AB$42+'TE CVA'!$AB$42)*1</f>
        <v>205.52329867469447</v>
      </c>
      <c r="AB612" s="4">
        <f>$K$612*$V$612</f>
        <v>0</v>
      </c>
      <c r="AC612" s="4">
        <f>$M$612*$W$612</f>
        <v>203.26</v>
      </c>
      <c r="AD612" s="4">
        <f>$O$612*$X$612</f>
        <v>99.515000000000001</v>
      </c>
      <c r="AE612" s="4">
        <f>$K$612*$Y$612</f>
        <v>0</v>
      </c>
      <c r="AF612" s="4">
        <f ca="1">$M$612*$Z$612</f>
        <v>223.0113540503238</v>
      </c>
      <c r="AG612" s="4">
        <f>$O$612*$AA$612</f>
        <v>102.76164933734724</v>
      </c>
    </row>
    <row r="613" spans="1:33" ht="11.25" customHeight="1" x14ac:dyDescent="0.3">
      <c r="A613" s="3" t="s">
        <v>21</v>
      </c>
      <c r="B613" s="3" t="s">
        <v>37</v>
      </c>
      <c r="C613" s="3" t="s">
        <v>23</v>
      </c>
      <c r="D613" s="3" t="s">
        <v>38</v>
      </c>
      <c r="E613" s="3" t="s">
        <v>25</v>
      </c>
      <c r="F613" s="3" t="s">
        <v>25</v>
      </c>
      <c r="G613" s="3" t="s">
        <v>25</v>
      </c>
      <c r="H613" s="3" t="s">
        <v>25</v>
      </c>
      <c r="I613" s="6">
        <v>44531</v>
      </c>
      <c r="J613" s="4">
        <v>0</v>
      </c>
      <c r="K613" s="4">
        <v>0</v>
      </c>
      <c r="L613" s="4">
        <v>69.347999999999999</v>
      </c>
      <c r="M613" s="4">
        <v>69.347999999999999</v>
      </c>
      <c r="N613" s="4">
        <v>69.347999999999999</v>
      </c>
      <c r="O613" s="4">
        <v>69.347999999999999</v>
      </c>
      <c r="P613" s="4">
        <v>50</v>
      </c>
      <c r="Q613" s="3" t="s">
        <v>26</v>
      </c>
      <c r="R613" s="3">
        <v>0</v>
      </c>
      <c r="S613" s="4">
        <v>0</v>
      </c>
      <c r="T613" s="4">
        <v>47</v>
      </c>
      <c r="U613" s="4">
        <v>87</v>
      </c>
      <c r="V613" s="4">
        <f>IF(ISERROR(VLOOKUP($S$613,'TAR FIN'!$A$1:$O$91,15,0)),0,VLOOKUP($S$613,'TAR FIN'!$A$1:$O$91,15,0))</f>
        <v>0</v>
      </c>
      <c r="W613" s="4">
        <f>IF(ISERROR(VLOOKUP($T$613,'TAR FIN'!$A$1:$O$91,15,0)),0,VLOOKUP($T$613,'TAR FIN'!$A$1:$O$91,15,0))</f>
        <v>406.52</v>
      </c>
      <c r="X613" s="4">
        <f>IF(ISERROR(VLOOKUP($U$613,'TAR FIN'!$A$1:$O$91,15,0)),0,VLOOKUP($U$613,'TAR FIN'!$A$1:$O$91,15,0))</f>
        <v>199.03</v>
      </c>
      <c r="Y613" s="4"/>
      <c r="Z613" s="4">
        <f ca="1">('TUSD BE'!$AM$51+'TUSD BF'!$AM$51+'TUSD CVA'!$AM$51)*1</f>
        <v>446.02270810064761</v>
      </c>
      <c r="AA613" s="4">
        <f>('TE BE'!$AB$42+'TE BF'!$AB$42+'TE CVA'!$AB$42)*1</f>
        <v>205.52329867469447</v>
      </c>
      <c r="AB613" s="4">
        <f>$K$613*$V$613</f>
        <v>0</v>
      </c>
      <c r="AC613" s="4">
        <f>$M$613*$W$613</f>
        <v>28191.348959999999</v>
      </c>
      <c r="AD613" s="4">
        <f>$O$613*$X$613</f>
        <v>13802.33244</v>
      </c>
      <c r="AE613" s="4">
        <f>$K$613*$Y$613</f>
        <v>0</v>
      </c>
      <c r="AF613" s="4">
        <f ca="1">$M$613*$Z$613</f>
        <v>30930.782761363709</v>
      </c>
      <c r="AG613" s="4">
        <f>$O$613*$AA$613</f>
        <v>14252.629716492713</v>
      </c>
    </row>
    <row r="614" spans="1:33" ht="11.25" customHeight="1" x14ac:dyDescent="0.3">
      <c r="A614" s="3" t="s">
        <v>28</v>
      </c>
      <c r="B614" s="3" t="s">
        <v>37</v>
      </c>
      <c r="C614" s="3" t="s">
        <v>23</v>
      </c>
      <c r="D614" s="3" t="s">
        <v>38</v>
      </c>
      <c r="E614" s="3" t="s">
        <v>25</v>
      </c>
      <c r="F614" s="3" t="s">
        <v>25</v>
      </c>
      <c r="G614" s="3" t="s">
        <v>25</v>
      </c>
      <c r="H614" s="3" t="s">
        <v>25</v>
      </c>
      <c r="I614" s="6">
        <v>44531</v>
      </c>
      <c r="J614" s="4">
        <v>0</v>
      </c>
      <c r="K614" s="4">
        <v>0</v>
      </c>
      <c r="L614" s="4">
        <v>0.60899999999999999</v>
      </c>
      <c r="M614" s="4">
        <v>0.60899999999999999</v>
      </c>
      <c r="N614" s="4">
        <v>0.60899999999999999</v>
      </c>
      <c r="O614" s="4">
        <v>0.60899999999999999</v>
      </c>
      <c r="P614" s="4">
        <v>5</v>
      </c>
      <c r="Q614" s="3" t="s">
        <v>26</v>
      </c>
      <c r="R614" s="3">
        <v>0</v>
      </c>
      <c r="S614" s="4">
        <v>0</v>
      </c>
      <c r="T614" s="4">
        <v>47</v>
      </c>
      <c r="U614" s="4">
        <v>87</v>
      </c>
      <c r="V614" s="4">
        <f>IF(ISERROR(VLOOKUP($S$614,'TAR FIN'!$A$1:$O$91,15,0)),0,VLOOKUP($S$614,'TAR FIN'!$A$1:$O$91,15,0))</f>
        <v>0</v>
      </c>
      <c r="W614" s="4">
        <f>IF(ISERROR(VLOOKUP($T$614,'TAR FIN'!$A$1:$O$91,15,0)),0,VLOOKUP($T$614,'TAR FIN'!$A$1:$O$91,15,0))</f>
        <v>406.52</v>
      </c>
      <c r="X614" s="4">
        <f>IF(ISERROR(VLOOKUP($U$614,'TAR FIN'!$A$1:$O$91,15,0)),0,VLOOKUP($U$614,'TAR FIN'!$A$1:$O$91,15,0))</f>
        <v>199.03</v>
      </c>
      <c r="Y614" s="4"/>
      <c r="Z614" s="4">
        <f ca="1">('TUSD BE'!$AM$51+'TUSD BF'!$AM$51+'TUSD CVA'!$AM$51)*1</f>
        <v>446.02270810064761</v>
      </c>
      <c r="AA614" s="4">
        <f>('TE BE'!$AB$42+'TE BF'!$AB$42+'TE CVA'!$AB$42)*1</f>
        <v>205.52329867469447</v>
      </c>
      <c r="AB614" s="4">
        <f>$K$614*$V$614</f>
        <v>0</v>
      </c>
      <c r="AC614" s="4">
        <f>$M$614*$W$614</f>
        <v>247.57067999999998</v>
      </c>
      <c r="AD614" s="4">
        <f>$O$614*$X$614</f>
        <v>121.20927</v>
      </c>
      <c r="AE614" s="4">
        <f>$K$614*$Y$614</f>
        <v>0</v>
      </c>
      <c r="AF614" s="4">
        <f ca="1">$M$614*$Z$614</f>
        <v>271.62782923329439</v>
      </c>
      <c r="AG614" s="4">
        <f>$O$614*$AA$614</f>
        <v>125.16368889288893</v>
      </c>
    </row>
    <row r="615" spans="1:33" ht="11.25" customHeight="1" x14ac:dyDescent="0.3">
      <c r="A615" s="3" t="s">
        <v>21</v>
      </c>
      <c r="B615" s="3" t="s">
        <v>37</v>
      </c>
      <c r="C615" s="3" t="s">
        <v>23</v>
      </c>
      <c r="D615" s="3" t="s">
        <v>38</v>
      </c>
      <c r="E615" s="3" t="s">
        <v>25</v>
      </c>
      <c r="F615" s="3" t="s">
        <v>25</v>
      </c>
      <c r="G615" s="3" t="s">
        <v>25</v>
      </c>
      <c r="H615" s="3" t="s">
        <v>25</v>
      </c>
      <c r="I615" s="6">
        <v>44562</v>
      </c>
      <c r="J615" s="4">
        <v>0</v>
      </c>
      <c r="K615" s="4">
        <v>0</v>
      </c>
      <c r="L615" s="4">
        <v>52.695</v>
      </c>
      <c r="M615" s="4">
        <v>52.695</v>
      </c>
      <c r="N615" s="4">
        <v>52.695</v>
      </c>
      <c r="O615" s="4">
        <v>52.695</v>
      </c>
      <c r="P615" s="4">
        <v>49</v>
      </c>
      <c r="Q615" s="3" t="s">
        <v>26</v>
      </c>
      <c r="R615" s="3">
        <v>0</v>
      </c>
      <c r="S615" s="4">
        <v>0</v>
      </c>
      <c r="T615" s="4">
        <v>47</v>
      </c>
      <c r="U615" s="4">
        <v>87</v>
      </c>
      <c r="V615" s="4">
        <f>IF(ISERROR(VLOOKUP($S$615,'TAR FIN'!$A$1:$O$91,15,0)),0,VLOOKUP($S$615,'TAR FIN'!$A$1:$O$91,15,0))</f>
        <v>0</v>
      </c>
      <c r="W615" s="4">
        <f>IF(ISERROR(VLOOKUP($T$615,'TAR FIN'!$A$1:$O$91,15,0)),0,VLOOKUP($T$615,'TAR FIN'!$A$1:$O$91,15,0))</f>
        <v>406.52</v>
      </c>
      <c r="X615" s="4">
        <f>IF(ISERROR(VLOOKUP($U$615,'TAR FIN'!$A$1:$O$91,15,0)),0,VLOOKUP($U$615,'TAR FIN'!$A$1:$O$91,15,0))</f>
        <v>199.03</v>
      </c>
      <c r="Y615" s="4"/>
      <c r="Z615" s="4">
        <f ca="1">('TUSD BE'!$AM$51+'TUSD BF'!$AM$51+'TUSD CVA'!$AM$51)*1</f>
        <v>446.02270810064761</v>
      </c>
      <c r="AA615" s="4">
        <f>('TE BE'!$AB$42+'TE BF'!$AB$42+'TE CVA'!$AB$42)*1</f>
        <v>205.52329867469447</v>
      </c>
      <c r="AB615" s="4">
        <f>$K$615*$V$615</f>
        <v>0</v>
      </c>
      <c r="AC615" s="4">
        <f>$M$615*$W$615</f>
        <v>21421.571400000001</v>
      </c>
      <c r="AD615" s="4">
        <f>$O$615*$X$615</f>
        <v>10487.885850000001</v>
      </c>
      <c r="AE615" s="4">
        <f>$K$615*$Y$615</f>
        <v>0</v>
      </c>
      <c r="AF615" s="4">
        <f ca="1">$M$615*$Z$615</f>
        <v>23503.166603363625</v>
      </c>
      <c r="AG615" s="4">
        <f>$O$615*$AA$615</f>
        <v>10830.050223663025</v>
      </c>
    </row>
    <row r="616" spans="1:33" ht="11.25" customHeight="1" x14ac:dyDescent="0.3">
      <c r="A616" s="3" t="s">
        <v>28</v>
      </c>
      <c r="B616" s="3" t="s">
        <v>37</v>
      </c>
      <c r="C616" s="3" t="s">
        <v>23</v>
      </c>
      <c r="D616" s="3" t="s">
        <v>38</v>
      </c>
      <c r="E616" s="3" t="s">
        <v>25</v>
      </c>
      <c r="F616" s="3" t="s">
        <v>25</v>
      </c>
      <c r="G616" s="3" t="s">
        <v>25</v>
      </c>
      <c r="H616" s="3" t="s">
        <v>25</v>
      </c>
      <c r="I616" s="6">
        <v>44562</v>
      </c>
      <c r="J616" s="4">
        <v>0</v>
      </c>
      <c r="K616" s="4">
        <v>0</v>
      </c>
      <c r="L616" s="4">
        <v>2.3839999999999999</v>
      </c>
      <c r="M616" s="4">
        <v>2.3839999999999999</v>
      </c>
      <c r="N616" s="4">
        <v>2.3839999999999999</v>
      </c>
      <c r="O616" s="4">
        <v>2.3839999999999999</v>
      </c>
      <c r="P616" s="4">
        <v>6</v>
      </c>
      <c r="Q616" s="3" t="s">
        <v>26</v>
      </c>
      <c r="R616" s="3">
        <v>0</v>
      </c>
      <c r="S616" s="4">
        <v>0</v>
      </c>
      <c r="T616" s="4">
        <v>47</v>
      </c>
      <c r="U616" s="4">
        <v>87</v>
      </c>
      <c r="V616" s="4">
        <f>IF(ISERROR(VLOOKUP($S$616,'TAR FIN'!$A$1:$O$91,15,0)),0,VLOOKUP($S$616,'TAR FIN'!$A$1:$O$91,15,0))</f>
        <v>0</v>
      </c>
      <c r="W616" s="4">
        <f>IF(ISERROR(VLOOKUP($T$616,'TAR FIN'!$A$1:$O$91,15,0)),0,VLOOKUP($T$616,'TAR FIN'!$A$1:$O$91,15,0))</f>
        <v>406.52</v>
      </c>
      <c r="X616" s="4">
        <f>IF(ISERROR(VLOOKUP($U$616,'TAR FIN'!$A$1:$O$91,15,0)),0,VLOOKUP($U$616,'TAR FIN'!$A$1:$O$91,15,0))</f>
        <v>199.03</v>
      </c>
      <c r="Y616" s="4"/>
      <c r="Z616" s="4">
        <f ca="1">('TUSD BE'!$AM$51+'TUSD BF'!$AM$51+'TUSD CVA'!$AM$51)*1</f>
        <v>446.02270810064761</v>
      </c>
      <c r="AA616" s="4">
        <f>('TE BE'!$AB$42+'TE BF'!$AB$42+'TE CVA'!$AB$42)*1</f>
        <v>205.52329867469447</v>
      </c>
      <c r="AB616" s="4">
        <f>$K$616*$V$616</f>
        <v>0</v>
      </c>
      <c r="AC616" s="4">
        <f>$M$616*$W$616</f>
        <v>969.1436799999999</v>
      </c>
      <c r="AD616" s="4">
        <f>$O$616*$X$616</f>
        <v>474.48751999999996</v>
      </c>
      <c r="AE616" s="4">
        <f>$K$616*$Y$616</f>
        <v>0</v>
      </c>
      <c r="AF616" s="4">
        <f ca="1">$M$616*$Z$616</f>
        <v>1063.3181361119439</v>
      </c>
      <c r="AG616" s="4">
        <f>$O$616*$AA$616</f>
        <v>489.96754404047158</v>
      </c>
    </row>
    <row r="617" spans="1:33" ht="11.25" customHeight="1" x14ac:dyDescent="0.3">
      <c r="A617" s="3" t="s">
        <v>21</v>
      </c>
      <c r="B617" s="3" t="s">
        <v>37</v>
      </c>
      <c r="C617" s="3" t="s">
        <v>23</v>
      </c>
      <c r="D617" s="3" t="s">
        <v>38</v>
      </c>
      <c r="E617" s="3" t="s">
        <v>25</v>
      </c>
      <c r="F617" s="3" t="s">
        <v>25</v>
      </c>
      <c r="G617" s="3" t="s">
        <v>25</v>
      </c>
      <c r="H617" s="3" t="s">
        <v>25</v>
      </c>
      <c r="I617" s="6">
        <v>44593</v>
      </c>
      <c r="J617" s="4">
        <v>0</v>
      </c>
      <c r="K617" s="4">
        <v>0</v>
      </c>
      <c r="L617" s="4">
        <v>72.120999999999995</v>
      </c>
      <c r="M617" s="4">
        <v>72.120999999999995</v>
      </c>
      <c r="N617" s="4">
        <v>72.120999999999995</v>
      </c>
      <c r="O617" s="4">
        <v>72.120999999999995</v>
      </c>
      <c r="P617" s="4">
        <v>49</v>
      </c>
      <c r="Q617" s="3" t="s">
        <v>26</v>
      </c>
      <c r="R617" s="3">
        <v>0</v>
      </c>
      <c r="S617" s="4">
        <v>0</v>
      </c>
      <c r="T617" s="4">
        <v>47</v>
      </c>
      <c r="U617" s="4">
        <v>87</v>
      </c>
      <c r="V617" s="4">
        <f>IF(ISERROR(VLOOKUP($S$617,'TAR FIN'!$A$1:$O$91,15,0)),0,VLOOKUP($S$617,'TAR FIN'!$A$1:$O$91,15,0))</f>
        <v>0</v>
      </c>
      <c r="W617" s="4">
        <f>IF(ISERROR(VLOOKUP($T$617,'TAR FIN'!$A$1:$O$91,15,0)),0,VLOOKUP($T$617,'TAR FIN'!$A$1:$O$91,15,0))</f>
        <v>406.52</v>
      </c>
      <c r="X617" s="4">
        <f>IF(ISERROR(VLOOKUP($U$617,'TAR FIN'!$A$1:$O$91,15,0)),0,VLOOKUP($U$617,'TAR FIN'!$A$1:$O$91,15,0))</f>
        <v>199.03</v>
      </c>
      <c r="Y617" s="4"/>
      <c r="Z617" s="4">
        <f ca="1">('TUSD BE'!$AM$51+'TUSD BF'!$AM$51+'TUSD CVA'!$AM$51)*1</f>
        <v>446.02270810064761</v>
      </c>
      <c r="AA617" s="4">
        <f>('TE BE'!$AB$42+'TE BF'!$AB$42+'TE CVA'!$AB$42)*1</f>
        <v>205.52329867469447</v>
      </c>
      <c r="AB617" s="4">
        <f>$K$617*$V$617</f>
        <v>0</v>
      </c>
      <c r="AC617" s="4">
        <f>$M$617*$W$617</f>
        <v>29318.628919999996</v>
      </c>
      <c r="AD617" s="4">
        <f>$O$617*$X$617</f>
        <v>14354.242629999999</v>
      </c>
      <c r="AE617" s="4">
        <f>$K$617*$Y$617</f>
        <v>0</v>
      </c>
      <c r="AF617" s="4">
        <f ca="1">$M$617*$Z$617</f>
        <v>32167.603730926803</v>
      </c>
      <c r="AG617" s="4">
        <f>$O$617*$AA$617</f>
        <v>14822.545823717639</v>
      </c>
    </row>
    <row r="618" spans="1:33" ht="11.25" customHeight="1" x14ac:dyDescent="0.3">
      <c r="A618" s="3" t="s">
        <v>27</v>
      </c>
      <c r="B618" s="3" t="s">
        <v>37</v>
      </c>
      <c r="C618" s="3" t="s">
        <v>23</v>
      </c>
      <c r="D618" s="3" t="s">
        <v>38</v>
      </c>
      <c r="E618" s="3" t="s">
        <v>25</v>
      </c>
      <c r="F618" s="3" t="s">
        <v>25</v>
      </c>
      <c r="G618" s="3" t="s">
        <v>25</v>
      </c>
      <c r="H618" s="3" t="s">
        <v>25</v>
      </c>
      <c r="I618" s="6">
        <v>44593</v>
      </c>
      <c r="J618" s="4">
        <v>0</v>
      </c>
      <c r="K618" s="4">
        <v>0</v>
      </c>
      <c r="L618" s="4">
        <v>5.3410000000000002</v>
      </c>
      <c r="M618" s="4">
        <v>5.3410000000000002</v>
      </c>
      <c r="N618" s="4">
        <v>5.3410000000000002</v>
      </c>
      <c r="O618" s="4">
        <v>5.3410000000000002</v>
      </c>
      <c r="P618" s="4">
        <v>0</v>
      </c>
      <c r="Q618" s="3" t="s">
        <v>26</v>
      </c>
      <c r="R618" s="3">
        <v>0</v>
      </c>
      <c r="S618" s="4">
        <v>0</v>
      </c>
      <c r="T618" s="4">
        <v>47</v>
      </c>
      <c r="U618" s="4">
        <v>87</v>
      </c>
      <c r="V618" s="4">
        <f>IF(ISERROR(VLOOKUP($S$618,'TAR FIN'!$A$1:$O$91,15,0)),0,VLOOKUP($S$618,'TAR FIN'!$A$1:$O$91,15,0))</f>
        <v>0</v>
      </c>
      <c r="W618" s="4">
        <f>IF(ISERROR(VLOOKUP($T$618,'TAR FIN'!$A$1:$O$91,15,0)),0,VLOOKUP($T$618,'TAR FIN'!$A$1:$O$91,15,0))</f>
        <v>406.52</v>
      </c>
      <c r="X618" s="4">
        <f>IF(ISERROR(VLOOKUP($U$618,'TAR FIN'!$A$1:$O$91,15,0)),0,VLOOKUP($U$618,'TAR FIN'!$A$1:$O$91,15,0))</f>
        <v>199.03</v>
      </c>
      <c r="Y618" s="4"/>
      <c r="Z618" s="4">
        <f ca="1">('TUSD BE'!$AM$51+'TUSD BF'!$AM$51+'TUSD CVA'!$AM$51)*1</f>
        <v>446.02270810064761</v>
      </c>
      <c r="AA618" s="4">
        <f>('TE BE'!$AB$42+'TE BF'!$AB$42+'TE CVA'!$AB$42)*1</f>
        <v>205.52329867469447</v>
      </c>
      <c r="AB618" s="4">
        <f>$K$618*$V$618</f>
        <v>0</v>
      </c>
      <c r="AC618" s="4">
        <f>$M$618*$W$618</f>
        <v>2171.2233200000001</v>
      </c>
      <c r="AD618" s="4">
        <f>$O$618*$X$618</f>
        <v>1063.0192300000001</v>
      </c>
      <c r="AE618" s="4">
        <f>$K$618*$Y$618</f>
        <v>0</v>
      </c>
      <c r="AF618" s="4">
        <f ca="1">$M$618*$Z$618</f>
        <v>2382.2072839655589</v>
      </c>
      <c r="AG618" s="4">
        <f>$O$618*$AA$618</f>
        <v>1097.6999382215433</v>
      </c>
    </row>
    <row r="619" spans="1:33" ht="11.25" customHeight="1" x14ac:dyDescent="0.3">
      <c r="A619" s="3" t="s">
        <v>28</v>
      </c>
      <c r="B619" s="3" t="s">
        <v>37</v>
      </c>
      <c r="C619" s="3" t="s">
        <v>23</v>
      </c>
      <c r="D619" s="3" t="s">
        <v>38</v>
      </c>
      <c r="E619" s="3" t="s">
        <v>25</v>
      </c>
      <c r="F619" s="3" t="s">
        <v>25</v>
      </c>
      <c r="G619" s="3" t="s">
        <v>25</v>
      </c>
      <c r="H619" s="3" t="s">
        <v>25</v>
      </c>
      <c r="I619" s="6">
        <v>44593</v>
      </c>
      <c r="J619" s="4">
        <v>0</v>
      </c>
      <c r="K619" s="4">
        <v>0</v>
      </c>
      <c r="L619" s="4">
        <v>4.0590000000000002</v>
      </c>
      <c r="M619" s="4">
        <v>4.0590000000000002</v>
      </c>
      <c r="N619" s="4">
        <v>4.0590000000000002</v>
      </c>
      <c r="O619" s="4">
        <v>4.0590000000000002</v>
      </c>
      <c r="P619" s="4">
        <v>6</v>
      </c>
      <c r="Q619" s="3" t="s">
        <v>26</v>
      </c>
      <c r="R619" s="3">
        <v>0</v>
      </c>
      <c r="S619" s="4">
        <v>0</v>
      </c>
      <c r="T619" s="4">
        <v>47</v>
      </c>
      <c r="U619" s="4">
        <v>87</v>
      </c>
      <c r="V619" s="4">
        <f>IF(ISERROR(VLOOKUP($S$619,'TAR FIN'!$A$1:$O$91,15,0)),0,VLOOKUP($S$619,'TAR FIN'!$A$1:$O$91,15,0))</f>
        <v>0</v>
      </c>
      <c r="W619" s="4">
        <f>IF(ISERROR(VLOOKUP($T$619,'TAR FIN'!$A$1:$O$91,15,0)),0,VLOOKUP($T$619,'TAR FIN'!$A$1:$O$91,15,0))</f>
        <v>406.52</v>
      </c>
      <c r="X619" s="4">
        <f>IF(ISERROR(VLOOKUP($U$619,'TAR FIN'!$A$1:$O$91,15,0)),0,VLOOKUP($U$619,'TAR FIN'!$A$1:$O$91,15,0))</f>
        <v>199.03</v>
      </c>
      <c r="Y619" s="4"/>
      <c r="Z619" s="4">
        <f ca="1">('TUSD BE'!$AM$51+'TUSD BF'!$AM$51+'TUSD CVA'!$AM$51)*1</f>
        <v>446.02270810064761</v>
      </c>
      <c r="AA619" s="4">
        <f>('TE BE'!$AB$42+'TE BF'!$AB$42+'TE CVA'!$AB$42)*1</f>
        <v>205.52329867469447</v>
      </c>
      <c r="AB619" s="4">
        <f>$K$619*$V$619</f>
        <v>0</v>
      </c>
      <c r="AC619" s="4">
        <f>$M$619*$W$619</f>
        <v>1650.06468</v>
      </c>
      <c r="AD619" s="4">
        <f>$O$619*$X$619</f>
        <v>807.86277000000007</v>
      </c>
      <c r="AE619" s="4">
        <f>$K$619*$Y$619</f>
        <v>0</v>
      </c>
      <c r="AF619" s="4">
        <f ca="1">$M$619*$Z$619</f>
        <v>1810.4061721805288</v>
      </c>
      <c r="AG619" s="4">
        <f>$O$619*$AA$619</f>
        <v>834.21906932058494</v>
      </c>
    </row>
    <row r="620" spans="1:33" ht="11.25" customHeight="1" x14ac:dyDescent="0.3">
      <c r="A620" s="3" t="s">
        <v>21</v>
      </c>
      <c r="B620" s="3" t="s">
        <v>37</v>
      </c>
      <c r="C620" s="3" t="s">
        <v>23</v>
      </c>
      <c r="D620" s="3" t="s">
        <v>38</v>
      </c>
      <c r="E620" s="3" t="s">
        <v>25</v>
      </c>
      <c r="F620" s="3" t="s">
        <v>25</v>
      </c>
      <c r="G620" s="3" t="s">
        <v>25</v>
      </c>
      <c r="H620" s="3" t="s">
        <v>25</v>
      </c>
      <c r="I620" s="6">
        <v>44621</v>
      </c>
      <c r="J620" s="4">
        <v>0</v>
      </c>
      <c r="K620" s="4">
        <v>0</v>
      </c>
      <c r="L620" s="4">
        <v>57.255000000000003</v>
      </c>
      <c r="M620" s="4">
        <v>57.255000000000003</v>
      </c>
      <c r="N620" s="4">
        <v>57.255000000000003</v>
      </c>
      <c r="O620" s="4">
        <v>57.255000000000003</v>
      </c>
      <c r="P620" s="4">
        <v>50</v>
      </c>
      <c r="Q620" s="3" t="s">
        <v>26</v>
      </c>
      <c r="R620" s="3">
        <v>0</v>
      </c>
      <c r="S620" s="4">
        <v>0</v>
      </c>
      <c r="T620" s="4">
        <v>47</v>
      </c>
      <c r="U620" s="4">
        <v>87</v>
      </c>
      <c r="V620" s="4">
        <f>IF(ISERROR(VLOOKUP($S$620,'TAR FIN'!$A$1:$O$91,15,0)),0,VLOOKUP($S$620,'TAR FIN'!$A$1:$O$91,15,0))</f>
        <v>0</v>
      </c>
      <c r="W620" s="4">
        <f>IF(ISERROR(VLOOKUP($T$620,'TAR FIN'!$A$1:$O$91,15,0)),0,VLOOKUP($T$620,'TAR FIN'!$A$1:$O$91,15,0))</f>
        <v>406.52</v>
      </c>
      <c r="X620" s="4">
        <f>IF(ISERROR(VLOOKUP($U$620,'TAR FIN'!$A$1:$O$91,15,0)),0,VLOOKUP($U$620,'TAR FIN'!$A$1:$O$91,15,0))</f>
        <v>199.03</v>
      </c>
      <c r="Y620" s="4"/>
      <c r="Z620" s="4">
        <f ca="1">('TUSD BE'!$AM$51+'TUSD BF'!$AM$51+'TUSD CVA'!$AM$51)*1</f>
        <v>446.02270810064761</v>
      </c>
      <c r="AA620" s="4">
        <f>('TE BE'!$AB$42+'TE BF'!$AB$42+'TE CVA'!$AB$42)*1</f>
        <v>205.52329867469447</v>
      </c>
      <c r="AB620" s="4">
        <f>$K$620*$V$620</f>
        <v>0</v>
      </c>
      <c r="AC620" s="4">
        <f>$M$620*$W$620</f>
        <v>23275.302599999999</v>
      </c>
      <c r="AD620" s="4">
        <f>$O$620*$X$620</f>
        <v>11395.462650000001</v>
      </c>
      <c r="AE620" s="4">
        <f>$K$620*$Y$620</f>
        <v>0</v>
      </c>
      <c r="AF620" s="4">
        <f ca="1">$M$620*$Z$620</f>
        <v>25537.030152302581</v>
      </c>
      <c r="AG620" s="4">
        <f>$O$620*$AA$620</f>
        <v>11767.236465619633</v>
      </c>
    </row>
    <row r="621" spans="1:33" ht="11.25" customHeight="1" x14ac:dyDescent="0.3">
      <c r="A621" s="3" t="s">
        <v>28</v>
      </c>
      <c r="B621" s="3" t="s">
        <v>37</v>
      </c>
      <c r="C621" s="3" t="s">
        <v>23</v>
      </c>
      <c r="D621" s="3" t="s">
        <v>38</v>
      </c>
      <c r="E621" s="3" t="s">
        <v>25</v>
      </c>
      <c r="F621" s="3" t="s">
        <v>25</v>
      </c>
      <c r="G621" s="3" t="s">
        <v>25</v>
      </c>
      <c r="H621" s="3" t="s">
        <v>25</v>
      </c>
      <c r="I621" s="6">
        <v>44621</v>
      </c>
      <c r="J621" s="4">
        <v>0</v>
      </c>
      <c r="K621" s="4">
        <v>0</v>
      </c>
      <c r="L621" s="4">
        <v>4.6589999999999998</v>
      </c>
      <c r="M621" s="4">
        <v>4.6589999999999998</v>
      </c>
      <c r="N621" s="4">
        <v>4.6589999999999998</v>
      </c>
      <c r="O621" s="4">
        <v>4.6589999999999998</v>
      </c>
      <c r="P621" s="4">
        <v>6</v>
      </c>
      <c r="Q621" s="3" t="s">
        <v>26</v>
      </c>
      <c r="R621" s="3">
        <v>0</v>
      </c>
      <c r="S621" s="4">
        <v>0</v>
      </c>
      <c r="T621" s="4">
        <v>47</v>
      </c>
      <c r="U621" s="4">
        <v>87</v>
      </c>
      <c r="V621" s="4">
        <f>IF(ISERROR(VLOOKUP($S$621,'TAR FIN'!$A$1:$O$91,15,0)),0,VLOOKUP($S$621,'TAR FIN'!$A$1:$O$91,15,0))</f>
        <v>0</v>
      </c>
      <c r="W621" s="4">
        <f>IF(ISERROR(VLOOKUP($T$621,'TAR FIN'!$A$1:$O$91,15,0)),0,VLOOKUP($T$621,'TAR FIN'!$A$1:$O$91,15,0))</f>
        <v>406.52</v>
      </c>
      <c r="X621" s="4">
        <f>IF(ISERROR(VLOOKUP($U$621,'TAR FIN'!$A$1:$O$91,15,0)),0,VLOOKUP($U$621,'TAR FIN'!$A$1:$O$91,15,0))</f>
        <v>199.03</v>
      </c>
      <c r="Y621" s="4"/>
      <c r="Z621" s="4">
        <f ca="1">('TUSD BE'!$AM$51+'TUSD BF'!$AM$51+'TUSD CVA'!$AM$51)*1</f>
        <v>446.02270810064761</v>
      </c>
      <c r="AA621" s="4">
        <f>('TE BE'!$AB$42+'TE BF'!$AB$42+'TE CVA'!$AB$42)*1</f>
        <v>205.52329867469447</v>
      </c>
      <c r="AB621" s="4">
        <f>$K$621*$V$621</f>
        <v>0</v>
      </c>
      <c r="AC621" s="4">
        <f>$M$621*$W$621</f>
        <v>1893.9766799999998</v>
      </c>
      <c r="AD621" s="4">
        <f>$O$621*$X$621</f>
        <v>927.28076999999996</v>
      </c>
      <c r="AE621" s="4">
        <f>$K$621*$Y$621</f>
        <v>0</v>
      </c>
      <c r="AF621" s="4">
        <f ca="1">$M$621*$Z$621</f>
        <v>2078.0197970409172</v>
      </c>
      <c r="AG621" s="4">
        <f>$O$621*$AA$621</f>
        <v>957.53304852540145</v>
      </c>
    </row>
    <row r="622" spans="1:33" ht="11.25" customHeight="1" x14ac:dyDescent="0.3">
      <c r="A622" s="3" t="s">
        <v>21</v>
      </c>
      <c r="B622" s="3" t="s">
        <v>37</v>
      </c>
      <c r="C622" s="3" t="s">
        <v>23</v>
      </c>
      <c r="D622" s="3" t="s">
        <v>38</v>
      </c>
      <c r="E622" s="3" t="s">
        <v>25</v>
      </c>
      <c r="F622" s="3" t="s">
        <v>25</v>
      </c>
      <c r="G622" s="3" t="s">
        <v>25</v>
      </c>
      <c r="H622" s="3" t="s">
        <v>25</v>
      </c>
      <c r="I622" s="6">
        <v>44652</v>
      </c>
      <c r="J622" s="4">
        <v>0</v>
      </c>
      <c r="K622" s="4">
        <v>0</v>
      </c>
      <c r="L622" s="4">
        <v>66.563000000000002</v>
      </c>
      <c r="M622" s="4">
        <v>66.563000000000002</v>
      </c>
      <c r="N622" s="4">
        <v>66.563000000000002</v>
      </c>
      <c r="O622" s="4">
        <v>66.563000000000002</v>
      </c>
      <c r="P622" s="4">
        <v>50</v>
      </c>
      <c r="Q622" s="3" t="s">
        <v>26</v>
      </c>
      <c r="R622" s="3">
        <v>0</v>
      </c>
      <c r="S622" s="4">
        <v>0</v>
      </c>
      <c r="T622" s="4">
        <v>47</v>
      </c>
      <c r="U622" s="4">
        <v>87</v>
      </c>
      <c r="V622" s="4">
        <f>IF(ISERROR(VLOOKUP($S$622,'TAR FIN'!$A$1:$O$91,15,0)),0,VLOOKUP($S$622,'TAR FIN'!$A$1:$O$91,15,0))</f>
        <v>0</v>
      </c>
      <c r="W622" s="4">
        <f>IF(ISERROR(VLOOKUP($T$622,'TAR FIN'!$A$1:$O$91,15,0)),0,VLOOKUP($T$622,'TAR FIN'!$A$1:$O$91,15,0))</f>
        <v>406.52</v>
      </c>
      <c r="X622" s="4">
        <f>IF(ISERROR(VLOOKUP($U$622,'TAR FIN'!$A$1:$O$91,15,0)),0,VLOOKUP($U$622,'TAR FIN'!$A$1:$O$91,15,0))</f>
        <v>199.03</v>
      </c>
      <c r="Y622" s="4"/>
      <c r="Z622" s="4">
        <f ca="1">('TUSD BE'!$AM$51+'TUSD BF'!$AM$51+'TUSD CVA'!$AM$51)*1</f>
        <v>446.02270810064761</v>
      </c>
      <c r="AA622" s="4">
        <f>('TE BE'!$AB$42+'TE BF'!$AB$42+'TE CVA'!$AB$42)*1</f>
        <v>205.52329867469447</v>
      </c>
      <c r="AB622" s="4">
        <f>$K$622*$V$622</f>
        <v>0</v>
      </c>
      <c r="AC622" s="4">
        <f>$M$622*$W$622</f>
        <v>27059.190760000001</v>
      </c>
      <c r="AD622" s="4">
        <f>$O$622*$X$622</f>
        <v>13248.033890000001</v>
      </c>
      <c r="AE622" s="4">
        <f>$K$622*$Y$622</f>
        <v>0</v>
      </c>
      <c r="AF622" s="4">
        <f ca="1">$M$622*$Z$622</f>
        <v>29688.609519303409</v>
      </c>
      <c r="AG622" s="4">
        <f>$O$622*$AA$622</f>
        <v>13680.247329683689</v>
      </c>
    </row>
    <row r="623" spans="1:33" ht="11.25" customHeight="1" x14ac:dyDescent="0.3">
      <c r="A623" s="3" t="s">
        <v>28</v>
      </c>
      <c r="B623" s="3" t="s">
        <v>37</v>
      </c>
      <c r="C623" s="3" t="s">
        <v>23</v>
      </c>
      <c r="D623" s="3" t="s">
        <v>38</v>
      </c>
      <c r="E623" s="3" t="s">
        <v>25</v>
      </c>
      <c r="F623" s="3" t="s">
        <v>25</v>
      </c>
      <c r="G623" s="3" t="s">
        <v>25</v>
      </c>
      <c r="H623" s="3" t="s">
        <v>25</v>
      </c>
      <c r="I623" s="6">
        <v>44652</v>
      </c>
      <c r="J623" s="4">
        <v>0</v>
      </c>
      <c r="K623" s="4">
        <v>0</v>
      </c>
      <c r="L623" s="4">
        <v>1.9670000000000001</v>
      </c>
      <c r="M623" s="4">
        <v>1.9670000000000001</v>
      </c>
      <c r="N623" s="4">
        <v>1.9670000000000001</v>
      </c>
      <c r="O623" s="4">
        <v>1.9670000000000001</v>
      </c>
      <c r="P623" s="4">
        <v>6</v>
      </c>
      <c r="Q623" s="3" t="s">
        <v>26</v>
      </c>
      <c r="R623" s="3">
        <v>0</v>
      </c>
      <c r="S623" s="4">
        <v>0</v>
      </c>
      <c r="T623" s="4">
        <v>47</v>
      </c>
      <c r="U623" s="4">
        <v>87</v>
      </c>
      <c r="V623" s="4">
        <f>IF(ISERROR(VLOOKUP($S$623,'TAR FIN'!$A$1:$O$91,15,0)),0,VLOOKUP($S$623,'TAR FIN'!$A$1:$O$91,15,0))</f>
        <v>0</v>
      </c>
      <c r="W623" s="4">
        <f>IF(ISERROR(VLOOKUP($T$623,'TAR FIN'!$A$1:$O$91,15,0)),0,VLOOKUP($T$623,'TAR FIN'!$A$1:$O$91,15,0))</f>
        <v>406.52</v>
      </c>
      <c r="X623" s="4">
        <f>IF(ISERROR(VLOOKUP($U$623,'TAR FIN'!$A$1:$O$91,15,0)),0,VLOOKUP($U$623,'TAR FIN'!$A$1:$O$91,15,0))</f>
        <v>199.03</v>
      </c>
      <c r="Y623" s="4"/>
      <c r="Z623" s="4">
        <f ca="1">('TUSD BE'!$AM$51+'TUSD BF'!$AM$51+'TUSD CVA'!$AM$51)*1</f>
        <v>446.02270810064761</v>
      </c>
      <c r="AA623" s="4">
        <f>('TE BE'!$AB$42+'TE BF'!$AB$42+'TE CVA'!$AB$42)*1</f>
        <v>205.52329867469447</v>
      </c>
      <c r="AB623" s="4">
        <f>$K$623*$V$623</f>
        <v>0</v>
      </c>
      <c r="AC623" s="4">
        <f>$M$623*$W$623</f>
        <v>799.62483999999995</v>
      </c>
      <c r="AD623" s="4">
        <f>$O$623*$X$623</f>
        <v>391.49200999999999</v>
      </c>
      <c r="AE623" s="4">
        <f>$K$623*$Y$623</f>
        <v>0</v>
      </c>
      <c r="AF623" s="4">
        <f ca="1">$M$623*$Z$623</f>
        <v>877.32666683397383</v>
      </c>
      <c r="AG623" s="4">
        <f>$O$623*$AA$623</f>
        <v>404.26432849312403</v>
      </c>
    </row>
    <row r="624" spans="1:33" ht="11.25" customHeight="1" x14ac:dyDescent="0.3">
      <c r="A624" s="3" t="s">
        <v>21</v>
      </c>
      <c r="B624" s="3" t="s">
        <v>37</v>
      </c>
      <c r="C624" s="3" t="s">
        <v>23</v>
      </c>
      <c r="D624" s="3" t="s">
        <v>38</v>
      </c>
      <c r="E624" s="3" t="s">
        <v>25</v>
      </c>
      <c r="F624" s="3" t="s">
        <v>25</v>
      </c>
      <c r="G624" s="3" t="s">
        <v>25</v>
      </c>
      <c r="H624" s="3" t="s">
        <v>25</v>
      </c>
      <c r="I624" s="6">
        <v>44682</v>
      </c>
      <c r="J624" s="4">
        <v>0</v>
      </c>
      <c r="K624" s="4">
        <v>0</v>
      </c>
      <c r="L624" s="4">
        <v>56.606999999999999</v>
      </c>
      <c r="M624" s="4">
        <v>56.606999999999999</v>
      </c>
      <c r="N624" s="4">
        <v>56.606999999999999</v>
      </c>
      <c r="O624" s="4">
        <v>56.606999999999999</v>
      </c>
      <c r="P624" s="4">
        <v>49</v>
      </c>
      <c r="Q624" s="3" t="s">
        <v>26</v>
      </c>
      <c r="R624" s="3">
        <v>0</v>
      </c>
      <c r="S624" s="4">
        <v>0</v>
      </c>
      <c r="T624" s="4">
        <v>47</v>
      </c>
      <c r="U624" s="4">
        <v>87</v>
      </c>
      <c r="V624" s="4">
        <f>IF(ISERROR(VLOOKUP($S$624,'TAR FIN'!$A$1:$O$91,15,0)),0,VLOOKUP($S$624,'TAR FIN'!$A$1:$O$91,15,0))</f>
        <v>0</v>
      </c>
      <c r="W624" s="4">
        <f>IF(ISERROR(VLOOKUP($T$624,'TAR FIN'!$A$1:$O$91,15,0)),0,VLOOKUP($T$624,'TAR FIN'!$A$1:$O$91,15,0))</f>
        <v>406.52</v>
      </c>
      <c r="X624" s="4">
        <f>IF(ISERROR(VLOOKUP($U$624,'TAR FIN'!$A$1:$O$91,15,0)),0,VLOOKUP($U$624,'TAR FIN'!$A$1:$O$91,15,0))</f>
        <v>199.03</v>
      </c>
      <c r="Y624" s="4"/>
      <c r="Z624" s="4">
        <f ca="1">('TUSD BE'!$AM$51+'TUSD BF'!$AM$51+'TUSD CVA'!$AM$51)*1</f>
        <v>446.02270810064761</v>
      </c>
      <c r="AA624" s="4">
        <f>('TE BE'!$AB$42+'TE BF'!$AB$42+'TE CVA'!$AB$42)*1</f>
        <v>205.52329867469447</v>
      </c>
      <c r="AB624" s="4">
        <f>$K$624*$V$624</f>
        <v>0</v>
      </c>
      <c r="AC624" s="4">
        <f>$M$624*$W$624</f>
        <v>23011.877639999999</v>
      </c>
      <c r="AD624" s="4">
        <f>$O$624*$X$624</f>
        <v>11266.49121</v>
      </c>
      <c r="AE624" s="4">
        <f>$K$624*$Y$624</f>
        <v>0</v>
      </c>
      <c r="AF624" s="4">
        <f ca="1">$M$624*$Z$624</f>
        <v>25248.007437453358</v>
      </c>
      <c r="AG624" s="4">
        <f>$O$624*$AA$624</f>
        <v>11634.057368078429</v>
      </c>
    </row>
    <row r="625" spans="1:33" ht="11.25" customHeight="1" x14ac:dyDescent="0.3">
      <c r="A625" s="3" t="s">
        <v>28</v>
      </c>
      <c r="B625" s="3" t="s">
        <v>37</v>
      </c>
      <c r="C625" s="3" t="s">
        <v>23</v>
      </c>
      <c r="D625" s="3" t="s">
        <v>38</v>
      </c>
      <c r="E625" s="3" t="s">
        <v>25</v>
      </c>
      <c r="F625" s="3" t="s">
        <v>25</v>
      </c>
      <c r="G625" s="3" t="s">
        <v>25</v>
      </c>
      <c r="H625" s="3" t="s">
        <v>25</v>
      </c>
      <c r="I625" s="6">
        <v>44682</v>
      </c>
      <c r="J625" s="4">
        <v>0</v>
      </c>
      <c r="K625" s="4">
        <v>0</v>
      </c>
      <c r="L625" s="4">
        <v>2.5289999999999999</v>
      </c>
      <c r="M625" s="4">
        <v>2.5289999999999999</v>
      </c>
      <c r="N625" s="4">
        <v>2.5289999999999999</v>
      </c>
      <c r="O625" s="4">
        <v>2.5289999999999999</v>
      </c>
      <c r="P625" s="4">
        <v>6</v>
      </c>
      <c r="Q625" s="3" t="s">
        <v>26</v>
      </c>
      <c r="R625" s="3">
        <v>0</v>
      </c>
      <c r="S625" s="4">
        <v>0</v>
      </c>
      <c r="T625" s="4">
        <v>47</v>
      </c>
      <c r="U625" s="4">
        <v>87</v>
      </c>
      <c r="V625" s="4">
        <f>IF(ISERROR(VLOOKUP($S$625,'TAR FIN'!$A$1:$O$91,15,0)),0,VLOOKUP($S$625,'TAR FIN'!$A$1:$O$91,15,0))</f>
        <v>0</v>
      </c>
      <c r="W625" s="4">
        <f>IF(ISERROR(VLOOKUP($T$625,'TAR FIN'!$A$1:$O$91,15,0)),0,VLOOKUP($T$625,'TAR FIN'!$A$1:$O$91,15,0))</f>
        <v>406.52</v>
      </c>
      <c r="X625" s="4">
        <f>IF(ISERROR(VLOOKUP($U$625,'TAR FIN'!$A$1:$O$91,15,0)),0,VLOOKUP($U$625,'TAR FIN'!$A$1:$O$91,15,0))</f>
        <v>199.03</v>
      </c>
      <c r="Y625" s="4"/>
      <c r="Z625" s="4">
        <f ca="1">('TUSD BE'!$AM$51+'TUSD BF'!$AM$51+'TUSD CVA'!$AM$51)*1</f>
        <v>446.02270810064761</v>
      </c>
      <c r="AA625" s="4">
        <f>('TE BE'!$AB$42+'TE BF'!$AB$42+'TE CVA'!$AB$42)*1</f>
        <v>205.52329867469447</v>
      </c>
      <c r="AB625" s="4">
        <f>$K$625*$V$625</f>
        <v>0</v>
      </c>
      <c r="AC625" s="4">
        <f>$M$625*$W$625</f>
        <v>1028.08908</v>
      </c>
      <c r="AD625" s="4">
        <f>$O$625*$X$625</f>
        <v>503.34686999999997</v>
      </c>
      <c r="AE625" s="4">
        <f>$K$625*$Y$625</f>
        <v>0</v>
      </c>
      <c r="AF625" s="4">
        <f ca="1">$M$625*$Z$625</f>
        <v>1127.9914287865377</v>
      </c>
      <c r="AG625" s="4">
        <f>$O$625*$AA$625</f>
        <v>519.76842234830235</v>
      </c>
    </row>
    <row r="626" spans="1:33" ht="11.25" customHeight="1" x14ac:dyDescent="0.3">
      <c r="A626" s="3" t="s">
        <v>21</v>
      </c>
      <c r="B626" s="3" t="s">
        <v>37</v>
      </c>
      <c r="C626" s="3" t="s">
        <v>23</v>
      </c>
      <c r="D626" s="3" t="s">
        <v>38</v>
      </c>
      <c r="E626" s="3" t="s">
        <v>25</v>
      </c>
      <c r="F626" s="3" t="s">
        <v>25</v>
      </c>
      <c r="G626" s="3" t="s">
        <v>25</v>
      </c>
      <c r="H626" s="3" t="s">
        <v>25</v>
      </c>
      <c r="I626" s="6">
        <v>44713</v>
      </c>
      <c r="J626" s="4">
        <v>0</v>
      </c>
      <c r="K626" s="4">
        <v>0</v>
      </c>
      <c r="L626" s="4">
        <v>62.561</v>
      </c>
      <c r="M626" s="4">
        <v>62.561</v>
      </c>
      <c r="N626" s="4">
        <v>62.561</v>
      </c>
      <c r="O626" s="4">
        <v>62.561</v>
      </c>
      <c r="P626" s="4">
        <v>48</v>
      </c>
      <c r="Q626" s="3" t="s">
        <v>26</v>
      </c>
      <c r="R626" s="3">
        <v>0</v>
      </c>
      <c r="S626" s="4">
        <v>0</v>
      </c>
      <c r="T626" s="4">
        <v>47</v>
      </c>
      <c r="U626" s="4">
        <v>87</v>
      </c>
      <c r="V626" s="4">
        <f>IF(ISERROR(VLOOKUP($S$626,'TAR FIN'!$A$1:$O$91,15,0)),0,VLOOKUP($S$626,'TAR FIN'!$A$1:$O$91,15,0))</f>
        <v>0</v>
      </c>
      <c r="W626" s="4">
        <f>IF(ISERROR(VLOOKUP($T$626,'TAR FIN'!$A$1:$O$91,15,0)),0,VLOOKUP($T$626,'TAR FIN'!$A$1:$O$91,15,0))</f>
        <v>406.52</v>
      </c>
      <c r="X626" s="4">
        <f>IF(ISERROR(VLOOKUP($U$626,'TAR FIN'!$A$1:$O$91,15,0)),0,VLOOKUP($U$626,'TAR FIN'!$A$1:$O$91,15,0))</f>
        <v>199.03</v>
      </c>
      <c r="Y626" s="4"/>
      <c r="Z626" s="4">
        <f ca="1">('TUSD BE'!$AM$51+'TUSD BF'!$AM$51+'TUSD CVA'!$AM$51)*1</f>
        <v>446.02270810064761</v>
      </c>
      <c r="AA626" s="4">
        <f>('TE BE'!$AB$42+'TE BF'!$AB$42+'TE CVA'!$AB$42)*1</f>
        <v>205.52329867469447</v>
      </c>
      <c r="AB626" s="4">
        <f>$K$626*$V$626</f>
        <v>0</v>
      </c>
      <c r="AC626" s="4">
        <f>$M$626*$W$626</f>
        <v>25432.297719999999</v>
      </c>
      <c r="AD626" s="4">
        <f>$O$626*$X$626</f>
        <v>12451.51583</v>
      </c>
      <c r="AE626" s="4">
        <f>$K$626*$Y$626</f>
        <v>0</v>
      </c>
      <c r="AF626" s="4">
        <f ca="1">$M$626*$Z$626</f>
        <v>27903.626641484614</v>
      </c>
      <c r="AG626" s="4">
        <f>$O$626*$AA$626</f>
        <v>12857.74308838756</v>
      </c>
    </row>
    <row r="627" spans="1:33" ht="11.25" customHeight="1" x14ac:dyDescent="0.3">
      <c r="A627" s="3" t="s">
        <v>28</v>
      </c>
      <c r="B627" s="3" t="s">
        <v>37</v>
      </c>
      <c r="C627" s="3" t="s">
        <v>23</v>
      </c>
      <c r="D627" s="3" t="s">
        <v>38</v>
      </c>
      <c r="E627" s="3" t="s">
        <v>25</v>
      </c>
      <c r="F627" s="3" t="s">
        <v>25</v>
      </c>
      <c r="G627" s="3" t="s">
        <v>25</v>
      </c>
      <c r="H627" s="3" t="s">
        <v>25</v>
      </c>
      <c r="I627" s="6">
        <v>44713</v>
      </c>
      <c r="J627" s="4">
        <v>0</v>
      </c>
      <c r="K627" s="4">
        <v>0</v>
      </c>
      <c r="L627" s="4">
        <v>3.5859999999999999</v>
      </c>
      <c r="M627" s="4">
        <v>3.5859999999999999</v>
      </c>
      <c r="N627" s="4">
        <v>3.5859999999999999</v>
      </c>
      <c r="O627" s="4">
        <v>3.5859999999999999</v>
      </c>
      <c r="P627" s="4">
        <v>6</v>
      </c>
      <c r="Q627" s="3" t="s">
        <v>26</v>
      </c>
      <c r="R627" s="3">
        <v>0</v>
      </c>
      <c r="S627" s="4">
        <v>0</v>
      </c>
      <c r="T627" s="4">
        <v>47</v>
      </c>
      <c r="U627" s="4">
        <v>87</v>
      </c>
      <c r="V627" s="4">
        <f>IF(ISERROR(VLOOKUP($S$627,'TAR FIN'!$A$1:$O$91,15,0)),0,VLOOKUP($S$627,'TAR FIN'!$A$1:$O$91,15,0))</f>
        <v>0</v>
      </c>
      <c r="W627" s="4">
        <f>IF(ISERROR(VLOOKUP($T$627,'TAR FIN'!$A$1:$O$91,15,0)),0,VLOOKUP($T$627,'TAR FIN'!$A$1:$O$91,15,0))</f>
        <v>406.52</v>
      </c>
      <c r="X627" s="4">
        <f>IF(ISERROR(VLOOKUP($U$627,'TAR FIN'!$A$1:$O$91,15,0)),0,VLOOKUP($U$627,'TAR FIN'!$A$1:$O$91,15,0))</f>
        <v>199.03</v>
      </c>
      <c r="Y627" s="4"/>
      <c r="Z627" s="4">
        <f ca="1">('TUSD BE'!$AM$51+'TUSD BF'!$AM$51+'TUSD CVA'!$AM$51)*1</f>
        <v>446.02270810064761</v>
      </c>
      <c r="AA627" s="4">
        <f>('TE BE'!$AB$42+'TE BF'!$AB$42+'TE CVA'!$AB$42)*1</f>
        <v>205.52329867469447</v>
      </c>
      <c r="AB627" s="4">
        <f>$K$627*$V$627</f>
        <v>0</v>
      </c>
      <c r="AC627" s="4">
        <f>$M$627*$W$627</f>
        <v>1457.78072</v>
      </c>
      <c r="AD627" s="4">
        <f>$O$627*$X$627</f>
        <v>713.72158000000002</v>
      </c>
      <c r="AE627" s="4">
        <f>$K$627*$Y$627</f>
        <v>0</v>
      </c>
      <c r="AF627" s="4">
        <f ca="1">$M$627*$Z$627</f>
        <v>1599.4374312489222</v>
      </c>
      <c r="AG627" s="4">
        <f>$O$627*$AA$627</f>
        <v>737.00654904745431</v>
      </c>
    </row>
    <row r="628" spans="1:33" ht="11.25" customHeight="1" x14ac:dyDescent="0.3">
      <c r="A628" s="3" t="s">
        <v>21</v>
      </c>
      <c r="B628" s="3" t="s">
        <v>37</v>
      </c>
      <c r="C628" s="3" t="s">
        <v>23</v>
      </c>
      <c r="D628" s="3" t="s">
        <v>44</v>
      </c>
      <c r="E628" s="3" t="s">
        <v>25</v>
      </c>
      <c r="F628" s="3" t="s">
        <v>25</v>
      </c>
      <c r="G628" s="3" t="s">
        <v>25</v>
      </c>
      <c r="H628" s="3" t="s">
        <v>25</v>
      </c>
      <c r="I628" s="6">
        <v>44378</v>
      </c>
      <c r="J628" s="4">
        <v>0</v>
      </c>
      <c r="K628" s="4">
        <v>0</v>
      </c>
      <c r="L628" s="4">
        <v>143.16200000000001</v>
      </c>
      <c r="M628" s="4">
        <v>143.16200000000001</v>
      </c>
      <c r="N628" s="4">
        <v>143.16200000000001</v>
      </c>
      <c r="O628" s="4">
        <v>143.16200000000001</v>
      </c>
      <c r="P628" s="4">
        <v>344</v>
      </c>
      <c r="Q628" s="3" t="s">
        <v>26</v>
      </c>
      <c r="R628" s="3">
        <v>0</v>
      </c>
      <c r="S628" s="4">
        <v>0</v>
      </c>
      <c r="T628" s="4">
        <v>47</v>
      </c>
      <c r="U628" s="4">
        <v>87</v>
      </c>
      <c r="V628" s="4">
        <f>IF(ISERROR(VLOOKUP($S$628,'TAR FIN'!$A$1:$O$91,15,0)),0,VLOOKUP($S$628,'TAR FIN'!$A$1:$O$91,15,0))</f>
        <v>0</v>
      </c>
      <c r="W628" s="4">
        <f>IF(ISERROR(VLOOKUP($T$628,'TAR FIN'!$A$1:$O$91,15,0)),0,VLOOKUP($T$628,'TAR FIN'!$A$1:$O$91,15,0))</f>
        <v>406.52</v>
      </c>
      <c r="X628" s="4">
        <f>IF(ISERROR(VLOOKUP($U$628,'TAR FIN'!$A$1:$O$91,15,0)),0,VLOOKUP($U$628,'TAR FIN'!$A$1:$O$91,15,0))</f>
        <v>199.03</v>
      </c>
      <c r="Y628" s="4"/>
      <c r="Z628" s="4">
        <f ca="1">('TUSD BE'!$AM$51+'TUSD BF'!$AM$51+'TUSD CVA'!$AM$51)*1</f>
        <v>446.02270810064761</v>
      </c>
      <c r="AA628" s="4">
        <f>('TE BE'!$AB$42+'TE BF'!$AB$42+'TE CVA'!$AB$42)*1</f>
        <v>205.52329867469447</v>
      </c>
      <c r="AB628" s="4">
        <f>$K$628*$V$628</f>
        <v>0</v>
      </c>
      <c r="AC628" s="4">
        <f>$M$628*$W$628</f>
        <v>58198.216240000002</v>
      </c>
      <c r="AD628" s="4">
        <f>$O$628*$X$628</f>
        <v>28493.532860000003</v>
      </c>
      <c r="AE628" s="4">
        <f>$K$628*$Y$628</f>
        <v>0</v>
      </c>
      <c r="AF628" s="4">
        <f ca="1">$M$628*$Z$628</f>
        <v>63853.502937104917</v>
      </c>
      <c r="AG628" s="4">
        <f>$O$628*$AA$628</f>
        <v>29423.126484866611</v>
      </c>
    </row>
    <row r="629" spans="1:33" ht="11.25" customHeight="1" x14ac:dyDescent="0.3">
      <c r="A629" s="3" t="s">
        <v>21</v>
      </c>
      <c r="B629" s="3" t="s">
        <v>37</v>
      </c>
      <c r="C629" s="3" t="s">
        <v>23</v>
      </c>
      <c r="D629" s="3" t="s">
        <v>44</v>
      </c>
      <c r="E629" s="3" t="s">
        <v>25</v>
      </c>
      <c r="F629" s="3" t="s">
        <v>25</v>
      </c>
      <c r="G629" s="3" t="s">
        <v>25</v>
      </c>
      <c r="H629" s="3" t="s">
        <v>25</v>
      </c>
      <c r="I629" s="6">
        <v>44409</v>
      </c>
      <c r="J629" s="4">
        <v>0</v>
      </c>
      <c r="K629" s="4">
        <v>0</v>
      </c>
      <c r="L629" s="4">
        <v>154.30500000000001</v>
      </c>
      <c r="M629" s="4">
        <v>154.30500000000001</v>
      </c>
      <c r="N629" s="4">
        <v>154.30500000000001</v>
      </c>
      <c r="O629" s="4">
        <v>154.30500000000001</v>
      </c>
      <c r="P629" s="4">
        <v>346</v>
      </c>
      <c r="Q629" s="3" t="s">
        <v>26</v>
      </c>
      <c r="R629" s="3">
        <v>0</v>
      </c>
      <c r="S629" s="4">
        <v>0</v>
      </c>
      <c r="T629" s="4">
        <v>47</v>
      </c>
      <c r="U629" s="4">
        <v>87</v>
      </c>
      <c r="V629" s="4">
        <f>IF(ISERROR(VLOOKUP($S$629,'TAR FIN'!$A$1:$O$91,15,0)),0,VLOOKUP($S$629,'TAR FIN'!$A$1:$O$91,15,0))</f>
        <v>0</v>
      </c>
      <c r="W629" s="4">
        <f>IF(ISERROR(VLOOKUP($T$629,'TAR FIN'!$A$1:$O$91,15,0)),0,VLOOKUP($T$629,'TAR FIN'!$A$1:$O$91,15,0))</f>
        <v>406.52</v>
      </c>
      <c r="X629" s="4">
        <f>IF(ISERROR(VLOOKUP($U$629,'TAR FIN'!$A$1:$O$91,15,0)),0,VLOOKUP($U$629,'TAR FIN'!$A$1:$O$91,15,0))</f>
        <v>199.03</v>
      </c>
      <c r="Y629" s="4"/>
      <c r="Z629" s="4">
        <f ca="1">('TUSD BE'!$AM$51+'TUSD BF'!$AM$51+'TUSD CVA'!$AM$51)*1</f>
        <v>446.02270810064761</v>
      </c>
      <c r="AA629" s="4">
        <f>('TE BE'!$AB$42+'TE BF'!$AB$42+'TE CVA'!$AB$42)*1</f>
        <v>205.52329867469447</v>
      </c>
      <c r="AB629" s="4">
        <f>$K$629*$V$629</f>
        <v>0</v>
      </c>
      <c r="AC629" s="4">
        <f>$M$629*$W$629</f>
        <v>62728.068599999999</v>
      </c>
      <c r="AD629" s="4">
        <f>$O$629*$X$629</f>
        <v>30711.32415</v>
      </c>
      <c r="AE629" s="4">
        <f>$K$629*$Y$629</f>
        <v>0</v>
      </c>
      <c r="AF629" s="4">
        <f ca="1">$M$629*$Z$629</f>
        <v>68823.533973470432</v>
      </c>
      <c r="AG629" s="4">
        <f>$O$629*$AA$629</f>
        <v>31713.272601998731</v>
      </c>
    </row>
    <row r="630" spans="1:33" ht="11.25" customHeight="1" x14ac:dyDescent="0.3">
      <c r="A630" s="3" t="s">
        <v>21</v>
      </c>
      <c r="B630" s="3" t="s">
        <v>37</v>
      </c>
      <c r="C630" s="3" t="s">
        <v>23</v>
      </c>
      <c r="D630" s="3" t="s">
        <v>44</v>
      </c>
      <c r="E630" s="3" t="s">
        <v>25</v>
      </c>
      <c r="F630" s="3" t="s">
        <v>25</v>
      </c>
      <c r="G630" s="3" t="s">
        <v>25</v>
      </c>
      <c r="H630" s="3" t="s">
        <v>25</v>
      </c>
      <c r="I630" s="6">
        <v>44440</v>
      </c>
      <c r="J630" s="4">
        <v>0</v>
      </c>
      <c r="K630" s="4">
        <v>0</v>
      </c>
      <c r="L630" s="4">
        <v>131.02699999999999</v>
      </c>
      <c r="M630" s="4">
        <v>131.02699999999999</v>
      </c>
      <c r="N630" s="4">
        <v>131.02699999999999</v>
      </c>
      <c r="O630" s="4">
        <v>131.02699999999999</v>
      </c>
      <c r="P630" s="4">
        <v>349</v>
      </c>
      <c r="Q630" s="3" t="s">
        <v>26</v>
      </c>
      <c r="R630" s="3">
        <v>0</v>
      </c>
      <c r="S630" s="4">
        <v>0</v>
      </c>
      <c r="T630" s="4">
        <v>47</v>
      </c>
      <c r="U630" s="4">
        <v>87</v>
      </c>
      <c r="V630" s="4">
        <f>IF(ISERROR(VLOOKUP($S$630,'TAR FIN'!$A$1:$O$91,15,0)),0,VLOOKUP($S$630,'TAR FIN'!$A$1:$O$91,15,0))</f>
        <v>0</v>
      </c>
      <c r="W630" s="4">
        <f>IF(ISERROR(VLOOKUP($T$630,'TAR FIN'!$A$1:$O$91,15,0)),0,VLOOKUP($T$630,'TAR FIN'!$A$1:$O$91,15,0))</f>
        <v>406.52</v>
      </c>
      <c r="X630" s="4">
        <f>IF(ISERROR(VLOOKUP($U$630,'TAR FIN'!$A$1:$O$91,15,0)),0,VLOOKUP($U$630,'TAR FIN'!$A$1:$O$91,15,0))</f>
        <v>199.03</v>
      </c>
      <c r="Y630" s="4"/>
      <c r="Z630" s="4">
        <f ca="1">('TUSD BE'!$AM$51+'TUSD BF'!$AM$51+'TUSD CVA'!$AM$51)*1</f>
        <v>446.02270810064761</v>
      </c>
      <c r="AA630" s="4">
        <f>('TE BE'!$AB$42+'TE BF'!$AB$42+'TE CVA'!$AB$42)*1</f>
        <v>205.52329867469447</v>
      </c>
      <c r="AB630" s="4">
        <f>$K$630*$V$630</f>
        <v>0</v>
      </c>
      <c r="AC630" s="4">
        <f>$M$630*$W$630</f>
        <v>53265.096039999989</v>
      </c>
      <c r="AD630" s="4">
        <f>$O$630*$X$630</f>
        <v>26078.303809999998</v>
      </c>
      <c r="AE630" s="4">
        <f>$K$630*$Y$630</f>
        <v>0</v>
      </c>
      <c r="AF630" s="4">
        <f ca="1">$M$630*$Z$630</f>
        <v>58441.017374303548</v>
      </c>
      <c r="AG630" s="4">
        <f>$O$630*$AA$630</f>
        <v>26929.10125544919</v>
      </c>
    </row>
    <row r="631" spans="1:33" ht="11.25" customHeight="1" x14ac:dyDescent="0.3">
      <c r="A631" s="3" t="s">
        <v>21</v>
      </c>
      <c r="B631" s="3" t="s">
        <v>37</v>
      </c>
      <c r="C631" s="3" t="s">
        <v>23</v>
      </c>
      <c r="D631" s="3" t="s">
        <v>44</v>
      </c>
      <c r="E631" s="3" t="s">
        <v>25</v>
      </c>
      <c r="F631" s="3" t="s">
        <v>25</v>
      </c>
      <c r="G631" s="3" t="s">
        <v>25</v>
      </c>
      <c r="H631" s="3" t="s">
        <v>25</v>
      </c>
      <c r="I631" s="6">
        <v>44470</v>
      </c>
      <c r="J631" s="4">
        <v>0</v>
      </c>
      <c r="K631" s="4">
        <v>0</v>
      </c>
      <c r="L631" s="4">
        <v>128.584</v>
      </c>
      <c r="M631" s="4">
        <v>128.584</v>
      </c>
      <c r="N631" s="4">
        <v>128.584</v>
      </c>
      <c r="O631" s="4">
        <v>128.584</v>
      </c>
      <c r="P631" s="4">
        <v>348</v>
      </c>
      <c r="Q631" s="3" t="s">
        <v>26</v>
      </c>
      <c r="R631" s="3">
        <v>0</v>
      </c>
      <c r="S631" s="4">
        <v>0</v>
      </c>
      <c r="T631" s="4">
        <v>47</v>
      </c>
      <c r="U631" s="4">
        <v>87</v>
      </c>
      <c r="V631" s="4">
        <f>IF(ISERROR(VLOOKUP($S$631,'TAR FIN'!$A$1:$O$91,15,0)),0,VLOOKUP($S$631,'TAR FIN'!$A$1:$O$91,15,0))</f>
        <v>0</v>
      </c>
      <c r="W631" s="4">
        <f>IF(ISERROR(VLOOKUP($T$631,'TAR FIN'!$A$1:$O$91,15,0)),0,VLOOKUP($T$631,'TAR FIN'!$A$1:$O$91,15,0))</f>
        <v>406.52</v>
      </c>
      <c r="X631" s="4">
        <f>IF(ISERROR(VLOOKUP($U$631,'TAR FIN'!$A$1:$O$91,15,0)),0,VLOOKUP($U$631,'TAR FIN'!$A$1:$O$91,15,0))</f>
        <v>199.03</v>
      </c>
      <c r="Y631" s="4"/>
      <c r="Z631" s="4">
        <f ca="1">('TUSD BE'!$AM$51+'TUSD BF'!$AM$51+'TUSD CVA'!$AM$51)*1</f>
        <v>446.02270810064761</v>
      </c>
      <c r="AA631" s="4">
        <f>('TE BE'!$AB$42+'TE BF'!$AB$42+'TE CVA'!$AB$42)*1</f>
        <v>205.52329867469447</v>
      </c>
      <c r="AB631" s="4">
        <f>$K$631*$V$631</f>
        <v>0</v>
      </c>
      <c r="AC631" s="4">
        <f>$M$631*$W$631</f>
        <v>52271.967680000002</v>
      </c>
      <c r="AD631" s="4">
        <f>$O$631*$X$631</f>
        <v>25592.073520000002</v>
      </c>
      <c r="AE631" s="4">
        <f>$K$631*$Y$631</f>
        <v>0</v>
      </c>
      <c r="AF631" s="4">
        <f ca="1">$M$631*$Z$631</f>
        <v>57351.383898413675</v>
      </c>
      <c r="AG631" s="4">
        <f>$O$631*$AA$631</f>
        <v>26427.007836786914</v>
      </c>
    </row>
    <row r="632" spans="1:33" ht="11.25" customHeight="1" x14ac:dyDescent="0.3">
      <c r="A632" s="3" t="s">
        <v>21</v>
      </c>
      <c r="B632" s="3" t="s">
        <v>37</v>
      </c>
      <c r="C632" s="3" t="s">
        <v>23</v>
      </c>
      <c r="D632" s="3" t="s">
        <v>44</v>
      </c>
      <c r="E632" s="3" t="s">
        <v>25</v>
      </c>
      <c r="F632" s="3" t="s">
        <v>25</v>
      </c>
      <c r="G632" s="3" t="s">
        <v>25</v>
      </c>
      <c r="H632" s="3" t="s">
        <v>25</v>
      </c>
      <c r="I632" s="6">
        <v>44501</v>
      </c>
      <c r="J632" s="4">
        <v>0</v>
      </c>
      <c r="K632" s="4">
        <v>0</v>
      </c>
      <c r="L632" s="4">
        <v>155.291</v>
      </c>
      <c r="M632" s="4">
        <v>155.291</v>
      </c>
      <c r="N632" s="4">
        <v>155.291</v>
      </c>
      <c r="O632" s="4">
        <v>155.291</v>
      </c>
      <c r="P632" s="4">
        <v>349</v>
      </c>
      <c r="Q632" s="3" t="s">
        <v>26</v>
      </c>
      <c r="R632" s="3">
        <v>0</v>
      </c>
      <c r="S632" s="4">
        <v>0</v>
      </c>
      <c r="T632" s="4">
        <v>47</v>
      </c>
      <c r="U632" s="4">
        <v>87</v>
      </c>
      <c r="V632" s="4">
        <f>IF(ISERROR(VLOOKUP($S$632,'TAR FIN'!$A$1:$O$91,15,0)),0,VLOOKUP($S$632,'TAR FIN'!$A$1:$O$91,15,0))</f>
        <v>0</v>
      </c>
      <c r="W632" s="4">
        <f>IF(ISERROR(VLOOKUP($T$632,'TAR FIN'!$A$1:$O$91,15,0)),0,VLOOKUP($T$632,'TAR FIN'!$A$1:$O$91,15,0))</f>
        <v>406.52</v>
      </c>
      <c r="X632" s="4">
        <f>IF(ISERROR(VLOOKUP($U$632,'TAR FIN'!$A$1:$O$91,15,0)),0,VLOOKUP($U$632,'TAR FIN'!$A$1:$O$91,15,0))</f>
        <v>199.03</v>
      </c>
      <c r="Y632" s="4"/>
      <c r="Z632" s="4">
        <f ca="1">('TUSD BE'!$AM$51+'TUSD BF'!$AM$51+'TUSD CVA'!$AM$51)*1</f>
        <v>446.02270810064761</v>
      </c>
      <c r="AA632" s="4">
        <f>('TE BE'!$AB$42+'TE BF'!$AB$42+'TE CVA'!$AB$42)*1</f>
        <v>205.52329867469447</v>
      </c>
      <c r="AB632" s="4">
        <f>$K$632*$V$632</f>
        <v>0</v>
      </c>
      <c r="AC632" s="4">
        <f>$M$632*$W$632</f>
        <v>63128.897319999996</v>
      </c>
      <c r="AD632" s="4">
        <f>$O$632*$X$632</f>
        <v>30907.567729999999</v>
      </c>
      <c r="AE632" s="4">
        <f>$K$632*$Y$632</f>
        <v>0</v>
      </c>
      <c r="AF632" s="4">
        <f ca="1">$M$632*$Z$632</f>
        <v>69263.312363657664</v>
      </c>
      <c r="AG632" s="4">
        <f>$O$632*$AA$632</f>
        <v>31915.918574491978</v>
      </c>
    </row>
    <row r="633" spans="1:33" ht="11.25" customHeight="1" x14ac:dyDescent="0.3">
      <c r="A633" s="3" t="s">
        <v>21</v>
      </c>
      <c r="B633" s="3" t="s">
        <v>37</v>
      </c>
      <c r="C633" s="3" t="s">
        <v>23</v>
      </c>
      <c r="D633" s="3" t="s">
        <v>44</v>
      </c>
      <c r="E633" s="3" t="s">
        <v>25</v>
      </c>
      <c r="F633" s="3" t="s">
        <v>25</v>
      </c>
      <c r="G633" s="3" t="s">
        <v>25</v>
      </c>
      <c r="H633" s="3" t="s">
        <v>25</v>
      </c>
      <c r="I633" s="6">
        <v>44531</v>
      </c>
      <c r="J633" s="4">
        <v>0</v>
      </c>
      <c r="K633" s="4">
        <v>0</v>
      </c>
      <c r="L633" s="4">
        <v>171.53299999999999</v>
      </c>
      <c r="M633" s="4">
        <v>171.53299999999999</v>
      </c>
      <c r="N633" s="4">
        <v>171.53299999999999</v>
      </c>
      <c r="O633" s="4">
        <v>171.53299999999999</v>
      </c>
      <c r="P633" s="4">
        <v>350</v>
      </c>
      <c r="Q633" s="3" t="s">
        <v>26</v>
      </c>
      <c r="R633" s="3">
        <v>0</v>
      </c>
      <c r="S633" s="4">
        <v>0</v>
      </c>
      <c r="T633" s="4">
        <v>47</v>
      </c>
      <c r="U633" s="4">
        <v>87</v>
      </c>
      <c r="V633" s="4">
        <f>IF(ISERROR(VLOOKUP($S$633,'TAR FIN'!$A$1:$O$91,15,0)),0,VLOOKUP($S$633,'TAR FIN'!$A$1:$O$91,15,0))</f>
        <v>0</v>
      </c>
      <c r="W633" s="4">
        <f>IF(ISERROR(VLOOKUP($T$633,'TAR FIN'!$A$1:$O$91,15,0)),0,VLOOKUP($T$633,'TAR FIN'!$A$1:$O$91,15,0))</f>
        <v>406.52</v>
      </c>
      <c r="X633" s="4">
        <f>IF(ISERROR(VLOOKUP($U$633,'TAR FIN'!$A$1:$O$91,15,0)),0,VLOOKUP($U$633,'TAR FIN'!$A$1:$O$91,15,0))</f>
        <v>199.03</v>
      </c>
      <c r="Y633" s="4"/>
      <c r="Z633" s="4">
        <f ca="1">('TUSD BE'!$AM$51+'TUSD BF'!$AM$51+'TUSD CVA'!$AM$51)*1</f>
        <v>446.02270810064761</v>
      </c>
      <c r="AA633" s="4">
        <f>('TE BE'!$AB$42+'TE BF'!$AB$42+'TE CVA'!$AB$42)*1</f>
        <v>205.52329867469447</v>
      </c>
      <c r="AB633" s="4">
        <f>$K$633*$V$633</f>
        <v>0</v>
      </c>
      <c r="AC633" s="4">
        <f>$M$633*$W$633</f>
        <v>69731.595159999997</v>
      </c>
      <c r="AD633" s="4">
        <f>$O$633*$X$633</f>
        <v>34140.21299</v>
      </c>
      <c r="AE633" s="4">
        <f>$K$633*$Y$633</f>
        <v>0</v>
      </c>
      <c r="AF633" s="4">
        <f ca="1">$M$633*$Z$633</f>
        <v>76507.613188628384</v>
      </c>
      <c r="AG633" s="4">
        <f>$O$633*$AA$633</f>
        <v>35254.027991566363</v>
      </c>
    </row>
    <row r="634" spans="1:33" ht="11.25" customHeight="1" x14ac:dyDescent="0.3">
      <c r="A634" s="3" t="s">
        <v>21</v>
      </c>
      <c r="B634" s="3" t="s">
        <v>37</v>
      </c>
      <c r="C634" s="3" t="s">
        <v>23</v>
      </c>
      <c r="D634" s="3" t="s">
        <v>44</v>
      </c>
      <c r="E634" s="3" t="s">
        <v>25</v>
      </c>
      <c r="F634" s="3" t="s">
        <v>25</v>
      </c>
      <c r="G634" s="3" t="s">
        <v>25</v>
      </c>
      <c r="H634" s="3" t="s">
        <v>25</v>
      </c>
      <c r="I634" s="6">
        <v>44562</v>
      </c>
      <c r="J634" s="4">
        <v>0</v>
      </c>
      <c r="K634" s="4">
        <v>0</v>
      </c>
      <c r="L634" s="4">
        <v>195.52199999999999</v>
      </c>
      <c r="M634" s="4">
        <v>195.52199999999999</v>
      </c>
      <c r="N634" s="4">
        <v>195.52199999999999</v>
      </c>
      <c r="O634" s="4">
        <v>195.52199999999999</v>
      </c>
      <c r="P634" s="4">
        <v>359</v>
      </c>
      <c r="Q634" s="3" t="s">
        <v>26</v>
      </c>
      <c r="R634" s="3">
        <v>0</v>
      </c>
      <c r="S634" s="4">
        <v>0</v>
      </c>
      <c r="T634" s="4">
        <v>47</v>
      </c>
      <c r="U634" s="4">
        <v>87</v>
      </c>
      <c r="V634" s="4">
        <f>IF(ISERROR(VLOOKUP($S$634,'TAR FIN'!$A$1:$O$91,15,0)),0,VLOOKUP($S$634,'TAR FIN'!$A$1:$O$91,15,0))</f>
        <v>0</v>
      </c>
      <c r="W634" s="4">
        <f>IF(ISERROR(VLOOKUP($T$634,'TAR FIN'!$A$1:$O$91,15,0)),0,VLOOKUP($T$634,'TAR FIN'!$A$1:$O$91,15,0))</f>
        <v>406.52</v>
      </c>
      <c r="X634" s="4">
        <f>IF(ISERROR(VLOOKUP($U$634,'TAR FIN'!$A$1:$O$91,15,0)),0,VLOOKUP($U$634,'TAR FIN'!$A$1:$O$91,15,0))</f>
        <v>199.03</v>
      </c>
      <c r="Y634" s="4"/>
      <c r="Z634" s="4">
        <f ca="1">('TUSD BE'!$AM$51+'TUSD BF'!$AM$51+'TUSD CVA'!$AM$51)*1</f>
        <v>446.02270810064761</v>
      </c>
      <c r="AA634" s="4">
        <f>('TE BE'!$AB$42+'TE BF'!$AB$42+'TE CVA'!$AB$42)*1</f>
        <v>205.52329867469447</v>
      </c>
      <c r="AB634" s="4">
        <f>$K$634*$V$634</f>
        <v>0</v>
      </c>
      <c r="AC634" s="4">
        <f>$M$634*$W$634</f>
        <v>79483.603439999992</v>
      </c>
      <c r="AD634" s="4">
        <f>$O$634*$X$634</f>
        <v>38914.74366</v>
      </c>
      <c r="AE634" s="4">
        <f>$K$634*$Y$634</f>
        <v>0</v>
      </c>
      <c r="AF634" s="4">
        <f ca="1">$M$634*$Z$634</f>
        <v>87207.251933254811</v>
      </c>
      <c r="AG634" s="4">
        <f>$O$634*$AA$634</f>
        <v>40184.326403473613</v>
      </c>
    </row>
    <row r="635" spans="1:33" ht="11.25" customHeight="1" x14ac:dyDescent="0.3">
      <c r="A635" s="3" t="s">
        <v>27</v>
      </c>
      <c r="B635" s="3" t="s">
        <v>37</v>
      </c>
      <c r="C635" s="3" t="s">
        <v>23</v>
      </c>
      <c r="D635" s="3" t="s">
        <v>44</v>
      </c>
      <c r="E635" s="3" t="s">
        <v>25</v>
      </c>
      <c r="F635" s="3" t="s">
        <v>25</v>
      </c>
      <c r="G635" s="3" t="s">
        <v>25</v>
      </c>
      <c r="H635" s="3" t="s">
        <v>25</v>
      </c>
      <c r="I635" s="6">
        <v>44562</v>
      </c>
      <c r="J635" s="4">
        <v>0</v>
      </c>
      <c r="K635" s="4">
        <v>0</v>
      </c>
      <c r="L635" s="4">
        <v>-0.85699999999999998</v>
      </c>
      <c r="M635" s="4">
        <v>-0.85699999999999998</v>
      </c>
      <c r="N635" s="4">
        <v>-0.85699999999999998</v>
      </c>
      <c r="O635" s="4">
        <v>-0.85699999999999998</v>
      </c>
      <c r="P635" s="4">
        <v>0</v>
      </c>
      <c r="Q635" s="3" t="s">
        <v>26</v>
      </c>
      <c r="R635" s="3">
        <v>0</v>
      </c>
      <c r="S635" s="4">
        <v>0</v>
      </c>
      <c r="T635" s="4">
        <v>47</v>
      </c>
      <c r="U635" s="4">
        <v>87</v>
      </c>
      <c r="V635" s="4">
        <f>IF(ISERROR(VLOOKUP($S$635,'TAR FIN'!$A$1:$O$91,15,0)),0,VLOOKUP($S$635,'TAR FIN'!$A$1:$O$91,15,0))</f>
        <v>0</v>
      </c>
      <c r="W635" s="4">
        <f>IF(ISERROR(VLOOKUP($T$635,'TAR FIN'!$A$1:$O$91,15,0)),0,VLOOKUP($T$635,'TAR FIN'!$A$1:$O$91,15,0))</f>
        <v>406.52</v>
      </c>
      <c r="X635" s="4">
        <f>IF(ISERROR(VLOOKUP($U$635,'TAR FIN'!$A$1:$O$91,15,0)),0,VLOOKUP($U$635,'TAR FIN'!$A$1:$O$91,15,0))</f>
        <v>199.03</v>
      </c>
      <c r="Y635" s="4"/>
      <c r="Z635" s="4">
        <f ca="1">('TUSD BE'!$AM$51+'TUSD BF'!$AM$51+'TUSD CVA'!$AM$51)*1</f>
        <v>446.02270810064761</v>
      </c>
      <c r="AA635" s="4">
        <f>('TE BE'!$AB$42+'TE BF'!$AB$42+'TE CVA'!$AB$42)*1</f>
        <v>205.52329867469447</v>
      </c>
      <c r="AB635" s="4">
        <f>$K$635*$V$635</f>
        <v>0</v>
      </c>
      <c r="AC635" s="4">
        <f>$M$635*$W$635</f>
        <v>-348.38763999999998</v>
      </c>
      <c r="AD635" s="4">
        <f>$O$635*$X$635</f>
        <v>-170.56871000000001</v>
      </c>
      <c r="AE635" s="4">
        <f>$K$635*$Y$635</f>
        <v>0</v>
      </c>
      <c r="AF635" s="4">
        <f ca="1">$M$635*$Z$635</f>
        <v>-382.24146084225498</v>
      </c>
      <c r="AG635" s="4">
        <f>$O$635*$AA$635</f>
        <v>-176.13346696421317</v>
      </c>
    </row>
    <row r="636" spans="1:33" ht="11.25" customHeight="1" x14ac:dyDescent="0.3">
      <c r="A636" s="3" t="s">
        <v>21</v>
      </c>
      <c r="B636" s="3" t="s">
        <v>37</v>
      </c>
      <c r="C636" s="3" t="s">
        <v>23</v>
      </c>
      <c r="D636" s="3" t="s">
        <v>44</v>
      </c>
      <c r="E636" s="3" t="s">
        <v>25</v>
      </c>
      <c r="F636" s="3" t="s">
        <v>25</v>
      </c>
      <c r="G636" s="3" t="s">
        <v>25</v>
      </c>
      <c r="H636" s="3" t="s">
        <v>25</v>
      </c>
      <c r="I636" s="6">
        <v>44593</v>
      </c>
      <c r="J636" s="4">
        <v>0</v>
      </c>
      <c r="K636" s="4">
        <v>0</v>
      </c>
      <c r="L636" s="4">
        <v>232.274</v>
      </c>
      <c r="M636" s="4">
        <v>232.274</v>
      </c>
      <c r="N636" s="4">
        <v>232.274</v>
      </c>
      <c r="O636" s="4">
        <v>232.274</v>
      </c>
      <c r="P636" s="4">
        <v>361</v>
      </c>
      <c r="Q636" s="3" t="s">
        <v>26</v>
      </c>
      <c r="R636" s="3">
        <v>0</v>
      </c>
      <c r="S636" s="4">
        <v>0</v>
      </c>
      <c r="T636" s="4">
        <v>47</v>
      </c>
      <c r="U636" s="4">
        <v>87</v>
      </c>
      <c r="V636" s="4">
        <f>IF(ISERROR(VLOOKUP($S$636,'TAR FIN'!$A$1:$O$91,15,0)),0,VLOOKUP($S$636,'TAR FIN'!$A$1:$O$91,15,0))</f>
        <v>0</v>
      </c>
      <c r="W636" s="4">
        <f>IF(ISERROR(VLOOKUP($T$636,'TAR FIN'!$A$1:$O$91,15,0)),0,VLOOKUP($T$636,'TAR FIN'!$A$1:$O$91,15,0))</f>
        <v>406.52</v>
      </c>
      <c r="X636" s="4">
        <f>IF(ISERROR(VLOOKUP($U$636,'TAR FIN'!$A$1:$O$91,15,0)),0,VLOOKUP($U$636,'TAR FIN'!$A$1:$O$91,15,0))</f>
        <v>199.03</v>
      </c>
      <c r="Y636" s="4"/>
      <c r="Z636" s="4">
        <f ca="1">('TUSD BE'!$AM$51+'TUSD BF'!$AM$51+'TUSD CVA'!$AM$51)*1</f>
        <v>446.02270810064761</v>
      </c>
      <c r="AA636" s="4">
        <f>('TE BE'!$AB$42+'TE BF'!$AB$42+'TE CVA'!$AB$42)*1</f>
        <v>205.52329867469447</v>
      </c>
      <c r="AB636" s="4">
        <f>$K$636*$V$636</f>
        <v>0</v>
      </c>
      <c r="AC636" s="4">
        <f>$M$636*$W$636</f>
        <v>94424.02648</v>
      </c>
      <c r="AD636" s="4">
        <f>$O$636*$X$636</f>
        <v>46229.49422</v>
      </c>
      <c r="AE636" s="4">
        <f>$K$636*$Y$636</f>
        <v>0</v>
      </c>
      <c r="AF636" s="4">
        <f ca="1">$M$636*$Z$636</f>
        <v>103599.47850136983</v>
      </c>
      <c r="AG636" s="4">
        <f>$O$636*$AA$636</f>
        <v>47737.718676365985</v>
      </c>
    </row>
    <row r="637" spans="1:33" ht="11.25" customHeight="1" x14ac:dyDescent="0.3">
      <c r="A637" s="3" t="s">
        <v>27</v>
      </c>
      <c r="B637" s="3" t="s">
        <v>37</v>
      </c>
      <c r="C637" s="3" t="s">
        <v>23</v>
      </c>
      <c r="D637" s="3" t="s">
        <v>44</v>
      </c>
      <c r="E637" s="3" t="s">
        <v>25</v>
      </c>
      <c r="F637" s="3" t="s">
        <v>25</v>
      </c>
      <c r="G637" s="3" t="s">
        <v>25</v>
      </c>
      <c r="H637" s="3" t="s">
        <v>25</v>
      </c>
      <c r="I637" s="6">
        <v>44593</v>
      </c>
      <c r="J637" s="4">
        <v>0</v>
      </c>
      <c r="K637" s="4">
        <v>0</v>
      </c>
      <c r="L637" s="4">
        <v>1.075</v>
      </c>
      <c r="M637" s="4">
        <v>1.075</v>
      </c>
      <c r="N637" s="4">
        <v>1.075</v>
      </c>
      <c r="O637" s="4">
        <v>1.075</v>
      </c>
      <c r="P637" s="4">
        <v>0</v>
      </c>
      <c r="Q637" s="3" t="s">
        <v>26</v>
      </c>
      <c r="R637" s="3">
        <v>0</v>
      </c>
      <c r="S637" s="4">
        <v>0</v>
      </c>
      <c r="T637" s="4">
        <v>47</v>
      </c>
      <c r="U637" s="4">
        <v>87</v>
      </c>
      <c r="V637" s="4">
        <f>IF(ISERROR(VLOOKUP($S$637,'TAR FIN'!$A$1:$O$91,15,0)),0,VLOOKUP($S$637,'TAR FIN'!$A$1:$O$91,15,0))</f>
        <v>0</v>
      </c>
      <c r="W637" s="4">
        <f>IF(ISERROR(VLOOKUP($T$637,'TAR FIN'!$A$1:$O$91,15,0)),0,VLOOKUP($T$637,'TAR FIN'!$A$1:$O$91,15,0))</f>
        <v>406.52</v>
      </c>
      <c r="X637" s="4">
        <f>IF(ISERROR(VLOOKUP($U$637,'TAR FIN'!$A$1:$O$91,15,0)),0,VLOOKUP($U$637,'TAR FIN'!$A$1:$O$91,15,0))</f>
        <v>199.03</v>
      </c>
      <c r="Y637" s="4"/>
      <c r="Z637" s="4">
        <f ca="1">('TUSD BE'!$AM$51+'TUSD BF'!$AM$51+'TUSD CVA'!$AM$51)*1</f>
        <v>446.02270810064761</v>
      </c>
      <c r="AA637" s="4">
        <f>('TE BE'!$AB$42+'TE BF'!$AB$42+'TE CVA'!$AB$42)*1</f>
        <v>205.52329867469447</v>
      </c>
      <c r="AB637" s="4">
        <f>$K$637*$V$637</f>
        <v>0</v>
      </c>
      <c r="AC637" s="4">
        <f>$M$637*$W$637</f>
        <v>437.00899999999996</v>
      </c>
      <c r="AD637" s="4">
        <f>$O$637*$X$637</f>
        <v>213.95724999999999</v>
      </c>
      <c r="AE637" s="4">
        <f>$K$637*$Y$637</f>
        <v>0</v>
      </c>
      <c r="AF637" s="4">
        <f ca="1">$M$637*$Z$637</f>
        <v>479.47441120819616</v>
      </c>
      <c r="AG637" s="4">
        <f>$O$637*$AA$637</f>
        <v>220.93754607529655</v>
      </c>
    </row>
    <row r="638" spans="1:33" ht="11.25" customHeight="1" x14ac:dyDescent="0.3">
      <c r="A638" s="3" t="s">
        <v>21</v>
      </c>
      <c r="B638" s="3" t="s">
        <v>37</v>
      </c>
      <c r="C638" s="3" t="s">
        <v>23</v>
      </c>
      <c r="D638" s="3" t="s">
        <v>44</v>
      </c>
      <c r="E638" s="3" t="s">
        <v>25</v>
      </c>
      <c r="F638" s="3" t="s">
        <v>25</v>
      </c>
      <c r="G638" s="3" t="s">
        <v>25</v>
      </c>
      <c r="H638" s="3" t="s">
        <v>25</v>
      </c>
      <c r="I638" s="6">
        <v>44621</v>
      </c>
      <c r="J638" s="4">
        <v>0</v>
      </c>
      <c r="K638" s="4">
        <v>0</v>
      </c>
      <c r="L638" s="4">
        <v>213.52600000000001</v>
      </c>
      <c r="M638" s="4">
        <v>213.52600000000001</v>
      </c>
      <c r="N638" s="4">
        <v>213.52600000000001</v>
      </c>
      <c r="O638" s="4">
        <v>213.52600000000001</v>
      </c>
      <c r="P638" s="4">
        <v>360</v>
      </c>
      <c r="Q638" s="3" t="s">
        <v>26</v>
      </c>
      <c r="R638" s="3">
        <v>0</v>
      </c>
      <c r="S638" s="4">
        <v>0</v>
      </c>
      <c r="T638" s="4">
        <v>47</v>
      </c>
      <c r="U638" s="4">
        <v>87</v>
      </c>
      <c r="V638" s="4">
        <f>IF(ISERROR(VLOOKUP($S$638,'TAR FIN'!$A$1:$O$91,15,0)),0,VLOOKUP($S$638,'TAR FIN'!$A$1:$O$91,15,0))</f>
        <v>0</v>
      </c>
      <c r="W638" s="4">
        <f>IF(ISERROR(VLOOKUP($T$638,'TAR FIN'!$A$1:$O$91,15,0)),0,VLOOKUP($T$638,'TAR FIN'!$A$1:$O$91,15,0))</f>
        <v>406.52</v>
      </c>
      <c r="X638" s="4">
        <f>IF(ISERROR(VLOOKUP($U$638,'TAR FIN'!$A$1:$O$91,15,0)),0,VLOOKUP($U$638,'TAR FIN'!$A$1:$O$91,15,0))</f>
        <v>199.03</v>
      </c>
      <c r="Y638" s="4"/>
      <c r="Z638" s="4">
        <f ca="1">('TUSD BE'!$AM$51+'TUSD BF'!$AM$51+'TUSD CVA'!$AM$51)*1</f>
        <v>446.02270810064761</v>
      </c>
      <c r="AA638" s="4">
        <f>('TE BE'!$AB$42+'TE BF'!$AB$42+'TE CVA'!$AB$42)*1</f>
        <v>205.52329867469447</v>
      </c>
      <c r="AB638" s="4">
        <f>$K$638*$V$638</f>
        <v>0</v>
      </c>
      <c r="AC638" s="4">
        <f>$M$638*$W$638</f>
        <v>86802.589519999994</v>
      </c>
      <c r="AD638" s="4">
        <f>$O$638*$X$638</f>
        <v>42498.07978</v>
      </c>
      <c r="AE638" s="4">
        <f>$K$638*$Y$638</f>
        <v>0</v>
      </c>
      <c r="AF638" s="4">
        <f ca="1">$M$638*$Z$638</f>
        <v>95237.444769898881</v>
      </c>
      <c r="AG638" s="4">
        <f>$O$638*$AA$638</f>
        <v>43884.567872812811</v>
      </c>
    </row>
    <row r="639" spans="1:33" ht="11.25" customHeight="1" x14ac:dyDescent="0.3">
      <c r="A639" s="3" t="s">
        <v>21</v>
      </c>
      <c r="B639" s="3" t="s">
        <v>37</v>
      </c>
      <c r="C639" s="3" t="s">
        <v>23</v>
      </c>
      <c r="D639" s="3" t="s">
        <v>44</v>
      </c>
      <c r="E639" s="3" t="s">
        <v>25</v>
      </c>
      <c r="F639" s="3" t="s">
        <v>25</v>
      </c>
      <c r="G639" s="3" t="s">
        <v>25</v>
      </c>
      <c r="H639" s="3" t="s">
        <v>25</v>
      </c>
      <c r="I639" s="6">
        <v>44652</v>
      </c>
      <c r="J639" s="4">
        <v>0</v>
      </c>
      <c r="K639" s="4">
        <v>0</v>
      </c>
      <c r="L639" s="4">
        <v>144.05799999999999</v>
      </c>
      <c r="M639" s="4">
        <v>144.05799999999999</v>
      </c>
      <c r="N639" s="4">
        <v>144.05799999999999</v>
      </c>
      <c r="O639" s="4">
        <v>144.05799999999999</v>
      </c>
      <c r="P639" s="4">
        <v>358</v>
      </c>
      <c r="Q639" s="3" t="s">
        <v>26</v>
      </c>
      <c r="R639" s="3">
        <v>0</v>
      </c>
      <c r="S639" s="4">
        <v>0</v>
      </c>
      <c r="T639" s="4">
        <v>47</v>
      </c>
      <c r="U639" s="4">
        <v>87</v>
      </c>
      <c r="V639" s="4">
        <f>IF(ISERROR(VLOOKUP($S$639,'TAR FIN'!$A$1:$O$91,15,0)),0,VLOOKUP($S$639,'TAR FIN'!$A$1:$O$91,15,0))</f>
        <v>0</v>
      </c>
      <c r="W639" s="4">
        <f>IF(ISERROR(VLOOKUP($T$639,'TAR FIN'!$A$1:$O$91,15,0)),0,VLOOKUP($T$639,'TAR FIN'!$A$1:$O$91,15,0))</f>
        <v>406.52</v>
      </c>
      <c r="X639" s="4">
        <f>IF(ISERROR(VLOOKUP($U$639,'TAR FIN'!$A$1:$O$91,15,0)),0,VLOOKUP($U$639,'TAR FIN'!$A$1:$O$91,15,0))</f>
        <v>199.03</v>
      </c>
      <c r="Y639" s="4"/>
      <c r="Z639" s="4">
        <f ca="1">('TUSD BE'!$AM$51+'TUSD BF'!$AM$51+'TUSD CVA'!$AM$51)*1</f>
        <v>446.02270810064761</v>
      </c>
      <c r="AA639" s="4">
        <f>('TE BE'!$AB$42+'TE BF'!$AB$42+'TE CVA'!$AB$42)*1</f>
        <v>205.52329867469447</v>
      </c>
      <c r="AB639" s="4">
        <f>$K$639*$V$639</f>
        <v>0</v>
      </c>
      <c r="AC639" s="4">
        <f>$M$639*$W$639</f>
        <v>58562.458159999995</v>
      </c>
      <c r="AD639" s="4">
        <f>$O$639*$X$639</f>
        <v>28671.863739999997</v>
      </c>
      <c r="AE639" s="4">
        <f>$K$639*$Y$639</f>
        <v>0</v>
      </c>
      <c r="AF639" s="4">
        <f ca="1">$M$639*$Z$639</f>
        <v>64253.13928356309</v>
      </c>
      <c r="AG639" s="4">
        <f>$O$639*$AA$639</f>
        <v>29607.275360479136</v>
      </c>
    </row>
    <row r="640" spans="1:33" ht="11.25" customHeight="1" x14ac:dyDescent="0.3">
      <c r="A640" s="3" t="s">
        <v>21</v>
      </c>
      <c r="B640" s="3" t="s">
        <v>37</v>
      </c>
      <c r="C640" s="3" t="s">
        <v>23</v>
      </c>
      <c r="D640" s="3" t="s">
        <v>44</v>
      </c>
      <c r="E640" s="3" t="s">
        <v>25</v>
      </c>
      <c r="F640" s="3" t="s">
        <v>25</v>
      </c>
      <c r="G640" s="3" t="s">
        <v>25</v>
      </c>
      <c r="H640" s="3" t="s">
        <v>25</v>
      </c>
      <c r="I640" s="6">
        <v>44682</v>
      </c>
      <c r="J640" s="4">
        <v>0</v>
      </c>
      <c r="K640" s="4">
        <v>0</v>
      </c>
      <c r="L640" s="4">
        <v>138.90100000000001</v>
      </c>
      <c r="M640" s="4">
        <v>138.90100000000001</v>
      </c>
      <c r="N640" s="4">
        <v>138.90100000000001</v>
      </c>
      <c r="O640" s="4">
        <v>138.90100000000001</v>
      </c>
      <c r="P640" s="4">
        <v>356</v>
      </c>
      <c r="Q640" s="3" t="s">
        <v>26</v>
      </c>
      <c r="R640" s="3">
        <v>0</v>
      </c>
      <c r="S640" s="4">
        <v>0</v>
      </c>
      <c r="T640" s="4">
        <v>47</v>
      </c>
      <c r="U640" s="4">
        <v>87</v>
      </c>
      <c r="V640" s="4">
        <f>IF(ISERROR(VLOOKUP($S$640,'TAR FIN'!$A$1:$O$91,15,0)),0,VLOOKUP($S$640,'TAR FIN'!$A$1:$O$91,15,0))</f>
        <v>0</v>
      </c>
      <c r="W640" s="4">
        <f>IF(ISERROR(VLOOKUP($T$640,'TAR FIN'!$A$1:$O$91,15,0)),0,VLOOKUP($T$640,'TAR FIN'!$A$1:$O$91,15,0))</f>
        <v>406.52</v>
      </c>
      <c r="X640" s="4">
        <f>IF(ISERROR(VLOOKUP($U$640,'TAR FIN'!$A$1:$O$91,15,0)),0,VLOOKUP($U$640,'TAR FIN'!$A$1:$O$91,15,0))</f>
        <v>199.03</v>
      </c>
      <c r="Y640" s="4"/>
      <c r="Z640" s="4">
        <f ca="1">('TUSD BE'!$AM$51+'TUSD BF'!$AM$51+'TUSD CVA'!$AM$51)*1</f>
        <v>446.02270810064761</v>
      </c>
      <c r="AA640" s="4">
        <f>('TE BE'!$AB$42+'TE BF'!$AB$42+'TE CVA'!$AB$42)*1</f>
        <v>205.52329867469447</v>
      </c>
      <c r="AB640" s="4">
        <f>$K$640*$V$640</f>
        <v>0</v>
      </c>
      <c r="AC640" s="4">
        <f>$M$640*$W$640</f>
        <v>56466.034520000001</v>
      </c>
      <c r="AD640" s="4">
        <f>$O$640*$X$640</f>
        <v>27645.466030000003</v>
      </c>
      <c r="AE640" s="4">
        <f>$K$640*$Y$640</f>
        <v>0</v>
      </c>
      <c r="AF640" s="4">
        <f ca="1">$M$640*$Z$640</f>
        <v>61953.000177888054</v>
      </c>
      <c r="AG640" s="4">
        <f>$O$640*$AA$640</f>
        <v>28547.391709213738</v>
      </c>
    </row>
    <row r="641" spans="1:33" ht="11.25" customHeight="1" x14ac:dyDescent="0.3">
      <c r="A641" s="3" t="s">
        <v>21</v>
      </c>
      <c r="B641" s="3" t="s">
        <v>37</v>
      </c>
      <c r="C641" s="3" t="s">
        <v>23</v>
      </c>
      <c r="D641" s="3" t="s">
        <v>44</v>
      </c>
      <c r="E641" s="3" t="s">
        <v>25</v>
      </c>
      <c r="F641" s="3" t="s">
        <v>25</v>
      </c>
      <c r="G641" s="3" t="s">
        <v>25</v>
      </c>
      <c r="H641" s="3" t="s">
        <v>25</v>
      </c>
      <c r="I641" s="6">
        <v>44713</v>
      </c>
      <c r="J641" s="4">
        <v>0</v>
      </c>
      <c r="K641" s="4">
        <v>0</v>
      </c>
      <c r="L641" s="4">
        <v>168.69499999999999</v>
      </c>
      <c r="M641" s="4">
        <v>168.69499999999999</v>
      </c>
      <c r="N641" s="4">
        <v>168.69499999999999</v>
      </c>
      <c r="O641" s="4">
        <v>168.69499999999999</v>
      </c>
      <c r="P641" s="4">
        <v>356</v>
      </c>
      <c r="Q641" s="3" t="s">
        <v>26</v>
      </c>
      <c r="R641" s="3">
        <v>0</v>
      </c>
      <c r="S641" s="4">
        <v>0</v>
      </c>
      <c r="T641" s="4">
        <v>47</v>
      </c>
      <c r="U641" s="4">
        <v>87</v>
      </c>
      <c r="V641" s="4">
        <f>IF(ISERROR(VLOOKUP($S$641,'TAR FIN'!$A$1:$O$91,15,0)),0,VLOOKUP($S$641,'TAR FIN'!$A$1:$O$91,15,0))</f>
        <v>0</v>
      </c>
      <c r="W641" s="4">
        <f>IF(ISERROR(VLOOKUP($T$641,'TAR FIN'!$A$1:$O$91,15,0)),0,VLOOKUP($T$641,'TAR FIN'!$A$1:$O$91,15,0))</f>
        <v>406.52</v>
      </c>
      <c r="X641" s="4">
        <f>IF(ISERROR(VLOOKUP($U$641,'TAR FIN'!$A$1:$O$91,15,0)),0,VLOOKUP($U$641,'TAR FIN'!$A$1:$O$91,15,0))</f>
        <v>199.03</v>
      </c>
      <c r="Y641" s="4"/>
      <c r="Z641" s="4">
        <f ca="1">('TUSD BE'!$AM$51+'TUSD BF'!$AM$51+'TUSD CVA'!$AM$51)*1</f>
        <v>446.02270810064761</v>
      </c>
      <c r="AA641" s="4">
        <f>('TE BE'!$AB$42+'TE BF'!$AB$42+'TE CVA'!$AB$42)*1</f>
        <v>205.52329867469447</v>
      </c>
      <c r="AB641" s="4">
        <f>$K$641*$V$641</f>
        <v>0</v>
      </c>
      <c r="AC641" s="4">
        <f>$M$641*$W$641</f>
        <v>68577.891399999993</v>
      </c>
      <c r="AD641" s="4">
        <f>$O$641*$X$641</f>
        <v>33575.365850000002</v>
      </c>
      <c r="AE641" s="4">
        <f>$K$641*$Y$641</f>
        <v>0</v>
      </c>
      <c r="AF641" s="4">
        <f ca="1">$M$641*$Z$641</f>
        <v>75241.800743038752</v>
      </c>
      <c r="AG641" s="4">
        <f>$O$641*$AA$641</f>
        <v>34670.752869927586</v>
      </c>
    </row>
    <row r="642" spans="1:33" ht="11.25" customHeight="1" x14ac:dyDescent="0.3">
      <c r="A642" s="3" t="s">
        <v>21</v>
      </c>
      <c r="B642" s="3" t="s">
        <v>37</v>
      </c>
      <c r="C642" s="3" t="s">
        <v>23</v>
      </c>
      <c r="D642" s="3" t="s">
        <v>48</v>
      </c>
      <c r="E642" s="3" t="s">
        <v>49</v>
      </c>
      <c r="F642" s="3" t="s">
        <v>25</v>
      </c>
      <c r="G642" s="3" t="s">
        <v>25</v>
      </c>
      <c r="H642" s="3" t="s">
        <v>25</v>
      </c>
      <c r="I642" s="6">
        <v>44378</v>
      </c>
      <c r="J642" s="4">
        <v>0</v>
      </c>
      <c r="K642" s="88">
        <v>0</v>
      </c>
      <c r="L642" s="4">
        <v>74.566999999999993</v>
      </c>
      <c r="M642" s="88">
        <v>74.566999999999993</v>
      </c>
      <c r="N642" s="4">
        <v>74.566999999999993</v>
      </c>
      <c r="O642" s="88">
        <v>74.566999999999993</v>
      </c>
      <c r="P642" s="4">
        <v>29</v>
      </c>
      <c r="Q642" s="3" t="s">
        <v>26</v>
      </c>
      <c r="R642" s="3">
        <v>0</v>
      </c>
      <c r="S642" s="4">
        <v>0</v>
      </c>
      <c r="T642" s="4">
        <v>47</v>
      </c>
      <c r="U642" s="4">
        <v>87</v>
      </c>
      <c r="V642" s="88">
        <f>IF(ISERROR(VLOOKUP($S$642,'TAR FIN'!$A$1:$O$91,15,0)),0,VLOOKUP($S$642,'TAR FIN'!$A$1:$O$91,15,0))</f>
        <v>0</v>
      </c>
      <c r="W642" s="88">
        <f>IF(ISERROR(VLOOKUP($T$642,'TAR FIN'!$A$1:$O$91,15,0)),0,VLOOKUP($T$642,'TAR FIN'!$A$1:$O$91,15,0))*(1-0.06)</f>
        <v>382.12879999999996</v>
      </c>
      <c r="X642" s="88">
        <f>IF(ISERROR(VLOOKUP($U$642,'TAR FIN'!$A$1:$O$91,15,0)),0,VLOOKUP($U$642,'TAR FIN'!$A$1:$O$91,15,0))*(1-0.06)</f>
        <v>187.0882</v>
      </c>
      <c r="Y642" s="88"/>
      <c r="Z642" s="88">
        <f ca="1">('TUSD BE'!$AM$51+'TUSD BF'!$AM$51+'TUSD CVA'!$AM$51)*1*(1-0.03)</f>
        <v>432.64202685762814</v>
      </c>
      <c r="AA642" s="88">
        <f>('TE BE'!$AB$42+'TE BF'!$AB$42+'TE CVA'!$AB$42)*1*(1-0.03)</f>
        <v>199.35759971445364</v>
      </c>
      <c r="AB642" s="4">
        <f>$K$642*$V$642</f>
        <v>0</v>
      </c>
      <c r="AC642" s="4">
        <f>$M$642*$W$642</f>
        <v>28494.198229599995</v>
      </c>
      <c r="AD642" s="4">
        <f>$O$642*$X$642</f>
        <v>13950.605809399998</v>
      </c>
      <c r="AE642" s="4">
        <f>$K$642*$Y$642</f>
        <v>0</v>
      </c>
      <c r="AF642" s="4">
        <f ca="1">$M$642*$Z$642</f>
        <v>32260.818016692756</v>
      </c>
      <c r="AG642" s="4">
        <f>$O$642*$AA$642</f>
        <v>14865.498137907663</v>
      </c>
    </row>
    <row r="643" spans="1:33" ht="11.25" customHeight="1" x14ac:dyDescent="0.3">
      <c r="A643" s="3" t="s">
        <v>21</v>
      </c>
      <c r="B643" s="3" t="s">
        <v>37</v>
      </c>
      <c r="C643" s="3" t="s">
        <v>23</v>
      </c>
      <c r="D643" s="3" t="s">
        <v>48</v>
      </c>
      <c r="E643" s="3" t="s">
        <v>49</v>
      </c>
      <c r="F643" s="3" t="s">
        <v>25</v>
      </c>
      <c r="G643" s="3" t="s">
        <v>25</v>
      </c>
      <c r="H643" s="3" t="s">
        <v>25</v>
      </c>
      <c r="I643" s="6">
        <v>44409</v>
      </c>
      <c r="J643" s="4">
        <v>0</v>
      </c>
      <c r="K643" s="88">
        <v>0</v>
      </c>
      <c r="L643" s="4">
        <v>72.856999999999999</v>
      </c>
      <c r="M643" s="88">
        <v>72.856999999999999</v>
      </c>
      <c r="N643" s="4">
        <v>72.856999999999999</v>
      </c>
      <c r="O643" s="88">
        <v>72.856999999999999</v>
      </c>
      <c r="P643" s="4">
        <v>29</v>
      </c>
      <c r="Q643" s="3" t="s">
        <v>26</v>
      </c>
      <c r="R643" s="3">
        <v>0</v>
      </c>
      <c r="S643" s="4">
        <v>0</v>
      </c>
      <c r="T643" s="4">
        <v>47</v>
      </c>
      <c r="U643" s="4">
        <v>87</v>
      </c>
      <c r="V643" s="88">
        <f>IF(ISERROR(VLOOKUP($S$643,'TAR FIN'!$A$1:$O$91,15,0)),0,VLOOKUP($S$643,'TAR FIN'!$A$1:$O$91,15,0))</f>
        <v>0</v>
      </c>
      <c r="W643" s="88">
        <f>IF(ISERROR(VLOOKUP($T$643,'TAR FIN'!$A$1:$O$91,15,0)),0,VLOOKUP($T$643,'TAR FIN'!$A$1:$O$91,15,0))*(1-0.06)</f>
        <v>382.12879999999996</v>
      </c>
      <c r="X643" s="88">
        <f>IF(ISERROR(VLOOKUP($U$643,'TAR FIN'!$A$1:$O$91,15,0)),0,VLOOKUP($U$643,'TAR FIN'!$A$1:$O$91,15,0))*(1-0.06)</f>
        <v>187.0882</v>
      </c>
      <c r="Y643" s="88"/>
      <c r="Z643" s="88">
        <f ca="1">('TUSD BE'!$AM$51+'TUSD BF'!$AM$51+'TUSD CVA'!$AM$51)*1*(1-0.03)</f>
        <v>432.64202685762814</v>
      </c>
      <c r="AA643" s="88">
        <f>('TE BE'!$AB$42+'TE BF'!$AB$42+'TE CVA'!$AB$42)*1*(1-0.03)</f>
        <v>199.35759971445364</v>
      </c>
      <c r="AB643" s="4">
        <f>$K$643*$V$643</f>
        <v>0</v>
      </c>
      <c r="AC643" s="4">
        <f>$M$643*$W$643</f>
        <v>27840.757981599996</v>
      </c>
      <c r="AD643" s="4">
        <f>$O$643*$X$643</f>
        <v>13630.6849874</v>
      </c>
      <c r="AE643" s="4">
        <f>$K$643*$Y$643</f>
        <v>0</v>
      </c>
      <c r="AF643" s="4">
        <f ca="1">$M$643*$Z$643</f>
        <v>31521.000150766213</v>
      </c>
      <c r="AG643" s="4">
        <f>$O$643*$AA$643</f>
        <v>14524.596642395949</v>
      </c>
    </row>
    <row r="644" spans="1:33" ht="11.25" customHeight="1" x14ac:dyDescent="0.3">
      <c r="A644" s="3" t="s">
        <v>21</v>
      </c>
      <c r="B644" s="3" t="s">
        <v>37</v>
      </c>
      <c r="C644" s="3" t="s">
        <v>23</v>
      </c>
      <c r="D644" s="3" t="s">
        <v>48</v>
      </c>
      <c r="E644" s="3" t="s">
        <v>49</v>
      </c>
      <c r="F644" s="3" t="s">
        <v>25</v>
      </c>
      <c r="G644" s="3" t="s">
        <v>25</v>
      </c>
      <c r="H644" s="3" t="s">
        <v>25</v>
      </c>
      <c r="I644" s="6">
        <v>44440</v>
      </c>
      <c r="J644" s="4">
        <v>0</v>
      </c>
      <c r="K644" s="88">
        <v>0</v>
      </c>
      <c r="L644" s="4">
        <v>73.664000000000001</v>
      </c>
      <c r="M644" s="88">
        <v>73.664000000000001</v>
      </c>
      <c r="N644" s="4">
        <v>73.664000000000001</v>
      </c>
      <c r="O644" s="88">
        <v>73.664000000000001</v>
      </c>
      <c r="P644" s="4">
        <v>29</v>
      </c>
      <c r="Q644" s="3" t="s">
        <v>26</v>
      </c>
      <c r="R644" s="3">
        <v>0</v>
      </c>
      <c r="S644" s="4">
        <v>0</v>
      </c>
      <c r="T644" s="4">
        <v>47</v>
      </c>
      <c r="U644" s="4">
        <v>87</v>
      </c>
      <c r="V644" s="88">
        <f>IF(ISERROR(VLOOKUP($S$644,'TAR FIN'!$A$1:$O$91,15,0)),0,VLOOKUP($S$644,'TAR FIN'!$A$1:$O$91,15,0))</f>
        <v>0</v>
      </c>
      <c r="W644" s="88">
        <f>IF(ISERROR(VLOOKUP($T$644,'TAR FIN'!$A$1:$O$91,15,0)),0,VLOOKUP($T$644,'TAR FIN'!$A$1:$O$91,15,0))*(1-0.06)</f>
        <v>382.12879999999996</v>
      </c>
      <c r="X644" s="88">
        <f>IF(ISERROR(VLOOKUP($U$644,'TAR FIN'!$A$1:$O$91,15,0)),0,VLOOKUP($U$644,'TAR FIN'!$A$1:$O$91,15,0))*(1-0.06)</f>
        <v>187.0882</v>
      </c>
      <c r="Y644" s="88"/>
      <c r="Z644" s="88">
        <f ca="1">('TUSD BE'!$AM$51+'TUSD BF'!$AM$51+'TUSD CVA'!$AM$51)*1*(1-0.03)</f>
        <v>432.64202685762814</v>
      </c>
      <c r="AA644" s="88">
        <f>('TE BE'!$AB$42+'TE BF'!$AB$42+'TE CVA'!$AB$42)*1*(1-0.03)</f>
        <v>199.35759971445364</v>
      </c>
      <c r="AB644" s="4">
        <f>$K$644*$V$644</f>
        <v>0</v>
      </c>
      <c r="AC644" s="4">
        <f>$M$644*$W$644</f>
        <v>28149.135923199996</v>
      </c>
      <c r="AD644" s="4">
        <f>$O$644*$X$644</f>
        <v>13781.665164800001</v>
      </c>
      <c r="AE644" s="4">
        <f>$K$644*$Y$644</f>
        <v>0</v>
      </c>
      <c r="AF644" s="4">
        <f ca="1">$M$644*$Z$644</f>
        <v>31870.142266440318</v>
      </c>
      <c r="AG644" s="4">
        <f>$O$644*$AA$644</f>
        <v>14685.478225365514</v>
      </c>
    </row>
    <row r="645" spans="1:33" ht="11.25" customHeight="1" x14ac:dyDescent="0.3">
      <c r="A645" s="3" t="s">
        <v>21</v>
      </c>
      <c r="B645" s="3" t="s">
        <v>37</v>
      </c>
      <c r="C645" s="3" t="s">
        <v>23</v>
      </c>
      <c r="D645" s="3" t="s">
        <v>48</v>
      </c>
      <c r="E645" s="3" t="s">
        <v>49</v>
      </c>
      <c r="F645" s="3" t="s">
        <v>25</v>
      </c>
      <c r="G645" s="3" t="s">
        <v>25</v>
      </c>
      <c r="H645" s="3" t="s">
        <v>25</v>
      </c>
      <c r="I645" s="6">
        <v>44470</v>
      </c>
      <c r="J645" s="4">
        <v>0</v>
      </c>
      <c r="K645" s="88">
        <v>0</v>
      </c>
      <c r="L645" s="4">
        <v>76.557000000000002</v>
      </c>
      <c r="M645" s="88">
        <v>76.557000000000002</v>
      </c>
      <c r="N645" s="4">
        <v>76.557000000000002</v>
      </c>
      <c r="O645" s="88">
        <v>76.557000000000002</v>
      </c>
      <c r="P645" s="4">
        <v>29</v>
      </c>
      <c r="Q645" s="3" t="s">
        <v>26</v>
      </c>
      <c r="R645" s="3">
        <v>0</v>
      </c>
      <c r="S645" s="4">
        <v>0</v>
      </c>
      <c r="T645" s="4">
        <v>47</v>
      </c>
      <c r="U645" s="4">
        <v>87</v>
      </c>
      <c r="V645" s="88">
        <f>IF(ISERROR(VLOOKUP($S$645,'TAR FIN'!$A$1:$O$91,15,0)),0,VLOOKUP($S$645,'TAR FIN'!$A$1:$O$91,15,0))</f>
        <v>0</v>
      </c>
      <c r="W645" s="88">
        <f>IF(ISERROR(VLOOKUP($T$645,'TAR FIN'!$A$1:$O$91,15,0)),0,VLOOKUP($T$645,'TAR FIN'!$A$1:$O$91,15,0))*(1-0.06)</f>
        <v>382.12879999999996</v>
      </c>
      <c r="X645" s="88">
        <f>IF(ISERROR(VLOOKUP($U$645,'TAR FIN'!$A$1:$O$91,15,0)),0,VLOOKUP($U$645,'TAR FIN'!$A$1:$O$91,15,0))*(1-0.06)</f>
        <v>187.0882</v>
      </c>
      <c r="Y645" s="88"/>
      <c r="Z645" s="88">
        <f ca="1">('TUSD BE'!$AM$51+'TUSD BF'!$AM$51+'TUSD CVA'!$AM$51)*1*(1-0.03)</f>
        <v>432.64202685762814</v>
      </c>
      <c r="AA645" s="88">
        <f>('TE BE'!$AB$42+'TE BF'!$AB$42+'TE CVA'!$AB$42)*1*(1-0.03)</f>
        <v>199.35759971445364</v>
      </c>
      <c r="AB645" s="4">
        <f>$K$645*$V$645</f>
        <v>0</v>
      </c>
      <c r="AC645" s="4">
        <f>$M$645*$W$645</f>
        <v>29254.634541599997</v>
      </c>
      <c r="AD645" s="4">
        <f>$O$645*$X$645</f>
        <v>14322.911327400001</v>
      </c>
      <c r="AE645" s="4">
        <f>$K$645*$Y$645</f>
        <v>0</v>
      </c>
      <c r="AF645" s="4">
        <f ca="1">$M$645*$Z$645</f>
        <v>33121.77565013944</v>
      </c>
      <c r="AG645" s="4">
        <f>$O$645*$AA$645</f>
        <v>15262.219761339427</v>
      </c>
    </row>
    <row r="646" spans="1:33" ht="11.25" customHeight="1" x14ac:dyDescent="0.3">
      <c r="A646" s="3" t="s">
        <v>21</v>
      </c>
      <c r="B646" s="3" t="s">
        <v>37</v>
      </c>
      <c r="C646" s="3" t="s">
        <v>23</v>
      </c>
      <c r="D646" s="3" t="s">
        <v>48</v>
      </c>
      <c r="E646" s="3" t="s">
        <v>49</v>
      </c>
      <c r="F646" s="3" t="s">
        <v>25</v>
      </c>
      <c r="G646" s="3" t="s">
        <v>25</v>
      </c>
      <c r="H646" s="3" t="s">
        <v>25</v>
      </c>
      <c r="I646" s="6">
        <v>44501</v>
      </c>
      <c r="J646" s="4">
        <v>0</v>
      </c>
      <c r="K646" s="88">
        <v>0</v>
      </c>
      <c r="L646" s="4">
        <v>71.665999999999997</v>
      </c>
      <c r="M646" s="88">
        <v>71.665999999999997</v>
      </c>
      <c r="N646" s="4">
        <v>71.665999999999997</v>
      </c>
      <c r="O646" s="88">
        <v>71.665999999999997</v>
      </c>
      <c r="P646" s="4">
        <v>30</v>
      </c>
      <c r="Q646" s="3" t="s">
        <v>26</v>
      </c>
      <c r="R646" s="3">
        <v>0</v>
      </c>
      <c r="S646" s="4">
        <v>0</v>
      </c>
      <c r="T646" s="4">
        <v>47</v>
      </c>
      <c r="U646" s="4">
        <v>87</v>
      </c>
      <c r="V646" s="88">
        <f>IF(ISERROR(VLOOKUP($S$646,'TAR FIN'!$A$1:$O$91,15,0)),0,VLOOKUP($S$646,'TAR FIN'!$A$1:$O$91,15,0))</f>
        <v>0</v>
      </c>
      <c r="W646" s="88">
        <f>IF(ISERROR(VLOOKUP($T$646,'TAR FIN'!$A$1:$O$91,15,0)),0,VLOOKUP($T$646,'TAR FIN'!$A$1:$O$91,15,0))*(1-0.06)</f>
        <v>382.12879999999996</v>
      </c>
      <c r="X646" s="88">
        <f>IF(ISERROR(VLOOKUP($U$646,'TAR FIN'!$A$1:$O$91,15,0)),0,VLOOKUP($U$646,'TAR FIN'!$A$1:$O$91,15,0))*(1-0.06)</f>
        <v>187.0882</v>
      </c>
      <c r="Y646" s="88"/>
      <c r="Z646" s="88">
        <f ca="1">('TUSD BE'!$AM$51+'TUSD BF'!$AM$51+'TUSD CVA'!$AM$51)*1*(1-0.03)</f>
        <v>432.64202685762814</v>
      </c>
      <c r="AA646" s="88">
        <f>('TE BE'!$AB$42+'TE BF'!$AB$42+'TE CVA'!$AB$42)*1*(1-0.03)</f>
        <v>199.35759971445364</v>
      </c>
      <c r="AB646" s="4">
        <f>$K$646*$V$646</f>
        <v>0</v>
      </c>
      <c r="AC646" s="4">
        <f>$M$646*$W$646</f>
        <v>27385.642580799995</v>
      </c>
      <c r="AD646" s="4">
        <f>$O$646*$X$646</f>
        <v>13407.862941199999</v>
      </c>
      <c r="AE646" s="4">
        <f>$K$646*$Y$646</f>
        <v>0</v>
      </c>
      <c r="AF646" s="4">
        <f ca="1">$M$646*$Z$646</f>
        <v>31005.723496778777</v>
      </c>
      <c r="AG646" s="4">
        <f>$O$646*$AA$646</f>
        <v>14287.161741136035</v>
      </c>
    </row>
    <row r="647" spans="1:33" ht="11.25" customHeight="1" x14ac:dyDescent="0.3">
      <c r="A647" s="3" t="s">
        <v>21</v>
      </c>
      <c r="B647" s="3" t="s">
        <v>37</v>
      </c>
      <c r="C647" s="3" t="s">
        <v>23</v>
      </c>
      <c r="D647" s="3" t="s">
        <v>48</v>
      </c>
      <c r="E647" s="3" t="s">
        <v>49</v>
      </c>
      <c r="F647" s="3" t="s">
        <v>25</v>
      </c>
      <c r="G647" s="3" t="s">
        <v>25</v>
      </c>
      <c r="H647" s="3" t="s">
        <v>25</v>
      </c>
      <c r="I647" s="6">
        <v>44531</v>
      </c>
      <c r="J647" s="4">
        <v>0</v>
      </c>
      <c r="K647" s="88">
        <v>0</v>
      </c>
      <c r="L647" s="4">
        <v>79.037000000000006</v>
      </c>
      <c r="M647" s="88">
        <v>79.037000000000006</v>
      </c>
      <c r="N647" s="4">
        <v>79.037000000000006</v>
      </c>
      <c r="O647" s="88">
        <v>79.037000000000006</v>
      </c>
      <c r="P647" s="4">
        <v>30</v>
      </c>
      <c r="Q647" s="3" t="s">
        <v>26</v>
      </c>
      <c r="R647" s="3">
        <v>0</v>
      </c>
      <c r="S647" s="4">
        <v>0</v>
      </c>
      <c r="T647" s="4">
        <v>47</v>
      </c>
      <c r="U647" s="4">
        <v>87</v>
      </c>
      <c r="V647" s="88">
        <f>IF(ISERROR(VLOOKUP($S$647,'TAR FIN'!$A$1:$O$91,15,0)),0,VLOOKUP($S$647,'TAR FIN'!$A$1:$O$91,15,0))</f>
        <v>0</v>
      </c>
      <c r="W647" s="88">
        <f>IF(ISERROR(VLOOKUP($T$647,'TAR FIN'!$A$1:$O$91,15,0)),0,VLOOKUP($T$647,'TAR FIN'!$A$1:$O$91,15,0))*(1-0.06)</f>
        <v>382.12879999999996</v>
      </c>
      <c r="X647" s="88">
        <f>IF(ISERROR(VLOOKUP($U$647,'TAR FIN'!$A$1:$O$91,15,0)),0,VLOOKUP($U$647,'TAR FIN'!$A$1:$O$91,15,0))*(1-0.06)</f>
        <v>187.0882</v>
      </c>
      <c r="Y647" s="88"/>
      <c r="Z647" s="88">
        <f ca="1">('TUSD BE'!$AM$51+'TUSD BF'!$AM$51+'TUSD CVA'!$AM$51)*1*(1-0.03)</f>
        <v>432.64202685762814</v>
      </c>
      <c r="AA647" s="88">
        <f>('TE BE'!$AB$42+'TE BF'!$AB$42+'TE CVA'!$AB$42)*1*(1-0.03)</f>
        <v>199.35759971445364</v>
      </c>
      <c r="AB647" s="4">
        <f>$K$647*$V$647</f>
        <v>0</v>
      </c>
      <c r="AC647" s="4">
        <f>$M$647*$W$647</f>
        <v>30202.313965599998</v>
      </c>
      <c r="AD647" s="4">
        <f>$O$647*$X$647</f>
        <v>14786.890063400002</v>
      </c>
      <c r="AE647" s="4">
        <f>$K$647*$Y$647</f>
        <v>0</v>
      </c>
      <c r="AF647" s="4">
        <f ca="1">$M$647*$Z$647</f>
        <v>34194.727876746358</v>
      </c>
      <c r="AG647" s="4">
        <f>$O$647*$AA$647</f>
        <v>15756.626608631273</v>
      </c>
    </row>
    <row r="648" spans="1:33" ht="11.25" customHeight="1" x14ac:dyDescent="0.3">
      <c r="A648" s="3" t="s">
        <v>21</v>
      </c>
      <c r="B648" s="3" t="s">
        <v>37</v>
      </c>
      <c r="C648" s="3" t="s">
        <v>23</v>
      </c>
      <c r="D648" s="3" t="s">
        <v>48</v>
      </c>
      <c r="E648" s="3" t="s">
        <v>49</v>
      </c>
      <c r="F648" s="3" t="s">
        <v>25</v>
      </c>
      <c r="G648" s="3" t="s">
        <v>25</v>
      </c>
      <c r="H648" s="3" t="s">
        <v>25</v>
      </c>
      <c r="I648" s="6">
        <v>44562</v>
      </c>
      <c r="J648" s="4">
        <v>0</v>
      </c>
      <c r="K648" s="88">
        <v>0</v>
      </c>
      <c r="L648" s="4">
        <v>82.933000000000007</v>
      </c>
      <c r="M648" s="88">
        <v>82.933000000000007</v>
      </c>
      <c r="N648" s="4">
        <v>82.933000000000007</v>
      </c>
      <c r="O648" s="88">
        <v>82.933000000000007</v>
      </c>
      <c r="P648" s="4">
        <v>31</v>
      </c>
      <c r="Q648" s="3" t="s">
        <v>26</v>
      </c>
      <c r="R648" s="3">
        <v>0</v>
      </c>
      <c r="S648" s="4">
        <v>0</v>
      </c>
      <c r="T648" s="4">
        <v>47</v>
      </c>
      <c r="U648" s="4">
        <v>87</v>
      </c>
      <c r="V648" s="88">
        <f>IF(ISERROR(VLOOKUP($S$648,'TAR FIN'!$A$1:$O$91,15,0)),0,VLOOKUP($S$648,'TAR FIN'!$A$1:$O$91,15,0))</f>
        <v>0</v>
      </c>
      <c r="W648" s="88">
        <f>IF(ISERROR(VLOOKUP($T$648,'TAR FIN'!$A$1:$O$91,15,0)),0,VLOOKUP($T$648,'TAR FIN'!$A$1:$O$91,15,0))*(1-0.06)</f>
        <v>382.12879999999996</v>
      </c>
      <c r="X648" s="88">
        <f>IF(ISERROR(VLOOKUP($U$648,'TAR FIN'!$A$1:$O$91,15,0)),0,VLOOKUP($U$648,'TAR FIN'!$A$1:$O$91,15,0))*(1-0.06)</f>
        <v>187.0882</v>
      </c>
      <c r="Y648" s="88"/>
      <c r="Z648" s="88">
        <f ca="1">('TUSD BE'!$AM$51+'TUSD BF'!$AM$51+'TUSD CVA'!$AM$51)*1*(1-0.03)</f>
        <v>432.64202685762814</v>
      </c>
      <c r="AA648" s="88">
        <f>('TE BE'!$AB$42+'TE BF'!$AB$42+'TE CVA'!$AB$42)*1*(1-0.03)</f>
        <v>199.35759971445364</v>
      </c>
      <c r="AB648" s="4">
        <f>$K$648*$V$648</f>
        <v>0</v>
      </c>
      <c r="AC648" s="4">
        <f>$M$648*$W$648</f>
        <v>31691.087770399998</v>
      </c>
      <c r="AD648" s="4">
        <f>$O$648*$X$648</f>
        <v>15515.785690600002</v>
      </c>
      <c r="AE648" s="4">
        <f>$K$648*$Y$648</f>
        <v>0</v>
      </c>
      <c r="AF648" s="4">
        <f ca="1">$M$648*$Z$648</f>
        <v>35880.301213383675</v>
      </c>
      <c r="AG648" s="4">
        <f>$O$648*$AA$648</f>
        <v>16533.323817118784</v>
      </c>
    </row>
    <row r="649" spans="1:33" ht="11.25" customHeight="1" x14ac:dyDescent="0.3">
      <c r="A649" s="3" t="s">
        <v>21</v>
      </c>
      <c r="B649" s="3" t="s">
        <v>37</v>
      </c>
      <c r="C649" s="3" t="s">
        <v>23</v>
      </c>
      <c r="D649" s="3" t="s">
        <v>48</v>
      </c>
      <c r="E649" s="3" t="s">
        <v>49</v>
      </c>
      <c r="F649" s="3" t="s">
        <v>25</v>
      </c>
      <c r="G649" s="3" t="s">
        <v>25</v>
      </c>
      <c r="H649" s="3" t="s">
        <v>25</v>
      </c>
      <c r="I649" s="6">
        <v>44593</v>
      </c>
      <c r="J649" s="4">
        <v>0</v>
      </c>
      <c r="K649" s="88">
        <v>0</v>
      </c>
      <c r="L649" s="4">
        <v>102.13200000000001</v>
      </c>
      <c r="M649" s="88">
        <v>102.13200000000001</v>
      </c>
      <c r="N649" s="4">
        <v>102.13200000000001</v>
      </c>
      <c r="O649" s="88">
        <v>102.13200000000001</v>
      </c>
      <c r="P649" s="4">
        <v>31</v>
      </c>
      <c r="Q649" s="3" t="s">
        <v>26</v>
      </c>
      <c r="R649" s="3">
        <v>0</v>
      </c>
      <c r="S649" s="4">
        <v>0</v>
      </c>
      <c r="T649" s="4">
        <v>47</v>
      </c>
      <c r="U649" s="4">
        <v>87</v>
      </c>
      <c r="V649" s="88">
        <f>IF(ISERROR(VLOOKUP($S$649,'TAR FIN'!$A$1:$O$91,15,0)),0,VLOOKUP($S$649,'TAR FIN'!$A$1:$O$91,15,0))</f>
        <v>0</v>
      </c>
      <c r="W649" s="88">
        <f>IF(ISERROR(VLOOKUP($T$649,'TAR FIN'!$A$1:$O$91,15,0)),0,VLOOKUP($T$649,'TAR FIN'!$A$1:$O$91,15,0))*(1-0.06)</f>
        <v>382.12879999999996</v>
      </c>
      <c r="X649" s="88">
        <f>IF(ISERROR(VLOOKUP($U$649,'TAR FIN'!$A$1:$O$91,15,0)),0,VLOOKUP($U$649,'TAR FIN'!$A$1:$O$91,15,0))*(1-0.06)</f>
        <v>187.0882</v>
      </c>
      <c r="Y649" s="88"/>
      <c r="Z649" s="88">
        <f ca="1">('TUSD BE'!$AM$51+'TUSD BF'!$AM$51+'TUSD CVA'!$AM$51)*1*(1-0.03)</f>
        <v>432.64202685762814</v>
      </c>
      <c r="AA649" s="88">
        <f>('TE BE'!$AB$42+'TE BF'!$AB$42+'TE CVA'!$AB$42)*1*(1-0.03)</f>
        <v>199.35759971445364</v>
      </c>
      <c r="AB649" s="4">
        <f>$K$649*$V$649</f>
        <v>0</v>
      </c>
      <c r="AC649" s="4">
        <f>$M$649*$W$649</f>
        <v>39027.578601599998</v>
      </c>
      <c r="AD649" s="4">
        <f>$O$649*$X$649</f>
        <v>19107.692042400002</v>
      </c>
      <c r="AE649" s="4">
        <f>$K$649*$Y$649</f>
        <v>0</v>
      </c>
      <c r="AF649" s="4">
        <f ca="1">$M$649*$Z$649</f>
        <v>44186.595487023282</v>
      </c>
      <c r="AG649" s="4">
        <f>$O$649*$AA$649</f>
        <v>20360.79037403658</v>
      </c>
    </row>
    <row r="650" spans="1:33" ht="11.25" customHeight="1" x14ac:dyDescent="0.3">
      <c r="A650" s="3" t="s">
        <v>27</v>
      </c>
      <c r="B650" s="3" t="s">
        <v>37</v>
      </c>
      <c r="C650" s="3" t="s">
        <v>23</v>
      </c>
      <c r="D650" s="3" t="s">
        <v>48</v>
      </c>
      <c r="E650" s="3" t="s">
        <v>49</v>
      </c>
      <c r="F650" s="3" t="s">
        <v>25</v>
      </c>
      <c r="G650" s="3" t="s">
        <v>25</v>
      </c>
      <c r="H650" s="3" t="s">
        <v>25</v>
      </c>
      <c r="I650" s="6">
        <v>44593</v>
      </c>
      <c r="J650" s="4">
        <v>0</v>
      </c>
      <c r="K650" s="88">
        <v>0</v>
      </c>
      <c r="L650" s="4">
        <v>0.69399999999999995</v>
      </c>
      <c r="M650" s="88">
        <v>0.69399999999999995</v>
      </c>
      <c r="N650" s="4">
        <v>0.69399999999999995</v>
      </c>
      <c r="O650" s="88">
        <v>0.69399999999999995</v>
      </c>
      <c r="P650" s="4">
        <v>0</v>
      </c>
      <c r="Q650" s="3" t="s">
        <v>26</v>
      </c>
      <c r="R650" s="3">
        <v>0</v>
      </c>
      <c r="S650" s="4">
        <v>0</v>
      </c>
      <c r="T650" s="4">
        <v>47</v>
      </c>
      <c r="U650" s="4">
        <v>87</v>
      </c>
      <c r="V650" s="88">
        <f>IF(ISERROR(VLOOKUP($S$650,'TAR FIN'!$A$1:$O$91,15,0)),0,VLOOKUP($S$650,'TAR FIN'!$A$1:$O$91,15,0))</f>
        <v>0</v>
      </c>
      <c r="W650" s="88">
        <f>IF(ISERROR(VLOOKUP($T$650,'TAR FIN'!$A$1:$O$91,15,0)),0,VLOOKUP($T$650,'TAR FIN'!$A$1:$O$91,15,0))*(1-0.06)</f>
        <v>382.12879999999996</v>
      </c>
      <c r="X650" s="88">
        <f>IF(ISERROR(VLOOKUP($U$650,'TAR FIN'!$A$1:$O$91,15,0)),0,VLOOKUP($U$650,'TAR FIN'!$A$1:$O$91,15,0))*(1-0.06)</f>
        <v>187.0882</v>
      </c>
      <c r="Y650" s="88"/>
      <c r="Z650" s="88">
        <f ca="1">('TUSD BE'!$AM$51+'TUSD BF'!$AM$51+'TUSD CVA'!$AM$51)*1*(1-0.03)</f>
        <v>432.64202685762814</v>
      </c>
      <c r="AA650" s="88">
        <f>('TE BE'!$AB$42+'TE BF'!$AB$42+'TE CVA'!$AB$42)*1*(1-0.03)</f>
        <v>199.35759971445364</v>
      </c>
      <c r="AB650" s="4">
        <f>$K$650*$V$650</f>
        <v>0</v>
      </c>
      <c r="AC650" s="4">
        <f>$M$650*$W$650</f>
        <v>265.19738719999992</v>
      </c>
      <c r="AD650" s="4">
        <f>$O$650*$X$650</f>
        <v>129.83921079999999</v>
      </c>
      <c r="AE650" s="4">
        <f>$K$650*$Y$650</f>
        <v>0</v>
      </c>
      <c r="AF650" s="4">
        <f ca="1">$M$650*$Z$650</f>
        <v>300.25356663919393</v>
      </c>
      <c r="AG650" s="4">
        <f>$O$650*$AA$650</f>
        <v>138.35417420183083</v>
      </c>
    </row>
    <row r="651" spans="1:33" ht="11.25" customHeight="1" x14ac:dyDescent="0.3">
      <c r="A651" s="3" t="s">
        <v>21</v>
      </c>
      <c r="B651" s="3" t="s">
        <v>37</v>
      </c>
      <c r="C651" s="3" t="s">
        <v>23</v>
      </c>
      <c r="D651" s="3" t="s">
        <v>48</v>
      </c>
      <c r="E651" s="3" t="s">
        <v>49</v>
      </c>
      <c r="F651" s="3" t="s">
        <v>25</v>
      </c>
      <c r="G651" s="3" t="s">
        <v>25</v>
      </c>
      <c r="H651" s="3" t="s">
        <v>25</v>
      </c>
      <c r="I651" s="6">
        <v>44621</v>
      </c>
      <c r="J651" s="4">
        <v>0</v>
      </c>
      <c r="K651" s="88">
        <v>0</v>
      </c>
      <c r="L651" s="4">
        <v>94.444000000000003</v>
      </c>
      <c r="M651" s="88">
        <v>94.444000000000003</v>
      </c>
      <c r="N651" s="4">
        <v>94.444000000000003</v>
      </c>
      <c r="O651" s="88">
        <v>94.444000000000003</v>
      </c>
      <c r="P651" s="4">
        <v>31</v>
      </c>
      <c r="Q651" s="3" t="s">
        <v>26</v>
      </c>
      <c r="R651" s="3">
        <v>0</v>
      </c>
      <c r="S651" s="4">
        <v>0</v>
      </c>
      <c r="T651" s="4">
        <v>47</v>
      </c>
      <c r="U651" s="4">
        <v>87</v>
      </c>
      <c r="V651" s="88">
        <f>IF(ISERROR(VLOOKUP($S$651,'TAR FIN'!$A$1:$O$91,15,0)),0,VLOOKUP($S$651,'TAR FIN'!$A$1:$O$91,15,0))</f>
        <v>0</v>
      </c>
      <c r="W651" s="88">
        <f>IF(ISERROR(VLOOKUP($T$651,'TAR FIN'!$A$1:$O$91,15,0)),0,VLOOKUP($T$651,'TAR FIN'!$A$1:$O$91,15,0))*(1-0.06)</f>
        <v>382.12879999999996</v>
      </c>
      <c r="X651" s="88">
        <f>IF(ISERROR(VLOOKUP($U$651,'TAR FIN'!$A$1:$O$91,15,0)),0,VLOOKUP($U$651,'TAR FIN'!$A$1:$O$91,15,0))*(1-0.06)</f>
        <v>187.0882</v>
      </c>
      <c r="Y651" s="88"/>
      <c r="Z651" s="88">
        <f ca="1">('TUSD BE'!$AM$51+'TUSD BF'!$AM$51+'TUSD CVA'!$AM$51)*1*(1-0.03)</f>
        <v>432.64202685762814</v>
      </c>
      <c r="AA651" s="88">
        <f>('TE BE'!$AB$42+'TE BF'!$AB$42+'TE CVA'!$AB$42)*1*(1-0.03)</f>
        <v>199.35759971445364</v>
      </c>
      <c r="AB651" s="4">
        <f>$K$651*$V$651</f>
        <v>0</v>
      </c>
      <c r="AC651" s="4">
        <f>$M$651*$W$651</f>
        <v>36089.772387199999</v>
      </c>
      <c r="AD651" s="4">
        <f>$O$651*$X$651</f>
        <v>17669.3579608</v>
      </c>
      <c r="AE651" s="4">
        <f>$K$651*$Y$651</f>
        <v>0</v>
      </c>
      <c r="AF651" s="4">
        <f ca="1">$M$651*$Z$651</f>
        <v>40860.443584541834</v>
      </c>
      <c r="AG651" s="4">
        <f>$O$651*$AA$651</f>
        <v>18828.12914743186</v>
      </c>
    </row>
    <row r="652" spans="1:33" ht="11.25" customHeight="1" x14ac:dyDescent="0.3">
      <c r="A652" s="3" t="s">
        <v>21</v>
      </c>
      <c r="B652" s="3" t="s">
        <v>37</v>
      </c>
      <c r="C652" s="3" t="s">
        <v>23</v>
      </c>
      <c r="D652" s="3" t="s">
        <v>48</v>
      </c>
      <c r="E652" s="3" t="s">
        <v>49</v>
      </c>
      <c r="F652" s="3" t="s">
        <v>25</v>
      </c>
      <c r="G652" s="3" t="s">
        <v>25</v>
      </c>
      <c r="H652" s="3" t="s">
        <v>25</v>
      </c>
      <c r="I652" s="6">
        <v>44652</v>
      </c>
      <c r="J652" s="4">
        <v>0</v>
      </c>
      <c r="K652" s="88">
        <v>0</v>
      </c>
      <c r="L652" s="4">
        <v>81.756</v>
      </c>
      <c r="M652" s="88">
        <v>81.756</v>
      </c>
      <c r="N652" s="4">
        <v>81.756</v>
      </c>
      <c r="O652" s="88">
        <v>81.756</v>
      </c>
      <c r="P652" s="4">
        <v>31</v>
      </c>
      <c r="Q652" s="3" t="s">
        <v>26</v>
      </c>
      <c r="R652" s="3">
        <v>0</v>
      </c>
      <c r="S652" s="4">
        <v>0</v>
      </c>
      <c r="T652" s="4">
        <v>47</v>
      </c>
      <c r="U652" s="4">
        <v>87</v>
      </c>
      <c r="V652" s="88">
        <f>IF(ISERROR(VLOOKUP($S$652,'TAR FIN'!$A$1:$O$91,15,0)),0,VLOOKUP($S$652,'TAR FIN'!$A$1:$O$91,15,0))</f>
        <v>0</v>
      </c>
      <c r="W652" s="88">
        <f>IF(ISERROR(VLOOKUP($T$652,'TAR FIN'!$A$1:$O$91,15,0)),0,VLOOKUP($T$652,'TAR FIN'!$A$1:$O$91,15,0))*(1-0.06)</f>
        <v>382.12879999999996</v>
      </c>
      <c r="X652" s="88">
        <f>IF(ISERROR(VLOOKUP($U$652,'TAR FIN'!$A$1:$O$91,15,0)),0,VLOOKUP($U$652,'TAR FIN'!$A$1:$O$91,15,0))*(1-0.06)</f>
        <v>187.0882</v>
      </c>
      <c r="Y652" s="88"/>
      <c r="Z652" s="88">
        <f ca="1">('TUSD BE'!$AM$51+'TUSD BF'!$AM$51+'TUSD CVA'!$AM$51)*1*(1-0.03)</f>
        <v>432.64202685762814</v>
      </c>
      <c r="AA652" s="88">
        <f>('TE BE'!$AB$42+'TE BF'!$AB$42+'TE CVA'!$AB$42)*1*(1-0.03)</f>
        <v>199.35759971445364</v>
      </c>
      <c r="AB652" s="4">
        <f>$K$652*$V$652</f>
        <v>0</v>
      </c>
      <c r="AC652" s="4">
        <f>$M$652*$W$652</f>
        <v>31241.322172799995</v>
      </c>
      <c r="AD652" s="4">
        <f>$O$652*$X$652</f>
        <v>15295.582879199999</v>
      </c>
      <c r="AE652" s="4">
        <f>$K$652*$Y$652</f>
        <v>0</v>
      </c>
      <c r="AF652" s="4">
        <f ca="1">$M$652*$Z$652</f>
        <v>35371.081547772243</v>
      </c>
      <c r="AG652" s="4">
        <f>$O$652*$AA$652</f>
        <v>16298.679922254873</v>
      </c>
    </row>
    <row r="653" spans="1:33" ht="11.25" customHeight="1" x14ac:dyDescent="0.3">
      <c r="A653" s="3" t="s">
        <v>21</v>
      </c>
      <c r="B653" s="3" t="s">
        <v>37</v>
      </c>
      <c r="C653" s="3" t="s">
        <v>23</v>
      </c>
      <c r="D653" s="3" t="s">
        <v>48</v>
      </c>
      <c r="E653" s="3" t="s">
        <v>49</v>
      </c>
      <c r="F653" s="3" t="s">
        <v>25</v>
      </c>
      <c r="G653" s="3" t="s">
        <v>25</v>
      </c>
      <c r="H653" s="3" t="s">
        <v>25</v>
      </c>
      <c r="I653" s="6">
        <v>44682</v>
      </c>
      <c r="J653" s="4">
        <v>0</v>
      </c>
      <c r="K653" s="88">
        <v>0</v>
      </c>
      <c r="L653" s="4">
        <v>80.668999999999997</v>
      </c>
      <c r="M653" s="88">
        <v>80.668999999999997</v>
      </c>
      <c r="N653" s="4">
        <v>80.668999999999997</v>
      </c>
      <c r="O653" s="88">
        <v>80.668999999999997</v>
      </c>
      <c r="P653" s="4">
        <v>32</v>
      </c>
      <c r="Q653" s="3" t="s">
        <v>26</v>
      </c>
      <c r="R653" s="3">
        <v>0</v>
      </c>
      <c r="S653" s="4">
        <v>0</v>
      </c>
      <c r="T653" s="4">
        <v>47</v>
      </c>
      <c r="U653" s="4">
        <v>87</v>
      </c>
      <c r="V653" s="88">
        <f>IF(ISERROR(VLOOKUP($S$653,'TAR FIN'!$A$1:$O$91,15,0)),0,VLOOKUP($S$653,'TAR FIN'!$A$1:$O$91,15,0))</f>
        <v>0</v>
      </c>
      <c r="W653" s="88">
        <f>IF(ISERROR(VLOOKUP($T$653,'TAR FIN'!$A$1:$O$91,15,0)),0,VLOOKUP($T$653,'TAR FIN'!$A$1:$O$91,15,0))*(1-0.06)</f>
        <v>382.12879999999996</v>
      </c>
      <c r="X653" s="88">
        <f>IF(ISERROR(VLOOKUP($U$653,'TAR FIN'!$A$1:$O$91,15,0)),0,VLOOKUP($U$653,'TAR FIN'!$A$1:$O$91,15,0))*(1-0.06)</f>
        <v>187.0882</v>
      </c>
      <c r="Y653" s="88"/>
      <c r="Z653" s="88">
        <f ca="1">('TUSD BE'!$AM$51+'TUSD BF'!$AM$51+'TUSD CVA'!$AM$51)*1*(1-0.03)</f>
        <v>432.64202685762814</v>
      </c>
      <c r="AA653" s="88">
        <f>('TE BE'!$AB$42+'TE BF'!$AB$42+'TE CVA'!$AB$42)*1*(1-0.03)</f>
        <v>199.35759971445364</v>
      </c>
      <c r="AB653" s="4">
        <f>$K$653*$V$653</f>
        <v>0</v>
      </c>
      <c r="AC653" s="4">
        <f>$M$653*$W$653</f>
        <v>30825.948167199997</v>
      </c>
      <c r="AD653" s="4">
        <f>$O$653*$X$653</f>
        <v>15092.218005799999</v>
      </c>
      <c r="AE653" s="4">
        <f>$K$653*$Y$653</f>
        <v>0</v>
      </c>
      <c r="AF653" s="4">
        <f ca="1">$M$653*$Z$653</f>
        <v>34900.799664578</v>
      </c>
      <c r="AG653" s="4">
        <f>$O$653*$AA$653</f>
        <v>16081.97821136526</v>
      </c>
    </row>
    <row r="654" spans="1:33" ht="11.25" customHeight="1" x14ac:dyDescent="0.3">
      <c r="A654" s="3" t="s">
        <v>21</v>
      </c>
      <c r="B654" s="3" t="s">
        <v>37</v>
      </c>
      <c r="C654" s="3" t="s">
        <v>23</v>
      </c>
      <c r="D654" s="3" t="s">
        <v>48</v>
      </c>
      <c r="E654" s="3" t="s">
        <v>49</v>
      </c>
      <c r="F654" s="3" t="s">
        <v>25</v>
      </c>
      <c r="G654" s="3" t="s">
        <v>25</v>
      </c>
      <c r="H654" s="3" t="s">
        <v>25</v>
      </c>
      <c r="I654" s="6">
        <v>44713</v>
      </c>
      <c r="J654" s="4">
        <v>0</v>
      </c>
      <c r="K654" s="88">
        <v>0</v>
      </c>
      <c r="L654" s="4">
        <v>77.650999999999996</v>
      </c>
      <c r="M654" s="88">
        <v>77.650999999999996</v>
      </c>
      <c r="N654" s="4">
        <v>77.650999999999996</v>
      </c>
      <c r="O654" s="88">
        <v>77.650999999999996</v>
      </c>
      <c r="P654" s="4">
        <v>32</v>
      </c>
      <c r="Q654" s="3" t="s">
        <v>26</v>
      </c>
      <c r="R654" s="3">
        <v>0</v>
      </c>
      <c r="S654" s="4">
        <v>0</v>
      </c>
      <c r="T654" s="4">
        <v>47</v>
      </c>
      <c r="U654" s="4">
        <v>87</v>
      </c>
      <c r="V654" s="88">
        <f>IF(ISERROR(VLOOKUP($S$654,'TAR FIN'!$A$1:$O$91,15,0)),0,VLOOKUP($S$654,'TAR FIN'!$A$1:$O$91,15,0))</f>
        <v>0</v>
      </c>
      <c r="W654" s="88">
        <f>IF(ISERROR(VLOOKUP($T$654,'TAR FIN'!$A$1:$O$91,15,0)),0,VLOOKUP($T$654,'TAR FIN'!$A$1:$O$91,15,0))*(1-0.06)</f>
        <v>382.12879999999996</v>
      </c>
      <c r="X654" s="88">
        <f>IF(ISERROR(VLOOKUP($U$654,'TAR FIN'!$A$1:$O$91,15,0)),0,VLOOKUP($U$654,'TAR FIN'!$A$1:$O$91,15,0))*(1-0.06)</f>
        <v>187.0882</v>
      </c>
      <c r="Y654" s="88"/>
      <c r="Z654" s="88">
        <f ca="1">('TUSD BE'!$AM$51+'TUSD BF'!$AM$51+'TUSD CVA'!$AM$51)*1*(1-0.03)</f>
        <v>432.64202685762814</v>
      </c>
      <c r="AA654" s="88">
        <f>('TE BE'!$AB$42+'TE BF'!$AB$42+'TE CVA'!$AB$42)*1*(1-0.03)</f>
        <v>199.35759971445364</v>
      </c>
      <c r="AB654" s="4">
        <f>$K$654*$V$654</f>
        <v>0</v>
      </c>
      <c r="AC654" s="4">
        <f>$M$654*$W$654</f>
        <v>29672.683448799995</v>
      </c>
      <c r="AD654" s="4">
        <f>$O$654*$X$654</f>
        <v>14527.585818199999</v>
      </c>
      <c r="AE654" s="4">
        <f>$K$654*$Y$654</f>
        <v>0</v>
      </c>
      <c r="AF654" s="4">
        <f ca="1">$M$654*$Z$654</f>
        <v>33595.086027521684</v>
      </c>
      <c r="AG654" s="4">
        <f>$O$654*$AA$654</f>
        <v>15480.316975427038</v>
      </c>
    </row>
    <row r="655" spans="1:33" ht="11.25" customHeight="1" x14ac:dyDescent="0.3">
      <c r="A655" s="3" t="s">
        <v>21</v>
      </c>
      <c r="B655" s="3" t="s">
        <v>45</v>
      </c>
      <c r="C655" s="3" t="s">
        <v>23</v>
      </c>
      <c r="D655" s="3" t="s">
        <v>46</v>
      </c>
      <c r="E655" s="3" t="s">
        <v>47</v>
      </c>
      <c r="F655" s="3" t="s">
        <v>25</v>
      </c>
      <c r="G655" s="3" t="s">
        <v>25</v>
      </c>
      <c r="H655" s="3" t="s">
        <v>25</v>
      </c>
      <c r="I655" s="6">
        <v>44378</v>
      </c>
      <c r="J655" s="4">
        <v>0</v>
      </c>
      <c r="K655" s="4">
        <v>0</v>
      </c>
      <c r="L655" s="4">
        <v>364.88</v>
      </c>
      <c r="M655" s="4">
        <v>364.88</v>
      </c>
      <c r="N655" s="4">
        <v>364.88</v>
      </c>
      <c r="O655" s="4">
        <v>364.88</v>
      </c>
      <c r="P655" s="4">
        <v>24</v>
      </c>
      <c r="Q655" s="3" t="s">
        <v>26</v>
      </c>
      <c r="R655" s="3">
        <v>0</v>
      </c>
      <c r="S655" s="4">
        <v>0</v>
      </c>
      <c r="T655" s="4">
        <v>49</v>
      </c>
      <c r="U655" s="4">
        <v>89</v>
      </c>
      <c r="V655" s="4">
        <f>IF(ISERROR(VLOOKUP($S$655,'TAR FIN'!$A$1:$O$91,15,0)),0,VLOOKUP($S$655,'TAR FIN'!$A$1:$O$91,15,0))</f>
        <v>0</v>
      </c>
      <c r="W655" s="4">
        <f>IF(ISERROR(VLOOKUP($T$655,'TAR FIN'!$A$1:$O$91,15,0)),0,VLOOKUP($T$655,'TAR FIN'!$A$1:$O$91,15,0))</f>
        <v>223.59</v>
      </c>
      <c r="X655" s="4">
        <f>IF(ISERROR(VLOOKUP($U$655,'TAR FIN'!$A$1:$O$91,15,0)),0,VLOOKUP($U$655,'TAR FIN'!$A$1:$O$91,15,0))</f>
        <v>109.47</v>
      </c>
      <c r="Y655" s="4"/>
      <c r="Z655" s="4">
        <f ca="1">('TUSD BE'!$AM$53+'TUSD BF'!$AM$53+'TUSD CVA'!$AM$53)*1</f>
        <v>245.31248945535623</v>
      </c>
      <c r="AA655" s="4">
        <f>('TE BE'!$AB$44+'TE BF'!$AB$44+'TE CVA'!$AB$44)*1</f>
        <v>113.03781427108197</v>
      </c>
      <c r="AB655" s="4">
        <f>$K$655*$V$655</f>
        <v>0</v>
      </c>
      <c r="AC655" s="4">
        <f>$M$655*$W$655</f>
        <v>81583.519199999995</v>
      </c>
      <c r="AD655" s="4">
        <f>$O$655*$X$655</f>
        <v>39943.4136</v>
      </c>
      <c r="AE655" s="4">
        <f>$K$655*$Y$655</f>
        <v>0</v>
      </c>
      <c r="AF655" s="4">
        <f ca="1">$M$655*$Z$655</f>
        <v>89509.621152470383</v>
      </c>
      <c r="AG655" s="4">
        <f>$O$655*$AA$655</f>
        <v>41245.237671232389</v>
      </c>
    </row>
    <row r="656" spans="1:33" ht="11.25" customHeight="1" x14ac:dyDescent="0.3">
      <c r="A656" s="3" t="s">
        <v>21</v>
      </c>
      <c r="B656" s="3" t="s">
        <v>45</v>
      </c>
      <c r="C656" s="3" t="s">
        <v>23</v>
      </c>
      <c r="D656" s="3" t="s">
        <v>46</v>
      </c>
      <c r="E656" s="3" t="s">
        <v>47</v>
      </c>
      <c r="F656" s="3" t="s">
        <v>25</v>
      </c>
      <c r="G656" s="3" t="s">
        <v>25</v>
      </c>
      <c r="H656" s="3" t="s">
        <v>25</v>
      </c>
      <c r="I656" s="6">
        <v>44409</v>
      </c>
      <c r="J656" s="4">
        <v>0</v>
      </c>
      <c r="K656" s="4">
        <v>0</v>
      </c>
      <c r="L656" s="4">
        <v>368.59399999999999</v>
      </c>
      <c r="M656" s="4">
        <v>368.59399999999999</v>
      </c>
      <c r="N656" s="4">
        <v>368.59399999999999</v>
      </c>
      <c r="O656" s="4">
        <v>368.59399999999999</v>
      </c>
      <c r="P656" s="4">
        <v>24</v>
      </c>
      <c r="Q656" s="3" t="s">
        <v>26</v>
      </c>
      <c r="R656" s="3">
        <v>0</v>
      </c>
      <c r="S656" s="4">
        <v>0</v>
      </c>
      <c r="T656" s="4">
        <v>49</v>
      </c>
      <c r="U656" s="4">
        <v>89</v>
      </c>
      <c r="V656" s="4">
        <f>IF(ISERROR(VLOOKUP($S$656,'TAR FIN'!$A$1:$O$91,15,0)),0,VLOOKUP($S$656,'TAR FIN'!$A$1:$O$91,15,0))</f>
        <v>0</v>
      </c>
      <c r="W656" s="4">
        <f>IF(ISERROR(VLOOKUP($T$656,'TAR FIN'!$A$1:$O$91,15,0)),0,VLOOKUP($T$656,'TAR FIN'!$A$1:$O$91,15,0))</f>
        <v>223.59</v>
      </c>
      <c r="X656" s="4">
        <f>IF(ISERROR(VLOOKUP($U$656,'TAR FIN'!$A$1:$O$91,15,0)),0,VLOOKUP($U$656,'TAR FIN'!$A$1:$O$91,15,0))</f>
        <v>109.47</v>
      </c>
      <c r="Y656" s="4"/>
      <c r="Z656" s="4">
        <f ca="1">('TUSD BE'!$AM$53+'TUSD BF'!$AM$53+'TUSD CVA'!$AM$53)*1</f>
        <v>245.31248945535623</v>
      </c>
      <c r="AA656" s="4">
        <f>('TE BE'!$AB$44+'TE BF'!$AB$44+'TE CVA'!$AB$44)*1</f>
        <v>113.03781427108197</v>
      </c>
      <c r="AB656" s="4">
        <f>$K$656*$V$656</f>
        <v>0</v>
      </c>
      <c r="AC656" s="4">
        <f>$M$656*$W$656</f>
        <v>82413.932459999996</v>
      </c>
      <c r="AD656" s="4">
        <f>$O$656*$X$656</f>
        <v>40349.985179999996</v>
      </c>
      <c r="AE656" s="4">
        <f>$K$656*$Y$656</f>
        <v>0</v>
      </c>
      <c r="AF656" s="4">
        <f ca="1">$M$656*$Z$656</f>
        <v>90420.711738307567</v>
      </c>
      <c r="AG656" s="4">
        <f>$O$656*$AA$656</f>
        <v>41665.060113435189</v>
      </c>
    </row>
    <row r="657" spans="1:33" ht="11.25" customHeight="1" x14ac:dyDescent="0.3">
      <c r="A657" s="3" t="s">
        <v>21</v>
      </c>
      <c r="B657" s="3" t="s">
        <v>45</v>
      </c>
      <c r="C657" s="3" t="s">
        <v>23</v>
      </c>
      <c r="D657" s="3" t="s">
        <v>46</v>
      </c>
      <c r="E657" s="3" t="s">
        <v>47</v>
      </c>
      <c r="F657" s="3" t="s">
        <v>25</v>
      </c>
      <c r="G657" s="3" t="s">
        <v>25</v>
      </c>
      <c r="H657" s="3" t="s">
        <v>25</v>
      </c>
      <c r="I657" s="6">
        <v>44440</v>
      </c>
      <c r="J657" s="4">
        <v>0</v>
      </c>
      <c r="K657" s="4">
        <v>0</v>
      </c>
      <c r="L657" s="4">
        <v>356.62299999999999</v>
      </c>
      <c r="M657" s="4">
        <v>356.62299999999999</v>
      </c>
      <c r="N657" s="4">
        <v>356.62299999999999</v>
      </c>
      <c r="O657" s="4">
        <v>356.62299999999999</v>
      </c>
      <c r="P657" s="4">
        <v>24</v>
      </c>
      <c r="Q657" s="3" t="s">
        <v>26</v>
      </c>
      <c r="R657" s="3">
        <v>0</v>
      </c>
      <c r="S657" s="4">
        <v>0</v>
      </c>
      <c r="T657" s="4">
        <v>49</v>
      </c>
      <c r="U657" s="4">
        <v>89</v>
      </c>
      <c r="V657" s="4">
        <f>IF(ISERROR(VLOOKUP($S$657,'TAR FIN'!$A$1:$O$91,15,0)),0,VLOOKUP($S$657,'TAR FIN'!$A$1:$O$91,15,0))</f>
        <v>0</v>
      </c>
      <c r="W657" s="4">
        <f>IF(ISERROR(VLOOKUP($T$657,'TAR FIN'!$A$1:$O$91,15,0)),0,VLOOKUP($T$657,'TAR FIN'!$A$1:$O$91,15,0))</f>
        <v>223.59</v>
      </c>
      <c r="X657" s="4">
        <f>IF(ISERROR(VLOOKUP($U$657,'TAR FIN'!$A$1:$O$91,15,0)),0,VLOOKUP($U$657,'TAR FIN'!$A$1:$O$91,15,0))</f>
        <v>109.47</v>
      </c>
      <c r="Y657" s="4"/>
      <c r="Z657" s="4">
        <f ca="1">('TUSD BE'!$AM$53+'TUSD BF'!$AM$53+'TUSD CVA'!$AM$53)*1</f>
        <v>245.31248945535623</v>
      </c>
      <c r="AA657" s="4">
        <f>('TE BE'!$AB$44+'TE BF'!$AB$44+'TE CVA'!$AB$44)*1</f>
        <v>113.03781427108197</v>
      </c>
      <c r="AB657" s="4">
        <f>$K$657*$V$657</f>
        <v>0</v>
      </c>
      <c r="AC657" s="4">
        <f>$M$657*$W$657</f>
        <v>79737.336569999999</v>
      </c>
      <c r="AD657" s="4">
        <f>$O$657*$X$657</f>
        <v>39039.519809999998</v>
      </c>
      <c r="AE657" s="4">
        <f>$K$657*$Y$657</f>
        <v>0</v>
      </c>
      <c r="AF657" s="4">
        <f ca="1">$M$657*$Z$657</f>
        <v>87484.075927037498</v>
      </c>
      <c r="AG657" s="4">
        <f>$O$657*$AA$657</f>
        <v>40311.884438796063</v>
      </c>
    </row>
    <row r="658" spans="1:33" ht="11.25" customHeight="1" x14ac:dyDescent="0.3">
      <c r="A658" s="3" t="s">
        <v>21</v>
      </c>
      <c r="B658" s="3" t="s">
        <v>45</v>
      </c>
      <c r="C658" s="3" t="s">
        <v>23</v>
      </c>
      <c r="D658" s="3" t="s">
        <v>46</v>
      </c>
      <c r="E658" s="3" t="s">
        <v>47</v>
      </c>
      <c r="F658" s="3" t="s">
        <v>25</v>
      </c>
      <c r="G658" s="3" t="s">
        <v>25</v>
      </c>
      <c r="H658" s="3" t="s">
        <v>25</v>
      </c>
      <c r="I658" s="6">
        <v>44470</v>
      </c>
      <c r="J658" s="4">
        <v>0</v>
      </c>
      <c r="K658" s="4">
        <v>0</v>
      </c>
      <c r="L658" s="4">
        <v>364.07400000000001</v>
      </c>
      <c r="M658" s="4">
        <v>364.07400000000001</v>
      </c>
      <c r="N658" s="4">
        <v>364.07400000000001</v>
      </c>
      <c r="O658" s="4">
        <v>364.07400000000001</v>
      </c>
      <c r="P658" s="4">
        <v>24</v>
      </c>
      <c r="Q658" s="3" t="s">
        <v>26</v>
      </c>
      <c r="R658" s="3">
        <v>0</v>
      </c>
      <c r="S658" s="4">
        <v>0</v>
      </c>
      <c r="T658" s="4">
        <v>49</v>
      </c>
      <c r="U658" s="4">
        <v>89</v>
      </c>
      <c r="V658" s="4">
        <f>IF(ISERROR(VLOOKUP($S$658,'TAR FIN'!$A$1:$O$91,15,0)),0,VLOOKUP($S$658,'TAR FIN'!$A$1:$O$91,15,0))</f>
        <v>0</v>
      </c>
      <c r="W658" s="4">
        <f>IF(ISERROR(VLOOKUP($T$658,'TAR FIN'!$A$1:$O$91,15,0)),0,VLOOKUP($T$658,'TAR FIN'!$A$1:$O$91,15,0))</f>
        <v>223.59</v>
      </c>
      <c r="X658" s="4">
        <f>IF(ISERROR(VLOOKUP($U$658,'TAR FIN'!$A$1:$O$91,15,0)),0,VLOOKUP($U$658,'TAR FIN'!$A$1:$O$91,15,0))</f>
        <v>109.47</v>
      </c>
      <c r="Y658" s="4"/>
      <c r="Z658" s="4">
        <f ca="1">('TUSD BE'!$AM$53+'TUSD BF'!$AM$53+'TUSD CVA'!$AM$53)*1</f>
        <v>245.31248945535623</v>
      </c>
      <c r="AA658" s="4">
        <f>('TE BE'!$AB$44+'TE BF'!$AB$44+'TE CVA'!$AB$44)*1</f>
        <v>113.03781427108197</v>
      </c>
      <c r="AB658" s="4">
        <f>$K$658*$V$658</f>
        <v>0</v>
      </c>
      <c r="AC658" s="4">
        <f>$M$658*$W$658</f>
        <v>81403.305659999998</v>
      </c>
      <c r="AD658" s="4">
        <f>$O$658*$X$658</f>
        <v>39855.180780000002</v>
      </c>
      <c r="AE658" s="4">
        <f>$K$658*$Y$658</f>
        <v>0</v>
      </c>
      <c r="AF658" s="4">
        <f ca="1">$M$658*$Z$658</f>
        <v>89311.899285969368</v>
      </c>
      <c r="AG658" s="4">
        <f>$O$658*$AA$658</f>
        <v>41154.129192929897</v>
      </c>
    </row>
    <row r="659" spans="1:33" ht="11.25" customHeight="1" x14ac:dyDescent="0.3">
      <c r="A659" s="3" t="s">
        <v>21</v>
      </c>
      <c r="B659" s="3" t="s">
        <v>45</v>
      </c>
      <c r="C659" s="3" t="s">
        <v>23</v>
      </c>
      <c r="D659" s="3" t="s">
        <v>46</v>
      </c>
      <c r="E659" s="3" t="s">
        <v>47</v>
      </c>
      <c r="F659" s="3" t="s">
        <v>25</v>
      </c>
      <c r="G659" s="3" t="s">
        <v>25</v>
      </c>
      <c r="H659" s="3" t="s">
        <v>25</v>
      </c>
      <c r="I659" s="6">
        <v>44501</v>
      </c>
      <c r="J659" s="4">
        <v>0</v>
      </c>
      <c r="K659" s="4">
        <v>0</v>
      </c>
      <c r="L659" s="4">
        <v>351.61599999999999</v>
      </c>
      <c r="M659" s="4">
        <v>351.61599999999999</v>
      </c>
      <c r="N659" s="4">
        <v>351.61599999999999</v>
      </c>
      <c r="O659" s="4">
        <v>351.61599999999999</v>
      </c>
      <c r="P659" s="4">
        <v>24</v>
      </c>
      <c r="Q659" s="3" t="s">
        <v>26</v>
      </c>
      <c r="R659" s="3">
        <v>0</v>
      </c>
      <c r="S659" s="4">
        <v>0</v>
      </c>
      <c r="T659" s="4">
        <v>49</v>
      </c>
      <c r="U659" s="4">
        <v>89</v>
      </c>
      <c r="V659" s="4">
        <f>IF(ISERROR(VLOOKUP($S$659,'TAR FIN'!$A$1:$O$91,15,0)),0,VLOOKUP($S$659,'TAR FIN'!$A$1:$O$91,15,0))</f>
        <v>0</v>
      </c>
      <c r="W659" s="4">
        <f>IF(ISERROR(VLOOKUP($T$659,'TAR FIN'!$A$1:$O$91,15,0)),0,VLOOKUP($T$659,'TAR FIN'!$A$1:$O$91,15,0))</f>
        <v>223.59</v>
      </c>
      <c r="X659" s="4">
        <f>IF(ISERROR(VLOOKUP($U$659,'TAR FIN'!$A$1:$O$91,15,0)),0,VLOOKUP($U$659,'TAR FIN'!$A$1:$O$91,15,0))</f>
        <v>109.47</v>
      </c>
      <c r="Y659" s="4"/>
      <c r="Z659" s="4">
        <f ca="1">('TUSD BE'!$AM$53+'TUSD BF'!$AM$53+'TUSD CVA'!$AM$53)*1</f>
        <v>245.31248945535623</v>
      </c>
      <c r="AA659" s="4">
        <f>('TE BE'!$AB$44+'TE BF'!$AB$44+'TE CVA'!$AB$44)*1</f>
        <v>113.03781427108197</v>
      </c>
      <c r="AB659" s="4">
        <f>$K$659*$V$659</f>
        <v>0</v>
      </c>
      <c r="AC659" s="4">
        <f>$M$659*$W$659</f>
        <v>78617.82144</v>
      </c>
      <c r="AD659" s="4">
        <f>$O$659*$X$659</f>
        <v>38491.40352</v>
      </c>
      <c r="AE659" s="4">
        <f>$K$659*$Y$659</f>
        <v>0</v>
      </c>
      <c r="AF659" s="4">
        <f ca="1">$M$659*$Z$659</f>
        <v>86255.796292334533</v>
      </c>
      <c r="AG659" s="4">
        <f>$O$659*$AA$659</f>
        <v>39745.904102740758</v>
      </c>
    </row>
    <row r="660" spans="1:33" ht="11.25" customHeight="1" x14ac:dyDescent="0.3">
      <c r="A660" s="3" t="s">
        <v>21</v>
      </c>
      <c r="B660" s="3" t="s">
        <v>45</v>
      </c>
      <c r="C660" s="3" t="s">
        <v>23</v>
      </c>
      <c r="D660" s="3" t="s">
        <v>46</v>
      </c>
      <c r="E660" s="3" t="s">
        <v>47</v>
      </c>
      <c r="F660" s="3" t="s">
        <v>25</v>
      </c>
      <c r="G660" s="3" t="s">
        <v>25</v>
      </c>
      <c r="H660" s="3" t="s">
        <v>25</v>
      </c>
      <c r="I660" s="6">
        <v>44531</v>
      </c>
      <c r="J660" s="4">
        <v>0</v>
      </c>
      <c r="K660" s="4">
        <v>0</v>
      </c>
      <c r="L660" s="4">
        <v>362.399</v>
      </c>
      <c r="M660" s="4">
        <v>362.399</v>
      </c>
      <c r="N660" s="4">
        <v>362.399</v>
      </c>
      <c r="O660" s="4">
        <v>362.399</v>
      </c>
      <c r="P660" s="4">
        <v>24</v>
      </c>
      <c r="Q660" s="3" t="s">
        <v>26</v>
      </c>
      <c r="R660" s="3">
        <v>0</v>
      </c>
      <c r="S660" s="4">
        <v>0</v>
      </c>
      <c r="T660" s="4">
        <v>49</v>
      </c>
      <c r="U660" s="4">
        <v>89</v>
      </c>
      <c r="V660" s="4">
        <f>IF(ISERROR(VLOOKUP($S$660,'TAR FIN'!$A$1:$O$91,15,0)),0,VLOOKUP($S$660,'TAR FIN'!$A$1:$O$91,15,0))</f>
        <v>0</v>
      </c>
      <c r="W660" s="4">
        <f>IF(ISERROR(VLOOKUP($T$660,'TAR FIN'!$A$1:$O$91,15,0)),0,VLOOKUP($T$660,'TAR FIN'!$A$1:$O$91,15,0))</f>
        <v>223.59</v>
      </c>
      <c r="X660" s="4">
        <f>IF(ISERROR(VLOOKUP($U$660,'TAR FIN'!$A$1:$O$91,15,0)),0,VLOOKUP($U$660,'TAR FIN'!$A$1:$O$91,15,0))</f>
        <v>109.47</v>
      </c>
      <c r="Y660" s="4"/>
      <c r="Z660" s="4">
        <f ca="1">('TUSD BE'!$AM$53+'TUSD BF'!$AM$53+'TUSD CVA'!$AM$53)*1</f>
        <v>245.31248945535623</v>
      </c>
      <c r="AA660" s="4">
        <f>('TE BE'!$AB$44+'TE BF'!$AB$44+'TE CVA'!$AB$44)*1</f>
        <v>113.03781427108197</v>
      </c>
      <c r="AB660" s="4">
        <f>$K$660*$V$660</f>
        <v>0</v>
      </c>
      <c r="AC660" s="4">
        <f>$M$660*$W$660</f>
        <v>81028.792409999995</v>
      </c>
      <c r="AD660" s="4">
        <f>$O$660*$X$660</f>
        <v>39671.818529999997</v>
      </c>
      <c r="AE660" s="4">
        <f>$K$660*$Y$660</f>
        <v>0</v>
      </c>
      <c r="AF660" s="4">
        <f ca="1">$M$660*$Z$660</f>
        <v>88901.000866131639</v>
      </c>
      <c r="AG660" s="4">
        <f>$O$660*$AA$660</f>
        <v>40964.790854025836</v>
      </c>
    </row>
    <row r="661" spans="1:33" ht="11.25" customHeight="1" x14ac:dyDescent="0.3">
      <c r="A661" s="3" t="s">
        <v>21</v>
      </c>
      <c r="B661" s="3" t="s">
        <v>45</v>
      </c>
      <c r="C661" s="3" t="s">
        <v>23</v>
      </c>
      <c r="D661" s="3" t="s">
        <v>46</v>
      </c>
      <c r="E661" s="3" t="s">
        <v>47</v>
      </c>
      <c r="F661" s="3" t="s">
        <v>25</v>
      </c>
      <c r="G661" s="3" t="s">
        <v>25</v>
      </c>
      <c r="H661" s="3" t="s">
        <v>25</v>
      </c>
      <c r="I661" s="6">
        <v>44562</v>
      </c>
      <c r="J661" s="4">
        <v>0</v>
      </c>
      <c r="K661" s="4">
        <v>0</v>
      </c>
      <c r="L661" s="4">
        <v>362.43400000000003</v>
      </c>
      <c r="M661" s="4">
        <v>362.43400000000003</v>
      </c>
      <c r="N661" s="4">
        <v>362.43400000000003</v>
      </c>
      <c r="O661" s="4">
        <v>362.43400000000003</v>
      </c>
      <c r="P661" s="4">
        <v>24</v>
      </c>
      <c r="Q661" s="3" t="s">
        <v>26</v>
      </c>
      <c r="R661" s="3">
        <v>0</v>
      </c>
      <c r="S661" s="4">
        <v>0</v>
      </c>
      <c r="T661" s="4">
        <v>49</v>
      </c>
      <c r="U661" s="4">
        <v>89</v>
      </c>
      <c r="V661" s="4">
        <f>IF(ISERROR(VLOOKUP($S$661,'TAR FIN'!$A$1:$O$91,15,0)),0,VLOOKUP($S$661,'TAR FIN'!$A$1:$O$91,15,0))</f>
        <v>0</v>
      </c>
      <c r="W661" s="4">
        <f>IF(ISERROR(VLOOKUP($T$661,'TAR FIN'!$A$1:$O$91,15,0)),0,VLOOKUP($T$661,'TAR FIN'!$A$1:$O$91,15,0))</f>
        <v>223.59</v>
      </c>
      <c r="X661" s="4">
        <f>IF(ISERROR(VLOOKUP($U$661,'TAR FIN'!$A$1:$O$91,15,0)),0,VLOOKUP($U$661,'TAR FIN'!$A$1:$O$91,15,0))</f>
        <v>109.47</v>
      </c>
      <c r="Y661" s="4"/>
      <c r="Z661" s="4">
        <f ca="1">('TUSD BE'!$AM$53+'TUSD BF'!$AM$53+'TUSD CVA'!$AM$53)*1</f>
        <v>245.31248945535623</v>
      </c>
      <c r="AA661" s="4">
        <f>('TE BE'!$AB$44+'TE BF'!$AB$44+'TE CVA'!$AB$44)*1</f>
        <v>113.03781427108197</v>
      </c>
      <c r="AB661" s="4">
        <f>$K$661*$V$661</f>
        <v>0</v>
      </c>
      <c r="AC661" s="4">
        <f>$M$661*$W$661</f>
        <v>81036.618060000008</v>
      </c>
      <c r="AD661" s="4">
        <f>$O$661*$X$661</f>
        <v>39675.649980000002</v>
      </c>
      <c r="AE661" s="4">
        <f>$K$661*$Y$661</f>
        <v>0</v>
      </c>
      <c r="AF661" s="4">
        <f ca="1">$M$661*$Z$661</f>
        <v>88909.586803262588</v>
      </c>
      <c r="AG661" s="4">
        <f>$O$661*$AA$661</f>
        <v>40968.747177525329</v>
      </c>
    </row>
    <row r="662" spans="1:33" ht="11.25" customHeight="1" x14ac:dyDescent="0.3">
      <c r="A662" s="3" t="s">
        <v>21</v>
      </c>
      <c r="B662" s="3" t="s">
        <v>45</v>
      </c>
      <c r="C662" s="3" t="s">
        <v>23</v>
      </c>
      <c r="D662" s="3" t="s">
        <v>46</v>
      </c>
      <c r="E662" s="3" t="s">
        <v>47</v>
      </c>
      <c r="F662" s="3" t="s">
        <v>25</v>
      </c>
      <c r="G662" s="3" t="s">
        <v>25</v>
      </c>
      <c r="H662" s="3" t="s">
        <v>25</v>
      </c>
      <c r="I662" s="6">
        <v>44593</v>
      </c>
      <c r="J662" s="4">
        <v>0</v>
      </c>
      <c r="K662" s="4">
        <v>0</v>
      </c>
      <c r="L662" s="4">
        <v>329.58800000000002</v>
      </c>
      <c r="M662" s="4">
        <v>329.58800000000002</v>
      </c>
      <c r="N662" s="4">
        <v>329.58800000000002</v>
      </c>
      <c r="O662" s="4">
        <v>329.58800000000002</v>
      </c>
      <c r="P662" s="4">
        <v>24</v>
      </c>
      <c r="Q662" s="3" t="s">
        <v>26</v>
      </c>
      <c r="R662" s="3">
        <v>0</v>
      </c>
      <c r="S662" s="4">
        <v>0</v>
      </c>
      <c r="T662" s="4">
        <v>49</v>
      </c>
      <c r="U662" s="4">
        <v>89</v>
      </c>
      <c r="V662" s="4">
        <f>IF(ISERROR(VLOOKUP($S$662,'TAR FIN'!$A$1:$O$91,15,0)),0,VLOOKUP($S$662,'TAR FIN'!$A$1:$O$91,15,0))</f>
        <v>0</v>
      </c>
      <c r="W662" s="4">
        <f>IF(ISERROR(VLOOKUP($T$662,'TAR FIN'!$A$1:$O$91,15,0)),0,VLOOKUP($T$662,'TAR FIN'!$A$1:$O$91,15,0))</f>
        <v>223.59</v>
      </c>
      <c r="X662" s="4">
        <f>IF(ISERROR(VLOOKUP($U$662,'TAR FIN'!$A$1:$O$91,15,0)),0,VLOOKUP($U$662,'TAR FIN'!$A$1:$O$91,15,0))</f>
        <v>109.47</v>
      </c>
      <c r="Y662" s="4"/>
      <c r="Z662" s="4">
        <f ca="1">('TUSD BE'!$AM$53+'TUSD BF'!$AM$53+'TUSD CVA'!$AM$53)*1</f>
        <v>245.31248945535623</v>
      </c>
      <c r="AA662" s="4">
        <f>('TE BE'!$AB$44+'TE BF'!$AB$44+'TE CVA'!$AB$44)*1</f>
        <v>113.03781427108197</v>
      </c>
      <c r="AB662" s="4">
        <f>$K$662*$V$662</f>
        <v>0</v>
      </c>
      <c r="AC662" s="4">
        <f>$M$662*$W$662</f>
        <v>73692.580920000008</v>
      </c>
      <c r="AD662" s="4">
        <f>$O$662*$X$662</f>
        <v>36079.998360000005</v>
      </c>
      <c r="AE662" s="4">
        <f>$K$662*$Y$662</f>
        <v>0</v>
      </c>
      <c r="AF662" s="4">
        <f ca="1">$M$662*$Z$662</f>
        <v>80852.052774611948</v>
      </c>
      <c r="AG662" s="4">
        <f>$O$662*$AA$662</f>
        <v>37255.907129977364</v>
      </c>
    </row>
    <row r="663" spans="1:33" ht="11.25" customHeight="1" x14ac:dyDescent="0.3">
      <c r="A663" s="3" t="s">
        <v>21</v>
      </c>
      <c r="B663" s="3" t="s">
        <v>45</v>
      </c>
      <c r="C663" s="3" t="s">
        <v>23</v>
      </c>
      <c r="D663" s="3" t="s">
        <v>46</v>
      </c>
      <c r="E663" s="3" t="s">
        <v>47</v>
      </c>
      <c r="F663" s="3" t="s">
        <v>25</v>
      </c>
      <c r="G663" s="3" t="s">
        <v>25</v>
      </c>
      <c r="H663" s="3" t="s">
        <v>25</v>
      </c>
      <c r="I663" s="6">
        <v>44621</v>
      </c>
      <c r="J663" s="4">
        <v>0</v>
      </c>
      <c r="K663" s="4">
        <v>0</v>
      </c>
      <c r="L663" s="4">
        <v>379.38499999999999</v>
      </c>
      <c r="M663" s="4">
        <v>379.38499999999999</v>
      </c>
      <c r="N663" s="4">
        <v>379.38499999999999</v>
      </c>
      <c r="O663" s="4">
        <v>379.38499999999999</v>
      </c>
      <c r="P663" s="4">
        <v>24</v>
      </c>
      <c r="Q663" s="3" t="s">
        <v>26</v>
      </c>
      <c r="R663" s="3">
        <v>0</v>
      </c>
      <c r="S663" s="4">
        <v>0</v>
      </c>
      <c r="T663" s="4">
        <v>49</v>
      </c>
      <c r="U663" s="4">
        <v>89</v>
      </c>
      <c r="V663" s="4">
        <f>IF(ISERROR(VLOOKUP($S$663,'TAR FIN'!$A$1:$O$91,15,0)),0,VLOOKUP($S$663,'TAR FIN'!$A$1:$O$91,15,0))</f>
        <v>0</v>
      </c>
      <c r="W663" s="4">
        <f>IF(ISERROR(VLOOKUP($T$663,'TAR FIN'!$A$1:$O$91,15,0)),0,VLOOKUP($T$663,'TAR FIN'!$A$1:$O$91,15,0))</f>
        <v>223.59</v>
      </c>
      <c r="X663" s="4">
        <f>IF(ISERROR(VLOOKUP($U$663,'TAR FIN'!$A$1:$O$91,15,0)),0,VLOOKUP($U$663,'TAR FIN'!$A$1:$O$91,15,0))</f>
        <v>109.47</v>
      </c>
      <c r="Y663" s="4"/>
      <c r="Z663" s="4">
        <f ca="1">('TUSD BE'!$AM$53+'TUSD BF'!$AM$53+'TUSD CVA'!$AM$53)*1</f>
        <v>245.31248945535623</v>
      </c>
      <c r="AA663" s="4">
        <f>('TE BE'!$AB$44+'TE BF'!$AB$44+'TE CVA'!$AB$44)*1</f>
        <v>113.03781427108197</v>
      </c>
      <c r="AB663" s="4">
        <f>$K$663*$V$663</f>
        <v>0</v>
      </c>
      <c r="AC663" s="4">
        <f>$M$663*$W$663</f>
        <v>84826.692150000003</v>
      </c>
      <c r="AD663" s="4">
        <f>$O$663*$X$663</f>
        <v>41531.275949999996</v>
      </c>
      <c r="AE663" s="4">
        <f>$K$663*$Y$663</f>
        <v>0</v>
      </c>
      <c r="AF663" s="4">
        <f ca="1">$M$663*$Z$663</f>
        <v>93067.878812020324</v>
      </c>
      <c r="AG663" s="4">
        <f>$O$663*$AA$663</f>
        <v>42884.851167234432</v>
      </c>
    </row>
    <row r="664" spans="1:33" ht="11.25" customHeight="1" x14ac:dyDescent="0.3">
      <c r="A664" s="3" t="s">
        <v>27</v>
      </c>
      <c r="B664" s="3" t="s">
        <v>45</v>
      </c>
      <c r="C664" s="3" t="s">
        <v>23</v>
      </c>
      <c r="D664" s="3" t="s">
        <v>46</v>
      </c>
      <c r="E664" s="3" t="s">
        <v>47</v>
      </c>
      <c r="F664" s="3" t="s">
        <v>25</v>
      </c>
      <c r="G664" s="3" t="s">
        <v>25</v>
      </c>
      <c r="H664" s="3" t="s">
        <v>25</v>
      </c>
      <c r="I664" s="6">
        <v>44621</v>
      </c>
      <c r="J664" s="4">
        <v>0</v>
      </c>
      <c r="K664" s="4">
        <v>0</v>
      </c>
      <c r="L664" s="4">
        <v>4.008</v>
      </c>
      <c r="M664" s="4">
        <v>4.008</v>
      </c>
      <c r="N664" s="4">
        <v>4.008</v>
      </c>
      <c r="O664" s="4">
        <v>4.008</v>
      </c>
      <c r="P664" s="4">
        <v>0</v>
      </c>
      <c r="Q664" s="3" t="s">
        <v>26</v>
      </c>
      <c r="R664" s="3">
        <v>0</v>
      </c>
      <c r="S664" s="4">
        <v>0</v>
      </c>
      <c r="T664" s="4">
        <v>49</v>
      </c>
      <c r="U664" s="4">
        <v>89</v>
      </c>
      <c r="V664" s="4">
        <f>IF(ISERROR(VLOOKUP($S$664,'TAR FIN'!$A$1:$O$91,15,0)),0,VLOOKUP($S$664,'TAR FIN'!$A$1:$O$91,15,0))</f>
        <v>0</v>
      </c>
      <c r="W664" s="4">
        <f>IF(ISERROR(VLOOKUP($T$664,'TAR FIN'!$A$1:$O$91,15,0)),0,VLOOKUP($T$664,'TAR FIN'!$A$1:$O$91,15,0))</f>
        <v>223.59</v>
      </c>
      <c r="X664" s="4">
        <f>IF(ISERROR(VLOOKUP($U$664,'TAR FIN'!$A$1:$O$91,15,0)),0,VLOOKUP($U$664,'TAR FIN'!$A$1:$O$91,15,0))</f>
        <v>109.47</v>
      </c>
      <c r="Y664" s="4"/>
      <c r="Z664" s="4">
        <f ca="1">('TUSD BE'!$AM$53+'TUSD BF'!$AM$53+'TUSD CVA'!$AM$53)*1</f>
        <v>245.31248945535623</v>
      </c>
      <c r="AA664" s="4">
        <f>('TE BE'!$AB$44+'TE BF'!$AB$44+'TE CVA'!$AB$44)*1</f>
        <v>113.03781427108197</v>
      </c>
      <c r="AB664" s="4">
        <f>$K$664*$V$664</f>
        <v>0</v>
      </c>
      <c r="AC664" s="4">
        <f>$M$664*$W$664</f>
        <v>896.14872000000003</v>
      </c>
      <c r="AD664" s="4">
        <f>$O$664*$X$664</f>
        <v>438.75576000000001</v>
      </c>
      <c r="AE664" s="4">
        <f>$K$664*$Y$664</f>
        <v>0</v>
      </c>
      <c r="AF664" s="4">
        <f ca="1">$M$664*$Z$664</f>
        <v>983.21245773706778</v>
      </c>
      <c r="AG664" s="4">
        <f>$O$664*$AA$664</f>
        <v>453.05555959849653</v>
      </c>
    </row>
    <row r="665" spans="1:33" ht="11.25" customHeight="1" x14ac:dyDescent="0.3">
      <c r="A665" s="3" t="s">
        <v>21</v>
      </c>
      <c r="B665" s="3" t="s">
        <v>45</v>
      </c>
      <c r="C665" s="3" t="s">
        <v>23</v>
      </c>
      <c r="D665" s="3" t="s">
        <v>46</v>
      </c>
      <c r="E665" s="3" t="s">
        <v>47</v>
      </c>
      <c r="F665" s="3" t="s">
        <v>25</v>
      </c>
      <c r="G665" s="3" t="s">
        <v>25</v>
      </c>
      <c r="H665" s="3" t="s">
        <v>25</v>
      </c>
      <c r="I665" s="6">
        <v>44652</v>
      </c>
      <c r="J665" s="4">
        <v>0</v>
      </c>
      <c r="K665" s="4">
        <v>0</v>
      </c>
      <c r="L665" s="4">
        <v>368.34699999999998</v>
      </c>
      <c r="M665" s="4">
        <v>368.34699999999998</v>
      </c>
      <c r="N665" s="4">
        <v>368.34699999999998</v>
      </c>
      <c r="O665" s="4">
        <v>368.34699999999998</v>
      </c>
      <c r="P665" s="4">
        <v>24</v>
      </c>
      <c r="Q665" s="3" t="s">
        <v>26</v>
      </c>
      <c r="R665" s="3">
        <v>0</v>
      </c>
      <c r="S665" s="4">
        <v>0</v>
      </c>
      <c r="T665" s="4">
        <v>49</v>
      </c>
      <c r="U665" s="4">
        <v>89</v>
      </c>
      <c r="V665" s="4">
        <f>IF(ISERROR(VLOOKUP($S$665,'TAR FIN'!$A$1:$O$91,15,0)),0,VLOOKUP($S$665,'TAR FIN'!$A$1:$O$91,15,0))</f>
        <v>0</v>
      </c>
      <c r="W665" s="4">
        <f>IF(ISERROR(VLOOKUP($T$665,'TAR FIN'!$A$1:$O$91,15,0)),0,VLOOKUP($T$665,'TAR FIN'!$A$1:$O$91,15,0))</f>
        <v>223.59</v>
      </c>
      <c r="X665" s="4">
        <f>IF(ISERROR(VLOOKUP($U$665,'TAR FIN'!$A$1:$O$91,15,0)),0,VLOOKUP($U$665,'TAR FIN'!$A$1:$O$91,15,0))</f>
        <v>109.47</v>
      </c>
      <c r="Y665" s="4"/>
      <c r="Z665" s="4">
        <f ca="1">('TUSD BE'!$AM$53+'TUSD BF'!$AM$53+'TUSD CVA'!$AM$53)*1</f>
        <v>245.31248945535623</v>
      </c>
      <c r="AA665" s="4">
        <f>('TE BE'!$AB$44+'TE BF'!$AB$44+'TE CVA'!$AB$44)*1</f>
        <v>113.03781427108197</v>
      </c>
      <c r="AB665" s="4">
        <f>$K$665*$V$665</f>
        <v>0</v>
      </c>
      <c r="AC665" s="4">
        <f>$M$665*$W$665</f>
        <v>82358.705730000001</v>
      </c>
      <c r="AD665" s="4">
        <f>$O$665*$X$665</f>
        <v>40322.946089999998</v>
      </c>
      <c r="AE665" s="4">
        <f>$K$665*$Y$665</f>
        <v>0</v>
      </c>
      <c r="AF665" s="4">
        <f ca="1">$M$665*$Z$665</f>
        <v>90360.119553412093</v>
      </c>
      <c r="AG665" s="4">
        <f>$O$665*$AA$665</f>
        <v>41637.139773310228</v>
      </c>
    </row>
    <row r="666" spans="1:33" ht="11.25" customHeight="1" x14ac:dyDescent="0.3">
      <c r="A666" s="3" t="s">
        <v>21</v>
      </c>
      <c r="B666" s="3" t="s">
        <v>45</v>
      </c>
      <c r="C666" s="3" t="s">
        <v>23</v>
      </c>
      <c r="D666" s="3" t="s">
        <v>46</v>
      </c>
      <c r="E666" s="3" t="s">
        <v>47</v>
      </c>
      <c r="F666" s="3" t="s">
        <v>25</v>
      </c>
      <c r="G666" s="3" t="s">
        <v>25</v>
      </c>
      <c r="H666" s="3" t="s">
        <v>25</v>
      </c>
      <c r="I666" s="6">
        <v>44682</v>
      </c>
      <c r="J666" s="4">
        <v>0</v>
      </c>
      <c r="K666" s="4">
        <v>0</v>
      </c>
      <c r="L666" s="4">
        <v>382.18</v>
      </c>
      <c r="M666" s="4">
        <v>382.18</v>
      </c>
      <c r="N666" s="4">
        <v>382.18</v>
      </c>
      <c r="O666" s="4">
        <v>382.18</v>
      </c>
      <c r="P666" s="4">
        <v>24</v>
      </c>
      <c r="Q666" s="3" t="s">
        <v>26</v>
      </c>
      <c r="R666" s="3">
        <v>0</v>
      </c>
      <c r="S666" s="4">
        <v>0</v>
      </c>
      <c r="T666" s="4">
        <v>49</v>
      </c>
      <c r="U666" s="4">
        <v>89</v>
      </c>
      <c r="V666" s="4">
        <f>IF(ISERROR(VLOOKUP($S$666,'TAR FIN'!$A$1:$O$91,15,0)),0,VLOOKUP($S$666,'TAR FIN'!$A$1:$O$91,15,0))</f>
        <v>0</v>
      </c>
      <c r="W666" s="4">
        <f>IF(ISERROR(VLOOKUP($T$666,'TAR FIN'!$A$1:$O$91,15,0)),0,VLOOKUP($T$666,'TAR FIN'!$A$1:$O$91,15,0))</f>
        <v>223.59</v>
      </c>
      <c r="X666" s="4">
        <f>IF(ISERROR(VLOOKUP($U$666,'TAR FIN'!$A$1:$O$91,15,0)),0,VLOOKUP($U$666,'TAR FIN'!$A$1:$O$91,15,0))</f>
        <v>109.47</v>
      </c>
      <c r="Y666" s="4"/>
      <c r="Z666" s="4">
        <f ca="1">('TUSD BE'!$AM$53+'TUSD BF'!$AM$53+'TUSD CVA'!$AM$53)*1</f>
        <v>245.31248945535623</v>
      </c>
      <c r="AA666" s="4">
        <f>('TE BE'!$AB$44+'TE BF'!$AB$44+'TE CVA'!$AB$44)*1</f>
        <v>113.03781427108197</v>
      </c>
      <c r="AB666" s="4">
        <f>$K$666*$V$666</f>
        <v>0</v>
      </c>
      <c r="AC666" s="4">
        <f>$M$666*$W$666</f>
        <v>85451.626199999999</v>
      </c>
      <c r="AD666" s="4">
        <f>$O$666*$X$666</f>
        <v>41837.244599999998</v>
      </c>
      <c r="AE666" s="4">
        <f>$K$666*$Y$666</f>
        <v>0</v>
      </c>
      <c r="AF666" s="4">
        <f ca="1">$M$666*$Z$666</f>
        <v>93753.527220048039</v>
      </c>
      <c r="AG666" s="4">
        <f>$O$666*$AA$666</f>
        <v>43200.791858122109</v>
      </c>
    </row>
    <row r="667" spans="1:33" ht="11.25" customHeight="1" x14ac:dyDescent="0.3">
      <c r="A667" s="3" t="s">
        <v>21</v>
      </c>
      <c r="B667" s="3" t="s">
        <v>45</v>
      </c>
      <c r="C667" s="3" t="s">
        <v>23</v>
      </c>
      <c r="D667" s="3" t="s">
        <v>46</v>
      </c>
      <c r="E667" s="3" t="s">
        <v>47</v>
      </c>
      <c r="F667" s="3" t="s">
        <v>25</v>
      </c>
      <c r="G667" s="3" t="s">
        <v>25</v>
      </c>
      <c r="H667" s="3" t="s">
        <v>25</v>
      </c>
      <c r="I667" s="6">
        <v>44713</v>
      </c>
      <c r="J667" s="4">
        <v>0</v>
      </c>
      <c r="K667" s="4">
        <v>0</v>
      </c>
      <c r="L667" s="4">
        <v>371.30099999999999</v>
      </c>
      <c r="M667" s="4">
        <v>371.30099999999999</v>
      </c>
      <c r="N667" s="4">
        <v>371.30099999999999</v>
      </c>
      <c r="O667" s="4">
        <v>371.30099999999999</v>
      </c>
      <c r="P667" s="4">
        <v>24</v>
      </c>
      <c r="Q667" s="3" t="s">
        <v>26</v>
      </c>
      <c r="R667" s="3">
        <v>0</v>
      </c>
      <c r="S667" s="4">
        <v>0</v>
      </c>
      <c r="T667" s="4">
        <v>49</v>
      </c>
      <c r="U667" s="4">
        <v>89</v>
      </c>
      <c r="V667" s="4">
        <f>IF(ISERROR(VLOOKUP($S$667,'TAR FIN'!$A$1:$O$91,15,0)),0,VLOOKUP($S$667,'TAR FIN'!$A$1:$O$91,15,0))</f>
        <v>0</v>
      </c>
      <c r="W667" s="4">
        <f>IF(ISERROR(VLOOKUP($T$667,'TAR FIN'!$A$1:$O$91,15,0)),0,VLOOKUP($T$667,'TAR FIN'!$A$1:$O$91,15,0))</f>
        <v>223.59</v>
      </c>
      <c r="X667" s="4">
        <f>IF(ISERROR(VLOOKUP($U$667,'TAR FIN'!$A$1:$O$91,15,0)),0,VLOOKUP($U$667,'TAR FIN'!$A$1:$O$91,15,0))</f>
        <v>109.47</v>
      </c>
      <c r="Y667" s="4"/>
      <c r="Z667" s="4">
        <f ca="1">('TUSD BE'!$AM$53+'TUSD BF'!$AM$53+'TUSD CVA'!$AM$53)*1</f>
        <v>245.31248945535623</v>
      </c>
      <c r="AA667" s="4">
        <f>('TE BE'!$AB$44+'TE BF'!$AB$44+'TE CVA'!$AB$44)*1</f>
        <v>113.03781427108197</v>
      </c>
      <c r="AB667" s="4">
        <f>$K$667*$V$667</f>
        <v>0</v>
      </c>
      <c r="AC667" s="4">
        <f>$M$667*$W$667</f>
        <v>83019.190589999998</v>
      </c>
      <c r="AD667" s="4">
        <f>$O$667*$X$667</f>
        <v>40646.320469999999</v>
      </c>
      <c r="AE667" s="4">
        <f>$K$667*$Y$667</f>
        <v>0</v>
      </c>
      <c r="AF667" s="4">
        <f ca="1">$M$667*$Z$667</f>
        <v>91084.77264726322</v>
      </c>
      <c r="AG667" s="4">
        <f>$O$667*$AA$667</f>
        <v>41971.053476667003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84C36-1213-45F5-AF74-2104CF32EDD0}">
  <sheetPr codeName="Planilha28"/>
  <dimension ref="A1:AJ668"/>
  <sheetViews>
    <sheetView showGridLines="0" tabSelected="1" topLeftCell="AA1" workbookViewId="0">
      <selection sqref="A1:AF303"/>
    </sheetView>
  </sheetViews>
  <sheetFormatPr defaultColWidth="8.88671875" defaultRowHeight="11.25" customHeight="1" x14ac:dyDescent="0.3"/>
  <cols>
    <col min="1" max="1" width="19.109375" style="3" bestFit="1" customWidth="1"/>
    <col min="2" max="2" width="13.33203125" style="3" bestFit="1" customWidth="1"/>
    <col min="3" max="3" width="14.5546875" style="3" bestFit="1" customWidth="1"/>
    <col min="4" max="4" width="11.5546875" style="3" bestFit="1" customWidth="1"/>
    <col min="5" max="5" width="25.109375" style="3" bestFit="1" customWidth="1"/>
    <col min="6" max="6" width="13.33203125" style="3" bestFit="1" customWidth="1"/>
    <col min="7" max="7" width="11.33203125" style="3" bestFit="1" customWidth="1"/>
    <col min="8" max="8" width="10.33203125" style="3" bestFit="1" customWidth="1"/>
    <col min="9" max="9" width="12.109375" style="6" bestFit="1" customWidth="1"/>
    <col min="10" max="10" width="7" style="4" bestFit="1" customWidth="1"/>
    <col min="11" max="11" width="7.88671875" style="4" bestFit="1" customWidth="1"/>
    <col min="12" max="12" width="11.33203125" style="4" bestFit="1" customWidth="1"/>
    <col min="13" max="13" width="12.5546875" style="4" bestFit="1" customWidth="1"/>
    <col min="14" max="14" width="9.109375" style="4" bestFit="1" customWidth="1"/>
    <col min="15" max="15" width="10.44140625" style="4" bestFit="1" customWidth="1"/>
    <col min="16" max="16" width="7.6640625" style="4" bestFit="1" customWidth="1"/>
    <col min="17" max="17" width="11.109375" style="3" bestFit="1" customWidth="1"/>
    <col min="18" max="18" width="13.109375" style="3" bestFit="1" customWidth="1"/>
    <col min="19" max="19" width="23" style="3" bestFit="1" customWidth="1"/>
    <col min="20" max="20" width="24.44140625" style="3" bestFit="1" customWidth="1"/>
    <col min="21" max="21" width="22.33203125" style="3" bestFit="1" customWidth="1"/>
    <col min="22" max="22" width="15.88671875" style="3" bestFit="1" customWidth="1"/>
    <col min="23" max="23" width="17.33203125" style="3" bestFit="1" customWidth="1"/>
    <col min="24" max="24" width="15.109375" style="3" bestFit="1" customWidth="1"/>
    <col min="25" max="25" width="20.88671875" style="3" bestFit="1" customWidth="1"/>
    <col min="26" max="26" width="22.44140625" style="3" bestFit="1" customWidth="1"/>
    <col min="27" max="27" width="20.109375" style="3" bestFit="1" customWidth="1"/>
    <col min="28" max="28" width="19.109375" style="3" bestFit="1" customWidth="1"/>
    <col min="29" max="29" width="20.5546875" style="3" bestFit="1" customWidth="1"/>
    <col min="30" max="30" width="19" style="3" bestFit="1" customWidth="1"/>
    <col min="31" max="31" width="20.44140625" style="3" bestFit="1" customWidth="1"/>
    <col min="32" max="32" width="32.109375" style="3" bestFit="1" customWidth="1"/>
    <col min="33" max="33" width="8.88671875" style="3"/>
    <col min="34" max="34" width="32.109375" style="3" bestFit="1" customWidth="1"/>
    <col min="35" max="36" width="10" style="3" bestFit="1" customWidth="1"/>
    <col min="37" max="16384" width="8.88671875" style="3"/>
  </cols>
  <sheetData>
    <row r="1" spans="1:36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737</v>
      </c>
      <c r="W1" s="1" t="s">
        <v>738</v>
      </c>
      <c r="X1" s="1" t="s">
        <v>739</v>
      </c>
      <c r="Y1" s="1" t="s">
        <v>740</v>
      </c>
      <c r="Z1" s="1" t="s">
        <v>741</v>
      </c>
      <c r="AA1" s="1" t="s">
        <v>742</v>
      </c>
      <c r="AB1" s="1" t="s">
        <v>770</v>
      </c>
      <c r="AC1" s="1" t="s">
        <v>771</v>
      </c>
      <c r="AD1" s="1" t="s">
        <v>772</v>
      </c>
      <c r="AE1" s="1" t="s">
        <v>773</v>
      </c>
      <c r="AF1" s="1" t="s">
        <v>774</v>
      </c>
      <c r="AH1" s="82" t="s">
        <v>774</v>
      </c>
      <c r="AI1" s="82" t="s">
        <v>781</v>
      </c>
      <c r="AJ1" s="82" t="s">
        <v>782</v>
      </c>
    </row>
    <row r="2" spans="1:36" ht="11.25" customHeight="1" x14ac:dyDescent="0.3">
      <c r="A2" s="3" t="s">
        <v>21</v>
      </c>
      <c r="B2" s="3" t="s">
        <v>39</v>
      </c>
      <c r="C2" s="3" t="s">
        <v>56</v>
      </c>
      <c r="D2" s="3" t="s">
        <v>25</v>
      </c>
      <c r="E2" s="3" t="s">
        <v>25</v>
      </c>
      <c r="F2" s="3" t="s">
        <v>57</v>
      </c>
      <c r="G2" s="3" t="s">
        <v>58</v>
      </c>
      <c r="H2" s="3" t="s">
        <v>35</v>
      </c>
      <c r="I2" s="6">
        <v>44378</v>
      </c>
      <c r="J2" s="4">
        <v>1083</v>
      </c>
      <c r="K2" s="18">
        <f>J2*(1-SUMIFS(CUSTOS!$T$40:$T$100,CUSTOS!$O$40:$O$100,SUBSIDIO!G2,CUSTOS!$S$40:$S$100,SUBSIDIO!B2,CUSTOS!$R$40:$R$100,"Potência"))</f>
        <v>1083</v>
      </c>
      <c r="L2" s="4">
        <v>292.06900000000002</v>
      </c>
      <c r="M2" s="18">
        <f>L2*(1-SUMIFS(CUSTOS!$T$40:$T$100,CUSTOS!$O$40:$O$100,SUBSIDIO!G2,CUSTOS!$S$40:$S$100,SUBSIDIO!B2,CUSTOS!$R$40:$R$100,"Potência"))</f>
        <v>292.06900000000002</v>
      </c>
      <c r="N2" s="4">
        <v>0</v>
      </c>
      <c r="O2" s="18">
        <f>N2*(1-SUMIFS(CUSTOS!$T$40:$T$100,CUSTOS!$O$40:$O$100,SUBSIDIO!G2,CUSTOS!$S$40:$S$100,SUBSIDIO!B2,CUSTOS!$R$40:$R$100,"Energia"))</f>
        <v>0</v>
      </c>
      <c r="P2" s="4">
        <v>0</v>
      </c>
      <c r="Q2" s="3" t="s">
        <v>59</v>
      </c>
      <c r="R2" s="3">
        <v>5343</v>
      </c>
      <c r="S2" s="3">
        <v>6</v>
      </c>
      <c r="T2" s="3">
        <v>7</v>
      </c>
      <c r="U2" s="3">
        <v>0</v>
      </c>
      <c r="V2" s="4">
        <f>IF(ISERROR(VLOOKUP($S$2,'TAR FIN'!$A$1:$O$91,15,0)),0,VLOOKUP($S$2,'TAR FIN'!$A$1:$O$91,15,0))</f>
        <v>23.37</v>
      </c>
      <c r="W2" s="4">
        <f>IF(ISERROR(VLOOKUP($T$2,'TAR FIN'!$A$1:$O$91,15,0)),0,VLOOKUP($T$2,'TAR FIN'!$A$1:$O$91,15,0))</f>
        <v>12.96</v>
      </c>
      <c r="X2" s="4">
        <f>IF(ISERROR(VLOOKUP($U$2,'TAR FIN'!$A$1:$O$91,15,0)),0,VLOOKUP($U$2,'TAR FIN'!$A$1:$O$91,15,0))</f>
        <v>0</v>
      </c>
      <c r="Y2" s="4">
        <f ca="1">('TUSD BE'!$AM$10+'TUSD BF'!$AM$10+'TUSD CVA'!$AM$10)*1</f>
        <v>23.819711465050677</v>
      </c>
      <c r="Z2" s="4">
        <f ca="1">('TUSD BE'!$AM$11+'TUSD BF'!$AM$11+'TUSD CVA'!$AM$11)*1</f>
        <v>11.103927165111529</v>
      </c>
      <c r="AA2" s="4">
        <f>('TE BE'!$AB$9+'TE BF'!$AB$9+'TE CVA'!$AB$9)*1</f>
        <v>233.70080441251889</v>
      </c>
      <c r="AB2" s="4">
        <f t="shared" ref="AB2:AB65" si="0">(J2-K2)*V2</f>
        <v>0</v>
      </c>
      <c r="AC2" s="4">
        <f t="shared" ref="AC2:AC33" si="1">(L2-M2)*W2+(N2-O2)*X2</f>
        <v>0</v>
      </c>
      <c r="AD2" s="4">
        <f t="shared" ref="AD2:AD65" ca="1" si="2">(J2-K2)*Y2</f>
        <v>0</v>
      </c>
      <c r="AE2" s="4">
        <f t="shared" ref="AE2:AE33" ca="1" si="3">(L2-M2)*Z2+(N2-O2)*AA2</f>
        <v>0</v>
      </c>
      <c r="AF2" s="3" t="s">
        <v>775</v>
      </c>
      <c r="AH2" s="83" t="s">
        <v>776</v>
      </c>
      <c r="AI2" s="84">
        <f t="shared" ref="AI2:AI9" si="4">SUMIF($AF$2:$AF$668,AH2,$AB$2:$AB$668)+SUMIF($AF$2:$AF$668,AH2,$AC$2:$AC$668)</f>
        <v>1525481.0800724335</v>
      </c>
      <c r="AJ2" s="84">
        <f t="shared" ref="AJ2:AJ9" ca="1" si="5">SUMIF($AF$2:$AF$668,AH2,$AD$2:$AD$668)+SUMIF($AF$2:$AF$668,AH2,$AE$2:$AE$668)</f>
        <v>1718138.3974582802</v>
      </c>
    </row>
    <row r="3" spans="1:36" ht="11.25" customHeight="1" x14ac:dyDescent="0.3">
      <c r="A3" s="3" t="s">
        <v>21</v>
      </c>
      <c r="B3" s="3" t="s">
        <v>39</v>
      </c>
      <c r="C3" s="3" t="s">
        <v>56</v>
      </c>
      <c r="D3" s="3" t="s">
        <v>25</v>
      </c>
      <c r="E3" s="3" t="s">
        <v>25</v>
      </c>
      <c r="F3" s="3" t="s">
        <v>57</v>
      </c>
      <c r="G3" s="3" t="s">
        <v>58</v>
      </c>
      <c r="H3" s="3" t="s">
        <v>35</v>
      </c>
      <c r="I3" s="6">
        <v>44409</v>
      </c>
      <c r="J3" s="4">
        <v>1058</v>
      </c>
      <c r="K3" s="18">
        <f>J3*(1-SUMIFS(CUSTOS!$T$40:$T$100,CUSTOS!$O$40:$O$100,SUBSIDIO!G3,CUSTOS!$S$40:$S$100,SUBSIDIO!B3,CUSTOS!$R$40:$R$100,"Potência"))</f>
        <v>1058</v>
      </c>
      <c r="L3" s="4">
        <v>315.666</v>
      </c>
      <c r="M3" s="18">
        <f>L3*(1-SUMIFS(CUSTOS!$T$40:$T$100,CUSTOS!$O$40:$O$100,SUBSIDIO!G3,CUSTOS!$S$40:$S$100,SUBSIDIO!B3,CUSTOS!$R$40:$R$100,"Potência"))</f>
        <v>315.666</v>
      </c>
      <c r="N3" s="4">
        <v>0</v>
      </c>
      <c r="O3" s="18">
        <f>N3*(1-SUMIFS(CUSTOS!$T$40:$T$100,CUSTOS!$O$40:$O$100,SUBSIDIO!G3,CUSTOS!$S$40:$S$100,SUBSIDIO!B3,CUSTOS!$R$40:$R$100,"Energia"))</f>
        <v>0</v>
      </c>
      <c r="P3" s="4">
        <v>0</v>
      </c>
      <c r="Q3" s="3" t="s">
        <v>59</v>
      </c>
      <c r="R3" s="3">
        <v>5343</v>
      </c>
      <c r="S3" s="3">
        <v>6</v>
      </c>
      <c r="T3" s="3">
        <v>7</v>
      </c>
      <c r="U3" s="3">
        <v>0</v>
      </c>
      <c r="V3" s="4">
        <f>IF(ISERROR(VLOOKUP($S$3,'TAR FIN'!$A$1:$O$91,15,0)),0,VLOOKUP($S$3,'TAR FIN'!$A$1:$O$91,15,0))</f>
        <v>23.37</v>
      </c>
      <c r="W3" s="4">
        <f>IF(ISERROR(VLOOKUP($T$3,'TAR FIN'!$A$1:$O$91,15,0)),0,VLOOKUP($T$3,'TAR FIN'!$A$1:$O$91,15,0))</f>
        <v>12.96</v>
      </c>
      <c r="X3" s="4">
        <f>IF(ISERROR(VLOOKUP($U$3,'TAR FIN'!$A$1:$O$91,15,0)),0,VLOOKUP($U$3,'TAR FIN'!$A$1:$O$91,15,0))</f>
        <v>0</v>
      </c>
      <c r="Y3" s="4">
        <f ca="1">('TUSD BE'!$AM$10+'TUSD BF'!$AM$10+'TUSD CVA'!$AM$10)*1</f>
        <v>23.819711465050677</v>
      </c>
      <c r="Z3" s="4">
        <f ca="1">('TUSD BE'!$AM$11+'TUSD BF'!$AM$11+'TUSD CVA'!$AM$11)*1</f>
        <v>11.103927165111529</v>
      </c>
      <c r="AA3" s="4">
        <f>('TE BE'!$AB$9+'TE BF'!$AB$9+'TE CVA'!$AB$9)*1</f>
        <v>233.70080441251889</v>
      </c>
      <c r="AB3" s="4">
        <f t="shared" si="0"/>
        <v>0</v>
      </c>
      <c r="AC3" s="4">
        <f t="shared" si="1"/>
        <v>0</v>
      </c>
      <c r="AD3" s="4">
        <f t="shared" ca="1" si="2"/>
        <v>0</v>
      </c>
      <c r="AE3" s="4">
        <f t="shared" ca="1" si="3"/>
        <v>0</v>
      </c>
      <c r="AF3" s="3" t="s">
        <v>775</v>
      </c>
      <c r="AH3" s="83" t="s">
        <v>783</v>
      </c>
      <c r="AI3" s="84">
        <f t="shared" si="4"/>
        <v>0</v>
      </c>
      <c r="AJ3" s="84">
        <f t="shared" si="5"/>
        <v>0</v>
      </c>
    </row>
    <row r="4" spans="1:36" ht="11.25" customHeight="1" x14ac:dyDescent="0.3">
      <c r="A4" s="3" t="s">
        <v>21</v>
      </c>
      <c r="B4" s="3" t="s">
        <v>39</v>
      </c>
      <c r="C4" s="3" t="s">
        <v>56</v>
      </c>
      <c r="D4" s="3" t="s">
        <v>25</v>
      </c>
      <c r="E4" s="3" t="s">
        <v>25</v>
      </c>
      <c r="F4" s="3" t="s">
        <v>57</v>
      </c>
      <c r="G4" s="3" t="s">
        <v>58</v>
      </c>
      <c r="H4" s="3" t="s">
        <v>35</v>
      </c>
      <c r="I4" s="6">
        <v>44440</v>
      </c>
      <c r="J4" s="4">
        <v>1067</v>
      </c>
      <c r="K4" s="18">
        <f>J4*(1-SUMIFS(CUSTOS!$T$40:$T$100,CUSTOS!$O$40:$O$100,SUBSIDIO!G4,CUSTOS!$S$40:$S$100,SUBSIDIO!B4,CUSTOS!$R$40:$R$100,"Potência"))</f>
        <v>1067</v>
      </c>
      <c r="L4" s="4">
        <v>290.14600000000002</v>
      </c>
      <c r="M4" s="18">
        <f>L4*(1-SUMIFS(CUSTOS!$T$40:$T$100,CUSTOS!$O$40:$O$100,SUBSIDIO!G4,CUSTOS!$S$40:$S$100,SUBSIDIO!B4,CUSTOS!$R$40:$R$100,"Potência"))</f>
        <v>290.14600000000002</v>
      </c>
      <c r="N4" s="4">
        <v>0</v>
      </c>
      <c r="O4" s="18">
        <f>N4*(1-SUMIFS(CUSTOS!$T$40:$T$100,CUSTOS!$O$40:$O$100,SUBSIDIO!G4,CUSTOS!$S$40:$S$100,SUBSIDIO!B4,CUSTOS!$R$40:$R$100,"Energia"))</f>
        <v>0</v>
      </c>
      <c r="P4" s="4">
        <v>0</v>
      </c>
      <c r="Q4" s="3" t="s">
        <v>59</v>
      </c>
      <c r="R4" s="3">
        <v>5343</v>
      </c>
      <c r="S4" s="3">
        <v>6</v>
      </c>
      <c r="T4" s="3">
        <v>7</v>
      </c>
      <c r="U4" s="3">
        <v>0</v>
      </c>
      <c r="V4" s="4">
        <f>IF(ISERROR(VLOOKUP($S$4,'TAR FIN'!$A$1:$O$91,15,0)),0,VLOOKUP($S$4,'TAR FIN'!$A$1:$O$91,15,0))</f>
        <v>23.37</v>
      </c>
      <c r="W4" s="4">
        <f>IF(ISERROR(VLOOKUP($T$4,'TAR FIN'!$A$1:$O$91,15,0)),0,VLOOKUP($T$4,'TAR FIN'!$A$1:$O$91,15,0))</f>
        <v>12.96</v>
      </c>
      <c r="X4" s="4">
        <f>IF(ISERROR(VLOOKUP($U$4,'TAR FIN'!$A$1:$O$91,15,0)),0,VLOOKUP($U$4,'TAR FIN'!$A$1:$O$91,15,0))</f>
        <v>0</v>
      </c>
      <c r="Y4" s="4">
        <f ca="1">('TUSD BE'!$AM$10+'TUSD BF'!$AM$10+'TUSD CVA'!$AM$10)*1</f>
        <v>23.819711465050677</v>
      </c>
      <c r="Z4" s="4">
        <f ca="1">('TUSD BE'!$AM$11+'TUSD BF'!$AM$11+'TUSD CVA'!$AM$11)*1</f>
        <v>11.103927165111529</v>
      </c>
      <c r="AA4" s="4">
        <f>('TE BE'!$AB$9+'TE BF'!$AB$9+'TE CVA'!$AB$9)*1</f>
        <v>233.70080441251889</v>
      </c>
      <c r="AB4" s="4">
        <f t="shared" si="0"/>
        <v>0</v>
      </c>
      <c r="AC4" s="4">
        <f t="shared" si="1"/>
        <v>0</v>
      </c>
      <c r="AD4" s="4">
        <f t="shared" ca="1" si="2"/>
        <v>0</v>
      </c>
      <c r="AE4" s="4">
        <f t="shared" ca="1" si="3"/>
        <v>0</v>
      </c>
      <c r="AF4" s="3" t="s">
        <v>775</v>
      </c>
      <c r="AH4" s="83" t="s">
        <v>775</v>
      </c>
      <c r="AI4" s="84">
        <f t="shared" si="4"/>
        <v>169041.41397874407</v>
      </c>
      <c r="AJ4" s="84">
        <f t="shared" ca="1" si="5"/>
        <v>182927.92380932628</v>
      </c>
    </row>
    <row r="5" spans="1:36" ht="11.25" customHeight="1" x14ac:dyDescent="0.3">
      <c r="A5" s="3" t="s">
        <v>21</v>
      </c>
      <c r="B5" s="3" t="s">
        <v>39</v>
      </c>
      <c r="C5" s="3" t="s">
        <v>56</v>
      </c>
      <c r="D5" s="3" t="s">
        <v>25</v>
      </c>
      <c r="E5" s="3" t="s">
        <v>25</v>
      </c>
      <c r="F5" s="3" t="s">
        <v>57</v>
      </c>
      <c r="G5" s="3" t="s">
        <v>58</v>
      </c>
      <c r="H5" s="3" t="s">
        <v>35</v>
      </c>
      <c r="I5" s="6">
        <v>44470</v>
      </c>
      <c r="J5" s="4">
        <v>1154</v>
      </c>
      <c r="K5" s="18">
        <f>J5*(1-SUMIFS(CUSTOS!$T$40:$T$100,CUSTOS!$O$40:$O$100,SUBSIDIO!G5,CUSTOS!$S$40:$S$100,SUBSIDIO!B5,CUSTOS!$R$40:$R$100,"Potência"))</f>
        <v>1154</v>
      </c>
      <c r="L5" s="4">
        <v>296.44299999999998</v>
      </c>
      <c r="M5" s="18">
        <f>L5*(1-SUMIFS(CUSTOS!$T$40:$T$100,CUSTOS!$O$40:$O$100,SUBSIDIO!G5,CUSTOS!$S$40:$S$100,SUBSIDIO!B5,CUSTOS!$R$40:$R$100,"Potência"))</f>
        <v>296.44299999999998</v>
      </c>
      <c r="N5" s="4">
        <v>0</v>
      </c>
      <c r="O5" s="18">
        <f>N5*(1-SUMIFS(CUSTOS!$T$40:$T$100,CUSTOS!$O$40:$O$100,SUBSIDIO!G5,CUSTOS!$S$40:$S$100,SUBSIDIO!B5,CUSTOS!$R$40:$R$100,"Energia"))</f>
        <v>0</v>
      </c>
      <c r="P5" s="4">
        <v>0</v>
      </c>
      <c r="Q5" s="3" t="s">
        <v>59</v>
      </c>
      <c r="R5" s="3">
        <v>5343</v>
      </c>
      <c r="S5" s="3">
        <v>6</v>
      </c>
      <c r="T5" s="3">
        <v>7</v>
      </c>
      <c r="U5" s="3">
        <v>0</v>
      </c>
      <c r="V5" s="4">
        <f>IF(ISERROR(VLOOKUP($S$5,'TAR FIN'!$A$1:$O$91,15,0)),0,VLOOKUP($S$5,'TAR FIN'!$A$1:$O$91,15,0))</f>
        <v>23.37</v>
      </c>
      <c r="W5" s="4">
        <f>IF(ISERROR(VLOOKUP($T$5,'TAR FIN'!$A$1:$O$91,15,0)),0,VLOOKUP($T$5,'TAR FIN'!$A$1:$O$91,15,0))</f>
        <v>12.96</v>
      </c>
      <c r="X5" s="4">
        <f>IF(ISERROR(VLOOKUP($U$5,'TAR FIN'!$A$1:$O$91,15,0)),0,VLOOKUP($U$5,'TAR FIN'!$A$1:$O$91,15,0))</f>
        <v>0</v>
      </c>
      <c r="Y5" s="4">
        <f ca="1">('TUSD BE'!$AM$10+'TUSD BF'!$AM$10+'TUSD CVA'!$AM$10)*1</f>
        <v>23.819711465050677</v>
      </c>
      <c r="Z5" s="4">
        <f ca="1">('TUSD BE'!$AM$11+'TUSD BF'!$AM$11+'TUSD CVA'!$AM$11)*1</f>
        <v>11.103927165111529</v>
      </c>
      <c r="AA5" s="4">
        <f>('TE BE'!$AB$9+'TE BF'!$AB$9+'TE CVA'!$AB$9)*1</f>
        <v>233.70080441251889</v>
      </c>
      <c r="AB5" s="4">
        <f t="shared" si="0"/>
        <v>0</v>
      </c>
      <c r="AC5" s="4">
        <f t="shared" si="1"/>
        <v>0</v>
      </c>
      <c r="AD5" s="4">
        <f t="shared" ca="1" si="2"/>
        <v>0</v>
      </c>
      <c r="AE5" s="4">
        <f t="shared" ca="1" si="3"/>
        <v>0</v>
      </c>
      <c r="AF5" s="3" t="s">
        <v>775</v>
      </c>
      <c r="AH5" s="83" t="s">
        <v>780</v>
      </c>
      <c r="AI5" s="84">
        <f t="shared" si="4"/>
        <v>35252.534660999991</v>
      </c>
      <c r="AJ5" s="84">
        <f t="shared" ca="1" si="5"/>
        <v>18966.120766978733</v>
      </c>
    </row>
    <row r="6" spans="1:36" ht="11.25" customHeight="1" x14ac:dyDescent="0.3">
      <c r="A6" s="3" t="s">
        <v>21</v>
      </c>
      <c r="B6" s="3" t="s">
        <v>39</v>
      </c>
      <c r="C6" s="3" t="s">
        <v>56</v>
      </c>
      <c r="D6" s="3" t="s">
        <v>25</v>
      </c>
      <c r="E6" s="3" t="s">
        <v>25</v>
      </c>
      <c r="F6" s="3" t="s">
        <v>57</v>
      </c>
      <c r="G6" s="3" t="s">
        <v>58</v>
      </c>
      <c r="H6" s="3" t="s">
        <v>35</v>
      </c>
      <c r="I6" s="6">
        <v>44501</v>
      </c>
      <c r="J6" s="4">
        <v>1511</v>
      </c>
      <c r="K6" s="18">
        <f>J6*(1-SUMIFS(CUSTOS!$T$40:$T$100,CUSTOS!$O$40:$O$100,SUBSIDIO!G6,CUSTOS!$S$40:$S$100,SUBSIDIO!B6,CUSTOS!$R$40:$R$100,"Potência"))</f>
        <v>1511</v>
      </c>
      <c r="L6" s="4">
        <v>431.755</v>
      </c>
      <c r="M6" s="18">
        <f>L6*(1-SUMIFS(CUSTOS!$T$40:$T$100,CUSTOS!$O$40:$O$100,SUBSIDIO!G6,CUSTOS!$S$40:$S$100,SUBSIDIO!B6,CUSTOS!$R$40:$R$100,"Potência"))</f>
        <v>431.755</v>
      </c>
      <c r="N6" s="4">
        <v>0</v>
      </c>
      <c r="O6" s="18">
        <f>N6*(1-SUMIFS(CUSTOS!$T$40:$T$100,CUSTOS!$O$40:$O$100,SUBSIDIO!G6,CUSTOS!$S$40:$S$100,SUBSIDIO!B6,CUSTOS!$R$40:$R$100,"Energia"))</f>
        <v>0</v>
      </c>
      <c r="P6" s="4">
        <v>0</v>
      </c>
      <c r="Q6" s="3" t="s">
        <v>59</v>
      </c>
      <c r="R6" s="3">
        <v>5343</v>
      </c>
      <c r="S6" s="3">
        <v>6</v>
      </c>
      <c r="T6" s="3">
        <v>7</v>
      </c>
      <c r="U6" s="3">
        <v>0</v>
      </c>
      <c r="V6" s="4">
        <f>IF(ISERROR(VLOOKUP($S$6,'TAR FIN'!$A$1:$O$91,15,0)),0,VLOOKUP($S$6,'TAR FIN'!$A$1:$O$91,15,0))</f>
        <v>23.37</v>
      </c>
      <c r="W6" s="4">
        <f>IF(ISERROR(VLOOKUP($T$6,'TAR FIN'!$A$1:$O$91,15,0)),0,VLOOKUP($T$6,'TAR FIN'!$A$1:$O$91,15,0))</f>
        <v>12.96</v>
      </c>
      <c r="X6" s="4">
        <f>IF(ISERROR(VLOOKUP($U$6,'TAR FIN'!$A$1:$O$91,15,0)),0,VLOOKUP($U$6,'TAR FIN'!$A$1:$O$91,15,0))</f>
        <v>0</v>
      </c>
      <c r="Y6" s="4">
        <f ca="1">('TUSD BE'!$AM$10+'TUSD BF'!$AM$10+'TUSD CVA'!$AM$10)*1</f>
        <v>23.819711465050677</v>
      </c>
      <c r="Z6" s="4">
        <f ca="1">('TUSD BE'!$AM$11+'TUSD BF'!$AM$11+'TUSD CVA'!$AM$11)*1</f>
        <v>11.103927165111529</v>
      </c>
      <c r="AA6" s="4">
        <f>('TE BE'!$AB$9+'TE BF'!$AB$9+'TE CVA'!$AB$9)*1</f>
        <v>233.70080441251889</v>
      </c>
      <c r="AB6" s="4">
        <f t="shared" si="0"/>
        <v>0</v>
      </c>
      <c r="AC6" s="4">
        <f t="shared" si="1"/>
        <v>0</v>
      </c>
      <c r="AD6" s="4">
        <f t="shared" ca="1" si="2"/>
        <v>0</v>
      </c>
      <c r="AE6" s="4">
        <f t="shared" ca="1" si="3"/>
        <v>0</v>
      </c>
      <c r="AF6" s="3" t="s">
        <v>775</v>
      </c>
      <c r="AH6" s="83" t="s">
        <v>777</v>
      </c>
      <c r="AI6" s="84">
        <f t="shared" si="4"/>
        <v>1356480.4660732162</v>
      </c>
      <c r="AJ6" s="84">
        <f t="shared" ca="1" si="5"/>
        <v>729938.85262665269</v>
      </c>
    </row>
    <row r="7" spans="1:36" ht="11.25" customHeight="1" x14ac:dyDescent="0.3">
      <c r="A7" s="3" t="s">
        <v>21</v>
      </c>
      <c r="B7" s="3" t="s">
        <v>39</v>
      </c>
      <c r="C7" s="3" t="s">
        <v>56</v>
      </c>
      <c r="D7" s="3" t="s">
        <v>25</v>
      </c>
      <c r="E7" s="3" t="s">
        <v>25</v>
      </c>
      <c r="F7" s="3" t="s">
        <v>57</v>
      </c>
      <c r="G7" s="3" t="s">
        <v>58</v>
      </c>
      <c r="H7" s="3" t="s">
        <v>35</v>
      </c>
      <c r="I7" s="6">
        <v>44531</v>
      </c>
      <c r="J7" s="4">
        <v>1813</v>
      </c>
      <c r="K7" s="18">
        <f>J7*(1-SUMIFS(CUSTOS!$T$40:$T$100,CUSTOS!$O$40:$O$100,SUBSIDIO!G7,CUSTOS!$S$40:$S$100,SUBSIDIO!B7,CUSTOS!$R$40:$R$100,"Potência"))</f>
        <v>1813</v>
      </c>
      <c r="L7" s="4">
        <v>603.375</v>
      </c>
      <c r="M7" s="18">
        <f>L7*(1-SUMIFS(CUSTOS!$T$40:$T$100,CUSTOS!$O$40:$O$100,SUBSIDIO!G7,CUSTOS!$S$40:$S$100,SUBSIDIO!B7,CUSTOS!$R$40:$R$100,"Potência"))</f>
        <v>603.375</v>
      </c>
      <c r="N7" s="4">
        <v>0</v>
      </c>
      <c r="O7" s="18">
        <f>N7*(1-SUMIFS(CUSTOS!$T$40:$T$100,CUSTOS!$O$40:$O$100,SUBSIDIO!G7,CUSTOS!$S$40:$S$100,SUBSIDIO!B7,CUSTOS!$R$40:$R$100,"Energia"))</f>
        <v>0</v>
      </c>
      <c r="P7" s="4">
        <v>0</v>
      </c>
      <c r="Q7" s="3" t="s">
        <v>59</v>
      </c>
      <c r="R7" s="3">
        <v>5343</v>
      </c>
      <c r="S7" s="3">
        <v>6</v>
      </c>
      <c r="T7" s="3">
        <v>7</v>
      </c>
      <c r="U7" s="3">
        <v>0</v>
      </c>
      <c r="V7" s="4">
        <f>IF(ISERROR(VLOOKUP($S$7,'TAR FIN'!$A$1:$O$91,15,0)),0,VLOOKUP($S$7,'TAR FIN'!$A$1:$O$91,15,0))</f>
        <v>23.37</v>
      </c>
      <c r="W7" s="4">
        <f>IF(ISERROR(VLOOKUP($T$7,'TAR FIN'!$A$1:$O$91,15,0)),0,VLOOKUP($T$7,'TAR FIN'!$A$1:$O$91,15,0))</f>
        <v>12.96</v>
      </c>
      <c r="X7" s="4">
        <f>IF(ISERROR(VLOOKUP($U$7,'TAR FIN'!$A$1:$O$91,15,0)),0,VLOOKUP($U$7,'TAR FIN'!$A$1:$O$91,15,0))</f>
        <v>0</v>
      </c>
      <c r="Y7" s="4">
        <f ca="1">('TUSD BE'!$AM$10+'TUSD BF'!$AM$10+'TUSD CVA'!$AM$10)*1</f>
        <v>23.819711465050677</v>
      </c>
      <c r="Z7" s="4">
        <f ca="1">('TUSD BE'!$AM$11+'TUSD BF'!$AM$11+'TUSD CVA'!$AM$11)*1</f>
        <v>11.103927165111529</v>
      </c>
      <c r="AA7" s="4">
        <f>('TE BE'!$AB$9+'TE BF'!$AB$9+'TE CVA'!$AB$9)*1</f>
        <v>233.70080441251889</v>
      </c>
      <c r="AB7" s="4">
        <f t="shared" si="0"/>
        <v>0</v>
      </c>
      <c r="AC7" s="4">
        <f t="shared" si="1"/>
        <v>0</v>
      </c>
      <c r="AD7" s="4">
        <f t="shared" ca="1" si="2"/>
        <v>0</v>
      </c>
      <c r="AE7" s="4">
        <f t="shared" ca="1" si="3"/>
        <v>0</v>
      </c>
      <c r="AF7" s="3" t="s">
        <v>775</v>
      </c>
      <c r="AH7" s="83" t="s">
        <v>779</v>
      </c>
      <c r="AI7" s="84">
        <f t="shared" si="4"/>
        <v>28251.975605999996</v>
      </c>
      <c r="AJ7" s="84">
        <f t="shared" ca="1" si="5"/>
        <v>29272.252427694344</v>
      </c>
    </row>
    <row r="8" spans="1:36" ht="11.25" customHeight="1" x14ac:dyDescent="0.3">
      <c r="A8" s="3" t="s">
        <v>21</v>
      </c>
      <c r="B8" s="3" t="s">
        <v>39</v>
      </c>
      <c r="C8" s="3" t="s">
        <v>56</v>
      </c>
      <c r="D8" s="3" t="s">
        <v>25</v>
      </c>
      <c r="E8" s="3" t="s">
        <v>25</v>
      </c>
      <c r="F8" s="3" t="s">
        <v>57</v>
      </c>
      <c r="G8" s="3" t="s">
        <v>58</v>
      </c>
      <c r="H8" s="3" t="s">
        <v>35</v>
      </c>
      <c r="I8" s="6">
        <v>44562</v>
      </c>
      <c r="J8" s="4">
        <v>2086</v>
      </c>
      <c r="K8" s="18">
        <f>J8*(1-SUMIFS(CUSTOS!$T$40:$T$100,CUSTOS!$O$40:$O$100,SUBSIDIO!G8,CUSTOS!$S$40:$S$100,SUBSIDIO!B8,CUSTOS!$R$40:$R$100,"Potência"))</f>
        <v>2086</v>
      </c>
      <c r="L8" s="4">
        <v>632.43200000000002</v>
      </c>
      <c r="M8" s="18">
        <f>L8*(1-SUMIFS(CUSTOS!$T$40:$T$100,CUSTOS!$O$40:$O$100,SUBSIDIO!G8,CUSTOS!$S$40:$S$100,SUBSIDIO!B8,CUSTOS!$R$40:$R$100,"Potência"))</f>
        <v>632.43200000000002</v>
      </c>
      <c r="N8" s="4">
        <v>0</v>
      </c>
      <c r="O8" s="18">
        <f>N8*(1-SUMIFS(CUSTOS!$T$40:$T$100,CUSTOS!$O$40:$O$100,SUBSIDIO!G8,CUSTOS!$S$40:$S$100,SUBSIDIO!B8,CUSTOS!$R$40:$R$100,"Energia"))</f>
        <v>0</v>
      </c>
      <c r="P8" s="4">
        <v>0</v>
      </c>
      <c r="Q8" s="3" t="s">
        <v>59</v>
      </c>
      <c r="R8" s="3">
        <v>5343</v>
      </c>
      <c r="S8" s="3">
        <v>6</v>
      </c>
      <c r="T8" s="3">
        <v>7</v>
      </c>
      <c r="U8" s="3">
        <v>0</v>
      </c>
      <c r="V8" s="4">
        <f>IF(ISERROR(VLOOKUP($S$8,'TAR FIN'!$A$1:$O$91,15,0)),0,VLOOKUP($S$8,'TAR FIN'!$A$1:$O$91,15,0))</f>
        <v>23.37</v>
      </c>
      <c r="W8" s="4">
        <f>IF(ISERROR(VLOOKUP($T$8,'TAR FIN'!$A$1:$O$91,15,0)),0,VLOOKUP($T$8,'TAR FIN'!$A$1:$O$91,15,0))</f>
        <v>12.96</v>
      </c>
      <c r="X8" s="4">
        <f>IF(ISERROR(VLOOKUP($U$8,'TAR FIN'!$A$1:$O$91,15,0)),0,VLOOKUP($U$8,'TAR FIN'!$A$1:$O$91,15,0))</f>
        <v>0</v>
      </c>
      <c r="Y8" s="4">
        <f ca="1">('TUSD BE'!$AM$10+'TUSD BF'!$AM$10+'TUSD CVA'!$AM$10)*1</f>
        <v>23.819711465050677</v>
      </c>
      <c r="Z8" s="4">
        <f ca="1">('TUSD BE'!$AM$11+'TUSD BF'!$AM$11+'TUSD CVA'!$AM$11)*1</f>
        <v>11.103927165111529</v>
      </c>
      <c r="AA8" s="4">
        <f>('TE BE'!$AB$9+'TE BF'!$AB$9+'TE CVA'!$AB$9)*1</f>
        <v>233.70080441251889</v>
      </c>
      <c r="AB8" s="4">
        <f t="shared" si="0"/>
        <v>0</v>
      </c>
      <c r="AC8" s="4">
        <f t="shared" si="1"/>
        <v>0</v>
      </c>
      <c r="AD8" s="4">
        <f t="shared" ca="1" si="2"/>
        <v>0</v>
      </c>
      <c r="AE8" s="4">
        <f t="shared" ca="1" si="3"/>
        <v>0</v>
      </c>
      <c r="AF8" s="3" t="s">
        <v>775</v>
      </c>
      <c r="AH8" s="83" t="s">
        <v>778</v>
      </c>
      <c r="AI8" s="84">
        <f t="shared" si="4"/>
        <v>371350.49917700008</v>
      </c>
      <c r="AJ8" s="84">
        <f t="shared" ca="1" si="5"/>
        <v>389270.13118748437</v>
      </c>
    </row>
    <row r="9" spans="1:36" ht="11.25" customHeight="1" x14ac:dyDescent="0.3">
      <c r="A9" s="3" t="s">
        <v>21</v>
      </c>
      <c r="B9" s="3" t="s">
        <v>39</v>
      </c>
      <c r="C9" s="3" t="s">
        <v>56</v>
      </c>
      <c r="D9" s="3" t="s">
        <v>25</v>
      </c>
      <c r="E9" s="3" t="s">
        <v>25</v>
      </c>
      <c r="F9" s="3" t="s">
        <v>57</v>
      </c>
      <c r="G9" s="3" t="s">
        <v>58</v>
      </c>
      <c r="H9" s="3" t="s">
        <v>35</v>
      </c>
      <c r="I9" s="6">
        <v>44593</v>
      </c>
      <c r="J9" s="4">
        <v>1549</v>
      </c>
      <c r="K9" s="18">
        <f>J9*(1-SUMIFS(CUSTOS!$T$40:$T$100,CUSTOS!$O$40:$O$100,SUBSIDIO!G9,CUSTOS!$S$40:$S$100,SUBSIDIO!B9,CUSTOS!$R$40:$R$100,"Potência"))</f>
        <v>1549</v>
      </c>
      <c r="L9" s="4">
        <v>438.084</v>
      </c>
      <c r="M9" s="18">
        <f>L9*(1-SUMIFS(CUSTOS!$T$40:$T$100,CUSTOS!$O$40:$O$100,SUBSIDIO!G9,CUSTOS!$S$40:$S$100,SUBSIDIO!B9,CUSTOS!$R$40:$R$100,"Potência"))</f>
        <v>438.084</v>
      </c>
      <c r="N9" s="4">
        <v>0</v>
      </c>
      <c r="O9" s="18">
        <f>N9*(1-SUMIFS(CUSTOS!$T$40:$T$100,CUSTOS!$O$40:$O$100,SUBSIDIO!G9,CUSTOS!$S$40:$S$100,SUBSIDIO!B9,CUSTOS!$R$40:$R$100,"Energia"))</f>
        <v>0</v>
      </c>
      <c r="P9" s="4">
        <v>0</v>
      </c>
      <c r="Q9" s="3" t="s">
        <v>59</v>
      </c>
      <c r="R9" s="3">
        <v>5343</v>
      </c>
      <c r="S9" s="3">
        <v>6</v>
      </c>
      <c r="T9" s="3">
        <v>7</v>
      </c>
      <c r="U9" s="3">
        <v>0</v>
      </c>
      <c r="V9" s="4">
        <f>IF(ISERROR(VLOOKUP($S$9,'TAR FIN'!$A$1:$O$91,15,0)),0,VLOOKUP($S$9,'TAR FIN'!$A$1:$O$91,15,0))</f>
        <v>23.37</v>
      </c>
      <c r="W9" s="4">
        <f>IF(ISERROR(VLOOKUP($T$9,'TAR FIN'!$A$1:$O$91,15,0)),0,VLOOKUP($T$9,'TAR FIN'!$A$1:$O$91,15,0))</f>
        <v>12.96</v>
      </c>
      <c r="X9" s="4">
        <f>IF(ISERROR(VLOOKUP($U$9,'TAR FIN'!$A$1:$O$91,15,0)),0,VLOOKUP($U$9,'TAR FIN'!$A$1:$O$91,15,0))</f>
        <v>0</v>
      </c>
      <c r="Y9" s="4">
        <f ca="1">('TUSD BE'!$AM$10+'TUSD BF'!$AM$10+'TUSD CVA'!$AM$10)*1</f>
        <v>23.819711465050677</v>
      </c>
      <c r="Z9" s="4">
        <f ca="1">('TUSD BE'!$AM$11+'TUSD BF'!$AM$11+'TUSD CVA'!$AM$11)*1</f>
        <v>11.103927165111529</v>
      </c>
      <c r="AA9" s="4">
        <f>('TE BE'!$AB$9+'TE BF'!$AB$9+'TE CVA'!$AB$9)*1</f>
        <v>233.70080441251889</v>
      </c>
      <c r="AB9" s="4">
        <f t="shared" si="0"/>
        <v>0</v>
      </c>
      <c r="AC9" s="4">
        <f t="shared" si="1"/>
        <v>0</v>
      </c>
      <c r="AD9" s="4">
        <f t="shared" ca="1" si="2"/>
        <v>0</v>
      </c>
      <c r="AE9" s="4">
        <f t="shared" ca="1" si="3"/>
        <v>0</v>
      </c>
      <c r="AF9" s="3" t="s">
        <v>775</v>
      </c>
      <c r="AH9" s="83" t="s">
        <v>784</v>
      </c>
      <c r="AI9" s="84">
        <f t="shared" si="4"/>
        <v>0</v>
      </c>
      <c r="AJ9" s="84">
        <f t="shared" si="5"/>
        <v>0</v>
      </c>
    </row>
    <row r="10" spans="1:36" ht="11.25" customHeight="1" x14ac:dyDescent="0.3">
      <c r="A10" s="3" t="s">
        <v>21</v>
      </c>
      <c r="B10" s="3" t="s">
        <v>39</v>
      </c>
      <c r="C10" s="3" t="s">
        <v>56</v>
      </c>
      <c r="D10" s="3" t="s">
        <v>25</v>
      </c>
      <c r="E10" s="3" t="s">
        <v>25</v>
      </c>
      <c r="F10" s="3" t="s">
        <v>57</v>
      </c>
      <c r="G10" s="3" t="s">
        <v>58</v>
      </c>
      <c r="H10" s="3" t="s">
        <v>35</v>
      </c>
      <c r="I10" s="6">
        <v>44621</v>
      </c>
      <c r="J10" s="4">
        <v>1215</v>
      </c>
      <c r="K10" s="18">
        <f>J10*(1-SUMIFS(CUSTOS!$T$40:$T$100,CUSTOS!$O$40:$O$100,SUBSIDIO!G10,CUSTOS!$S$40:$S$100,SUBSIDIO!B10,CUSTOS!$R$40:$R$100,"Potência"))</f>
        <v>1215</v>
      </c>
      <c r="L10" s="4">
        <v>410.32900000000001</v>
      </c>
      <c r="M10" s="18">
        <f>L10*(1-SUMIFS(CUSTOS!$T$40:$T$100,CUSTOS!$O$40:$O$100,SUBSIDIO!G10,CUSTOS!$S$40:$S$100,SUBSIDIO!B10,CUSTOS!$R$40:$R$100,"Potência"))</f>
        <v>410.32900000000001</v>
      </c>
      <c r="N10" s="4">
        <v>0</v>
      </c>
      <c r="O10" s="18">
        <f>N10*(1-SUMIFS(CUSTOS!$T$40:$T$100,CUSTOS!$O$40:$O$100,SUBSIDIO!G10,CUSTOS!$S$40:$S$100,SUBSIDIO!B10,CUSTOS!$R$40:$R$100,"Energia"))</f>
        <v>0</v>
      </c>
      <c r="P10" s="4">
        <v>0</v>
      </c>
      <c r="Q10" s="3" t="s">
        <v>59</v>
      </c>
      <c r="R10" s="3">
        <v>5343</v>
      </c>
      <c r="S10" s="3">
        <v>6</v>
      </c>
      <c r="T10" s="3">
        <v>7</v>
      </c>
      <c r="U10" s="3">
        <v>0</v>
      </c>
      <c r="V10" s="4">
        <f>IF(ISERROR(VLOOKUP($S$10,'TAR FIN'!$A$1:$O$91,15,0)),0,VLOOKUP($S$10,'TAR FIN'!$A$1:$O$91,15,0))</f>
        <v>23.37</v>
      </c>
      <c r="W10" s="4">
        <f>IF(ISERROR(VLOOKUP($T$10,'TAR FIN'!$A$1:$O$91,15,0)),0,VLOOKUP($T$10,'TAR FIN'!$A$1:$O$91,15,0))</f>
        <v>12.96</v>
      </c>
      <c r="X10" s="4">
        <f>IF(ISERROR(VLOOKUP($U$10,'TAR FIN'!$A$1:$O$91,15,0)),0,VLOOKUP($U$10,'TAR FIN'!$A$1:$O$91,15,0))</f>
        <v>0</v>
      </c>
      <c r="Y10" s="4">
        <f ca="1">('TUSD BE'!$AM$10+'TUSD BF'!$AM$10+'TUSD CVA'!$AM$10)*1</f>
        <v>23.819711465050677</v>
      </c>
      <c r="Z10" s="4">
        <f ca="1">('TUSD BE'!$AM$11+'TUSD BF'!$AM$11+'TUSD CVA'!$AM$11)*1</f>
        <v>11.103927165111529</v>
      </c>
      <c r="AA10" s="4">
        <f>('TE BE'!$AB$9+'TE BF'!$AB$9+'TE CVA'!$AB$9)*1</f>
        <v>233.70080441251889</v>
      </c>
      <c r="AB10" s="4">
        <f t="shared" si="0"/>
        <v>0</v>
      </c>
      <c r="AC10" s="4">
        <f t="shared" si="1"/>
        <v>0</v>
      </c>
      <c r="AD10" s="4">
        <f t="shared" ca="1" si="2"/>
        <v>0</v>
      </c>
      <c r="AE10" s="4">
        <f t="shared" ca="1" si="3"/>
        <v>0</v>
      </c>
      <c r="AF10" s="3" t="s">
        <v>775</v>
      </c>
    </row>
    <row r="11" spans="1:36" ht="11.25" customHeight="1" x14ac:dyDescent="0.3">
      <c r="A11" s="3" t="s">
        <v>21</v>
      </c>
      <c r="B11" s="3" t="s">
        <v>39</v>
      </c>
      <c r="C11" s="3" t="s">
        <v>56</v>
      </c>
      <c r="D11" s="3" t="s">
        <v>25</v>
      </c>
      <c r="E11" s="3" t="s">
        <v>25</v>
      </c>
      <c r="F11" s="3" t="s">
        <v>57</v>
      </c>
      <c r="G11" s="3" t="s">
        <v>58</v>
      </c>
      <c r="H11" s="3" t="s">
        <v>35</v>
      </c>
      <c r="I11" s="6">
        <v>44652</v>
      </c>
      <c r="J11" s="4">
        <v>1322</v>
      </c>
      <c r="K11" s="18">
        <f>J11*(1-SUMIFS(CUSTOS!$T$40:$T$100,CUSTOS!$O$40:$O$100,SUBSIDIO!G11,CUSTOS!$S$40:$S$100,SUBSIDIO!B11,CUSTOS!$R$40:$R$100,"Potência"))</f>
        <v>1322</v>
      </c>
      <c r="L11" s="4">
        <v>395.52</v>
      </c>
      <c r="M11" s="18">
        <f>L11*(1-SUMIFS(CUSTOS!$T$40:$T$100,CUSTOS!$O$40:$O$100,SUBSIDIO!G11,CUSTOS!$S$40:$S$100,SUBSIDIO!B11,CUSTOS!$R$40:$R$100,"Potência"))</f>
        <v>395.52</v>
      </c>
      <c r="N11" s="4">
        <v>0</v>
      </c>
      <c r="O11" s="18">
        <f>N11*(1-SUMIFS(CUSTOS!$T$40:$T$100,CUSTOS!$O$40:$O$100,SUBSIDIO!G11,CUSTOS!$S$40:$S$100,SUBSIDIO!B11,CUSTOS!$R$40:$R$100,"Energia"))</f>
        <v>0</v>
      </c>
      <c r="P11" s="4">
        <v>0</v>
      </c>
      <c r="Q11" s="3" t="s">
        <v>59</v>
      </c>
      <c r="R11" s="3">
        <v>5343</v>
      </c>
      <c r="S11" s="3">
        <v>6</v>
      </c>
      <c r="T11" s="3">
        <v>7</v>
      </c>
      <c r="U11" s="3">
        <v>0</v>
      </c>
      <c r="V11" s="4">
        <f>IF(ISERROR(VLOOKUP($S$11,'TAR FIN'!$A$1:$O$91,15,0)),0,VLOOKUP($S$11,'TAR FIN'!$A$1:$O$91,15,0))</f>
        <v>23.37</v>
      </c>
      <c r="W11" s="4">
        <f>IF(ISERROR(VLOOKUP($T$11,'TAR FIN'!$A$1:$O$91,15,0)),0,VLOOKUP($T$11,'TAR FIN'!$A$1:$O$91,15,0))</f>
        <v>12.96</v>
      </c>
      <c r="X11" s="4">
        <f>IF(ISERROR(VLOOKUP($U$11,'TAR FIN'!$A$1:$O$91,15,0)),0,VLOOKUP($U$11,'TAR FIN'!$A$1:$O$91,15,0))</f>
        <v>0</v>
      </c>
      <c r="Y11" s="4">
        <f ca="1">('TUSD BE'!$AM$10+'TUSD BF'!$AM$10+'TUSD CVA'!$AM$10)*1</f>
        <v>23.819711465050677</v>
      </c>
      <c r="Z11" s="4">
        <f ca="1">('TUSD BE'!$AM$11+'TUSD BF'!$AM$11+'TUSD CVA'!$AM$11)*1</f>
        <v>11.103927165111529</v>
      </c>
      <c r="AA11" s="4">
        <f>('TE BE'!$AB$9+'TE BF'!$AB$9+'TE CVA'!$AB$9)*1</f>
        <v>233.70080441251889</v>
      </c>
      <c r="AB11" s="4">
        <f t="shared" si="0"/>
        <v>0</v>
      </c>
      <c r="AC11" s="4">
        <f t="shared" si="1"/>
        <v>0</v>
      </c>
      <c r="AD11" s="4">
        <f t="shared" ca="1" si="2"/>
        <v>0</v>
      </c>
      <c r="AE11" s="4">
        <f t="shared" ca="1" si="3"/>
        <v>0</v>
      </c>
      <c r="AF11" s="3" t="s">
        <v>775</v>
      </c>
    </row>
    <row r="12" spans="1:36" ht="11.25" customHeight="1" x14ac:dyDescent="0.3">
      <c r="A12" s="3" t="s">
        <v>21</v>
      </c>
      <c r="B12" s="3" t="s">
        <v>39</v>
      </c>
      <c r="C12" s="3" t="s">
        <v>56</v>
      </c>
      <c r="D12" s="3" t="s">
        <v>25</v>
      </c>
      <c r="E12" s="3" t="s">
        <v>25</v>
      </c>
      <c r="F12" s="3" t="s">
        <v>57</v>
      </c>
      <c r="G12" s="3" t="s">
        <v>58</v>
      </c>
      <c r="H12" s="3" t="s">
        <v>35</v>
      </c>
      <c r="I12" s="6">
        <v>44682</v>
      </c>
      <c r="J12" s="4">
        <v>1251</v>
      </c>
      <c r="K12" s="18">
        <f>J12*(1-SUMIFS(CUSTOS!$T$40:$T$100,CUSTOS!$O$40:$O$100,SUBSIDIO!G12,CUSTOS!$S$40:$S$100,SUBSIDIO!B12,CUSTOS!$R$40:$R$100,"Potência"))</f>
        <v>1251</v>
      </c>
      <c r="L12" s="4">
        <v>348.14400000000001</v>
      </c>
      <c r="M12" s="18">
        <f>L12*(1-SUMIFS(CUSTOS!$T$40:$T$100,CUSTOS!$O$40:$O$100,SUBSIDIO!G12,CUSTOS!$S$40:$S$100,SUBSIDIO!B12,CUSTOS!$R$40:$R$100,"Potência"))</f>
        <v>348.14400000000001</v>
      </c>
      <c r="N12" s="4">
        <v>0</v>
      </c>
      <c r="O12" s="18">
        <f>N12*(1-SUMIFS(CUSTOS!$T$40:$T$100,CUSTOS!$O$40:$O$100,SUBSIDIO!G12,CUSTOS!$S$40:$S$100,SUBSIDIO!B12,CUSTOS!$R$40:$R$100,"Energia"))</f>
        <v>0</v>
      </c>
      <c r="P12" s="4">
        <v>0</v>
      </c>
      <c r="Q12" s="3" t="s">
        <v>59</v>
      </c>
      <c r="R12" s="3">
        <v>5343</v>
      </c>
      <c r="S12" s="3">
        <v>6</v>
      </c>
      <c r="T12" s="3">
        <v>7</v>
      </c>
      <c r="U12" s="3">
        <v>0</v>
      </c>
      <c r="V12" s="4">
        <f>IF(ISERROR(VLOOKUP($S$12,'TAR FIN'!$A$1:$O$91,15,0)),0,VLOOKUP($S$12,'TAR FIN'!$A$1:$O$91,15,0))</f>
        <v>23.37</v>
      </c>
      <c r="W12" s="4">
        <f>IF(ISERROR(VLOOKUP($T$12,'TAR FIN'!$A$1:$O$91,15,0)),0,VLOOKUP($T$12,'TAR FIN'!$A$1:$O$91,15,0))</f>
        <v>12.96</v>
      </c>
      <c r="X12" s="4">
        <f>IF(ISERROR(VLOOKUP($U$12,'TAR FIN'!$A$1:$O$91,15,0)),0,VLOOKUP($U$12,'TAR FIN'!$A$1:$O$91,15,0))</f>
        <v>0</v>
      </c>
      <c r="Y12" s="4">
        <f ca="1">('TUSD BE'!$AM$10+'TUSD BF'!$AM$10+'TUSD CVA'!$AM$10)*1</f>
        <v>23.819711465050677</v>
      </c>
      <c r="Z12" s="4">
        <f ca="1">('TUSD BE'!$AM$11+'TUSD BF'!$AM$11+'TUSD CVA'!$AM$11)*1</f>
        <v>11.103927165111529</v>
      </c>
      <c r="AA12" s="4">
        <f>('TE BE'!$AB$9+'TE BF'!$AB$9+'TE CVA'!$AB$9)*1</f>
        <v>233.70080441251889</v>
      </c>
      <c r="AB12" s="4">
        <f t="shared" si="0"/>
        <v>0</v>
      </c>
      <c r="AC12" s="4">
        <f t="shared" si="1"/>
        <v>0</v>
      </c>
      <c r="AD12" s="4">
        <f t="shared" ca="1" si="2"/>
        <v>0</v>
      </c>
      <c r="AE12" s="4">
        <f t="shared" ca="1" si="3"/>
        <v>0</v>
      </c>
      <c r="AF12" s="3" t="s">
        <v>775</v>
      </c>
    </row>
    <row r="13" spans="1:36" ht="11.25" customHeight="1" x14ac:dyDescent="0.3">
      <c r="A13" s="3" t="s">
        <v>21</v>
      </c>
      <c r="B13" s="3" t="s">
        <v>39</v>
      </c>
      <c r="C13" s="3" t="s">
        <v>56</v>
      </c>
      <c r="D13" s="3" t="s">
        <v>25</v>
      </c>
      <c r="E13" s="3" t="s">
        <v>25</v>
      </c>
      <c r="F13" s="3" t="s">
        <v>57</v>
      </c>
      <c r="G13" s="3" t="s">
        <v>58</v>
      </c>
      <c r="H13" s="3" t="s">
        <v>35</v>
      </c>
      <c r="I13" s="6">
        <v>44713</v>
      </c>
      <c r="J13" s="4">
        <v>1345</v>
      </c>
      <c r="K13" s="18">
        <f>J13*(1-SUMIFS(CUSTOS!$T$40:$T$100,CUSTOS!$O$40:$O$100,SUBSIDIO!G13,CUSTOS!$S$40:$S$100,SUBSIDIO!B13,CUSTOS!$R$40:$R$100,"Potência"))</f>
        <v>1345</v>
      </c>
      <c r="L13" s="4">
        <v>354.02800000000002</v>
      </c>
      <c r="M13" s="18">
        <f>L13*(1-SUMIFS(CUSTOS!$T$40:$T$100,CUSTOS!$O$40:$O$100,SUBSIDIO!G13,CUSTOS!$S$40:$S$100,SUBSIDIO!B13,CUSTOS!$R$40:$R$100,"Potência"))</f>
        <v>354.02800000000002</v>
      </c>
      <c r="N13" s="4">
        <v>0</v>
      </c>
      <c r="O13" s="18">
        <f>N13*(1-SUMIFS(CUSTOS!$T$40:$T$100,CUSTOS!$O$40:$O$100,SUBSIDIO!G13,CUSTOS!$S$40:$S$100,SUBSIDIO!B13,CUSTOS!$R$40:$R$100,"Energia"))</f>
        <v>0</v>
      </c>
      <c r="P13" s="4">
        <v>0</v>
      </c>
      <c r="Q13" s="3" t="s">
        <v>59</v>
      </c>
      <c r="R13" s="3">
        <v>5343</v>
      </c>
      <c r="S13" s="3">
        <v>6</v>
      </c>
      <c r="T13" s="3">
        <v>7</v>
      </c>
      <c r="U13" s="3">
        <v>0</v>
      </c>
      <c r="V13" s="4">
        <f>IF(ISERROR(VLOOKUP($S$13,'TAR FIN'!$A$1:$O$91,15,0)),0,VLOOKUP($S$13,'TAR FIN'!$A$1:$O$91,15,0))</f>
        <v>23.37</v>
      </c>
      <c r="W13" s="4">
        <f>IF(ISERROR(VLOOKUP($T$13,'TAR FIN'!$A$1:$O$91,15,0)),0,VLOOKUP($T$13,'TAR FIN'!$A$1:$O$91,15,0))</f>
        <v>12.96</v>
      </c>
      <c r="X13" s="4">
        <f>IF(ISERROR(VLOOKUP($U$13,'TAR FIN'!$A$1:$O$91,15,0)),0,VLOOKUP($U$13,'TAR FIN'!$A$1:$O$91,15,0))</f>
        <v>0</v>
      </c>
      <c r="Y13" s="4">
        <f ca="1">('TUSD BE'!$AM$10+'TUSD BF'!$AM$10+'TUSD CVA'!$AM$10)*1</f>
        <v>23.819711465050677</v>
      </c>
      <c r="Z13" s="4">
        <f ca="1">('TUSD BE'!$AM$11+'TUSD BF'!$AM$11+'TUSD CVA'!$AM$11)*1</f>
        <v>11.103927165111529</v>
      </c>
      <c r="AA13" s="4">
        <f>('TE BE'!$AB$9+'TE BF'!$AB$9+'TE CVA'!$AB$9)*1</f>
        <v>233.70080441251889</v>
      </c>
      <c r="AB13" s="4">
        <f t="shared" si="0"/>
        <v>0</v>
      </c>
      <c r="AC13" s="4">
        <f t="shared" si="1"/>
        <v>0</v>
      </c>
      <c r="AD13" s="4">
        <f t="shared" ca="1" si="2"/>
        <v>0</v>
      </c>
      <c r="AE13" s="4">
        <f t="shared" ca="1" si="3"/>
        <v>0</v>
      </c>
      <c r="AF13" s="3" t="s">
        <v>775</v>
      </c>
    </row>
    <row r="14" spans="1:36" ht="11.25" customHeight="1" x14ac:dyDescent="0.3">
      <c r="A14" s="3" t="s">
        <v>21</v>
      </c>
      <c r="B14" s="3" t="s">
        <v>39</v>
      </c>
      <c r="C14" s="3" t="s">
        <v>56</v>
      </c>
      <c r="D14" s="3" t="s">
        <v>25</v>
      </c>
      <c r="E14" s="3" t="s">
        <v>25</v>
      </c>
      <c r="F14" s="3" t="s">
        <v>57</v>
      </c>
      <c r="G14" s="3" t="s">
        <v>58</v>
      </c>
      <c r="H14" s="3" t="s">
        <v>25</v>
      </c>
      <c r="I14" s="6">
        <v>44378</v>
      </c>
      <c r="J14" s="4">
        <v>0</v>
      </c>
      <c r="K14" s="18">
        <f>J14*(1-SUMIFS(CUSTOS!$T$40:$T$100,CUSTOS!$O$40:$O$100,SUBSIDIO!G14,CUSTOS!$S$40:$S$100,SUBSIDIO!B14,CUSTOS!$R$40:$R$100,"Potência"))</f>
        <v>0</v>
      </c>
      <c r="L14" s="4">
        <v>0</v>
      </c>
      <c r="M14" s="18">
        <f>L14*(1-SUMIFS(CUSTOS!$T$40:$T$100,CUSTOS!$O$40:$O$100,SUBSIDIO!G14,CUSTOS!$S$40:$S$100,SUBSIDIO!B14,CUSTOS!$R$40:$R$100,"Potência"))</f>
        <v>0</v>
      </c>
      <c r="N14" s="4">
        <v>342.21800000000002</v>
      </c>
      <c r="O14" s="18">
        <f>N14*(1-SUMIFS(CUSTOS!$T$40:$T$100,CUSTOS!$O$40:$O$100,SUBSIDIO!G14,CUSTOS!$S$40:$S$100,SUBSIDIO!B14,CUSTOS!$R$40:$R$100,"Energia"))</f>
        <v>293.41771319999998</v>
      </c>
      <c r="P14" s="4">
        <v>0</v>
      </c>
      <c r="Q14" s="3" t="s">
        <v>59</v>
      </c>
      <c r="R14" s="3">
        <v>5343</v>
      </c>
      <c r="S14" s="3">
        <v>0</v>
      </c>
      <c r="T14" s="3">
        <v>0</v>
      </c>
      <c r="U14" s="3">
        <v>54</v>
      </c>
      <c r="V14" s="4">
        <f>IF(ISERROR(VLOOKUP($S$14,'TAR FIN'!$A$1:$O$91,15,0)),0,VLOOKUP($S$14,'TAR FIN'!$A$1:$O$91,15,0))</f>
        <v>0</v>
      </c>
      <c r="W14" s="4">
        <f>IF(ISERROR(VLOOKUP($T$14,'TAR FIN'!$A$1:$O$91,15,0)),0,VLOOKUP($T$14,'TAR FIN'!$A$1:$O$91,15,0))</f>
        <v>0</v>
      </c>
      <c r="X14" s="4">
        <f>IF(ISERROR(VLOOKUP($U$14,'TAR FIN'!$A$1:$O$91,15,0)),0,VLOOKUP($U$14,'TAR FIN'!$A$1:$O$91,15,0))</f>
        <v>215.96</v>
      </c>
      <c r="Y14" s="4">
        <f ca="1">0.72*('TUSD BE'!$AM$9+'TUSD BF'!$AM$9+'TUSD CVA'!$AM$9)*1+('TUSD BE'!$AM$10+'TUSD BF'!$AM$10+'TUSD CVA'!$AM$10)*1</f>
        <v>54.216386816965695</v>
      </c>
      <c r="Z14" s="4">
        <f ca="1">('TUSD BE'!$AM$11+'TUSD BF'!$AM$11+'TUSD CVA'!$AM$11)*1</f>
        <v>11.103927165111529</v>
      </c>
      <c r="AA14" s="4">
        <f>('TE BE'!$AB$9+'TE BF'!$AB$9+'TE CVA'!$AB$9)*1</f>
        <v>233.70080441251889</v>
      </c>
      <c r="AB14" s="4">
        <f t="shared" si="0"/>
        <v>0</v>
      </c>
      <c r="AC14" s="4">
        <f t="shared" si="1"/>
        <v>10538.909937328008</v>
      </c>
      <c r="AD14" s="4">
        <f t="shared" ca="1" si="2"/>
        <v>0</v>
      </c>
      <c r="AE14" s="4">
        <f t="shared" ca="1" si="3"/>
        <v>11404.666280721636</v>
      </c>
      <c r="AF14" s="3" t="s">
        <v>775</v>
      </c>
    </row>
    <row r="15" spans="1:36" ht="11.25" customHeight="1" x14ac:dyDescent="0.3">
      <c r="A15" s="3" t="s">
        <v>21</v>
      </c>
      <c r="B15" s="3" t="s">
        <v>39</v>
      </c>
      <c r="C15" s="3" t="s">
        <v>56</v>
      </c>
      <c r="D15" s="3" t="s">
        <v>25</v>
      </c>
      <c r="E15" s="3" t="s">
        <v>25</v>
      </c>
      <c r="F15" s="3" t="s">
        <v>57</v>
      </c>
      <c r="G15" s="3" t="s">
        <v>58</v>
      </c>
      <c r="H15" s="3" t="s">
        <v>25</v>
      </c>
      <c r="I15" s="6">
        <v>44409</v>
      </c>
      <c r="J15" s="4">
        <v>0</v>
      </c>
      <c r="K15" s="18">
        <f>J15*(1-SUMIFS(CUSTOS!$T$40:$T$100,CUSTOS!$O$40:$O$100,SUBSIDIO!G15,CUSTOS!$S$40:$S$100,SUBSIDIO!B15,CUSTOS!$R$40:$R$100,"Potência"))</f>
        <v>0</v>
      </c>
      <c r="L15" s="4">
        <v>0</v>
      </c>
      <c r="M15" s="18">
        <f>L15*(1-SUMIFS(CUSTOS!$T$40:$T$100,CUSTOS!$O$40:$O$100,SUBSIDIO!G15,CUSTOS!$S$40:$S$100,SUBSIDIO!B15,CUSTOS!$R$40:$R$100,"Potência"))</f>
        <v>0</v>
      </c>
      <c r="N15" s="4">
        <v>369.23899999999998</v>
      </c>
      <c r="O15" s="18">
        <f>N15*(1-SUMIFS(CUSTOS!$T$40:$T$100,CUSTOS!$O$40:$O$100,SUBSIDIO!G15,CUSTOS!$S$40:$S$100,SUBSIDIO!B15,CUSTOS!$R$40:$R$100,"Energia"))</f>
        <v>316.58551859999994</v>
      </c>
      <c r="P15" s="4">
        <v>0</v>
      </c>
      <c r="Q15" s="3" t="s">
        <v>59</v>
      </c>
      <c r="R15" s="3">
        <v>5343</v>
      </c>
      <c r="S15" s="3">
        <v>0</v>
      </c>
      <c r="T15" s="3">
        <v>0</v>
      </c>
      <c r="U15" s="3">
        <v>54</v>
      </c>
      <c r="V15" s="4">
        <f>IF(ISERROR(VLOOKUP($S$15,'TAR FIN'!$A$1:$O$91,15,0)),0,VLOOKUP($S$15,'TAR FIN'!$A$1:$O$91,15,0))</f>
        <v>0</v>
      </c>
      <c r="W15" s="4">
        <f>IF(ISERROR(VLOOKUP($T$15,'TAR FIN'!$A$1:$O$91,15,0)),0,VLOOKUP($T$15,'TAR FIN'!$A$1:$O$91,15,0))</f>
        <v>0</v>
      </c>
      <c r="X15" s="4">
        <f>IF(ISERROR(VLOOKUP($U$15,'TAR FIN'!$A$1:$O$91,15,0)),0,VLOOKUP($U$15,'TAR FIN'!$A$1:$O$91,15,0))</f>
        <v>215.96</v>
      </c>
      <c r="Y15" s="4">
        <f ca="1">0.72*('TUSD BE'!$AM$9+'TUSD BF'!$AM$9+'TUSD CVA'!$AM$9)*1+('TUSD BE'!$AM$10+'TUSD BF'!$AM$10+'TUSD CVA'!$AM$10)*1</f>
        <v>54.216386816965695</v>
      </c>
      <c r="Z15" s="4">
        <f ca="1">('TUSD BE'!$AM$11+'TUSD BF'!$AM$11+'TUSD CVA'!$AM$11)*1</f>
        <v>11.103927165111529</v>
      </c>
      <c r="AA15" s="4">
        <f>('TE BE'!$AB$9+'TE BF'!$AB$9+'TE CVA'!$AB$9)*1</f>
        <v>233.70080441251889</v>
      </c>
      <c r="AB15" s="4">
        <f t="shared" si="0"/>
        <v>0</v>
      </c>
      <c r="AC15" s="4">
        <f t="shared" si="1"/>
        <v>11371.045843144007</v>
      </c>
      <c r="AD15" s="4">
        <f t="shared" ca="1" si="2"/>
        <v>0</v>
      </c>
      <c r="AE15" s="4">
        <f t="shared" ca="1" si="3"/>
        <v>12305.16095829961</v>
      </c>
      <c r="AF15" s="3" t="s">
        <v>775</v>
      </c>
    </row>
    <row r="16" spans="1:36" ht="11.25" customHeight="1" x14ac:dyDescent="0.3">
      <c r="A16" s="3" t="s">
        <v>21</v>
      </c>
      <c r="B16" s="3" t="s">
        <v>39</v>
      </c>
      <c r="C16" s="3" t="s">
        <v>56</v>
      </c>
      <c r="D16" s="3" t="s">
        <v>25</v>
      </c>
      <c r="E16" s="3" t="s">
        <v>25</v>
      </c>
      <c r="F16" s="3" t="s">
        <v>57</v>
      </c>
      <c r="G16" s="3" t="s">
        <v>58</v>
      </c>
      <c r="H16" s="3" t="s">
        <v>25</v>
      </c>
      <c r="I16" s="6">
        <v>44440</v>
      </c>
      <c r="J16" s="4">
        <v>0</v>
      </c>
      <c r="K16" s="18">
        <f>J16*(1-SUMIFS(CUSTOS!$T$40:$T$100,CUSTOS!$O$40:$O$100,SUBSIDIO!G16,CUSTOS!$S$40:$S$100,SUBSIDIO!B16,CUSTOS!$R$40:$R$100,"Potência"))</f>
        <v>0</v>
      </c>
      <c r="L16" s="4">
        <v>0</v>
      </c>
      <c r="M16" s="18">
        <f>L16*(1-SUMIFS(CUSTOS!$T$40:$T$100,CUSTOS!$O$40:$O$100,SUBSIDIO!G16,CUSTOS!$S$40:$S$100,SUBSIDIO!B16,CUSTOS!$R$40:$R$100,"Potência"))</f>
        <v>0</v>
      </c>
      <c r="N16" s="4">
        <v>336.33800000000002</v>
      </c>
      <c r="O16" s="18">
        <f>N16*(1-SUMIFS(CUSTOS!$T$40:$T$100,CUSTOS!$O$40:$O$100,SUBSIDIO!G16,CUSTOS!$S$40:$S$100,SUBSIDIO!B16,CUSTOS!$R$40:$R$100,"Energia"))</f>
        <v>288.37620120000003</v>
      </c>
      <c r="P16" s="4">
        <v>0</v>
      </c>
      <c r="Q16" s="3" t="s">
        <v>59</v>
      </c>
      <c r="R16" s="3">
        <v>5343</v>
      </c>
      <c r="S16" s="3">
        <v>0</v>
      </c>
      <c r="T16" s="3">
        <v>0</v>
      </c>
      <c r="U16" s="3">
        <v>54</v>
      </c>
      <c r="V16" s="4">
        <f>IF(ISERROR(VLOOKUP($S$16,'TAR FIN'!$A$1:$O$91,15,0)),0,VLOOKUP($S$16,'TAR FIN'!$A$1:$O$91,15,0))</f>
        <v>0</v>
      </c>
      <c r="W16" s="4">
        <f>IF(ISERROR(VLOOKUP($T$16,'TAR FIN'!$A$1:$O$91,15,0)),0,VLOOKUP($T$16,'TAR FIN'!$A$1:$O$91,15,0))</f>
        <v>0</v>
      </c>
      <c r="X16" s="4">
        <f>IF(ISERROR(VLOOKUP($U$16,'TAR FIN'!$A$1:$O$91,15,0)),0,VLOOKUP($U$16,'TAR FIN'!$A$1:$O$91,15,0))</f>
        <v>215.96</v>
      </c>
      <c r="Y16" s="4">
        <f ca="1">0.72*('TUSD BE'!$AM$9+'TUSD BF'!$AM$9+'TUSD CVA'!$AM$9)*1+('TUSD BE'!$AM$10+'TUSD BF'!$AM$10+'TUSD CVA'!$AM$10)*1</f>
        <v>54.216386816965695</v>
      </c>
      <c r="Z16" s="4">
        <f ca="1">('TUSD BE'!$AM$11+'TUSD BF'!$AM$11+'TUSD CVA'!$AM$11)*1</f>
        <v>11.103927165111529</v>
      </c>
      <c r="AA16" s="4">
        <f>('TE BE'!$AB$9+'TE BF'!$AB$9+'TE CVA'!$AB$9)*1</f>
        <v>233.70080441251889</v>
      </c>
      <c r="AB16" s="4">
        <f t="shared" si="0"/>
        <v>0</v>
      </c>
      <c r="AC16" s="4">
        <f t="shared" si="1"/>
        <v>10357.830068847999</v>
      </c>
      <c r="AD16" s="4">
        <f t="shared" ca="1" si="2"/>
        <v>0</v>
      </c>
      <c r="AE16" s="4">
        <f t="shared" ca="1" si="3"/>
        <v>11208.710960631382</v>
      </c>
      <c r="AF16" s="3" t="s">
        <v>775</v>
      </c>
    </row>
    <row r="17" spans="1:32" ht="11.25" customHeight="1" x14ac:dyDescent="0.3">
      <c r="A17" s="3" t="s">
        <v>21</v>
      </c>
      <c r="B17" s="3" t="s">
        <v>39</v>
      </c>
      <c r="C17" s="3" t="s">
        <v>56</v>
      </c>
      <c r="D17" s="3" t="s">
        <v>25</v>
      </c>
      <c r="E17" s="3" t="s">
        <v>25</v>
      </c>
      <c r="F17" s="3" t="s">
        <v>57</v>
      </c>
      <c r="G17" s="3" t="s">
        <v>58</v>
      </c>
      <c r="H17" s="3" t="s">
        <v>25</v>
      </c>
      <c r="I17" s="6">
        <v>44470</v>
      </c>
      <c r="J17" s="4">
        <v>0</v>
      </c>
      <c r="K17" s="18">
        <f>J17*(1-SUMIFS(CUSTOS!$T$40:$T$100,CUSTOS!$O$40:$O$100,SUBSIDIO!G17,CUSTOS!$S$40:$S$100,SUBSIDIO!B17,CUSTOS!$R$40:$R$100,"Potência"))</f>
        <v>0</v>
      </c>
      <c r="L17" s="4">
        <v>0</v>
      </c>
      <c r="M17" s="18">
        <f>L17*(1-SUMIFS(CUSTOS!$T$40:$T$100,CUSTOS!$O$40:$O$100,SUBSIDIO!G17,CUSTOS!$S$40:$S$100,SUBSIDIO!B17,CUSTOS!$R$40:$R$100,"Potência"))</f>
        <v>0</v>
      </c>
      <c r="N17" s="4">
        <v>343.803</v>
      </c>
      <c r="O17" s="18">
        <f>N17*(1-SUMIFS(CUSTOS!$T$40:$T$100,CUSTOS!$O$40:$O$100,SUBSIDIO!G17,CUSTOS!$S$40:$S$100,SUBSIDIO!B17,CUSTOS!$R$40:$R$100,"Energia"))</f>
        <v>294.77669219999996</v>
      </c>
      <c r="P17" s="4">
        <v>0</v>
      </c>
      <c r="Q17" s="3" t="s">
        <v>59</v>
      </c>
      <c r="R17" s="3">
        <v>5343</v>
      </c>
      <c r="S17" s="3">
        <v>0</v>
      </c>
      <c r="T17" s="3">
        <v>0</v>
      </c>
      <c r="U17" s="3">
        <v>54</v>
      </c>
      <c r="V17" s="4">
        <f>IF(ISERROR(VLOOKUP($S$17,'TAR FIN'!$A$1:$O$91,15,0)),0,VLOOKUP($S$17,'TAR FIN'!$A$1:$O$91,15,0))</f>
        <v>0</v>
      </c>
      <c r="W17" s="4">
        <f>IF(ISERROR(VLOOKUP($T$17,'TAR FIN'!$A$1:$O$91,15,0)),0,VLOOKUP($T$17,'TAR FIN'!$A$1:$O$91,15,0))</f>
        <v>0</v>
      </c>
      <c r="X17" s="4">
        <f>IF(ISERROR(VLOOKUP($U$17,'TAR FIN'!$A$1:$O$91,15,0)),0,VLOOKUP($U$17,'TAR FIN'!$A$1:$O$91,15,0))</f>
        <v>215.96</v>
      </c>
      <c r="Y17" s="4">
        <f ca="1">0.72*('TUSD BE'!$AM$9+'TUSD BF'!$AM$9+'TUSD CVA'!$AM$9)*1+('TUSD BE'!$AM$10+'TUSD BF'!$AM$10+'TUSD CVA'!$AM$10)*1</f>
        <v>54.216386816965695</v>
      </c>
      <c r="Z17" s="4">
        <f ca="1">('TUSD BE'!$AM$11+'TUSD BF'!$AM$11+'TUSD CVA'!$AM$11)*1</f>
        <v>11.103927165111529</v>
      </c>
      <c r="AA17" s="4">
        <f>('TE BE'!$AB$9+'TE BF'!$AB$9+'TE CVA'!$AB$9)*1</f>
        <v>233.70080441251889</v>
      </c>
      <c r="AB17" s="4">
        <f t="shared" si="0"/>
        <v>0</v>
      </c>
      <c r="AC17" s="4">
        <f t="shared" si="1"/>
        <v>10587.72143248801</v>
      </c>
      <c r="AD17" s="4">
        <f t="shared" ca="1" si="2"/>
        <v>0</v>
      </c>
      <c r="AE17" s="4">
        <f t="shared" ca="1" si="3"/>
        <v>11457.487570235759</v>
      </c>
      <c r="AF17" s="3" t="s">
        <v>775</v>
      </c>
    </row>
    <row r="18" spans="1:32" ht="11.25" customHeight="1" x14ac:dyDescent="0.3">
      <c r="A18" s="3" t="s">
        <v>21</v>
      </c>
      <c r="B18" s="3" t="s">
        <v>39</v>
      </c>
      <c r="C18" s="3" t="s">
        <v>56</v>
      </c>
      <c r="D18" s="3" t="s">
        <v>25</v>
      </c>
      <c r="E18" s="3" t="s">
        <v>25</v>
      </c>
      <c r="F18" s="3" t="s">
        <v>57</v>
      </c>
      <c r="G18" s="3" t="s">
        <v>58</v>
      </c>
      <c r="H18" s="3" t="s">
        <v>25</v>
      </c>
      <c r="I18" s="6">
        <v>44501</v>
      </c>
      <c r="J18" s="4">
        <v>0</v>
      </c>
      <c r="K18" s="18">
        <f>J18*(1-SUMIFS(CUSTOS!$T$40:$T$100,CUSTOS!$O$40:$O$100,SUBSIDIO!G18,CUSTOS!$S$40:$S$100,SUBSIDIO!B18,CUSTOS!$R$40:$R$100,"Potência"))</f>
        <v>0</v>
      </c>
      <c r="L18" s="4">
        <v>0</v>
      </c>
      <c r="M18" s="18">
        <f>L18*(1-SUMIFS(CUSTOS!$T$40:$T$100,CUSTOS!$O$40:$O$100,SUBSIDIO!G18,CUSTOS!$S$40:$S$100,SUBSIDIO!B18,CUSTOS!$R$40:$R$100,"Potência"))</f>
        <v>0</v>
      </c>
      <c r="N18" s="4">
        <v>490.92599999999999</v>
      </c>
      <c r="O18" s="18">
        <f>N18*(1-SUMIFS(CUSTOS!$T$40:$T$100,CUSTOS!$O$40:$O$100,SUBSIDIO!G18,CUSTOS!$S$40:$S$100,SUBSIDIO!B18,CUSTOS!$R$40:$R$100,"Energia"))</f>
        <v>420.91995239999994</v>
      </c>
      <c r="P18" s="4">
        <v>0</v>
      </c>
      <c r="Q18" s="3" t="s">
        <v>59</v>
      </c>
      <c r="R18" s="3">
        <v>5343</v>
      </c>
      <c r="S18" s="3">
        <v>0</v>
      </c>
      <c r="T18" s="3">
        <v>0</v>
      </c>
      <c r="U18" s="3">
        <v>54</v>
      </c>
      <c r="V18" s="4">
        <f>IF(ISERROR(VLOOKUP($S$18,'TAR FIN'!$A$1:$O$91,15,0)),0,VLOOKUP($S$18,'TAR FIN'!$A$1:$O$91,15,0))</f>
        <v>0</v>
      </c>
      <c r="W18" s="4">
        <f>IF(ISERROR(VLOOKUP($T$18,'TAR FIN'!$A$1:$O$91,15,0)),0,VLOOKUP($T$18,'TAR FIN'!$A$1:$O$91,15,0))</f>
        <v>0</v>
      </c>
      <c r="X18" s="4">
        <f>IF(ISERROR(VLOOKUP($U$18,'TAR FIN'!$A$1:$O$91,15,0)),0,VLOOKUP($U$18,'TAR FIN'!$A$1:$O$91,15,0))</f>
        <v>215.96</v>
      </c>
      <c r="Y18" s="4">
        <f ca="1">0.72*('TUSD BE'!$AM$9+'TUSD BF'!$AM$9+'TUSD CVA'!$AM$9)*1+('TUSD BE'!$AM$10+'TUSD BF'!$AM$10+'TUSD CVA'!$AM$10)*1</f>
        <v>54.216386816965695</v>
      </c>
      <c r="Z18" s="4">
        <f ca="1">('TUSD BE'!$AM$11+'TUSD BF'!$AM$11+'TUSD CVA'!$AM$11)*1</f>
        <v>11.103927165111529</v>
      </c>
      <c r="AA18" s="4">
        <f>('TE BE'!$AB$9+'TE BF'!$AB$9+'TE CVA'!$AB$9)*1</f>
        <v>233.70080441251889</v>
      </c>
      <c r="AB18" s="4">
        <f t="shared" si="0"/>
        <v>0</v>
      </c>
      <c r="AC18" s="4">
        <f t="shared" si="1"/>
        <v>15118.506039696011</v>
      </c>
      <c r="AD18" s="4">
        <f t="shared" ca="1" si="2"/>
        <v>0</v>
      </c>
      <c r="AE18" s="4">
        <f t="shared" ca="1" si="3"/>
        <v>16360.469637861099</v>
      </c>
      <c r="AF18" s="3" t="s">
        <v>775</v>
      </c>
    </row>
    <row r="19" spans="1:32" ht="11.25" customHeight="1" x14ac:dyDescent="0.3">
      <c r="A19" s="3" t="s">
        <v>21</v>
      </c>
      <c r="B19" s="3" t="s">
        <v>39</v>
      </c>
      <c r="C19" s="3" t="s">
        <v>56</v>
      </c>
      <c r="D19" s="3" t="s">
        <v>25</v>
      </c>
      <c r="E19" s="3" t="s">
        <v>25</v>
      </c>
      <c r="F19" s="3" t="s">
        <v>57</v>
      </c>
      <c r="G19" s="3" t="s">
        <v>58</v>
      </c>
      <c r="H19" s="3" t="s">
        <v>25</v>
      </c>
      <c r="I19" s="6">
        <v>44531</v>
      </c>
      <c r="J19" s="4">
        <v>0</v>
      </c>
      <c r="K19" s="18">
        <f>J19*(1-SUMIFS(CUSTOS!$T$40:$T$100,CUSTOS!$O$40:$O$100,SUBSIDIO!G19,CUSTOS!$S$40:$S$100,SUBSIDIO!B19,CUSTOS!$R$40:$R$100,"Potência"))</f>
        <v>0</v>
      </c>
      <c r="L19" s="4">
        <v>0</v>
      </c>
      <c r="M19" s="18">
        <f>L19*(1-SUMIFS(CUSTOS!$T$40:$T$100,CUSTOS!$O$40:$O$100,SUBSIDIO!G19,CUSTOS!$S$40:$S$100,SUBSIDIO!B19,CUSTOS!$R$40:$R$100,"Potência"))</f>
        <v>0</v>
      </c>
      <c r="N19" s="4">
        <v>681.79300000000001</v>
      </c>
      <c r="O19" s="18">
        <f>N19*(1-SUMIFS(CUSTOS!$T$40:$T$100,CUSTOS!$O$40:$O$100,SUBSIDIO!G19,CUSTOS!$S$40:$S$100,SUBSIDIO!B19,CUSTOS!$R$40:$R$100,"Energia"))</f>
        <v>584.5693182</v>
      </c>
      <c r="P19" s="4">
        <v>0</v>
      </c>
      <c r="Q19" s="3" t="s">
        <v>59</v>
      </c>
      <c r="R19" s="3">
        <v>5343</v>
      </c>
      <c r="S19" s="3">
        <v>0</v>
      </c>
      <c r="T19" s="3">
        <v>0</v>
      </c>
      <c r="U19" s="3">
        <v>54</v>
      </c>
      <c r="V19" s="4">
        <f>IF(ISERROR(VLOOKUP($S$19,'TAR FIN'!$A$1:$O$91,15,0)),0,VLOOKUP($S$19,'TAR FIN'!$A$1:$O$91,15,0))</f>
        <v>0</v>
      </c>
      <c r="W19" s="4">
        <f>IF(ISERROR(VLOOKUP($T$19,'TAR FIN'!$A$1:$O$91,15,0)),0,VLOOKUP($T$19,'TAR FIN'!$A$1:$O$91,15,0))</f>
        <v>0</v>
      </c>
      <c r="X19" s="4">
        <f>IF(ISERROR(VLOOKUP($U$19,'TAR FIN'!$A$1:$O$91,15,0)),0,VLOOKUP($U$19,'TAR FIN'!$A$1:$O$91,15,0))</f>
        <v>215.96</v>
      </c>
      <c r="Y19" s="4">
        <f ca="1">0.72*('TUSD BE'!$AM$9+'TUSD BF'!$AM$9+'TUSD CVA'!$AM$9)*1+('TUSD BE'!$AM$10+'TUSD BF'!$AM$10+'TUSD CVA'!$AM$10)*1</f>
        <v>54.216386816965695</v>
      </c>
      <c r="Z19" s="4">
        <f ca="1">('TUSD BE'!$AM$11+'TUSD BF'!$AM$11+'TUSD CVA'!$AM$11)*1</f>
        <v>11.103927165111529</v>
      </c>
      <c r="AA19" s="4">
        <f>('TE BE'!$AB$9+'TE BF'!$AB$9+'TE CVA'!$AB$9)*1</f>
        <v>233.70080441251889</v>
      </c>
      <c r="AB19" s="4">
        <f t="shared" si="0"/>
        <v>0</v>
      </c>
      <c r="AC19" s="4">
        <f t="shared" si="1"/>
        <v>20996.426321528004</v>
      </c>
      <c r="AD19" s="4">
        <f t="shared" ca="1" si="2"/>
        <v>0</v>
      </c>
      <c r="AE19" s="4">
        <f t="shared" ca="1" si="3"/>
        <v>22721.252644606775</v>
      </c>
      <c r="AF19" s="3" t="s">
        <v>775</v>
      </c>
    </row>
    <row r="20" spans="1:32" ht="11.25" customHeight="1" x14ac:dyDescent="0.3">
      <c r="A20" s="3" t="s">
        <v>21</v>
      </c>
      <c r="B20" s="3" t="s">
        <v>39</v>
      </c>
      <c r="C20" s="3" t="s">
        <v>56</v>
      </c>
      <c r="D20" s="3" t="s">
        <v>25</v>
      </c>
      <c r="E20" s="3" t="s">
        <v>25</v>
      </c>
      <c r="F20" s="3" t="s">
        <v>57</v>
      </c>
      <c r="G20" s="3" t="s">
        <v>58</v>
      </c>
      <c r="H20" s="3" t="s">
        <v>25</v>
      </c>
      <c r="I20" s="6">
        <v>44562</v>
      </c>
      <c r="J20" s="4">
        <v>0</v>
      </c>
      <c r="K20" s="18">
        <f>J20*(1-SUMIFS(CUSTOS!$T$40:$T$100,CUSTOS!$O$40:$O$100,SUBSIDIO!G20,CUSTOS!$S$40:$S$100,SUBSIDIO!B20,CUSTOS!$R$40:$R$100,"Potência"))</f>
        <v>0</v>
      </c>
      <c r="L20" s="4">
        <v>0</v>
      </c>
      <c r="M20" s="18">
        <f>L20*(1-SUMIFS(CUSTOS!$T$40:$T$100,CUSTOS!$O$40:$O$100,SUBSIDIO!G20,CUSTOS!$S$40:$S$100,SUBSIDIO!B20,CUSTOS!$R$40:$R$100,"Potência"))</f>
        <v>0</v>
      </c>
      <c r="N20" s="4">
        <v>709.2</v>
      </c>
      <c r="O20" s="18">
        <f>N20*(1-SUMIFS(CUSTOS!$T$40:$T$100,CUSTOS!$O$40:$O$100,SUBSIDIO!G20,CUSTOS!$S$40:$S$100,SUBSIDIO!B20,CUSTOS!$R$40:$R$100,"Energia"))</f>
        <v>608.06808000000001</v>
      </c>
      <c r="P20" s="4">
        <v>0</v>
      </c>
      <c r="Q20" s="3" t="s">
        <v>59</v>
      </c>
      <c r="R20" s="3">
        <v>5343</v>
      </c>
      <c r="S20" s="3">
        <v>0</v>
      </c>
      <c r="T20" s="3">
        <v>0</v>
      </c>
      <c r="U20" s="3">
        <v>54</v>
      </c>
      <c r="V20" s="4">
        <f>IF(ISERROR(VLOOKUP($S$20,'TAR FIN'!$A$1:$O$91,15,0)),0,VLOOKUP($S$20,'TAR FIN'!$A$1:$O$91,15,0))</f>
        <v>0</v>
      </c>
      <c r="W20" s="4">
        <f>IF(ISERROR(VLOOKUP($T$20,'TAR FIN'!$A$1:$O$91,15,0)),0,VLOOKUP($T$20,'TAR FIN'!$A$1:$O$91,15,0))</f>
        <v>0</v>
      </c>
      <c r="X20" s="4">
        <f>IF(ISERROR(VLOOKUP($U$20,'TAR FIN'!$A$1:$O$91,15,0)),0,VLOOKUP($U$20,'TAR FIN'!$A$1:$O$91,15,0))</f>
        <v>215.96</v>
      </c>
      <c r="Y20" s="4">
        <f ca="1">0.72*('TUSD BE'!$AM$9+'TUSD BF'!$AM$9+'TUSD CVA'!$AM$9)*1+('TUSD BE'!$AM$10+'TUSD BF'!$AM$10+'TUSD CVA'!$AM$10)*1</f>
        <v>54.216386816965695</v>
      </c>
      <c r="Z20" s="4">
        <f ca="1">('TUSD BE'!$AM$11+'TUSD BF'!$AM$11+'TUSD CVA'!$AM$11)*1</f>
        <v>11.103927165111529</v>
      </c>
      <c r="AA20" s="4">
        <f>('TE BE'!$AB$9+'TE BF'!$AB$9+'TE CVA'!$AB$9)*1</f>
        <v>233.70080441251889</v>
      </c>
      <c r="AB20" s="4">
        <f t="shared" si="0"/>
        <v>0</v>
      </c>
      <c r="AC20" s="4">
        <f t="shared" si="1"/>
        <v>21840.44944320001</v>
      </c>
      <c r="AD20" s="4">
        <f t="shared" ca="1" si="2"/>
        <v>0</v>
      </c>
      <c r="AE20" s="4">
        <f t="shared" ca="1" si="3"/>
        <v>23634.611055782516</v>
      </c>
      <c r="AF20" s="3" t="s">
        <v>775</v>
      </c>
    </row>
    <row r="21" spans="1:32" ht="11.25" customHeight="1" x14ac:dyDescent="0.3">
      <c r="A21" s="3" t="s">
        <v>21</v>
      </c>
      <c r="B21" s="3" t="s">
        <v>39</v>
      </c>
      <c r="C21" s="3" t="s">
        <v>56</v>
      </c>
      <c r="D21" s="3" t="s">
        <v>25</v>
      </c>
      <c r="E21" s="3" t="s">
        <v>25</v>
      </c>
      <c r="F21" s="3" t="s">
        <v>57</v>
      </c>
      <c r="G21" s="3" t="s">
        <v>58</v>
      </c>
      <c r="H21" s="3" t="s">
        <v>25</v>
      </c>
      <c r="I21" s="6">
        <v>44593</v>
      </c>
      <c r="J21" s="4">
        <v>0</v>
      </c>
      <c r="K21" s="18">
        <f>J21*(1-SUMIFS(CUSTOS!$T$40:$T$100,CUSTOS!$O$40:$O$100,SUBSIDIO!G21,CUSTOS!$S$40:$S$100,SUBSIDIO!B21,CUSTOS!$R$40:$R$100,"Potência"))</f>
        <v>0</v>
      </c>
      <c r="L21" s="4">
        <v>0</v>
      </c>
      <c r="M21" s="18">
        <f>L21*(1-SUMIFS(CUSTOS!$T$40:$T$100,CUSTOS!$O$40:$O$100,SUBSIDIO!G21,CUSTOS!$S$40:$S$100,SUBSIDIO!B21,CUSTOS!$R$40:$R$100,"Potência"))</f>
        <v>0</v>
      </c>
      <c r="N21" s="4">
        <v>498.80799999999999</v>
      </c>
      <c r="O21" s="18">
        <f>N21*(1-SUMIFS(CUSTOS!$T$40:$T$100,CUSTOS!$O$40:$O$100,SUBSIDIO!G21,CUSTOS!$S$40:$S$100,SUBSIDIO!B21,CUSTOS!$R$40:$R$100,"Energia"))</f>
        <v>427.67797919999998</v>
      </c>
      <c r="P21" s="4">
        <v>0</v>
      </c>
      <c r="Q21" s="3" t="s">
        <v>59</v>
      </c>
      <c r="R21" s="3">
        <v>5343</v>
      </c>
      <c r="S21" s="3">
        <v>0</v>
      </c>
      <c r="T21" s="3">
        <v>0</v>
      </c>
      <c r="U21" s="3">
        <v>54</v>
      </c>
      <c r="V21" s="4">
        <f>IF(ISERROR(VLOOKUP($S$21,'TAR FIN'!$A$1:$O$91,15,0)),0,VLOOKUP($S$21,'TAR FIN'!$A$1:$O$91,15,0))</f>
        <v>0</v>
      </c>
      <c r="W21" s="4">
        <f>IF(ISERROR(VLOOKUP($T$21,'TAR FIN'!$A$1:$O$91,15,0)),0,VLOOKUP($T$21,'TAR FIN'!$A$1:$O$91,15,0))</f>
        <v>0</v>
      </c>
      <c r="X21" s="4">
        <f>IF(ISERROR(VLOOKUP($U$21,'TAR FIN'!$A$1:$O$91,15,0)),0,VLOOKUP($U$21,'TAR FIN'!$A$1:$O$91,15,0))</f>
        <v>215.96</v>
      </c>
      <c r="Y21" s="4">
        <f ca="1">0.72*('TUSD BE'!$AM$9+'TUSD BF'!$AM$9+'TUSD CVA'!$AM$9)*1+('TUSD BE'!$AM$10+'TUSD BF'!$AM$10+'TUSD CVA'!$AM$10)*1</f>
        <v>54.216386816965695</v>
      </c>
      <c r="Z21" s="4">
        <f ca="1">('TUSD BE'!$AM$11+'TUSD BF'!$AM$11+'TUSD CVA'!$AM$11)*1</f>
        <v>11.103927165111529</v>
      </c>
      <c r="AA21" s="4">
        <f>('TE BE'!$AB$9+'TE BF'!$AB$9+'TE CVA'!$AB$9)*1</f>
        <v>233.70080441251889</v>
      </c>
      <c r="AB21" s="4">
        <f t="shared" si="0"/>
        <v>0</v>
      </c>
      <c r="AC21" s="4">
        <f t="shared" si="1"/>
        <v>15361.239291968002</v>
      </c>
      <c r="AD21" s="4">
        <f t="shared" ca="1" si="2"/>
        <v>0</v>
      </c>
      <c r="AE21" s="4">
        <f t="shared" ca="1" si="3"/>
        <v>16623.143078839203</v>
      </c>
      <c r="AF21" s="3" t="s">
        <v>775</v>
      </c>
    </row>
    <row r="22" spans="1:32" ht="11.25" customHeight="1" x14ac:dyDescent="0.3">
      <c r="A22" s="3" t="s">
        <v>21</v>
      </c>
      <c r="B22" s="3" t="s">
        <v>39</v>
      </c>
      <c r="C22" s="3" t="s">
        <v>56</v>
      </c>
      <c r="D22" s="3" t="s">
        <v>25</v>
      </c>
      <c r="E22" s="3" t="s">
        <v>25</v>
      </c>
      <c r="F22" s="3" t="s">
        <v>57</v>
      </c>
      <c r="G22" s="3" t="s">
        <v>58</v>
      </c>
      <c r="H22" s="3" t="s">
        <v>25</v>
      </c>
      <c r="I22" s="6">
        <v>44621</v>
      </c>
      <c r="J22" s="4">
        <v>0</v>
      </c>
      <c r="K22" s="18">
        <f>J22*(1-SUMIFS(CUSTOS!$T$40:$T$100,CUSTOS!$O$40:$O$100,SUBSIDIO!G22,CUSTOS!$S$40:$S$100,SUBSIDIO!B22,CUSTOS!$R$40:$R$100,"Potência"))</f>
        <v>0</v>
      </c>
      <c r="L22" s="4">
        <v>0</v>
      </c>
      <c r="M22" s="18">
        <f>L22*(1-SUMIFS(CUSTOS!$T$40:$T$100,CUSTOS!$O$40:$O$100,SUBSIDIO!G22,CUSTOS!$S$40:$S$100,SUBSIDIO!B22,CUSTOS!$R$40:$R$100,"Potência"))</f>
        <v>0</v>
      </c>
      <c r="N22" s="4">
        <v>469.10599999999999</v>
      </c>
      <c r="O22" s="18">
        <f>N22*(1-SUMIFS(CUSTOS!$T$40:$T$100,CUSTOS!$O$40:$O$100,SUBSIDIO!G22,CUSTOS!$S$40:$S$100,SUBSIDIO!B22,CUSTOS!$R$40:$R$100,"Energia"))</f>
        <v>402.21148439999996</v>
      </c>
      <c r="P22" s="4">
        <v>0</v>
      </c>
      <c r="Q22" s="3" t="s">
        <v>59</v>
      </c>
      <c r="R22" s="3">
        <v>5343</v>
      </c>
      <c r="S22" s="3">
        <v>0</v>
      </c>
      <c r="T22" s="3">
        <v>0</v>
      </c>
      <c r="U22" s="3">
        <v>54</v>
      </c>
      <c r="V22" s="4">
        <f>IF(ISERROR(VLOOKUP($S$22,'TAR FIN'!$A$1:$O$91,15,0)),0,VLOOKUP($S$22,'TAR FIN'!$A$1:$O$91,15,0))</f>
        <v>0</v>
      </c>
      <c r="W22" s="4">
        <f>IF(ISERROR(VLOOKUP($T$22,'TAR FIN'!$A$1:$O$91,15,0)),0,VLOOKUP($T$22,'TAR FIN'!$A$1:$O$91,15,0))</f>
        <v>0</v>
      </c>
      <c r="X22" s="4">
        <f>IF(ISERROR(VLOOKUP($U$22,'TAR FIN'!$A$1:$O$91,15,0)),0,VLOOKUP($U$22,'TAR FIN'!$A$1:$O$91,15,0))</f>
        <v>215.96</v>
      </c>
      <c r="Y22" s="4">
        <f ca="1">0.72*('TUSD BE'!$AM$9+'TUSD BF'!$AM$9+'TUSD CVA'!$AM$9)*1+('TUSD BE'!$AM$10+'TUSD BF'!$AM$10+'TUSD CVA'!$AM$10)*1</f>
        <v>54.216386816965695</v>
      </c>
      <c r="Z22" s="4">
        <f ca="1">('TUSD BE'!$AM$11+'TUSD BF'!$AM$11+'TUSD CVA'!$AM$11)*1</f>
        <v>11.103927165111529</v>
      </c>
      <c r="AA22" s="4">
        <f>('TE BE'!$AB$9+'TE BF'!$AB$9+'TE CVA'!$AB$9)*1</f>
        <v>233.70080441251889</v>
      </c>
      <c r="AB22" s="4">
        <f t="shared" si="0"/>
        <v>0</v>
      </c>
      <c r="AC22" s="4">
        <f t="shared" si="1"/>
        <v>14446.539588976008</v>
      </c>
      <c r="AD22" s="4">
        <f t="shared" ca="1" si="2"/>
        <v>0</v>
      </c>
      <c r="AE22" s="4">
        <f t="shared" ca="1" si="3"/>
        <v>15633.302106505802</v>
      </c>
      <c r="AF22" s="3" t="s">
        <v>775</v>
      </c>
    </row>
    <row r="23" spans="1:32" ht="11.25" customHeight="1" x14ac:dyDescent="0.3">
      <c r="A23" s="3" t="s">
        <v>21</v>
      </c>
      <c r="B23" s="3" t="s">
        <v>39</v>
      </c>
      <c r="C23" s="3" t="s">
        <v>56</v>
      </c>
      <c r="D23" s="3" t="s">
        <v>25</v>
      </c>
      <c r="E23" s="3" t="s">
        <v>25</v>
      </c>
      <c r="F23" s="3" t="s">
        <v>57</v>
      </c>
      <c r="G23" s="3" t="s">
        <v>58</v>
      </c>
      <c r="H23" s="3" t="s">
        <v>25</v>
      </c>
      <c r="I23" s="6">
        <v>44652</v>
      </c>
      <c r="J23" s="4">
        <v>0</v>
      </c>
      <c r="K23" s="18">
        <f>J23*(1-SUMIFS(CUSTOS!$T$40:$T$100,CUSTOS!$O$40:$O$100,SUBSIDIO!G23,CUSTOS!$S$40:$S$100,SUBSIDIO!B23,CUSTOS!$R$40:$R$100,"Potência"))</f>
        <v>0</v>
      </c>
      <c r="L23" s="4">
        <v>0</v>
      </c>
      <c r="M23" s="18">
        <f>L23*(1-SUMIFS(CUSTOS!$T$40:$T$100,CUSTOS!$O$40:$O$100,SUBSIDIO!G23,CUSTOS!$S$40:$S$100,SUBSIDIO!B23,CUSTOS!$R$40:$R$100,"Potência"))</f>
        <v>0</v>
      </c>
      <c r="N23" s="4">
        <v>444.86500000000001</v>
      </c>
      <c r="O23" s="18">
        <f>N23*(1-SUMIFS(CUSTOS!$T$40:$T$100,CUSTOS!$O$40:$O$100,SUBSIDIO!G23,CUSTOS!$S$40:$S$100,SUBSIDIO!B23,CUSTOS!$R$40:$R$100,"Energia"))</f>
        <v>381.42725099999996</v>
      </c>
      <c r="P23" s="4">
        <v>0</v>
      </c>
      <c r="Q23" s="3" t="s">
        <v>59</v>
      </c>
      <c r="R23" s="3">
        <v>5343</v>
      </c>
      <c r="S23" s="3">
        <v>0</v>
      </c>
      <c r="T23" s="3">
        <v>0</v>
      </c>
      <c r="U23" s="3">
        <v>54</v>
      </c>
      <c r="V23" s="4">
        <f>IF(ISERROR(VLOOKUP($S$23,'TAR FIN'!$A$1:$O$91,15,0)),0,VLOOKUP($S$23,'TAR FIN'!$A$1:$O$91,15,0))</f>
        <v>0</v>
      </c>
      <c r="W23" s="4">
        <f>IF(ISERROR(VLOOKUP($T$23,'TAR FIN'!$A$1:$O$91,15,0)),0,VLOOKUP($T$23,'TAR FIN'!$A$1:$O$91,15,0))</f>
        <v>0</v>
      </c>
      <c r="X23" s="4">
        <f>IF(ISERROR(VLOOKUP($U$23,'TAR FIN'!$A$1:$O$91,15,0)),0,VLOOKUP($U$23,'TAR FIN'!$A$1:$O$91,15,0))</f>
        <v>215.96</v>
      </c>
      <c r="Y23" s="4">
        <f ca="1">0.72*('TUSD BE'!$AM$9+'TUSD BF'!$AM$9+'TUSD CVA'!$AM$9)*1+('TUSD BE'!$AM$10+'TUSD BF'!$AM$10+'TUSD CVA'!$AM$10)*1</f>
        <v>54.216386816965695</v>
      </c>
      <c r="Z23" s="4">
        <f ca="1">('TUSD BE'!$AM$11+'TUSD BF'!$AM$11+'TUSD CVA'!$AM$11)*1</f>
        <v>11.103927165111529</v>
      </c>
      <c r="AA23" s="4">
        <f>('TE BE'!$AB$9+'TE BF'!$AB$9+'TE CVA'!$AB$9)*1</f>
        <v>233.70080441251889</v>
      </c>
      <c r="AB23" s="4">
        <f t="shared" si="0"/>
        <v>0</v>
      </c>
      <c r="AC23" s="4">
        <f t="shared" si="1"/>
        <v>13700.016274040012</v>
      </c>
      <c r="AD23" s="4">
        <f t="shared" ca="1" si="2"/>
        <v>0</v>
      </c>
      <c r="AE23" s="4">
        <f t="shared" ca="1" si="3"/>
        <v>14825.452971419478</v>
      </c>
      <c r="AF23" s="3" t="s">
        <v>775</v>
      </c>
    </row>
    <row r="24" spans="1:32" ht="11.25" customHeight="1" x14ac:dyDescent="0.3">
      <c r="A24" s="3" t="s">
        <v>21</v>
      </c>
      <c r="B24" s="3" t="s">
        <v>39</v>
      </c>
      <c r="C24" s="3" t="s">
        <v>56</v>
      </c>
      <c r="D24" s="3" t="s">
        <v>25</v>
      </c>
      <c r="E24" s="3" t="s">
        <v>25</v>
      </c>
      <c r="F24" s="3" t="s">
        <v>57</v>
      </c>
      <c r="G24" s="3" t="s">
        <v>58</v>
      </c>
      <c r="H24" s="3" t="s">
        <v>25</v>
      </c>
      <c r="I24" s="6">
        <v>44682</v>
      </c>
      <c r="J24" s="4">
        <v>0</v>
      </c>
      <c r="K24" s="18">
        <f>J24*(1-SUMIFS(CUSTOS!$T$40:$T$100,CUSTOS!$O$40:$O$100,SUBSIDIO!G24,CUSTOS!$S$40:$S$100,SUBSIDIO!B24,CUSTOS!$R$40:$R$100,"Potência"))</f>
        <v>0</v>
      </c>
      <c r="L24" s="4">
        <v>0</v>
      </c>
      <c r="M24" s="18">
        <f>L24*(1-SUMIFS(CUSTOS!$T$40:$T$100,CUSTOS!$O$40:$O$100,SUBSIDIO!G24,CUSTOS!$S$40:$S$100,SUBSIDIO!B24,CUSTOS!$R$40:$R$100,"Potência"))</f>
        <v>0</v>
      </c>
      <c r="N24" s="4">
        <v>398.43</v>
      </c>
      <c r="O24" s="18">
        <f>N24*(1-SUMIFS(CUSTOS!$T$40:$T$100,CUSTOS!$O$40:$O$100,SUBSIDIO!G24,CUSTOS!$S$40:$S$100,SUBSIDIO!B24,CUSTOS!$R$40:$R$100,"Energia"))</f>
        <v>341.61388199999999</v>
      </c>
      <c r="P24" s="4">
        <v>0</v>
      </c>
      <c r="Q24" s="3" t="s">
        <v>59</v>
      </c>
      <c r="R24" s="3">
        <v>5343</v>
      </c>
      <c r="S24" s="3">
        <v>0</v>
      </c>
      <c r="T24" s="3">
        <v>0</v>
      </c>
      <c r="U24" s="3">
        <v>54</v>
      </c>
      <c r="V24" s="4">
        <f>IF(ISERROR(VLOOKUP($S$24,'TAR FIN'!$A$1:$O$91,15,0)),0,VLOOKUP($S$24,'TAR FIN'!$A$1:$O$91,15,0))</f>
        <v>0</v>
      </c>
      <c r="W24" s="4">
        <f>IF(ISERROR(VLOOKUP($T$24,'TAR FIN'!$A$1:$O$91,15,0)),0,VLOOKUP($T$24,'TAR FIN'!$A$1:$O$91,15,0))</f>
        <v>0</v>
      </c>
      <c r="X24" s="4">
        <f>IF(ISERROR(VLOOKUP($U$24,'TAR FIN'!$A$1:$O$91,15,0)),0,VLOOKUP($U$24,'TAR FIN'!$A$1:$O$91,15,0))</f>
        <v>215.96</v>
      </c>
      <c r="Y24" s="4">
        <f ca="1">0.72*('TUSD BE'!$AM$9+'TUSD BF'!$AM$9+'TUSD CVA'!$AM$9)*1+('TUSD BE'!$AM$10+'TUSD BF'!$AM$10+'TUSD CVA'!$AM$10)*1</f>
        <v>54.216386816965695</v>
      </c>
      <c r="Z24" s="4">
        <f ca="1">('TUSD BE'!$AM$11+'TUSD BF'!$AM$11+'TUSD CVA'!$AM$11)*1</f>
        <v>11.103927165111529</v>
      </c>
      <c r="AA24" s="4">
        <f>('TE BE'!$AB$9+'TE BF'!$AB$9+'TE CVA'!$AB$9)*1</f>
        <v>233.70080441251889</v>
      </c>
      <c r="AB24" s="4">
        <f t="shared" si="0"/>
        <v>0</v>
      </c>
      <c r="AC24" s="4">
        <f t="shared" si="1"/>
        <v>12270.008843280004</v>
      </c>
      <c r="AD24" s="4">
        <f t="shared" ca="1" si="2"/>
        <v>0</v>
      </c>
      <c r="AE24" s="4">
        <f t="shared" ca="1" si="3"/>
        <v>13277.972480196599</v>
      </c>
      <c r="AF24" s="3" t="s">
        <v>775</v>
      </c>
    </row>
    <row r="25" spans="1:32" ht="11.25" customHeight="1" x14ac:dyDescent="0.3">
      <c r="A25" s="3" t="s">
        <v>21</v>
      </c>
      <c r="B25" s="3" t="s">
        <v>39</v>
      </c>
      <c r="C25" s="3" t="s">
        <v>56</v>
      </c>
      <c r="D25" s="3" t="s">
        <v>25</v>
      </c>
      <c r="E25" s="3" t="s">
        <v>25</v>
      </c>
      <c r="F25" s="3" t="s">
        <v>57</v>
      </c>
      <c r="G25" s="3" t="s">
        <v>58</v>
      </c>
      <c r="H25" s="3" t="s">
        <v>25</v>
      </c>
      <c r="I25" s="6">
        <v>44713</v>
      </c>
      <c r="J25" s="4">
        <v>0</v>
      </c>
      <c r="K25" s="18">
        <f>J25*(1-SUMIFS(CUSTOS!$T$40:$T$100,CUSTOS!$O$40:$O$100,SUBSIDIO!G25,CUSTOS!$S$40:$S$100,SUBSIDIO!B25,CUSTOS!$R$40:$R$100,"Potência"))</f>
        <v>0</v>
      </c>
      <c r="L25" s="4">
        <v>0</v>
      </c>
      <c r="M25" s="18">
        <f>L25*(1-SUMIFS(CUSTOS!$T$40:$T$100,CUSTOS!$O$40:$O$100,SUBSIDIO!G25,CUSTOS!$S$40:$S$100,SUBSIDIO!B25,CUSTOS!$R$40:$R$100,"Potência"))</f>
        <v>0</v>
      </c>
      <c r="N25" s="4">
        <v>404.363</v>
      </c>
      <c r="O25" s="18">
        <f>N25*(1-SUMIFS(CUSTOS!$T$40:$T$100,CUSTOS!$O$40:$O$100,SUBSIDIO!G25,CUSTOS!$S$40:$S$100,SUBSIDIO!B25,CUSTOS!$R$40:$R$100,"Energia"))</f>
        <v>346.70083619999997</v>
      </c>
      <c r="P25" s="4">
        <v>0</v>
      </c>
      <c r="Q25" s="3" t="s">
        <v>59</v>
      </c>
      <c r="R25" s="3">
        <v>5343</v>
      </c>
      <c r="S25" s="3">
        <v>0</v>
      </c>
      <c r="T25" s="3">
        <v>0</v>
      </c>
      <c r="U25" s="3">
        <v>54</v>
      </c>
      <c r="V25" s="4">
        <f>IF(ISERROR(VLOOKUP($S$25,'TAR FIN'!$A$1:$O$91,15,0)),0,VLOOKUP($S$25,'TAR FIN'!$A$1:$O$91,15,0))</f>
        <v>0</v>
      </c>
      <c r="W25" s="4">
        <f>IF(ISERROR(VLOOKUP($T$25,'TAR FIN'!$A$1:$O$91,15,0)),0,VLOOKUP($T$25,'TAR FIN'!$A$1:$O$91,15,0))</f>
        <v>0</v>
      </c>
      <c r="X25" s="4">
        <f>IF(ISERROR(VLOOKUP($U$25,'TAR FIN'!$A$1:$O$91,15,0)),0,VLOOKUP($U$25,'TAR FIN'!$A$1:$O$91,15,0))</f>
        <v>215.96</v>
      </c>
      <c r="Y25" s="4">
        <f ca="1">0.72*('TUSD BE'!$AM$9+'TUSD BF'!$AM$9+'TUSD CVA'!$AM$9)*1+('TUSD BE'!$AM$10+'TUSD BF'!$AM$10+'TUSD CVA'!$AM$10)*1</f>
        <v>54.216386816965695</v>
      </c>
      <c r="Z25" s="4">
        <f ca="1">('TUSD BE'!$AM$11+'TUSD BF'!$AM$11+'TUSD CVA'!$AM$11)*1</f>
        <v>11.103927165111529</v>
      </c>
      <c r="AA25" s="4">
        <f>('TE BE'!$AB$9+'TE BF'!$AB$9+'TE CVA'!$AB$9)*1</f>
        <v>233.70080441251889</v>
      </c>
      <c r="AB25" s="4">
        <f t="shared" si="0"/>
        <v>0</v>
      </c>
      <c r="AC25" s="4">
        <f t="shared" si="1"/>
        <v>12452.720894248007</v>
      </c>
      <c r="AD25" s="4">
        <f t="shared" ca="1" si="2"/>
        <v>0</v>
      </c>
      <c r="AE25" s="4">
        <f t="shared" ca="1" si="3"/>
        <v>13475.694064226434</v>
      </c>
      <c r="AF25" s="3" t="s">
        <v>775</v>
      </c>
    </row>
    <row r="26" spans="1:32" ht="11.25" customHeight="1" x14ac:dyDescent="0.3">
      <c r="A26" s="3" t="s">
        <v>21</v>
      </c>
      <c r="B26" s="3" t="s">
        <v>39</v>
      </c>
      <c r="C26" s="3" t="s">
        <v>56</v>
      </c>
      <c r="D26" s="3" t="s">
        <v>25</v>
      </c>
      <c r="E26" s="3" t="s">
        <v>25</v>
      </c>
      <c r="F26" s="3" t="s">
        <v>57</v>
      </c>
      <c r="G26" s="3" t="s">
        <v>58</v>
      </c>
      <c r="H26" s="3" t="s">
        <v>34</v>
      </c>
      <c r="I26" s="6">
        <v>44378</v>
      </c>
      <c r="J26" s="4">
        <v>1074</v>
      </c>
      <c r="K26" s="18">
        <f>J26*(1-SUMIFS(CUSTOS!$T$40:$T$100,CUSTOS!$O$40:$O$100,SUBSIDIO!G26,CUSTOS!$S$40:$S$100,SUBSIDIO!B26,CUSTOS!$R$40:$R$100,"Potência"))</f>
        <v>1074</v>
      </c>
      <c r="L26" s="4">
        <v>50.149000000000001</v>
      </c>
      <c r="M26" s="18">
        <f>L26*(1-SUMIFS(CUSTOS!$T$40:$T$100,CUSTOS!$O$40:$O$100,SUBSIDIO!G26,CUSTOS!$S$40:$S$100,SUBSIDIO!B26,CUSTOS!$R$40:$R$100,"Potência"))</f>
        <v>50.149000000000001</v>
      </c>
      <c r="N26" s="4">
        <v>0</v>
      </c>
      <c r="O26" s="18">
        <f>N26*(1-SUMIFS(CUSTOS!$T$40:$T$100,CUSTOS!$O$40:$O$100,SUBSIDIO!G26,CUSTOS!$S$40:$S$100,SUBSIDIO!B26,CUSTOS!$R$40:$R$100,"Energia"))</f>
        <v>0</v>
      </c>
      <c r="P26" s="4">
        <v>0</v>
      </c>
      <c r="Q26" s="3" t="s">
        <v>59</v>
      </c>
      <c r="R26" s="3">
        <v>5343</v>
      </c>
      <c r="S26" s="3">
        <v>5</v>
      </c>
      <c r="T26" s="3">
        <v>7</v>
      </c>
      <c r="U26" s="3">
        <v>0</v>
      </c>
      <c r="V26" s="4">
        <f>IF(ISERROR(VLOOKUP($S$26,'TAR FIN'!$A$1:$O$91,15,0)),0,VLOOKUP($S$26,'TAR FIN'!$A$1:$O$91,15,0))</f>
        <v>23.23</v>
      </c>
      <c r="W26" s="4">
        <f>IF(ISERROR(VLOOKUP($T$26,'TAR FIN'!$A$1:$O$91,15,0)),0,VLOOKUP($T$26,'TAR FIN'!$A$1:$O$91,15,0))</f>
        <v>12.96</v>
      </c>
      <c r="X26" s="4">
        <f>IF(ISERROR(VLOOKUP($U$26,'TAR FIN'!$A$1:$O$91,15,0)),0,VLOOKUP($U$26,'TAR FIN'!$A$1:$O$91,15,0))</f>
        <v>0</v>
      </c>
      <c r="Y26" s="4">
        <f ca="1">('TUSD BE'!$AM$9+'TUSD BF'!$AM$9+'TUSD CVA'!$AM$9)*1</f>
        <v>42.217604655437526</v>
      </c>
      <c r="Z26" s="4">
        <f ca="1">('TUSD BE'!$AM$11+'TUSD BF'!$AM$11+'TUSD CVA'!$AM$11)*1</f>
        <v>11.103927165111529</v>
      </c>
      <c r="AA26" s="4">
        <f>('TE BE'!$AB$9+'TE BF'!$AB$9+'TE CVA'!$AB$9)*1</f>
        <v>233.70080441251889</v>
      </c>
      <c r="AB26" s="4">
        <f t="shared" si="0"/>
        <v>0</v>
      </c>
      <c r="AC26" s="4">
        <f t="shared" si="1"/>
        <v>0</v>
      </c>
      <c r="AD26" s="4">
        <f t="shared" ca="1" si="2"/>
        <v>0</v>
      </c>
      <c r="AE26" s="4">
        <f t="shared" ca="1" si="3"/>
        <v>0</v>
      </c>
      <c r="AF26" s="3" t="s">
        <v>775</v>
      </c>
    </row>
    <row r="27" spans="1:32" ht="11.25" customHeight="1" x14ac:dyDescent="0.3">
      <c r="A27" s="3" t="s">
        <v>21</v>
      </c>
      <c r="B27" s="3" t="s">
        <v>39</v>
      </c>
      <c r="C27" s="3" t="s">
        <v>56</v>
      </c>
      <c r="D27" s="3" t="s">
        <v>25</v>
      </c>
      <c r="E27" s="3" t="s">
        <v>25</v>
      </c>
      <c r="F27" s="3" t="s">
        <v>57</v>
      </c>
      <c r="G27" s="3" t="s">
        <v>58</v>
      </c>
      <c r="H27" s="3" t="s">
        <v>34</v>
      </c>
      <c r="I27" s="6">
        <v>44409</v>
      </c>
      <c r="J27" s="4">
        <v>1206</v>
      </c>
      <c r="K27" s="18">
        <f>J27*(1-SUMIFS(CUSTOS!$T$40:$T$100,CUSTOS!$O$40:$O$100,SUBSIDIO!G27,CUSTOS!$S$40:$S$100,SUBSIDIO!B27,CUSTOS!$R$40:$R$100,"Potência"))</f>
        <v>1206</v>
      </c>
      <c r="L27" s="4">
        <v>53.573</v>
      </c>
      <c r="M27" s="18">
        <f>L27*(1-SUMIFS(CUSTOS!$T$40:$T$100,CUSTOS!$O$40:$O$100,SUBSIDIO!G27,CUSTOS!$S$40:$S$100,SUBSIDIO!B27,CUSTOS!$R$40:$R$100,"Potência"))</f>
        <v>53.573</v>
      </c>
      <c r="N27" s="4">
        <v>0</v>
      </c>
      <c r="O27" s="18">
        <f>N27*(1-SUMIFS(CUSTOS!$T$40:$T$100,CUSTOS!$O$40:$O$100,SUBSIDIO!G27,CUSTOS!$S$40:$S$100,SUBSIDIO!B27,CUSTOS!$R$40:$R$100,"Energia"))</f>
        <v>0</v>
      </c>
      <c r="P27" s="4">
        <v>0</v>
      </c>
      <c r="Q27" s="3" t="s">
        <v>59</v>
      </c>
      <c r="R27" s="3">
        <v>5343</v>
      </c>
      <c r="S27" s="3">
        <v>5</v>
      </c>
      <c r="T27" s="3">
        <v>7</v>
      </c>
      <c r="U27" s="3">
        <v>0</v>
      </c>
      <c r="V27" s="4">
        <f>IF(ISERROR(VLOOKUP($S$27,'TAR FIN'!$A$1:$O$91,15,0)),0,VLOOKUP($S$27,'TAR FIN'!$A$1:$O$91,15,0))</f>
        <v>23.23</v>
      </c>
      <c r="W27" s="4">
        <f>IF(ISERROR(VLOOKUP($T$27,'TAR FIN'!$A$1:$O$91,15,0)),0,VLOOKUP($T$27,'TAR FIN'!$A$1:$O$91,15,0))</f>
        <v>12.96</v>
      </c>
      <c r="X27" s="4">
        <f>IF(ISERROR(VLOOKUP($U$27,'TAR FIN'!$A$1:$O$91,15,0)),0,VLOOKUP($U$27,'TAR FIN'!$A$1:$O$91,15,0))</f>
        <v>0</v>
      </c>
      <c r="Y27" s="4">
        <f ca="1">('TUSD BE'!$AM$9+'TUSD BF'!$AM$9+'TUSD CVA'!$AM$9)*1</f>
        <v>42.217604655437526</v>
      </c>
      <c r="Z27" s="4">
        <f ca="1">('TUSD BE'!$AM$11+'TUSD BF'!$AM$11+'TUSD CVA'!$AM$11)*1</f>
        <v>11.103927165111529</v>
      </c>
      <c r="AA27" s="4">
        <f>('TE BE'!$AB$9+'TE BF'!$AB$9+'TE CVA'!$AB$9)*1</f>
        <v>233.70080441251889</v>
      </c>
      <c r="AB27" s="4">
        <f t="shared" si="0"/>
        <v>0</v>
      </c>
      <c r="AC27" s="4">
        <f t="shared" si="1"/>
        <v>0</v>
      </c>
      <c r="AD27" s="4">
        <f t="shared" ca="1" si="2"/>
        <v>0</v>
      </c>
      <c r="AE27" s="4">
        <f t="shared" ca="1" si="3"/>
        <v>0</v>
      </c>
      <c r="AF27" s="3" t="s">
        <v>775</v>
      </c>
    </row>
    <row r="28" spans="1:32" ht="11.25" customHeight="1" x14ac:dyDescent="0.3">
      <c r="A28" s="3" t="s">
        <v>21</v>
      </c>
      <c r="B28" s="3" t="s">
        <v>39</v>
      </c>
      <c r="C28" s="3" t="s">
        <v>56</v>
      </c>
      <c r="D28" s="3" t="s">
        <v>25</v>
      </c>
      <c r="E28" s="3" t="s">
        <v>25</v>
      </c>
      <c r="F28" s="3" t="s">
        <v>57</v>
      </c>
      <c r="G28" s="3" t="s">
        <v>58</v>
      </c>
      <c r="H28" s="3" t="s">
        <v>34</v>
      </c>
      <c r="I28" s="6">
        <v>44440</v>
      </c>
      <c r="J28" s="4">
        <v>1022</v>
      </c>
      <c r="K28" s="18">
        <f>J28*(1-SUMIFS(CUSTOS!$T$40:$T$100,CUSTOS!$O$40:$O$100,SUBSIDIO!G28,CUSTOS!$S$40:$S$100,SUBSIDIO!B28,CUSTOS!$R$40:$R$100,"Potência"))</f>
        <v>1022</v>
      </c>
      <c r="L28" s="4">
        <v>46.192</v>
      </c>
      <c r="M28" s="18">
        <f>L28*(1-SUMIFS(CUSTOS!$T$40:$T$100,CUSTOS!$O$40:$O$100,SUBSIDIO!G28,CUSTOS!$S$40:$S$100,SUBSIDIO!B28,CUSTOS!$R$40:$R$100,"Potência"))</f>
        <v>46.192</v>
      </c>
      <c r="N28" s="4">
        <v>0</v>
      </c>
      <c r="O28" s="18">
        <f>N28*(1-SUMIFS(CUSTOS!$T$40:$T$100,CUSTOS!$O$40:$O$100,SUBSIDIO!G28,CUSTOS!$S$40:$S$100,SUBSIDIO!B28,CUSTOS!$R$40:$R$100,"Energia"))</f>
        <v>0</v>
      </c>
      <c r="P28" s="4">
        <v>0</v>
      </c>
      <c r="Q28" s="3" t="s">
        <v>59</v>
      </c>
      <c r="R28" s="3">
        <v>5343</v>
      </c>
      <c r="S28" s="3">
        <v>5</v>
      </c>
      <c r="T28" s="3">
        <v>7</v>
      </c>
      <c r="U28" s="3">
        <v>0</v>
      </c>
      <c r="V28" s="4">
        <f>IF(ISERROR(VLOOKUP($S$28,'TAR FIN'!$A$1:$O$91,15,0)),0,VLOOKUP($S$28,'TAR FIN'!$A$1:$O$91,15,0))</f>
        <v>23.23</v>
      </c>
      <c r="W28" s="4">
        <f>IF(ISERROR(VLOOKUP($T$28,'TAR FIN'!$A$1:$O$91,15,0)),0,VLOOKUP($T$28,'TAR FIN'!$A$1:$O$91,15,0))</f>
        <v>12.96</v>
      </c>
      <c r="X28" s="4">
        <f>IF(ISERROR(VLOOKUP($U$28,'TAR FIN'!$A$1:$O$91,15,0)),0,VLOOKUP($U$28,'TAR FIN'!$A$1:$O$91,15,0))</f>
        <v>0</v>
      </c>
      <c r="Y28" s="4">
        <f ca="1">('TUSD BE'!$AM$9+'TUSD BF'!$AM$9+'TUSD CVA'!$AM$9)*1</f>
        <v>42.217604655437526</v>
      </c>
      <c r="Z28" s="4">
        <f ca="1">('TUSD BE'!$AM$11+'TUSD BF'!$AM$11+'TUSD CVA'!$AM$11)*1</f>
        <v>11.103927165111529</v>
      </c>
      <c r="AA28" s="4">
        <f>('TE BE'!$AB$9+'TE BF'!$AB$9+'TE CVA'!$AB$9)*1</f>
        <v>233.70080441251889</v>
      </c>
      <c r="AB28" s="4">
        <f t="shared" si="0"/>
        <v>0</v>
      </c>
      <c r="AC28" s="4">
        <f t="shared" si="1"/>
        <v>0</v>
      </c>
      <c r="AD28" s="4">
        <f t="shared" ca="1" si="2"/>
        <v>0</v>
      </c>
      <c r="AE28" s="4">
        <f t="shared" ca="1" si="3"/>
        <v>0</v>
      </c>
      <c r="AF28" s="3" t="s">
        <v>775</v>
      </c>
    </row>
    <row r="29" spans="1:32" ht="11.25" customHeight="1" x14ac:dyDescent="0.3">
      <c r="A29" s="3" t="s">
        <v>21</v>
      </c>
      <c r="B29" s="3" t="s">
        <v>39</v>
      </c>
      <c r="C29" s="3" t="s">
        <v>56</v>
      </c>
      <c r="D29" s="3" t="s">
        <v>25</v>
      </c>
      <c r="E29" s="3" t="s">
        <v>25</v>
      </c>
      <c r="F29" s="3" t="s">
        <v>57</v>
      </c>
      <c r="G29" s="3" t="s">
        <v>58</v>
      </c>
      <c r="H29" s="3" t="s">
        <v>34</v>
      </c>
      <c r="I29" s="6">
        <v>44470</v>
      </c>
      <c r="J29" s="4">
        <v>1327</v>
      </c>
      <c r="K29" s="18">
        <f>J29*(1-SUMIFS(CUSTOS!$T$40:$T$100,CUSTOS!$O$40:$O$100,SUBSIDIO!G29,CUSTOS!$S$40:$S$100,SUBSIDIO!B29,CUSTOS!$R$40:$R$100,"Potência"))</f>
        <v>1327</v>
      </c>
      <c r="L29" s="4">
        <v>47.36</v>
      </c>
      <c r="M29" s="18">
        <f>L29*(1-SUMIFS(CUSTOS!$T$40:$T$100,CUSTOS!$O$40:$O$100,SUBSIDIO!G29,CUSTOS!$S$40:$S$100,SUBSIDIO!B29,CUSTOS!$R$40:$R$100,"Potência"))</f>
        <v>47.36</v>
      </c>
      <c r="N29" s="4">
        <v>0</v>
      </c>
      <c r="O29" s="18">
        <f>N29*(1-SUMIFS(CUSTOS!$T$40:$T$100,CUSTOS!$O$40:$O$100,SUBSIDIO!G29,CUSTOS!$S$40:$S$100,SUBSIDIO!B29,CUSTOS!$R$40:$R$100,"Energia"))</f>
        <v>0</v>
      </c>
      <c r="P29" s="4">
        <v>0</v>
      </c>
      <c r="Q29" s="3" t="s">
        <v>59</v>
      </c>
      <c r="R29" s="3">
        <v>5343</v>
      </c>
      <c r="S29" s="3">
        <v>5</v>
      </c>
      <c r="T29" s="3">
        <v>7</v>
      </c>
      <c r="U29" s="3">
        <v>0</v>
      </c>
      <c r="V29" s="4">
        <f>IF(ISERROR(VLOOKUP($S$29,'TAR FIN'!$A$1:$O$91,15,0)),0,VLOOKUP($S$29,'TAR FIN'!$A$1:$O$91,15,0))</f>
        <v>23.23</v>
      </c>
      <c r="W29" s="4">
        <f>IF(ISERROR(VLOOKUP($T$29,'TAR FIN'!$A$1:$O$91,15,0)),0,VLOOKUP($T$29,'TAR FIN'!$A$1:$O$91,15,0))</f>
        <v>12.96</v>
      </c>
      <c r="X29" s="4">
        <f>IF(ISERROR(VLOOKUP($U$29,'TAR FIN'!$A$1:$O$91,15,0)),0,VLOOKUP($U$29,'TAR FIN'!$A$1:$O$91,15,0))</f>
        <v>0</v>
      </c>
      <c r="Y29" s="4">
        <f ca="1">('TUSD BE'!$AM$9+'TUSD BF'!$AM$9+'TUSD CVA'!$AM$9)*1</f>
        <v>42.217604655437526</v>
      </c>
      <c r="Z29" s="4">
        <f ca="1">('TUSD BE'!$AM$11+'TUSD BF'!$AM$11+'TUSD CVA'!$AM$11)*1</f>
        <v>11.103927165111529</v>
      </c>
      <c r="AA29" s="4">
        <f>('TE BE'!$AB$9+'TE BF'!$AB$9+'TE CVA'!$AB$9)*1</f>
        <v>233.70080441251889</v>
      </c>
      <c r="AB29" s="4">
        <f t="shared" si="0"/>
        <v>0</v>
      </c>
      <c r="AC29" s="4">
        <f t="shared" si="1"/>
        <v>0</v>
      </c>
      <c r="AD29" s="4">
        <f t="shared" ca="1" si="2"/>
        <v>0</v>
      </c>
      <c r="AE29" s="4">
        <f t="shared" ca="1" si="3"/>
        <v>0</v>
      </c>
      <c r="AF29" s="3" t="s">
        <v>775</v>
      </c>
    </row>
    <row r="30" spans="1:32" ht="11.25" customHeight="1" x14ac:dyDescent="0.3">
      <c r="A30" s="3" t="s">
        <v>21</v>
      </c>
      <c r="B30" s="3" t="s">
        <v>39</v>
      </c>
      <c r="C30" s="3" t="s">
        <v>56</v>
      </c>
      <c r="D30" s="3" t="s">
        <v>25</v>
      </c>
      <c r="E30" s="3" t="s">
        <v>25</v>
      </c>
      <c r="F30" s="3" t="s">
        <v>57</v>
      </c>
      <c r="G30" s="3" t="s">
        <v>58</v>
      </c>
      <c r="H30" s="3" t="s">
        <v>34</v>
      </c>
      <c r="I30" s="6">
        <v>44501</v>
      </c>
      <c r="J30" s="4">
        <v>1479</v>
      </c>
      <c r="K30" s="18">
        <f>J30*(1-SUMIFS(CUSTOS!$T$40:$T$100,CUSTOS!$O$40:$O$100,SUBSIDIO!G30,CUSTOS!$S$40:$S$100,SUBSIDIO!B30,CUSTOS!$R$40:$R$100,"Potência"))</f>
        <v>1479</v>
      </c>
      <c r="L30" s="4">
        <v>59.170999999999999</v>
      </c>
      <c r="M30" s="18">
        <f>L30*(1-SUMIFS(CUSTOS!$T$40:$T$100,CUSTOS!$O$40:$O$100,SUBSIDIO!G30,CUSTOS!$S$40:$S$100,SUBSIDIO!B30,CUSTOS!$R$40:$R$100,"Potência"))</f>
        <v>59.170999999999999</v>
      </c>
      <c r="N30" s="4">
        <v>0</v>
      </c>
      <c r="O30" s="18">
        <f>N30*(1-SUMIFS(CUSTOS!$T$40:$T$100,CUSTOS!$O$40:$O$100,SUBSIDIO!G30,CUSTOS!$S$40:$S$100,SUBSIDIO!B30,CUSTOS!$R$40:$R$100,"Energia"))</f>
        <v>0</v>
      </c>
      <c r="P30" s="4">
        <v>0</v>
      </c>
      <c r="Q30" s="3" t="s">
        <v>59</v>
      </c>
      <c r="R30" s="3">
        <v>5343</v>
      </c>
      <c r="S30" s="3">
        <v>5</v>
      </c>
      <c r="T30" s="3">
        <v>7</v>
      </c>
      <c r="U30" s="3">
        <v>0</v>
      </c>
      <c r="V30" s="4">
        <f>IF(ISERROR(VLOOKUP($S$30,'TAR FIN'!$A$1:$O$91,15,0)),0,VLOOKUP($S$30,'TAR FIN'!$A$1:$O$91,15,0))</f>
        <v>23.23</v>
      </c>
      <c r="W30" s="4">
        <f>IF(ISERROR(VLOOKUP($T$30,'TAR FIN'!$A$1:$O$91,15,0)),0,VLOOKUP($T$30,'TAR FIN'!$A$1:$O$91,15,0))</f>
        <v>12.96</v>
      </c>
      <c r="X30" s="4">
        <f>IF(ISERROR(VLOOKUP($U$30,'TAR FIN'!$A$1:$O$91,15,0)),0,VLOOKUP($U$30,'TAR FIN'!$A$1:$O$91,15,0))</f>
        <v>0</v>
      </c>
      <c r="Y30" s="4">
        <f ca="1">('TUSD BE'!$AM$9+'TUSD BF'!$AM$9+'TUSD CVA'!$AM$9)*1</f>
        <v>42.217604655437526</v>
      </c>
      <c r="Z30" s="4">
        <f ca="1">('TUSD BE'!$AM$11+'TUSD BF'!$AM$11+'TUSD CVA'!$AM$11)*1</f>
        <v>11.103927165111529</v>
      </c>
      <c r="AA30" s="4">
        <f>('TE BE'!$AB$9+'TE BF'!$AB$9+'TE CVA'!$AB$9)*1</f>
        <v>233.70080441251889</v>
      </c>
      <c r="AB30" s="4">
        <f t="shared" si="0"/>
        <v>0</v>
      </c>
      <c r="AC30" s="4">
        <f t="shared" si="1"/>
        <v>0</v>
      </c>
      <c r="AD30" s="4">
        <f t="shared" ca="1" si="2"/>
        <v>0</v>
      </c>
      <c r="AE30" s="4">
        <f t="shared" ca="1" si="3"/>
        <v>0</v>
      </c>
      <c r="AF30" s="3" t="s">
        <v>775</v>
      </c>
    </row>
    <row r="31" spans="1:32" ht="11.25" customHeight="1" x14ac:dyDescent="0.3">
      <c r="A31" s="3" t="s">
        <v>21</v>
      </c>
      <c r="B31" s="3" t="s">
        <v>39</v>
      </c>
      <c r="C31" s="3" t="s">
        <v>56</v>
      </c>
      <c r="D31" s="3" t="s">
        <v>25</v>
      </c>
      <c r="E31" s="3" t="s">
        <v>25</v>
      </c>
      <c r="F31" s="3" t="s">
        <v>57</v>
      </c>
      <c r="G31" s="3" t="s">
        <v>58</v>
      </c>
      <c r="H31" s="3" t="s">
        <v>34</v>
      </c>
      <c r="I31" s="6">
        <v>44531</v>
      </c>
      <c r="J31" s="4">
        <v>1755</v>
      </c>
      <c r="K31" s="18">
        <f>J31*(1-SUMIFS(CUSTOS!$T$40:$T$100,CUSTOS!$O$40:$O$100,SUBSIDIO!G31,CUSTOS!$S$40:$S$100,SUBSIDIO!B31,CUSTOS!$R$40:$R$100,"Potência"))</f>
        <v>1755</v>
      </c>
      <c r="L31" s="4">
        <v>78.418000000000006</v>
      </c>
      <c r="M31" s="18">
        <f>L31*(1-SUMIFS(CUSTOS!$T$40:$T$100,CUSTOS!$O$40:$O$100,SUBSIDIO!G31,CUSTOS!$S$40:$S$100,SUBSIDIO!B31,CUSTOS!$R$40:$R$100,"Potência"))</f>
        <v>78.418000000000006</v>
      </c>
      <c r="N31" s="4">
        <v>0</v>
      </c>
      <c r="O31" s="18">
        <f>N31*(1-SUMIFS(CUSTOS!$T$40:$T$100,CUSTOS!$O$40:$O$100,SUBSIDIO!G31,CUSTOS!$S$40:$S$100,SUBSIDIO!B31,CUSTOS!$R$40:$R$100,"Energia"))</f>
        <v>0</v>
      </c>
      <c r="P31" s="4">
        <v>0</v>
      </c>
      <c r="Q31" s="3" t="s">
        <v>59</v>
      </c>
      <c r="R31" s="3">
        <v>5343</v>
      </c>
      <c r="S31" s="3">
        <v>5</v>
      </c>
      <c r="T31" s="3">
        <v>7</v>
      </c>
      <c r="U31" s="3">
        <v>0</v>
      </c>
      <c r="V31" s="4">
        <f>IF(ISERROR(VLOOKUP($S$31,'TAR FIN'!$A$1:$O$91,15,0)),0,VLOOKUP($S$31,'TAR FIN'!$A$1:$O$91,15,0))</f>
        <v>23.23</v>
      </c>
      <c r="W31" s="4">
        <f>IF(ISERROR(VLOOKUP($T$31,'TAR FIN'!$A$1:$O$91,15,0)),0,VLOOKUP($T$31,'TAR FIN'!$A$1:$O$91,15,0))</f>
        <v>12.96</v>
      </c>
      <c r="X31" s="4">
        <f>IF(ISERROR(VLOOKUP($U$31,'TAR FIN'!$A$1:$O$91,15,0)),0,VLOOKUP($U$31,'TAR FIN'!$A$1:$O$91,15,0))</f>
        <v>0</v>
      </c>
      <c r="Y31" s="4">
        <f ca="1">('TUSD BE'!$AM$9+'TUSD BF'!$AM$9+'TUSD CVA'!$AM$9)*1</f>
        <v>42.217604655437526</v>
      </c>
      <c r="Z31" s="4">
        <f ca="1">('TUSD BE'!$AM$11+'TUSD BF'!$AM$11+'TUSD CVA'!$AM$11)*1</f>
        <v>11.103927165111529</v>
      </c>
      <c r="AA31" s="4">
        <f>('TE BE'!$AB$9+'TE BF'!$AB$9+'TE CVA'!$AB$9)*1</f>
        <v>233.70080441251889</v>
      </c>
      <c r="AB31" s="4">
        <f t="shared" si="0"/>
        <v>0</v>
      </c>
      <c r="AC31" s="4">
        <f t="shared" si="1"/>
        <v>0</v>
      </c>
      <c r="AD31" s="4">
        <f t="shared" ca="1" si="2"/>
        <v>0</v>
      </c>
      <c r="AE31" s="4">
        <f t="shared" ca="1" si="3"/>
        <v>0</v>
      </c>
      <c r="AF31" s="3" t="s">
        <v>775</v>
      </c>
    </row>
    <row r="32" spans="1:32" ht="11.25" customHeight="1" x14ac:dyDescent="0.3">
      <c r="A32" s="3" t="s">
        <v>21</v>
      </c>
      <c r="B32" s="3" t="s">
        <v>39</v>
      </c>
      <c r="C32" s="3" t="s">
        <v>56</v>
      </c>
      <c r="D32" s="3" t="s">
        <v>25</v>
      </c>
      <c r="E32" s="3" t="s">
        <v>25</v>
      </c>
      <c r="F32" s="3" t="s">
        <v>57</v>
      </c>
      <c r="G32" s="3" t="s">
        <v>58</v>
      </c>
      <c r="H32" s="3" t="s">
        <v>34</v>
      </c>
      <c r="I32" s="6">
        <v>44562</v>
      </c>
      <c r="J32" s="4">
        <v>2111</v>
      </c>
      <c r="K32" s="18">
        <f>J32*(1-SUMIFS(CUSTOS!$T$40:$T$100,CUSTOS!$O$40:$O$100,SUBSIDIO!G32,CUSTOS!$S$40:$S$100,SUBSIDIO!B32,CUSTOS!$R$40:$R$100,"Potência"))</f>
        <v>2111</v>
      </c>
      <c r="L32" s="4">
        <v>76.768000000000001</v>
      </c>
      <c r="M32" s="18">
        <f>L32*(1-SUMIFS(CUSTOS!$T$40:$T$100,CUSTOS!$O$40:$O$100,SUBSIDIO!G32,CUSTOS!$S$40:$S$100,SUBSIDIO!B32,CUSTOS!$R$40:$R$100,"Potência"))</f>
        <v>76.768000000000001</v>
      </c>
      <c r="N32" s="4">
        <v>0</v>
      </c>
      <c r="O32" s="18">
        <f>N32*(1-SUMIFS(CUSTOS!$T$40:$T$100,CUSTOS!$O$40:$O$100,SUBSIDIO!G32,CUSTOS!$S$40:$S$100,SUBSIDIO!B32,CUSTOS!$R$40:$R$100,"Energia"))</f>
        <v>0</v>
      </c>
      <c r="P32" s="4">
        <v>0</v>
      </c>
      <c r="Q32" s="3" t="s">
        <v>59</v>
      </c>
      <c r="R32" s="3">
        <v>5343</v>
      </c>
      <c r="S32" s="3">
        <v>5</v>
      </c>
      <c r="T32" s="3">
        <v>7</v>
      </c>
      <c r="U32" s="3">
        <v>0</v>
      </c>
      <c r="V32" s="4">
        <f>IF(ISERROR(VLOOKUP($S$32,'TAR FIN'!$A$1:$O$91,15,0)),0,VLOOKUP($S$32,'TAR FIN'!$A$1:$O$91,15,0))</f>
        <v>23.23</v>
      </c>
      <c r="W32" s="4">
        <f>IF(ISERROR(VLOOKUP($T$32,'TAR FIN'!$A$1:$O$91,15,0)),0,VLOOKUP($T$32,'TAR FIN'!$A$1:$O$91,15,0))</f>
        <v>12.96</v>
      </c>
      <c r="X32" s="4">
        <f>IF(ISERROR(VLOOKUP($U$32,'TAR FIN'!$A$1:$O$91,15,0)),0,VLOOKUP($U$32,'TAR FIN'!$A$1:$O$91,15,0))</f>
        <v>0</v>
      </c>
      <c r="Y32" s="4">
        <f ca="1">('TUSD BE'!$AM$9+'TUSD BF'!$AM$9+'TUSD CVA'!$AM$9)*1</f>
        <v>42.217604655437526</v>
      </c>
      <c r="Z32" s="4">
        <f ca="1">('TUSD BE'!$AM$11+'TUSD BF'!$AM$11+'TUSD CVA'!$AM$11)*1</f>
        <v>11.103927165111529</v>
      </c>
      <c r="AA32" s="4">
        <f>('TE BE'!$AB$9+'TE BF'!$AB$9+'TE CVA'!$AB$9)*1</f>
        <v>233.70080441251889</v>
      </c>
      <c r="AB32" s="4">
        <f t="shared" si="0"/>
        <v>0</v>
      </c>
      <c r="AC32" s="4">
        <f t="shared" si="1"/>
        <v>0</v>
      </c>
      <c r="AD32" s="4">
        <f t="shared" ca="1" si="2"/>
        <v>0</v>
      </c>
      <c r="AE32" s="4">
        <f t="shared" ca="1" si="3"/>
        <v>0</v>
      </c>
      <c r="AF32" s="3" t="s">
        <v>775</v>
      </c>
    </row>
    <row r="33" spans="1:32" ht="11.25" customHeight="1" x14ac:dyDescent="0.3">
      <c r="A33" s="3" t="s">
        <v>21</v>
      </c>
      <c r="B33" s="3" t="s">
        <v>39</v>
      </c>
      <c r="C33" s="3" t="s">
        <v>56</v>
      </c>
      <c r="D33" s="3" t="s">
        <v>25</v>
      </c>
      <c r="E33" s="3" t="s">
        <v>25</v>
      </c>
      <c r="F33" s="3" t="s">
        <v>57</v>
      </c>
      <c r="G33" s="3" t="s">
        <v>58</v>
      </c>
      <c r="H33" s="3" t="s">
        <v>34</v>
      </c>
      <c r="I33" s="6">
        <v>44593</v>
      </c>
      <c r="J33" s="4">
        <v>1529</v>
      </c>
      <c r="K33" s="18">
        <f>J33*(1-SUMIFS(CUSTOS!$T$40:$T$100,CUSTOS!$O$40:$O$100,SUBSIDIO!G33,CUSTOS!$S$40:$S$100,SUBSIDIO!B33,CUSTOS!$R$40:$R$100,"Potência"))</f>
        <v>1529</v>
      </c>
      <c r="L33" s="4">
        <v>60.723999999999997</v>
      </c>
      <c r="M33" s="18">
        <f>L33*(1-SUMIFS(CUSTOS!$T$40:$T$100,CUSTOS!$O$40:$O$100,SUBSIDIO!G33,CUSTOS!$S$40:$S$100,SUBSIDIO!B33,CUSTOS!$R$40:$R$100,"Potência"))</f>
        <v>60.723999999999997</v>
      </c>
      <c r="N33" s="4">
        <v>0</v>
      </c>
      <c r="O33" s="18">
        <f>N33*(1-SUMIFS(CUSTOS!$T$40:$T$100,CUSTOS!$O$40:$O$100,SUBSIDIO!G33,CUSTOS!$S$40:$S$100,SUBSIDIO!B33,CUSTOS!$R$40:$R$100,"Energia"))</f>
        <v>0</v>
      </c>
      <c r="P33" s="4">
        <v>0</v>
      </c>
      <c r="Q33" s="3" t="s">
        <v>59</v>
      </c>
      <c r="R33" s="3">
        <v>5343</v>
      </c>
      <c r="S33" s="3">
        <v>5</v>
      </c>
      <c r="T33" s="3">
        <v>7</v>
      </c>
      <c r="U33" s="3">
        <v>0</v>
      </c>
      <c r="V33" s="4">
        <f>IF(ISERROR(VLOOKUP($S$33,'TAR FIN'!$A$1:$O$91,15,0)),0,VLOOKUP($S$33,'TAR FIN'!$A$1:$O$91,15,0))</f>
        <v>23.23</v>
      </c>
      <c r="W33" s="4">
        <f>IF(ISERROR(VLOOKUP($T$33,'TAR FIN'!$A$1:$O$91,15,0)),0,VLOOKUP($T$33,'TAR FIN'!$A$1:$O$91,15,0))</f>
        <v>12.96</v>
      </c>
      <c r="X33" s="4">
        <f>IF(ISERROR(VLOOKUP($U$33,'TAR FIN'!$A$1:$O$91,15,0)),0,VLOOKUP($U$33,'TAR FIN'!$A$1:$O$91,15,0))</f>
        <v>0</v>
      </c>
      <c r="Y33" s="4">
        <f ca="1">('TUSD BE'!$AM$9+'TUSD BF'!$AM$9+'TUSD CVA'!$AM$9)*1</f>
        <v>42.217604655437526</v>
      </c>
      <c r="Z33" s="4">
        <f ca="1">('TUSD BE'!$AM$11+'TUSD BF'!$AM$11+'TUSD CVA'!$AM$11)*1</f>
        <v>11.103927165111529</v>
      </c>
      <c r="AA33" s="4">
        <f>('TE BE'!$AB$9+'TE BF'!$AB$9+'TE CVA'!$AB$9)*1</f>
        <v>233.70080441251889</v>
      </c>
      <c r="AB33" s="4">
        <f t="shared" si="0"/>
        <v>0</v>
      </c>
      <c r="AC33" s="4">
        <f t="shared" si="1"/>
        <v>0</v>
      </c>
      <c r="AD33" s="4">
        <f t="shared" ca="1" si="2"/>
        <v>0</v>
      </c>
      <c r="AE33" s="4">
        <f t="shared" ca="1" si="3"/>
        <v>0</v>
      </c>
      <c r="AF33" s="3" t="s">
        <v>775</v>
      </c>
    </row>
    <row r="34" spans="1:32" ht="11.25" customHeight="1" x14ac:dyDescent="0.3">
      <c r="A34" s="3" t="s">
        <v>21</v>
      </c>
      <c r="B34" s="3" t="s">
        <v>39</v>
      </c>
      <c r="C34" s="3" t="s">
        <v>56</v>
      </c>
      <c r="D34" s="3" t="s">
        <v>25</v>
      </c>
      <c r="E34" s="3" t="s">
        <v>25</v>
      </c>
      <c r="F34" s="3" t="s">
        <v>57</v>
      </c>
      <c r="G34" s="3" t="s">
        <v>58</v>
      </c>
      <c r="H34" s="3" t="s">
        <v>34</v>
      </c>
      <c r="I34" s="6">
        <v>44621</v>
      </c>
      <c r="J34" s="4">
        <v>1264</v>
      </c>
      <c r="K34" s="18">
        <f>J34*(1-SUMIFS(CUSTOS!$T$40:$T$100,CUSTOS!$O$40:$O$100,SUBSIDIO!G34,CUSTOS!$S$40:$S$100,SUBSIDIO!B34,CUSTOS!$R$40:$R$100,"Potência"))</f>
        <v>1264</v>
      </c>
      <c r="L34" s="4">
        <v>58.777000000000001</v>
      </c>
      <c r="M34" s="18">
        <f>L34*(1-SUMIFS(CUSTOS!$T$40:$T$100,CUSTOS!$O$40:$O$100,SUBSIDIO!G34,CUSTOS!$S$40:$S$100,SUBSIDIO!B34,CUSTOS!$R$40:$R$100,"Potência"))</f>
        <v>58.777000000000001</v>
      </c>
      <c r="N34" s="4">
        <v>0</v>
      </c>
      <c r="O34" s="18">
        <f>N34*(1-SUMIFS(CUSTOS!$T$40:$T$100,CUSTOS!$O$40:$O$100,SUBSIDIO!G34,CUSTOS!$S$40:$S$100,SUBSIDIO!B34,CUSTOS!$R$40:$R$100,"Energia"))</f>
        <v>0</v>
      </c>
      <c r="P34" s="4">
        <v>0</v>
      </c>
      <c r="Q34" s="3" t="s">
        <v>59</v>
      </c>
      <c r="R34" s="3">
        <v>5343</v>
      </c>
      <c r="S34" s="3">
        <v>5</v>
      </c>
      <c r="T34" s="3">
        <v>7</v>
      </c>
      <c r="U34" s="3">
        <v>0</v>
      </c>
      <c r="V34" s="4">
        <f>IF(ISERROR(VLOOKUP($S$34,'TAR FIN'!$A$1:$O$91,15,0)),0,VLOOKUP($S$34,'TAR FIN'!$A$1:$O$91,15,0))</f>
        <v>23.23</v>
      </c>
      <c r="W34" s="4">
        <f>IF(ISERROR(VLOOKUP($T$34,'TAR FIN'!$A$1:$O$91,15,0)),0,VLOOKUP($T$34,'TAR FIN'!$A$1:$O$91,15,0))</f>
        <v>12.96</v>
      </c>
      <c r="X34" s="4">
        <f>IF(ISERROR(VLOOKUP($U$34,'TAR FIN'!$A$1:$O$91,15,0)),0,VLOOKUP($U$34,'TAR FIN'!$A$1:$O$91,15,0))</f>
        <v>0</v>
      </c>
      <c r="Y34" s="4">
        <f ca="1">('TUSD BE'!$AM$9+'TUSD BF'!$AM$9+'TUSD CVA'!$AM$9)*1</f>
        <v>42.217604655437526</v>
      </c>
      <c r="Z34" s="4">
        <f ca="1">('TUSD BE'!$AM$11+'TUSD BF'!$AM$11+'TUSD CVA'!$AM$11)*1</f>
        <v>11.103927165111529</v>
      </c>
      <c r="AA34" s="4">
        <f>('TE BE'!$AB$9+'TE BF'!$AB$9+'TE CVA'!$AB$9)*1</f>
        <v>233.70080441251889</v>
      </c>
      <c r="AB34" s="4">
        <f t="shared" si="0"/>
        <v>0</v>
      </c>
      <c r="AC34" s="4">
        <f t="shared" ref="AC34:AC65" si="6">(L34-M34)*W34+(N34-O34)*X34</f>
        <v>0</v>
      </c>
      <c r="AD34" s="4">
        <f t="shared" ca="1" si="2"/>
        <v>0</v>
      </c>
      <c r="AE34" s="4">
        <f t="shared" ref="AE34:AE65" ca="1" si="7">(L34-M34)*Z34+(N34-O34)*AA34</f>
        <v>0</v>
      </c>
      <c r="AF34" s="3" t="s">
        <v>775</v>
      </c>
    </row>
    <row r="35" spans="1:32" ht="11.25" customHeight="1" x14ac:dyDescent="0.3">
      <c r="A35" s="3" t="s">
        <v>21</v>
      </c>
      <c r="B35" s="3" t="s">
        <v>39</v>
      </c>
      <c r="C35" s="3" t="s">
        <v>56</v>
      </c>
      <c r="D35" s="3" t="s">
        <v>25</v>
      </c>
      <c r="E35" s="3" t="s">
        <v>25</v>
      </c>
      <c r="F35" s="3" t="s">
        <v>57</v>
      </c>
      <c r="G35" s="3" t="s">
        <v>58</v>
      </c>
      <c r="H35" s="3" t="s">
        <v>34</v>
      </c>
      <c r="I35" s="6">
        <v>44652</v>
      </c>
      <c r="J35" s="4">
        <v>1361</v>
      </c>
      <c r="K35" s="18">
        <f>J35*(1-SUMIFS(CUSTOS!$T$40:$T$100,CUSTOS!$O$40:$O$100,SUBSIDIO!G35,CUSTOS!$S$40:$S$100,SUBSIDIO!B35,CUSTOS!$R$40:$R$100,"Potência"))</f>
        <v>1361</v>
      </c>
      <c r="L35" s="4">
        <v>49.344999999999999</v>
      </c>
      <c r="M35" s="18">
        <f>L35*(1-SUMIFS(CUSTOS!$T$40:$T$100,CUSTOS!$O$40:$O$100,SUBSIDIO!G35,CUSTOS!$S$40:$S$100,SUBSIDIO!B35,CUSTOS!$R$40:$R$100,"Potência"))</f>
        <v>49.344999999999999</v>
      </c>
      <c r="N35" s="4">
        <v>0</v>
      </c>
      <c r="O35" s="18">
        <f>N35*(1-SUMIFS(CUSTOS!$T$40:$T$100,CUSTOS!$O$40:$O$100,SUBSIDIO!G35,CUSTOS!$S$40:$S$100,SUBSIDIO!B35,CUSTOS!$R$40:$R$100,"Energia"))</f>
        <v>0</v>
      </c>
      <c r="P35" s="4">
        <v>0</v>
      </c>
      <c r="Q35" s="3" t="s">
        <v>59</v>
      </c>
      <c r="R35" s="3">
        <v>5343</v>
      </c>
      <c r="S35" s="3">
        <v>5</v>
      </c>
      <c r="T35" s="3">
        <v>7</v>
      </c>
      <c r="U35" s="3">
        <v>0</v>
      </c>
      <c r="V35" s="4">
        <f>IF(ISERROR(VLOOKUP($S$35,'TAR FIN'!$A$1:$O$91,15,0)),0,VLOOKUP($S$35,'TAR FIN'!$A$1:$O$91,15,0))</f>
        <v>23.23</v>
      </c>
      <c r="W35" s="4">
        <f>IF(ISERROR(VLOOKUP($T$35,'TAR FIN'!$A$1:$O$91,15,0)),0,VLOOKUP($T$35,'TAR FIN'!$A$1:$O$91,15,0))</f>
        <v>12.96</v>
      </c>
      <c r="X35" s="4">
        <f>IF(ISERROR(VLOOKUP($U$35,'TAR FIN'!$A$1:$O$91,15,0)),0,VLOOKUP($U$35,'TAR FIN'!$A$1:$O$91,15,0))</f>
        <v>0</v>
      </c>
      <c r="Y35" s="4">
        <f ca="1">('TUSD BE'!$AM$9+'TUSD BF'!$AM$9+'TUSD CVA'!$AM$9)*1</f>
        <v>42.217604655437526</v>
      </c>
      <c r="Z35" s="4">
        <f ca="1">('TUSD BE'!$AM$11+'TUSD BF'!$AM$11+'TUSD CVA'!$AM$11)*1</f>
        <v>11.103927165111529</v>
      </c>
      <c r="AA35" s="4">
        <f>('TE BE'!$AB$9+'TE BF'!$AB$9+'TE CVA'!$AB$9)*1</f>
        <v>233.70080441251889</v>
      </c>
      <c r="AB35" s="4">
        <f t="shared" si="0"/>
        <v>0</v>
      </c>
      <c r="AC35" s="4">
        <f t="shared" si="6"/>
        <v>0</v>
      </c>
      <c r="AD35" s="4">
        <f t="shared" ca="1" si="2"/>
        <v>0</v>
      </c>
      <c r="AE35" s="4">
        <f t="shared" ca="1" si="7"/>
        <v>0</v>
      </c>
      <c r="AF35" s="3" t="s">
        <v>775</v>
      </c>
    </row>
    <row r="36" spans="1:32" ht="11.25" customHeight="1" x14ac:dyDescent="0.3">
      <c r="A36" s="3" t="s">
        <v>21</v>
      </c>
      <c r="B36" s="3" t="s">
        <v>39</v>
      </c>
      <c r="C36" s="3" t="s">
        <v>56</v>
      </c>
      <c r="D36" s="3" t="s">
        <v>25</v>
      </c>
      <c r="E36" s="3" t="s">
        <v>25</v>
      </c>
      <c r="F36" s="3" t="s">
        <v>57</v>
      </c>
      <c r="G36" s="3" t="s">
        <v>58</v>
      </c>
      <c r="H36" s="3" t="s">
        <v>34</v>
      </c>
      <c r="I36" s="6">
        <v>44682</v>
      </c>
      <c r="J36" s="4">
        <v>1251</v>
      </c>
      <c r="K36" s="18">
        <f>J36*(1-SUMIFS(CUSTOS!$T$40:$T$100,CUSTOS!$O$40:$O$100,SUBSIDIO!G36,CUSTOS!$S$40:$S$100,SUBSIDIO!B36,CUSTOS!$R$40:$R$100,"Potência"))</f>
        <v>1251</v>
      </c>
      <c r="L36" s="4">
        <v>50.286000000000001</v>
      </c>
      <c r="M36" s="18">
        <f>L36*(1-SUMIFS(CUSTOS!$T$40:$T$100,CUSTOS!$O$40:$O$100,SUBSIDIO!G36,CUSTOS!$S$40:$S$100,SUBSIDIO!B36,CUSTOS!$R$40:$R$100,"Potência"))</f>
        <v>50.286000000000001</v>
      </c>
      <c r="N36" s="4">
        <v>0</v>
      </c>
      <c r="O36" s="18">
        <f>N36*(1-SUMIFS(CUSTOS!$T$40:$T$100,CUSTOS!$O$40:$O$100,SUBSIDIO!G36,CUSTOS!$S$40:$S$100,SUBSIDIO!B36,CUSTOS!$R$40:$R$100,"Energia"))</f>
        <v>0</v>
      </c>
      <c r="P36" s="4">
        <v>0</v>
      </c>
      <c r="Q36" s="3" t="s">
        <v>59</v>
      </c>
      <c r="R36" s="3">
        <v>5343</v>
      </c>
      <c r="S36" s="3">
        <v>5</v>
      </c>
      <c r="T36" s="3">
        <v>7</v>
      </c>
      <c r="U36" s="3">
        <v>0</v>
      </c>
      <c r="V36" s="4">
        <f>IF(ISERROR(VLOOKUP($S$36,'TAR FIN'!$A$1:$O$91,15,0)),0,VLOOKUP($S$36,'TAR FIN'!$A$1:$O$91,15,0))</f>
        <v>23.23</v>
      </c>
      <c r="W36" s="4">
        <f>IF(ISERROR(VLOOKUP($T$36,'TAR FIN'!$A$1:$O$91,15,0)),0,VLOOKUP($T$36,'TAR FIN'!$A$1:$O$91,15,0))</f>
        <v>12.96</v>
      </c>
      <c r="X36" s="4">
        <f>IF(ISERROR(VLOOKUP($U$36,'TAR FIN'!$A$1:$O$91,15,0)),0,VLOOKUP($U$36,'TAR FIN'!$A$1:$O$91,15,0))</f>
        <v>0</v>
      </c>
      <c r="Y36" s="4">
        <f ca="1">('TUSD BE'!$AM$9+'TUSD BF'!$AM$9+'TUSD CVA'!$AM$9)*1</f>
        <v>42.217604655437526</v>
      </c>
      <c r="Z36" s="4">
        <f ca="1">('TUSD BE'!$AM$11+'TUSD BF'!$AM$11+'TUSD CVA'!$AM$11)*1</f>
        <v>11.103927165111529</v>
      </c>
      <c r="AA36" s="4">
        <f>('TE BE'!$AB$9+'TE BF'!$AB$9+'TE CVA'!$AB$9)*1</f>
        <v>233.70080441251889</v>
      </c>
      <c r="AB36" s="4">
        <f t="shared" si="0"/>
        <v>0</v>
      </c>
      <c r="AC36" s="4">
        <f t="shared" si="6"/>
        <v>0</v>
      </c>
      <c r="AD36" s="4">
        <f t="shared" ca="1" si="2"/>
        <v>0</v>
      </c>
      <c r="AE36" s="4">
        <f t="shared" ca="1" si="7"/>
        <v>0</v>
      </c>
      <c r="AF36" s="3" t="s">
        <v>775</v>
      </c>
    </row>
    <row r="37" spans="1:32" ht="11.25" customHeight="1" x14ac:dyDescent="0.3">
      <c r="A37" s="3" t="s">
        <v>21</v>
      </c>
      <c r="B37" s="3" t="s">
        <v>39</v>
      </c>
      <c r="C37" s="3" t="s">
        <v>56</v>
      </c>
      <c r="D37" s="3" t="s">
        <v>25</v>
      </c>
      <c r="E37" s="3" t="s">
        <v>25</v>
      </c>
      <c r="F37" s="3" t="s">
        <v>57</v>
      </c>
      <c r="G37" s="3" t="s">
        <v>58</v>
      </c>
      <c r="H37" s="3" t="s">
        <v>34</v>
      </c>
      <c r="I37" s="6">
        <v>44713</v>
      </c>
      <c r="J37" s="4">
        <v>1161</v>
      </c>
      <c r="K37" s="18">
        <f>J37*(1-SUMIFS(CUSTOS!$T$40:$T$100,CUSTOS!$O$40:$O$100,SUBSIDIO!G37,CUSTOS!$S$40:$S$100,SUBSIDIO!B37,CUSTOS!$R$40:$R$100,"Potência"))</f>
        <v>1161</v>
      </c>
      <c r="L37" s="4">
        <v>50.335000000000001</v>
      </c>
      <c r="M37" s="18">
        <f>L37*(1-SUMIFS(CUSTOS!$T$40:$T$100,CUSTOS!$O$40:$O$100,SUBSIDIO!G37,CUSTOS!$S$40:$S$100,SUBSIDIO!B37,CUSTOS!$R$40:$R$100,"Potência"))</f>
        <v>50.335000000000001</v>
      </c>
      <c r="N37" s="4">
        <v>0</v>
      </c>
      <c r="O37" s="18">
        <f>N37*(1-SUMIFS(CUSTOS!$T$40:$T$100,CUSTOS!$O$40:$O$100,SUBSIDIO!G37,CUSTOS!$S$40:$S$100,SUBSIDIO!B37,CUSTOS!$R$40:$R$100,"Energia"))</f>
        <v>0</v>
      </c>
      <c r="P37" s="4">
        <v>0</v>
      </c>
      <c r="Q37" s="3" t="s">
        <v>59</v>
      </c>
      <c r="R37" s="3">
        <v>5343</v>
      </c>
      <c r="S37" s="3">
        <v>5</v>
      </c>
      <c r="T37" s="3">
        <v>7</v>
      </c>
      <c r="U37" s="3">
        <v>0</v>
      </c>
      <c r="V37" s="4">
        <f>IF(ISERROR(VLOOKUP($S$37,'TAR FIN'!$A$1:$O$91,15,0)),0,VLOOKUP($S$37,'TAR FIN'!$A$1:$O$91,15,0))</f>
        <v>23.23</v>
      </c>
      <c r="W37" s="4">
        <f>IF(ISERROR(VLOOKUP($T$37,'TAR FIN'!$A$1:$O$91,15,0)),0,VLOOKUP($T$37,'TAR FIN'!$A$1:$O$91,15,0))</f>
        <v>12.96</v>
      </c>
      <c r="X37" s="4">
        <f>IF(ISERROR(VLOOKUP($U$37,'TAR FIN'!$A$1:$O$91,15,0)),0,VLOOKUP($U$37,'TAR FIN'!$A$1:$O$91,15,0))</f>
        <v>0</v>
      </c>
      <c r="Y37" s="4">
        <f ca="1">('TUSD BE'!$AM$9+'TUSD BF'!$AM$9+'TUSD CVA'!$AM$9)*1</f>
        <v>42.217604655437526</v>
      </c>
      <c r="Z37" s="4">
        <f ca="1">('TUSD BE'!$AM$11+'TUSD BF'!$AM$11+'TUSD CVA'!$AM$11)*1</f>
        <v>11.103927165111529</v>
      </c>
      <c r="AA37" s="4">
        <f>('TE BE'!$AB$9+'TE BF'!$AB$9+'TE CVA'!$AB$9)*1</f>
        <v>233.70080441251889</v>
      </c>
      <c r="AB37" s="4">
        <f t="shared" si="0"/>
        <v>0</v>
      </c>
      <c r="AC37" s="4">
        <f t="shared" si="6"/>
        <v>0</v>
      </c>
      <c r="AD37" s="4">
        <f t="shared" ca="1" si="2"/>
        <v>0</v>
      </c>
      <c r="AE37" s="4">
        <f t="shared" ca="1" si="7"/>
        <v>0</v>
      </c>
      <c r="AF37" s="3" t="s">
        <v>775</v>
      </c>
    </row>
    <row r="38" spans="1:32" ht="11.25" customHeight="1" x14ac:dyDescent="0.3">
      <c r="A38" s="3" t="s">
        <v>21</v>
      </c>
      <c r="B38" s="3" t="s">
        <v>39</v>
      </c>
      <c r="C38" s="3" t="s">
        <v>40</v>
      </c>
      <c r="D38" s="3" t="s">
        <v>38</v>
      </c>
      <c r="E38" s="3" t="s">
        <v>25</v>
      </c>
      <c r="F38" s="3" t="s">
        <v>54</v>
      </c>
      <c r="G38" s="3" t="s">
        <v>25</v>
      </c>
      <c r="H38" s="3" t="s">
        <v>35</v>
      </c>
      <c r="I38" s="6">
        <v>44378</v>
      </c>
      <c r="J38" s="4">
        <v>0</v>
      </c>
      <c r="K38" s="4">
        <v>0</v>
      </c>
      <c r="L38" s="4">
        <v>576.83600000000001</v>
      </c>
      <c r="M38" s="4">
        <v>576.83600000000001</v>
      </c>
      <c r="N38" s="4">
        <v>0</v>
      </c>
      <c r="O38" s="4">
        <v>0</v>
      </c>
      <c r="P38" s="4">
        <v>0</v>
      </c>
      <c r="Q38" s="3" t="s">
        <v>55</v>
      </c>
      <c r="R38" s="3">
        <v>0</v>
      </c>
      <c r="S38" s="3">
        <v>0</v>
      </c>
      <c r="T38" s="3">
        <v>11</v>
      </c>
      <c r="U38" s="3">
        <v>0</v>
      </c>
      <c r="V38" s="4">
        <f>IF(ISERROR(VLOOKUP($S$38,'TAR FIN'!$A$1:$O$91,15,0)),0,VLOOKUP($S$38,'TAR FIN'!$A$1:$O$91,15,0))</f>
        <v>0</v>
      </c>
      <c r="W38" s="4">
        <f>IF(ISERROR(VLOOKUP($T$38,'TAR FIN'!$A$1:$O$91,15,0)),0,VLOOKUP($T$38,'TAR FIN'!$A$1:$O$91,15,0))</f>
        <v>90.54</v>
      </c>
      <c r="X38" s="4">
        <f>IF(ISERROR(VLOOKUP($U$38,'TAR FIN'!$A$1:$O$91,15,0)),0,VLOOKUP($U$38,'TAR FIN'!$A$1:$O$91,15,0))</f>
        <v>0</v>
      </c>
      <c r="Y38" s="4"/>
      <c r="Z38" s="4">
        <f ca="1">('TUSD BE'!$AM$15+'TUSD BF'!$AM$15+'TUSD CVA'!$AM$15)*1</f>
        <v>104.1465119197419</v>
      </c>
      <c r="AA38" s="4"/>
      <c r="AB38" s="4">
        <f t="shared" si="0"/>
        <v>0</v>
      </c>
      <c r="AC38" s="4">
        <f t="shared" si="6"/>
        <v>0</v>
      </c>
      <c r="AD38" s="4">
        <f t="shared" si="2"/>
        <v>0</v>
      </c>
      <c r="AE38" s="4">
        <f t="shared" ca="1" si="7"/>
        <v>0</v>
      </c>
      <c r="AF38" s="3" t="s">
        <v>776</v>
      </c>
    </row>
    <row r="39" spans="1:32" ht="11.25" customHeight="1" x14ac:dyDescent="0.3">
      <c r="A39" s="3" t="s">
        <v>21</v>
      </c>
      <c r="B39" s="3" t="s">
        <v>39</v>
      </c>
      <c r="C39" s="3" t="s">
        <v>40</v>
      </c>
      <c r="D39" s="3" t="s">
        <v>38</v>
      </c>
      <c r="E39" s="3" t="s">
        <v>25</v>
      </c>
      <c r="F39" s="3" t="s">
        <v>54</v>
      </c>
      <c r="G39" s="3" t="s">
        <v>25</v>
      </c>
      <c r="H39" s="3" t="s">
        <v>35</v>
      </c>
      <c r="I39" s="6">
        <v>44409</v>
      </c>
      <c r="J39" s="4">
        <v>0</v>
      </c>
      <c r="K39" s="4">
        <v>0</v>
      </c>
      <c r="L39" s="4">
        <v>659.55899999999997</v>
      </c>
      <c r="M39" s="4">
        <v>659.55899999999997</v>
      </c>
      <c r="N39" s="4">
        <v>0</v>
      </c>
      <c r="O39" s="4">
        <v>0</v>
      </c>
      <c r="P39" s="4">
        <v>0</v>
      </c>
      <c r="Q39" s="3" t="s">
        <v>55</v>
      </c>
      <c r="R39" s="3">
        <v>0</v>
      </c>
      <c r="S39" s="3">
        <v>0</v>
      </c>
      <c r="T39" s="3">
        <v>11</v>
      </c>
      <c r="U39" s="3">
        <v>0</v>
      </c>
      <c r="V39" s="4">
        <f>IF(ISERROR(VLOOKUP($S$39,'TAR FIN'!$A$1:$O$91,15,0)),0,VLOOKUP($S$39,'TAR FIN'!$A$1:$O$91,15,0))</f>
        <v>0</v>
      </c>
      <c r="W39" s="4">
        <f>IF(ISERROR(VLOOKUP($T$39,'TAR FIN'!$A$1:$O$91,15,0)),0,VLOOKUP($T$39,'TAR FIN'!$A$1:$O$91,15,0))</f>
        <v>90.54</v>
      </c>
      <c r="X39" s="4">
        <f>IF(ISERROR(VLOOKUP($U$39,'TAR FIN'!$A$1:$O$91,15,0)),0,VLOOKUP($U$39,'TAR FIN'!$A$1:$O$91,15,0))</f>
        <v>0</v>
      </c>
      <c r="Y39" s="4"/>
      <c r="Z39" s="4">
        <f ca="1">('TUSD BE'!$AM$15+'TUSD BF'!$AM$15+'TUSD CVA'!$AM$15)*1</f>
        <v>104.1465119197419</v>
      </c>
      <c r="AA39" s="4"/>
      <c r="AB39" s="4">
        <f t="shared" si="0"/>
        <v>0</v>
      </c>
      <c r="AC39" s="4">
        <f t="shared" si="6"/>
        <v>0</v>
      </c>
      <c r="AD39" s="4">
        <f t="shared" si="2"/>
        <v>0</v>
      </c>
      <c r="AE39" s="4">
        <f t="shared" ca="1" si="7"/>
        <v>0</v>
      </c>
      <c r="AF39" s="3" t="s">
        <v>776</v>
      </c>
    </row>
    <row r="40" spans="1:32" ht="11.25" customHeight="1" x14ac:dyDescent="0.3">
      <c r="A40" s="3" t="s">
        <v>21</v>
      </c>
      <c r="B40" s="3" t="s">
        <v>39</v>
      </c>
      <c r="C40" s="3" t="s">
        <v>40</v>
      </c>
      <c r="D40" s="3" t="s">
        <v>38</v>
      </c>
      <c r="E40" s="3" t="s">
        <v>25</v>
      </c>
      <c r="F40" s="3" t="s">
        <v>54</v>
      </c>
      <c r="G40" s="3" t="s">
        <v>25</v>
      </c>
      <c r="H40" s="3" t="s">
        <v>35</v>
      </c>
      <c r="I40" s="6">
        <v>44440</v>
      </c>
      <c r="J40" s="4">
        <v>0</v>
      </c>
      <c r="K40" s="4">
        <v>0</v>
      </c>
      <c r="L40" s="4">
        <v>566.03899999999999</v>
      </c>
      <c r="M40" s="4">
        <v>566.03899999999999</v>
      </c>
      <c r="N40" s="4">
        <v>0</v>
      </c>
      <c r="O40" s="4">
        <v>0</v>
      </c>
      <c r="P40" s="4">
        <v>0</v>
      </c>
      <c r="Q40" s="3" t="s">
        <v>55</v>
      </c>
      <c r="R40" s="3">
        <v>0</v>
      </c>
      <c r="S40" s="3">
        <v>0</v>
      </c>
      <c r="T40" s="3">
        <v>11</v>
      </c>
      <c r="U40" s="3">
        <v>0</v>
      </c>
      <c r="V40" s="4">
        <f>IF(ISERROR(VLOOKUP($S$40,'TAR FIN'!$A$1:$O$91,15,0)),0,VLOOKUP($S$40,'TAR FIN'!$A$1:$O$91,15,0))</f>
        <v>0</v>
      </c>
      <c r="W40" s="4">
        <f>IF(ISERROR(VLOOKUP($T$40,'TAR FIN'!$A$1:$O$91,15,0)),0,VLOOKUP($T$40,'TAR FIN'!$A$1:$O$91,15,0))</f>
        <v>90.54</v>
      </c>
      <c r="X40" s="4">
        <f>IF(ISERROR(VLOOKUP($U$40,'TAR FIN'!$A$1:$O$91,15,0)),0,VLOOKUP($U$40,'TAR FIN'!$A$1:$O$91,15,0))</f>
        <v>0</v>
      </c>
      <c r="Y40" s="4"/>
      <c r="Z40" s="4">
        <f ca="1">('TUSD BE'!$AM$15+'TUSD BF'!$AM$15+'TUSD CVA'!$AM$15)*1</f>
        <v>104.1465119197419</v>
      </c>
      <c r="AA40" s="4"/>
      <c r="AB40" s="4">
        <f t="shared" si="0"/>
        <v>0</v>
      </c>
      <c r="AC40" s="4">
        <f t="shared" si="6"/>
        <v>0</v>
      </c>
      <c r="AD40" s="4">
        <f t="shared" si="2"/>
        <v>0</v>
      </c>
      <c r="AE40" s="4">
        <f t="shared" ca="1" si="7"/>
        <v>0</v>
      </c>
      <c r="AF40" s="3" t="s">
        <v>776</v>
      </c>
    </row>
    <row r="41" spans="1:32" ht="11.25" customHeight="1" x14ac:dyDescent="0.3">
      <c r="A41" s="3" t="s">
        <v>21</v>
      </c>
      <c r="B41" s="3" t="s">
        <v>39</v>
      </c>
      <c r="C41" s="3" t="s">
        <v>40</v>
      </c>
      <c r="D41" s="3" t="s">
        <v>38</v>
      </c>
      <c r="E41" s="3" t="s">
        <v>25</v>
      </c>
      <c r="F41" s="3" t="s">
        <v>54</v>
      </c>
      <c r="G41" s="3" t="s">
        <v>25</v>
      </c>
      <c r="H41" s="3" t="s">
        <v>35</v>
      </c>
      <c r="I41" s="6">
        <v>44470</v>
      </c>
      <c r="J41" s="4">
        <v>0</v>
      </c>
      <c r="K41" s="4">
        <v>0</v>
      </c>
      <c r="L41" s="4">
        <v>480.84199999999998</v>
      </c>
      <c r="M41" s="4">
        <v>480.84199999999998</v>
      </c>
      <c r="N41" s="4">
        <v>0</v>
      </c>
      <c r="O41" s="4">
        <v>0</v>
      </c>
      <c r="P41" s="4">
        <v>0</v>
      </c>
      <c r="Q41" s="3" t="s">
        <v>55</v>
      </c>
      <c r="R41" s="3">
        <v>0</v>
      </c>
      <c r="S41" s="3">
        <v>0</v>
      </c>
      <c r="T41" s="3">
        <v>11</v>
      </c>
      <c r="U41" s="3">
        <v>0</v>
      </c>
      <c r="V41" s="4">
        <f>IF(ISERROR(VLOOKUP($S$41,'TAR FIN'!$A$1:$O$91,15,0)),0,VLOOKUP($S$41,'TAR FIN'!$A$1:$O$91,15,0))</f>
        <v>0</v>
      </c>
      <c r="W41" s="4">
        <f>IF(ISERROR(VLOOKUP($T$41,'TAR FIN'!$A$1:$O$91,15,0)),0,VLOOKUP($T$41,'TAR FIN'!$A$1:$O$91,15,0))</f>
        <v>90.54</v>
      </c>
      <c r="X41" s="4">
        <f>IF(ISERROR(VLOOKUP($U$41,'TAR FIN'!$A$1:$O$91,15,0)),0,VLOOKUP($U$41,'TAR FIN'!$A$1:$O$91,15,0))</f>
        <v>0</v>
      </c>
      <c r="Y41" s="4"/>
      <c r="Z41" s="4">
        <f ca="1">('TUSD BE'!$AM$15+'TUSD BF'!$AM$15+'TUSD CVA'!$AM$15)*1</f>
        <v>104.1465119197419</v>
      </c>
      <c r="AA41" s="4"/>
      <c r="AB41" s="4">
        <f t="shared" si="0"/>
        <v>0</v>
      </c>
      <c r="AC41" s="4">
        <f t="shared" si="6"/>
        <v>0</v>
      </c>
      <c r="AD41" s="4">
        <f t="shared" si="2"/>
        <v>0</v>
      </c>
      <c r="AE41" s="4">
        <f t="shared" ca="1" si="7"/>
        <v>0</v>
      </c>
      <c r="AF41" s="3" t="s">
        <v>776</v>
      </c>
    </row>
    <row r="42" spans="1:32" ht="11.25" customHeight="1" x14ac:dyDescent="0.3">
      <c r="A42" s="3" t="s">
        <v>21</v>
      </c>
      <c r="B42" s="3" t="s">
        <v>39</v>
      </c>
      <c r="C42" s="3" t="s">
        <v>40</v>
      </c>
      <c r="D42" s="3" t="s">
        <v>38</v>
      </c>
      <c r="E42" s="3" t="s">
        <v>25</v>
      </c>
      <c r="F42" s="3" t="s">
        <v>54</v>
      </c>
      <c r="G42" s="3" t="s">
        <v>25</v>
      </c>
      <c r="H42" s="3" t="s">
        <v>35</v>
      </c>
      <c r="I42" s="6">
        <v>44501</v>
      </c>
      <c r="J42" s="4">
        <v>0</v>
      </c>
      <c r="K42" s="4">
        <v>0</v>
      </c>
      <c r="L42" s="4">
        <v>584.78099999999995</v>
      </c>
      <c r="M42" s="4">
        <v>584.78099999999995</v>
      </c>
      <c r="N42" s="4">
        <v>0</v>
      </c>
      <c r="O42" s="4">
        <v>0</v>
      </c>
      <c r="P42" s="4">
        <v>0</v>
      </c>
      <c r="Q42" s="3" t="s">
        <v>55</v>
      </c>
      <c r="R42" s="3">
        <v>0</v>
      </c>
      <c r="S42" s="3">
        <v>0</v>
      </c>
      <c r="T42" s="3">
        <v>11</v>
      </c>
      <c r="U42" s="3">
        <v>0</v>
      </c>
      <c r="V42" s="4">
        <f>IF(ISERROR(VLOOKUP($S$42,'TAR FIN'!$A$1:$O$91,15,0)),0,VLOOKUP($S$42,'TAR FIN'!$A$1:$O$91,15,0))</f>
        <v>0</v>
      </c>
      <c r="W42" s="4">
        <f>IF(ISERROR(VLOOKUP($T$42,'TAR FIN'!$A$1:$O$91,15,0)),0,VLOOKUP($T$42,'TAR FIN'!$A$1:$O$91,15,0))</f>
        <v>90.54</v>
      </c>
      <c r="X42" s="4">
        <f>IF(ISERROR(VLOOKUP($U$42,'TAR FIN'!$A$1:$O$91,15,0)),0,VLOOKUP($U$42,'TAR FIN'!$A$1:$O$91,15,0))</f>
        <v>0</v>
      </c>
      <c r="Y42" s="4"/>
      <c r="Z42" s="4">
        <f ca="1">('TUSD BE'!$AM$15+'TUSD BF'!$AM$15+'TUSD CVA'!$AM$15)*1</f>
        <v>104.1465119197419</v>
      </c>
      <c r="AA42" s="4"/>
      <c r="AB42" s="4">
        <f t="shared" si="0"/>
        <v>0</v>
      </c>
      <c r="AC42" s="4">
        <f t="shared" si="6"/>
        <v>0</v>
      </c>
      <c r="AD42" s="4">
        <f t="shared" si="2"/>
        <v>0</v>
      </c>
      <c r="AE42" s="4">
        <f t="shared" ca="1" si="7"/>
        <v>0</v>
      </c>
      <c r="AF42" s="3" t="s">
        <v>776</v>
      </c>
    </row>
    <row r="43" spans="1:32" ht="11.25" customHeight="1" x14ac:dyDescent="0.3">
      <c r="A43" s="3" t="s">
        <v>21</v>
      </c>
      <c r="B43" s="3" t="s">
        <v>39</v>
      </c>
      <c r="C43" s="3" t="s">
        <v>40</v>
      </c>
      <c r="D43" s="3" t="s">
        <v>38</v>
      </c>
      <c r="E43" s="3" t="s">
        <v>25</v>
      </c>
      <c r="F43" s="3" t="s">
        <v>54</v>
      </c>
      <c r="G43" s="3" t="s">
        <v>25</v>
      </c>
      <c r="H43" s="3" t="s">
        <v>35</v>
      </c>
      <c r="I43" s="6">
        <v>44531</v>
      </c>
      <c r="J43" s="4">
        <v>0</v>
      </c>
      <c r="K43" s="4">
        <v>0</v>
      </c>
      <c r="L43" s="4">
        <v>625.28099999999995</v>
      </c>
      <c r="M43" s="4">
        <v>625.28099999999995</v>
      </c>
      <c r="N43" s="4">
        <v>0</v>
      </c>
      <c r="O43" s="4">
        <v>0</v>
      </c>
      <c r="P43" s="4">
        <v>0</v>
      </c>
      <c r="Q43" s="3" t="s">
        <v>55</v>
      </c>
      <c r="R43" s="3">
        <v>0</v>
      </c>
      <c r="S43" s="3">
        <v>0</v>
      </c>
      <c r="T43" s="3">
        <v>11</v>
      </c>
      <c r="U43" s="3">
        <v>0</v>
      </c>
      <c r="V43" s="4">
        <f>IF(ISERROR(VLOOKUP($S$43,'TAR FIN'!$A$1:$O$91,15,0)),0,VLOOKUP($S$43,'TAR FIN'!$A$1:$O$91,15,0))</f>
        <v>0</v>
      </c>
      <c r="W43" s="4">
        <f>IF(ISERROR(VLOOKUP($T$43,'TAR FIN'!$A$1:$O$91,15,0)),0,VLOOKUP($T$43,'TAR FIN'!$A$1:$O$91,15,0))</f>
        <v>90.54</v>
      </c>
      <c r="X43" s="4">
        <f>IF(ISERROR(VLOOKUP($U$43,'TAR FIN'!$A$1:$O$91,15,0)),0,VLOOKUP($U$43,'TAR FIN'!$A$1:$O$91,15,0))</f>
        <v>0</v>
      </c>
      <c r="Y43" s="4"/>
      <c r="Z43" s="4">
        <f ca="1">('TUSD BE'!$AM$15+'TUSD BF'!$AM$15+'TUSD CVA'!$AM$15)*1</f>
        <v>104.1465119197419</v>
      </c>
      <c r="AA43" s="4"/>
      <c r="AB43" s="4">
        <f t="shared" si="0"/>
        <v>0</v>
      </c>
      <c r="AC43" s="4">
        <f t="shared" si="6"/>
        <v>0</v>
      </c>
      <c r="AD43" s="4">
        <f t="shared" si="2"/>
        <v>0</v>
      </c>
      <c r="AE43" s="4">
        <f t="shared" ca="1" si="7"/>
        <v>0</v>
      </c>
      <c r="AF43" s="3" t="s">
        <v>776</v>
      </c>
    </row>
    <row r="44" spans="1:32" ht="11.25" customHeight="1" x14ac:dyDescent="0.3">
      <c r="A44" s="3" t="s">
        <v>21</v>
      </c>
      <c r="B44" s="3" t="s">
        <v>39</v>
      </c>
      <c r="C44" s="3" t="s">
        <v>40</v>
      </c>
      <c r="D44" s="3" t="s">
        <v>38</v>
      </c>
      <c r="E44" s="3" t="s">
        <v>25</v>
      </c>
      <c r="F44" s="3" t="s">
        <v>54</v>
      </c>
      <c r="G44" s="3" t="s">
        <v>25</v>
      </c>
      <c r="H44" s="3" t="s">
        <v>35</v>
      </c>
      <c r="I44" s="6">
        <v>44562</v>
      </c>
      <c r="J44" s="4">
        <v>0</v>
      </c>
      <c r="K44" s="4">
        <v>0</v>
      </c>
      <c r="L44" s="4">
        <v>608.40499999999997</v>
      </c>
      <c r="M44" s="4">
        <v>608.40499999999997</v>
      </c>
      <c r="N44" s="4">
        <v>0</v>
      </c>
      <c r="O44" s="4">
        <v>0</v>
      </c>
      <c r="P44" s="4">
        <v>0</v>
      </c>
      <c r="Q44" s="3" t="s">
        <v>55</v>
      </c>
      <c r="R44" s="3">
        <v>0</v>
      </c>
      <c r="S44" s="3">
        <v>0</v>
      </c>
      <c r="T44" s="3">
        <v>11</v>
      </c>
      <c r="U44" s="3">
        <v>0</v>
      </c>
      <c r="V44" s="4">
        <f>IF(ISERROR(VLOOKUP($S$44,'TAR FIN'!$A$1:$O$91,15,0)),0,VLOOKUP($S$44,'TAR FIN'!$A$1:$O$91,15,0))</f>
        <v>0</v>
      </c>
      <c r="W44" s="4">
        <f>IF(ISERROR(VLOOKUP($T$44,'TAR FIN'!$A$1:$O$91,15,0)),0,VLOOKUP($T$44,'TAR FIN'!$A$1:$O$91,15,0))</f>
        <v>90.54</v>
      </c>
      <c r="X44" s="4">
        <f>IF(ISERROR(VLOOKUP($U$44,'TAR FIN'!$A$1:$O$91,15,0)),0,VLOOKUP($U$44,'TAR FIN'!$A$1:$O$91,15,0))</f>
        <v>0</v>
      </c>
      <c r="Y44" s="4"/>
      <c r="Z44" s="4">
        <f ca="1">('TUSD BE'!$AM$15+'TUSD BF'!$AM$15+'TUSD CVA'!$AM$15)*1</f>
        <v>104.1465119197419</v>
      </c>
      <c r="AA44" s="4"/>
      <c r="AB44" s="4">
        <f t="shared" si="0"/>
        <v>0</v>
      </c>
      <c r="AC44" s="4">
        <f t="shared" si="6"/>
        <v>0</v>
      </c>
      <c r="AD44" s="4">
        <f t="shared" si="2"/>
        <v>0</v>
      </c>
      <c r="AE44" s="4">
        <f t="shared" ca="1" si="7"/>
        <v>0</v>
      </c>
      <c r="AF44" s="3" t="s">
        <v>776</v>
      </c>
    </row>
    <row r="45" spans="1:32" ht="11.25" customHeight="1" x14ac:dyDescent="0.3">
      <c r="A45" s="3" t="s">
        <v>21</v>
      </c>
      <c r="B45" s="3" t="s">
        <v>39</v>
      </c>
      <c r="C45" s="3" t="s">
        <v>40</v>
      </c>
      <c r="D45" s="3" t="s">
        <v>38</v>
      </c>
      <c r="E45" s="3" t="s">
        <v>25</v>
      </c>
      <c r="F45" s="3" t="s">
        <v>54</v>
      </c>
      <c r="G45" s="3" t="s">
        <v>25</v>
      </c>
      <c r="H45" s="3" t="s">
        <v>35</v>
      </c>
      <c r="I45" s="6">
        <v>44593</v>
      </c>
      <c r="J45" s="4">
        <v>0</v>
      </c>
      <c r="K45" s="4">
        <v>0</v>
      </c>
      <c r="L45" s="4">
        <v>526.81399999999996</v>
      </c>
      <c r="M45" s="4">
        <v>526.81399999999996</v>
      </c>
      <c r="N45" s="4">
        <v>0</v>
      </c>
      <c r="O45" s="4">
        <v>0</v>
      </c>
      <c r="P45" s="4">
        <v>0</v>
      </c>
      <c r="Q45" s="3" t="s">
        <v>55</v>
      </c>
      <c r="R45" s="3">
        <v>0</v>
      </c>
      <c r="S45" s="3">
        <v>0</v>
      </c>
      <c r="T45" s="3">
        <v>11</v>
      </c>
      <c r="U45" s="3">
        <v>0</v>
      </c>
      <c r="V45" s="4">
        <f>IF(ISERROR(VLOOKUP($S$45,'TAR FIN'!$A$1:$O$91,15,0)),0,VLOOKUP($S$45,'TAR FIN'!$A$1:$O$91,15,0))</f>
        <v>0</v>
      </c>
      <c r="W45" s="4">
        <f>IF(ISERROR(VLOOKUP($T$45,'TAR FIN'!$A$1:$O$91,15,0)),0,VLOOKUP($T$45,'TAR FIN'!$A$1:$O$91,15,0))</f>
        <v>90.54</v>
      </c>
      <c r="X45" s="4">
        <f>IF(ISERROR(VLOOKUP($U$45,'TAR FIN'!$A$1:$O$91,15,0)),0,VLOOKUP($U$45,'TAR FIN'!$A$1:$O$91,15,0))</f>
        <v>0</v>
      </c>
      <c r="Y45" s="4"/>
      <c r="Z45" s="4">
        <f ca="1">('TUSD BE'!$AM$15+'TUSD BF'!$AM$15+'TUSD CVA'!$AM$15)*1</f>
        <v>104.1465119197419</v>
      </c>
      <c r="AA45" s="4"/>
      <c r="AB45" s="4">
        <f t="shared" si="0"/>
        <v>0</v>
      </c>
      <c r="AC45" s="4">
        <f t="shared" si="6"/>
        <v>0</v>
      </c>
      <c r="AD45" s="4">
        <f t="shared" si="2"/>
        <v>0</v>
      </c>
      <c r="AE45" s="4">
        <f t="shared" ca="1" si="7"/>
        <v>0</v>
      </c>
      <c r="AF45" s="3" t="s">
        <v>776</v>
      </c>
    </row>
    <row r="46" spans="1:32" ht="11.25" customHeight="1" x14ac:dyDescent="0.3">
      <c r="A46" s="3" t="s">
        <v>21</v>
      </c>
      <c r="B46" s="3" t="s">
        <v>39</v>
      </c>
      <c r="C46" s="3" t="s">
        <v>40</v>
      </c>
      <c r="D46" s="3" t="s">
        <v>38</v>
      </c>
      <c r="E46" s="3" t="s">
        <v>25</v>
      </c>
      <c r="F46" s="3" t="s">
        <v>54</v>
      </c>
      <c r="G46" s="3" t="s">
        <v>25</v>
      </c>
      <c r="H46" s="3" t="s">
        <v>35</v>
      </c>
      <c r="I46" s="6">
        <v>44621</v>
      </c>
      <c r="J46" s="4">
        <v>0</v>
      </c>
      <c r="K46" s="4">
        <v>0</v>
      </c>
      <c r="L46" s="4">
        <v>1022.5549999999999</v>
      </c>
      <c r="M46" s="4">
        <v>1022.5549999999999</v>
      </c>
      <c r="N46" s="4">
        <v>0</v>
      </c>
      <c r="O46" s="4">
        <v>0</v>
      </c>
      <c r="P46" s="4">
        <v>0</v>
      </c>
      <c r="Q46" s="3" t="s">
        <v>55</v>
      </c>
      <c r="R46" s="3">
        <v>0</v>
      </c>
      <c r="S46" s="3">
        <v>0</v>
      </c>
      <c r="T46" s="3">
        <v>11</v>
      </c>
      <c r="U46" s="3">
        <v>0</v>
      </c>
      <c r="V46" s="4">
        <f>IF(ISERROR(VLOOKUP($S$46,'TAR FIN'!$A$1:$O$91,15,0)),0,VLOOKUP($S$46,'TAR FIN'!$A$1:$O$91,15,0))</f>
        <v>0</v>
      </c>
      <c r="W46" s="4">
        <f>IF(ISERROR(VLOOKUP($T$46,'TAR FIN'!$A$1:$O$91,15,0)),0,VLOOKUP($T$46,'TAR FIN'!$A$1:$O$91,15,0))</f>
        <v>90.54</v>
      </c>
      <c r="X46" s="4">
        <f>IF(ISERROR(VLOOKUP($U$46,'TAR FIN'!$A$1:$O$91,15,0)),0,VLOOKUP($U$46,'TAR FIN'!$A$1:$O$91,15,0))</f>
        <v>0</v>
      </c>
      <c r="Y46" s="4"/>
      <c r="Z46" s="4">
        <f ca="1">('TUSD BE'!$AM$15+'TUSD BF'!$AM$15+'TUSD CVA'!$AM$15)*1</f>
        <v>104.1465119197419</v>
      </c>
      <c r="AA46" s="4"/>
      <c r="AB46" s="4">
        <f t="shared" si="0"/>
        <v>0</v>
      </c>
      <c r="AC46" s="4">
        <f t="shared" si="6"/>
        <v>0</v>
      </c>
      <c r="AD46" s="4">
        <f t="shared" si="2"/>
        <v>0</v>
      </c>
      <c r="AE46" s="4">
        <f t="shared" ca="1" si="7"/>
        <v>0</v>
      </c>
      <c r="AF46" s="3" t="s">
        <v>776</v>
      </c>
    </row>
    <row r="47" spans="1:32" ht="11.25" customHeight="1" x14ac:dyDescent="0.3">
      <c r="A47" s="3" t="s">
        <v>21</v>
      </c>
      <c r="B47" s="3" t="s">
        <v>39</v>
      </c>
      <c r="C47" s="3" t="s">
        <v>40</v>
      </c>
      <c r="D47" s="3" t="s">
        <v>38</v>
      </c>
      <c r="E47" s="3" t="s">
        <v>25</v>
      </c>
      <c r="F47" s="3" t="s">
        <v>54</v>
      </c>
      <c r="G47" s="3" t="s">
        <v>25</v>
      </c>
      <c r="H47" s="3" t="s">
        <v>35</v>
      </c>
      <c r="I47" s="6">
        <v>44652</v>
      </c>
      <c r="J47" s="4">
        <v>0</v>
      </c>
      <c r="K47" s="4">
        <v>0</v>
      </c>
      <c r="L47" s="4">
        <v>677.24199999999996</v>
      </c>
      <c r="M47" s="4">
        <v>677.24199999999996</v>
      </c>
      <c r="N47" s="4">
        <v>0</v>
      </c>
      <c r="O47" s="4">
        <v>0</v>
      </c>
      <c r="P47" s="4">
        <v>0</v>
      </c>
      <c r="Q47" s="3" t="s">
        <v>55</v>
      </c>
      <c r="R47" s="3">
        <v>0</v>
      </c>
      <c r="S47" s="3">
        <v>0</v>
      </c>
      <c r="T47" s="3">
        <v>11</v>
      </c>
      <c r="U47" s="3">
        <v>0</v>
      </c>
      <c r="V47" s="4">
        <f>IF(ISERROR(VLOOKUP($S$47,'TAR FIN'!$A$1:$O$91,15,0)),0,VLOOKUP($S$47,'TAR FIN'!$A$1:$O$91,15,0))</f>
        <v>0</v>
      </c>
      <c r="W47" s="4">
        <f>IF(ISERROR(VLOOKUP($T$47,'TAR FIN'!$A$1:$O$91,15,0)),0,VLOOKUP($T$47,'TAR FIN'!$A$1:$O$91,15,0))</f>
        <v>90.54</v>
      </c>
      <c r="X47" s="4">
        <f>IF(ISERROR(VLOOKUP($U$47,'TAR FIN'!$A$1:$O$91,15,0)),0,VLOOKUP($U$47,'TAR FIN'!$A$1:$O$91,15,0))</f>
        <v>0</v>
      </c>
      <c r="Y47" s="4"/>
      <c r="Z47" s="4">
        <f ca="1">('TUSD BE'!$AM$15+'TUSD BF'!$AM$15+'TUSD CVA'!$AM$15)*1</f>
        <v>104.1465119197419</v>
      </c>
      <c r="AA47" s="4"/>
      <c r="AB47" s="4">
        <f t="shared" si="0"/>
        <v>0</v>
      </c>
      <c r="AC47" s="4">
        <f t="shared" si="6"/>
        <v>0</v>
      </c>
      <c r="AD47" s="4">
        <f t="shared" si="2"/>
        <v>0</v>
      </c>
      <c r="AE47" s="4">
        <f t="shared" ca="1" si="7"/>
        <v>0</v>
      </c>
      <c r="AF47" s="3" t="s">
        <v>776</v>
      </c>
    </row>
    <row r="48" spans="1:32" ht="11.25" customHeight="1" x14ac:dyDescent="0.3">
      <c r="A48" s="3" t="s">
        <v>21</v>
      </c>
      <c r="B48" s="3" t="s">
        <v>39</v>
      </c>
      <c r="C48" s="3" t="s">
        <v>40</v>
      </c>
      <c r="D48" s="3" t="s">
        <v>38</v>
      </c>
      <c r="E48" s="3" t="s">
        <v>25</v>
      </c>
      <c r="F48" s="3" t="s">
        <v>54</v>
      </c>
      <c r="G48" s="3" t="s">
        <v>25</v>
      </c>
      <c r="H48" s="3" t="s">
        <v>35</v>
      </c>
      <c r="I48" s="6">
        <v>44682</v>
      </c>
      <c r="J48" s="4">
        <v>0</v>
      </c>
      <c r="K48" s="4">
        <v>0</v>
      </c>
      <c r="L48" s="4">
        <v>790.68499999999995</v>
      </c>
      <c r="M48" s="4">
        <v>790.68499999999995</v>
      </c>
      <c r="N48" s="4">
        <v>0</v>
      </c>
      <c r="O48" s="4">
        <v>0</v>
      </c>
      <c r="P48" s="4">
        <v>0</v>
      </c>
      <c r="Q48" s="3" t="s">
        <v>55</v>
      </c>
      <c r="R48" s="3">
        <v>0</v>
      </c>
      <c r="S48" s="3">
        <v>0</v>
      </c>
      <c r="T48" s="3">
        <v>11</v>
      </c>
      <c r="U48" s="3">
        <v>0</v>
      </c>
      <c r="V48" s="4">
        <f>IF(ISERROR(VLOOKUP($S$48,'TAR FIN'!$A$1:$O$91,15,0)),0,VLOOKUP($S$48,'TAR FIN'!$A$1:$O$91,15,0))</f>
        <v>0</v>
      </c>
      <c r="W48" s="4">
        <f>IF(ISERROR(VLOOKUP($T$48,'TAR FIN'!$A$1:$O$91,15,0)),0,VLOOKUP($T$48,'TAR FIN'!$A$1:$O$91,15,0))</f>
        <v>90.54</v>
      </c>
      <c r="X48" s="4">
        <f>IF(ISERROR(VLOOKUP($U$48,'TAR FIN'!$A$1:$O$91,15,0)),0,VLOOKUP($U$48,'TAR FIN'!$A$1:$O$91,15,0))</f>
        <v>0</v>
      </c>
      <c r="Y48" s="4"/>
      <c r="Z48" s="4">
        <f ca="1">('TUSD BE'!$AM$15+'TUSD BF'!$AM$15+'TUSD CVA'!$AM$15)*1</f>
        <v>104.1465119197419</v>
      </c>
      <c r="AA48" s="4"/>
      <c r="AB48" s="4">
        <f t="shared" si="0"/>
        <v>0</v>
      </c>
      <c r="AC48" s="4">
        <f t="shared" si="6"/>
        <v>0</v>
      </c>
      <c r="AD48" s="4">
        <f t="shared" si="2"/>
        <v>0</v>
      </c>
      <c r="AE48" s="4">
        <f t="shared" ca="1" si="7"/>
        <v>0</v>
      </c>
      <c r="AF48" s="3" t="s">
        <v>776</v>
      </c>
    </row>
    <row r="49" spans="1:32" ht="11.25" customHeight="1" x14ac:dyDescent="0.3">
      <c r="A49" s="3" t="s">
        <v>21</v>
      </c>
      <c r="B49" s="3" t="s">
        <v>39</v>
      </c>
      <c r="C49" s="3" t="s">
        <v>40</v>
      </c>
      <c r="D49" s="3" t="s">
        <v>38</v>
      </c>
      <c r="E49" s="3" t="s">
        <v>25</v>
      </c>
      <c r="F49" s="3" t="s">
        <v>54</v>
      </c>
      <c r="G49" s="3" t="s">
        <v>25</v>
      </c>
      <c r="H49" s="3" t="s">
        <v>35</v>
      </c>
      <c r="I49" s="6">
        <v>44713</v>
      </c>
      <c r="J49" s="4">
        <v>0</v>
      </c>
      <c r="K49" s="4">
        <v>0</v>
      </c>
      <c r="L49" s="4">
        <v>784.33</v>
      </c>
      <c r="M49" s="4">
        <v>784.33</v>
      </c>
      <c r="N49" s="4">
        <v>0</v>
      </c>
      <c r="O49" s="4">
        <v>0</v>
      </c>
      <c r="P49" s="4">
        <v>0</v>
      </c>
      <c r="Q49" s="3" t="s">
        <v>55</v>
      </c>
      <c r="R49" s="3">
        <v>0</v>
      </c>
      <c r="S49" s="3">
        <v>0</v>
      </c>
      <c r="T49" s="3">
        <v>11</v>
      </c>
      <c r="U49" s="3">
        <v>0</v>
      </c>
      <c r="V49" s="4">
        <f>IF(ISERROR(VLOOKUP($S$49,'TAR FIN'!$A$1:$O$91,15,0)),0,VLOOKUP($S$49,'TAR FIN'!$A$1:$O$91,15,0))</f>
        <v>0</v>
      </c>
      <c r="W49" s="4">
        <f>IF(ISERROR(VLOOKUP($T$49,'TAR FIN'!$A$1:$O$91,15,0)),0,VLOOKUP($T$49,'TAR FIN'!$A$1:$O$91,15,0))</f>
        <v>90.54</v>
      </c>
      <c r="X49" s="4">
        <f>IF(ISERROR(VLOOKUP($U$49,'TAR FIN'!$A$1:$O$91,15,0)),0,VLOOKUP($U$49,'TAR FIN'!$A$1:$O$91,15,0))</f>
        <v>0</v>
      </c>
      <c r="Y49" s="4"/>
      <c r="Z49" s="4">
        <f ca="1">('TUSD BE'!$AM$15+'TUSD BF'!$AM$15+'TUSD CVA'!$AM$15)*1</f>
        <v>104.1465119197419</v>
      </c>
      <c r="AA49" s="4"/>
      <c r="AB49" s="4">
        <f t="shared" si="0"/>
        <v>0</v>
      </c>
      <c r="AC49" s="4">
        <f t="shared" si="6"/>
        <v>0</v>
      </c>
      <c r="AD49" s="4">
        <f t="shared" si="2"/>
        <v>0</v>
      </c>
      <c r="AE49" s="4">
        <f t="shared" ca="1" si="7"/>
        <v>0</v>
      </c>
      <c r="AF49" s="3" t="s">
        <v>776</v>
      </c>
    </row>
    <row r="50" spans="1:32" ht="11.25" customHeight="1" x14ac:dyDescent="0.3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54</v>
      </c>
      <c r="G50" s="3" t="s">
        <v>25</v>
      </c>
      <c r="H50" s="3" t="s">
        <v>25</v>
      </c>
      <c r="I50" s="6">
        <v>44378</v>
      </c>
      <c r="J50" s="4">
        <v>3029</v>
      </c>
      <c r="K50" s="4">
        <v>816.91287938000005</v>
      </c>
      <c r="L50" s="4">
        <v>0</v>
      </c>
      <c r="M50" s="4">
        <v>0</v>
      </c>
      <c r="N50" s="4">
        <v>0</v>
      </c>
      <c r="O50" s="4">
        <v>0</v>
      </c>
      <c r="P50" s="4">
        <v>6</v>
      </c>
      <c r="Q50" s="3" t="s">
        <v>55</v>
      </c>
      <c r="R50" s="3">
        <v>0</v>
      </c>
      <c r="S50" s="3">
        <v>9</v>
      </c>
      <c r="T50" s="3">
        <v>0</v>
      </c>
      <c r="U50" s="3">
        <v>0</v>
      </c>
      <c r="V50" s="4">
        <f>IF(ISERROR(VLOOKUP($S$50,'TAR FIN'!$A$1:$O$91,15,0)),0,VLOOKUP($S$50,'TAR FIN'!$A$1:$O$91,15,0))</f>
        <v>33.97</v>
      </c>
      <c r="W50" s="4">
        <f>IF(ISERROR(VLOOKUP($T$50,'TAR FIN'!$A$1:$O$91,15,0)),0,VLOOKUP($T$50,'TAR FIN'!$A$1:$O$91,15,0))</f>
        <v>0</v>
      </c>
      <c r="X50" s="4">
        <f>IF(ISERROR(VLOOKUP($U$50,'TAR FIN'!$A$1:$O$91,15,0)),0,VLOOKUP($U$50,'TAR FIN'!$A$1:$O$91,15,0))</f>
        <v>0</v>
      </c>
      <c r="Y50" s="4">
        <f ca="1">('TUSD BE'!$AM$13+'TUSD BF'!$AM$13+'TUSD CVA'!$AM$13)*1</f>
        <v>39.117234382623039</v>
      </c>
      <c r="Z50" s="4"/>
      <c r="AA50" s="4"/>
      <c r="AB50" s="4">
        <f t="shared" si="0"/>
        <v>75144.599487461397</v>
      </c>
      <c r="AC50" s="4">
        <f t="shared" si="6"/>
        <v>0</v>
      </c>
      <c r="AD50" s="4">
        <f t="shared" ca="1" si="2"/>
        <v>86530.730372074264</v>
      </c>
      <c r="AE50" s="4">
        <f t="shared" si="7"/>
        <v>0</v>
      </c>
      <c r="AF50" s="3" t="s">
        <v>776</v>
      </c>
    </row>
    <row r="51" spans="1:32" ht="11.25" customHeight="1" x14ac:dyDescent="0.3">
      <c r="A51" s="3" t="s">
        <v>21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54</v>
      </c>
      <c r="G51" s="3" t="s">
        <v>25</v>
      </c>
      <c r="H51" s="3" t="s">
        <v>25</v>
      </c>
      <c r="I51" s="6">
        <v>44409</v>
      </c>
      <c r="J51" s="4">
        <v>3396</v>
      </c>
      <c r="K51" s="4">
        <v>915.89175911999996</v>
      </c>
      <c r="L51" s="4">
        <v>0</v>
      </c>
      <c r="M51" s="4">
        <v>0</v>
      </c>
      <c r="N51" s="4">
        <v>0</v>
      </c>
      <c r="O51" s="4">
        <v>0</v>
      </c>
      <c r="P51" s="4">
        <v>8</v>
      </c>
      <c r="Q51" s="3" t="s">
        <v>55</v>
      </c>
      <c r="R51" s="3">
        <v>0</v>
      </c>
      <c r="S51" s="3">
        <v>9</v>
      </c>
      <c r="T51" s="3">
        <v>0</v>
      </c>
      <c r="U51" s="3">
        <v>0</v>
      </c>
      <c r="V51" s="4">
        <f>IF(ISERROR(VLOOKUP($S$51,'TAR FIN'!$A$1:$O$91,15,0)),0,VLOOKUP($S$51,'TAR FIN'!$A$1:$O$91,15,0))</f>
        <v>33.97</v>
      </c>
      <c r="W51" s="4">
        <f>IF(ISERROR(VLOOKUP($T$51,'TAR FIN'!$A$1:$O$91,15,0)),0,VLOOKUP($T$51,'TAR FIN'!$A$1:$O$91,15,0))</f>
        <v>0</v>
      </c>
      <c r="X51" s="4">
        <f>IF(ISERROR(VLOOKUP($U$51,'TAR FIN'!$A$1:$O$91,15,0)),0,VLOOKUP($U$51,'TAR FIN'!$A$1:$O$91,15,0))</f>
        <v>0</v>
      </c>
      <c r="Y51" s="4">
        <f ca="1">('TUSD BE'!$AM$13+'TUSD BF'!$AM$13+'TUSD CVA'!$AM$13)*1</f>
        <v>39.117234382623039</v>
      </c>
      <c r="Z51" s="4"/>
      <c r="AA51" s="4"/>
      <c r="AB51" s="4">
        <f t="shared" si="0"/>
        <v>84249.276942693599</v>
      </c>
      <c r="AC51" s="4">
        <f t="shared" si="6"/>
        <v>0</v>
      </c>
      <c r="AD51" s="4">
        <f t="shared" ca="1" si="2"/>
        <v>97014.975352777881</v>
      </c>
      <c r="AE51" s="4">
        <f t="shared" si="7"/>
        <v>0</v>
      </c>
      <c r="AF51" s="3" t="s">
        <v>776</v>
      </c>
    </row>
    <row r="52" spans="1:32" ht="11.25" customHeight="1" x14ac:dyDescent="0.3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54</v>
      </c>
      <c r="G52" s="3" t="s">
        <v>25</v>
      </c>
      <c r="H52" s="3" t="s">
        <v>25</v>
      </c>
      <c r="I52" s="6">
        <v>44440</v>
      </c>
      <c r="J52" s="4">
        <v>3368</v>
      </c>
      <c r="K52" s="4">
        <v>908.34023695999997</v>
      </c>
      <c r="L52" s="4">
        <v>0</v>
      </c>
      <c r="M52" s="4">
        <v>0</v>
      </c>
      <c r="N52" s="4">
        <v>0</v>
      </c>
      <c r="O52" s="4">
        <v>0</v>
      </c>
      <c r="P52" s="4">
        <v>8</v>
      </c>
      <c r="Q52" s="3" t="s">
        <v>55</v>
      </c>
      <c r="R52" s="3">
        <v>0</v>
      </c>
      <c r="S52" s="3">
        <v>9</v>
      </c>
      <c r="T52" s="3">
        <v>0</v>
      </c>
      <c r="U52" s="3">
        <v>0</v>
      </c>
      <c r="V52" s="4">
        <f>IF(ISERROR(VLOOKUP($S$52,'TAR FIN'!$A$1:$O$91,15,0)),0,VLOOKUP($S$52,'TAR FIN'!$A$1:$O$91,15,0))</f>
        <v>33.97</v>
      </c>
      <c r="W52" s="4">
        <f>IF(ISERROR(VLOOKUP($T$52,'TAR FIN'!$A$1:$O$91,15,0)),0,VLOOKUP($T$52,'TAR FIN'!$A$1:$O$91,15,0))</f>
        <v>0</v>
      </c>
      <c r="X52" s="4">
        <f>IF(ISERROR(VLOOKUP($U$52,'TAR FIN'!$A$1:$O$91,15,0)),0,VLOOKUP($U$52,'TAR FIN'!$A$1:$O$91,15,0))</f>
        <v>0</v>
      </c>
      <c r="Y52" s="4">
        <f ca="1">('TUSD BE'!$AM$13+'TUSD BF'!$AM$13+'TUSD CVA'!$AM$13)*1</f>
        <v>39.117234382623039</v>
      </c>
      <c r="Z52" s="4"/>
      <c r="AA52" s="4"/>
      <c r="AB52" s="4">
        <f t="shared" si="0"/>
        <v>83554.642150468804</v>
      </c>
      <c r="AC52" s="4">
        <f t="shared" si="6"/>
        <v>0</v>
      </c>
      <c r="AD52" s="4">
        <f t="shared" ca="1" si="2"/>
        <v>96215.087452342734</v>
      </c>
      <c r="AE52" s="4">
        <f t="shared" si="7"/>
        <v>0</v>
      </c>
      <c r="AF52" s="3" t="s">
        <v>776</v>
      </c>
    </row>
    <row r="53" spans="1:32" ht="11.25" customHeight="1" x14ac:dyDescent="0.3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54</v>
      </c>
      <c r="G53" s="3" t="s">
        <v>25</v>
      </c>
      <c r="H53" s="3" t="s">
        <v>25</v>
      </c>
      <c r="I53" s="6">
        <v>44470</v>
      </c>
      <c r="J53" s="4">
        <v>3368</v>
      </c>
      <c r="K53" s="4">
        <v>908.34023695999997</v>
      </c>
      <c r="L53" s="4">
        <v>0</v>
      </c>
      <c r="M53" s="4">
        <v>0</v>
      </c>
      <c r="N53" s="4">
        <v>0</v>
      </c>
      <c r="O53" s="4">
        <v>0</v>
      </c>
      <c r="P53" s="4">
        <v>8</v>
      </c>
      <c r="Q53" s="3" t="s">
        <v>55</v>
      </c>
      <c r="R53" s="3">
        <v>0</v>
      </c>
      <c r="S53" s="3">
        <v>9</v>
      </c>
      <c r="T53" s="3">
        <v>0</v>
      </c>
      <c r="U53" s="3">
        <v>0</v>
      </c>
      <c r="V53" s="4">
        <f>IF(ISERROR(VLOOKUP($S$53,'TAR FIN'!$A$1:$O$91,15,0)),0,VLOOKUP($S$53,'TAR FIN'!$A$1:$O$91,15,0))</f>
        <v>33.97</v>
      </c>
      <c r="W53" s="4">
        <f>IF(ISERROR(VLOOKUP($T$53,'TAR FIN'!$A$1:$O$91,15,0)),0,VLOOKUP($T$53,'TAR FIN'!$A$1:$O$91,15,0))</f>
        <v>0</v>
      </c>
      <c r="X53" s="4">
        <f>IF(ISERROR(VLOOKUP($U$53,'TAR FIN'!$A$1:$O$91,15,0)),0,VLOOKUP($U$53,'TAR FIN'!$A$1:$O$91,15,0))</f>
        <v>0</v>
      </c>
      <c r="Y53" s="4">
        <f ca="1">('TUSD BE'!$AM$13+'TUSD BF'!$AM$13+'TUSD CVA'!$AM$13)*1</f>
        <v>39.117234382623039</v>
      </c>
      <c r="Z53" s="4"/>
      <c r="AA53" s="4"/>
      <c r="AB53" s="4">
        <f t="shared" si="0"/>
        <v>83554.642150468804</v>
      </c>
      <c r="AC53" s="4">
        <f t="shared" si="6"/>
        <v>0</v>
      </c>
      <c r="AD53" s="4">
        <f t="shared" ca="1" si="2"/>
        <v>96215.087452342734</v>
      </c>
      <c r="AE53" s="4">
        <f t="shared" si="7"/>
        <v>0</v>
      </c>
      <c r="AF53" s="3" t="s">
        <v>776</v>
      </c>
    </row>
    <row r="54" spans="1:32" ht="11.25" customHeight="1" x14ac:dyDescent="0.3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54</v>
      </c>
      <c r="G54" s="3" t="s">
        <v>25</v>
      </c>
      <c r="H54" s="3" t="s">
        <v>25</v>
      </c>
      <c r="I54" s="6">
        <v>44501</v>
      </c>
      <c r="J54" s="4">
        <v>3368</v>
      </c>
      <c r="K54" s="4">
        <v>908.34023695999997</v>
      </c>
      <c r="L54" s="4">
        <v>0</v>
      </c>
      <c r="M54" s="4">
        <v>0</v>
      </c>
      <c r="N54" s="4">
        <v>0</v>
      </c>
      <c r="O54" s="4">
        <v>0</v>
      </c>
      <c r="P54" s="4">
        <v>8</v>
      </c>
      <c r="Q54" s="3" t="s">
        <v>55</v>
      </c>
      <c r="R54" s="3">
        <v>0</v>
      </c>
      <c r="S54" s="3">
        <v>9</v>
      </c>
      <c r="T54" s="3">
        <v>0</v>
      </c>
      <c r="U54" s="3">
        <v>0</v>
      </c>
      <c r="V54" s="4">
        <f>IF(ISERROR(VLOOKUP($S$54,'TAR FIN'!$A$1:$O$91,15,0)),0,VLOOKUP($S$54,'TAR FIN'!$A$1:$O$91,15,0))</f>
        <v>33.97</v>
      </c>
      <c r="W54" s="4">
        <f>IF(ISERROR(VLOOKUP($T$54,'TAR FIN'!$A$1:$O$91,15,0)),0,VLOOKUP($T$54,'TAR FIN'!$A$1:$O$91,15,0))</f>
        <v>0</v>
      </c>
      <c r="X54" s="4">
        <f>IF(ISERROR(VLOOKUP($U$54,'TAR FIN'!$A$1:$O$91,15,0)),0,VLOOKUP($U$54,'TAR FIN'!$A$1:$O$91,15,0))</f>
        <v>0</v>
      </c>
      <c r="Y54" s="4">
        <f ca="1">('TUSD BE'!$AM$13+'TUSD BF'!$AM$13+'TUSD CVA'!$AM$13)*1</f>
        <v>39.117234382623039</v>
      </c>
      <c r="Z54" s="4"/>
      <c r="AA54" s="4"/>
      <c r="AB54" s="4">
        <f t="shared" si="0"/>
        <v>83554.642150468804</v>
      </c>
      <c r="AC54" s="4">
        <f t="shared" si="6"/>
        <v>0</v>
      </c>
      <c r="AD54" s="4">
        <f t="shared" ca="1" si="2"/>
        <v>96215.087452342734</v>
      </c>
      <c r="AE54" s="4">
        <f t="shared" si="7"/>
        <v>0</v>
      </c>
      <c r="AF54" s="3" t="s">
        <v>776</v>
      </c>
    </row>
    <row r="55" spans="1:32" ht="11.25" customHeight="1" x14ac:dyDescent="0.3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54</v>
      </c>
      <c r="G55" s="3" t="s">
        <v>25</v>
      </c>
      <c r="H55" s="3" t="s">
        <v>25</v>
      </c>
      <c r="I55" s="6">
        <v>44531</v>
      </c>
      <c r="J55" s="4">
        <v>3368</v>
      </c>
      <c r="K55" s="4">
        <v>908.34023695999997</v>
      </c>
      <c r="L55" s="4">
        <v>0</v>
      </c>
      <c r="M55" s="4">
        <v>0</v>
      </c>
      <c r="N55" s="4">
        <v>0</v>
      </c>
      <c r="O55" s="4">
        <v>0</v>
      </c>
      <c r="P55" s="4">
        <v>8</v>
      </c>
      <c r="Q55" s="3" t="s">
        <v>55</v>
      </c>
      <c r="R55" s="3">
        <v>0</v>
      </c>
      <c r="S55" s="3">
        <v>9</v>
      </c>
      <c r="T55" s="3">
        <v>0</v>
      </c>
      <c r="U55" s="3">
        <v>0</v>
      </c>
      <c r="V55" s="4">
        <f>IF(ISERROR(VLOOKUP($S$55,'TAR FIN'!$A$1:$O$91,15,0)),0,VLOOKUP($S$55,'TAR FIN'!$A$1:$O$91,15,0))</f>
        <v>33.97</v>
      </c>
      <c r="W55" s="4">
        <f>IF(ISERROR(VLOOKUP($T$55,'TAR FIN'!$A$1:$O$91,15,0)),0,VLOOKUP($T$55,'TAR FIN'!$A$1:$O$91,15,0))</f>
        <v>0</v>
      </c>
      <c r="X55" s="4">
        <f>IF(ISERROR(VLOOKUP($U$55,'TAR FIN'!$A$1:$O$91,15,0)),0,VLOOKUP($U$55,'TAR FIN'!$A$1:$O$91,15,0))</f>
        <v>0</v>
      </c>
      <c r="Y55" s="4">
        <f ca="1">('TUSD BE'!$AM$13+'TUSD BF'!$AM$13+'TUSD CVA'!$AM$13)*1</f>
        <v>39.117234382623039</v>
      </c>
      <c r="Z55" s="4"/>
      <c r="AA55" s="4"/>
      <c r="AB55" s="4">
        <f t="shared" si="0"/>
        <v>83554.642150468804</v>
      </c>
      <c r="AC55" s="4">
        <f t="shared" si="6"/>
        <v>0</v>
      </c>
      <c r="AD55" s="4">
        <f t="shared" ca="1" si="2"/>
        <v>96215.087452342734</v>
      </c>
      <c r="AE55" s="4">
        <f t="shared" si="7"/>
        <v>0</v>
      </c>
      <c r="AF55" s="3" t="s">
        <v>776</v>
      </c>
    </row>
    <row r="56" spans="1:32" ht="11.25" customHeight="1" x14ac:dyDescent="0.3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54</v>
      </c>
      <c r="G56" s="3" t="s">
        <v>25</v>
      </c>
      <c r="H56" s="3" t="s">
        <v>25</v>
      </c>
      <c r="I56" s="6">
        <v>44562</v>
      </c>
      <c r="J56" s="4">
        <v>3368</v>
      </c>
      <c r="K56" s="4">
        <v>908.34023695999997</v>
      </c>
      <c r="L56" s="4">
        <v>0</v>
      </c>
      <c r="M56" s="4">
        <v>0</v>
      </c>
      <c r="N56" s="4">
        <v>0</v>
      </c>
      <c r="O56" s="4">
        <v>0</v>
      </c>
      <c r="P56" s="4">
        <v>8</v>
      </c>
      <c r="Q56" s="3" t="s">
        <v>55</v>
      </c>
      <c r="R56" s="3">
        <v>0</v>
      </c>
      <c r="S56" s="3">
        <v>9</v>
      </c>
      <c r="T56" s="3">
        <v>0</v>
      </c>
      <c r="U56" s="3">
        <v>0</v>
      </c>
      <c r="V56" s="4">
        <f>IF(ISERROR(VLOOKUP($S$56,'TAR FIN'!$A$1:$O$91,15,0)),0,VLOOKUP($S$56,'TAR FIN'!$A$1:$O$91,15,0))</f>
        <v>33.97</v>
      </c>
      <c r="W56" s="4">
        <f>IF(ISERROR(VLOOKUP($T$56,'TAR FIN'!$A$1:$O$91,15,0)),0,VLOOKUP($T$56,'TAR FIN'!$A$1:$O$91,15,0))</f>
        <v>0</v>
      </c>
      <c r="X56" s="4">
        <f>IF(ISERROR(VLOOKUP($U$56,'TAR FIN'!$A$1:$O$91,15,0)),0,VLOOKUP($U$56,'TAR FIN'!$A$1:$O$91,15,0))</f>
        <v>0</v>
      </c>
      <c r="Y56" s="4">
        <f ca="1">('TUSD BE'!$AM$13+'TUSD BF'!$AM$13+'TUSD CVA'!$AM$13)*1</f>
        <v>39.117234382623039</v>
      </c>
      <c r="Z56" s="4"/>
      <c r="AA56" s="4"/>
      <c r="AB56" s="4">
        <f t="shared" si="0"/>
        <v>83554.642150468804</v>
      </c>
      <c r="AC56" s="4">
        <f t="shared" si="6"/>
        <v>0</v>
      </c>
      <c r="AD56" s="4">
        <f t="shared" ca="1" si="2"/>
        <v>96215.087452342734</v>
      </c>
      <c r="AE56" s="4">
        <f t="shared" si="7"/>
        <v>0</v>
      </c>
      <c r="AF56" s="3" t="s">
        <v>776</v>
      </c>
    </row>
    <row r="57" spans="1:32" ht="11.25" customHeight="1" x14ac:dyDescent="0.3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54</v>
      </c>
      <c r="G57" s="3" t="s">
        <v>25</v>
      </c>
      <c r="H57" s="3" t="s">
        <v>25</v>
      </c>
      <c r="I57" s="6">
        <v>44593</v>
      </c>
      <c r="J57" s="4">
        <v>3168</v>
      </c>
      <c r="K57" s="4">
        <v>854.40079295999999</v>
      </c>
      <c r="L57" s="4">
        <v>0</v>
      </c>
      <c r="M57" s="4">
        <v>0</v>
      </c>
      <c r="N57" s="4">
        <v>0</v>
      </c>
      <c r="O57" s="4">
        <v>0</v>
      </c>
      <c r="P57" s="4">
        <v>8</v>
      </c>
      <c r="Q57" s="3" t="s">
        <v>55</v>
      </c>
      <c r="R57" s="3">
        <v>0</v>
      </c>
      <c r="S57" s="3">
        <v>9</v>
      </c>
      <c r="T57" s="3">
        <v>0</v>
      </c>
      <c r="U57" s="3">
        <v>0</v>
      </c>
      <c r="V57" s="4">
        <f>IF(ISERROR(VLOOKUP($S$57,'TAR FIN'!$A$1:$O$91,15,0)),0,VLOOKUP($S$57,'TAR FIN'!$A$1:$O$91,15,0))</f>
        <v>33.97</v>
      </c>
      <c r="W57" s="4">
        <f>IF(ISERROR(VLOOKUP($T$57,'TAR FIN'!$A$1:$O$91,15,0)),0,VLOOKUP($T$57,'TAR FIN'!$A$1:$O$91,15,0))</f>
        <v>0</v>
      </c>
      <c r="X57" s="4">
        <f>IF(ISERROR(VLOOKUP($U$57,'TAR FIN'!$A$1:$O$91,15,0)),0,VLOOKUP($U$57,'TAR FIN'!$A$1:$O$91,15,0))</f>
        <v>0</v>
      </c>
      <c r="Y57" s="4">
        <f ca="1">('TUSD BE'!$AM$13+'TUSD BF'!$AM$13+'TUSD CVA'!$AM$13)*1</f>
        <v>39.117234382623039</v>
      </c>
      <c r="Z57" s="4"/>
      <c r="AA57" s="4"/>
      <c r="AB57" s="4">
        <f t="shared" si="0"/>
        <v>78592.965063148789</v>
      </c>
      <c r="AC57" s="4">
        <f t="shared" si="6"/>
        <v>0</v>
      </c>
      <c r="AD57" s="4">
        <f t="shared" ca="1" si="2"/>
        <v>90501.602449234473</v>
      </c>
      <c r="AE57" s="4">
        <f t="shared" si="7"/>
        <v>0</v>
      </c>
      <c r="AF57" s="3" t="s">
        <v>776</v>
      </c>
    </row>
    <row r="58" spans="1:32" ht="11.25" customHeight="1" x14ac:dyDescent="0.3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54</v>
      </c>
      <c r="G58" s="3" t="s">
        <v>25</v>
      </c>
      <c r="H58" s="3" t="s">
        <v>25</v>
      </c>
      <c r="I58" s="6">
        <v>44621</v>
      </c>
      <c r="J58" s="4">
        <v>3457</v>
      </c>
      <c r="K58" s="4">
        <v>932.34328954</v>
      </c>
      <c r="L58" s="4">
        <v>0</v>
      </c>
      <c r="M58" s="4">
        <v>0</v>
      </c>
      <c r="N58" s="4">
        <v>0</v>
      </c>
      <c r="O58" s="4">
        <v>0</v>
      </c>
      <c r="P58" s="4">
        <v>8</v>
      </c>
      <c r="Q58" s="3" t="s">
        <v>55</v>
      </c>
      <c r="R58" s="3">
        <v>0</v>
      </c>
      <c r="S58" s="3">
        <v>9</v>
      </c>
      <c r="T58" s="3">
        <v>0</v>
      </c>
      <c r="U58" s="3">
        <v>0</v>
      </c>
      <c r="V58" s="4">
        <f>IF(ISERROR(VLOOKUP($S$58,'TAR FIN'!$A$1:$O$91,15,0)),0,VLOOKUP($S$58,'TAR FIN'!$A$1:$O$91,15,0))</f>
        <v>33.97</v>
      </c>
      <c r="W58" s="4">
        <f>IF(ISERROR(VLOOKUP($T$58,'TAR FIN'!$A$1:$O$91,15,0)),0,VLOOKUP($T$58,'TAR FIN'!$A$1:$O$91,15,0))</f>
        <v>0</v>
      </c>
      <c r="X58" s="4">
        <f>IF(ISERROR(VLOOKUP($U$58,'TAR FIN'!$A$1:$O$91,15,0)),0,VLOOKUP($U$58,'TAR FIN'!$A$1:$O$91,15,0))</f>
        <v>0</v>
      </c>
      <c r="Y58" s="4">
        <f ca="1">('TUSD BE'!$AM$13+'TUSD BF'!$AM$13+'TUSD CVA'!$AM$13)*1</f>
        <v>39.117234382623039</v>
      </c>
      <c r="Z58" s="4"/>
      <c r="AA58" s="4"/>
      <c r="AB58" s="4">
        <f t="shared" si="0"/>
        <v>85762.588454326193</v>
      </c>
      <c r="AC58" s="4">
        <f t="shared" si="6"/>
        <v>0</v>
      </c>
      <c r="AD58" s="4">
        <f t="shared" ca="1" si="2"/>
        <v>98757.588278725889</v>
      </c>
      <c r="AE58" s="4">
        <f t="shared" si="7"/>
        <v>0</v>
      </c>
      <c r="AF58" s="3" t="s">
        <v>776</v>
      </c>
    </row>
    <row r="59" spans="1:32" ht="11.25" customHeight="1" x14ac:dyDescent="0.3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54</v>
      </c>
      <c r="G59" s="3" t="s">
        <v>25</v>
      </c>
      <c r="H59" s="3" t="s">
        <v>25</v>
      </c>
      <c r="I59" s="6">
        <v>44652</v>
      </c>
      <c r="J59" s="4">
        <v>3507</v>
      </c>
      <c r="K59" s="4">
        <v>945.82815054000002</v>
      </c>
      <c r="L59" s="4">
        <v>0</v>
      </c>
      <c r="M59" s="4">
        <v>0</v>
      </c>
      <c r="N59" s="4">
        <v>0</v>
      </c>
      <c r="O59" s="4">
        <v>0</v>
      </c>
      <c r="P59" s="4">
        <v>8</v>
      </c>
      <c r="Q59" s="3" t="s">
        <v>55</v>
      </c>
      <c r="R59" s="3">
        <v>0</v>
      </c>
      <c r="S59" s="3">
        <v>9</v>
      </c>
      <c r="T59" s="3">
        <v>0</v>
      </c>
      <c r="U59" s="3">
        <v>0</v>
      </c>
      <c r="V59" s="4">
        <f>IF(ISERROR(VLOOKUP($S$59,'TAR FIN'!$A$1:$O$91,15,0)),0,VLOOKUP($S$59,'TAR FIN'!$A$1:$O$91,15,0))</f>
        <v>33.97</v>
      </c>
      <c r="W59" s="4">
        <f>IF(ISERROR(VLOOKUP($T$59,'TAR FIN'!$A$1:$O$91,15,0)),0,VLOOKUP($T$59,'TAR FIN'!$A$1:$O$91,15,0))</f>
        <v>0</v>
      </c>
      <c r="X59" s="4">
        <f>IF(ISERROR(VLOOKUP($U$59,'TAR FIN'!$A$1:$O$91,15,0)),0,VLOOKUP($U$59,'TAR FIN'!$A$1:$O$91,15,0))</f>
        <v>0</v>
      </c>
      <c r="Y59" s="4">
        <f ca="1">('TUSD BE'!$AM$13+'TUSD BF'!$AM$13+'TUSD CVA'!$AM$13)*1</f>
        <v>39.117234382623039</v>
      </c>
      <c r="Z59" s="4"/>
      <c r="AA59" s="4"/>
      <c r="AB59" s="4">
        <f t="shared" si="0"/>
        <v>87003.007726156196</v>
      </c>
      <c r="AC59" s="4">
        <f t="shared" si="6"/>
        <v>0</v>
      </c>
      <c r="AD59" s="4">
        <f t="shared" ca="1" si="2"/>
        <v>100185.95952950294</v>
      </c>
      <c r="AE59" s="4">
        <f t="shared" si="7"/>
        <v>0</v>
      </c>
      <c r="AF59" s="3" t="s">
        <v>776</v>
      </c>
    </row>
    <row r="60" spans="1:32" ht="11.25" customHeight="1" x14ac:dyDescent="0.3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54</v>
      </c>
      <c r="G60" s="3" t="s">
        <v>25</v>
      </c>
      <c r="H60" s="3" t="s">
        <v>25</v>
      </c>
      <c r="I60" s="6">
        <v>44682</v>
      </c>
      <c r="J60" s="4">
        <v>3585</v>
      </c>
      <c r="K60" s="4">
        <v>966.86453370000004</v>
      </c>
      <c r="L60" s="4">
        <v>0</v>
      </c>
      <c r="M60" s="4">
        <v>0</v>
      </c>
      <c r="N60" s="4">
        <v>0</v>
      </c>
      <c r="O60" s="4">
        <v>0</v>
      </c>
      <c r="P60" s="4">
        <v>8</v>
      </c>
      <c r="Q60" s="3" t="s">
        <v>55</v>
      </c>
      <c r="R60" s="3">
        <v>0</v>
      </c>
      <c r="S60" s="3">
        <v>9</v>
      </c>
      <c r="T60" s="3">
        <v>0</v>
      </c>
      <c r="U60" s="3">
        <v>0</v>
      </c>
      <c r="V60" s="4">
        <f>IF(ISERROR(VLOOKUP($S$60,'TAR FIN'!$A$1:$O$91,15,0)),0,VLOOKUP($S$60,'TAR FIN'!$A$1:$O$91,15,0))</f>
        <v>33.97</v>
      </c>
      <c r="W60" s="4">
        <f>IF(ISERROR(VLOOKUP($T$60,'TAR FIN'!$A$1:$O$91,15,0)),0,VLOOKUP($T$60,'TAR FIN'!$A$1:$O$91,15,0))</f>
        <v>0</v>
      </c>
      <c r="X60" s="4">
        <f>IF(ISERROR(VLOOKUP($U$60,'TAR FIN'!$A$1:$O$91,15,0)),0,VLOOKUP($U$60,'TAR FIN'!$A$1:$O$91,15,0))</f>
        <v>0</v>
      </c>
      <c r="Y60" s="4">
        <f ca="1">('TUSD BE'!$AM$13+'TUSD BF'!$AM$13+'TUSD CVA'!$AM$13)*1</f>
        <v>39.117234382623039</v>
      </c>
      <c r="Z60" s="4"/>
      <c r="AA60" s="4"/>
      <c r="AB60" s="4">
        <f t="shared" si="0"/>
        <v>88938.06179021101</v>
      </c>
      <c r="AC60" s="4">
        <f t="shared" si="6"/>
        <v>0</v>
      </c>
      <c r="AD60" s="4">
        <f t="shared" ca="1" si="2"/>
        <v>102414.21868071517</v>
      </c>
      <c r="AE60" s="4">
        <f t="shared" si="7"/>
        <v>0</v>
      </c>
      <c r="AF60" s="3" t="s">
        <v>776</v>
      </c>
    </row>
    <row r="61" spans="1:32" ht="11.25" customHeight="1" x14ac:dyDescent="0.3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54</v>
      </c>
      <c r="G61" s="3" t="s">
        <v>25</v>
      </c>
      <c r="H61" s="3" t="s">
        <v>25</v>
      </c>
      <c r="I61" s="6">
        <v>44713</v>
      </c>
      <c r="J61" s="4">
        <v>3577</v>
      </c>
      <c r="K61" s="4">
        <v>964.70695593999994</v>
      </c>
      <c r="L61" s="4">
        <v>0</v>
      </c>
      <c r="M61" s="4">
        <v>0</v>
      </c>
      <c r="N61" s="4">
        <v>0</v>
      </c>
      <c r="O61" s="4">
        <v>0</v>
      </c>
      <c r="P61" s="4">
        <v>8</v>
      </c>
      <c r="Q61" s="3" t="s">
        <v>55</v>
      </c>
      <c r="R61" s="3">
        <v>0</v>
      </c>
      <c r="S61" s="3">
        <v>9</v>
      </c>
      <c r="T61" s="3">
        <v>0</v>
      </c>
      <c r="U61" s="3">
        <v>0</v>
      </c>
      <c r="V61" s="4">
        <f>IF(ISERROR(VLOOKUP($S$61,'TAR FIN'!$A$1:$O$91,15,0)),0,VLOOKUP($S$61,'TAR FIN'!$A$1:$O$91,15,0))</f>
        <v>33.97</v>
      </c>
      <c r="W61" s="4">
        <f>IF(ISERROR(VLOOKUP($T$61,'TAR FIN'!$A$1:$O$91,15,0)),0,VLOOKUP($T$61,'TAR FIN'!$A$1:$O$91,15,0))</f>
        <v>0</v>
      </c>
      <c r="X61" s="4">
        <f>IF(ISERROR(VLOOKUP($U$61,'TAR FIN'!$A$1:$O$91,15,0)),0,VLOOKUP($U$61,'TAR FIN'!$A$1:$O$91,15,0))</f>
        <v>0</v>
      </c>
      <c r="Y61" s="4">
        <f ca="1">('TUSD BE'!$AM$13+'TUSD BF'!$AM$13+'TUSD CVA'!$AM$13)*1</f>
        <v>39.117234382623039</v>
      </c>
      <c r="Z61" s="4"/>
      <c r="AA61" s="4"/>
      <c r="AB61" s="4">
        <f t="shared" si="0"/>
        <v>88739.594706718213</v>
      </c>
      <c r="AC61" s="4">
        <f t="shared" si="6"/>
        <v>0</v>
      </c>
      <c r="AD61" s="4">
        <f t="shared" ca="1" si="2"/>
        <v>102185.67928059085</v>
      </c>
      <c r="AE61" s="4">
        <f t="shared" si="7"/>
        <v>0</v>
      </c>
      <c r="AF61" s="3" t="s">
        <v>776</v>
      </c>
    </row>
    <row r="62" spans="1:32" ht="11.25" customHeight="1" x14ac:dyDescent="0.3">
      <c r="A62" s="3" t="s">
        <v>21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54</v>
      </c>
      <c r="G62" s="3" t="s">
        <v>25</v>
      </c>
      <c r="H62" s="3" t="s">
        <v>34</v>
      </c>
      <c r="I62" s="6">
        <v>44378</v>
      </c>
      <c r="J62" s="4">
        <v>0</v>
      </c>
      <c r="K62" s="4">
        <v>0</v>
      </c>
      <c r="L62" s="4">
        <v>31.003</v>
      </c>
      <c r="M62" s="4">
        <v>9.8979709654699999</v>
      </c>
      <c r="N62" s="4">
        <v>0</v>
      </c>
      <c r="O62" s="4">
        <v>0</v>
      </c>
      <c r="P62" s="4">
        <v>0</v>
      </c>
      <c r="Q62" s="3" t="s">
        <v>55</v>
      </c>
      <c r="R62" s="3">
        <v>0</v>
      </c>
      <c r="S62" s="3">
        <v>0</v>
      </c>
      <c r="T62" s="3">
        <v>10</v>
      </c>
      <c r="U62" s="3">
        <v>0</v>
      </c>
      <c r="V62" s="4">
        <f>IF(ISERROR(VLOOKUP($S$62,'TAR FIN'!$A$1:$O$91,15,0)),0,VLOOKUP($S$62,'TAR FIN'!$A$1:$O$91,15,0))</f>
        <v>0</v>
      </c>
      <c r="W62" s="4">
        <f>IF(ISERROR(VLOOKUP($T$62,'TAR FIN'!$A$1:$O$91,15,0)),0,VLOOKUP($T$62,'TAR FIN'!$A$1:$O$91,15,0))</f>
        <v>1755.54</v>
      </c>
      <c r="X62" s="4">
        <f>IF(ISERROR(VLOOKUP($U$62,'TAR FIN'!$A$1:$O$91,15,0)),0,VLOOKUP($U$62,'TAR FIN'!$A$1:$O$91,15,0))</f>
        <v>0</v>
      </c>
      <c r="Y62" s="4"/>
      <c r="Z62" s="4">
        <f ca="1">('TUSD BE'!$AM$14+'TUSD BF'!$AM$14+'TUSD CVA'!$AM$14)*1</f>
        <v>1891.4266775287376</v>
      </c>
      <c r="AA62" s="4"/>
      <c r="AB62" s="4">
        <f t="shared" si="0"/>
        <v>0</v>
      </c>
      <c r="AC62" s="4">
        <f t="shared" si="6"/>
        <v>37050.722671278796</v>
      </c>
      <c r="AD62" s="4">
        <f t="shared" si="2"/>
        <v>0</v>
      </c>
      <c r="AE62" s="4">
        <f t="shared" ca="1" si="7"/>
        <v>39918.614945928617</v>
      </c>
      <c r="AF62" s="3" t="s">
        <v>776</v>
      </c>
    </row>
    <row r="63" spans="1:32" ht="11.25" customHeight="1" x14ac:dyDescent="0.3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54</v>
      </c>
      <c r="G63" s="3" t="s">
        <v>25</v>
      </c>
      <c r="H63" s="3" t="s">
        <v>34</v>
      </c>
      <c r="I63" s="6">
        <v>44409</v>
      </c>
      <c r="J63" s="4">
        <v>0</v>
      </c>
      <c r="K63" s="4">
        <v>0</v>
      </c>
      <c r="L63" s="4">
        <v>33.430999999999997</v>
      </c>
      <c r="M63" s="4">
        <v>10.67313057919</v>
      </c>
      <c r="N63" s="4">
        <v>0</v>
      </c>
      <c r="O63" s="4">
        <v>0</v>
      </c>
      <c r="P63" s="4">
        <v>0</v>
      </c>
      <c r="Q63" s="3" t="s">
        <v>55</v>
      </c>
      <c r="R63" s="3">
        <v>0</v>
      </c>
      <c r="S63" s="3">
        <v>0</v>
      </c>
      <c r="T63" s="3">
        <v>10</v>
      </c>
      <c r="U63" s="3">
        <v>0</v>
      </c>
      <c r="V63" s="4">
        <f>IF(ISERROR(VLOOKUP($S$63,'TAR FIN'!$A$1:$O$91,15,0)),0,VLOOKUP($S$63,'TAR FIN'!$A$1:$O$91,15,0))</f>
        <v>0</v>
      </c>
      <c r="W63" s="4">
        <f>IF(ISERROR(VLOOKUP($T$63,'TAR FIN'!$A$1:$O$91,15,0)),0,VLOOKUP($T$63,'TAR FIN'!$A$1:$O$91,15,0))</f>
        <v>1755.54</v>
      </c>
      <c r="X63" s="4">
        <f>IF(ISERROR(VLOOKUP($U$63,'TAR FIN'!$A$1:$O$91,15,0)),0,VLOOKUP($U$63,'TAR FIN'!$A$1:$O$91,15,0))</f>
        <v>0</v>
      </c>
      <c r="Y63" s="4"/>
      <c r="Z63" s="4">
        <f ca="1">('TUSD BE'!$AM$14+'TUSD BF'!$AM$14+'TUSD CVA'!$AM$14)*1</f>
        <v>1891.4266775287376</v>
      </c>
      <c r="AA63" s="4"/>
      <c r="AB63" s="4">
        <f t="shared" si="0"/>
        <v>0</v>
      </c>
      <c r="AC63" s="4">
        <f t="shared" si="6"/>
        <v>39952.35008300878</v>
      </c>
      <c r="AD63" s="4">
        <f t="shared" si="2"/>
        <v>0</v>
      </c>
      <c r="AE63" s="4">
        <f t="shared" ca="1" si="7"/>
        <v>43044.841346235509</v>
      </c>
      <c r="AF63" s="3" t="s">
        <v>776</v>
      </c>
    </row>
    <row r="64" spans="1:32" ht="11.25" customHeight="1" x14ac:dyDescent="0.3">
      <c r="A64" s="3" t="s">
        <v>21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54</v>
      </c>
      <c r="G64" s="3" t="s">
        <v>25</v>
      </c>
      <c r="H64" s="3" t="s">
        <v>34</v>
      </c>
      <c r="I64" s="6">
        <v>44440</v>
      </c>
      <c r="J64" s="4">
        <v>0</v>
      </c>
      <c r="K64" s="4">
        <v>0</v>
      </c>
      <c r="L64" s="4">
        <v>19.898</v>
      </c>
      <c r="M64" s="4">
        <v>6.35260543402</v>
      </c>
      <c r="N64" s="4">
        <v>0</v>
      </c>
      <c r="O64" s="4">
        <v>0</v>
      </c>
      <c r="P64" s="4">
        <v>0</v>
      </c>
      <c r="Q64" s="3" t="s">
        <v>55</v>
      </c>
      <c r="R64" s="3">
        <v>0</v>
      </c>
      <c r="S64" s="3">
        <v>0</v>
      </c>
      <c r="T64" s="3">
        <v>10</v>
      </c>
      <c r="U64" s="3">
        <v>0</v>
      </c>
      <c r="V64" s="4">
        <f>IF(ISERROR(VLOOKUP($S$64,'TAR FIN'!$A$1:$O$91,15,0)),0,VLOOKUP($S$64,'TAR FIN'!$A$1:$O$91,15,0))</f>
        <v>0</v>
      </c>
      <c r="W64" s="4">
        <f>IF(ISERROR(VLOOKUP($T$64,'TAR FIN'!$A$1:$O$91,15,0)),0,VLOOKUP($T$64,'TAR FIN'!$A$1:$O$91,15,0))</f>
        <v>1755.54</v>
      </c>
      <c r="X64" s="4">
        <f>IF(ISERROR(VLOOKUP($U$64,'TAR FIN'!$A$1:$O$91,15,0)),0,VLOOKUP($U$64,'TAR FIN'!$A$1:$O$91,15,0))</f>
        <v>0</v>
      </c>
      <c r="Y64" s="4"/>
      <c r="Z64" s="4">
        <f ca="1">('TUSD BE'!$AM$14+'TUSD BF'!$AM$14+'TUSD CVA'!$AM$14)*1</f>
        <v>1891.4266775287376</v>
      </c>
      <c r="AA64" s="4"/>
      <c r="AB64" s="4">
        <f t="shared" si="0"/>
        <v>0</v>
      </c>
      <c r="AC64" s="4">
        <f t="shared" si="6"/>
        <v>23779.48197636053</v>
      </c>
      <c r="AD64" s="4">
        <f t="shared" si="2"/>
        <v>0</v>
      </c>
      <c r="AE64" s="4">
        <f t="shared" ca="1" si="7"/>
        <v>25620.120639747369</v>
      </c>
      <c r="AF64" s="3" t="s">
        <v>776</v>
      </c>
    </row>
    <row r="65" spans="1:32" ht="11.25" customHeight="1" x14ac:dyDescent="0.3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54</v>
      </c>
      <c r="G65" s="3" t="s">
        <v>25</v>
      </c>
      <c r="H65" s="3" t="s">
        <v>34</v>
      </c>
      <c r="I65" s="6">
        <v>44470</v>
      </c>
      <c r="J65" s="4">
        <v>0</v>
      </c>
      <c r="K65" s="4">
        <v>0</v>
      </c>
      <c r="L65" s="4">
        <v>20.74</v>
      </c>
      <c r="M65" s="4">
        <v>6.6214210826000004</v>
      </c>
      <c r="N65" s="4">
        <v>0</v>
      </c>
      <c r="O65" s="4">
        <v>0</v>
      </c>
      <c r="P65" s="4">
        <v>0</v>
      </c>
      <c r="Q65" s="3" t="s">
        <v>55</v>
      </c>
      <c r="R65" s="3">
        <v>0</v>
      </c>
      <c r="S65" s="3">
        <v>0</v>
      </c>
      <c r="T65" s="3">
        <v>10</v>
      </c>
      <c r="U65" s="3">
        <v>0</v>
      </c>
      <c r="V65" s="4">
        <f>IF(ISERROR(VLOOKUP($S$65,'TAR FIN'!$A$1:$O$91,15,0)),0,VLOOKUP($S$65,'TAR FIN'!$A$1:$O$91,15,0))</f>
        <v>0</v>
      </c>
      <c r="W65" s="4">
        <f>IF(ISERROR(VLOOKUP($T$65,'TAR FIN'!$A$1:$O$91,15,0)),0,VLOOKUP($T$65,'TAR FIN'!$A$1:$O$91,15,0))</f>
        <v>1755.54</v>
      </c>
      <c r="X65" s="4">
        <f>IF(ISERROR(VLOOKUP($U$65,'TAR FIN'!$A$1:$O$91,15,0)),0,VLOOKUP($U$65,'TAR FIN'!$A$1:$O$91,15,0))</f>
        <v>0</v>
      </c>
      <c r="Y65" s="4"/>
      <c r="Z65" s="4">
        <f ca="1">('TUSD BE'!$AM$14+'TUSD BF'!$AM$14+'TUSD CVA'!$AM$14)*1</f>
        <v>1891.4266775287376</v>
      </c>
      <c r="AA65" s="4"/>
      <c r="AB65" s="4">
        <f t="shared" si="0"/>
        <v>0</v>
      </c>
      <c r="AC65" s="4">
        <f t="shared" si="6"/>
        <v>24785.730032652391</v>
      </c>
      <c r="AD65" s="4">
        <f t="shared" si="2"/>
        <v>0</v>
      </c>
      <c r="AE65" s="4">
        <f t="shared" ca="1" si="7"/>
        <v>26704.256813165157</v>
      </c>
      <c r="AF65" s="3" t="s">
        <v>776</v>
      </c>
    </row>
    <row r="66" spans="1:32" ht="11.25" customHeight="1" x14ac:dyDescent="0.3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54</v>
      </c>
      <c r="G66" s="3" t="s">
        <v>25</v>
      </c>
      <c r="H66" s="3" t="s">
        <v>34</v>
      </c>
      <c r="I66" s="6">
        <v>44501</v>
      </c>
      <c r="J66" s="4">
        <v>0</v>
      </c>
      <c r="K66" s="4">
        <v>0</v>
      </c>
      <c r="L66" s="4">
        <v>23.716999999999999</v>
      </c>
      <c r="M66" s="4">
        <v>7.5718536073299996</v>
      </c>
      <c r="N66" s="4">
        <v>0</v>
      </c>
      <c r="O66" s="4">
        <v>0</v>
      </c>
      <c r="P66" s="4">
        <v>0</v>
      </c>
      <c r="Q66" s="3" t="s">
        <v>55</v>
      </c>
      <c r="R66" s="3">
        <v>0</v>
      </c>
      <c r="S66" s="3">
        <v>0</v>
      </c>
      <c r="T66" s="3">
        <v>10</v>
      </c>
      <c r="U66" s="3">
        <v>0</v>
      </c>
      <c r="V66" s="4">
        <f>IF(ISERROR(VLOOKUP($S$66,'TAR FIN'!$A$1:$O$91,15,0)),0,VLOOKUP($S$66,'TAR FIN'!$A$1:$O$91,15,0))</f>
        <v>0</v>
      </c>
      <c r="W66" s="4">
        <f>IF(ISERROR(VLOOKUP($T$66,'TAR FIN'!$A$1:$O$91,15,0)),0,VLOOKUP($T$66,'TAR FIN'!$A$1:$O$91,15,0))</f>
        <v>1755.54</v>
      </c>
      <c r="X66" s="4">
        <f>IF(ISERROR(VLOOKUP($U$66,'TAR FIN'!$A$1:$O$91,15,0)),0,VLOOKUP($U$66,'TAR FIN'!$A$1:$O$91,15,0))</f>
        <v>0</v>
      </c>
      <c r="Y66" s="4"/>
      <c r="Z66" s="4">
        <f ca="1">('TUSD BE'!$AM$14+'TUSD BF'!$AM$14+'TUSD CVA'!$AM$14)*1</f>
        <v>1891.4266775287376</v>
      </c>
      <c r="AA66" s="4"/>
      <c r="AB66" s="4">
        <f t="shared" ref="AB66:AB129" si="8">(J66-K66)*V66</f>
        <v>0</v>
      </c>
      <c r="AC66" s="4">
        <f t="shared" ref="AC66:AC73" si="9">(L66-M66)*W66+(N66-O66)*X66</f>
        <v>28343.45029818789</v>
      </c>
      <c r="AD66" s="4">
        <f t="shared" ref="AD66:AD129" si="10">(J66-K66)*Y66</f>
        <v>0</v>
      </c>
      <c r="AE66" s="4">
        <f t="shared" ref="AE66:AE73" ca="1" si="11">(L66-M66)*Z66+(N66-O66)*AA66</f>
        <v>30537.360599702901</v>
      </c>
      <c r="AF66" s="3" t="s">
        <v>776</v>
      </c>
    </row>
    <row r="67" spans="1:32" ht="11.25" customHeight="1" x14ac:dyDescent="0.3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54</v>
      </c>
      <c r="G67" s="3" t="s">
        <v>25</v>
      </c>
      <c r="H67" s="3" t="s">
        <v>34</v>
      </c>
      <c r="I67" s="6">
        <v>44531</v>
      </c>
      <c r="J67" s="4">
        <v>0</v>
      </c>
      <c r="K67" s="4">
        <v>0</v>
      </c>
      <c r="L67" s="4">
        <v>28.638999999999999</v>
      </c>
      <c r="M67" s="4">
        <v>9.1432438951100004</v>
      </c>
      <c r="N67" s="4">
        <v>0</v>
      </c>
      <c r="O67" s="4">
        <v>0</v>
      </c>
      <c r="P67" s="4">
        <v>0</v>
      </c>
      <c r="Q67" s="3" t="s">
        <v>55</v>
      </c>
      <c r="R67" s="3">
        <v>0</v>
      </c>
      <c r="S67" s="3">
        <v>0</v>
      </c>
      <c r="T67" s="3">
        <v>10</v>
      </c>
      <c r="U67" s="3">
        <v>0</v>
      </c>
      <c r="V67" s="4">
        <f>IF(ISERROR(VLOOKUP($S$67,'TAR FIN'!$A$1:$O$91,15,0)),0,VLOOKUP($S$67,'TAR FIN'!$A$1:$O$91,15,0))</f>
        <v>0</v>
      </c>
      <c r="W67" s="4">
        <f>IF(ISERROR(VLOOKUP($T$67,'TAR FIN'!$A$1:$O$91,15,0)),0,VLOOKUP($T$67,'TAR FIN'!$A$1:$O$91,15,0))</f>
        <v>1755.54</v>
      </c>
      <c r="X67" s="4">
        <f>IF(ISERROR(VLOOKUP($U$67,'TAR FIN'!$A$1:$O$91,15,0)),0,VLOOKUP($U$67,'TAR FIN'!$A$1:$O$91,15,0))</f>
        <v>0</v>
      </c>
      <c r="Y67" s="4"/>
      <c r="Z67" s="4">
        <f ca="1">('TUSD BE'!$AM$14+'TUSD BF'!$AM$14+'TUSD CVA'!$AM$14)*1</f>
        <v>1891.4266775287376</v>
      </c>
      <c r="AA67" s="4"/>
      <c r="AB67" s="4">
        <f t="shared" si="8"/>
        <v>0</v>
      </c>
      <c r="AC67" s="4">
        <f t="shared" si="9"/>
        <v>34225.57967237859</v>
      </c>
      <c r="AD67" s="4">
        <f t="shared" si="10"/>
        <v>0</v>
      </c>
      <c r="AE67" s="4">
        <f t="shared" ca="1" si="11"/>
        <v>36874.793195382692</v>
      </c>
      <c r="AF67" s="3" t="s">
        <v>776</v>
      </c>
    </row>
    <row r="68" spans="1:32" ht="11.25" customHeight="1" x14ac:dyDescent="0.3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54</v>
      </c>
      <c r="G68" s="3" t="s">
        <v>25</v>
      </c>
      <c r="H68" s="3" t="s">
        <v>34</v>
      </c>
      <c r="I68" s="6">
        <v>44562</v>
      </c>
      <c r="J68" s="4">
        <v>0</v>
      </c>
      <c r="K68" s="4">
        <v>0</v>
      </c>
      <c r="L68" s="4">
        <v>29.315000000000001</v>
      </c>
      <c r="M68" s="4">
        <v>9.3590626343499999</v>
      </c>
      <c r="N68" s="4">
        <v>0</v>
      </c>
      <c r="O68" s="4">
        <v>0</v>
      </c>
      <c r="P68" s="4">
        <v>0</v>
      </c>
      <c r="Q68" s="3" t="s">
        <v>55</v>
      </c>
      <c r="R68" s="3">
        <v>0</v>
      </c>
      <c r="S68" s="3">
        <v>0</v>
      </c>
      <c r="T68" s="3">
        <v>10</v>
      </c>
      <c r="U68" s="3">
        <v>0</v>
      </c>
      <c r="V68" s="4">
        <f>IF(ISERROR(VLOOKUP($S$68,'TAR FIN'!$A$1:$O$91,15,0)),0,VLOOKUP($S$68,'TAR FIN'!$A$1:$O$91,15,0))</f>
        <v>0</v>
      </c>
      <c r="W68" s="4">
        <f>IF(ISERROR(VLOOKUP($T$68,'TAR FIN'!$A$1:$O$91,15,0)),0,VLOOKUP($T$68,'TAR FIN'!$A$1:$O$91,15,0))</f>
        <v>1755.54</v>
      </c>
      <c r="X68" s="4">
        <f>IF(ISERROR(VLOOKUP($U$68,'TAR FIN'!$A$1:$O$91,15,0)),0,VLOOKUP($U$68,'TAR FIN'!$A$1:$O$91,15,0))</f>
        <v>0</v>
      </c>
      <c r="Y68" s="4"/>
      <c r="Z68" s="4">
        <f ca="1">('TUSD BE'!$AM$14+'TUSD BF'!$AM$14+'TUSD CVA'!$AM$14)*1</f>
        <v>1891.4266775287376</v>
      </c>
      <c r="AA68" s="4"/>
      <c r="AB68" s="4">
        <f t="shared" si="8"/>
        <v>0</v>
      </c>
      <c r="AC68" s="4">
        <f t="shared" si="9"/>
        <v>35033.446282893201</v>
      </c>
      <c r="AD68" s="4">
        <f t="shared" si="10"/>
        <v>0</v>
      </c>
      <c r="AE68" s="4">
        <f t="shared" ca="1" si="11"/>
        <v>37745.192308482969</v>
      </c>
      <c r="AF68" s="3" t="s">
        <v>776</v>
      </c>
    </row>
    <row r="69" spans="1:32" ht="11.25" customHeight="1" x14ac:dyDescent="0.3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54</v>
      </c>
      <c r="G69" s="3" t="s">
        <v>25</v>
      </c>
      <c r="H69" s="3" t="s">
        <v>34</v>
      </c>
      <c r="I69" s="6">
        <v>44593</v>
      </c>
      <c r="J69" s="4">
        <v>0</v>
      </c>
      <c r="K69" s="4">
        <v>0</v>
      </c>
      <c r="L69" s="4">
        <v>29</v>
      </c>
      <c r="M69" s="4">
        <v>9.2584962100000006</v>
      </c>
      <c r="N69" s="4">
        <v>0</v>
      </c>
      <c r="O69" s="4">
        <v>0</v>
      </c>
      <c r="P69" s="4">
        <v>0</v>
      </c>
      <c r="Q69" s="3" t="s">
        <v>55</v>
      </c>
      <c r="R69" s="3">
        <v>0</v>
      </c>
      <c r="S69" s="3">
        <v>0</v>
      </c>
      <c r="T69" s="3">
        <v>10</v>
      </c>
      <c r="U69" s="3">
        <v>0</v>
      </c>
      <c r="V69" s="4">
        <f>IF(ISERROR(VLOOKUP($S$69,'TAR FIN'!$A$1:$O$91,15,0)),0,VLOOKUP($S$69,'TAR FIN'!$A$1:$O$91,15,0))</f>
        <v>0</v>
      </c>
      <c r="W69" s="4">
        <f>IF(ISERROR(VLOOKUP($T$69,'TAR FIN'!$A$1:$O$91,15,0)),0,VLOOKUP($T$69,'TAR FIN'!$A$1:$O$91,15,0))</f>
        <v>1755.54</v>
      </c>
      <c r="X69" s="4">
        <f>IF(ISERROR(VLOOKUP($U$69,'TAR FIN'!$A$1:$O$91,15,0)),0,VLOOKUP($U$69,'TAR FIN'!$A$1:$O$91,15,0))</f>
        <v>0</v>
      </c>
      <c r="Y69" s="4"/>
      <c r="Z69" s="4">
        <f ca="1">('TUSD BE'!$AM$14+'TUSD BF'!$AM$14+'TUSD CVA'!$AM$14)*1</f>
        <v>1891.4266775287376</v>
      </c>
      <c r="AA69" s="4"/>
      <c r="AB69" s="4">
        <f t="shared" si="8"/>
        <v>0</v>
      </c>
      <c r="AC69" s="4">
        <f t="shared" si="9"/>
        <v>34656.999563496596</v>
      </c>
      <c r="AD69" s="4">
        <f t="shared" si="10"/>
        <v>0</v>
      </c>
      <c r="AE69" s="4">
        <f t="shared" ca="1" si="11"/>
        <v>37339.606922940678</v>
      </c>
      <c r="AF69" s="3" t="s">
        <v>776</v>
      </c>
    </row>
    <row r="70" spans="1:32" ht="11.25" customHeight="1" x14ac:dyDescent="0.3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54</v>
      </c>
      <c r="G70" s="3" t="s">
        <v>25</v>
      </c>
      <c r="H70" s="3" t="s">
        <v>34</v>
      </c>
      <c r="I70" s="6">
        <v>44621</v>
      </c>
      <c r="J70" s="4">
        <v>0</v>
      </c>
      <c r="K70" s="4">
        <v>0</v>
      </c>
      <c r="L70" s="4">
        <v>72.227000000000004</v>
      </c>
      <c r="M70" s="4">
        <v>23.05908295723</v>
      </c>
      <c r="N70" s="4">
        <v>0</v>
      </c>
      <c r="O70" s="4">
        <v>0</v>
      </c>
      <c r="P70" s="4">
        <v>0</v>
      </c>
      <c r="Q70" s="3" t="s">
        <v>55</v>
      </c>
      <c r="R70" s="3">
        <v>0</v>
      </c>
      <c r="S70" s="3">
        <v>0</v>
      </c>
      <c r="T70" s="3">
        <v>10</v>
      </c>
      <c r="U70" s="3">
        <v>0</v>
      </c>
      <c r="V70" s="4">
        <f>IF(ISERROR(VLOOKUP($S$70,'TAR FIN'!$A$1:$O$91,15,0)),0,VLOOKUP($S$70,'TAR FIN'!$A$1:$O$91,15,0))</f>
        <v>0</v>
      </c>
      <c r="W70" s="4">
        <f>IF(ISERROR(VLOOKUP($T$70,'TAR FIN'!$A$1:$O$91,15,0)),0,VLOOKUP($T$70,'TAR FIN'!$A$1:$O$91,15,0))</f>
        <v>1755.54</v>
      </c>
      <c r="X70" s="4">
        <f>IF(ISERROR(VLOOKUP($U$70,'TAR FIN'!$A$1:$O$91,15,0)),0,VLOOKUP($U$70,'TAR FIN'!$A$1:$O$91,15,0))</f>
        <v>0</v>
      </c>
      <c r="Y70" s="4"/>
      <c r="Z70" s="4">
        <f ca="1">('TUSD BE'!$AM$14+'TUSD BF'!$AM$14+'TUSD CVA'!$AM$14)*1</f>
        <v>1891.4266775287376</v>
      </c>
      <c r="AA70" s="4"/>
      <c r="AB70" s="4">
        <f t="shared" si="8"/>
        <v>0</v>
      </c>
      <c r="AC70" s="4">
        <f t="shared" si="9"/>
        <v>86316.24508526444</v>
      </c>
      <c r="AD70" s="4">
        <f t="shared" si="10"/>
        <v>0</v>
      </c>
      <c r="AE70" s="4">
        <f t="shared" ca="1" si="11"/>
        <v>92997.509973215056</v>
      </c>
      <c r="AF70" s="3" t="s">
        <v>776</v>
      </c>
    </row>
    <row r="71" spans="1:32" ht="11.25" customHeight="1" x14ac:dyDescent="0.3">
      <c r="A71" s="3" t="s">
        <v>21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54</v>
      </c>
      <c r="G71" s="3" t="s">
        <v>25</v>
      </c>
      <c r="H71" s="3" t="s">
        <v>34</v>
      </c>
      <c r="I71" s="6">
        <v>44652</v>
      </c>
      <c r="J71" s="4">
        <v>0</v>
      </c>
      <c r="K71" s="4">
        <v>0</v>
      </c>
      <c r="L71" s="4">
        <v>42.276000000000003</v>
      </c>
      <c r="M71" s="4">
        <v>13.49697192324</v>
      </c>
      <c r="N71" s="4">
        <v>0</v>
      </c>
      <c r="O71" s="4">
        <v>0</v>
      </c>
      <c r="P71" s="4">
        <v>0</v>
      </c>
      <c r="Q71" s="3" t="s">
        <v>55</v>
      </c>
      <c r="R71" s="3">
        <v>0</v>
      </c>
      <c r="S71" s="3">
        <v>0</v>
      </c>
      <c r="T71" s="3">
        <v>10</v>
      </c>
      <c r="U71" s="3">
        <v>0</v>
      </c>
      <c r="V71" s="4">
        <f>IF(ISERROR(VLOOKUP($S$71,'TAR FIN'!$A$1:$O$91,15,0)),0,VLOOKUP($S$71,'TAR FIN'!$A$1:$O$91,15,0))</f>
        <v>0</v>
      </c>
      <c r="W71" s="4">
        <f>IF(ISERROR(VLOOKUP($T$71,'TAR FIN'!$A$1:$O$91,15,0)),0,VLOOKUP($T$71,'TAR FIN'!$A$1:$O$91,15,0))</f>
        <v>1755.54</v>
      </c>
      <c r="X71" s="4">
        <f>IF(ISERROR(VLOOKUP($U$71,'TAR FIN'!$A$1:$O$91,15,0)),0,VLOOKUP($U$71,'TAR FIN'!$A$1:$O$91,15,0))</f>
        <v>0</v>
      </c>
      <c r="Y71" s="4"/>
      <c r="Z71" s="4">
        <f ca="1">('TUSD BE'!$AM$14+'TUSD BF'!$AM$14+'TUSD CVA'!$AM$14)*1</f>
        <v>1891.4266775287376</v>
      </c>
      <c r="AA71" s="4"/>
      <c r="AB71" s="4">
        <f t="shared" si="8"/>
        <v>0</v>
      </c>
      <c r="AC71" s="4">
        <f t="shared" si="9"/>
        <v>50522.734949875252</v>
      </c>
      <c r="AD71" s="4">
        <f t="shared" si="10"/>
        <v>0</v>
      </c>
      <c r="AE71" s="4">
        <f t="shared" ca="1" si="11"/>
        <v>54433.421457732431</v>
      </c>
      <c r="AF71" s="3" t="s">
        <v>776</v>
      </c>
    </row>
    <row r="72" spans="1:32" ht="11.25" customHeight="1" x14ac:dyDescent="0.3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54</v>
      </c>
      <c r="G72" s="3" t="s">
        <v>25</v>
      </c>
      <c r="H72" s="3" t="s">
        <v>34</v>
      </c>
      <c r="I72" s="6">
        <v>44682</v>
      </c>
      <c r="J72" s="4">
        <v>0</v>
      </c>
      <c r="K72" s="4">
        <v>0</v>
      </c>
      <c r="L72" s="4">
        <v>53.362000000000002</v>
      </c>
      <c r="M72" s="4">
        <v>17.03627154338</v>
      </c>
      <c r="N72" s="4">
        <v>0</v>
      </c>
      <c r="O72" s="4">
        <v>0</v>
      </c>
      <c r="P72" s="4">
        <v>0</v>
      </c>
      <c r="Q72" s="3" t="s">
        <v>55</v>
      </c>
      <c r="R72" s="3">
        <v>0</v>
      </c>
      <c r="S72" s="3">
        <v>0</v>
      </c>
      <c r="T72" s="3">
        <v>10</v>
      </c>
      <c r="U72" s="3">
        <v>0</v>
      </c>
      <c r="V72" s="4">
        <f>IF(ISERROR(VLOOKUP($S$72,'TAR FIN'!$A$1:$O$91,15,0)),0,VLOOKUP($S$72,'TAR FIN'!$A$1:$O$91,15,0))</f>
        <v>0</v>
      </c>
      <c r="W72" s="4">
        <f>IF(ISERROR(VLOOKUP($T$72,'TAR FIN'!$A$1:$O$91,15,0)),0,VLOOKUP($T$72,'TAR FIN'!$A$1:$O$91,15,0))</f>
        <v>1755.54</v>
      </c>
      <c r="X72" s="4">
        <f>IF(ISERROR(VLOOKUP($U$72,'TAR FIN'!$A$1:$O$91,15,0)),0,VLOOKUP($U$72,'TAR FIN'!$A$1:$O$91,15,0))</f>
        <v>0</v>
      </c>
      <c r="Y72" s="4"/>
      <c r="Z72" s="4">
        <f ca="1">('TUSD BE'!$AM$14+'TUSD BF'!$AM$14+'TUSD CVA'!$AM$14)*1</f>
        <v>1891.4266775287376</v>
      </c>
      <c r="AA72" s="4"/>
      <c r="AB72" s="4">
        <f t="shared" si="8"/>
        <v>0</v>
      </c>
      <c r="AC72" s="4">
        <f t="shared" si="9"/>
        <v>63771.269334734672</v>
      </c>
      <c r="AD72" s="4">
        <f t="shared" si="10"/>
        <v>0</v>
      </c>
      <c r="AE72" s="4">
        <f t="shared" ca="1" si="11"/>
        <v>68707.451883515881</v>
      </c>
      <c r="AF72" s="3" t="s">
        <v>776</v>
      </c>
    </row>
    <row r="73" spans="1:32" ht="11.25" customHeight="1" x14ac:dyDescent="0.3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54</v>
      </c>
      <c r="G73" s="3" t="s">
        <v>25</v>
      </c>
      <c r="H73" s="3" t="s">
        <v>34</v>
      </c>
      <c r="I73" s="6">
        <v>44713</v>
      </c>
      <c r="J73" s="4">
        <v>0</v>
      </c>
      <c r="K73" s="4">
        <v>0</v>
      </c>
      <c r="L73" s="4">
        <v>50.908999999999999</v>
      </c>
      <c r="M73" s="4">
        <v>16.253130467409999</v>
      </c>
      <c r="N73" s="4">
        <v>0</v>
      </c>
      <c r="O73" s="4">
        <v>0</v>
      </c>
      <c r="P73" s="4">
        <v>0</v>
      </c>
      <c r="Q73" s="3" t="s">
        <v>55</v>
      </c>
      <c r="R73" s="3">
        <v>0</v>
      </c>
      <c r="S73" s="3">
        <v>0</v>
      </c>
      <c r="T73" s="3">
        <v>10</v>
      </c>
      <c r="U73" s="3">
        <v>0</v>
      </c>
      <c r="V73" s="4">
        <f>IF(ISERROR(VLOOKUP($S$73,'TAR FIN'!$A$1:$O$91,15,0)),0,VLOOKUP($S$73,'TAR FIN'!$A$1:$O$91,15,0))</f>
        <v>0</v>
      </c>
      <c r="W73" s="4">
        <f>IF(ISERROR(VLOOKUP($T$73,'TAR FIN'!$A$1:$O$91,15,0)),0,VLOOKUP($T$73,'TAR FIN'!$A$1:$O$91,15,0))</f>
        <v>1755.54</v>
      </c>
      <c r="X73" s="4">
        <f>IF(ISERROR(VLOOKUP($U$73,'TAR FIN'!$A$1:$O$91,15,0)),0,VLOOKUP($U$73,'TAR FIN'!$A$1:$O$91,15,0))</f>
        <v>0</v>
      </c>
      <c r="Y73" s="4"/>
      <c r="Z73" s="4">
        <f ca="1">('TUSD BE'!$AM$14+'TUSD BF'!$AM$14+'TUSD CVA'!$AM$14)*1</f>
        <v>1891.4266775287376</v>
      </c>
      <c r="AA73" s="4"/>
      <c r="AB73" s="4">
        <f t="shared" si="8"/>
        <v>0</v>
      </c>
      <c r="AC73" s="4">
        <f t="shared" si="9"/>
        <v>60839.765199243055</v>
      </c>
      <c r="AD73" s="4">
        <f t="shared" si="10"/>
        <v>0</v>
      </c>
      <c r="AE73" s="4">
        <f t="shared" ca="1" si="11"/>
        <v>65549.036166896112</v>
      </c>
      <c r="AF73" s="3" t="s">
        <v>776</v>
      </c>
    </row>
    <row r="74" spans="1:32" ht="11.25" customHeight="1" x14ac:dyDescent="0.3">
      <c r="A74" s="3" t="s">
        <v>21</v>
      </c>
      <c r="B74" s="3" t="s">
        <v>39</v>
      </c>
      <c r="C74" s="3" t="s">
        <v>40</v>
      </c>
      <c r="D74" s="3" t="s">
        <v>43</v>
      </c>
      <c r="E74" s="3" t="s">
        <v>25</v>
      </c>
      <c r="F74" s="3" t="s">
        <v>25</v>
      </c>
      <c r="G74" s="3" t="s">
        <v>25</v>
      </c>
      <c r="H74" s="3" t="s">
        <v>35</v>
      </c>
      <c r="I74" s="6">
        <v>44378</v>
      </c>
      <c r="J74" s="4">
        <v>0</v>
      </c>
      <c r="K74" s="88">
        <v>0</v>
      </c>
      <c r="L74" s="4">
        <v>8.7330000000000005</v>
      </c>
      <c r="M74" s="88">
        <v>8.7330000000000005</v>
      </c>
      <c r="N74" s="4">
        <v>8.7330000000000005</v>
      </c>
      <c r="O74" s="88">
        <v>8.7330000000000005</v>
      </c>
      <c r="P74" s="4">
        <v>0</v>
      </c>
      <c r="Q74" s="3" t="s">
        <v>26</v>
      </c>
      <c r="R74" s="3">
        <v>0</v>
      </c>
      <c r="S74" s="3">
        <v>0</v>
      </c>
      <c r="T74" s="3">
        <v>11</v>
      </c>
      <c r="U74" s="3">
        <v>52</v>
      </c>
      <c r="V74" s="88">
        <f>IF(ISERROR(VLOOKUP($S$74,'TAR FIN'!$A$1:$O$91,15,0)),0,VLOOKUP($S$74,'TAR FIN'!$A$1:$O$91,15,0))</f>
        <v>0</v>
      </c>
      <c r="W74" s="88">
        <f>IF(ISERROR(VLOOKUP($T$74,'TAR FIN'!$A$1:$O$91,15,0)),0,VLOOKUP($T$74,'TAR FIN'!$A$1:$O$91,15,0))*(1-0.04)</f>
        <v>86.918400000000005</v>
      </c>
      <c r="X74" s="88">
        <f>IF(ISERROR(VLOOKUP($U$74,'TAR FIN'!$A$1:$O$91,15,0)),0,VLOOKUP($U$74,'TAR FIN'!$A$1:$O$91,15,0))*(1-0.04)</f>
        <v>182.36160000000001</v>
      </c>
      <c r="Y74" s="88"/>
      <c r="Z74" s="88">
        <f ca="1">('TUSD BE'!$AM$15+'TUSD BF'!$AM$15+'TUSD CVA'!$AM$15)*1*(1-0.02)</f>
        <v>102.06358168134706</v>
      </c>
      <c r="AA74" s="88">
        <f>('TE BE'!$AB$6+'TE BF'!$AB$6+'TE CVA'!$AB$6)*1*(1-0.02)</f>
        <v>191.97913082263719</v>
      </c>
      <c r="AB74" s="88">
        <f>(SUBSIDIO!$J$74*SUBSIDIO!$V$74)*(0.04)/(1-0.04)</f>
        <v>0</v>
      </c>
      <c r="AC74" s="88">
        <f>((SUBSIDIO!$L$74*SUBSIDIO!$W$74)+(SUBSIDIO!$N$74*SUBSIDIO!$X$74))*(0.04)/(1-0.04)</f>
        <v>97.984260000000006</v>
      </c>
      <c r="AD74" s="88">
        <f>(SUBSIDIO!$J$74*SUBSIDIO!$Y$74)*(0.02)/(1-0.02)</f>
        <v>0</v>
      </c>
      <c r="AE74" s="88">
        <f ca="1">((SUBSIDIO!$L$74*SUBSIDIO!$Z$74)+(SUBSIDIO!$N$74*SUBSIDIO!$AA$74))*(0.02)/(1-0.02)</f>
        <v>52.405612414230504</v>
      </c>
      <c r="AF74" s="3" t="s">
        <v>777</v>
      </c>
    </row>
    <row r="75" spans="1:32" ht="11.25" customHeight="1" x14ac:dyDescent="0.3">
      <c r="A75" s="3" t="s">
        <v>21</v>
      </c>
      <c r="B75" s="3" t="s">
        <v>39</v>
      </c>
      <c r="C75" s="3" t="s">
        <v>40</v>
      </c>
      <c r="D75" s="3" t="s">
        <v>43</v>
      </c>
      <c r="E75" s="3" t="s">
        <v>25</v>
      </c>
      <c r="F75" s="3" t="s">
        <v>25</v>
      </c>
      <c r="G75" s="3" t="s">
        <v>25</v>
      </c>
      <c r="H75" s="3" t="s">
        <v>35</v>
      </c>
      <c r="I75" s="6">
        <v>44409</v>
      </c>
      <c r="J75" s="4">
        <v>0</v>
      </c>
      <c r="K75" s="88">
        <v>0</v>
      </c>
      <c r="L75" s="4">
        <v>2.7029999999999998</v>
      </c>
      <c r="M75" s="88">
        <v>2.7029999999999998</v>
      </c>
      <c r="N75" s="4">
        <v>2.7029999999999998</v>
      </c>
      <c r="O75" s="88">
        <v>2.7029999999999998</v>
      </c>
      <c r="P75" s="4">
        <v>0</v>
      </c>
      <c r="Q75" s="3" t="s">
        <v>26</v>
      </c>
      <c r="R75" s="3">
        <v>0</v>
      </c>
      <c r="S75" s="3">
        <v>0</v>
      </c>
      <c r="T75" s="3">
        <v>11</v>
      </c>
      <c r="U75" s="3">
        <v>52</v>
      </c>
      <c r="V75" s="88">
        <f>IF(ISERROR(VLOOKUP($S$75,'TAR FIN'!$A$1:$O$91,15,0)),0,VLOOKUP($S$75,'TAR FIN'!$A$1:$O$91,15,0))</f>
        <v>0</v>
      </c>
      <c r="W75" s="88">
        <f>IF(ISERROR(VLOOKUP($T$75,'TAR FIN'!$A$1:$O$91,15,0)),0,VLOOKUP($T$75,'TAR FIN'!$A$1:$O$91,15,0))*(1-0.04)</f>
        <v>86.918400000000005</v>
      </c>
      <c r="X75" s="88">
        <f>IF(ISERROR(VLOOKUP($U$75,'TAR FIN'!$A$1:$O$91,15,0)),0,VLOOKUP($U$75,'TAR FIN'!$A$1:$O$91,15,0))*(1-0.04)</f>
        <v>182.36160000000001</v>
      </c>
      <c r="Y75" s="88"/>
      <c r="Z75" s="88">
        <f ca="1">('TUSD BE'!$AM$15+'TUSD BF'!$AM$15+'TUSD CVA'!$AM$15)*1*(1-0.02)</f>
        <v>102.06358168134706</v>
      </c>
      <c r="AA75" s="88">
        <f>('TE BE'!$AB$6+'TE BF'!$AB$6+'TE CVA'!$AB$6)*1*(1-0.02)</f>
        <v>191.97913082263719</v>
      </c>
      <c r="AB75" s="88">
        <f>(SUBSIDIO!$J$75*SUBSIDIO!$V$75)*(0.04)/(1-0.04)</f>
        <v>0</v>
      </c>
      <c r="AC75" s="88">
        <f>((SUBSIDIO!$L$75*SUBSIDIO!$W$75)+(SUBSIDIO!$N$75*SUBSIDIO!$X$75))*(0.04)/(1-0.04)</f>
        <v>30.327660000000002</v>
      </c>
      <c r="AD75" s="88">
        <f>(SUBSIDIO!$J$75*SUBSIDIO!$Y$75)*(0.02)/(1-0.02)</f>
        <v>0</v>
      </c>
      <c r="AE75" s="88">
        <f ca="1">((SUBSIDIO!$L$75*SUBSIDIO!$Z$75)+(SUBSIDIO!$N$75*SUBSIDIO!$AA$75))*(0.02)/(1-0.02)</f>
        <v>16.220356161189173</v>
      </c>
      <c r="AF75" s="3" t="s">
        <v>777</v>
      </c>
    </row>
    <row r="76" spans="1:32" ht="11.25" customHeight="1" x14ac:dyDescent="0.3">
      <c r="A76" s="3" t="s">
        <v>21</v>
      </c>
      <c r="B76" s="3" t="s">
        <v>39</v>
      </c>
      <c r="C76" s="3" t="s">
        <v>40</v>
      </c>
      <c r="D76" s="3" t="s">
        <v>43</v>
      </c>
      <c r="E76" s="3" t="s">
        <v>25</v>
      </c>
      <c r="F76" s="3" t="s">
        <v>25</v>
      </c>
      <c r="G76" s="3" t="s">
        <v>25</v>
      </c>
      <c r="H76" s="3" t="s">
        <v>35</v>
      </c>
      <c r="I76" s="6">
        <v>44440</v>
      </c>
      <c r="J76" s="4">
        <v>0</v>
      </c>
      <c r="K76" s="88">
        <v>0</v>
      </c>
      <c r="L76" s="4">
        <v>3.448</v>
      </c>
      <c r="M76" s="88">
        <v>3.448</v>
      </c>
      <c r="N76" s="4">
        <v>3.448</v>
      </c>
      <c r="O76" s="88">
        <v>3.448</v>
      </c>
      <c r="P76" s="4">
        <v>0</v>
      </c>
      <c r="Q76" s="3" t="s">
        <v>26</v>
      </c>
      <c r="R76" s="3">
        <v>0</v>
      </c>
      <c r="S76" s="3">
        <v>0</v>
      </c>
      <c r="T76" s="3">
        <v>11</v>
      </c>
      <c r="U76" s="3">
        <v>52</v>
      </c>
      <c r="V76" s="88">
        <f>IF(ISERROR(VLOOKUP($S$76,'TAR FIN'!$A$1:$O$91,15,0)),0,VLOOKUP($S$76,'TAR FIN'!$A$1:$O$91,15,0))</f>
        <v>0</v>
      </c>
      <c r="W76" s="88">
        <f>IF(ISERROR(VLOOKUP($T$76,'TAR FIN'!$A$1:$O$91,15,0)),0,VLOOKUP($T$76,'TAR FIN'!$A$1:$O$91,15,0))*(1-0.04)</f>
        <v>86.918400000000005</v>
      </c>
      <c r="X76" s="88">
        <f>IF(ISERROR(VLOOKUP($U$76,'TAR FIN'!$A$1:$O$91,15,0)),0,VLOOKUP($U$76,'TAR FIN'!$A$1:$O$91,15,0))*(1-0.04)</f>
        <v>182.36160000000001</v>
      </c>
      <c r="Y76" s="88"/>
      <c r="Z76" s="88">
        <f ca="1">('TUSD BE'!$AM$15+'TUSD BF'!$AM$15+'TUSD CVA'!$AM$15)*1*(1-0.02)</f>
        <v>102.06358168134706</v>
      </c>
      <c r="AA76" s="88">
        <f>('TE BE'!$AB$6+'TE BF'!$AB$6+'TE CVA'!$AB$6)*1*(1-0.02)</f>
        <v>191.97913082263719</v>
      </c>
      <c r="AB76" s="88">
        <f>(SUBSIDIO!$J$76*SUBSIDIO!$V$76)*(0.04)/(1-0.04)</f>
        <v>0</v>
      </c>
      <c r="AC76" s="88">
        <f>((SUBSIDIO!$L$76*SUBSIDIO!$W$76)+(SUBSIDIO!$N$76*SUBSIDIO!$X$76))*(0.04)/(1-0.04)</f>
        <v>38.686560000000007</v>
      </c>
      <c r="AD76" s="88">
        <f>(SUBSIDIO!$J$76*SUBSIDIO!$Y$76)*(0.02)/(1-0.02)</f>
        <v>0</v>
      </c>
      <c r="AE76" s="88">
        <f ca="1">((SUBSIDIO!$L$76*SUBSIDIO!$Z$76)+(SUBSIDIO!$N$76*SUBSIDIO!$AA$76))*(0.02)/(1-0.02)</f>
        <v>20.691005565586483</v>
      </c>
      <c r="AF76" s="3" t="s">
        <v>777</v>
      </c>
    </row>
    <row r="77" spans="1:32" ht="11.25" customHeight="1" x14ac:dyDescent="0.3">
      <c r="A77" s="3" t="s">
        <v>21</v>
      </c>
      <c r="B77" s="3" t="s">
        <v>39</v>
      </c>
      <c r="C77" s="3" t="s">
        <v>40</v>
      </c>
      <c r="D77" s="3" t="s">
        <v>43</v>
      </c>
      <c r="E77" s="3" t="s">
        <v>25</v>
      </c>
      <c r="F77" s="3" t="s">
        <v>25</v>
      </c>
      <c r="G77" s="3" t="s">
        <v>25</v>
      </c>
      <c r="H77" s="3" t="s">
        <v>35</v>
      </c>
      <c r="I77" s="6">
        <v>44470</v>
      </c>
      <c r="J77" s="4">
        <v>0</v>
      </c>
      <c r="K77" s="88">
        <v>0</v>
      </c>
      <c r="L77" s="4">
        <v>4.165</v>
      </c>
      <c r="M77" s="88">
        <v>4.165</v>
      </c>
      <c r="N77" s="4">
        <v>4.165</v>
      </c>
      <c r="O77" s="88">
        <v>4.165</v>
      </c>
      <c r="P77" s="4">
        <v>0</v>
      </c>
      <c r="Q77" s="3" t="s">
        <v>26</v>
      </c>
      <c r="R77" s="3">
        <v>0</v>
      </c>
      <c r="S77" s="3">
        <v>0</v>
      </c>
      <c r="T77" s="3">
        <v>11</v>
      </c>
      <c r="U77" s="3">
        <v>52</v>
      </c>
      <c r="V77" s="88">
        <f>IF(ISERROR(VLOOKUP($S$77,'TAR FIN'!$A$1:$O$91,15,0)),0,VLOOKUP($S$77,'TAR FIN'!$A$1:$O$91,15,0))</f>
        <v>0</v>
      </c>
      <c r="W77" s="88">
        <f>IF(ISERROR(VLOOKUP($T$77,'TAR FIN'!$A$1:$O$91,15,0)),0,VLOOKUP($T$77,'TAR FIN'!$A$1:$O$91,15,0))*(1-0.04)</f>
        <v>86.918400000000005</v>
      </c>
      <c r="X77" s="88">
        <f>IF(ISERROR(VLOOKUP($U$77,'TAR FIN'!$A$1:$O$91,15,0)),0,VLOOKUP($U$77,'TAR FIN'!$A$1:$O$91,15,0))*(1-0.04)</f>
        <v>182.36160000000001</v>
      </c>
      <c r="Y77" s="88"/>
      <c r="Z77" s="88">
        <f ca="1">('TUSD BE'!$AM$15+'TUSD BF'!$AM$15+'TUSD CVA'!$AM$15)*1*(1-0.02)</f>
        <v>102.06358168134706</v>
      </c>
      <c r="AA77" s="88">
        <f>('TE BE'!$AB$6+'TE BF'!$AB$6+'TE CVA'!$AB$6)*1*(1-0.02)</f>
        <v>191.97913082263719</v>
      </c>
      <c r="AB77" s="88">
        <f>(SUBSIDIO!$J$77*SUBSIDIO!$V$77)*(0.04)/(1-0.04)</f>
        <v>0</v>
      </c>
      <c r="AC77" s="88">
        <f>((SUBSIDIO!$L$77*SUBSIDIO!$W$77)+(SUBSIDIO!$N$77*SUBSIDIO!$X$77))*(0.04)/(1-0.04)</f>
        <v>46.731300000000012</v>
      </c>
      <c r="AD77" s="88">
        <f>(SUBSIDIO!$J$77*SUBSIDIO!$Y$77)*(0.02)/(1-0.02)</f>
        <v>0</v>
      </c>
      <c r="AE77" s="88">
        <f ca="1">((SUBSIDIO!$L$77*SUBSIDIO!$Z$77)+(SUBSIDIO!$N$77*SUBSIDIO!$AA$77))*(0.02)/(1-0.02)</f>
        <v>24.993630562838661</v>
      </c>
      <c r="AF77" s="3" t="s">
        <v>777</v>
      </c>
    </row>
    <row r="78" spans="1:32" ht="11.25" customHeight="1" x14ac:dyDescent="0.3">
      <c r="A78" s="3" t="s">
        <v>21</v>
      </c>
      <c r="B78" s="3" t="s">
        <v>39</v>
      </c>
      <c r="C78" s="3" t="s">
        <v>40</v>
      </c>
      <c r="D78" s="3" t="s">
        <v>43</v>
      </c>
      <c r="E78" s="3" t="s">
        <v>25</v>
      </c>
      <c r="F78" s="3" t="s">
        <v>25</v>
      </c>
      <c r="G78" s="3" t="s">
        <v>25</v>
      </c>
      <c r="H78" s="3" t="s">
        <v>35</v>
      </c>
      <c r="I78" s="6">
        <v>44501</v>
      </c>
      <c r="J78" s="4">
        <v>0</v>
      </c>
      <c r="K78" s="88">
        <v>0</v>
      </c>
      <c r="L78" s="4">
        <v>2.2269999999999999</v>
      </c>
      <c r="M78" s="88">
        <v>2.2269999999999999</v>
      </c>
      <c r="N78" s="4">
        <v>2.2269999999999999</v>
      </c>
      <c r="O78" s="88">
        <v>2.2269999999999999</v>
      </c>
      <c r="P78" s="4">
        <v>0</v>
      </c>
      <c r="Q78" s="3" t="s">
        <v>26</v>
      </c>
      <c r="R78" s="3">
        <v>0</v>
      </c>
      <c r="S78" s="3">
        <v>0</v>
      </c>
      <c r="T78" s="3">
        <v>11</v>
      </c>
      <c r="U78" s="3">
        <v>52</v>
      </c>
      <c r="V78" s="88">
        <f>IF(ISERROR(VLOOKUP($S$78,'TAR FIN'!$A$1:$O$91,15,0)),0,VLOOKUP($S$78,'TAR FIN'!$A$1:$O$91,15,0))</f>
        <v>0</v>
      </c>
      <c r="W78" s="88">
        <f>IF(ISERROR(VLOOKUP($T$78,'TAR FIN'!$A$1:$O$91,15,0)),0,VLOOKUP($T$78,'TAR FIN'!$A$1:$O$91,15,0))*(1-0.04)</f>
        <v>86.918400000000005</v>
      </c>
      <c r="X78" s="88">
        <f>IF(ISERROR(VLOOKUP($U$78,'TAR FIN'!$A$1:$O$91,15,0)),0,VLOOKUP($U$78,'TAR FIN'!$A$1:$O$91,15,0))*(1-0.04)</f>
        <v>182.36160000000001</v>
      </c>
      <c r="Y78" s="88"/>
      <c r="Z78" s="88">
        <f ca="1">('TUSD BE'!$AM$15+'TUSD BF'!$AM$15+'TUSD CVA'!$AM$15)*1*(1-0.02)</f>
        <v>102.06358168134706</v>
      </c>
      <c r="AA78" s="88">
        <f>('TE BE'!$AB$6+'TE BF'!$AB$6+'TE CVA'!$AB$6)*1*(1-0.02)</f>
        <v>191.97913082263719</v>
      </c>
      <c r="AB78" s="88">
        <f>(SUBSIDIO!$J$78*SUBSIDIO!$V$78)*(0.04)/(1-0.04)</f>
        <v>0</v>
      </c>
      <c r="AC78" s="88">
        <f>((SUBSIDIO!$L$78*SUBSIDIO!$W$78)+(SUBSIDIO!$N$78*SUBSIDIO!$X$78))*(0.04)/(1-0.04)</f>
        <v>24.986940000000001</v>
      </c>
      <c r="AD78" s="88">
        <f>(SUBSIDIO!$J$78*SUBSIDIO!$Y$78)*(0.02)/(1-0.02)</f>
        <v>0</v>
      </c>
      <c r="AE78" s="88">
        <f ca="1">((SUBSIDIO!$L$78*SUBSIDIO!$Z$78)+(SUBSIDIO!$N$78*SUBSIDIO!$AA$78))*(0.02)/(1-0.02)</f>
        <v>13.363941239721896</v>
      </c>
      <c r="AF78" s="3" t="s">
        <v>777</v>
      </c>
    </row>
    <row r="79" spans="1:32" ht="11.25" customHeight="1" x14ac:dyDescent="0.3">
      <c r="A79" s="3" t="s">
        <v>21</v>
      </c>
      <c r="B79" s="3" t="s">
        <v>39</v>
      </c>
      <c r="C79" s="3" t="s">
        <v>40</v>
      </c>
      <c r="D79" s="3" t="s">
        <v>43</v>
      </c>
      <c r="E79" s="3" t="s">
        <v>25</v>
      </c>
      <c r="F79" s="3" t="s">
        <v>25</v>
      </c>
      <c r="G79" s="3" t="s">
        <v>25</v>
      </c>
      <c r="H79" s="3" t="s">
        <v>35</v>
      </c>
      <c r="I79" s="6">
        <v>44531</v>
      </c>
      <c r="J79" s="4">
        <v>0</v>
      </c>
      <c r="K79" s="88">
        <v>0</v>
      </c>
      <c r="L79" s="4">
        <v>0.65800000000000003</v>
      </c>
      <c r="M79" s="88">
        <v>0.65800000000000003</v>
      </c>
      <c r="N79" s="4">
        <v>0.65800000000000003</v>
      </c>
      <c r="O79" s="88">
        <v>0.65800000000000003</v>
      </c>
      <c r="P79" s="4">
        <v>0</v>
      </c>
      <c r="Q79" s="3" t="s">
        <v>26</v>
      </c>
      <c r="R79" s="3">
        <v>0</v>
      </c>
      <c r="S79" s="3">
        <v>0</v>
      </c>
      <c r="T79" s="3">
        <v>11</v>
      </c>
      <c r="U79" s="3">
        <v>52</v>
      </c>
      <c r="V79" s="88">
        <f>IF(ISERROR(VLOOKUP($S$79,'TAR FIN'!$A$1:$O$91,15,0)),0,VLOOKUP($S$79,'TAR FIN'!$A$1:$O$91,15,0))</f>
        <v>0</v>
      </c>
      <c r="W79" s="88">
        <f>IF(ISERROR(VLOOKUP($T$79,'TAR FIN'!$A$1:$O$91,15,0)),0,VLOOKUP($T$79,'TAR FIN'!$A$1:$O$91,15,0))*(1-0.04)</f>
        <v>86.918400000000005</v>
      </c>
      <c r="X79" s="88">
        <f>IF(ISERROR(VLOOKUP($U$79,'TAR FIN'!$A$1:$O$91,15,0)),0,VLOOKUP($U$79,'TAR FIN'!$A$1:$O$91,15,0))*(1-0.04)</f>
        <v>182.36160000000001</v>
      </c>
      <c r="Y79" s="88"/>
      <c r="Z79" s="88">
        <f ca="1">('TUSD BE'!$AM$15+'TUSD BF'!$AM$15+'TUSD CVA'!$AM$15)*1*(1-0.02)</f>
        <v>102.06358168134706</v>
      </c>
      <c r="AA79" s="88">
        <f>('TE BE'!$AB$6+'TE BF'!$AB$6+'TE CVA'!$AB$6)*1*(1-0.02)</f>
        <v>191.97913082263719</v>
      </c>
      <c r="AB79" s="88">
        <f>(SUBSIDIO!$J$79*SUBSIDIO!$V$79)*(0.04)/(1-0.04)</f>
        <v>0</v>
      </c>
      <c r="AC79" s="88">
        <f>((SUBSIDIO!$L$79*SUBSIDIO!$W$79)+(SUBSIDIO!$N$79*SUBSIDIO!$X$79))*(0.04)/(1-0.04)</f>
        <v>7.3827600000000011</v>
      </c>
      <c r="AD79" s="88">
        <f>(SUBSIDIO!$J$79*SUBSIDIO!$Y$79)*(0.02)/(1-0.02)</f>
        <v>0</v>
      </c>
      <c r="AE79" s="88">
        <f ca="1">((SUBSIDIO!$L$79*SUBSIDIO!$Z$79)+(SUBSIDIO!$N$79*SUBSIDIO!$AA$79))*(0.02)/(1-0.02)</f>
        <v>3.9485735679106457</v>
      </c>
      <c r="AF79" s="3" t="s">
        <v>777</v>
      </c>
    </row>
    <row r="80" spans="1:32" ht="11.25" customHeight="1" x14ac:dyDescent="0.3">
      <c r="A80" s="3" t="s">
        <v>21</v>
      </c>
      <c r="B80" s="3" t="s">
        <v>39</v>
      </c>
      <c r="C80" s="3" t="s">
        <v>40</v>
      </c>
      <c r="D80" s="3" t="s">
        <v>43</v>
      </c>
      <c r="E80" s="3" t="s">
        <v>25</v>
      </c>
      <c r="F80" s="3" t="s">
        <v>25</v>
      </c>
      <c r="G80" s="3" t="s">
        <v>25</v>
      </c>
      <c r="H80" s="3" t="s">
        <v>35</v>
      </c>
      <c r="I80" s="6">
        <v>44562</v>
      </c>
      <c r="J80" s="4">
        <v>0</v>
      </c>
      <c r="K80" s="88">
        <v>0</v>
      </c>
      <c r="L80" s="4">
        <v>0.996</v>
      </c>
      <c r="M80" s="88">
        <v>0.996</v>
      </c>
      <c r="N80" s="4">
        <v>0.996</v>
      </c>
      <c r="O80" s="88">
        <v>0.996</v>
      </c>
      <c r="P80" s="4">
        <v>0</v>
      </c>
      <c r="Q80" s="3" t="s">
        <v>26</v>
      </c>
      <c r="R80" s="3">
        <v>0</v>
      </c>
      <c r="S80" s="3">
        <v>0</v>
      </c>
      <c r="T80" s="3">
        <v>11</v>
      </c>
      <c r="U80" s="3">
        <v>52</v>
      </c>
      <c r="V80" s="88">
        <f>IF(ISERROR(VLOOKUP($S$80,'TAR FIN'!$A$1:$O$91,15,0)),0,VLOOKUP($S$80,'TAR FIN'!$A$1:$O$91,15,0))</f>
        <v>0</v>
      </c>
      <c r="W80" s="88">
        <f>IF(ISERROR(VLOOKUP($T$80,'TAR FIN'!$A$1:$O$91,15,0)),0,VLOOKUP($T$80,'TAR FIN'!$A$1:$O$91,15,0))*(1-0.04)</f>
        <v>86.918400000000005</v>
      </c>
      <c r="X80" s="88">
        <f>IF(ISERROR(VLOOKUP($U$80,'TAR FIN'!$A$1:$O$91,15,0)),0,VLOOKUP($U$80,'TAR FIN'!$A$1:$O$91,15,0))*(1-0.04)</f>
        <v>182.36160000000001</v>
      </c>
      <c r="Y80" s="88"/>
      <c r="Z80" s="88">
        <f ca="1">('TUSD BE'!$AM$15+'TUSD BF'!$AM$15+'TUSD CVA'!$AM$15)*1*(1-0.02)</f>
        <v>102.06358168134706</v>
      </c>
      <c r="AA80" s="88">
        <f>('TE BE'!$AB$6+'TE BF'!$AB$6+'TE CVA'!$AB$6)*1*(1-0.02)</f>
        <v>191.97913082263719</v>
      </c>
      <c r="AB80" s="88">
        <f>(SUBSIDIO!$J$80*SUBSIDIO!$V$80)*(0.04)/(1-0.04)</f>
        <v>0</v>
      </c>
      <c r="AC80" s="88">
        <f>((SUBSIDIO!$L$80*SUBSIDIO!$W$80)+(SUBSIDIO!$N$80*SUBSIDIO!$X$80))*(0.04)/(1-0.04)</f>
        <v>11.17512</v>
      </c>
      <c r="AD80" s="88">
        <f>(SUBSIDIO!$J$80*SUBSIDIO!$Y$80)*(0.02)/(1-0.02)</f>
        <v>0</v>
      </c>
      <c r="AE80" s="88">
        <f ca="1">((SUBSIDIO!$L$80*SUBSIDIO!$Z$80)+(SUBSIDIO!$N$80*SUBSIDIO!$AA$80))*(0.02)/(1-0.02)</f>
        <v>5.976868197019761</v>
      </c>
      <c r="AF80" s="3" t="s">
        <v>777</v>
      </c>
    </row>
    <row r="81" spans="1:32" ht="11.25" customHeight="1" x14ac:dyDescent="0.3">
      <c r="A81" s="3" t="s">
        <v>21</v>
      </c>
      <c r="B81" s="3" t="s">
        <v>39</v>
      </c>
      <c r="C81" s="3" t="s">
        <v>40</v>
      </c>
      <c r="D81" s="3" t="s">
        <v>43</v>
      </c>
      <c r="E81" s="3" t="s">
        <v>25</v>
      </c>
      <c r="F81" s="3" t="s">
        <v>25</v>
      </c>
      <c r="G81" s="3" t="s">
        <v>25</v>
      </c>
      <c r="H81" s="3" t="s">
        <v>35</v>
      </c>
      <c r="I81" s="6">
        <v>44593</v>
      </c>
      <c r="J81" s="4">
        <v>0</v>
      </c>
      <c r="K81" s="88">
        <v>0</v>
      </c>
      <c r="L81" s="4">
        <v>3.266</v>
      </c>
      <c r="M81" s="88">
        <v>3.266</v>
      </c>
      <c r="N81" s="4">
        <v>3.266</v>
      </c>
      <c r="O81" s="88">
        <v>3.266</v>
      </c>
      <c r="P81" s="4">
        <v>0</v>
      </c>
      <c r="Q81" s="3" t="s">
        <v>26</v>
      </c>
      <c r="R81" s="3">
        <v>0</v>
      </c>
      <c r="S81" s="3">
        <v>0</v>
      </c>
      <c r="T81" s="3">
        <v>11</v>
      </c>
      <c r="U81" s="3">
        <v>52</v>
      </c>
      <c r="V81" s="88">
        <f>IF(ISERROR(VLOOKUP($S$81,'TAR FIN'!$A$1:$O$91,15,0)),0,VLOOKUP($S$81,'TAR FIN'!$A$1:$O$91,15,0))</f>
        <v>0</v>
      </c>
      <c r="W81" s="88">
        <f>IF(ISERROR(VLOOKUP($T$81,'TAR FIN'!$A$1:$O$91,15,0)),0,VLOOKUP($T$81,'TAR FIN'!$A$1:$O$91,15,0))*(1-0.04)</f>
        <v>86.918400000000005</v>
      </c>
      <c r="X81" s="88">
        <f>IF(ISERROR(VLOOKUP($U$81,'TAR FIN'!$A$1:$O$91,15,0)),0,VLOOKUP($U$81,'TAR FIN'!$A$1:$O$91,15,0))*(1-0.04)</f>
        <v>182.36160000000001</v>
      </c>
      <c r="Y81" s="88"/>
      <c r="Z81" s="88">
        <f ca="1">('TUSD BE'!$AM$15+'TUSD BF'!$AM$15+'TUSD CVA'!$AM$15)*1*(1-0.02)</f>
        <v>102.06358168134706</v>
      </c>
      <c r="AA81" s="88">
        <f>('TE BE'!$AB$6+'TE BF'!$AB$6+'TE CVA'!$AB$6)*1*(1-0.02)</f>
        <v>191.97913082263719</v>
      </c>
      <c r="AB81" s="88">
        <f>(SUBSIDIO!$J$81*SUBSIDIO!$V$81)*(0.04)/(1-0.04)</f>
        <v>0</v>
      </c>
      <c r="AC81" s="88">
        <f>((SUBSIDIO!$L$81*SUBSIDIO!$W$81)+(SUBSIDIO!$N$81*SUBSIDIO!$X$81))*(0.04)/(1-0.04)</f>
        <v>36.644520000000007</v>
      </c>
      <c r="AD81" s="88">
        <f>(SUBSIDIO!$J$81*SUBSIDIO!$Y$81)*(0.02)/(1-0.02)</f>
        <v>0</v>
      </c>
      <c r="AE81" s="88">
        <f ca="1">((SUBSIDIO!$L$81*SUBSIDIO!$Z$81)+(SUBSIDIO!$N$81*SUBSIDIO!$AA$81))*(0.02)/(1-0.02)</f>
        <v>19.598846919143117</v>
      </c>
      <c r="AF81" s="3" t="s">
        <v>777</v>
      </c>
    </row>
    <row r="82" spans="1:32" ht="11.25" customHeight="1" x14ac:dyDescent="0.3">
      <c r="A82" s="3" t="s">
        <v>21</v>
      </c>
      <c r="B82" s="3" t="s">
        <v>39</v>
      </c>
      <c r="C82" s="3" t="s">
        <v>40</v>
      </c>
      <c r="D82" s="3" t="s">
        <v>43</v>
      </c>
      <c r="E82" s="3" t="s">
        <v>25</v>
      </c>
      <c r="F82" s="3" t="s">
        <v>25</v>
      </c>
      <c r="G82" s="3" t="s">
        <v>25</v>
      </c>
      <c r="H82" s="3" t="s">
        <v>35</v>
      </c>
      <c r="I82" s="6">
        <v>44621</v>
      </c>
      <c r="J82" s="4">
        <v>0</v>
      </c>
      <c r="K82" s="88">
        <v>0</v>
      </c>
      <c r="L82" s="4">
        <v>20.085000000000001</v>
      </c>
      <c r="M82" s="88">
        <v>20.085000000000001</v>
      </c>
      <c r="N82" s="4">
        <v>20.085000000000001</v>
      </c>
      <c r="O82" s="88">
        <v>20.085000000000001</v>
      </c>
      <c r="P82" s="4">
        <v>0</v>
      </c>
      <c r="Q82" s="3" t="s">
        <v>26</v>
      </c>
      <c r="R82" s="3">
        <v>0</v>
      </c>
      <c r="S82" s="3">
        <v>0</v>
      </c>
      <c r="T82" s="3">
        <v>11</v>
      </c>
      <c r="U82" s="3">
        <v>52</v>
      </c>
      <c r="V82" s="88">
        <f>IF(ISERROR(VLOOKUP($S$82,'TAR FIN'!$A$1:$O$91,15,0)),0,VLOOKUP($S$82,'TAR FIN'!$A$1:$O$91,15,0))</f>
        <v>0</v>
      </c>
      <c r="W82" s="88">
        <f>IF(ISERROR(VLOOKUP($T$82,'TAR FIN'!$A$1:$O$91,15,0)),0,VLOOKUP($T$82,'TAR FIN'!$A$1:$O$91,15,0))*(1-0.04)</f>
        <v>86.918400000000005</v>
      </c>
      <c r="X82" s="88">
        <f>IF(ISERROR(VLOOKUP($U$82,'TAR FIN'!$A$1:$O$91,15,0)),0,VLOOKUP($U$82,'TAR FIN'!$A$1:$O$91,15,0))*(1-0.04)</f>
        <v>182.36160000000001</v>
      </c>
      <c r="Y82" s="88"/>
      <c r="Z82" s="88">
        <f ca="1">('TUSD BE'!$AM$15+'TUSD BF'!$AM$15+'TUSD CVA'!$AM$15)*1*(1-0.02)</f>
        <v>102.06358168134706</v>
      </c>
      <c r="AA82" s="88">
        <f>('TE BE'!$AB$6+'TE BF'!$AB$6+'TE CVA'!$AB$6)*1*(1-0.02)</f>
        <v>191.97913082263719</v>
      </c>
      <c r="AB82" s="88">
        <f>(SUBSIDIO!$J$82*SUBSIDIO!$V$82)*(0.04)/(1-0.04)</f>
        <v>0</v>
      </c>
      <c r="AC82" s="88">
        <f>((SUBSIDIO!$L$82*SUBSIDIO!$W$82)+(SUBSIDIO!$N$82*SUBSIDIO!$X$82))*(0.04)/(1-0.04)</f>
        <v>225.35370000000006</v>
      </c>
      <c r="AD82" s="88">
        <f>(SUBSIDIO!$J$82*SUBSIDIO!$Y$82)*(0.02)/(1-0.02)</f>
        <v>0</v>
      </c>
      <c r="AE82" s="88">
        <f ca="1">((SUBSIDIO!$L$82*SUBSIDIO!$Z$82)+(SUBSIDIO!$N$82*SUBSIDIO!$AA$82))*(0.02)/(1-0.02)</f>
        <v>120.52750776821476</v>
      </c>
      <c r="AF82" s="3" t="s">
        <v>777</v>
      </c>
    </row>
    <row r="83" spans="1:32" ht="11.25" customHeight="1" x14ac:dyDescent="0.3">
      <c r="A83" s="3" t="s">
        <v>21</v>
      </c>
      <c r="B83" s="3" t="s">
        <v>39</v>
      </c>
      <c r="C83" s="3" t="s">
        <v>40</v>
      </c>
      <c r="D83" s="3" t="s">
        <v>43</v>
      </c>
      <c r="E83" s="3" t="s">
        <v>25</v>
      </c>
      <c r="F83" s="3" t="s">
        <v>25</v>
      </c>
      <c r="G83" s="3" t="s">
        <v>25</v>
      </c>
      <c r="H83" s="3" t="s">
        <v>35</v>
      </c>
      <c r="I83" s="6">
        <v>44652</v>
      </c>
      <c r="J83" s="4">
        <v>0</v>
      </c>
      <c r="K83" s="88">
        <v>0</v>
      </c>
      <c r="L83" s="4">
        <v>24.28</v>
      </c>
      <c r="M83" s="88">
        <v>24.28</v>
      </c>
      <c r="N83" s="4">
        <v>24.28</v>
      </c>
      <c r="O83" s="88">
        <v>24.28</v>
      </c>
      <c r="P83" s="4">
        <v>0</v>
      </c>
      <c r="Q83" s="3" t="s">
        <v>26</v>
      </c>
      <c r="R83" s="3">
        <v>0</v>
      </c>
      <c r="S83" s="3">
        <v>0</v>
      </c>
      <c r="T83" s="3">
        <v>11</v>
      </c>
      <c r="U83" s="3">
        <v>52</v>
      </c>
      <c r="V83" s="88">
        <f>IF(ISERROR(VLOOKUP($S$83,'TAR FIN'!$A$1:$O$91,15,0)),0,VLOOKUP($S$83,'TAR FIN'!$A$1:$O$91,15,0))</f>
        <v>0</v>
      </c>
      <c r="W83" s="88">
        <f>IF(ISERROR(VLOOKUP($T$83,'TAR FIN'!$A$1:$O$91,15,0)),0,VLOOKUP($T$83,'TAR FIN'!$A$1:$O$91,15,0))*(1-0.04)</f>
        <v>86.918400000000005</v>
      </c>
      <c r="X83" s="88">
        <f>IF(ISERROR(VLOOKUP($U$83,'TAR FIN'!$A$1:$O$91,15,0)),0,VLOOKUP($U$83,'TAR FIN'!$A$1:$O$91,15,0))*(1-0.04)</f>
        <v>182.36160000000001</v>
      </c>
      <c r="Y83" s="88"/>
      <c r="Z83" s="88">
        <f ca="1">('TUSD BE'!$AM$15+'TUSD BF'!$AM$15+'TUSD CVA'!$AM$15)*1*(1-0.02)</f>
        <v>102.06358168134706</v>
      </c>
      <c r="AA83" s="88">
        <f>('TE BE'!$AB$6+'TE BF'!$AB$6+'TE CVA'!$AB$6)*1*(1-0.02)</f>
        <v>191.97913082263719</v>
      </c>
      <c r="AB83" s="88">
        <f>(SUBSIDIO!$J$83*SUBSIDIO!$V$83)*(0.04)/(1-0.04)</f>
        <v>0</v>
      </c>
      <c r="AC83" s="88">
        <f>((SUBSIDIO!$L$83*SUBSIDIO!$W$83)+(SUBSIDIO!$N$83*SUBSIDIO!$X$83))*(0.04)/(1-0.04)</f>
        <v>272.42160000000007</v>
      </c>
      <c r="AD83" s="88">
        <f>(SUBSIDIO!$J$83*SUBSIDIO!$Y$83)*(0.02)/(1-0.02)</f>
        <v>0</v>
      </c>
      <c r="AE83" s="88">
        <f ca="1">((SUBSIDIO!$L$83*SUBSIDIO!$Z$83)+(SUBSIDIO!$N$83*SUBSIDIO!$AA$83))*(0.02)/(1-0.02)</f>
        <v>145.70116448156608</v>
      </c>
      <c r="AF83" s="3" t="s">
        <v>777</v>
      </c>
    </row>
    <row r="84" spans="1:32" ht="11.25" customHeight="1" x14ac:dyDescent="0.3">
      <c r="A84" s="3" t="s">
        <v>21</v>
      </c>
      <c r="B84" s="3" t="s">
        <v>39</v>
      </c>
      <c r="C84" s="3" t="s">
        <v>40</v>
      </c>
      <c r="D84" s="3" t="s">
        <v>43</v>
      </c>
      <c r="E84" s="3" t="s">
        <v>25</v>
      </c>
      <c r="F84" s="3" t="s">
        <v>25</v>
      </c>
      <c r="G84" s="3" t="s">
        <v>25</v>
      </c>
      <c r="H84" s="3" t="s">
        <v>35</v>
      </c>
      <c r="I84" s="6">
        <v>44682</v>
      </c>
      <c r="J84" s="4">
        <v>0</v>
      </c>
      <c r="K84" s="88">
        <v>0</v>
      </c>
      <c r="L84" s="4">
        <v>12.068</v>
      </c>
      <c r="M84" s="88">
        <v>12.068</v>
      </c>
      <c r="N84" s="4">
        <v>12.068</v>
      </c>
      <c r="O84" s="88">
        <v>12.068</v>
      </c>
      <c r="P84" s="4">
        <v>0</v>
      </c>
      <c r="Q84" s="3" t="s">
        <v>26</v>
      </c>
      <c r="R84" s="3">
        <v>0</v>
      </c>
      <c r="S84" s="3">
        <v>0</v>
      </c>
      <c r="T84" s="3">
        <v>11</v>
      </c>
      <c r="U84" s="3">
        <v>52</v>
      </c>
      <c r="V84" s="88">
        <f>IF(ISERROR(VLOOKUP($S$84,'TAR FIN'!$A$1:$O$91,15,0)),0,VLOOKUP($S$84,'TAR FIN'!$A$1:$O$91,15,0))</f>
        <v>0</v>
      </c>
      <c r="W84" s="88">
        <f>IF(ISERROR(VLOOKUP($T$84,'TAR FIN'!$A$1:$O$91,15,0)),0,VLOOKUP($T$84,'TAR FIN'!$A$1:$O$91,15,0))*(1-0.04)</f>
        <v>86.918400000000005</v>
      </c>
      <c r="X84" s="88">
        <f>IF(ISERROR(VLOOKUP($U$84,'TAR FIN'!$A$1:$O$91,15,0)),0,VLOOKUP($U$84,'TAR FIN'!$A$1:$O$91,15,0))*(1-0.04)</f>
        <v>182.36160000000001</v>
      </c>
      <c r="Y84" s="88"/>
      <c r="Z84" s="88">
        <f ca="1">('TUSD BE'!$AM$15+'TUSD BF'!$AM$15+'TUSD CVA'!$AM$15)*1*(1-0.02)</f>
        <v>102.06358168134706</v>
      </c>
      <c r="AA84" s="88">
        <f>('TE BE'!$AB$6+'TE BF'!$AB$6+'TE CVA'!$AB$6)*1*(1-0.02)</f>
        <v>191.97913082263719</v>
      </c>
      <c r="AB84" s="88">
        <f>(SUBSIDIO!$J$84*SUBSIDIO!$V$84)*(0.04)/(1-0.04)</f>
        <v>0</v>
      </c>
      <c r="AC84" s="88">
        <f>((SUBSIDIO!$L$84*SUBSIDIO!$W$84)+(SUBSIDIO!$N$84*SUBSIDIO!$X$84))*(0.04)/(1-0.04)</f>
        <v>135.40296000000004</v>
      </c>
      <c r="AD84" s="88">
        <f>(SUBSIDIO!$J$84*SUBSIDIO!$Y$84)*(0.02)/(1-0.02)</f>
        <v>0</v>
      </c>
      <c r="AE84" s="88">
        <f ca="1">((SUBSIDIO!$L$84*SUBSIDIO!$Z$84)+(SUBSIDIO!$N$84*SUBSIDIO!$AA$84))*(0.02)/(1-0.02)</f>
        <v>72.4185194795527</v>
      </c>
      <c r="AF84" s="3" t="s">
        <v>777</v>
      </c>
    </row>
    <row r="85" spans="1:32" ht="11.25" customHeight="1" x14ac:dyDescent="0.3">
      <c r="A85" s="3" t="s">
        <v>21</v>
      </c>
      <c r="B85" s="3" t="s">
        <v>39</v>
      </c>
      <c r="C85" s="3" t="s">
        <v>40</v>
      </c>
      <c r="D85" s="3" t="s">
        <v>43</v>
      </c>
      <c r="E85" s="3" t="s">
        <v>25</v>
      </c>
      <c r="F85" s="3" t="s">
        <v>25</v>
      </c>
      <c r="G85" s="3" t="s">
        <v>25</v>
      </c>
      <c r="H85" s="3" t="s">
        <v>35</v>
      </c>
      <c r="I85" s="6">
        <v>44713</v>
      </c>
      <c r="J85" s="4">
        <v>0</v>
      </c>
      <c r="K85" s="88">
        <v>0</v>
      </c>
      <c r="L85" s="4">
        <v>9.1359999999999992</v>
      </c>
      <c r="M85" s="88">
        <v>9.1359999999999992</v>
      </c>
      <c r="N85" s="4">
        <v>9.1359999999999992</v>
      </c>
      <c r="O85" s="88">
        <v>9.1359999999999992</v>
      </c>
      <c r="P85" s="4">
        <v>0</v>
      </c>
      <c r="Q85" s="3" t="s">
        <v>26</v>
      </c>
      <c r="R85" s="3">
        <v>0</v>
      </c>
      <c r="S85" s="3">
        <v>0</v>
      </c>
      <c r="T85" s="3">
        <v>11</v>
      </c>
      <c r="U85" s="3">
        <v>52</v>
      </c>
      <c r="V85" s="88">
        <f>IF(ISERROR(VLOOKUP($S$85,'TAR FIN'!$A$1:$O$91,15,0)),0,VLOOKUP($S$85,'TAR FIN'!$A$1:$O$91,15,0))</f>
        <v>0</v>
      </c>
      <c r="W85" s="88">
        <f>IF(ISERROR(VLOOKUP($T$85,'TAR FIN'!$A$1:$O$91,15,0)),0,VLOOKUP($T$85,'TAR FIN'!$A$1:$O$91,15,0))*(1-0.04)</f>
        <v>86.918400000000005</v>
      </c>
      <c r="X85" s="88">
        <f>IF(ISERROR(VLOOKUP($U$85,'TAR FIN'!$A$1:$O$91,15,0)),0,VLOOKUP($U$85,'TAR FIN'!$A$1:$O$91,15,0))*(1-0.04)</f>
        <v>182.36160000000001</v>
      </c>
      <c r="Y85" s="88"/>
      <c r="Z85" s="88">
        <f ca="1">('TUSD BE'!$AM$15+'TUSD BF'!$AM$15+'TUSD CVA'!$AM$15)*1*(1-0.02)</f>
        <v>102.06358168134706</v>
      </c>
      <c r="AA85" s="88">
        <f>('TE BE'!$AB$6+'TE BF'!$AB$6+'TE CVA'!$AB$6)*1*(1-0.02)</f>
        <v>191.97913082263719</v>
      </c>
      <c r="AB85" s="88">
        <f>(SUBSIDIO!$J$85*SUBSIDIO!$V$85)*(0.04)/(1-0.04)</f>
        <v>0</v>
      </c>
      <c r="AC85" s="88">
        <f>((SUBSIDIO!$L$85*SUBSIDIO!$W$85)+(SUBSIDIO!$N$85*SUBSIDIO!$X$85))*(0.04)/(1-0.04)</f>
        <v>102.50591999999999</v>
      </c>
      <c r="AD85" s="88">
        <f>(SUBSIDIO!$J$85*SUBSIDIO!$Y$85)*(0.02)/(1-0.02)</f>
        <v>0</v>
      </c>
      <c r="AE85" s="88">
        <f ca="1">((SUBSIDIO!$L$85*SUBSIDIO!$Z$85)+(SUBSIDIO!$N$85*SUBSIDIO!$AA$85))*(0.02)/(1-0.02)</f>
        <v>54.823963702783672</v>
      </c>
      <c r="AF85" s="3" t="s">
        <v>777</v>
      </c>
    </row>
    <row r="86" spans="1:32" ht="11.25" customHeight="1" x14ac:dyDescent="0.3">
      <c r="A86" s="3" t="s">
        <v>21</v>
      </c>
      <c r="B86" s="3" t="s">
        <v>39</v>
      </c>
      <c r="C86" s="3" t="s">
        <v>40</v>
      </c>
      <c r="D86" s="3" t="s">
        <v>43</v>
      </c>
      <c r="E86" s="3" t="s">
        <v>25</v>
      </c>
      <c r="F86" s="3" t="s">
        <v>25</v>
      </c>
      <c r="G86" s="3" t="s">
        <v>25</v>
      </c>
      <c r="H86" s="3" t="s">
        <v>25</v>
      </c>
      <c r="I86" s="6">
        <v>44378</v>
      </c>
      <c r="J86" s="4">
        <v>150</v>
      </c>
      <c r="K86" s="88">
        <v>150</v>
      </c>
      <c r="L86" s="4">
        <v>0</v>
      </c>
      <c r="M86" s="88">
        <v>0</v>
      </c>
      <c r="N86" s="4">
        <v>0</v>
      </c>
      <c r="O86" s="88">
        <v>0</v>
      </c>
      <c r="P86" s="4">
        <v>2</v>
      </c>
      <c r="Q86" s="3" t="s">
        <v>26</v>
      </c>
      <c r="R86" s="3">
        <v>0</v>
      </c>
      <c r="S86" s="3">
        <v>9</v>
      </c>
      <c r="T86" s="3">
        <v>0</v>
      </c>
      <c r="U86" s="3">
        <v>0</v>
      </c>
      <c r="V86" s="88">
        <f>IF(ISERROR(VLOOKUP($S$86,'TAR FIN'!$A$1:$O$91,15,0)),0,VLOOKUP($S$86,'TAR FIN'!$A$1:$O$91,15,0))*(1-0.04)</f>
        <v>32.611199999999997</v>
      </c>
      <c r="W86" s="88">
        <f>IF(ISERROR(VLOOKUP($T$86,'TAR FIN'!$A$1:$O$91,15,0)),0,VLOOKUP($T$86,'TAR FIN'!$A$1:$O$91,15,0))</f>
        <v>0</v>
      </c>
      <c r="X86" s="88">
        <f>IF(ISERROR(VLOOKUP($U$86,'TAR FIN'!$A$1:$O$91,15,0)),0,VLOOKUP($U$86,'TAR FIN'!$A$1:$O$91,15,0))</f>
        <v>0</v>
      </c>
      <c r="Y86" s="88">
        <f ca="1">('TUSD BE'!$AM$13+'TUSD BF'!$AM$13+'TUSD CVA'!$AM$13)*1*(1-0.02)</f>
        <v>38.334889694970578</v>
      </c>
      <c r="Z86" s="88"/>
      <c r="AA86" s="88"/>
      <c r="AB86" s="88">
        <f>(SUBSIDIO!$J$86*SUBSIDIO!$V$86)*(0.04)/(1-0.04)</f>
        <v>203.82</v>
      </c>
      <c r="AC86" s="88">
        <f>((SUBSIDIO!$L$86*SUBSIDIO!$W$86)+(SUBSIDIO!$N$86*SUBSIDIO!$X$86))*(0.04)/(1-0.04)</f>
        <v>0</v>
      </c>
      <c r="AD86" s="88">
        <f ca="1">(SUBSIDIO!$J$86*SUBSIDIO!$Y$86)*(0.02)/(1-0.02)</f>
        <v>117.35170314786912</v>
      </c>
      <c r="AE86" s="88">
        <f>((SUBSIDIO!$L$86*SUBSIDIO!$Z$86)+(SUBSIDIO!$N$86*SUBSIDIO!$AA$86))*(0.02)/(1-0.02)</f>
        <v>0</v>
      </c>
      <c r="AF86" s="3" t="s">
        <v>777</v>
      </c>
    </row>
    <row r="87" spans="1:32" ht="11.25" customHeight="1" x14ac:dyDescent="0.3">
      <c r="A87" s="3" t="s">
        <v>21</v>
      </c>
      <c r="B87" s="3" t="s">
        <v>39</v>
      </c>
      <c r="C87" s="3" t="s">
        <v>40</v>
      </c>
      <c r="D87" s="3" t="s">
        <v>43</v>
      </c>
      <c r="E87" s="3" t="s">
        <v>25</v>
      </c>
      <c r="F87" s="3" t="s">
        <v>25</v>
      </c>
      <c r="G87" s="3" t="s">
        <v>25</v>
      </c>
      <c r="H87" s="3" t="s">
        <v>25</v>
      </c>
      <c r="I87" s="6">
        <v>44409</v>
      </c>
      <c r="J87" s="4">
        <v>91</v>
      </c>
      <c r="K87" s="88">
        <v>91</v>
      </c>
      <c r="L87" s="4">
        <v>0</v>
      </c>
      <c r="M87" s="88">
        <v>0</v>
      </c>
      <c r="N87" s="4">
        <v>0</v>
      </c>
      <c r="O87" s="88">
        <v>0</v>
      </c>
      <c r="P87" s="4">
        <v>2</v>
      </c>
      <c r="Q87" s="3" t="s">
        <v>26</v>
      </c>
      <c r="R87" s="3">
        <v>0</v>
      </c>
      <c r="S87" s="3">
        <v>9</v>
      </c>
      <c r="T87" s="3">
        <v>0</v>
      </c>
      <c r="U87" s="3">
        <v>0</v>
      </c>
      <c r="V87" s="88">
        <f>IF(ISERROR(VLOOKUP($S$87,'TAR FIN'!$A$1:$O$91,15,0)),0,VLOOKUP($S$87,'TAR FIN'!$A$1:$O$91,15,0))*(1-0.04)</f>
        <v>32.611199999999997</v>
      </c>
      <c r="W87" s="88">
        <f>IF(ISERROR(VLOOKUP($T$87,'TAR FIN'!$A$1:$O$91,15,0)),0,VLOOKUP($T$87,'TAR FIN'!$A$1:$O$91,15,0))</f>
        <v>0</v>
      </c>
      <c r="X87" s="88">
        <f>IF(ISERROR(VLOOKUP($U$87,'TAR FIN'!$A$1:$O$91,15,0)),0,VLOOKUP($U$87,'TAR FIN'!$A$1:$O$91,15,0))</f>
        <v>0</v>
      </c>
      <c r="Y87" s="88">
        <f ca="1">('TUSD BE'!$AM$13+'TUSD BF'!$AM$13+'TUSD CVA'!$AM$13)*1*(1-0.02)</f>
        <v>38.334889694970578</v>
      </c>
      <c r="Z87" s="88"/>
      <c r="AA87" s="88"/>
      <c r="AB87" s="88">
        <f>(SUBSIDIO!$J$87*SUBSIDIO!$V$87)*(0.04)/(1-0.04)</f>
        <v>123.65079999999999</v>
      </c>
      <c r="AC87" s="88">
        <f>((SUBSIDIO!$L$87*SUBSIDIO!$W$87)+(SUBSIDIO!$N$87*SUBSIDIO!$X$87))*(0.04)/(1-0.04)</f>
        <v>0</v>
      </c>
      <c r="AD87" s="88">
        <f ca="1">(SUBSIDIO!$J$87*SUBSIDIO!$Y$87)*(0.02)/(1-0.02)</f>
        <v>71.193366576373919</v>
      </c>
      <c r="AE87" s="88">
        <f>((SUBSIDIO!$L$87*SUBSIDIO!$Z$87)+(SUBSIDIO!$N$87*SUBSIDIO!$AA$87))*(0.02)/(1-0.02)</f>
        <v>0</v>
      </c>
      <c r="AF87" s="3" t="s">
        <v>777</v>
      </c>
    </row>
    <row r="88" spans="1:32" ht="11.25" customHeight="1" x14ac:dyDescent="0.3">
      <c r="A88" s="3" t="s">
        <v>21</v>
      </c>
      <c r="B88" s="3" t="s">
        <v>39</v>
      </c>
      <c r="C88" s="3" t="s">
        <v>40</v>
      </c>
      <c r="D88" s="3" t="s">
        <v>43</v>
      </c>
      <c r="E88" s="3" t="s">
        <v>25</v>
      </c>
      <c r="F88" s="3" t="s">
        <v>25</v>
      </c>
      <c r="G88" s="3" t="s">
        <v>25</v>
      </c>
      <c r="H88" s="3" t="s">
        <v>25</v>
      </c>
      <c r="I88" s="6">
        <v>44440</v>
      </c>
      <c r="J88" s="4">
        <v>84</v>
      </c>
      <c r="K88" s="88">
        <v>84</v>
      </c>
      <c r="L88" s="4">
        <v>0</v>
      </c>
      <c r="M88" s="88">
        <v>0</v>
      </c>
      <c r="N88" s="4">
        <v>0</v>
      </c>
      <c r="O88" s="88">
        <v>0</v>
      </c>
      <c r="P88" s="4">
        <v>2</v>
      </c>
      <c r="Q88" s="3" t="s">
        <v>26</v>
      </c>
      <c r="R88" s="3">
        <v>0</v>
      </c>
      <c r="S88" s="3">
        <v>9</v>
      </c>
      <c r="T88" s="3">
        <v>0</v>
      </c>
      <c r="U88" s="3">
        <v>0</v>
      </c>
      <c r="V88" s="88">
        <f>IF(ISERROR(VLOOKUP($S$88,'TAR FIN'!$A$1:$O$91,15,0)),0,VLOOKUP($S$88,'TAR FIN'!$A$1:$O$91,15,0))*(1-0.04)</f>
        <v>32.611199999999997</v>
      </c>
      <c r="W88" s="88">
        <f>IF(ISERROR(VLOOKUP($T$88,'TAR FIN'!$A$1:$O$91,15,0)),0,VLOOKUP($T$88,'TAR FIN'!$A$1:$O$91,15,0))</f>
        <v>0</v>
      </c>
      <c r="X88" s="88">
        <f>IF(ISERROR(VLOOKUP($U$88,'TAR FIN'!$A$1:$O$91,15,0)),0,VLOOKUP($U$88,'TAR FIN'!$A$1:$O$91,15,0))</f>
        <v>0</v>
      </c>
      <c r="Y88" s="88">
        <f ca="1">('TUSD BE'!$AM$13+'TUSD BF'!$AM$13+'TUSD CVA'!$AM$13)*1*(1-0.02)</f>
        <v>38.334889694970578</v>
      </c>
      <c r="Z88" s="88"/>
      <c r="AA88" s="88"/>
      <c r="AB88" s="88">
        <f>(SUBSIDIO!$J$88*SUBSIDIO!$V$88)*(0.04)/(1-0.04)</f>
        <v>114.1392</v>
      </c>
      <c r="AC88" s="88">
        <f>((SUBSIDIO!$L$88*SUBSIDIO!$W$88)+(SUBSIDIO!$N$88*SUBSIDIO!$X$88))*(0.04)/(1-0.04)</f>
        <v>0</v>
      </c>
      <c r="AD88" s="88">
        <f ca="1">(SUBSIDIO!$J$88*SUBSIDIO!$Y$88)*(0.02)/(1-0.02)</f>
        <v>65.716953762806696</v>
      </c>
      <c r="AE88" s="88">
        <f>((SUBSIDIO!$L$88*SUBSIDIO!$Z$88)+(SUBSIDIO!$N$88*SUBSIDIO!$AA$88))*(0.02)/(1-0.02)</f>
        <v>0</v>
      </c>
      <c r="AF88" s="3" t="s">
        <v>777</v>
      </c>
    </row>
    <row r="89" spans="1:32" ht="11.25" customHeight="1" x14ac:dyDescent="0.3">
      <c r="A89" s="3" t="s">
        <v>21</v>
      </c>
      <c r="B89" s="3" t="s">
        <v>39</v>
      </c>
      <c r="C89" s="3" t="s">
        <v>40</v>
      </c>
      <c r="D89" s="3" t="s">
        <v>43</v>
      </c>
      <c r="E89" s="3" t="s">
        <v>25</v>
      </c>
      <c r="F89" s="3" t="s">
        <v>25</v>
      </c>
      <c r="G89" s="3" t="s">
        <v>25</v>
      </c>
      <c r="H89" s="3" t="s">
        <v>25</v>
      </c>
      <c r="I89" s="6">
        <v>44470</v>
      </c>
      <c r="J89" s="4">
        <v>83</v>
      </c>
      <c r="K89" s="88">
        <v>83</v>
      </c>
      <c r="L89" s="4">
        <v>0</v>
      </c>
      <c r="M89" s="88">
        <v>0</v>
      </c>
      <c r="N89" s="4">
        <v>0</v>
      </c>
      <c r="O89" s="88">
        <v>0</v>
      </c>
      <c r="P89" s="4">
        <v>2</v>
      </c>
      <c r="Q89" s="3" t="s">
        <v>26</v>
      </c>
      <c r="R89" s="3">
        <v>0</v>
      </c>
      <c r="S89" s="3">
        <v>9</v>
      </c>
      <c r="T89" s="3">
        <v>0</v>
      </c>
      <c r="U89" s="3">
        <v>0</v>
      </c>
      <c r="V89" s="88">
        <f>IF(ISERROR(VLOOKUP($S$89,'TAR FIN'!$A$1:$O$91,15,0)),0,VLOOKUP($S$89,'TAR FIN'!$A$1:$O$91,15,0))*(1-0.04)</f>
        <v>32.611199999999997</v>
      </c>
      <c r="W89" s="88">
        <f>IF(ISERROR(VLOOKUP($T$89,'TAR FIN'!$A$1:$O$91,15,0)),0,VLOOKUP($T$89,'TAR FIN'!$A$1:$O$91,15,0))</f>
        <v>0</v>
      </c>
      <c r="X89" s="88">
        <f>IF(ISERROR(VLOOKUP($U$89,'TAR FIN'!$A$1:$O$91,15,0)),0,VLOOKUP($U$89,'TAR FIN'!$A$1:$O$91,15,0))</f>
        <v>0</v>
      </c>
      <c r="Y89" s="88">
        <f ca="1">('TUSD BE'!$AM$13+'TUSD BF'!$AM$13+'TUSD CVA'!$AM$13)*1*(1-0.02)</f>
        <v>38.334889694970578</v>
      </c>
      <c r="Z89" s="88"/>
      <c r="AA89" s="88"/>
      <c r="AB89" s="88">
        <f>(SUBSIDIO!$J$89*SUBSIDIO!$V$89)*(0.04)/(1-0.04)</f>
        <v>112.7804</v>
      </c>
      <c r="AC89" s="88">
        <f>((SUBSIDIO!$L$89*SUBSIDIO!$W$89)+(SUBSIDIO!$N$89*SUBSIDIO!$X$89))*(0.04)/(1-0.04)</f>
        <v>0</v>
      </c>
      <c r="AD89" s="88">
        <f ca="1">(SUBSIDIO!$J$89*SUBSIDIO!$Y$89)*(0.02)/(1-0.02)</f>
        <v>64.934609075154242</v>
      </c>
      <c r="AE89" s="88">
        <f>((SUBSIDIO!$L$89*SUBSIDIO!$Z$89)+(SUBSIDIO!$N$89*SUBSIDIO!$AA$89))*(0.02)/(1-0.02)</f>
        <v>0</v>
      </c>
      <c r="AF89" s="3" t="s">
        <v>777</v>
      </c>
    </row>
    <row r="90" spans="1:32" ht="11.25" customHeight="1" x14ac:dyDescent="0.3">
      <c r="A90" s="3" t="s">
        <v>21</v>
      </c>
      <c r="B90" s="3" t="s">
        <v>39</v>
      </c>
      <c r="C90" s="3" t="s">
        <v>40</v>
      </c>
      <c r="D90" s="3" t="s">
        <v>43</v>
      </c>
      <c r="E90" s="3" t="s">
        <v>25</v>
      </c>
      <c r="F90" s="3" t="s">
        <v>25</v>
      </c>
      <c r="G90" s="3" t="s">
        <v>25</v>
      </c>
      <c r="H90" s="3" t="s">
        <v>25</v>
      </c>
      <c r="I90" s="6">
        <v>44501</v>
      </c>
      <c r="J90" s="4">
        <v>89</v>
      </c>
      <c r="K90" s="88">
        <v>89</v>
      </c>
      <c r="L90" s="4">
        <v>0</v>
      </c>
      <c r="M90" s="88">
        <v>0</v>
      </c>
      <c r="N90" s="4">
        <v>0</v>
      </c>
      <c r="O90" s="88">
        <v>0</v>
      </c>
      <c r="P90" s="4">
        <v>2</v>
      </c>
      <c r="Q90" s="3" t="s">
        <v>26</v>
      </c>
      <c r="R90" s="3">
        <v>0</v>
      </c>
      <c r="S90" s="3">
        <v>9</v>
      </c>
      <c r="T90" s="3">
        <v>0</v>
      </c>
      <c r="U90" s="3">
        <v>0</v>
      </c>
      <c r="V90" s="88">
        <f>IF(ISERROR(VLOOKUP($S$90,'TAR FIN'!$A$1:$O$91,15,0)),0,VLOOKUP($S$90,'TAR FIN'!$A$1:$O$91,15,0))*(1-0.04)</f>
        <v>32.611199999999997</v>
      </c>
      <c r="W90" s="88">
        <f>IF(ISERROR(VLOOKUP($T$90,'TAR FIN'!$A$1:$O$91,15,0)),0,VLOOKUP($T$90,'TAR FIN'!$A$1:$O$91,15,0))</f>
        <v>0</v>
      </c>
      <c r="X90" s="88">
        <f>IF(ISERROR(VLOOKUP($U$90,'TAR FIN'!$A$1:$O$91,15,0)),0,VLOOKUP($U$90,'TAR FIN'!$A$1:$O$91,15,0))</f>
        <v>0</v>
      </c>
      <c r="Y90" s="88">
        <f ca="1">('TUSD BE'!$AM$13+'TUSD BF'!$AM$13+'TUSD CVA'!$AM$13)*1*(1-0.02)</f>
        <v>38.334889694970578</v>
      </c>
      <c r="Z90" s="88"/>
      <c r="AA90" s="88"/>
      <c r="AB90" s="88">
        <f>(SUBSIDIO!$J$90*SUBSIDIO!$V$90)*(0.04)/(1-0.04)</f>
        <v>120.93319999999999</v>
      </c>
      <c r="AC90" s="88">
        <f>((SUBSIDIO!$L$90*SUBSIDIO!$W$90)+(SUBSIDIO!$N$90*SUBSIDIO!$X$90))*(0.04)/(1-0.04)</f>
        <v>0</v>
      </c>
      <c r="AD90" s="88">
        <f ca="1">(SUBSIDIO!$J$90*SUBSIDIO!$Y$90)*(0.02)/(1-0.02)</f>
        <v>69.628677201068996</v>
      </c>
      <c r="AE90" s="88">
        <f>((SUBSIDIO!$L$90*SUBSIDIO!$Z$90)+(SUBSIDIO!$N$90*SUBSIDIO!$AA$90))*(0.02)/(1-0.02)</f>
        <v>0</v>
      </c>
      <c r="AF90" s="3" t="s">
        <v>777</v>
      </c>
    </row>
    <row r="91" spans="1:32" ht="11.25" customHeight="1" x14ac:dyDescent="0.3">
      <c r="A91" s="3" t="s">
        <v>21</v>
      </c>
      <c r="B91" s="3" t="s">
        <v>39</v>
      </c>
      <c r="C91" s="3" t="s">
        <v>40</v>
      </c>
      <c r="D91" s="3" t="s">
        <v>43</v>
      </c>
      <c r="E91" s="3" t="s">
        <v>25</v>
      </c>
      <c r="F91" s="3" t="s">
        <v>25</v>
      </c>
      <c r="G91" s="3" t="s">
        <v>25</v>
      </c>
      <c r="H91" s="3" t="s">
        <v>25</v>
      </c>
      <c r="I91" s="6">
        <v>44531</v>
      </c>
      <c r="J91" s="4">
        <v>44</v>
      </c>
      <c r="K91" s="88">
        <v>44</v>
      </c>
      <c r="L91" s="4">
        <v>0</v>
      </c>
      <c r="M91" s="88">
        <v>0</v>
      </c>
      <c r="N91" s="4">
        <v>0</v>
      </c>
      <c r="O91" s="88">
        <v>0</v>
      </c>
      <c r="P91" s="4">
        <v>2</v>
      </c>
      <c r="Q91" s="3" t="s">
        <v>26</v>
      </c>
      <c r="R91" s="3">
        <v>0</v>
      </c>
      <c r="S91" s="3">
        <v>9</v>
      </c>
      <c r="T91" s="3">
        <v>0</v>
      </c>
      <c r="U91" s="3">
        <v>0</v>
      </c>
      <c r="V91" s="88">
        <f>IF(ISERROR(VLOOKUP($S$91,'TAR FIN'!$A$1:$O$91,15,0)),0,VLOOKUP($S$91,'TAR FIN'!$A$1:$O$91,15,0))*(1-0.04)</f>
        <v>32.611199999999997</v>
      </c>
      <c r="W91" s="88">
        <f>IF(ISERROR(VLOOKUP($T$91,'TAR FIN'!$A$1:$O$91,15,0)),0,VLOOKUP($T$91,'TAR FIN'!$A$1:$O$91,15,0))</f>
        <v>0</v>
      </c>
      <c r="X91" s="88">
        <f>IF(ISERROR(VLOOKUP($U$91,'TAR FIN'!$A$1:$O$91,15,0)),0,VLOOKUP($U$91,'TAR FIN'!$A$1:$O$91,15,0))</f>
        <v>0</v>
      </c>
      <c r="Y91" s="88">
        <f ca="1">('TUSD BE'!$AM$13+'TUSD BF'!$AM$13+'TUSD CVA'!$AM$13)*1*(1-0.02)</f>
        <v>38.334889694970578</v>
      </c>
      <c r="Z91" s="88"/>
      <c r="AA91" s="88"/>
      <c r="AB91" s="88">
        <f>(SUBSIDIO!$J$91*SUBSIDIO!$V$91)*(0.04)/(1-0.04)</f>
        <v>59.787199999999999</v>
      </c>
      <c r="AC91" s="88">
        <f>((SUBSIDIO!$L$91*SUBSIDIO!$W$91)+(SUBSIDIO!$N$91*SUBSIDIO!$X$91))*(0.04)/(1-0.04)</f>
        <v>0</v>
      </c>
      <c r="AD91" s="88">
        <f ca="1">(SUBSIDIO!$J$91*SUBSIDIO!$Y$91)*(0.02)/(1-0.02)</f>
        <v>34.423166256708271</v>
      </c>
      <c r="AE91" s="88">
        <f>((SUBSIDIO!$L$91*SUBSIDIO!$Z$91)+(SUBSIDIO!$N$91*SUBSIDIO!$AA$91))*(0.02)/(1-0.02)</f>
        <v>0</v>
      </c>
      <c r="AF91" s="3" t="s">
        <v>777</v>
      </c>
    </row>
    <row r="92" spans="1:32" ht="11.25" customHeight="1" x14ac:dyDescent="0.3">
      <c r="A92" s="3" t="s">
        <v>21</v>
      </c>
      <c r="B92" s="3" t="s">
        <v>39</v>
      </c>
      <c r="C92" s="3" t="s">
        <v>40</v>
      </c>
      <c r="D92" s="3" t="s">
        <v>43</v>
      </c>
      <c r="E92" s="3" t="s">
        <v>25</v>
      </c>
      <c r="F92" s="3" t="s">
        <v>25</v>
      </c>
      <c r="G92" s="3" t="s">
        <v>25</v>
      </c>
      <c r="H92" s="3" t="s">
        <v>25</v>
      </c>
      <c r="I92" s="6">
        <v>44562</v>
      </c>
      <c r="J92" s="4">
        <v>46</v>
      </c>
      <c r="K92" s="88">
        <v>46</v>
      </c>
      <c r="L92" s="4">
        <v>0</v>
      </c>
      <c r="M92" s="88">
        <v>0</v>
      </c>
      <c r="N92" s="4">
        <v>0</v>
      </c>
      <c r="O92" s="88">
        <v>0</v>
      </c>
      <c r="P92" s="4">
        <v>2</v>
      </c>
      <c r="Q92" s="3" t="s">
        <v>26</v>
      </c>
      <c r="R92" s="3">
        <v>0</v>
      </c>
      <c r="S92" s="3">
        <v>9</v>
      </c>
      <c r="T92" s="3">
        <v>0</v>
      </c>
      <c r="U92" s="3">
        <v>0</v>
      </c>
      <c r="V92" s="88">
        <f>IF(ISERROR(VLOOKUP($S$92,'TAR FIN'!$A$1:$O$91,15,0)),0,VLOOKUP($S$92,'TAR FIN'!$A$1:$O$91,15,0))*(1-0.04)</f>
        <v>32.611199999999997</v>
      </c>
      <c r="W92" s="88">
        <f>IF(ISERROR(VLOOKUP($T$92,'TAR FIN'!$A$1:$O$91,15,0)),0,VLOOKUP($T$92,'TAR FIN'!$A$1:$O$91,15,0))</f>
        <v>0</v>
      </c>
      <c r="X92" s="88">
        <f>IF(ISERROR(VLOOKUP($U$92,'TAR FIN'!$A$1:$O$91,15,0)),0,VLOOKUP($U$92,'TAR FIN'!$A$1:$O$91,15,0))</f>
        <v>0</v>
      </c>
      <c r="Y92" s="88">
        <f ca="1">('TUSD BE'!$AM$13+'TUSD BF'!$AM$13+'TUSD CVA'!$AM$13)*1*(1-0.02)</f>
        <v>38.334889694970578</v>
      </c>
      <c r="Z92" s="88"/>
      <c r="AA92" s="88"/>
      <c r="AB92" s="88">
        <f>(SUBSIDIO!$J$92*SUBSIDIO!$V$92)*(0.04)/(1-0.04)</f>
        <v>62.504799999999989</v>
      </c>
      <c r="AC92" s="88">
        <f>((SUBSIDIO!$L$92*SUBSIDIO!$W$92)+(SUBSIDIO!$N$92*SUBSIDIO!$X$92))*(0.04)/(1-0.04)</f>
        <v>0</v>
      </c>
      <c r="AD92" s="88">
        <f ca="1">(SUBSIDIO!$J$92*SUBSIDIO!$Y$92)*(0.02)/(1-0.02)</f>
        <v>35.987855632013193</v>
      </c>
      <c r="AE92" s="88">
        <f>((SUBSIDIO!$L$92*SUBSIDIO!$Z$92)+(SUBSIDIO!$N$92*SUBSIDIO!$AA$92))*(0.02)/(1-0.02)</f>
        <v>0</v>
      </c>
      <c r="AF92" s="3" t="s">
        <v>777</v>
      </c>
    </row>
    <row r="93" spans="1:32" ht="11.25" customHeight="1" x14ac:dyDescent="0.3">
      <c r="A93" s="3" t="s">
        <v>21</v>
      </c>
      <c r="B93" s="3" t="s">
        <v>39</v>
      </c>
      <c r="C93" s="3" t="s">
        <v>40</v>
      </c>
      <c r="D93" s="3" t="s">
        <v>43</v>
      </c>
      <c r="E93" s="3" t="s">
        <v>25</v>
      </c>
      <c r="F93" s="3" t="s">
        <v>25</v>
      </c>
      <c r="G93" s="3" t="s">
        <v>25</v>
      </c>
      <c r="H93" s="3" t="s">
        <v>25</v>
      </c>
      <c r="I93" s="6">
        <v>44593</v>
      </c>
      <c r="J93" s="4">
        <v>57</v>
      </c>
      <c r="K93" s="88">
        <v>57</v>
      </c>
      <c r="L93" s="4">
        <v>0</v>
      </c>
      <c r="M93" s="88">
        <v>0</v>
      </c>
      <c r="N93" s="4">
        <v>0</v>
      </c>
      <c r="O93" s="88">
        <v>0</v>
      </c>
      <c r="P93" s="4">
        <v>2</v>
      </c>
      <c r="Q93" s="3" t="s">
        <v>26</v>
      </c>
      <c r="R93" s="3">
        <v>0</v>
      </c>
      <c r="S93" s="3">
        <v>9</v>
      </c>
      <c r="T93" s="3">
        <v>0</v>
      </c>
      <c r="U93" s="3">
        <v>0</v>
      </c>
      <c r="V93" s="88">
        <f>IF(ISERROR(VLOOKUP($S$93,'TAR FIN'!$A$1:$O$91,15,0)),0,VLOOKUP($S$93,'TAR FIN'!$A$1:$O$91,15,0))*(1-0.04)</f>
        <v>32.611199999999997</v>
      </c>
      <c r="W93" s="88">
        <f>IF(ISERROR(VLOOKUP($T$93,'TAR FIN'!$A$1:$O$91,15,0)),0,VLOOKUP($T$93,'TAR FIN'!$A$1:$O$91,15,0))</f>
        <v>0</v>
      </c>
      <c r="X93" s="88">
        <f>IF(ISERROR(VLOOKUP($U$93,'TAR FIN'!$A$1:$O$91,15,0)),0,VLOOKUP($U$93,'TAR FIN'!$A$1:$O$91,15,0))</f>
        <v>0</v>
      </c>
      <c r="Y93" s="88">
        <f ca="1">('TUSD BE'!$AM$13+'TUSD BF'!$AM$13+'TUSD CVA'!$AM$13)*1*(1-0.02)</f>
        <v>38.334889694970578</v>
      </c>
      <c r="Z93" s="88"/>
      <c r="AA93" s="88"/>
      <c r="AB93" s="88">
        <f>(SUBSIDIO!$J$93*SUBSIDIO!$V$93)*(0.04)/(1-0.04)</f>
        <v>77.451599999999999</v>
      </c>
      <c r="AC93" s="88">
        <f>((SUBSIDIO!$L$93*SUBSIDIO!$W$93)+(SUBSIDIO!$N$93*SUBSIDIO!$X$93))*(0.04)/(1-0.04)</f>
        <v>0</v>
      </c>
      <c r="AD93" s="88">
        <f ca="1">(SUBSIDIO!$J$93*SUBSIDIO!$Y$93)*(0.02)/(1-0.02)</f>
        <v>44.593647196190268</v>
      </c>
      <c r="AE93" s="88">
        <f>((SUBSIDIO!$L$93*SUBSIDIO!$Z$93)+(SUBSIDIO!$N$93*SUBSIDIO!$AA$93))*(0.02)/(1-0.02)</f>
        <v>0</v>
      </c>
      <c r="AF93" s="3" t="s">
        <v>777</v>
      </c>
    </row>
    <row r="94" spans="1:32" ht="11.25" customHeight="1" x14ac:dyDescent="0.3">
      <c r="A94" s="3" t="s">
        <v>21</v>
      </c>
      <c r="B94" s="3" t="s">
        <v>39</v>
      </c>
      <c r="C94" s="3" t="s">
        <v>40</v>
      </c>
      <c r="D94" s="3" t="s">
        <v>43</v>
      </c>
      <c r="E94" s="3" t="s">
        <v>25</v>
      </c>
      <c r="F94" s="3" t="s">
        <v>25</v>
      </c>
      <c r="G94" s="3" t="s">
        <v>25</v>
      </c>
      <c r="H94" s="3" t="s">
        <v>25</v>
      </c>
      <c r="I94" s="6">
        <v>44621</v>
      </c>
      <c r="J94" s="4">
        <v>117</v>
      </c>
      <c r="K94" s="88">
        <v>117</v>
      </c>
      <c r="L94" s="4">
        <v>0</v>
      </c>
      <c r="M94" s="88">
        <v>0</v>
      </c>
      <c r="N94" s="4">
        <v>0</v>
      </c>
      <c r="O94" s="88">
        <v>0</v>
      </c>
      <c r="P94" s="4">
        <v>2</v>
      </c>
      <c r="Q94" s="3" t="s">
        <v>26</v>
      </c>
      <c r="R94" s="3">
        <v>0</v>
      </c>
      <c r="S94" s="3">
        <v>9</v>
      </c>
      <c r="T94" s="3">
        <v>0</v>
      </c>
      <c r="U94" s="3">
        <v>0</v>
      </c>
      <c r="V94" s="88">
        <f>IF(ISERROR(VLOOKUP($S$94,'TAR FIN'!$A$1:$O$91,15,0)),0,VLOOKUP($S$94,'TAR FIN'!$A$1:$O$91,15,0))*(1-0.04)</f>
        <v>32.611199999999997</v>
      </c>
      <c r="W94" s="88">
        <f>IF(ISERROR(VLOOKUP($T$94,'TAR FIN'!$A$1:$O$91,15,0)),0,VLOOKUP($T$94,'TAR FIN'!$A$1:$O$91,15,0))</f>
        <v>0</v>
      </c>
      <c r="X94" s="88">
        <f>IF(ISERROR(VLOOKUP($U$94,'TAR FIN'!$A$1:$O$91,15,0)),0,VLOOKUP($U$94,'TAR FIN'!$A$1:$O$91,15,0))</f>
        <v>0</v>
      </c>
      <c r="Y94" s="88">
        <f ca="1">('TUSD BE'!$AM$13+'TUSD BF'!$AM$13+'TUSD CVA'!$AM$13)*1*(1-0.02)</f>
        <v>38.334889694970578</v>
      </c>
      <c r="Z94" s="88"/>
      <c r="AA94" s="88"/>
      <c r="AB94" s="88">
        <f>(SUBSIDIO!$J$94*SUBSIDIO!$V$94)*(0.04)/(1-0.04)</f>
        <v>158.97959999999998</v>
      </c>
      <c r="AC94" s="88">
        <f>((SUBSIDIO!$L$94*SUBSIDIO!$W$94)+(SUBSIDIO!$N$94*SUBSIDIO!$X$94))*(0.04)/(1-0.04)</f>
        <v>0</v>
      </c>
      <c r="AD94" s="88">
        <f ca="1">(SUBSIDIO!$J$94*SUBSIDIO!$Y$94)*(0.02)/(1-0.02)</f>
        <v>91.534328455337899</v>
      </c>
      <c r="AE94" s="88">
        <f>((SUBSIDIO!$L$94*SUBSIDIO!$Z$94)+(SUBSIDIO!$N$94*SUBSIDIO!$AA$94))*(0.02)/(1-0.02)</f>
        <v>0</v>
      </c>
      <c r="AF94" s="3" t="s">
        <v>777</v>
      </c>
    </row>
    <row r="95" spans="1:32" ht="11.25" customHeight="1" x14ac:dyDescent="0.3">
      <c r="A95" s="3" t="s">
        <v>21</v>
      </c>
      <c r="B95" s="3" t="s">
        <v>39</v>
      </c>
      <c r="C95" s="3" t="s">
        <v>40</v>
      </c>
      <c r="D95" s="3" t="s">
        <v>43</v>
      </c>
      <c r="E95" s="3" t="s">
        <v>25</v>
      </c>
      <c r="F95" s="3" t="s">
        <v>25</v>
      </c>
      <c r="G95" s="3" t="s">
        <v>25</v>
      </c>
      <c r="H95" s="3" t="s">
        <v>25</v>
      </c>
      <c r="I95" s="6">
        <v>44652</v>
      </c>
      <c r="J95" s="4">
        <v>156</v>
      </c>
      <c r="K95" s="88">
        <v>156</v>
      </c>
      <c r="L95" s="4">
        <v>0</v>
      </c>
      <c r="M95" s="88">
        <v>0</v>
      </c>
      <c r="N95" s="4">
        <v>0</v>
      </c>
      <c r="O95" s="88">
        <v>0</v>
      </c>
      <c r="P95" s="4">
        <v>2</v>
      </c>
      <c r="Q95" s="3" t="s">
        <v>26</v>
      </c>
      <c r="R95" s="3">
        <v>0</v>
      </c>
      <c r="S95" s="3">
        <v>9</v>
      </c>
      <c r="T95" s="3">
        <v>0</v>
      </c>
      <c r="U95" s="3">
        <v>0</v>
      </c>
      <c r="V95" s="88">
        <f>IF(ISERROR(VLOOKUP($S$95,'TAR FIN'!$A$1:$O$91,15,0)),0,VLOOKUP($S$95,'TAR FIN'!$A$1:$O$91,15,0))*(1-0.04)</f>
        <v>32.611199999999997</v>
      </c>
      <c r="W95" s="88">
        <f>IF(ISERROR(VLOOKUP($T$95,'TAR FIN'!$A$1:$O$91,15,0)),0,VLOOKUP($T$95,'TAR FIN'!$A$1:$O$91,15,0))</f>
        <v>0</v>
      </c>
      <c r="X95" s="88">
        <f>IF(ISERROR(VLOOKUP($U$95,'TAR FIN'!$A$1:$O$91,15,0)),0,VLOOKUP($U$95,'TAR FIN'!$A$1:$O$91,15,0))</f>
        <v>0</v>
      </c>
      <c r="Y95" s="88">
        <f ca="1">('TUSD BE'!$AM$13+'TUSD BF'!$AM$13+'TUSD CVA'!$AM$13)*1*(1-0.02)</f>
        <v>38.334889694970578</v>
      </c>
      <c r="Z95" s="88"/>
      <c r="AA95" s="88"/>
      <c r="AB95" s="88">
        <f>(SUBSIDIO!$J$95*SUBSIDIO!$V$95)*(0.04)/(1-0.04)</f>
        <v>211.97279999999998</v>
      </c>
      <c r="AC95" s="88">
        <f>((SUBSIDIO!$L$95*SUBSIDIO!$W$95)+(SUBSIDIO!$N$95*SUBSIDIO!$X$95))*(0.04)/(1-0.04)</f>
        <v>0</v>
      </c>
      <c r="AD95" s="88">
        <f ca="1">(SUBSIDIO!$J$95*SUBSIDIO!$Y$95)*(0.02)/(1-0.02)</f>
        <v>122.04577127378388</v>
      </c>
      <c r="AE95" s="88">
        <f>((SUBSIDIO!$L$95*SUBSIDIO!$Z$95)+(SUBSIDIO!$N$95*SUBSIDIO!$AA$95))*(0.02)/(1-0.02)</f>
        <v>0</v>
      </c>
      <c r="AF95" s="3" t="s">
        <v>777</v>
      </c>
    </row>
    <row r="96" spans="1:32" ht="11.25" customHeight="1" x14ac:dyDescent="0.3">
      <c r="A96" s="3" t="s">
        <v>21</v>
      </c>
      <c r="B96" s="3" t="s">
        <v>39</v>
      </c>
      <c r="C96" s="3" t="s">
        <v>40</v>
      </c>
      <c r="D96" s="3" t="s">
        <v>43</v>
      </c>
      <c r="E96" s="3" t="s">
        <v>25</v>
      </c>
      <c r="F96" s="3" t="s">
        <v>25</v>
      </c>
      <c r="G96" s="3" t="s">
        <v>25</v>
      </c>
      <c r="H96" s="3" t="s">
        <v>25</v>
      </c>
      <c r="I96" s="6">
        <v>44682</v>
      </c>
      <c r="J96" s="4">
        <v>120</v>
      </c>
      <c r="K96" s="88">
        <v>120</v>
      </c>
      <c r="L96" s="4">
        <v>0</v>
      </c>
      <c r="M96" s="88">
        <v>0</v>
      </c>
      <c r="N96" s="4">
        <v>0</v>
      </c>
      <c r="O96" s="88">
        <v>0</v>
      </c>
      <c r="P96" s="4">
        <v>2</v>
      </c>
      <c r="Q96" s="3" t="s">
        <v>26</v>
      </c>
      <c r="R96" s="3">
        <v>0</v>
      </c>
      <c r="S96" s="3">
        <v>9</v>
      </c>
      <c r="T96" s="3">
        <v>0</v>
      </c>
      <c r="U96" s="3">
        <v>0</v>
      </c>
      <c r="V96" s="88">
        <f>IF(ISERROR(VLOOKUP($S$96,'TAR FIN'!$A$1:$O$91,15,0)),0,VLOOKUP($S$96,'TAR FIN'!$A$1:$O$91,15,0))*(1-0.04)</f>
        <v>32.611199999999997</v>
      </c>
      <c r="W96" s="88">
        <f>IF(ISERROR(VLOOKUP($T$96,'TAR FIN'!$A$1:$O$91,15,0)),0,VLOOKUP($T$96,'TAR FIN'!$A$1:$O$91,15,0))</f>
        <v>0</v>
      </c>
      <c r="X96" s="88">
        <f>IF(ISERROR(VLOOKUP($U$96,'TAR FIN'!$A$1:$O$91,15,0)),0,VLOOKUP($U$96,'TAR FIN'!$A$1:$O$91,15,0))</f>
        <v>0</v>
      </c>
      <c r="Y96" s="88">
        <f ca="1">('TUSD BE'!$AM$13+'TUSD BF'!$AM$13+'TUSD CVA'!$AM$13)*1*(1-0.02)</f>
        <v>38.334889694970578</v>
      </c>
      <c r="Z96" s="88"/>
      <c r="AA96" s="88"/>
      <c r="AB96" s="88">
        <f>(SUBSIDIO!$J$96*SUBSIDIO!$V$96)*(0.04)/(1-0.04)</f>
        <v>163.05600000000001</v>
      </c>
      <c r="AC96" s="88">
        <f>((SUBSIDIO!$L$96*SUBSIDIO!$W$96)+(SUBSIDIO!$N$96*SUBSIDIO!$X$96))*(0.04)/(1-0.04)</f>
        <v>0</v>
      </c>
      <c r="AD96" s="88">
        <f ca="1">(SUBSIDIO!$J$96*SUBSIDIO!$Y$96)*(0.02)/(1-0.02)</f>
        <v>93.88136251829529</v>
      </c>
      <c r="AE96" s="88">
        <f>((SUBSIDIO!$L$96*SUBSIDIO!$Z$96)+(SUBSIDIO!$N$96*SUBSIDIO!$AA$96))*(0.02)/(1-0.02)</f>
        <v>0</v>
      </c>
      <c r="AF96" s="3" t="s">
        <v>777</v>
      </c>
    </row>
    <row r="97" spans="1:32" ht="11.25" customHeight="1" x14ac:dyDescent="0.3">
      <c r="A97" s="3" t="s">
        <v>21</v>
      </c>
      <c r="B97" s="3" t="s">
        <v>39</v>
      </c>
      <c r="C97" s="3" t="s">
        <v>40</v>
      </c>
      <c r="D97" s="3" t="s">
        <v>43</v>
      </c>
      <c r="E97" s="3" t="s">
        <v>25</v>
      </c>
      <c r="F97" s="3" t="s">
        <v>25</v>
      </c>
      <c r="G97" s="3" t="s">
        <v>25</v>
      </c>
      <c r="H97" s="3" t="s">
        <v>25</v>
      </c>
      <c r="I97" s="6">
        <v>44713</v>
      </c>
      <c r="J97" s="4">
        <v>98</v>
      </c>
      <c r="K97" s="88">
        <v>98</v>
      </c>
      <c r="L97" s="4">
        <v>0</v>
      </c>
      <c r="M97" s="88">
        <v>0</v>
      </c>
      <c r="N97" s="4">
        <v>0</v>
      </c>
      <c r="O97" s="88">
        <v>0</v>
      </c>
      <c r="P97" s="4">
        <v>2</v>
      </c>
      <c r="Q97" s="3" t="s">
        <v>26</v>
      </c>
      <c r="R97" s="3">
        <v>0</v>
      </c>
      <c r="S97" s="3">
        <v>9</v>
      </c>
      <c r="T97" s="3">
        <v>0</v>
      </c>
      <c r="U97" s="3">
        <v>0</v>
      </c>
      <c r="V97" s="88">
        <f>IF(ISERROR(VLOOKUP($S$97,'TAR FIN'!$A$1:$O$91,15,0)),0,VLOOKUP($S$97,'TAR FIN'!$A$1:$O$91,15,0))*(1-0.04)</f>
        <v>32.611199999999997</v>
      </c>
      <c r="W97" s="88">
        <f>IF(ISERROR(VLOOKUP($T$97,'TAR FIN'!$A$1:$O$91,15,0)),0,VLOOKUP($T$97,'TAR FIN'!$A$1:$O$91,15,0))</f>
        <v>0</v>
      </c>
      <c r="X97" s="88">
        <f>IF(ISERROR(VLOOKUP($U$97,'TAR FIN'!$A$1:$O$91,15,0)),0,VLOOKUP($U$97,'TAR FIN'!$A$1:$O$91,15,0))</f>
        <v>0</v>
      </c>
      <c r="Y97" s="88">
        <f ca="1">('TUSD BE'!$AM$13+'TUSD BF'!$AM$13+'TUSD CVA'!$AM$13)*1*(1-0.02)</f>
        <v>38.334889694970578</v>
      </c>
      <c r="Z97" s="88"/>
      <c r="AA97" s="88"/>
      <c r="AB97" s="88">
        <f>(SUBSIDIO!$J$97*SUBSIDIO!$V$97)*(0.04)/(1-0.04)</f>
        <v>133.16239999999999</v>
      </c>
      <c r="AC97" s="88">
        <f>((SUBSIDIO!$L$97*SUBSIDIO!$W$97)+(SUBSIDIO!$N$97*SUBSIDIO!$X$97))*(0.04)/(1-0.04)</f>
        <v>0</v>
      </c>
      <c r="AD97" s="88">
        <f ca="1">(SUBSIDIO!$J$97*SUBSIDIO!$Y$97)*(0.02)/(1-0.02)</f>
        <v>76.669779389941155</v>
      </c>
      <c r="AE97" s="88">
        <f>((SUBSIDIO!$L$97*SUBSIDIO!$Z$97)+(SUBSIDIO!$N$97*SUBSIDIO!$AA$97))*(0.02)/(1-0.02)</f>
        <v>0</v>
      </c>
      <c r="AF97" s="3" t="s">
        <v>777</v>
      </c>
    </row>
    <row r="98" spans="1:32" ht="11.25" customHeight="1" x14ac:dyDescent="0.3">
      <c r="A98" s="3" t="s">
        <v>21</v>
      </c>
      <c r="B98" s="3" t="s">
        <v>39</v>
      </c>
      <c r="C98" s="3" t="s">
        <v>40</v>
      </c>
      <c r="D98" s="3" t="s">
        <v>43</v>
      </c>
      <c r="E98" s="3" t="s">
        <v>25</v>
      </c>
      <c r="F98" s="3" t="s">
        <v>25</v>
      </c>
      <c r="G98" s="3" t="s">
        <v>25</v>
      </c>
      <c r="H98" s="3" t="s">
        <v>34</v>
      </c>
      <c r="I98" s="6">
        <v>44378</v>
      </c>
      <c r="J98" s="4">
        <v>0</v>
      </c>
      <c r="K98" s="88">
        <v>0</v>
      </c>
      <c r="L98" s="4">
        <v>0.56100000000000005</v>
      </c>
      <c r="M98" s="88">
        <v>0.56100000000000005</v>
      </c>
      <c r="N98" s="4">
        <v>0.56100000000000005</v>
      </c>
      <c r="O98" s="88">
        <v>0.56100000000000005</v>
      </c>
      <c r="P98" s="4">
        <v>0</v>
      </c>
      <c r="Q98" s="3" t="s">
        <v>26</v>
      </c>
      <c r="R98" s="3">
        <v>0</v>
      </c>
      <c r="S98" s="3">
        <v>0</v>
      </c>
      <c r="T98" s="3">
        <v>10</v>
      </c>
      <c r="U98" s="3">
        <v>51</v>
      </c>
      <c r="V98" s="88">
        <f>IF(ISERROR(VLOOKUP($S$98,'TAR FIN'!$A$1:$O$91,15,0)),0,VLOOKUP($S$98,'TAR FIN'!$A$1:$O$91,15,0))</f>
        <v>0</v>
      </c>
      <c r="W98" s="88">
        <f>IF(ISERROR(VLOOKUP($T$98,'TAR FIN'!$A$1:$O$91,15,0)),0,VLOOKUP($T$98,'TAR FIN'!$A$1:$O$91,15,0))*(1-0.04)</f>
        <v>1685.3183999999999</v>
      </c>
      <c r="X98" s="88">
        <f>IF(ISERROR(VLOOKUP($U$98,'TAR FIN'!$A$1:$O$91,15,0)),0,VLOOKUP($U$98,'TAR FIN'!$A$1:$O$91,15,0))*(1-0.04)</f>
        <v>286.88639999999998</v>
      </c>
      <c r="Y98" s="88"/>
      <c r="Z98" s="88">
        <f ca="1">('TUSD BE'!$AM$14+'TUSD BF'!$AM$14+'TUSD CVA'!$AM$14)*1*(1-0.02)</f>
        <v>1853.5981439781629</v>
      </c>
      <c r="AA98" s="88">
        <f>('TE BE'!$AB$5+'TE BF'!$AB$5+'TE CVA'!$AB$5)*1*(1-0.02)</f>
        <v>305.18355336539798</v>
      </c>
      <c r="AB98" s="88">
        <f>(SUBSIDIO!$J$98*SUBSIDIO!$V$98)*(0.04)/(1-0.04)</f>
        <v>0</v>
      </c>
      <c r="AC98" s="88">
        <f>((SUBSIDIO!$L$98*SUBSIDIO!$W$98)+(SUBSIDIO!$N$98*SUBSIDIO!$X$98))*(0.04)/(1-0.04)</f>
        <v>46.100287200000004</v>
      </c>
      <c r="AD98" s="88">
        <f>(SUBSIDIO!$J$98*SUBSIDIO!$Y$98)*(0.02)/(1-0.02)</f>
        <v>0</v>
      </c>
      <c r="AE98" s="88">
        <f ca="1">((SUBSIDIO!$L$98*SUBSIDIO!$Z$98)+(SUBSIDIO!$N$98*SUBSIDIO!$AA$98))*(0.02)/(1-0.02)</f>
        <v>24.715847596117097</v>
      </c>
      <c r="AF98" s="3" t="s">
        <v>777</v>
      </c>
    </row>
    <row r="99" spans="1:32" ht="11.25" customHeight="1" x14ac:dyDescent="0.3">
      <c r="A99" s="3" t="s">
        <v>21</v>
      </c>
      <c r="B99" s="3" t="s">
        <v>39</v>
      </c>
      <c r="C99" s="3" t="s">
        <v>40</v>
      </c>
      <c r="D99" s="3" t="s">
        <v>43</v>
      </c>
      <c r="E99" s="3" t="s">
        <v>25</v>
      </c>
      <c r="F99" s="3" t="s">
        <v>25</v>
      </c>
      <c r="G99" s="3" t="s">
        <v>25</v>
      </c>
      <c r="H99" s="3" t="s">
        <v>34</v>
      </c>
      <c r="I99" s="6">
        <v>44409</v>
      </c>
      <c r="J99" s="4">
        <v>0</v>
      </c>
      <c r="K99" s="88">
        <v>0</v>
      </c>
      <c r="L99" s="4">
        <v>0.27</v>
      </c>
      <c r="M99" s="88">
        <v>0.27</v>
      </c>
      <c r="N99" s="4">
        <v>0.27</v>
      </c>
      <c r="O99" s="88">
        <v>0.27</v>
      </c>
      <c r="P99" s="4">
        <v>0</v>
      </c>
      <c r="Q99" s="3" t="s">
        <v>26</v>
      </c>
      <c r="R99" s="3">
        <v>0</v>
      </c>
      <c r="S99" s="3">
        <v>0</v>
      </c>
      <c r="T99" s="3">
        <v>10</v>
      </c>
      <c r="U99" s="3">
        <v>51</v>
      </c>
      <c r="V99" s="88">
        <f>IF(ISERROR(VLOOKUP($S$99,'TAR FIN'!$A$1:$O$91,15,0)),0,VLOOKUP($S$99,'TAR FIN'!$A$1:$O$91,15,0))</f>
        <v>0</v>
      </c>
      <c r="W99" s="88">
        <f>IF(ISERROR(VLOOKUP($T$99,'TAR FIN'!$A$1:$O$91,15,0)),0,VLOOKUP($T$99,'TAR FIN'!$A$1:$O$91,15,0))*(1-0.04)</f>
        <v>1685.3183999999999</v>
      </c>
      <c r="X99" s="88">
        <f>IF(ISERROR(VLOOKUP($U$99,'TAR FIN'!$A$1:$O$91,15,0)),0,VLOOKUP($U$99,'TAR FIN'!$A$1:$O$91,15,0))*(1-0.04)</f>
        <v>286.88639999999998</v>
      </c>
      <c r="Y99" s="88"/>
      <c r="Z99" s="88">
        <f ca="1">('TUSD BE'!$AM$14+'TUSD BF'!$AM$14+'TUSD CVA'!$AM$14)*1*(1-0.02)</f>
        <v>1853.5981439781629</v>
      </c>
      <c r="AA99" s="88">
        <f>('TE BE'!$AB$5+'TE BF'!$AB$5+'TE CVA'!$AB$5)*1*(1-0.02)</f>
        <v>305.18355336539798</v>
      </c>
      <c r="AB99" s="88">
        <f>(SUBSIDIO!$J$99*SUBSIDIO!$V$99)*(0.04)/(1-0.04)</f>
        <v>0</v>
      </c>
      <c r="AC99" s="88">
        <f>((SUBSIDIO!$L$99*SUBSIDIO!$W$99)+(SUBSIDIO!$N$99*SUBSIDIO!$X$99))*(0.04)/(1-0.04)</f>
        <v>22.187304000000005</v>
      </c>
      <c r="AD99" s="88">
        <f>(SUBSIDIO!$J$99*SUBSIDIO!$Y$99)*(0.02)/(1-0.02)</f>
        <v>0</v>
      </c>
      <c r="AE99" s="88">
        <f ca="1">((SUBSIDIO!$L$99*SUBSIDIO!$Z$99)+(SUBSIDIO!$N$99*SUBSIDIO!$AA$99))*(0.02)/(1-0.02)</f>
        <v>11.895327720056354</v>
      </c>
      <c r="AF99" s="3" t="s">
        <v>777</v>
      </c>
    </row>
    <row r="100" spans="1:32" ht="11.25" customHeight="1" x14ac:dyDescent="0.3">
      <c r="A100" s="3" t="s">
        <v>21</v>
      </c>
      <c r="B100" s="3" t="s">
        <v>39</v>
      </c>
      <c r="C100" s="3" t="s">
        <v>40</v>
      </c>
      <c r="D100" s="3" t="s">
        <v>43</v>
      </c>
      <c r="E100" s="3" t="s">
        <v>25</v>
      </c>
      <c r="F100" s="3" t="s">
        <v>25</v>
      </c>
      <c r="G100" s="3" t="s">
        <v>25</v>
      </c>
      <c r="H100" s="3" t="s">
        <v>34</v>
      </c>
      <c r="I100" s="6">
        <v>44440</v>
      </c>
      <c r="J100" s="4">
        <v>0</v>
      </c>
      <c r="K100" s="88">
        <v>0</v>
      </c>
      <c r="L100" s="4">
        <v>0.59899999999999998</v>
      </c>
      <c r="M100" s="88">
        <v>0.59899999999999998</v>
      </c>
      <c r="N100" s="4">
        <v>0.59899999999999998</v>
      </c>
      <c r="O100" s="88">
        <v>0.59899999999999998</v>
      </c>
      <c r="P100" s="4">
        <v>0</v>
      </c>
      <c r="Q100" s="3" t="s">
        <v>26</v>
      </c>
      <c r="R100" s="3">
        <v>0</v>
      </c>
      <c r="S100" s="3">
        <v>0</v>
      </c>
      <c r="T100" s="3">
        <v>10</v>
      </c>
      <c r="U100" s="3">
        <v>51</v>
      </c>
      <c r="V100" s="88">
        <f>IF(ISERROR(VLOOKUP($S$100,'TAR FIN'!$A$1:$O$91,15,0)),0,VLOOKUP($S$100,'TAR FIN'!$A$1:$O$91,15,0))</f>
        <v>0</v>
      </c>
      <c r="W100" s="88">
        <f>IF(ISERROR(VLOOKUP($T$100,'TAR FIN'!$A$1:$O$91,15,0)),0,VLOOKUP($T$100,'TAR FIN'!$A$1:$O$91,15,0))*(1-0.04)</f>
        <v>1685.3183999999999</v>
      </c>
      <c r="X100" s="88">
        <f>IF(ISERROR(VLOOKUP($U$100,'TAR FIN'!$A$1:$O$91,15,0)),0,VLOOKUP($U$100,'TAR FIN'!$A$1:$O$91,15,0))*(1-0.04)</f>
        <v>286.88639999999998</v>
      </c>
      <c r="Y100" s="88"/>
      <c r="Z100" s="88">
        <f ca="1">('TUSD BE'!$AM$14+'TUSD BF'!$AM$14+'TUSD CVA'!$AM$14)*1*(1-0.02)</f>
        <v>1853.5981439781629</v>
      </c>
      <c r="AA100" s="88">
        <f>('TE BE'!$AB$5+'TE BF'!$AB$5+'TE CVA'!$AB$5)*1*(1-0.02)</f>
        <v>305.18355336539798</v>
      </c>
      <c r="AB100" s="88">
        <f>(SUBSIDIO!$J$100*SUBSIDIO!$V$100)*(0.04)/(1-0.04)</f>
        <v>0</v>
      </c>
      <c r="AC100" s="88">
        <f>((SUBSIDIO!$L$100*SUBSIDIO!$W$100)+(SUBSIDIO!$N$100*SUBSIDIO!$X$100))*(0.04)/(1-0.04)</f>
        <v>49.222944799999993</v>
      </c>
      <c r="AD100" s="88">
        <f>(SUBSIDIO!$J$100*SUBSIDIO!$Y$100)*(0.02)/(1-0.02)</f>
        <v>0</v>
      </c>
      <c r="AE100" s="88">
        <f ca="1">((SUBSIDIO!$L$100*SUBSIDIO!$Z$100)+(SUBSIDIO!$N$100*SUBSIDIO!$AA$100))*(0.02)/(1-0.02)</f>
        <v>26.390004830791693</v>
      </c>
      <c r="AF100" s="3" t="s">
        <v>777</v>
      </c>
    </row>
    <row r="101" spans="1:32" ht="11.25" customHeight="1" x14ac:dyDescent="0.3">
      <c r="A101" s="3" t="s">
        <v>21</v>
      </c>
      <c r="B101" s="3" t="s">
        <v>39</v>
      </c>
      <c r="C101" s="3" t="s">
        <v>40</v>
      </c>
      <c r="D101" s="3" t="s">
        <v>43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44470</v>
      </c>
      <c r="J101" s="4">
        <v>0</v>
      </c>
      <c r="K101" s="88">
        <v>0</v>
      </c>
      <c r="L101" s="4">
        <v>1.0640000000000001</v>
      </c>
      <c r="M101" s="88">
        <v>1.0640000000000001</v>
      </c>
      <c r="N101" s="4">
        <v>1.0640000000000001</v>
      </c>
      <c r="O101" s="88">
        <v>1.0640000000000001</v>
      </c>
      <c r="P101" s="4">
        <v>0</v>
      </c>
      <c r="Q101" s="3" t="s">
        <v>26</v>
      </c>
      <c r="R101" s="3">
        <v>0</v>
      </c>
      <c r="S101" s="3">
        <v>0</v>
      </c>
      <c r="T101" s="3">
        <v>10</v>
      </c>
      <c r="U101" s="3">
        <v>51</v>
      </c>
      <c r="V101" s="88">
        <f>IF(ISERROR(VLOOKUP($S$101,'TAR FIN'!$A$1:$O$91,15,0)),0,VLOOKUP($S$101,'TAR FIN'!$A$1:$O$91,15,0))</f>
        <v>0</v>
      </c>
      <c r="W101" s="88">
        <f>IF(ISERROR(VLOOKUP($T$101,'TAR FIN'!$A$1:$O$91,15,0)),0,VLOOKUP($T$101,'TAR FIN'!$A$1:$O$91,15,0))*(1-0.04)</f>
        <v>1685.3183999999999</v>
      </c>
      <c r="X101" s="88">
        <f>IF(ISERROR(VLOOKUP($U$101,'TAR FIN'!$A$1:$O$91,15,0)),0,VLOOKUP($U$101,'TAR FIN'!$A$1:$O$91,15,0))*(1-0.04)</f>
        <v>286.88639999999998</v>
      </c>
      <c r="Y101" s="88"/>
      <c r="Z101" s="88">
        <f ca="1">('TUSD BE'!$AM$14+'TUSD BF'!$AM$14+'TUSD CVA'!$AM$14)*1*(1-0.02)</f>
        <v>1853.5981439781629</v>
      </c>
      <c r="AA101" s="88">
        <f>('TE BE'!$AB$5+'TE BF'!$AB$5+'TE CVA'!$AB$5)*1*(1-0.02)</f>
        <v>305.18355336539798</v>
      </c>
      <c r="AB101" s="88">
        <f>(SUBSIDIO!$J$101*SUBSIDIO!$V$101)*(0.04)/(1-0.04)</f>
        <v>0</v>
      </c>
      <c r="AC101" s="88">
        <f>((SUBSIDIO!$L$101*SUBSIDIO!$W$101)+(SUBSIDIO!$N$101*SUBSIDIO!$X$101))*(0.04)/(1-0.04)</f>
        <v>87.434412800000004</v>
      </c>
      <c r="AD101" s="88">
        <f>(SUBSIDIO!$J$101*SUBSIDIO!$Y$101)*(0.02)/(1-0.02)</f>
        <v>0</v>
      </c>
      <c r="AE101" s="88">
        <f ca="1">((SUBSIDIO!$L$101*SUBSIDIO!$Z$101)+(SUBSIDIO!$N$101*SUBSIDIO!$AA$101))*(0.02)/(1-0.02)</f>
        <v>46.87640257088875</v>
      </c>
      <c r="AF101" s="3" t="s">
        <v>777</v>
      </c>
    </row>
    <row r="102" spans="1:32" ht="11.25" customHeight="1" x14ac:dyDescent="0.3">
      <c r="A102" s="3" t="s">
        <v>21</v>
      </c>
      <c r="B102" s="3" t="s">
        <v>39</v>
      </c>
      <c r="C102" s="3" t="s">
        <v>40</v>
      </c>
      <c r="D102" s="3" t="s">
        <v>43</v>
      </c>
      <c r="E102" s="3" t="s">
        <v>25</v>
      </c>
      <c r="F102" s="3" t="s">
        <v>25</v>
      </c>
      <c r="G102" s="3" t="s">
        <v>25</v>
      </c>
      <c r="H102" s="3" t="s">
        <v>34</v>
      </c>
      <c r="I102" s="6">
        <v>44501</v>
      </c>
      <c r="J102" s="4">
        <v>0</v>
      </c>
      <c r="K102" s="88">
        <v>0</v>
      </c>
      <c r="L102" s="4">
        <v>6.4000000000000001E-2</v>
      </c>
      <c r="M102" s="88">
        <v>6.4000000000000001E-2</v>
      </c>
      <c r="N102" s="4">
        <v>6.4000000000000001E-2</v>
      </c>
      <c r="O102" s="88">
        <v>6.4000000000000001E-2</v>
      </c>
      <c r="P102" s="4">
        <v>0</v>
      </c>
      <c r="Q102" s="3" t="s">
        <v>26</v>
      </c>
      <c r="R102" s="3">
        <v>0</v>
      </c>
      <c r="S102" s="3">
        <v>0</v>
      </c>
      <c r="T102" s="3">
        <v>10</v>
      </c>
      <c r="U102" s="3">
        <v>51</v>
      </c>
      <c r="V102" s="88">
        <f>IF(ISERROR(VLOOKUP($S$102,'TAR FIN'!$A$1:$O$91,15,0)),0,VLOOKUP($S$102,'TAR FIN'!$A$1:$O$91,15,0))</f>
        <v>0</v>
      </c>
      <c r="W102" s="88">
        <f>IF(ISERROR(VLOOKUP($T$102,'TAR FIN'!$A$1:$O$91,15,0)),0,VLOOKUP($T$102,'TAR FIN'!$A$1:$O$91,15,0))*(1-0.04)</f>
        <v>1685.3183999999999</v>
      </c>
      <c r="X102" s="88">
        <f>IF(ISERROR(VLOOKUP($U$102,'TAR FIN'!$A$1:$O$91,15,0)),0,VLOOKUP($U$102,'TAR FIN'!$A$1:$O$91,15,0))*(1-0.04)</f>
        <v>286.88639999999998</v>
      </c>
      <c r="Y102" s="88"/>
      <c r="Z102" s="88">
        <f ca="1">('TUSD BE'!$AM$14+'TUSD BF'!$AM$14+'TUSD CVA'!$AM$14)*1*(1-0.02)</f>
        <v>1853.5981439781629</v>
      </c>
      <c r="AA102" s="88">
        <f>('TE BE'!$AB$5+'TE BF'!$AB$5+'TE CVA'!$AB$5)*1*(1-0.02)</f>
        <v>305.18355336539798</v>
      </c>
      <c r="AB102" s="88">
        <f>(SUBSIDIO!$J$102*SUBSIDIO!$V$102)*(0.04)/(1-0.04)</f>
        <v>0</v>
      </c>
      <c r="AC102" s="88">
        <f>((SUBSIDIO!$L$102*SUBSIDIO!$W$102)+(SUBSIDIO!$N$102*SUBSIDIO!$X$102))*(0.04)/(1-0.04)</f>
        <v>5.2592128000000002</v>
      </c>
      <c r="AD102" s="88">
        <f>(SUBSIDIO!$J$102*SUBSIDIO!$Y$102)*(0.02)/(1-0.02)</f>
        <v>0</v>
      </c>
      <c r="AE102" s="88">
        <f ca="1">((SUBSIDIO!$L$102*SUBSIDIO!$Z$102)+(SUBSIDIO!$N$102*SUBSIDIO!$AA$102))*(0.02)/(1-0.02)</f>
        <v>2.8196332373466917</v>
      </c>
      <c r="AF102" s="3" t="s">
        <v>777</v>
      </c>
    </row>
    <row r="103" spans="1:32" ht="11.25" customHeight="1" x14ac:dyDescent="0.3">
      <c r="A103" s="3" t="s">
        <v>21</v>
      </c>
      <c r="B103" s="3" t="s">
        <v>39</v>
      </c>
      <c r="C103" s="3" t="s">
        <v>40</v>
      </c>
      <c r="D103" s="3" t="s">
        <v>43</v>
      </c>
      <c r="E103" s="3" t="s">
        <v>25</v>
      </c>
      <c r="F103" s="3" t="s">
        <v>25</v>
      </c>
      <c r="G103" s="3" t="s">
        <v>25</v>
      </c>
      <c r="H103" s="3" t="s">
        <v>34</v>
      </c>
      <c r="I103" s="6">
        <v>44531</v>
      </c>
      <c r="J103" s="4">
        <v>0</v>
      </c>
      <c r="K103" s="88">
        <v>0</v>
      </c>
      <c r="L103" s="4">
        <v>6.5000000000000002E-2</v>
      </c>
      <c r="M103" s="88">
        <v>6.5000000000000002E-2</v>
      </c>
      <c r="N103" s="4">
        <v>6.5000000000000002E-2</v>
      </c>
      <c r="O103" s="88">
        <v>6.5000000000000002E-2</v>
      </c>
      <c r="P103" s="4">
        <v>0</v>
      </c>
      <c r="Q103" s="3" t="s">
        <v>26</v>
      </c>
      <c r="R103" s="3">
        <v>0</v>
      </c>
      <c r="S103" s="3">
        <v>0</v>
      </c>
      <c r="T103" s="3">
        <v>10</v>
      </c>
      <c r="U103" s="3">
        <v>51</v>
      </c>
      <c r="V103" s="88">
        <f>IF(ISERROR(VLOOKUP($S$103,'TAR FIN'!$A$1:$O$91,15,0)),0,VLOOKUP($S$103,'TAR FIN'!$A$1:$O$91,15,0))</f>
        <v>0</v>
      </c>
      <c r="W103" s="88">
        <f>IF(ISERROR(VLOOKUP($T$103,'TAR FIN'!$A$1:$O$91,15,0)),0,VLOOKUP($T$103,'TAR FIN'!$A$1:$O$91,15,0))*(1-0.04)</f>
        <v>1685.3183999999999</v>
      </c>
      <c r="X103" s="88">
        <f>IF(ISERROR(VLOOKUP($U$103,'TAR FIN'!$A$1:$O$91,15,0)),0,VLOOKUP($U$103,'TAR FIN'!$A$1:$O$91,15,0))*(1-0.04)</f>
        <v>286.88639999999998</v>
      </c>
      <c r="Y103" s="88"/>
      <c r="Z103" s="88">
        <f ca="1">('TUSD BE'!$AM$14+'TUSD BF'!$AM$14+'TUSD CVA'!$AM$14)*1*(1-0.02)</f>
        <v>1853.5981439781629</v>
      </c>
      <c r="AA103" s="88">
        <f>('TE BE'!$AB$5+'TE BF'!$AB$5+'TE CVA'!$AB$5)*1*(1-0.02)</f>
        <v>305.18355336539798</v>
      </c>
      <c r="AB103" s="88">
        <f>(SUBSIDIO!$J$103*SUBSIDIO!$V$103)*(0.04)/(1-0.04)</f>
        <v>0</v>
      </c>
      <c r="AC103" s="88">
        <f>((SUBSIDIO!$L$103*SUBSIDIO!$W$103)+(SUBSIDIO!$N$103*SUBSIDIO!$X$103))*(0.04)/(1-0.04)</f>
        <v>5.3413880000000002</v>
      </c>
      <c r="AD103" s="88">
        <f>(SUBSIDIO!$J$103*SUBSIDIO!$Y$103)*(0.02)/(1-0.02)</f>
        <v>0</v>
      </c>
      <c r="AE103" s="88">
        <f ca="1">((SUBSIDIO!$L$103*SUBSIDIO!$Z$103)+(SUBSIDIO!$N$103*SUBSIDIO!$AA$103))*(0.02)/(1-0.02)</f>
        <v>2.8636900066802338</v>
      </c>
      <c r="AF103" s="3" t="s">
        <v>777</v>
      </c>
    </row>
    <row r="104" spans="1:32" ht="11.25" customHeight="1" x14ac:dyDescent="0.3">
      <c r="A104" s="3" t="s">
        <v>21</v>
      </c>
      <c r="B104" s="3" t="s">
        <v>39</v>
      </c>
      <c r="C104" s="3" t="s">
        <v>40</v>
      </c>
      <c r="D104" s="3" t="s">
        <v>43</v>
      </c>
      <c r="E104" s="3" t="s">
        <v>25</v>
      </c>
      <c r="F104" s="3" t="s">
        <v>25</v>
      </c>
      <c r="G104" s="3" t="s">
        <v>25</v>
      </c>
      <c r="H104" s="3" t="s">
        <v>34</v>
      </c>
      <c r="I104" s="6">
        <v>44562</v>
      </c>
      <c r="J104" s="4">
        <v>0</v>
      </c>
      <c r="K104" s="88">
        <v>0</v>
      </c>
      <c r="L104" s="4">
        <v>7.1999999999999995E-2</v>
      </c>
      <c r="M104" s="88">
        <v>7.1999999999999995E-2</v>
      </c>
      <c r="N104" s="4">
        <v>7.1999999999999995E-2</v>
      </c>
      <c r="O104" s="88">
        <v>7.1999999999999995E-2</v>
      </c>
      <c r="P104" s="4">
        <v>0</v>
      </c>
      <c r="Q104" s="3" t="s">
        <v>26</v>
      </c>
      <c r="R104" s="3">
        <v>0</v>
      </c>
      <c r="S104" s="3">
        <v>0</v>
      </c>
      <c r="T104" s="3">
        <v>10</v>
      </c>
      <c r="U104" s="3">
        <v>51</v>
      </c>
      <c r="V104" s="88">
        <f>IF(ISERROR(VLOOKUP($S$104,'TAR FIN'!$A$1:$O$91,15,0)),0,VLOOKUP($S$104,'TAR FIN'!$A$1:$O$91,15,0))</f>
        <v>0</v>
      </c>
      <c r="W104" s="88">
        <f>IF(ISERROR(VLOOKUP($T$104,'TAR FIN'!$A$1:$O$91,15,0)),0,VLOOKUP($T$104,'TAR FIN'!$A$1:$O$91,15,0))*(1-0.04)</f>
        <v>1685.3183999999999</v>
      </c>
      <c r="X104" s="88">
        <f>IF(ISERROR(VLOOKUP($U$104,'TAR FIN'!$A$1:$O$91,15,0)),0,VLOOKUP($U$104,'TAR FIN'!$A$1:$O$91,15,0))*(1-0.04)</f>
        <v>286.88639999999998</v>
      </c>
      <c r="Y104" s="88"/>
      <c r="Z104" s="88">
        <f ca="1">('TUSD BE'!$AM$14+'TUSD BF'!$AM$14+'TUSD CVA'!$AM$14)*1*(1-0.02)</f>
        <v>1853.5981439781629</v>
      </c>
      <c r="AA104" s="88">
        <f>('TE BE'!$AB$5+'TE BF'!$AB$5+'TE CVA'!$AB$5)*1*(1-0.02)</f>
        <v>305.18355336539798</v>
      </c>
      <c r="AB104" s="88">
        <f>(SUBSIDIO!$J$104*SUBSIDIO!$V$104)*(0.04)/(1-0.04)</f>
        <v>0</v>
      </c>
      <c r="AC104" s="88">
        <f>((SUBSIDIO!$L$104*SUBSIDIO!$W$104)+(SUBSIDIO!$N$104*SUBSIDIO!$X$104))*(0.04)/(1-0.04)</f>
        <v>5.9166143999999994</v>
      </c>
      <c r="AD104" s="88">
        <f>(SUBSIDIO!$J$104*SUBSIDIO!$Y$104)*(0.02)/(1-0.02)</f>
        <v>0</v>
      </c>
      <c r="AE104" s="88">
        <f ca="1">((SUBSIDIO!$L$104*SUBSIDIO!$Z$104)+(SUBSIDIO!$N$104*SUBSIDIO!$AA$104))*(0.02)/(1-0.02)</f>
        <v>3.1720873920150283</v>
      </c>
      <c r="AF104" s="3" t="s">
        <v>777</v>
      </c>
    </row>
    <row r="105" spans="1:32" ht="11.25" customHeight="1" x14ac:dyDescent="0.3">
      <c r="A105" s="3" t="s">
        <v>21</v>
      </c>
      <c r="B105" s="3" t="s">
        <v>39</v>
      </c>
      <c r="C105" s="3" t="s">
        <v>40</v>
      </c>
      <c r="D105" s="3" t="s">
        <v>43</v>
      </c>
      <c r="E105" s="3" t="s">
        <v>25</v>
      </c>
      <c r="F105" s="3" t="s">
        <v>25</v>
      </c>
      <c r="G105" s="3" t="s">
        <v>25</v>
      </c>
      <c r="H105" s="3" t="s">
        <v>34</v>
      </c>
      <c r="I105" s="6">
        <v>44593</v>
      </c>
      <c r="J105" s="4">
        <v>0</v>
      </c>
      <c r="K105" s="88">
        <v>0</v>
      </c>
      <c r="L105" s="4">
        <v>0.27100000000000002</v>
      </c>
      <c r="M105" s="88">
        <v>0.27100000000000002</v>
      </c>
      <c r="N105" s="4">
        <v>0.27100000000000002</v>
      </c>
      <c r="O105" s="88">
        <v>0.27100000000000002</v>
      </c>
      <c r="P105" s="4">
        <v>0</v>
      </c>
      <c r="Q105" s="3" t="s">
        <v>26</v>
      </c>
      <c r="R105" s="3">
        <v>0</v>
      </c>
      <c r="S105" s="3">
        <v>0</v>
      </c>
      <c r="T105" s="3">
        <v>10</v>
      </c>
      <c r="U105" s="3">
        <v>51</v>
      </c>
      <c r="V105" s="88">
        <f>IF(ISERROR(VLOOKUP($S$105,'TAR FIN'!$A$1:$O$91,15,0)),0,VLOOKUP($S$105,'TAR FIN'!$A$1:$O$91,15,0))</f>
        <v>0</v>
      </c>
      <c r="W105" s="88">
        <f>IF(ISERROR(VLOOKUP($T$105,'TAR FIN'!$A$1:$O$91,15,0)),0,VLOOKUP($T$105,'TAR FIN'!$A$1:$O$91,15,0))*(1-0.04)</f>
        <v>1685.3183999999999</v>
      </c>
      <c r="X105" s="88">
        <f>IF(ISERROR(VLOOKUP($U$105,'TAR FIN'!$A$1:$O$91,15,0)),0,VLOOKUP($U$105,'TAR FIN'!$A$1:$O$91,15,0))*(1-0.04)</f>
        <v>286.88639999999998</v>
      </c>
      <c r="Y105" s="88"/>
      <c r="Z105" s="88">
        <f ca="1">('TUSD BE'!$AM$14+'TUSD BF'!$AM$14+'TUSD CVA'!$AM$14)*1*(1-0.02)</f>
        <v>1853.5981439781629</v>
      </c>
      <c r="AA105" s="88">
        <f>('TE BE'!$AB$5+'TE BF'!$AB$5+'TE CVA'!$AB$5)*1*(1-0.02)</f>
        <v>305.18355336539798</v>
      </c>
      <c r="AB105" s="88">
        <f>(SUBSIDIO!$J$105*SUBSIDIO!$V$105)*(0.04)/(1-0.04)</f>
        <v>0</v>
      </c>
      <c r="AC105" s="88">
        <f>((SUBSIDIO!$L$105*SUBSIDIO!$W$105)+(SUBSIDIO!$N$105*SUBSIDIO!$X$105))*(0.04)/(1-0.04)</f>
        <v>22.269479200000003</v>
      </c>
      <c r="AD105" s="88">
        <f>(SUBSIDIO!$J$105*SUBSIDIO!$Y$105)*(0.02)/(1-0.02)</f>
        <v>0</v>
      </c>
      <c r="AE105" s="88">
        <f ca="1">((SUBSIDIO!$L$105*SUBSIDIO!$Z$105)+(SUBSIDIO!$N$105*SUBSIDIO!$AA$105))*(0.02)/(1-0.02)</f>
        <v>11.939384489389898</v>
      </c>
      <c r="AF105" s="3" t="s">
        <v>777</v>
      </c>
    </row>
    <row r="106" spans="1:32" ht="11.25" customHeight="1" x14ac:dyDescent="0.3">
      <c r="A106" s="3" t="s">
        <v>21</v>
      </c>
      <c r="B106" s="3" t="s">
        <v>39</v>
      </c>
      <c r="C106" s="3" t="s">
        <v>40</v>
      </c>
      <c r="D106" s="3" t="s">
        <v>43</v>
      </c>
      <c r="E106" s="3" t="s">
        <v>25</v>
      </c>
      <c r="F106" s="3" t="s">
        <v>25</v>
      </c>
      <c r="G106" s="3" t="s">
        <v>25</v>
      </c>
      <c r="H106" s="3" t="s">
        <v>34</v>
      </c>
      <c r="I106" s="6">
        <v>44621</v>
      </c>
      <c r="J106" s="4">
        <v>0</v>
      </c>
      <c r="K106" s="88">
        <v>0</v>
      </c>
      <c r="L106" s="4">
        <v>2.4649999999999999</v>
      </c>
      <c r="M106" s="88">
        <v>2.4649999999999999</v>
      </c>
      <c r="N106" s="4">
        <v>2.4649999999999999</v>
      </c>
      <c r="O106" s="88">
        <v>2.4649999999999999</v>
      </c>
      <c r="P106" s="4">
        <v>0</v>
      </c>
      <c r="Q106" s="3" t="s">
        <v>26</v>
      </c>
      <c r="R106" s="3">
        <v>0</v>
      </c>
      <c r="S106" s="3">
        <v>0</v>
      </c>
      <c r="T106" s="3">
        <v>10</v>
      </c>
      <c r="U106" s="3">
        <v>51</v>
      </c>
      <c r="V106" s="88">
        <f>IF(ISERROR(VLOOKUP($S$106,'TAR FIN'!$A$1:$O$91,15,0)),0,VLOOKUP($S$106,'TAR FIN'!$A$1:$O$91,15,0))</f>
        <v>0</v>
      </c>
      <c r="W106" s="88">
        <f>IF(ISERROR(VLOOKUP($T$106,'TAR FIN'!$A$1:$O$91,15,0)),0,VLOOKUP($T$106,'TAR FIN'!$A$1:$O$91,15,0))*(1-0.04)</f>
        <v>1685.3183999999999</v>
      </c>
      <c r="X106" s="88">
        <f>IF(ISERROR(VLOOKUP($U$106,'TAR FIN'!$A$1:$O$91,15,0)),0,VLOOKUP($U$106,'TAR FIN'!$A$1:$O$91,15,0))*(1-0.04)</f>
        <v>286.88639999999998</v>
      </c>
      <c r="Y106" s="88"/>
      <c r="Z106" s="88">
        <f ca="1">('TUSD BE'!$AM$14+'TUSD BF'!$AM$14+'TUSD CVA'!$AM$14)*1*(1-0.02)</f>
        <v>1853.5981439781629</v>
      </c>
      <c r="AA106" s="88">
        <f>('TE BE'!$AB$5+'TE BF'!$AB$5+'TE CVA'!$AB$5)*1*(1-0.02)</f>
        <v>305.18355336539798</v>
      </c>
      <c r="AB106" s="88">
        <f>(SUBSIDIO!$J$106*SUBSIDIO!$V$106)*(0.04)/(1-0.04)</f>
        <v>0</v>
      </c>
      <c r="AC106" s="88">
        <f>((SUBSIDIO!$L$106*SUBSIDIO!$W$106)+(SUBSIDIO!$N$106*SUBSIDIO!$X$106))*(0.04)/(1-0.04)</f>
        <v>202.561868</v>
      </c>
      <c r="AD106" s="88">
        <f>(SUBSIDIO!$J$106*SUBSIDIO!$Y$106)*(0.02)/(1-0.02)</f>
        <v>0</v>
      </c>
      <c r="AE106" s="88">
        <f ca="1">((SUBSIDIO!$L$106*SUBSIDIO!$Z$106)+(SUBSIDIO!$N$106*SUBSIDIO!$AA$106))*(0.02)/(1-0.02)</f>
        <v>108.59993640718116</v>
      </c>
      <c r="AF106" s="3" t="s">
        <v>777</v>
      </c>
    </row>
    <row r="107" spans="1:32" ht="11.25" customHeight="1" x14ac:dyDescent="0.3">
      <c r="A107" s="3" t="s">
        <v>21</v>
      </c>
      <c r="B107" s="3" t="s">
        <v>39</v>
      </c>
      <c r="C107" s="3" t="s">
        <v>40</v>
      </c>
      <c r="D107" s="3" t="s">
        <v>43</v>
      </c>
      <c r="E107" s="3" t="s">
        <v>25</v>
      </c>
      <c r="F107" s="3" t="s">
        <v>25</v>
      </c>
      <c r="G107" s="3" t="s">
        <v>25</v>
      </c>
      <c r="H107" s="3" t="s">
        <v>34</v>
      </c>
      <c r="I107" s="6">
        <v>44652</v>
      </c>
      <c r="J107" s="4">
        <v>0</v>
      </c>
      <c r="K107" s="88">
        <v>0</v>
      </c>
      <c r="L107" s="4">
        <v>2.4</v>
      </c>
      <c r="M107" s="88">
        <v>2.4</v>
      </c>
      <c r="N107" s="4">
        <v>2.4</v>
      </c>
      <c r="O107" s="88">
        <v>2.4</v>
      </c>
      <c r="P107" s="4">
        <v>0</v>
      </c>
      <c r="Q107" s="3" t="s">
        <v>26</v>
      </c>
      <c r="R107" s="3">
        <v>0</v>
      </c>
      <c r="S107" s="3">
        <v>0</v>
      </c>
      <c r="T107" s="3">
        <v>10</v>
      </c>
      <c r="U107" s="3">
        <v>51</v>
      </c>
      <c r="V107" s="88">
        <f>IF(ISERROR(VLOOKUP($S$107,'TAR FIN'!$A$1:$O$91,15,0)),0,VLOOKUP($S$107,'TAR FIN'!$A$1:$O$91,15,0))</f>
        <v>0</v>
      </c>
      <c r="W107" s="88">
        <f>IF(ISERROR(VLOOKUP($T$107,'TAR FIN'!$A$1:$O$91,15,0)),0,VLOOKUP($T$107,'TAR FIN'!$A$1:$O$91,15,0))*(1-0.04)</f>
        <v>1685.3183999999999</v>
      </c>
      <c r="X107" s="88">
        <f>IF(ISERROR(VLOOKUP($U$107,'TAR FIN'!$A$1:$O$91,15,0)),0,VLOOKUP($U$107,'TAR FIN'!$A$1:$O$91,15,0))*(1-0.04)</f>
        <v>286.88639999999998</v>
      </c>
      <c r="Y107" s="88"/>
      <c r="Z107" s="88">
        <f ca="1">('TUSD BE'!$AM$14+'TUSD BF'!$AM$14+'TUSD CVA'!$AM$14)*1*(1-0.02)</f>
        <v>1853.5981439781629</v>
      </c>
      <c r="AA107" s="88">
        <f>('TE BE'!$AB$5+'TE BF'!$AB$5+'TE CVA'!$AB$5)*1*(1-0.02)</f>
        <v>305.18355336539798</v>
      </c>
      <c r="AB107" s="88">
        <f>(SUBSIDIO!$J$107*SUBSIDIO!$V$107)*(0.04)/(1-0.04)</f>
        <v>0</v>
      </c>
      <c r="AC107" s="88">
        <f>((SUBSIDIO!$L$107*SUBSIDIO!$W$107)+(SUBSIDIO!$N$107*SUBSIDIO!$X$107))*(0.04)/(1-0.04)</f>
        <v>197.22047999999998</v>
      </c>
      <c r="AD107" s="88">
        <f>(SUBSIDIO!$J$107*SUBSIDIO!$Y$107)*(0.02)/(1-0.02)</f>
        <v>0</v>
      </c>
      <c r="AE107" s="88">
        <f ca="1">((SUBSIDIO!$L$107*SUBSIDIO!$Z$107)+(SUBSIDIO!$N$107*SUBSIDIO!$AA$107))*(0.02)/(1-0.02)</f>
        <v>105.73624640050093</v>
      </c>
      <c r="AF107" s="3" t="s">
        <v>777</v>
      </c>
    </row>
    <row r="108" spans="1:32" ht="11.25" customHeight="1" x14ac:dyDescent="0.3">
      <c r="A108" s="3" t="s">
        <v>21</v>
      </c>
      <c r="B108" s="3" t="s">
        <v>39</v>
      </c>
      <c r="C108" s="3" t="s">
        <v>40</v>
      </c>
      <c r="D108" s="3" t="s">
        <v>43</v>
      </c>
      <c r="E108" s="3" t="s">
        <v>25</v>
      </c>
      <c r="F108" s="3" t="s">
        <v>25</v>
      </c>
      <c r="G108" s="3" t="s">
        <v>25</v>
      </c>
      <c r="H108" s="3" t="s">
        <v>34</v>
      </c>
      <c r="I108" s="6">
        <v>44682</v>
      </c>
      <c r="J108" s="4">
        <v>0</v>
      </c>
      <c r="K108" s="88">
        <v>0</v>
      </c>
      <c r="L108" s="4">
        <v>1.9390000000000001</v>
      </c>
      <c r="M108" s="88">
        <v>1.9390000000000001</v>
      </c>
      <c r="N108" s="4">
        <v>1.9390000000000001</v>
      </c>
      <c r="O108" s="88">
        <v>1.9390000000000001</v>
      </c>
      <c r="P108" s="4">
        <v>0</v>
      </c>
      <c r="Q108" s="3" t="s">
        <v>26</v>
      </c>
      <c r="R108" s="3">
        <v>0</v>
      </c>
      <c r="S108" s="3">
        <v>0</v>
      </c>
      <c r="T108" s="3">
        <v>10</v>
      </c>
      <c r="U108" s="3">
        <v>51</v>
      </c>
      <c r="V108" s="88">
        <f>IF(ISERROR(VLOOKUP($S$108,'TAR FIN'!$A$1:$O$91,15,0)),0,VLOOKUP($S$108,'TAR FIN'!$A$1:$O$91,15,0))</f>
        <v>0</v>
      </c>
      <c r="W108" s="88">
        <f>IF(ISERROR(VLOOKUP($T$108,'TAR FIN'!$A$1:$O$91,15,0)),0,VLOOKUP($T$108,'TAR FIN'!$A$1:$O$91,15,0))*(1-0.04)</f>
        <v>1685.3183999999999</v>
      </c>
      <c r="X108" s="88">
        <f>IF(ISERROR(VLOOKUP($U$108,'TAR FIN'!$A$1:$O$91,15,0)),0,VLOOKUP($U$108,'TAR FIN'!$A$1:$O$91,15,0))*(1-0.04)</f>
        <v>286.88639999999998</v>
      </c>
      <c r="Y108" s="88"/>
      <c r="Z108" s="88">
        <f ca="1">('TUSD BE'!$AM$14+'TUSD BF'!$AM$14+'TUSD CVA'!$AM$14)*1*(1-0.02)</f>
        <v>1853.5981439781629</v>
      </c>
      <c r="AA108" s="88">
        <f>('TE BE'!$AB$5+'TE BF'!$AB$5+'TE CVA'!$AB$5)*1*(1-0.02)</f>
        <v>305.18355336539798</v>
      </c>
      <c r="AB108" s="88">
        <f>(SUBSIDIO!$J$108*SUBSIDIO!$V$108)*(0.04)/(1-0.04)</f>
        <v>0</v>
      </c>
      <c r="AC108" s="88">
        <f>((SUBSIDIO!$L$108*SUBSIDIO!$W$108)+(SUBSIDIO!$N$108*SUBSIDIO!$X$108))*(0.04)/(1-0.04)</f>
        <v>159.33771279999999</v>
      </c>
      <c r="AD108" s="88">
        <f>(SUBSIDIO!$J$108*SUBSIDIO!$Y$108)*(0.02)/(1-0.02)</f>
        <v>0</v>
      </c>
      <c r="AE108" s="88">
        <f ca="1">((SUBSIDIO!$L$108*SUBSIDIO!$Z$108)+(SUBSIDIO!$N$108*SUBSIDIO!$AA$108))*(0.02)/(1-0.02)</f>
        <v>85.42607573773806</v>
      </c>
      <c r="AF108" s="3" t="s">
        <v>777</v>
      </c>
    </row>
    <row r="109" spans="1:32" ht="11.25" customHeight="1" x14ac:dyDescent="0.3">
      <c r="A109" s="3" t="s">
        <v>21</v>
      </c>
      <c r="B109" s="3" t="s">
        <v>39</v>
      </c>
      <c r="C109" s="3" t="s">
        <v>40</v>
      </c>
      <c r="D109" s="3" t="s">
        <v>43</v>
      </c>
      <c r="E109" s="3" t="s">
        <v>25</v>
      </c>
      <c r="F109" s="3" t="s">
        <v>25</v>
      </c>
      <c r="G109" s="3" t="s">
        <v>25</v>
      </c>
      <c r="H109" s="3" t="s">
        <v>34</v>
      </c>
      <c r="I109" s="6">
        <v>44713</v>
      </c>
      <c r="J109" s="4">
        <v>0</v>
      </c>
      <c r="K109" s="88">
        <v>0</v>
      </c>
      <c r="L109" s="4">
        <v>1.1779999999999999</v>
      </c>
      <c r="M109" s="88">
        <v>1.1779999999999999</v>
      </c>
      <c r="N109" s="4">
        <v>1.1779999999999999</v>
      </c>
      <c r="O109" s="88">
        <v>1.1779999999999999</v>
      </c>
      <c r="P109" s="4">
        <v>0</v>
      </c>
      <c r="Q109" s="3" t="s">
        <v>26</v>
      </c>
      <c r="R109" s="3">
        <v>0</v>
      </c>
      <c r="S109" s="3">
        <v>0</v>
      </c>
      <c r="T109" s="3">
        <v>10</v>
      </c>
      <c r="U109" s="3">
        <v>51</v>
      </c>
      <c r="V109" s="88">
        <f>IF(ISERROR(VLOOKUP($S$109,'TAR FIN'!$A$1:$O$91,15,0)),0,VLOOKUP($S$109,'TAR FIN'!$A$1:$O$91,15,0))</f>
        <v>0</v>
      </c>
      <c r="W109" s="88">
        <f>IF(ISERROR(VLOOKUP($T$109,'TAR FIN'!$A$1:$O$91,15,0)),0,VLOOKUP($T$109,'TAR FIN'!$A$1:$O$91,15,0))*(1-0.04)</f>
        <v>1685.3183999999999</v>
      </c>
      <c r="X109" s="88">
        <f>IF(ISERROR(VLOOKUP($U$109,'TAR FIN'!$A$1:$O$91,15,0)),0,VLOOKUP($U$109,'TAR FIN'!$A$1:$O$91,15,0))*(1-0.04)</f>
        <v>286.88639999999998</v>
      </c>
      <c r="Y109" s="88"/>
      <c r="Z109" s="88">
        <f ca="1">('TUSD BE'!$AM$14+'TUSD BF'!$AM$14+'TUSD CVA'!$AM$14)*1*(1-0.02)</f>
        <v>1853.5981439781629</v>
      </c>
      <c r="AA109" s="88">
        <f>('TE BE'!$AB$5+'TE BF'!$AB$5+'TE CVA'!$AB$5)*1*(1-0.02)</f>
        <v>305.18355336539798</v>
      </c>
      <c r="AB109" s="88">
        <f>(SUBSIDIO!$J$109*SUBSIDIO!$V$109)*(0.04)/(1-0.04)</f>
        <v>0</v>
      </c>
      <c r="AC109" s="88">
        <f>((SUBSIDIO!$L$109*SUBSIDIO!$W$109)+(SUBSIDIO!$N$109*SUBSIDIO!$X$109))*(0.04)/(1-0.04)</f>
        <v>96.802385599999994</v>
      </c>
      <c r="AD109" s="88">
        <f>(SUBSIDIO!$J$109*SUBSIDIO!$Y$109)*(0.02)/(1-0.02)</f>
        <v>0</v>
      </c>
      <c r="AE109" s="88">
        <f ca="1">((SUBSIDIO!$L$109*SUBSIDIO!$Z$109)+(SUBSIDIO!$N$109*SUBSIDIO!$AA$109))*(0.02)/(1-0.02)</f>
        <v>51.898874274912544</v>
      </c>
      <c r="AF109" s="3" t="s">
        <v>777</v>
      </c>
    </row>
    <row r="110" spans="1:32" ht="11.25" customHeight="1" x14ac:dyDescent="0.3">
      <c r="A110" s="3" t="s">
        <v>21</v>
      </c>
      <c r="B110" s="3" t="s">
        <v>22</v>
      </c>
      <c r="C110" s="3" t="s">
        <v>23</v>
      </c>
      <c r="D110" s="3" t="s">
        <v>24</v>
      </c>
      <c r="E110" s="3" t="s">
        <v>24</v>
      </c>
      <c r="F110" s="3" t="s">
        <v>25</v>
      </c>
      <c r="G110" s="3" t="s">
        <v>25</v>
      </c>
      <c r="H110" s="3" t="s">
        <v>25</v>
      </c>
      <c r="I110" s="6">
        <v>44378</v>
      </c>
      <c r="J110" s="4">
        <v>0</v>
      </c>
      <c r="K110" s="4">
        <v>0</v>
      </c>
      <c r="L110" s="4">
        <v>1503.675</v>
      </c>
      <c r="M110" s="4">
        <v>1503.675</v>
      </c>
      <c r="N110" s="4">
        <v>1503.675</v>
      </c>
      <c r="O110" s="4">
        <v>1503.675</v>
      </c>
      <c r="P110" s="4">
        <v>9100</v>
      </c>
      <c r="Q110" s="3" t="s">
        <v>26</v>
      </c>
      <c r="R110" s="3">
        <v>0</v>
      </c>
      <c r="S110" s="3">
        <v>0</v>
      </c>
      <c r="T110" s="3">
        <v>19</v>
      </c>
      <c r="U110" s="3">
        <v>59</v>
      </c>
      <c r="V110" s="4">
        <f>IF(ISERROR(VLOOKUP($S$110,'TAR FIN'!$A$1:$O$91,15,0)),0,VLOOKUP($S$110,'TAR FIN'!$A$1:$O$91,15,0))</f>
        <v>0</v>
      </c>
      <c r="W110" s="4">
        <f>IF(ISERROR(VLOOKUP($T$110,'TAR FIN'!$A$1:$O$91,15,0)),0,VLOOKUP($T$110,'TAR FIN'!$A$1:$O$91,15,0))</f>
        <v>406.52</v>
      </c>
      <c r="X110" s="4">
        <f>IF(ISERROR(VLOOKUP($U$110,'TAR FIN'!$A$1:$O$91,15,0)),0,VLOOKUP($U$110,'TAR FIN'!$A$1:$O$91,15,0))</f>
        <v>199.03</v>
      </c>
      <c r="Y110" s="4"/>
      <c r="Z110" s="4">
        <f ca="1">('TUSD BE'!$AM$23+'TUSD BF'!$AM$23+'TUSD CVA'!$AM$23)*1</f>
        <v>446.02270810064761</v>
      </c>
      <c r="AA110" s="4">
        <f>('TE BE'!$AB$14+'TE BF'!$AB$14+'TE CVA'!$AB$14)*1</f>
        <v>205.52329867469447</v>
      </c>
      <c r="AB110" s="4">
        <f t="shared" si="8"/>
        <v>0</v>
      </c>
      <c r="AC110" s="4">
        <f t="shared" ref="AC110" si="12">(L110-M110)*W110+(N110-O110)*X110</f>
        <v>0</v>
      </c>
      <c r="AD110" s="4">
        <f t="shared" si="10"/>
        <v>0</v>
      </c>
      <c r="AE110" s="4">
        <f t="shared" ref="AE110" ca="1" si="13">(L110-M110)*Z110+(N110-O110)*AA110</f>
        <v>0</v>
      </c>
    </row>
    <row r="111" spans="1:32" ht="11.25" customHeight="1" x14ac:dyDescent="0.3">
      <c r="A111" s="3" t="s">
        <v>21</v>
      </c>
      <c r="B111" s="3" t="s">
        <v>22</v>
      </c>
      <c r="C111" s="3" t="s">
        <v>23</v>
      </c>
      <c r="D111" s="3" t="s">
        <v>24</v>
      </c>
      <c r="E111" s="3" t="s">
        <v>29</v>
      </c>
      <c r="F111" s="3" t="s">
        <v>25</v>
      </c>
      <c r="G111" s="3" t="s">
        <v>25</v>
      </c>
      <c r="H111" s="3" t="s">
        <v>25</v>
      </c>
      <c r="I111" s="6">
        <v>44378</v>
      </c>
      <c r="J111" s="4">
        <v>0</v>
      </c>
      <c r="K111" s="4">
        <v>0</v>
      </c>
      <c r="L111" s="4">
        <v>32.19</v>
      </c>
      <c r="M111" s="4">
        <v>32.19</v>
      </c>
      <c r="N111" s="4">
        <v>32.19</v>
      </c>
      <c r="O111" s="4">
        <v>32.19</v>
      </c>
      <c r="P111" s="4">
        <v>64</v>
      </c>
      <c r="Q111" s="3" t="s">
        <v>26</v>
      </c>
      <c r="R111" s="3">
        <v>0</v>
      </c>
      <c r="S111" s="3">
        <v>0</v>
      </c>
      <c r="T111" s="3">
        <v>20</v>
      </c>
      <c r="U111" s="3">
        <v>60</v>
      </c>
      <c r="V111" s="4">
        <f>IF(ISERROR(VLOOKUP($S$111,'TAR FIN'!$A$1:$O$91,15,0)),0,VLOOKUP($S$111,'TAR FIN'!$A$1:$O$91,15,0))</f>
        <v>0</v>
      </c>
      <c r="W111" s="4">
        <f>IF(ISERROR(VLOOKUP($T$111,'TAR FIN'!$A$1:$O$91,15,0)),0,VLOOKUP($T$111,'TAR FIN'!$A$1:$O$91,15,0))</f>
        <v>112.15</v>
      </c>
      <c r="X111" s="4">
        <f>IF(ISERROR(VLOOKUP($U$111,'TAR FIN'!$A$1:$O$91,15,0)),0,VLOOKUP($U$111,'TAR FIN'!$A$1:$O$91,15,0))</f>
        <v>69.66</v>
      </c>
      <c r="Y111" s="4"/>
      <c r="Z111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1" s="4">
        <f>('TE BE'!$AB$15+'TE BF'!$AB$15+'TE CVA'!$AB$15)*(1-CUSTOS!$M$34)</f>
        <v>71.933154536143064</v>
      </c>
      <c r="AB111" s="4">
        <f t="shared" si="8"/>
        <v>0</v>
      </c>
      <c r="AC111" s="4">
        <f>(L111-M111)*(W111+X111)+($W$184+$X$184-$W$111-$X$111)*(L111)</f>
        <v>10869.275400000002</v>
      </c>
      <c r="AD111" s="4">
        <f t="shared" si="10"/>
        <v>0</v>
      </c>
      <c r="AE111" s="4">
        <f ca="1">(L111-M111)*(Z111+AA111)+($Z$184+$AA$184-$Z$111-$AA$111)*(L111)</f>
        <v>11393.279144680919</v>
      </c>
      <c r="AF111" s="3" t="s">
        <v>778</v>
      </c>
    </row>
    <row r="112" spans="1:32" ht="11.25" customHeight="1" x14ac:dyDescent="0.3">
      <c r="A112" s="3" t="s">
        <v>28</v>
      </c>
      <c r="B112" s="3" t="s">
        <v>22</v>
      </c>
      <c r="C112" s="3" t="s">
        <v>23</v>
      </c>
      <c r="D112" s="3" t="s">
        <v>24</v>
      </c>
      <c r="E112" s="3" t="s">
        <v>29</v>
      </c>
      <c r="F112" s="3" t="s">
        <v>25</v>
      </c>
      <c r="G112" s="3" t="s">
        <v>25</v>
      </c>
      <c r="H112" s="3" t="s">
        <v>25</v>
      </c>
      <c r="I112" s="6">
        <v>44378</v>
      </c>
      <c r="J112" s="4">
        <v>0</v>
      </c>
      <c r="K112" s="4">
        <v>0</v>
      </c>
      <c r="L112" s="4">
        <v>0.06</v>
      </c>
      <c r="M112" s="4">
        <v>0.06</v>
      </c>
      <c r="N112" s="4">
        <v>0.06</v>
      </c>
      <c r="O112" s="4">
        <v>0.06</v>
      </c>
      <c r="P112" s="4">
        <v>1</v>
      </c>
      <c r="Q112" s="3" t="s">
        <v>26</v>
      </c>
      <c r="R112" s="3">
        <v>0</v>
      </c>
      <c r="S112" s="3">
        <v>0</v>
      </c>
      <c r="T112" s="3">
        <v>20</v>
      </c>
      <c r="U112" s="3">
        <v>60</v>
      </c>
      <c r="V112" s="4">
        <f>IF(ISERROR(VLOOKUP($S$112,'TAR FIN'!$A$1:$O$91,15,0)),0,VLOOKUP($S$112,'TAR FIN'!$A$1:$O$91,15,0))</f>
        <v>0</v>
      </c>
      <c r="W112" s="4">
        <f>IF(ISERROR(VLOOKUP($T$112,'TAR FIN'!$A$1:$O$91,15,0)),0,VLOOKUP($T$112,'TAR FIN'!$A$1:$O$91,15,0))</f>
        <v>112.15</v>
      </c>
      <c r="X112" s="4">
        <f>IF(ISERROR(VLOOKUP($U$112,'TAR FIN'!$A$1:$O$91,15,0)),0,VLOOKUP($U$112,'TAR FIN'!$A$1:$O$91,15,0))</f>
        <v>69.66</v>
      </c>
      <c r="Y112" s="4"/>
      <c r="Z112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2" s="4">
        <f>('TE BE'!$AB$15+'TE BF'!$AB$15+'TE CVA'!$AB$15)*(1-CUSTOS!$M$34)</f>
        <v>71.933154536143064</v>
      </c>
      <c r="AB112" s="4">
        <f t="shared" si="8"/>
        <v>0</v>
      </c>
      <c r="AC112" s="4">
        <f>(L112-M112)*(W112+X112)+($W$184+$X$184-$W$112-$X$112)*(L112)</f>
        <v>20.259600000000002</v>
      </c>
      <c r="AD112" s="4">
        <f t="shared" si="10"/>
        <v>0</v>
      </c>
      <c r="AE112" s="4">
        <f ca="1">(L112-M112)*(Z112+AA112)+($Z$184+$AA$184-$Z$112-$AA$112)*(L112)</f>
        <v>21.236307818603763</v>
      </c>
      <c r="AF112" s="3" t="s">
        <v>778</v>
      </c>
    </row>
    <row r="113" spans="1:32" ht="11.25" customHeight="1" x14ac:dyDescent="0.3">
      <c r="A113" s="3" t="s">
        <v>21</v>
      </c>
      <c r="B113" s="3" t="s">
        <v>22</v>
      </c>
      <c r="C113" s="3" t="s">
        <v>23</v>
      </c>
      <c r="D113" s="3" t="s">
        <v>24</v>
      </c>
      <c r="E113" s="3" t="s">
        <v>29</v>
      </c>
      <c r="F113" s="3" t="s">
        <v>25</v>
      </c>
      <c r="G113" s="3" t="s">
        <v>25</v>
      </c>
      <c r="H113" s="3" t="s">
        <v>25</v>
      </c>
      <c r="I113" s="6">
        <v>44409</v>
      </c>
      <c r="J113" s="4">
        <v>0</v>
      </c>
      <c r="K113" s="4">
        <v>0</v>
      </c>
      <c r="L113" s="4">
        <v>32.31</v>
      </c>
      <c r="M113" s="4">
        <v>32.31</v>
      </c>
      <c r="N113" s="4">
        <v>32.31</v>
      </c>
      <c r="O113" s="4">
        <v>32.31</v>
      </c>
      <c r="P113" s="4">
        <v>63</v>
      </c>
      <c r="Q113" s="3" t="s">
        <v>26</v>
      </c>
      <c r="R113" s="3">
        <v>0</v>
      </c>
      <c r="S113" s="3">
        <v>0</v>
      </c>
      <c r="T113" s="3">
        <v>20</v>
      </c>
      <c r="U113" s="3">
        <v>60</v>
      </c>
      <c r="V113" s="4">
        <f>IF(ISERROR(VLOOKUP($S$113,'TAR FIN'!$A$1:$O$91,15,0)),0,VLOOKUP($S$113,'TAR FIN'!$A$1:$O$91,15,0))</f>
        <v>0</v>
      </c>
      <c r="W113" s="4">
        <f>IF(ISERROR(VLOOKUP($T$113,'TAR FIN'!$A$1:$O$91,15,0)),0,VLOOKUP($T$113,'TAR FIN'!$A$1:$O$91,15,0))</f>
        <v>112.15</v>
      </c>
      <c r="X113" s="4">
        <f>IF(ISERROR(VLOOKUP($U$113,'TAR FIN'!$A$1:$O$91,15,0)),0,VLOOKUP($U$113,'TAR FIN'!$A$1:$O$91,15,0))</f>
        <v>69.66</v>
      </c>
      <c r="Y113" s="4"/>
      <c r="Z113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3" s="4">
        <f>('TE BE'!$AB$15+'TE BF'!$AB$15+'TE CVA'!$AB$15)*(1-CUSTOS!$M$34)</f>
        <v>71.933154536143064</v>
      </c>
      <c r="AB113" s="4">
        <f t="shared" si="8"/>
        <v>0</v>
      </c>
      <c r="AC113" s="4">
        <f>(L113-M113)*(W113+X113)+($W$184+$X$184-$W$113-$X$113)*(L113)</f>
        <v>10909.794600000003</v>
      </c>
      <c r="AD113" s="4">
        <f t="shared" si="10"/>
        <v>0</v>
      </c>
      <c r="AE113" s="4">
        <f ca="1">(L113-M113)*(Z113+AA113)+($Z$184+$AA$184-$Z$113-$AA$113)*(L113)</f>
        <v>11435.751760318128</v>
      </c>
      <c r="AF113" s="3" t="s">
        <v>778</v>
      </c>
    </row>
    <row r="114" spans="1:32" ht="11.25" customHeight="1" x14ac:dyDescent="0.3">
      <c r="A114" s="3" t="s">
        <v>28</v>
      </c>
      <c r="B114" s="3" t="s">
        <v>22</v>
      </c>
      <c r="C114" s="3" t="s">
        <v>23</v>
      </c>
      <c r="D114" s="3" t="s">
        <v>24</v>
      </c>
      <c r="E114" s="3" t="s">
        <v>29</v>
      </c>
      <c r="F114" s="3" t="s">
        <v>25</v>
      </c>
      <c r="G114" s="3" t="s">
        <v>25</v>
      </c>
      <c r="H114" s="3" t="s">
        <v>25</v>
      </c>
      <c r="I114" s="6">
        <v>44409</v>
      </c>
      <c r="J114" s="4">
        <v>0</v>
      </c>
      <c r="K114" s="4">
        <v>0</v>
      </c>
      <c r="L114" s="4">
        <v>0.03</v>
      </c>
      <c r="M114" s="4">
        <v>0.03</v>
      </c>
      <c r="N114" s="4">
        <v>0.03</v>
      </c>
      <c r="O114" s="4">
        <v>0.03</v>
      </c>
      <c r="P114" s="4">
        <v>1</v>
      </c>
      <c r="Q114" s="3" t="s">
        <v>26</v>
      </c>
      <c r="R114" s="3">
        <v>0</v>
      </c>
      <c r="S114" s="3">
        <v>0</v>
      </c>
      <c r="T114" s="3">
        <v>20</v>
      </c>
      <c r="U114" s="3">
        <v>60</v>
      </c>
      <c r="V114" s="4">
        <f>IF(ISERROR(VLOOKUP($S$114,'TAR FIN'!$A$1:$O$91,15,0)),0,VLOOKUP($S$114,'TAR FIN'!$A$1:$O$91,15,0))</f>
        <v>0</v>
      </c>
      <c r="W114" s="4">
        <f>IF(ISERROR(VLOOKUP($T$114,'TAR FIN'!$A$1:$O$91,15,0)),0,VLOOKUP($T$114,'TAR FIN'!$A$1:$O$91,15,0))</f>
        <v>112.15</v>
      </c>
      <c r="X114" s="4">
        <f>IF(ISERROR(VLOOKUP($U$114,'TAR FIN'!$A$1:$O$91,15,0)),0,VLOOKUP($U$114,'TAR FIN'!$A$1:$O$91,15,0))</f>
        <v>69.66</v>
      </c>
      <c r="Y114" s="4"/>
      <c r="Z114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4" s="4">
        <f>('TE BE'!$AB$15+'TE BF'!$AB$15+'TE CVA'!$AB$15)*(1-CUSTOS!$M$34)</f>
        <v>71.933154536143064</v>
      </c>
      <c r="AB114" s="4">
        <f t="shared" si="8"/>
        <v>0</v>
      </c>
      <c r="AC114" s="4">
        <f>(L114-M114)*(W114+X114)+($W$184+$X$184-$W$114-$X$114)*(L114)</f>
        <v>10.129800000000001</v>
      </c>
      <c r="AD114" s="4">
        <f t="shared" si="10"/>
        <v>0</v>
      </c>
      <c r="AE114" s="4">
        <f ca="1">(L114-M114)*(Z114+AA114)+($Z$184+$AA$184-$Z$114-$AA$114)*(L114)</f>
        <v>10.618153909301881</v>
      </c>
      <c r="AF114" s="3" t="s">
        <v>778</v>
      </c>
    </row>
    <row r="115" spans="1:32" ht="11.25" customHeight="1" x14ac:dyDescent="0.3">
      <c r="A115" s="3" t="s">
        <v>21</v>
      </c>
      <c r="B115" s="3" t="s">
        <v>22</v>
      </c>
      <c r="C115" s="3" t="s">
        <v>23</v>
      </c>
      <c r="D115" s="3" t="s">
        <v>24</v>
      </c>
      <c r="E115" s="3" t="s">
        <v>29</v>
      </c>
      <c r="F115" s="3" t="s">
        <v>25</v>
      </c>
      <c r="G115" s="3" t="s">
        <v>25</v>
      </c>
      <c r="H115" s="3" t="s">
        <v>25</v>
      </c>
      <c r="I115" s="6">
        <v>44440</v>
      </c>
      <c r="J115" s="4">
        <v>0</v>
      </c>
      <c r="K115" s="4">
        <v>0</v>
      </c>
      <c r="L115" s="4">
        <v>32.58</v>
      </c>
      <c r="M115" s="4">
        <v>32.58</v>
      </c>
      <c r="N115" s="4">
        <v>32.58</v>
      </c>
      <c r="O115" s="4">
        <v>32.58</v>
      </c>
      <c r="P115" s="4">
        <v>51</v>
      </c>
      <c r="Q115" s="3" t="s">
        <v>26</v>
      </c>
      <c r="R115" s="3">
        <v>0</v>
      </c>
      <c r="S115" s="3">
        <v>0</v>
      </c>
      <c r="T115" s="3">
        <v>20</v>
      </c>
      <c r="U115" s="3">
        <v>60</v>
      </c>
      <c r="V115" s="4">
        <f>IF(ISERROR(VLOOKUP($S$115,'TAR FIN'!$A$1:$O$91,15,0)),0,VLOOKUP($S$115,'TAR FIN'!$A$1:$O$91,15,0))</f>
        <v>0</v>
      </c>
      <c r="W115" s="4">
        <f>IF(ISERROR(VLOOKUP($T$115,'TAR FIN'!$A$1:$O$91,15,0)),0,VLOOKUP($T$115,'TAR FIN'!$A$1:$O$91,15,0))</f>
        <v>112.15</v>
      </c>
      <c r="X115" s="4">
        <f>IF(ISERROR(VLOOKUP($U$115,'TAR FIN'!$A$1:$O$91,15,0)),0,VLOOKUP($U$115,'TAR FIN'!$A$1:$O$91,15,0))</f>
        <v>69.66</v>
      </c>
      <c r="Y115" s="4"/>
      <c r="Z115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5" s="4">
        <f>('TE BE'!$AB$15+'TE BF'!$AB$15+'TE CVA'!$AB$15)*(1-CUSTOS!$M$34)</f>
        <v>71.933154536143064</v>
      </c>
      <c r="AB115" s="4">
        <f t="shared" si="8"/>
        <v>0</v>
      </c>
      <c r="AC115" s="4">
        <f>(L115-M115)*(W115+X115)+($W$184+$X$184-$W$115-$X$115)*(L115)</f>
        <v>11000.962800000003</v>
      </c>
      <c r="AD115" s="4">
        <f t="shared" si="10"/>
        <v>0</v>
      </c>
      <c r="AE115" s="4">
        <f ca="1">(L115-M115)*(Z115+AA115)+($Z$184+$AA$184-$Z$115-$AA$115)*(L115)</f>
        <v>11531.315145501843</v>
      </c>
      <c r="AF115" s="3" t="s">
        <v>778</v>
      </c>
    </row>
    <row r="116" spans="1:32" ht="11.25" customHeight="1" x14ac:dyDescent="0.3">
      <c r="A116" s="3" t="s">
        <v>28</v>
      </c>
      <c r="B116" s="3" t="s">
        <v>22</v>
      </c>
      <c r="C116" s="3" t="s">
        <v>23</v>
      </c>
      <c r="D116" s="3" t="s">
        <v>24</v>
      </c>
      <c r="E116" s="3" t="s">
        <v>29</v>
      </c>
      <c r="F116" s="3" t="s">
        <v>25</v>
      </c>
      <c r="G116" s="3" t="s">
        <v>25</v>
      </c>
      <c r="H116" s="3" t="s">
        <v>25</v>
      </c>
      <c r="I116" s="6">
        <v>44440</v>
      </c>
      <c r="J116" s="4">
        <v>0</v>
      </c>
      <c r="K116" s="4">
        <v>0</v>
      </c>
      <c r="L116" s="4">
        <v>0.03</v>
      </c>
      <c r="M116" s="4">
        <v>0.03</v>
      </c>
      <c r="N116" s="4">
        <v>0.03</v>
      </c>
      <c r="O116" s="4">
        <v>0.03</v>
      </c>
      <c r="P116" s="4">
        <v>1</v>
      </c>
      <c r="Q116" s="3" t="s">
        <v>26</v>
      </c>
      <c r="R116" s="3">
        <v>0</v>
      </c>
      <c r="S116" s="3">
        <v>0</v>
      </c>
      <c r="T116" s="3">
        <v>20</v>
      </c>
      <c r="U116" s="3">
        <v>60</v>
      </c>
      <c r="V116" s="4">
        <f>IF(ISERROR(VLOOKUP($S$116,'TAR FIN'!$A$1:$O$91,15,0)),0,VLOOKUP($S$116,'TAR FIN'!$A$1:$O$91,15,0))</f>
        <v>0</v>
      </c>
      <c r="W116" s="4">
        <f>IF(ISERROR(VLOOKUP($T$116,'TAR FIN'!$A$1:$O$91,15,0)),0,VLOOKUP($T$116,'TAR FIN'!$A$1:$O$91,15,0))</f>
        <v>112.15</v>
      </c>
      <c r="X116" s="4">
        <f>IF(ISERROR(VLOOKUP($U$116,'TAR FIN'!$A$1:$O$91,15,0)),0,VLOOKUP($U$116,'TAR FIN'!$A$1:$O$91,15,0))</f>
        <v>69.66</v>
      </c>
      <c r="Y116" s="4"/>
      <c r="Z116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6" s="4">
        <f>('TE BE'!$AB$15+'TE BF'!$AB$15+'TE CVA'!$AB$15)*(1-CUSTOS!$M$34)</f>
        <v>71.933154536143064</v>
      </c>
      <c r="AB116" s="4">
        <f t="shared" si="8"/>
        <v>0</v>
      </c>
      <c r="AC116" s="4">
        <f>(L116-M116)*(W116+X116)+($W$184+$X$184-$W$116-$X$116)*(L116)</f>
        <v>10.129800000000001</v>
      </c>
      <c r="AD116" s="4">
        <f t="shared" si="10"/>
        <v>0</v>
      </c>
      <c r="AE116" s="4">
        <f ca="1">(L116-M116)*(Z116+AA116)+($Z$184+$AA$184-$Z$116-$AA$116)*(L116)</f>
        <v>10.618153909301881</v>
      </c>
      <c r="AF116" s="3" t="s">
        <v>778</v>
      </c>
    </row>
    <row r="117" spans="1:32" ht="11.25" customHeight="1" x14ac:dyDescent="0.3">
      <c r="A117" s="3" t="s">
        <v>21</v>
      </c>
      <c r="B117" s="3" t="s">
        <v>22</v>
      </c>
      <c r="C117" s="3" t="s">
        <v>23</v>
      </c>
      <c r="D117" s="3" t="s">
        <v>24</v>
      </c>
      <c r="E117" s="3" t="s">
        <v>29</v>
      </c>
      <c r="F117" s="3" t="s">
        <v>25</v>
      </c>
      <c r="G117" s="3" t="s">
        <v>25</v>
      </c>
      <c r="H117" s="3" t="s">
        <v>25</v>
      </c>
      <c r="I117" s="6">
        <v>44470</v>
      </c>
      <c r="J117" s="4">
        <v>0</v>
      </c>
      <c r="K117" s="4">
        <v>0</v>
      </c>
      <c r="L117" s="4">
        <v>32.700000000000003</v>
      </c>
      <c r="M117" s="4">
        <v>32.700000000000003</v>
      </c>
      <c r="N117" s="4">
        <v>32.700000000000003</v>
      </c>
      <c r="O117" s="4">
        <v>32.700000000000003</v>
      </c>
      <c r="P117" s="4">
        <v>53</v>
      </c>
      <c r="Q117" s="3" t="s">
        <v>26</v>
      </c>
      <c r="R117" s="3">
        <v>0</v>
      </c>
      <c r="S117" s="3">
        <v>0</v>
      </c>
      <c r="T117" s="3">
        <v>20</v>
      </c>
      <c r="U117" s="3">
        <v>60</v>
      </c>
      <c r="V117" s="4">
        <f>IF(ISERROR(VLOOKUP($S$117,'TAR FIN'!$A$1:$O$91,15,0)),0,VLOOKUP($S$117,'TAR FIN'!$A$1:$O$91,15,0))</f>
        <v>0</v>
      </c>
      <c r="W117" s="4">
        <f>IF(ISERROR(VLOOKUP($T$117,'TAR FIN'!$A$1:$O$91,15,0)),0,VLOOKUP($T$117,'TAR FIN'!$A$1:$O$91,15,0))</f>
        <v>112.15</v>
      </c>
      <c r="X117" s="4">
        <f>IF(ISERROR(VLOOKUP($U$117,'TAR FIN'!$A$1:$O$91,15,0)),0,VLOOKUP($U$117,'TAR FIN'!$A$1:$O$91,15,0))</f>
        <v>69.66</v>
      </c>
      <c r="Y117" s="4"/>
      <c r="Z117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7" s="4">
        <f>('TE BE'!$AB$15+'TE BF'!$AB$15+'TE CVA'!$AB$15)*(1-CUSTOS!$M$34)</f>
        <v>71.933154536143064</v>
      </c>
      <c r="AB117" s="4">
        <f t="shared" si="8"/>
        <v>0</v>
      </c>
      <c r="AC117" s="4">
        <f>(L117-M117)*(W117+X117)+($W$184+$X$184-$W$117-$X$117)*(L117)</f>
        <v>11041.482000000004</v>
      </c>
      <c r="AD117" s="4">
        <f t="shared" si="10"/>
        <v>0</v>
      </c>
      <c r="AE117" s="4">
        <f ca="1">(L117-M117)*(Z117+AA117)+($Z$184+$AA$184-$Z$117-$AA$117)*(L117)</f>
        <v>11573.787761139052</v>
      </c>
      <c r="AF117" s="3" t="s">
        <v>778</v>
      </c>
    </row>
    <row r="118" spans="1:32" ht="11.25" customHeight="1" x14ac:dyDescent="0.3">
      <c r="A118" s="3" t="s">
        <v>28</v>
      </c>
      <c r="B118" s="3" t="s">
        <v>22</v>
      </c>
      <c r="C118" s="3" t="s">
        <v>23</v>
      </c>
      <c r="D118" s="3" t="s">
        <v>24</v>
      </c>
      <c r="E118" s="3" t="s">
        <v>29</v>
      </c>
      <c r="F118" s="3" t="s">
        <v>25</v>
      </c>
      <c r="G118" s="3" t="s">
        <v>25</v>
      </c>
      <c r="H118" s="3" t="s">
        <v>25</v>
      </c>
      <c r="I118" s="6">
        <v>44470</v>
      </c>
      <c r="J118" s="4">
        <v>0</v>
      </c>
      <c r="K118" s="4">
        <v>0</v>
      </c>
      <c r="L118" s="4">
        <v>0.03</v>
      </c>
      <c r="M118" s="4">
        <v>0.03</v>
      </c>
      <c r="N118" s="4">
        <v>0.03</v>
      </c>
      <c r="O118" s="4">
        <v>0.03</v>
      </c>
      <c r="P118" s="4">
        <v>1</v>
      </c>
      <c r="Q118" s="3" t="s">
        <v>26</v>
      </c>
      <c r="R118" s="3">
        <v>0</v>
      </c>
      <c r="S118" s="3">
        <v>0</v>
      </c>
      <c r="T118" s="3">
        <v>20</v>
      </c>
      <c r="U118" s="3">
        <v>60</v>
      </c>
      <c r="V118" s="4">
        <f>IF(ISERROR(VLOOKUP($S$118,'TAR FIN'!$A$1:$O$91,15,0)),0,VLOOKUP($S$118,'TAR FIN'!$A$1:$O$91,15,0))</f>
        <v>0</v>
      </c>
      <c r="W118" s="4">
        <f>IF(ISERROR(VLOOKUP($T$118,'TAR FIN'!$A$1:$O$91,15,0)),0,VLOOKUP($T$118,'TAR FIN'!$A$1:$O$91,15,0))</f>
        <v>112.15</v>
      </c>
      <c r="X118" s="4">
        <f>IF(ISERROR(VLOOKUP($U$118,'TAR FIN'!$A$1:$O$91,15,0)),0,VLOOKUP($U$118,'TAR FIN'!$A$1:$O$91,15,0))</f>
        <v>69.66</v>
      </c>
      <c r="Y118" s="4"/>
      <c r="Z118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8" s="4">
        <f>('TE BE'!$AB$15+'TE BF'!$AB$15+'TE CVA'!$AB$15)*(1-CUSTOS!$M$34)</f>
        <v>71.933154536143064</v>
      </c>
      <c r="AB118" s="4">
        <f t="shared" si="8"/>
        <v>0</v>
      </c>
      <c r="AC118" s="4">
        <f>(L118-M118)*(W118+X118)+($W$184+$X$184-$W$118-$X$118)*(L118)</f>
        <v>10.129800000000001</v>
      </c>
      <c r="AD118" s="4">
        <f t="shared" si="10"/>
        <v>0</v>
      </c>
      <c r="AE118" s="4">
        <f ca="1">(L118-M118)*(Z118+AA118)+($Z$184+$AA$184-$Z$118-$AA$118)*(L118)</f>
        <v>10.618153909301881</v>
      </c>
      <c r="AF118" s="3" t="s">
        <v>778</v>
      </c>
    </row>
    <row r="119" spans="1:32" ht="11.25" customHeight="1" x14ac:dyDescent="0.3">
      <c r="A119" s="3" t="s">
        <v>21</v>
      </c>
      <c r="B119" s="3" t="s">
        <v>22</v>
      </c>
      <c r="C119" s="3" t="s">
        <v>23</v>
      </c>
      <c r="D119" s="3" t="s">
        <v>24</v>
      </c>
      <c r="E119" s="3" t="s">
        <v>29</v>
      </c>
      <c r="F119" s="3" t="s">
        <v>25</v>
      </c>
      <c r="G119" s="3" t="s">
        <v>25</v>
      </c>
      <c r="H119" s="3" t="s">
        <v>25</v>
      </c>
      <c r="I119" s="6">
        <v>44501</v>
      </c>
      <c r="J119" s="4">
        <v>0</v>
      </c>
      <c r="K119" s="4">
        <v>0</v>
      </c>
      <c r="L119" s="4">
        <v>32.880000000000003</v>
      </c>
      <c r="M119" s="4">
        <v>32.880000000000003</v>
      </c>
      <c r="N119" s="4">
        <v>32.880000000000003</v>
      </c>
      <c r="O119" s="4">
        <v>32.880000000000003</v>
      </c>
      <c r="P119" s="4">
        <v>43</v>
      </c>
      <c r="Q119" s="3" t="s">
        <v>26</v>
      </c>
      <c r="R119" s="3">
        <v>0</v>
      </c>
      <c r="S119" s="3">
        <v>0</v>
      </c>
      <c r="T119" s="3">
        <v>20</v>
      </c>
      <c r="U119" s="3">
        <v>60</v>
      </c>
      <c r="V119" s="4">
        <f>IF(ISERROR(VLOOKUP($S$119,'TAR FIN'!$A$1:$O$91,15,0)),0,VLOOKUP($S$119,'TAR FIN'!$A$1:$O$91,15,0))</f>
        <v>0</v>
      </c>
      <c r="W119" s="4">
        <f>IF(ISERROR(VLOOKUP($T$119,'TAR FIN'!$A$1:$O$91,15,0)),0,VLOOKUP($T$119,'TAR FIN'!$A$1:$O$91,15,0))</f>
        <v>112.15</v>
      </c>
      <c r="X119" s="4">
        <f>IF(ISERROR(VLOOKUP($U$119,'TAR FIN'!$A$1:$O$91,15,0)),0,VLOOKUP($U$119,'TAR FIN'!$A$1:$O$91,15,0))</f>
        <v>69.66</v>
      </c>
      <c r="Y119" s="4"/>
      <c r="Z119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19" s="4">
        <f>('TE BE'!$AB$15+'TE BF'!$AB$15+'TE CVA'!$AB$15)*(1-CUSTOS!$M$34)</f>
        <v>71.933154536143064</v>
      </c>
      <c r="AB119" s="4">
        <f t="shared" si="8"/>
        <v>0</v>
      </c>
      <c r="AC119" s="4">
        <f>(L119-M119)*(W119+X119)+($W$184+$X$184-$W$119-$X$119)*(L119)</f>
        <v>11102.260800000004</v>
      </c>
      <c r="AD119" s="4">
        <f t="shared" si="10"/>
        <v>0</v>
      </c>
      <c r="AE119" s="4">
        <f ca="1">(L119-M119)*(Z119+AA119)+($Z$184+$AA$184-$Z$119-$AA$119)*(L119)</f>
        <v>11637.496684594864</v>
      </c>
      <c r="AF119" s="3" t="s">
        <v>778</v>
      </c>
    </row>
    <row r="120" spans="1:32" ht="11.25" customHeight="1" x14ac:dyDescent="0.3">
      <c r="A120" s="3" t="s">
        <v>28</v>
      </c>
      <c r="B120" s="3" t="s">
        <v>22</v>
      </c>
      <c r="C120" s="3" t="s">
        <v>23</v>
      </c>
      <c r="D120" s="3" t="s">
        <v>24</v>
      </c>
      <c r="E120" s="3" t="s">
        <v>29</v>
      </c>
      <c r="F120" s="3" t="s">
        <v>25</v>
      </c>
      <c r="G120" s="3" t="s">
        <v>25</v>
      </c>
      <c r="H120" s="3" t="s">
        <v>25</v>
      </c>
      <c r="I120" s="6">
        <v>44501</v>
      </c>
      <c r="J120" s="4">
        <v>0</v>
      </c>
      <c r="K120" s="4">
        <v>0</v>
      </c>
      <c r="L120" s="4">
        <v>0.03</v>
      </c>
      <c r="M120" s="4">
        <v>0.03</v>
      </c>
      <c r="N120" s="4">
        <v>0.03</v>
      </c>
      <c r="O120" s="4">
        <v>0.03</v>
      </c>
      <c r="P120" s="4">
        <v>1</v>
      </c>
      <c r="Q120" s="3" t="s">
        <v>26</v>
      </c>
      <c r="R120" s="3">
        <v>0</v>
      </c>
      <c r="S120" s="3">
        <v>0</v>
      </c>
      <c r="T120" s="3">
        <v>20</v>
      </c>
      <c r="U120" s="3">
        <v>60</v>
      </c>
      <c r="V120" s="4">
        <f>IF(ISERROR(VLOOKUP($S$120,'TAR FIN'!$A$1:$O$91,15,0)),0,VLOOKUP($S$120,'TAR FIN'!$A$1:$O$91,15,0))</f>
        <v>0</v>
      </c>
      <c r="W120" s="4">
        <f>IF(ISERROR(VLOOKUP($T$120,'TAR FIN'!$A$1:$O$91,15,0)),0,VLOOKUP($T$120,'TAR FIN'!$A$1:$O$91,15,0))</f>
        <v>112.15</v>
      </c>
      <c r="X120" s="4">
        <f>IF(ISERROR(VLOOKUP($U$120,'TAR FIN'!$A$1:$O$91,15,0)),0,VLOOKUP($U$120,'TAR FIN'!$A$1:$O$91,15,0))</f>
        <v>69.66</v>
      </c>
      <c r="Y120" s="4"/>
      <c r="Z120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0" s="4">
        <f>('TE BE'!$AB$15+'TE BF'!$AB$15+'TE CVA'!$AB$15)*(1-CUSTOS!$M$34)</f>
        <v>71.933154536143064</v>
      </c>
      <c r="AB120" s="4">
        <f t="shared" si="8"/>
        <v>0</v>
      </c>
      <c r="AC120" s="4">
        <f>(L120-M120)*(W120+X120)+($W$184+$X$184-$W$120-$X$120)*(L120)</f>
        <v>10.129800000000001</v>
      </c>
      <c r="AD120" s="4">
        <f t="shared" si="10"/>
        <v>0</v>
      </c>
      <c r="AE120" s="4">
        <f ca="1">(L120-M120)*(Z120+AA120)+($Z$184+$AA$184-$Z$120-$AA$120)*(L120)</f>
        <v>10.618153909301881</v>
      </c>
      <c r="AF120" s="3" t="s">
        <v>778</v>
      </c>
    </row>
    <row r="121" spans="1:32" ht="11.25" customHeight="1" x14ac:dyDescent="0.3">
      <c r="A121" s="3" t="s">
        <v>21</v>
      </c>
      <c r="B121" s="3" t="s">
        <v>22</v>
      </c>
      <c r="C121" s="3" t="s">
        <v>23</v>
      </c>
      <c r="D121" s="3" t="s">
        <v>24</v>
      </c>
      <c r="E121" s="3" t="s">
        <v>29</v>
      </c>
      <c r="F121" s="3" t="s">
        <v>25</v>
      </c>
      <c r="G121" s="3" t="s">
        <v>25</v>
      </c>
      <c r="H121" s="3" t="s">
        <v>25</v>
      </c>
      <c r="I121" s="6">
        <v>44531</v>
      </c>
      <c r="J121" s="4">
        <v>0</v>
      </c>
      <c r="K121" s="4">
        <v>0</v>
      </c>
      <c r="L121" s="4">
        <v>33.526000000000003</v>
      </c>
      <c r="M121" s="4">
        <v>33.526000000000003</v>
      </c>
      <c r="N121" s="4">
        <v>33.526000000000003</v>
      </c>
      <c r="O121" s="4">
        <v>33.526000000000003</v>
      </c>
      <c r="P121" s="4">
        <v>45</v>
      </c>
      <c r="Q121" s="3" t="s">
        <v>26</v>
      </c>
      <c r="R121" s="3">
        <v>0</v>
      </c>
      <c r="S121" s="3">
        <v>0</v>
      </c>
      <c r="T121" s="3">
        <v>20</v>
      </c>
      <c r="U121" s="3">
        <v>60</v>
      </c>
      <c r="V121" s="4">
        <f>IF(ISERROR(VLOOKUP($S$121,'TAR FIN'!$A$1:$O$91,15,0)),0,VLOOKUP($S$121,'TAR FIN'!$A$1:$O$91,15,0))</f>
        <v>0</v>
      </c>
      <c r="W121" s="4">
        <f>IF(ISERROR(VLOOKUP($T$121,'TAR FIN'!$A$1:$O$91,15,0)),0,VLOOKUP($T$121,'TAR FIN'!$A$1:$O$91,15,0))</f>
        <v>112.15</v>
      </c>
      <c r="X121" s="4">
        <f>IF(ISERROR(VLOOKUP($U$121,'TAR FIN'!$A$1:$O$91,15,0)),0,VLOOKUP($U$121,'TAR FIN'!$A$1:$O$91,15,0))</f>
        <v>69.66</v>
      </c>
      <c r="Y121" s="4"/>
      <c r="Z121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1" s="4">
        <f>('TE BE'!$AB$15+'TE BF'!$AB$15+'TE CVA'!$AB$15)*(1-CUSTOS!$M$34)</f>
        <v>71.933154536143064</v>
      </c>
      <c r="AB121" s="4">
        <f t="shared" si="8"/>
        <v>0</v>
      </c>
      <c r="AC121" s="4">
        <f>(L121-M121)*(W121+X121)+($W$184+$X$184-$W$121-$X$121)*(L121)</f>
        <v>11320.389160000004</v>
      </c>
      <c r="AD121" s="4">
        <f t="shared" si="10"/>
        <v>0</v>
      </c>
      <c r="AE121" s="4">
        <f ca="1">(L121-M121)*(Z121+AA121)+($Z$184+$AA$184-$Z$121-$AA$121)*(L121)</f>
        <v>11866.140932108498</v>
      </c>
      <c r="AF121" s="3" t="s">
        <v>778</v>
      </c>
    </row>
    <row r="122" spans="1:32" ht="11.25" customHeight="1" x14ac:dyDescent="0.3">
      <c r="A122" s="3" t="s">
        <v>28</v>
      </c>
      <c r="B122" s="3" t="s">
        <v>22</v>
      </c>
      <c r="C122" s="3" t="s">
        <v>23</v>
      </c>
      <c r="D122" s="3" t="s">
        <v>24</v>
      </c>
      <c r="E122" s="3" t="s">
        <v>29</v>
      </c>
      <c r="F122" s="3" t="s">
        <v>25</v>
      </c>
      <c r="G122" s="3" t="s">
        <v>25</v>
      </c>
      <c r="H122" s="3" t="s">
        <v>25</v>
      </c>
      <c r="I122" s="6">
        <v>44531</v>
      </c>
      <c r="J122" s="4">
        <v>0</v>
      </c>
      <c r="K122" s="4">
        <v>0</v>
      </c>
      <c r="L122" s="4">
        <v>0.03</v>
      </c>
      <c r="M122" s="4">
        <v>1.0500000000000001E-2</v>
      </c>
      <c r="N122" s="4">
        <v>0.03</v>
      </c>
      <c r="O122" s="4">
        <v>1.0500000000000001E-2</v>
      </c>
      <c r="P122" s="4">
        <v>0</v>
      </c>
      <c r="Q122" s="3" t="s">
        <v>26</v>
      </c>
      <c r="R122" s="3">
        <v>0</v>
      </c>
      <c r="S122" s="3">
        <v>0</v>
      </c>
      <c r="T122" s="3">
        <v>20</v>
      </c>
      <c r="U122" s="3">
        <v>60</v>
      </c>
      <c r="V122" s="4">
        <f>IF(ISERROR(VLOOKUP($S$122,'TAR FIN'!$A$1:$O$91,15,0)),0,VLOOKUP($S$122,'TAR FIN'!$A$1:$O$91,15,0))</f>
        <v>0</v>
      </c>
      <c r="W122" s="4">
        <f>IF(ISERROR(VLOOKUP($T$122,'TAR FIN'!$A$1:$O$91,15,0)),0,VLOOKUP($T$122,'TAR FIN'!$A$1:$O$91,15,0))</f>
        <v>112.15</v>
      </c>
      <c r="X122" s="4">
        <f>IF(ISERROR(VLOOKUP($U$122,'TAR FIN'!$A$1:$O$91,15,0)),0,VLOOKUP($U$122,'TAR FIN'!$A$1:$O$91,15,0))</f>
        <v>69.66</v>
      </c>
      <c r="Y122" s="4"/>
      <c r="Z122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2" s="4">
        <f>('TE BE'!$AB$15+'TE BF'!$AB$15+'TE CVA'!$AB$15)*(1-CUSTOS!$M$34)</f>
        <v>71.933154536143064</v>
      </c>
      <c r="AB122" s="4">
        <f t="shared" si="8"/>
        <v>0</v>
      </c>
      <c r="AC122" s="4">
        <f>(L122-M122)*(W122+X122)+($W$184+$X$184-$W$122-$X$122)*(L122)</f>
        <v>13.675095000000001</v>
      </c>
      <c r="AD122" s="4">
        <f t="shared" si="10"/>
        <v>0</v>
      </c>
      <c r="AE122" s="4">
        <f ca="1">(L122-M122)*(Z122+AA122)+($Z$184+$AA$184-$Z$122-$AA$122)*(L122)</f>
        <v>14.334507777557539</v>
      </c>
      <c r="AF122" s="3" t="s">
        <v>778</v>
      </c>
    </row>
    <row r="123" spans="1:32" ht="11.25" customHeight="1" x14ac:dyDescent="0.3">
      <c r="A123" s="3" t="s">
        <v>21</v>
      </c>
      <c r="B123" s="3" t="s">
        <v>22</v>
      </c>
      <c r="C123" s="3" t="s">
        <v>23</v>
      </c>
      <c r="D123" s="3" t="s">
        <v>24</v>
      </c>
      <c r="E123" s="3" t="s">
        <v>29</v>
      </c>
      <c r="F123" s="3" t="s">
        <v>25</v>
      </c>
      <c r="G123" s="3" t="s">
        <v>25</v>
      </c>
      <c r="H123" s="3" t="s">
        <v>25</v>
      </c>
      <c r="I123" s="6">
        <v>44562</v>
      </c>
      <c r="J123" s="4">
        <v>0</v>
      </c>
      <c r="K123" s="4">
        <v>0</v>
      </c>
      <c r="L123" s="4">
        <v>33.99</v>
      </c>
      <c r="M123" s="4">
        <v>33.99</v>
      </c>
      <c r="N123" s="4">
        <v>33.99</v>
      </c>
      <c r="O123" s="4">
        <v>33.99</v>
      </c>
      <c r="P123" s="4">
        <v>44</v>
      </c>
      <c r="Q123" s="3" t="s">
        <v>26</v>
      </c>
      <c r="R123" s="3">
        <v>0</v>
      </c>
      <c r="S123" s="3">
        <v>0</v>
      </c>
      <c r="T123" s="3">
        <v>20</v>
      </c>
      <c r="U123" s="3">
        <v>60</v>
      </c>
      <c r="V123" s="4">
        <f>IF(ISERROR(VLOOKUP($S$123,'TAR FIN'!$A$1:$O$91,15,0)),0,VLOOKUP($S$123,'TAR FIN'!$A$1:$O$91,15,0))</f>
        <v>0</v>
      </c>
      <c r="W123" s="4">
        <f>IF(ISERROR(VLOOKUP($T$123,'TAR FIN'!$A$1:$O$91,15,0)),0,VLOOKUP($T$123,'TAR FIN'!$A$1:$O$91,15,0))</f>
        <v>112.15</v>
      </c>
      <c r="X123" s="4">
        <f>IF(ISERROR(VLOOKUP($U$123,'TAR FIN'!$A$1:$O$91,15,0)),0,VLOOKUP($U$123,'TAR FIN'!$A$1:$O$91,15,0))</f>
        <v>69.66</v>
      </c>
      <c r="Y123" s="4"/>
      <c r="Z123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3" s="4">
        <f>('TE BE'!$AB$15+'TE BF'!$AB$15+'TE CVA'!$AB$15)*(1-CUSTOS!$M$34)</f>
        <v>71.933154536143064</v>
      </c>
      <c r="AB123" s="4">
        <f t="shared" si="8"/>
        <v>0</v>
      </c>
      <c r="AC123" s="4">
        <f>(L123-M123)*(W123+X123)+($W$184+$X$184-$W$123-$X$123)*(L123)</f>
        <v>11477.063400000003</v>
      </c>
      <c r="AD123" s="4">
        <f t="shared" si="10"/>
        <v>0</v>
      </c>
      <c r="AE123" s="4">
        <f ca="1">(L123-M123)*(Z123+AA123)+($Z$184+$AA$184-$Z$123-$AA$123)*(L123)</f>
        <v>12030.368379239033</v>
      </c>
      <c r="AF123" s="3" t="s">
        <v>778</v>
      </c>
    </row>
    <row r="124" spans="1:32" ht="11.25" customHeight="1" x14ac:dyDescent="0.3">
      <c r="A124" s="3" t="s">
        <v>28</v>
      </c>
      <c r="B124" s="3" t="s">
        <v>22</v>
      </c>
      <c r="C124" s="3" t="s">
        <v>23</v>
      </c>
      <c r="D124" s="3" t="s">
        <v>24</v>
      </c>
      <c r="E124" s="3" t="s">
        <v>29</v>
      </c>
      <c r="F124" s="3" t="s">
        <v>25</v>
      </c>
      <c r="G124" s="3" t="s">
        <v>25</v>
      </c>
      <c r="H124" s="3" t="s">
        <v>25</v>
      </c>
      <c r="I124" s="6">
        <v>44562</v>
      </c>
      <c r="J124" s="4">
        <v>0</v>
      </c>
      <c r="K124" s="4">
        <v>0</v>
      </c>
      <c r="L124" s="4">
        <v>0.03</v>
      </c>
      <c r="M124" s="4">
        <v>1.0500000000000001E-2</v>
      </c>
      <c r="N124" s="4">
        <v>0.03</v>
      </c>
      <c r="O124" s="4">
        <v>1.0500000000000001E-2</v>
      </c>
      <c r="P124" s="4">
        <v>0</v>
      </c>
      <c r="Q124" s="3" t="s">
        <v>26</v>
      </c>
      <c r="R124" s="3">
        <v>0</v>
      </c>
      <c r="S124" s="3">
        <v>0</v>
      </c>
      <c r="T124" s="3">
        <v>20</v>
      </c>
      <c r="U124" s="3">
        <v>60</v>
      </c>
      <c r="V124" s="4">
        <f>IF(ISERROR(VLOOKUP($S$124,'TAR FIN'!$A$1:$O$91,15,0)),0,VLOOKUP($S$124,'TAR FIN'!$A$1:$O$91,15,0))</f>
        <v>0</v>
      </c>
      <c r="W124" s="4">
        <f>IF(ISERROR(VLOOKUP($T$124,'TAR FIN'!$A$1:$O$91,15,0)),0,VLOOKUP($T$124,'TAR FIN'!$A$1:$O$91,15,0))</f>
        <v>112.15</v>
      </c>
      <c r="X124" s="4">
        <f>IF(ISERROR(VLOOKUP($U$124,'TAR FIN'!$A$1:$O$91,15,0)),0,VLOOKUP($U$124,'TAR FIN'!$A$1:$O$91,15,0))</f>
        <v>69.66</v>
      </c>
      <c r="Y124" s="4"/>
      <c r="Z124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4" s="4">
        <f>('TE BE'!$AB$15+'TE BF'!$AB$15+'TE CVA'!$AB$15)*(1-CUSTOS!$M$34)</f>
        <v>71.933154536143064</v>
      </c>
      <c r="AB124" s="4">
        <f t="shared" si="8"/>
        <v>0</v>
      </c>
      <c r="AC124" s="4">
        <f>(L124-M124)*(W124+X124)+($W$184+$X$184-$W$124-$X$124)*(L124)</f>
        <v>13.675095000000001</v>
      </c>
      <c r="AD124" s="4">
        <f t="shared" si="10"/>
        <v>0</v>
      </c>
      <c r="AE124" s="4">
        <f ca="1">(L124-M124)*(Z124+AA124)+($Z$184+$AA$184-$Z$124-$AA$124)*(L124)</f>
        <v>14.334507777557539</v>
      </c>
      <c r="AF124" s="3" t="s">
        <v>778</v>
      </c>
    </row>
    <row r="125" spans="1:32" ht="11.25" customHeight="1" x14ac:dyDescent="0.3">
      <c r="A125" s="3" t="s">
        <v>21</v>
      </c>
      <c r="B125" s="3" t="s">
        <v>22</v>
      </c>
      <c r="C125" s="3" t="s">
        <v>23</v>
      </c>
      <c r="D125" s="3" t="s">
        <v>24</v>
      </c>
      <c r="E125" s="3" t="s">
        <v>29</v>
      </c>
      <c r="F125" s="3" t="s">
        <v>25</v>
      </c>
      <c r="G125" s="3" t="s">
        <v>25</v>
      </c>
      <c r="H125" s="3" t="s">
        <v>25</v>
      </c>
      <c r="I125" s="6">
        <v>44593</v>
      </c>
      <c r="J125" s="4">
        <v>0</v>
      </c>
      <c r="K125" s="4">
        <v>0</v>
      </c>
      <c r="L125" s="4">
        <v>34.17</v>
      </c>
      <c r="M125" s="4">
        <v>34.17</v>
      </c>
      <c r="N125" s="4">
        <v>34.17</v>
      </c>
      <c r="O125" s="4">
        <v>34.17</v>
      </c>
      <c r="P125" s="4">
        <v>35</v>
      </c>
      <c r="Q125" s="3" t="s">
        <v>26</v>
      </c>
      <c r="R125" s="3">
        <v>0</v>
      </c>
      <c r="S125" s="3">
        <v>0</v>
      </c>
      <c r="T125" s="3">
        <v>20</v>
      </c>
      <c r="U125" s="3">
        <v>60</v>
      </c>
      <c r="V125" s="4">
        <f>IF(ISERROR(VLOOKUP($S$125,'TAR FIN'!$A$1:$O$91,15,0)),0,VLOOKUP($S$125,'TAR FIN'!$A$1:$O$91,15,0))</f>
        <v>0</v>
      </c>
      <c r="W125" s="4">
        <f>IF(ISERROR(VLOOKUP($T$125,'TAR FIN'!$A$1:$O$91,15,0)),0,VLOOKUP($T$125,'TAR FIN'!$A$1:$O$91,15,0))</f>
        <v>112.15</v>
      </c>
      <c r="X125" s="4">
        <f>IF(ISERROR(VLOOKUP($U$125,'TAR FIN'!$A$1:$O$91,15,0)),0,VLOOKUP($U$125,'TAR FIN'!$A$1:$O$91,15,0))</f>
        <v>69.66</v>
      </c>
      <c r="Y125" s="4"/>
      <c r="Z125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5" s="4">
        <f>('TE BE'!$AB$15+'TE BF'!$AB$15+'TE CVA'!$AB$15)*(1-CUSTOS!$M$34)</f>
        <v>71.933154536143064</v>
      </c>
      <c r="AB125" s="4">
        <f t="shared" si="8"/>
        <v>0</v>
      </c>
      <c r="AC125" s="4">
        <f>(L125-M125)*(W125+X125)+($W$184+$X$184-$W$125-$X$125)*(L125)</f>
        <v>11537.842200000003</v>
      </c>
      <c r="AD125" s="4">
        <f t="shared" si="10"/>
        <v>0</v>
      </c>
      <c r="AE125" s="4">
        <f ca="1">(L125-M125)*(Z125+AA125)+($Z$184+$AA$184-$Z$125-$AA$125)*(L125)</f>
        <v>12094.077302694845</v>
      </c>
      <c r="AF125" s="3" t="s">
        <v>778</v>
      </c>
    </row>
    <row r="126" spans="1:32" ht="11.25" customHeight="1" x14ac:dyDescent="0.3">
      <c r="A126" s="3" t="s">
        <v>28</v>
      </c>
      <c r="B126" s="3" t="s">
        <v>22</v>
      </c>
      <c r="C126" s="3" t="s">
        <v>23</v>
      </c>
      <c r="D126" s="3" t="s">
        <v>24</v>
      </c>
      <c r="E126" s="3" t="s">
        <v>29</v>
      </c>
      <c r="F126" s="3" t="s">
        <v>25</v>
      </c>
      <c r="G126" s="3" t="s">
        <v>25</v>
      </c>
      <c r="H126" s="3" t="s">
        <v>25</v>
      </c>
      <c r="I126" s="6">
        <v>44593</v>
      </c>
      <c r="J126" s="4">
        <v>0</v>
      </c>
      <c r="K126" s="4">
        <v>0</v>
      </c>
      <c r="L126" s="4">
        <v>0.03</v>
      </c>
      <c r="M126" s="4">
        <v>1.0500000000000001E-2</v>
      </c>
      <c r="N126" s="4">
        <v>0.03</v>
      </c>
      <c r="O126" s="4">
        <v>1.0500000000000001E-2</v>
      </c>
      <c r="P126" s="4">
        <v>0</v>
      </c>
      <c r="Q126" s="3" t="s">
        <v>26</v>
      </c>
      <c r="R126" s="3">
        <v>0</v>
      </c>
      <c r="S126" s="3">
        <v>0</v>
      </c>
      <c r="T126" s="3">
        <v>20</v>
      </c>
      <c r="U126" s="3">
        <v>60</v>
      </c>
      <c r="V126" s="4">
        <f>IF(ISERROR(VLOOKUP($S$126,'TAR FIN'!$A$1:$O$91,15,0)),0,VLOOKUP($S$126,'TAR FIN'!$A$1:$O$91,15,0))</f>
        <v>0</v>
      </c>
      <c r="W126" s="4">
        <f>IF(ISERROR(VLOOKUP($T$126,'TAR FIN'!$A$1:$O$91,15,0)),0,VLOOKUP($T$126,'TAR FIN'!$A$1:$O$91,15,0))</f>
        <v>112.15</v>
      </c>
      <c r="X126" s="4">
        <f>IF(ISERROR(VLOOKUP($U$126,'TAR FIN'!$A$1:$O$91,15,0)),0,VLOOKUP($U$126,'TAR FIN'!$A$1:$O$91,15,0))</f>
        <v>69.66</v>
      </c>
      <c r="Y126" s="4"/>
      <c r="Z126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6" s="4">
        <f>('TE BE'!$AB$15+'TE BF'!$AB$15+'TE CVA'!$AB$15)*(1-CUSTOS!$M$34)</f>
        <v>71.933154536143064</v>
      </c>
      <c r="AB126" s="4">
        <f t="shared" si="8"/>
        <v>0</v>
      </c>
      <c r="AC126" s="4">
        <f>(L126-M126)*(W126+X126)+($W$184+$X$184-$W$126-$X$126)*(L126)</f>
        <v>13.675095000000001</v>
      </c>
      <c r="AD126" s="4">
        <f t="shared" si="10"/>
        <v>0</v>
      </c>
      <c r="AE126" s="4">
        <f ca="1">(L126-M126)*(Z126+AA126)+($Z$184+$AA$184-$Z$126-$AA$126)*(L126)</f>
        <v>14.334507777557539</v>
      </c>
      <c r="AF126" s="3" t="s">
        <v>778</v>
      </c>
    </row>
    <row r="127" spans="1:32" ht="11.25" customHeight="1" x14ac:dyDescent="0.3">
      <c r="A127" s="3" t="s">
        <v>21</v>
      </c>
      <c r="B127" s="3" t="s">
        <v>22</v>
      </c>
      <c r="C127" s="3" t="s">
        <v>23</v>
      </c>
      <c r="D127" s="3" t="s">
        <v>24</v>
      </c>
      <c r="E127" s="3" t="s">
        <v>29</v>
      </c>
      <c r="F127" s="3" t="s">
        <v>25</v>
      </c>
      <c r="G127" s="3" t="s">
        <v>25</v>
      </c>
      <c r="H127" s="3" t="s">
        <v>25</v>
      </c>
      <c r="I127" s="6">
        <v>44621</v>
      </c>
      <c r="J127" s="4">
        <v>0</v>
      </c>
      <c r="K127" s="4">
        <v>0</v>
      </c>
      <c r="L127" s="4">
        <v>34.92</v>
      </c>
      <c r="M127" s="4">
        <v>34.92</v>
      </c>
      <c r="N127" s="4">
        <v>34.92</v>
      </c>
      <c r="O127" s="4">
        <v>34.92</v>
      </c>
      <c r="P127" s="4">
        <v>42</v>
      </c>
      <c r="Q127" s="3" t="s">
        <v>26</v>
      </c>
      <c r="R127" s="3">
        <v>0</v>
      </c>
      <c r="S127" s="3">
        <v>0</v>
      </c>
      <c r="T127" s="3">
        <v>20</v>
      </c>
      <c r="U127" s="3">
        <v>60</v>
      </c>
      <c r="V127" s="4">
        <f>IF(ISERROR(VLOOKUP($S$127,'TAR FIN'!$A$1:$O$91,15,0)),0,VLOOKUP($S$127,'TAR FIN'!$A$1:$O$91,15,0))</f>
        <v>0</v>
      </c>
      <c r="W127" s="4">
        <f>IF(ISERROR(VLOOKUP($T$127,'TAR FIN'!$A$1:$O$91,15,0)),0,VLOOKUP($T$127,'TAR FIN'!$A$1:$O$91,15,0))</f>
        <v>112.15</v>
      </c>
      <c r="X127" s="4">
        <f>IF(ISERROR(VLOOKUP($U$127,'TAR FIN'!$A$1:$O$91,15,0)),0,VLOOKUP($U$127,'TAR FIN'!$A$1:$O$91,15,0))</f>
        <v>69.66</v>
      </c>
      <c r="Y127" s="4"/>
      <c r="Z127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7" s="4">
        <f>('TE BE'!$AB$15+'TE BF'!$AB$15+'TE CVA'!$AB$15)*(1-CUSTOS!$M$34)</f>
        <v>71.933154536143064</v>
      </c>
      <c r="AB127" s="4">
        <f t="shared" si="8"/>
        <v>0</v>
      </c>
      <c r="AC127" s="4">
        <f>(L127-M127)*(W127+X127)+($W$184+$X$184-$W$127-$X$127)*(L127)</f>
        <v>11791.087200000004</v>
      </c>
      <c r="AD127" s="4">
        <f t="shared" si="10"/>
        <v>0</v>
      </c>
      <c r="AE127" s="4">
        <f ca="1">(L127-M127)*(Z127+AA127)+($Z$184+$AA$184-$Z$127-$AA$127)*(L127)</f>
        <v>12359.53115042739</v>
      </c>
      <c r="AF127" s="3" t="s">
        <v>778</v>
      </c>
    </row>
    <row r="128" spans="1:32" ht="11.25" customHeight="1" x14ac:dyDescent="0.3">
      <c r="A128" s="3" t="s">
        <v>28</v>
      </c>
      <c r="B128" s="3" t="s">
        <v>22</v>
      </c>
      <c r="C128" s="3" t="s">
        <v>23</v>
      </c>
      <c r="D128" s="3" t="s">
        <v>24</v>
      </c>
      <c r="E128" s="3" t="s">
        <v>29</v>
      </c>
      <c r="F128" s="3" t="s">
        <v>25</v>
      </c>
      <c r="G128" s="3" t="s">
        <v>25</v>
      </c>
      <c r="H128" s="3" t="s">
        <v>25</v>
      </c>
      <c r="I128" s="6">
        <v>44621</v>
      </c>
      <c r="J128" s="4">
        <v>0</v>
      </c>
      <c r="K128" s="4">
        <v>0</v>
      </c>
      <c r="L128" s="4">
        <v>0.03</v>
      </c>
      <c r="M128" s="4">
        <v>1.0500000000000001E-2</v>
      </c>
      <c r="N128" s="4">
        <v>0.03</v>
      </c>
      <c r="O128" s="4">
        <v>1.0500000000000001E-2</v>
      </c>
      <c r="P128" s="4">
        <v>0</v>
      </c>
      <c r="Q128" s="3" t="s">
        <v>26</v>
      </c>
      <c r="R128" s="3">
        <v>0</v>
      </c>
      <c r="S128" s="3">
        <v>0</v>
      </c>
      <c r="T128" s="3">
        <v>20</v>
      </c>
      <c r="U128" s="3">
        <v>60</v>
      </c>
      <c r="V128" s="4">
        <f>IF(ISERROR(VLOOKUP($S$128,'TAR FIN'!$A$1:$O$91,15,0)),0,VLOOKUP($S$128,'TAR FIN'!$A$1:$O$91,15,0))</f>
        <v>0</v>
      </c>
      <c r="W128" s="4">
        <f>IF(ISERROR(VLOOKUP($T$128,'TAR FIN'!$A$1:$O$91,15,0)),0,VLOOKUP($T$128,'TAR FIN'!$A$1:$O$91,15,0))</f>
        <v>112.15</v>
      </c>
      <c r="X128" s="4">
        <f>IF(ISERROR(VLOOKUP($U$128,'TAR FIN'!$A$1:$O$91,15,0)),0,VLOOKUP($U$128,'TAR FIN'!$A$1:$O$91,15,0))</f>
        <v>69.66</v>
      </c>
      <c r="Y128" s="4"/>
      <c r="Z128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8" s="4">
        <f>('TE BE'!$AB$15+'TE BF'!$AB$15+'TE CVA'!$AB$15)*(1-CUSTOS!$M$34)</f>
        <v>71.933154536143064</v>
      </c>
      <c r="AB128" s="4">
        <f t="shared" si="8"/>
        <v>0</v>
      </c>
      <c r="AC128" s="4">
        <f>(L128-M128)*(W128+X128)+($W$184+$X$184-$W$128-$X$128)*(L128)</f>
        <v>13.675095000000001</v>
      </c>
      <c r="AD128" s="4">
        <f t="shared" si="10"/>
        <v>0</v>
      </c>
      <c r="AE128" s="4">
        <f ca="1">(L128-M128)*(Z128+AA128)+($Z$184+$AA$184-$Z$128-$AA$128)*(L128)</f>
        <v>14.334507777557539</v>
      </c>
      <c r="AF128" s="3" t="s">
        <v>778</v>
      </c>
    </row>
    <row r="129" spans="1:32" ht="11.25" customHeight="1" x14ac:dyDescent="0.3">
      <c r="A129" s="3" t="s">
        <v>21</v>
      </c>
      <c r="B129" s="3" t="s">
        <v>22</v>
      </c>
      <c r="C129" s="3" t="s">
        <v>23</v>
      </c>
      <c r="D129" s="3" t="s">
        <v>24</v>
      </c>
      <c r="E129" s="3" t="s">
        <v>29</v>
      </c>
      <c r="F129" s="3" t="s">
        <v>25</v>
      </c>
      <c r="G129" s="3" t="s">
        <v>25</v>
      </c>
      <c r="H129" s="3" t="s">
        <v>25</v>
      </c>
      <c r="I129" s="6">
        <v>44652</v>
      </c>
      <c r="J129" s="4">
        <v>0</v>
      </c>
      <c r="K129" s="4">
        <v>0</v>
      </c>
      <c r="L129" s="4">
        <v>35.58</v>
      </c>
      <c r="M129" s="4">
        <v>35.58</v>
      </c>
      <c r="N129" s="4">
        <v>35.58</v>
      </c>
      <c r="O129" s="4">
        <v>35.58</v>
      </c>
      <c r="P129" s="4">
        <v>40</v>
      </c>
      <c r="Q129" s="3" t="s">
        <v>26</v>
      </c>
      <c r="R129" s="3">
        <v>0</v>
      </c>
      <c r="S129" s="3">
        <v>0</v>
      </c>
      <c r="T129" s="3">
        <v>20</v>
      </c>
      <c r="U129" s="3">
        <v>60</v>
      </c>
      <c r="V129" s="4">
        <f>IF(ISERROR(VLOOKUP($S$129,'TAR FIN'!$A$1:$O$91,15,0)),0,VLOOKUP($S$129,'TAR FIN'!$A$1:$O$91,15,0))</f>
        <v>0</v>
      </c>
      <c r="W129" s="4">
        <f>IF(ISERROR(VLOOKUP($T$129,'TAR FIN'!$A$1:$O$91,15,0)),0,VLOOKUP($T$129,'TAR FIN'!$A$1:$O$91,15,0))</f>
        <v>112.15</v>
      </c>
      <c r="X129" s="4">
        <f>IF(ISERROR(VLOOKUP($U$129,'TAR FIN'!$A$1:$O$91,15,0)),0,VLOOKUP($U$129,'TAR FIN'!$A$1:$O$91,15,0))</f>
        <v>69.66</v>
      </c>
      <c r="Y129" s="4"/>
      <c r="Z129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29" s="4">
        <f>('TE BE'!$AB$15+'TE BF'!$AB$15+'TE CVA'!$AB$15)*(1-CUSTOS!$M$34)</f>
        <v>71.933154536143064</v>
      </c>
      <c r="AB129" s="4">
        <f t="shared" si="8"/>
        <v>0</v>
      </c>
      <c r="AC129" s="4">
        <f>(L129-M129)*(W129+X129)+($W$184+$X$184-$W$129-$X$129)*(L129)</f>
        <v>12013.942800000003</v>
      </c>
      <c r="AD129" s="4">
        <f t="shared" si="10"/>
        <v>0</v>
      </c>
      <c r="AE129" s="4">
        <f ca="1">(L129-M129)*(Z129+AA129)+($Z$184+$AA$184-$Z$129-$AA$129)*(L129)</f>
        <v>12593.130536432031</v>
      </c>
      <c r="AF129" s="3" t="s">
        <v>778</v>
      </c>
    </row>
    <row r="130" spans="1:32" ht="11.25" customHeight="1" x14ac:dyDescent="0.3">
      <c r="A130" s="3" t="s">
        <v>28</v>
      </c>
      <c r="B130" s="3" t="s">
        <v>22</v>
      </c>
      <c r="C130" s="3" t="s">
        <v>23</v>
      </c>
      <c r="D130" s="3" t="s">
        <v>24</v>
      </c>
      <c r="E130" s="3" t="s">
        <v>29</v>
      </c>
      <c r="F130" s="3" t="s">
        <v>25</v>
      </c>
      <c r="G130" s="3" t="s">
        <v>25</v>
      </c>
      <c r="H130" s="3" t="s">
        <v>25</v>
      </c>
      <c r="I130" s="6">
        <v>44652</v>
      </c>
      <c r="J130" s="4">
        <v>0</v>
      </c>
      <c r="K130" s="4">
        <v>0</v>
      </c>
      <c r="L130" s="4">
        <v>0.03</v>
      </c>
      <c r="M130" s="4">
        <v>1.0500000000000001E-2</v>
      </c>
      <c r="N130" s="4">
        <v>0.03</v>
      </c>
      <c r="O130" s="4">
        <v>1.0500000000000001E-2</v>
      </c>
      <c r="P130" s="4">
        <v>0</v>
      </c>
      <c r="Q130" s="3" t="s">
        <v>26</v>
      </c>
      <c r="R130" s="3">
        <v>0</v>
      </c>
      <c r="S130" s="3">
        <v>0</v>
      </c>
      <c r="T130" s="3">
        <v>20</v>
      </c>
      <c r="U130" s="3">
        <v>60</v>
      </c>
      <c r="V130" s="4">
        <f>IF(ISERROR(VLOOKUP($S$130,'TAR FIN'!$A$1:$O$91,15,0)),0,VLOOKUP($S$130,'TAR FIN'!$A$1:$O$91,15,0))</f>
        <v>0</v>
      </c>
      <c r="W130" s="4">
        <f>IF(ISERROR(VLOOKUP($T$130,'TAR FIN'!$A$1:$O$91,15,0)),0,VLOOKUP($T$130,'TAR FIN'!$A$1:$O$91,15,0))</f>
        <v>112.15</v>
      </c>
      <c r="X130" s="4">
        <f>IF(ISERROR(VLOOKUP($U$130,'TAR FIN'!$A$1:$O$91,15,0)),0,VLOOKUP($U$130,'TAR FIN'!$A$1:$O$91,15,0))</f>
        <v>69.66</v>
      </c>
      <c r="Y130" s="4"/>
      <c r="Z130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30" s="4">
        <f>('TE BE'!$AB$15+'TE BF'!$AB$15+'TE CVA'!$AB$15)*(1-CUSTOS!$M$34)</f>
        <v>71.933154536143064</v>
      </c>
      <c r="AB130" s="4">
        <f t="shared" ref="AB130:AB193" si="14">(J130-K130)*V130</f>
        <v>0</v>
      </c>
      <c r="AC130" s="4">
        <f>(L130-M130)*(W130+X130)+($W$184+$X$184-$W$130-$X$130)*(L130)</f>
        <v>13.675095000000001</v>
      </c>
      <c r="AD130" s="4">
        <f t="shared" ref="AD130:AD193" si="15">(J130-K130)*Y130</f>
        <v>0</v>
      </c>
      <c r="AE130" s="4">
        <f ca="1">(L130-M130)*(Z130+AA130)+($Z$184+$AA$184-$Z$130-$AA$130)*(L130)</f>
        <v>14.334507777557539</v>
      </c>
      <c r="AF130" s="3" t="s">
        <v>778</v>
      </c>
    </row>
    <row r="131" spans="1:32" ht="11.25" customHeight="1" x14ac:dyDescent="0.3">
      <c r="A131" s="3" t="s">
        <v>21</v>
      </c>
      <c r="B131" s="3" t="s">
        <v>22</v>
      </c>
      <c r="C131" s="3" t="s">
        <v>23</v>
      </c>
      <c r="D131" s="3" t="s">
        <v>24</v>
      </c>
      <c r="E131" s="3" t="s">
        <v>29</v>
      </c>
      <c r="F131" s="3" t="s">
        <v>25</v>
      </c>
      <c r="G131" s="3" t="s">
        <v>25</v>
      </c>
      <c r="H131" s="3" t="s">
        <v>25</v>
      </c>
      <c r="I131" s="6">
        <v>44682</v>
      </c>
      <c r="J131" s="4">
        <v>0</v>
      </c>
      <c r="K131" s="4">
        <v>0</v>
      </c>
      <c r="L131" s="4">
        <v>45.710999999999999</v>
      </c>
      <c r="M131" s="4">
        <v>45.710999999999999</v>
      </c>
      <c r="N131" s="4">
        <v>45.710999999999999</v>
      </c>
      <c r="O131" s="4">
        <v>45.710999999999999</v>
      </c>
      <c r="P131" s="4">
        <v>70</v>
      </c>
      <c r="Q131" s="3" t="s">
        <v>26</v>
      </c>
      <c r="R131" s="3">
        <v>0</v>
      </c>
      <c r="S131" s="3">
        <v>0</v>
      </c>
      <c r="T131" s="3">
        <v>20</v>
      </c>
      <c r="U131" s="3">
        <v>60</v>
      </c>
      <c r="V131" s="4">
        <f>IF(ISERROR(VLOOKUP($S$131,'TAR FIN'!$A$1:$O$91,15,0)),0,VLOOKUP($S$131,'TAR FIN'!$A$1:$O$91,15,0))</f>
        <v>0</v>
      </c>
      <c r="W131" s="4">
        <f>IF(ISERROR(VLOOKUP($T$131,'TAR FIN'!$A$1:$O$91,15,0)),0,VLOOKUP($T$131,'TAR FIN'!$A$1:$O$91,15,0))</f>
        <v>112.15</v>
      </c>
      <c r="X131" s="4">
        <f>IF(ISERROR(VLOOKUP($U$131,'TAR FIN'!$A$1:$O$91,15,0)),0,VLOOKUP($U$131,'TAR FIN'!$A$1:$O$91,15,0))</f>
        <v>69.66</v>
      </c>
      <c r="Y131" s="4"/>
      <c r="Z131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31" s="4">
        <f>('TE BE'!$AB$15+'TE BF'!$AB$15+'TE CVA'!$AB$15)*(1-CUSTOS!$M$34)</f>
        <v>71.933154536143064</v>
      </c>
      <c r="AB131" s="4">
        <f t="shared" si="14"/>
        <v>0</v>
      </c>
      <c r="AC131" s="4">
        <f>(L131-M131)*(W131+X131)+($W$184+$X$184-$W$131-$X$131)*(L131)</f>
        <v>15434.776260000002</v>
      </c>
      <c r="AD131" s="4">
        <f t="shared" si="15"/>
        <v>0</v>
      </c>
      <c r="AE131" s="4">
        <f ca="1">(L131-M131)*(Z131+AA131)+($Z$184+$AA$184-$Z$131-$AA$131)*(L131)</f>
        <v>16178.881111603278</v>
      </c>
      <c r="AF131" s="3" t="s">
        <v>778</v>
      </c>
    </row>
    <row r="132" spans="1:32" ht="11.25" customHeight="1" x14ac:dyDescent="0.3">
      <c r="A132" s="3" t="s">
        <v>28</v>
      </c>
      <c r="B132" s="3" t="s">
        <v>22</v>
      </c>
      <c r="C132" s="3" t="s">
        <v>23</v>
      </c>
      <c r="D132" s="3" t="s">
        <v>24</v>
      </c>
      <c r="E132" s="3" t="s">
        <v>29</v>
      </c>
      <c r="F132" s="3" t="s">
        <v>25</v>
      </c>
      <c r="G132" s="3" t="s">
        <v>25</v>
      </c>
      <c r="H132" s="3" t="s">
        <v>25</v>
      </c>
      <c r="I132" s="6">
        <v>44682</v>
      </c>
      <c r="J132" s="4">
        <v>0</v>
      </c>
      <c r="K132" s="4">
        <v>0</v>
      </c>
      <c r="L132" s="4">
        <v>0.03</v>
      </c>
      <c r="M132" s="4">
        <v>1.0500000000000001E-2</v>
      </c>
      <c r="N132" s="4">
        <v>0.03</v>
      </c>
      <c r="O132" s="4">
        <v>1.0500000000000001E-2</v>
      </c>
      <c r="P132" s="4">
        <v>0</v>
      </c>
      <c r="Q132" s="3" t="s">
        <v>26</v>
      </c>
      <c r="R132" s="3">
        <v>0</v>
      </c>
      <c r="S132" s="3">
        <v>0</v>
      </c>
      <c r="T132" s="3">
        <v>20</v>
      </c>
      <c r="U132" s="3">
        <v>60</v>
      </c>
      <c r="V132" s="4">
        <f>IF(ISERROR(VLOOKUP($S$132,'TAR FIN'!$A$1:$O$91,15,0)),0,VLOOKUP($S$132,'TAR FIN'!$A$1:$O$91,15,0))</f>
        <v>0</v>
      </c>
      <c r="W132" s="4">
        <f>IF(ISERROR(VLOOKUP($T$132,'TAR FIN'!$A$1:$O$91,15,0)),0,VLOOKUP($T$132,'TAR FIN'!$A$1:$O$91,15,0))</f>
        <v>112.15</v>
      </c>
      <c r="X132" s="4">
        <f>IF(ISERROR(VLOOKUP($U$132,'TAR FIN'!$A$1:$O$91,15,0)),0,VLOOKUP($U$132,'TAR FIN'!$A$1:$O$91,15,0))</f>
        <v>69.66</v>
      </c>
      <c r="Y132" s="4"/>
      <c r="Z132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32" s="4">
        <f>('TE BE'!$AB$15+'TE BF'!$AB$15+'TE CVA'!$AB$15)*(1-CUSTOS!$M$34)</f>
        <v>71.933154536143064</v>
      </c>
      <c r="AB132" s="4">
        <f t="shared" si="14"/>
        <v>0</v>
      </c>
      <c r="AC132" s="4">
        <f>(L132-M132)*(W132+X132)+($W$184+$X$184-$W$132-$X$132)*(L132)</f>
        <v>13.675095000000001</v>
      </c>
      <c r="AD132" s="4">
        <f t="shared" si="15"/>
        <v>0</v>
      </c>
      <c r="AE132" s="4">
        <f ca="1">(L132-M132)*(Z132+AA132)+($Z$184+$AA$184-$Z$132-$AA$132)*(L132)</f>
        <v>14.334507777557539</v>
      </c>
      <c r="AF132" s="3" t="s">
        <v>778</v>
      </c>
    </row>
    <row r="133" spans="1:32" ht="11.25" customHeight="1" x14ac:dyDescent="0.3">
      <c r="A133" s="3" t="s">
        <v>21</v>
      </c>
      <c r="B133" s="3" t="s">
        <v>22</v>
      </c>
      <c r="C133" s="3" t="s">
        <v>23</v>
      </c>
      <c r="D133" s="3" t="s">
        <v>24</v>
      </c>
      <c r="E133" s="3" t="s">
        <v>29</v>
      </c>
      <c r="F133" s="3" t="s">
        <v>25</v>
      </c>
      <c r="G133" s="3" t="s">
        <v>25</v>
      </c>
      <c r="H133" s="3" t="s">
        <v>25</v>
      </c>
      <c r="I133" s="6">
        <v>44713</v>
      </c>
      <c r="J133" s="4">
        <v>0</v>
      </c>
      <c r="K133" s="4">
        <v>0</v>
      </c>
      <c r="L133" s="4">
        <v>44.174999999999997</v>
      </c>
      <c r="M133" s="4">
        <v>44.174999999999997</v>
      </c>
      <c r="N133" s="4">
        <v>44.174999999999997</v>
      </c>
      <c r="O133" s="4">
        <v>44.174999999999997</v>
      </c>
      <c r="P133" s="4">
        <v>59</v>
      </c>
      <c r="Q133" s="3" t="s">
        <v>26</v>
      </c>
      <c r="R133" s="3">
        <v>0</v>
      </c>
      <c r="S133" s="3">
        <v>0</v>
      </c>
      <c r="T133" s="3">
        <v>20</v>
      </c>
      <c r="U133" s="3">
        <v>60</v>
      </c>
      <c r="V133" s="4">
        <f>IF(ISERROR(VLOOKUP($S$133,'TAR FIN'!$A$1:$O$91,15,0)),0,VLOOKUP($S$133,'TAR FIN'!$A$1:$O$91,15,0))</f>
        <v>0</v>
      </c>
      <c r="W133" s="4">
        <f>IF(ISERROR(VLOOKUP($T$133,'TAR FIN'!$A$1:$O$91,15,0)),0,VLOOKUP($T$133,'TAR FIN'!$A$1:$O$91,15,0))</f>
        <v>112.15</v>
      </c>
      <c r="X133" s="4">
        <f>IF(ISERROR(VLOOKUP($U$133,'TAR FIN'!$A$1:$O$91,15,0)),0,VLOOKUP($U$133,'TAR FIN'!$A$1:$O$91,15,0))</f>
        <v>69.66</v>
      </c>
      <c r="Y133" s="4"/>
      <c r="Z133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33" s="4">
        <f>('TE BE'!$AB$15+'TE BF'!$AB$15+'TE CVA'!$AB$15)*(1-CUSTOS!$M$34)</f>
        <v>71.933154536143064</v>
      </c>
      <c r="AB133" s="4">
        <f t="shared" si="14"/>
        <v>0</v>
      </c>
      <c r="AC133" s="4">
        <f>(L133-M133)*(W133+X133)+($W$184+$X$184-$W$133-$X$133)*(L133)</f>
        <v>14916.130500000003</v>
      </c>
      <c r="AD133" s="4">
        <f t="shared" si="15"/>
        <v>0</v>
      </c>
      <c r="AE133" s="4">
        <f ca="1">(L133-M133)*(Z133+AA133)+($Z$184+$AA$184-$Z$133-$AA$133)*(L133)</f>
        <v>15635.231631447021</v>
      </c>
      <c r="AF133" s="3" t="s">
        <v>778</v>
      </c>
    </row>
    <row r="134" spans="1:32" ht="11.25" customHeight="1" x14ac:dyDescent="0.3">
      <c r="A134" s="3" t="s">
        <v>28</v>
      </c>
      <c r="B134" s="3" t="s">
        <v>22</v>
      </c>
      <c r="C134" s="3" t="s">
        <v>23</v>
      </c>
      <c r="D134" s="3" t="s">
        <v>24</v>
      </c>
      <c r="E134" s="3" t="s">
        <v>29</v>
      </c>
      <c r="F134" s="3" t="s">
        <v>25</v>
      </c>
      <c r="G134" s="3" t="s">
        <v>25</v>
      </c>
      <c r="H134" s="3" t="s">
        <v>25</v>
      </c>
      <c r="I134" s="6">
        <v>44713</v>
      </c>
      <c r="J134" s="4">
        <v>0</v>
      </c>
      <c r="K134" s="4">
        <v>0</v>
      </c>
      <c r="L134" s="4">
        <v>0.03</v>
      </c>
      <c r="M134" s="4">
        <v>-8.9999999999999993E-3</v>
      </c>
      <c r="N134" s="4">
        <v>0.03</v>
      </c>
      <c r="O134" s="4">
        <v>-8.9999999999999993E-3</v>
      </c>
      <c r="P134" s="4">
        <v>0</v>
      </c>
      <c r="Q134" s="3" t="s">
        <v>26</v>
      </c>
      <c r="R134" s="3">
        <v>0</v>
      </c>
      <c r="S134" s="3">
        <v>0</v>
      </c>
      <c r="T134" s="3">
        <v>20</v>
      </c>
      <c r="U134" s="3">
        <v>60</v>
      </c>
      <c r="V134" s="4">
        <f>IF(ISERROR(VLOOKUP($S$134,'TAR FIN'!$A$1:$O$91,15,0)),0,VLOOKUP($S$134,'TAR FIN'!$A$1:$O$91,15,0))</f>
        <v>0</v>
      </c>
      <c r="W134" s="4">
        <f>IF(ISERROR(VLOOKUP($T$134,'TAR FIN'!$A$1:$O$91,15,0)),0,VLOOKUP($T$134,'TAR FIN'!$A$1:$O$91,15,0))</f>
        <v>112.15</v>
      </c>
      <c r="X134" s="4">
        <f>IF(ISERROR(VLOOKUP($U$134,'TAR FIN'!$A$1:$O$91,15,0)),0,VLOOKUP($U$134,'TAR FIN'!$A$1:$O$91,15,0))</f>
        <v>69.66</v>
      </c>
      <c r="Y134" s="4"/>
      <c r="Z134" s="4">
        <f ca="1">('TUSD BE'!$AM$24+'TUSD BF'!$AM$24+'TUSD CVA'!$AM$24-('TUSD BE'!$P$24+'TUSD BF'!$P$24+'TUSD CVA'!$P$24)-('TUSD BE'!$Q$24+'TUSD BF'!$Q$24+'TUSD CVA'!$Q$24)-('TUSD BE'!$R$24+'TUSD BF'!$R$24+'TUSD CVA'!$R$24))*(1-CUSTOS!$M$34)</f>
        <v>118.64909511799327</v>
      </c>
      <c r="AA134" s="4">
        <f>('TE BE'!$AB$15+'TE BF'!$AB$15+'TE CVA'!$AB$15)*(1-CUSTOS!$M$34)</f>
        <v>71.933154536143064</v>
      </c>
      <c r="AB134" s="4">
        <f t="shared" si="14"/>
        <v>0</v>
      </c>
      <c r="AC134" s="4">
        <f>(L134-M134)*(W134+X134)+($W$184+$X$184-$W$134-$X$134)*(L134)</f>
        <v>17.220390000000002</v>
      </c>
      <c r="AD134" s="4">
        <f t="shared" si="15"/>
        <v>0</v>
      </c>
      <c r="AE134" s="4">
        <f ca="1">(L134-M134)*(Z134+AA134)+($Z$184+$AA$184-$Z$134-$AA$134)*(L134)</f>
        <v>18.0508616458132</v>
      </c>
      <c r="AF134" s="3" t="s">
        <v>778</v>
      </c>
    </row>
    <row r="135" spans="1:32" ht="11.25" customHeight="1" x14ac:dyDescent="0.3">
      <c r="A135" s="3" t="s">
        <v>21</v>
      </c>
      <c r="B135" s="3" t="s">
        <v>22</v>
      </c>
      <c r="C135" s="3" t="s">
        <v>23</v>
      </c>
      <c r="D135" s="3" t="s">
        <v>24</v>
      </c>
      <c r="E135" s="3" t="s">
        <v>30</v>
      </c>
      <c r="F135" s="3" t="s">
        <v>25</v>
      </c>
      <c r="G135" s="3" t="s">
        <v>25</v>
      </c>
      <c r="H135" s="3" t="s">
        <v>25</v>
      </c>
      <c r="I135" s="6">
        <v>44378</v>
      </c>
      <c r="J135" s="4">
        <v>0</v>
      </c>
      <c r="K135" s="4">
        <v>0</v>
      </c>
      <c r="L135" s="4">
        <v>62.991</v>
      </c>
      <c r="M135" s="4">
        <v>62.991</v>
      </c>
      <c r="N135" s="4">
        <v>62.991</v>
      </c>
      <c r="O135" s="4">
        <v>62.991</v>
      </c>
      <c r="P135" s="4">
        <v>268</v>
      </c>
      <c r="Q135" s="3" t="s">
        <v>26</v>
      </c>
      <c r="R135" s="3">
        <v>0</v>
      </c>
      <c r="S135" s="3">
        <v>0</v>
      </c>
      <c r="T135" s="3">
        <v>21</v>
      </c>
      <c r="U135" s="3">
        <v>61</v>
      </c>
      <c r="V135" s="4">
        <f>IF(ISERROR(VLOOKUP($S$135,'TAR FIN'!$A$1:$O$91,15,0)),0,VLOOKUP($S$135,'TAR FIN'!$A$1:$O$91,15,0))</f>
        <v>0</v>
      </c>
      <c r="W135" s="4">
        <f>IF(ISERROR(VLOOKUP($T$135,'TAR FIN'!$A$1:$O$91,15,0)),0,VLOOKUP($T$135,'TAR FIN'!$A$1:$O$91,15,0))</f>
        <v>192.27</v>
      </c>
      <c r="X135" s="4">
        <f>IF(ISERROR(VLOOKUP($U$135,'TAR FIN'!$A$1:$O$91,15,0)),0,VLOOKUP($U$135,'TAR FIN'!$A$1:$O$91,15,0))</f>
        <v>119.42</v>
      </c>
      <c r="Y135" s="4"/>
      <c r="Z135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35" s="4">
        <f>('TE BE'!$AB$16+'TE BF'!$AB$16+'TE CVA'!$AB$16)*(1-CUSTOS!$M$35)</f>
        <v>123.31397920481668</v>
      </c>
      <c r="AB135" s="4">
        <f t="shared" si="14"/>
        <v>0</v>
      </c>
      <c r="AC135" s="4">
        <f>(L135-M135)*(W135+X135)+($W$184+$X$184-$W$135-$X$135)*(L135)</f>
        <v>13088.269980000001</v>
      </c>
      <c r="AD135" s="4">
        <f t="shared" si="15"/>
        <v>0</v>
      </c>
      <c r="AE135" s="4">
        <f ca="1">(L135-M135)*(Z135+AA135)+($Z$184+$AA$184-$Z$135-$AA$135)*(L135)</f>
        <v>13719.961700529948</v>
      </c>
      <c r="AF135" s="3" t="s">
        <v>778</v>
      </c>
    </row>
    <row r="136" spans="1:32" ht="11.25" customHeight="1" x14ac:dyDescent="0.3">
      <c r="A136" s="3" t="s">
        <v>27</v>
      </c>
      <c r="B136" s="3" t="s">
        <v>22</v>
      </c>
      <c r="C136" s="3" t="s">
        <v>23</v>
      </c>
      <c r="D136" s="3" t="s">
        <v>24</v>
      </c>
      <c r="E136" s="3" t="s">
        <v>30</v>
      </c>
      <c r="F136" s="3" t="s">
        <v>25</v>
      </c>
      <c r="G136" s="3" t="s">
        <v>25</v>
      </c>
      <c r="H136" s="3" t="s">
        <v>25</v>
      </c>
      <c r="I136" s="6">
        <v>44378</v>
      </c>
      <c r="J136" s="4">
        <v>0</v>
      </c>
      <c r="K136" s="4">
        <v>0</v>
      </c>
      <c r="L136" s="4">
        <v>-6.6000000000000003E-2</v>
      </c>
      <c r="M136" s="4">
        <v>-6.6000000000000003E-2</v>
      </c>
      <c r="N136" s="4">
        <v>-6.6000000000000003E-2</v>
      </c>
      <c r="O136" s="4">
        <v>-6.6000000000000003E-2</v>
      </c>
      <c r="P136" s="4">
        <v>0</v>
      </c>
      <c r="Q136" s="3" t="s">
        <v>26</v>
      </c>
      <c r="R136" s="3">
        <v>0</v>
      </c>
      <c r="S136" s="3">
        <v>0</v>
      </c>
      <c r="T136" s="3">
        <v>21</v>
      </c>
      <c r="U136" s="3">
        <v>61</v>
      </c>
      <c r="V136" s="4">
        <f>IF(ISERROR(VLOOKUP($S$136,'TAR FIN'!$A$1:$O$91,15,0)),0,VLOOKUP($S$136,'TAR FIN'!$A$1:$O$91,15,0))</f>
        <v>0</v>
      </c>
      <c r="W136" s="4">
        <f>IF(ISERROR(VLOOKUP($T$136,'TAR FIN'!$A$1:$O$91,15,0)),0,VLOOKUP($T$136,'TAR FIN'!$A$1:$O$91,15,0))</f>
        <v>192.27</v>
      </c>
      <c r="X136" s="4">
        <f>IF(ISERROR(VLOOKUP($U$136,'TAR FIN'!$A$1:$O$91,15,0)),0,VLOOKUP($U$136,'TAR FIN'!$A$1:$O$91,15,0))</f>
        <v>119.42</v>
      </c>
      <c r="Y136" s="4"/>
      <c r="Z136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36" s="4">
        <f>('TE BE'!$AB$16+'TE BF'!$AB$16+'TE CVA'!$AB$16)*(1-CUSTOS!$M$35)</f>
        <v>123.31397920481668</v>
      </c>
      <c r="AB136" s="4">
        <f t="shared" si="14"/>
        <v>0</v>
      </c>
      <c r="AC136" s="4">
        <f>(L136-M136)*(W136+X136)+($W$184+$X$184-$W$136-$X$136)*(L136)</f>
        <v>-13.713480000000002</v>
      </c>
      <c r="AD136" s="4">
        <f t="shared" si="15"/>
        <v>0</v>
      </c>
      <c r="AE136" s="4">
        <f ca="1">(L136-M136)*(Z136+AA136)+($Z$184+$AA$184-$Z$136-$AA$136)*(L136)</f>
        <v>-14.375346831054859</v>
      </c>
      <c r="AF136" s="3" t="s">
        <v>778</v>
      </c>
    </row>
    <row r="137" spans="1:32" ht="11.25" customHeight="1" x14ac:dyDescent="0.3">
      <c r="A137" s="3" t="s">
        <v>28</v>
      </c>
      <c r="B137" s="3" t="s">
        <v>22</v>
      </c>
      <c r="C137" s="3" t="s">
        <v>23</v>
      </c>
      <c r="D137" s="3" t="s">
        <v>24</v>
      </c>
      <c r="E137" s="3" t="s">
        <v>30</v>
      </c>
      <c r="F137" s="3" t="s">
        <v>25</v>
      </c>
      <c r="G137" s="3" t="s">
        <v>25</v>
      </c>
      <c r="H137" s="3" t="s">
        <v>25</v>
      </c>
      <c r="I137" s="6">
        <v>44378</v>
      </c>
      <c r="J137" s="4">
        <v>0</v>
      </c>
      <c r="K137" s="4">
        <v>0</v>
      </c>
      <c r="L137" s="4">
        <v>0.14000000000000001</v>
      </c>
      <c r="M137" s="4">
        <v>0.14000000000000001</v>
      </c>
      <c r="N137" s="4">
        <v>0.14000000000000001</v>
      </c>
      <c r="O137" s="4">
        <v>0.14000000000000001</v>
      </c>
      <c r="P137" s="4">
        <v>0</v>
      </c>
      <c r="Q137" s="3" t="s">
        <v>26</v>
      </c>
      <c r="R137" s="3">
        <v>0</v>
      </c>
      <c r="S137" s="3">
        <v>0</v>
      </c>
      <c r="T137" s="3">
        <v>21</v>
      </c>
      <c r="U137" s="3">
        <v>61</v>
      </c>
      <c r="V137" s="4">
        <f>IF(ISERROR(VLOOKUP($S$137,'TAR FIN'!$A$1:$O$91,15,0)),0,VLOOKUP($S$137,'TAR FIN'!$A$1:$O$91,15,0))</f>
        <v>0</v>
      </c>
      <c r="W137" s="4">
        <f>IF(ISERROR(VLOOKUP($T$137,'TAR FIN'!$A$1:$O$91,15,0)),0,VLOOKUP($T$137,'TAR FIN'!$A$1:$O$91,15,0))</f>
        <v>192.27</v>
      </c>
      <c r="X137" s="4">
        <f>IF(ISERROR(VLOOKUP($U$137,'TAR FIN'!$A$1:$O$91,15,0)),0,VLOOKUP($U$137,'TAR FIN'!$A$1:$O$91,15,0))</f>
        <v>119.42</v>
      </c>
      <c r="Y137" s="4"/>
      <c r="Z137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37" s="4">
        <f>('TE BE'!$AB$16+'TE BF'!$AB$16+'TE CVA'!$AB$16)*(1-CUSTOS!$M$35)</f>
        <v>123.31397920481668</v>
      </c>
      <c r="AB137" s="4">
        <f t="shared" si="14"/>
        <v>0</v>
      </c>
      <c r="AC137" s="4">
        <f>(L137-M137)*(W137+X137)+($W$184+$X$184-$W$137-$X$137)*(L137)</f>
        <v>29.089200000000005</v>
      </c>
      <c r="AD137" s="4">
        <f t="shared" si="15"/>
        <v>0</v>
      </c>
      <c r="AE137" s="4">
        <f ca="1">(L137-M137)*(Z137+AA137)+($Z$184+$AA$184-$Z$137-$AA$137)*(L137)</f>
        <v>30.493159944661823</v>
      </c>
      <c r="AF137" s="3" t="s">
        <v>778</v>
      </c>
    </row>
    <row r="138" spans="1:32" ht="11.25" customHeight="1" x14ac:dyDescent="0.3">
      <c r="A138" s="3" t="s">
        <v>21</v>
      </c>
      <c r="B138" s="3" t="s">
        <v>22</v>
      </c>
      <c r="C138" s="3" t="s">
        <v>23</v>
      </c>
      <c r="D138" s="3" t="s">
        <v>24</v>
      </c>
      <c r="E138" s="3" t="s">
        <v>30</v>
      </c>
      <c r="F138" s="3" t="s">
        <v>25</v>
      </c>
      <c r="G138" s="3" t="s">
        <v>25</v>
      </c>
      <c r="H138" s="3" t="s">
        <v>25</v>
      </c>
      <c r="I138" s="6">
        <v>44409</v>
      </c>
      <c r="J138" s="4">
        <v>0</v>
      </c>
      <c r="K138" s="4">
        <v>0</v>
      </c>
      <c r="L138" s="4">
        <v>64.536000000000001</v>
      </c>
      <c r="M138" s="4">
        <v>64.536000000000001</v>
      </c>
      <c r="N138" s="4">
        <v>64.536000000000001</v>
      </c>
      <c r="O138" s="4">
        <v>64.536000000000001</v>
      </c>
      <c r="P138" s="4">
        <v>215</v>
      </c>
      <c r="Q138" s="3" t="s">
        <v>26</v>
      </c>
      <c r="R138" s="3">
        <v>0</v>
      </c>
      <c r="S138" s="3">
        <v>0</v>
      </c>
      <c r="T138" s="3">
        <v>21</v>
      </c>
      <c r="U138" s="3">
        <v>61</v>
      </c>
      <c r="V138" s="4">
        <f>IF(ISERROR(VLOOKUP($S$138,'TAR FIN'!$A$1:$O$91,15,0)),0,VLOOKUP($S$138,'TAR FIN'!$A$1:$O$91,15,0))</f>
        <v>0</v>
      </c>
      <c r="W138" s="4">
        <f>IF(ISERROR(VLOOKUP($T$138,'TAR FIN'!$A$1:$O$91,15,0)),0,VLOOKUP($T$138,'TAR FIN'!$A$1:$O$91,15,0))</f>
        <v>192.27</v>
      </c>
      <c r="X138" s="4">
        <f>IF(ISERROR(VLOOKUP($U$138,'TAR FIN'!$A$1:$O$91,15,0)),0,VLOOKUP($U$138,'TAR FIN'!$A$1:$O$91,15,0))</f>
        <v>119.42</v>
      </c>
      <c r="Y138" s="4"/>
      <c r="Z138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38" s="4">
        <f>('TE BE'!$AB$16+'TE BF'!$AB$16+'TE CVA'!$AB$16)*(1-CUSTOS!$M$35)</f>
        <v>123.31397920481668</v>
      </c>
      <c r="AB138" s="4">
        <f t="shared" si="14"/>
        <v>0</v>
      </c>
      <c r="AC138" s="4">
        <f>(L138-M138)*(W138+X138)+($W$184+$X$184-$W$138-$X$138)*(L138)</f>
        <v>13409.290080000002</v>
      </c>
      <c r="AD138" s="4">
        <f t="shared" si="15"/>
        <v>0</v>
      </c>
      <c r="AE138" s="4">
        <f ca="1">(L138-M138)*(Z138+AA138)+($Z$184+$AA$184-$Z$138-$AA$138)*(L138)</f>
        <v>14056.475501347824</v>
      </c>
      <c r="AF138" s="3" t="s">
        <v>778</v>
      </c>
    </row>
    <row r="139" spans="1:32" ht="11.25" customHeight="1" x14ac:dyDescent="0.3">
      <c r="A139" s="3" t="s">
        <v>27</v>
      </c>
      <c r="B139" s="3" t="s">
        <v>22</v>
      </c>
      <c r="C139" s="3" t="s">
        <v>23</v>
      </c>
      <c r="D139" s="3" t="s">
        <v>24</v>
      </c>
      <c r="E139" s="3" t="s">
        <v>30</v>
      </c>
      <c r="F139" s="3" t="s">
        <v>25</v>
      </c>
      <c r="G139" s="3" t="s">
        <v>25</v>
      </c>
      <c r="H139" s="3" t="s">
        <v>25</v>
      </c>
      <c r="I139" s="6">
        <v>44409</v>
      </c>
      <c r="J139" s="4">
        <v>0</v>
      </c>
      <c r="K139" s="4">
        <v>0</v>
      </c>
      <c r="L139" s="4">
        <v>0.14000000000000001</v>
      </c>
      <c r="M139" s="4">
        <v>0.14000000000000001</v>
      </c>
      <c r="N139" s="4">
        <v>0.14000000000000001</v>
      </c>
      <c r="O139" s="4">
        <v>0.14000000000000001</v>
      </c>
      <c r="P139" s="4">
        <v>0</v>
      </c>
      <c r="Q139" s="3" t="s">
        <v>26</v>
      </c>
      <c r="R139" s="3">
        <v>0</v>
      </c>
      <c r="S139" s="3">
        <v>0</v>
      </c>
      <c r="T139" s="3">
        <v>21</v>
      </c>
      <c r="U139" s="3">
        <v>61</v>
      </c>
      <c r="V139" s="4">
        <f>IF(ISERROR(VLOOKUP($S$139,'TAR FIN'!$A$1:$O$91,15,0)),0,VLOOKUP($S$139,'TAR FIN'!$A$1:$O$91,15,0))</f>
        <v>0</v>
      </c>
      <c r="W139" s="4">
        <f>IF(ISERROR(VLOOKUP($T$139,'TAR FIN'!$A$1:$O$91,15,0)),0,VLOOKUP($T$139,'TAR FIN'!$A$1:$O$91,15,0))</f>
        <v>192.27</v>
      </c>
      <c r="X139" s="4">
        <f>IF(ISERROR(VLOOKUP($U$139,'TAR FIN'!$A$1:$O$91,15,0)),0,VLOOKUP($U$139,'TAR FIN'!$A$1:$O$91,15,0))</f>
        <v>119.42</v>
      </c>
      <c r="Y139" s="4"/>
      <c r="Z139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39" s="4">
        <f>('TE BE'!$AB$16+'TE BF'!$AB$16+'TE CVA'!$AB$16)*(1-CUSTOS!$M$35)</f>
        <v>123.31397920481668</v>
      </c>
      <c r="AB139" s="4">
        <f t="shared" si="14"/>
        <v>0</v>
      </c>
      <c r="AC139" s="4">
        <f>(L139-M139)*(W139+X139)+($W$184+$X$184-$W$139-$X$139)*(L139)</f>
        <v>29.089200000000005</v>
      </c>
      <c r="AD139" s="4">
        <f t="shared" si="15"/>
        <v>0</v>
      </c>
      <c r="AE139" s="4">
        <f ca="1">(L139-M139)*(Z139+AA139)+($Z$184+$AA$184-$Z$139-$AA$139)*(L139)</f>
        <v>30.493159944661823</v>
      </c>
      <c r="AF139" s="3" t="s">
        <v>778</v>
      </c>
    </row>
    <row r="140" spans="1:32" ht="11.25" customHeight="1" x14ac:dyDescent="0.3">
      <c r="A140" s="3" t="s">
        <v>28</v>
      </c>
      <c r="B140" s="3" t="s">
        <v>22</v>
      </c>
      <c r="C140" s="3" t="s">
        <v>23</v>
      </c>
      <c r="D140" s="3" t="s">
        <v>24</v>
      </c>
      <c r="E140" s="3" t="s">
        <v>30</v>
      </c>
      <c r="F140" s="3" t="s">
        <v>25</v>
      </c>
      <c r="G140" s="3" t="s">
        <v>25</v>
      </c>
      <c r="H140" s="3" t="s">
        <v>25</v>
      </c>
      <c r="I140" s="6">
        <v>44409</v>
      </c>
      <c r="J140" s="4">
        <v>0</v>
      </c>
      <c r="K140" s="4">
        <v>0</v>
      </c>
      <c r="L140" s="4">
        <v>6.2E-2</v>
      </c>
      <c r="M140" s="4">
        <v>6.2E-2</v>
      </c>
      <c r="N140" s="4">
        <v>6.2E-2</v>
      </c>
      <c r="O140" s="4">
        <v>6.2E-2</v>
      </c>
      <c r="P140" s="4">
        <v>0</v>
      </c>
      <c r="Q140" s="3" t="s">
        <v>26</v>
      </c>
      <c r="R140" s="3">
        <v>0</v>
      </c>
      <c r="S140" s="3">
        <v>0</v>
      </c>
      <c r="T140" s="3">
        <v>21</v>
      </c>
      <c r="U140" s="3">
        <v>61</v>
      </c>
      <c r="V140" s="4">
        <f>IF(ISERROR(VLOOKUP($S$140,'TAR FIN'!$A$1:$O$91,15,0)),0,VLOOKUP($S$140,'TAR FIN'!$A$1:$O$91,15,0))</f>
        <v>0</v>
      </c>
      <c r="W140" s="4">
        <f>IF(ISERROR(VLOOKUP($T$140,'TAR FIN'!$A$1:$O$91,15,0)),0,VLOOKUP($T$140,'TAR FIN'!$A$1:$O$91,15,0))</f>
        <v>192.27</v>
      </c>
      <c r="X140" s="4">
        <f>IF(ISERROR(VLOOKUP($U$140,'TAR FIN'!$A$1:$O$91,15,0)),0,VLOOKUP($U$140,'TAR FIN'!$A$1:$O$91,15,0))</f>
        <v>119.42</v>
      </c>
      <c r="Y140" s="4"/>
      <c r="Z140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0" s="4">
        <f>('TE BE'!$AB$16+'TE BF'!$AB$16+'TE CVA'!$AB$16)*(1-CUSTOS!$M$35)</f>
        <v>123.31397920481668</v>
      </c>
      <c r="AB140" s="4">
        <f t="shared" si="14"/>
        <v>0</v>
      </c>
      <c r="AC140" s="4">
        <f>(L140-M140)*(W140+X140)+($W$184+$X$184-$W$140-$X$140)*(L140)</f>
        <v>12.882360000000002</v>
      </c>
      <c r="AD140" s="4">
        <f t="shared" si="15"/>
        <v>0</v>
      </c>
      <c r="AE140" s="4">
        <f ca="1">(L140-M140)*(Z140+AA140)+($Z$184+$AA$184-$Z$140-$AA$140)*(L140)</f>
        <v>13.504113689778807</v>
      </c>
      <c r="AF140" s="3" t="s">
        <v>778</v>
      </c>
    </row>
    <row r="141" spans="1:32" ht="11.25" customHeight="1" x14ac:dyDescent="0.3">
      <c r="A141" s="3" t="s">
        <v>21</v>
      </c>
      <c r="B141" s="3" t="s">
        <v>22</v>
      </c>
      <c r="C141" s="3" t="s">
        <v>23</v>
      </c>
      <c r="D141" s="3" t="s">
        <v>24</v>
      </c>
      <c r="E141" s="3" t="s">
        <v>30</v>
      </c>
      <c r="F141" s="3" t="s">
        <v>25</v>
      </c>
      <c r="G141" s="3" t="s">
        <v>25</v>
      </c>
      <c r="H141" s="3" t="s">
        <v>25</v>
      </c>
      <c r="I141" s="6">
        <v>44440</v>
      </c>
      <c r="J141" s="4">
        <v>0</v>
      </c>
      <c r="K141" s="4">
        <v>0</v>
      </c>
      <c r="L141" s="4">
        <v>65.968999999999994</v>
      </c>
      <c r="M141" s="4">
        <v>65.968999999999994</v>
      </c>
      <c r="N141" s="4">
        <v>65.968999999999994</v>
      </c>
      <c r="O141" s="4">
        <v>65.968999999999994</v>
      </c>
      <c r="P141" s="4">
        <v>234</v>
      </c>
      <c r="Q141" s="3" t="s">
        <v>26</v>
      </c>
      <c r="R141" s="3">
        <v>0</v>
      </c>
      <c r="S141" s="3">
        <v>0</v>
      </c>
      <c r="T141" s="3">
        <v>21</v>
      </c>
      <c r="U141" s="3">
        <v>61</v>
      </c>
      <c r="V141" s="4">
        <f>IF(ISERROR(VLOOKUP($S$141,'TAR FIN'!$A$1:$O$91,15,0)),0,VLOOKUP($S$141,'TAR FIN'!$A$1:$O$91,15,0))</f>
        <v>0</v>
      </c>
      <c r="W141" s="4">
        <f>IF(ISERROR(VLOOKUP($T$141,'TAR FIN'!$A$1:$O$91,15,0)),0,VLOOKUP($T$141,'TAR FIN'!$A$1:$O$91,15,0))</f>
        <v>192.27</v>
      </c>
      <c r="X141" s="4">
        <f>IF(ISERROR(VLOOKUP($U$141,'TAR FIN'!$A$1:$O$91,15,0)),0,VLOOKUP($U$141,'TAR FIN'!$A$1:$O$91,15,0))</f>
        <v>119.42</v>
      </c>
      <c r="Y141" s="4"/>
      <c r="Z141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1" s="4">
        <f>('TE BE'!$AB$16+'TE BF'!$AB$16+'TE CVA'!$AB$16)*(1-CUSTOS!$M$35)</f>
        <v>123.31397920481668</v>
      </c>
      <c r="AB141" s="4">
        <f t="shared" si="14"/>
        <v>0</v>
      </c>
      <c r="AC141" s="4">
        <f>(L141-M141)*(W141+X141)+($W$184+$X$184-$W$141-$X$141)*(L141)</f>
        <v>13707.038820000002</v>
      </c>
      <c r="AD141" s="4">
        <f t="shared" si="15"/>
        <v>0</v>
      </c>
      <c r="AE141" s="4">
        <f ca="1">(L141-M141)*(Z141+AA141)+($Z$184+$AA$184-$Z$141-$AA$141)*(L141)</f>
        <v>14368.594774209969</v>
      </c>
      <c r="AF141" s="3" t="s">
        <v>778</v>
      </c>
    </row>
    <row r="142" spans="1:32" ht="11.25" customHeight="1" x14ac:dyDescent="0.3">
      <c r="A142" s="3" t="s">
        <v>28</v>
      </c>
      <c r="B142" s="3" t="s">
        <v>22</v>
      </c>
      <c r="C142" s="3" t="s">
        <v>23</v>
      </c>
      <c r="D142" s="3" t="s">
        <v>24</v>
      </c>
      <c r="E142" s="3" t="s">
        <v>30</v>
      </c>
      <c r="F142" s="3" t="s">
        <v>25</v>
      </c>
      <c r="G142" s="3" t="s">
        <v>25</v>
      </c>
      <c r="H142" s="3" t="s">
        <v>25</v>
      </c>
      <c r="I142" s="6">
        <v>44440</v>
      </c>
      <c r="J142" s="4">
        <v>0</v>
      </c>
      <c r="K142" s="4">
        <v>0</v>
      </c>
      <c r="L142" s="4">
        <v>7.0000000000000007E-2</v>
      </c>
      <c r="M142" s="4">
        <v>7.0000000000000007E-2</v>
      </c>
      <c r="N142" s="4">
        <v>7.0000000000000007E-2</v>
      </c>
      <c r="O142" s="4">
        <v>7.0000000000000007E-2</v>
      </c>
      <c r="P142" s="4">
        <v>0</v>
      </c>
      <c r="Q142" s="3" t="s">
        <v>26</v>
      </c>
      <c r="R142" s="3">
        <v>0</v>
      </c>
      <c r="S142" s="3">
        <v>0</v>
      </c>
      <c r="T142" s="3">
        <v>21</v>
      </c>
      <c r="U142" s="3">
        <v>61</v>
      </c>
      <c r="V142" s="4">
        <f>IF(ISERROR(VLOOKUP($S$142,'TAR FIN'!$A$1:$O$91,15,0)),0,VLOOKUP($S$142,'TAR FIN'!$A$1:$O$91,15,0))</f>
        <v>0</v>
      </c>
      <c r="W142" s="4">
        <f>IF(ISERROR(VLOOKUP($T$142,'TAR FIN'!$A$1:$O$91,15,0)),0,VLOOKUP($T$142,'TAR FIN'!$A$1:$O$91,15,0))</f>
        <v>192.27</v>
      </c>
      <c r="X142" s="4">
        <f>IF(ISERROR(VLOOKUP($U$142,'TAR FIN'!$A$1:$O$91,15,0)),0,VLOOKUP($U$142,'TAR FIN'!$A$1:$O$91,15,0))</f>
        <v>119.42</v>
      </c>
      <c r="Y142" s="4"/>
      <c r="Z142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2" s="4">
        <f>('TE BE'!$AB$16+'TE BF'!$AB$16+'TE CVA'!$AB$16)*(1-CUSTOS!$M$35)</f>
        <v>123.31397920481668</v>
      </c>
      <c r="AB142" s="4">
        <f t="shared" si="14"/>
        <v>0</v>
      </c>
      <c r="AC142" s="4">
        <f>(L142-M142)*(W142+X142)+($W$184+$X$184-$W$142-$X$142)*(L142)</f>
        <v>14.544600000000003</v>
      </c>
      <c r="AD142" s="4">
        <f t="shared" si="15"/>
        <v>0</v>
      </c>
      <c r="AE142" s="4">
        <f ca="1">(L142-M142)*(Z142+AA142)+($Z$184+$AA$184-$Z$142-$AA$142)*(L142)</f>
        <v>15.246579972330911</v>
      </c>
      <c r="AF142" s="3" t="s">
        <v>778</v>
      </c>
    </row>
    <row r="143" spans="1:32" ht="11.25" customHeight="1" x14ac:dyDescent="0.3">
      <c r="A143" s="3" t="s">
        <v>21</v>
      </c>
      <c r="B143" s="3" t="s">
        <v>22</v>
      </c>
      <c r="C143" s="3" t="s">
        <v>23</v>
      </c>
      <c r="D143" s="3" t="s">
        <v>24</v>
      </c>
      <c r="E143" s="3" t="s">
        <v>30</v>
      </c>
      <c r="F143" s="3" t="s">
        <v>25</v>
      </c>
      <c r="G143" s="3" t="s">
        <v>25</v>
      </c>
      <c r="H143" s="3" t="s">
        <v>25</v>
      </c>
      <c r="I143" s="6">
        <v>44470</v>
      </c>
      <c r="J143" s="4">
        <v>0</v>
      </c>
      <c r="K143" s="4">
        <v>0</v>
      </c>
      <c r="L143" s="4">
        <v>67.483999999999995</v>
      </c>
      <c r="M143" s="4">
        <v>67.483999999999995</v>
      </c>
      <c r="N143" s="4">
        <v>67.483999999999995</v>
      </c>
      <c r="O143" s="4">
        <v>67.483999999999995</v>
      </c>
      <c r="P143" s="4">
        <v>198</v>
      </c>
      <c r="Q143" s="3" t="s">
        <v>26</v>
      </c>
      <c r="R143" s="3">
        <v>0</v>
      </c>
      <c r="S143" s="3">
        <v>0</v>
      </c>
      <c r="T143" s="3">
        <v>21</v>
      </c>
      <c r="U143" s="3">
        <v>61</v>
      </c>
      <c r="V143" s="4">
        <f>IF(ISERROR(VLOOKUP($S$143,'TAR FIN'!$A$1:$O$91,15,0)),0,VLOOKUP($S$143,'TAR FIN'!$A$1:$O$91,15,0))</f>
        <v>0</v>
      </c>
      <c r="W143" s="4">
        <f>IF(ISERROR(VLOOKUP($T$143,'TAR FIN'!$A$1:$O$91,15,0)),0,VLOOKUP($T$143,'TAR FIN'!$A$1:$O$91,15,0))</f>
        <v>192.27</v>
      </c>
      <c r="X143" s="4">
        <f>IF(ISERROR(VLOOKUP($U$143,'TAR FIN'!$A$1:$O$91,15,0)),0,VLOOKUP($U$143,'TAR FIN'!$A$1:$O$91,15,0))</f>
        <v>119.42</v>
      </c>
      <c r="Y143" s="4"/>
      <c r="Z143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3" s="4">
        <f>('TE BE'!$AB$16+'TE BF'!$AB$16+'TE CVA'!$AB$16)*(1-CUSTOS!$M$35)</f>
        <v>123.31397920481668</v>
      </c>
      <c r="AB143" s="4">
        <f t="shared" si="14"/>
        <v>0</v>
      </c>
      <c r="AC143" s="4">
        <f>(L143-M143)*(W143+X143)+($W$184+$X$184-$W$143-$X$143)*(L143)</f>
        <v>14021.82552</v>
      </c>
      <c r="AD143" s="4">
        <f t="shared" si="15"/>
        <v>0</v>
      </c>
      <c r="AE143" s="4">
        <f ca="1">(L143-M143)*(Z143+AA143)+($Z$184+$AA$184-$Z$143-$AA$143)*(L143)</f>
        <v>14698.574326468273</v>
      </c>
      <c r="AF143" s="3" t="s">
        <v>778</v>
      </c>
    </row>
    <row r="144" spans="1:32" ht="11.25" customHeight="1" x14ac:dyDescent="0.3">
      <c r="A144" s="3" t="s">
        <v>28</v>
      </c>
      <c r="B144" s="3" t="s">
        <v>22</v>
      </c>
      <c r="C144" s="3" t="s">
        <v>23</v>
      </c>
      <c r="D144" s="3" t="s">
        <v>24</v>
      </c>
      <c r="E144" s="3" t="s">
        <v>30</v>
      </c>
      <c r="F144" s="3" t="s">
        <v>25</v>
      </c>
      <c r="G144" s="3" t="s">
        <v>25</v>
      </c>
      <c r="H144" s="3" t="s">
        <v>25</v>
      </c>
      <c r="I144" s="6">
        <v>44470</v>
      </c>
      <c r="J144" s="4">
        <v>0</v>
      </c>
      <c r="K144" s="4">
        <v>0</v>
      </c>
      <c r="L144" s="4">
        <v>7.0000000000000007E-2</v>
      </c>
      <c r="M144" s="4">
        <v>7.0000000000000007E-2</v>
      </c>
      <c r="N144" s="4">
        <v>7.0000000000000007E-2</v>
      </c>
      <c r="O144" s="4">
        <v>7.0000000000000007E-2</v>
      </c>
      <c r="P144" s="4">
        <v>0</v>
      </c>
      <c r="Q144" s="3" t="s">
        <v>26</v>
      </c>
      <c r="R144" s="3">
        <v>0</v>
      </c>
      <c r="S144" s="3">
        <v>0</v>
      </c>
      <c r="T144" s="3">
        <v>21</v>
      </c>
      <c r="U144" s="3">
        <v>61</v>
      </c>
      <c r="V144" s="4">
        <f>IF(ISERROR(VLOOKUP($S$144,'TAR FIN'!$A$1:$O$91,15,0)),0,VLOOKUP($S$144,'TAR FIN'!$A$1:$O$91,15,0))</f>
        <v>0</v>
      </c>
      <c r="W144" s="4">
        <f>IF(ISERROR(VLOOKUP($T$144,'TAR FIN'!$A$1:$O$91,15,0)),0,VLOOKUP($T$144,'TAR FIN'!$A$1:$O$91,15,0))</f>
        <v>192.27</v>
      </c>
      <c r="X144" s="4">
        <f>IF(ISERROR(VLOOKUP($U$144,'TAR FIN'!$A$1:$O$91,15,0)),0,VLOOKUP($U$144,'TAR FIN'!$A$1:$O$91,15,0))</f>
        <v>119.42</v>
      </c>
      <c r="Y144" s="4"/>
      <c r="Z144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4" s="4">
        <f>('TE BE'!$AB$16+'TE BF'!$AB$16+'TE CVA'!$AB$16)*(1-CUSTOS!$M$35)</f>
        <v>123.31397920481668</v>
      </c>
      <c r="AB144" s="4">
        <f t="shared" si="14"/>
        <v>0</v>
      </c>
      <c r="AC144" s="4">
        <f>(L144-M144)*(W144+X144)+($W$184+$X$184-$W$144-$X$144)*(L144)</f>
        <v>14.544600000000003</v>
      </c>
      <c r="AD144" s="4">
        <f t="shared" si="15"/>
        <v>0</v>
      </c>
      <c r="AE144" s="4">
        <f ca="1">(L144-M144)*(Z144+AA144)+($Z$184+$AA$184-$Z$144-$AA$144)*(L144)</f>
        <v>15.246579972330911</v>
      </c>
      <c r="AF144" s="3" t="s">
        <v>778</v>
      </c>
    </row>
    <row r="145" spans="1:32" ht="11.25" customHeight="1" x14ac:dyDescent="0.3">
      <c r="A145" s="3" t="s">
        <v>21</v>
      </c>
      <c r="B145" s="3" t="s">
        <v>22</v>
      </c>
      <c r="C145" s="3" t="s">
        <v>23</v>
      </c>
      <c r="D145" s="3" t="s">
        <v>24</v>
      </c>
      <c r="E145" s="3" t="s">
        <v>30</v>
      </c>
      <c r="F145" s="3" t="s">
        <v>25</v>
      </c>
      <c r="G145" s="3" t="s">
        <v>25</v>
      </c>
      <c r="H145" s="3" t="s">
        <v>25</v>
      </c>
      <c r="I145" s="6">
        <v>44501</v>
      </c>
      <c r="J145" s="4">
        <v>0</v>
      </c>
      <c r="K145" s="4">
        <v>0</v>
      </c>
      <c r="L145" s="4">
        <v>68.765000000000001</v>
      </c>
      <c r="M145" s="4">
        <v>68.765000000000001</v>
      </c>
      <c r="N145" s="4">
        <v>68.765000000000001</v>
      </c>
      <c r="O145" s="4">
        <v>68.765000000000001</v>
      </c>
      <c r="P145" s="4">
        <v>185</v>
      </c>
      <c r="Q145" s="3" t="s">
        <v>26</v>
      </c>
      <c r="R145" s="3">
        <v>0</v>
      </c>
      <c r="S145" s="3">
        <v>0</v>
      </c>
      <c r="T145" s="3">
        <v>21</v>
      </c>
      <c r="U145" s="3">
        <v>61</v>
      </c>
      <c r="V145" s="4">
        <f>IF(ISERROR(VLOOKUP($S$145,'TAR FIN'!$A$1:$O$91,15,0)),0,VLOOKUP($S$145,'TAR FIN'!$A$1:$O$91,15,0))</f>
        <v>0</v>
      </c>
      <c r="W145" s="4">
        <f>IF(ISERROR(VLOOKUP($T$145,'TAR FIN'!$A$1:$O$91,15,0)),0,VLOOKUP($T$145,'TAR FIN'!$A$1:$O$91,15,0))</f>
        <v>192.27</v>
      </c>
      <c r="X145" s="4">
        <f>IF(ISERROR(VLOOKUP($U$145,'TAR FIN'!$A$1:$O$91,15,0)),0,VLOOKUP($U$145,'TAR FIN'!$A$1:$O$91,15,0))</f>
        <v>119.42</v>
      </c>
      <c r="Y145" s="4"/>
      <c r="Z145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5" s="4">
        <f>('TE BE'!$AB$16+'TE BF'!$AB$16+'TE CVA'!$AB$16)*(1-CUSTOS!$M$35)</f>
        <v>123.31397920481668</v>
      </c>
      <c r="AB145" s="4">
        <f t="shared" si="14"/>
        <v>0</v>
      </c>
      <c r="AC145" s="4">
        <f>(L145-M145)*(W145+X145)+($W$184+$X$184-$W$145-$X$145)*(L145)</f>
        <v>14287.991700000002</v>
      </c>
      <c r="AD145" s="4">
        <f t="shared" si="15"/>
        <v>0</v>
      </c>
      <c r="AE145" s="4">
        <f ca="1">(L145-M145)*(Z145+AA145)+($Z$184+$AA$184-$Z$145-$AA$145)*(L145)</f>
        <v>14977.586739961929</v>
      </c>
      <c r="AF145" s="3" t="s">
        <v>778</v>
      </c>
    </row>
    <row r="146" spans="1:32" ht="11.25" customHeight="1" x14ac:dyDescent="0.3">
      <c r="A146" s="3" t="s">
        <v>28</v>
      </c>
      <c r="B146" s="3" t="s">
        <v>22</v>
      </c>
      <c r="C146" s="3" t="s">
        <v>23</v>
      </c>
      <c r="D146" s="3" t="s">
        <v>24</v>
      </c>
      <c r="E146" s="3" t="s">
        <v>30</v>
      </c>
      <c r="F146" s="3" t="s">
        <v>25</v>
      </c>
      <c r="G146" s="3" t="s">
        <v>25</v>
      </c>
      <c r="H146" s="3" t="s">
        <v>25</v>
      </c>
      <c r="I146" s="6">
        <v>44501</v>
      </c>
      <c r="J146" s="4">
        <v>0</v>
      </c>
      <c r="K146" s="4">
        <v>0</v>
      </c>
      <c r="L146" s="4">
        <v>0.14000000000000001</v>
      </c>
      <c r="M146" s="4">
        <v>0.14000000000000001</v>
      </c>
      <c r="N146" s="4">
        <v>0.14000000000000001</v>
      </c>
      <c r="O146" s="4">
        <v>0.14000000000000001</v>
      </c>
      <c r="P146" s="4">
        <v>0</v>
      </c>
      <c r="Q146" s="3" t="s">
        <v>26</v>
      </c>
      <c r="R146" s="3">
        <v>0</v>
      </c>
      <c r="S146" s="3">
        <v>0</v>
      </c>
      <c r="T146" s="3">
        <v>21</v>
      </c>
      <c r="U146" s="3">
        <v>61</v>
      </c>
      <c r="V146" s="4">
        <f>IF(ISERROR(VLOOKUP($S$146,'TAR FIN'!$A$1:$O$91,15,0)),0,VLOOKUP($S$146,'TAR FIN'!$A$1:$O$91,15,0))</f>
        <v>0</v>
      </c>
      <c r="W146" s="4">
        <f>IF(ISERROR(VLOOKUP($T$146,'TAR FIN'!$A$1:$O$91,15,0)),0,VLOOKUP($T$146,'TAR FIN'!$A$1:$O$91,15,0))</f>
        <v>192.27</v>
      </c>
      <c r="X146" s="4">
        <f>IF(ISERROR(VLOOKUP($U$146,'TAR FIN'!$A$1:$O$91,15,0)),0,VLOOKUP($U$146,'TAR FIN'!$A$1:$O$91,15,0))</f>
        <v>119.42</v>
      </c>
      <c r="Y146" s="4"/>
      <c r="Z146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6" s="4">
        <f>('TE BE'!$AB$16+'TE BF'!$AB$16+'TE CVA'!$AB$16)*(1-CUSTOS!$M$35)</f>
        <v>123.31397920481668</v>
      </c>
      <c r="AB146" s="4">
        <f t="shared" si="14"/>
        <v>0</v>
      </c>
      <c r="AC146" s="4">
        <f>(L146-M146)*(W146+X146)+($W$184+$X$184-$W$146-$X$146)*(L146)</f>
        <v>29.089200000000005</v>
      </c>
      <c r="AD146" s="4">
        <f t="shared" si="15"/>
        <v>0</v>
      </c>
      <c r="AE146" s="4">
        <f ca="1">(L146-M146)*(Z146+AA146)+($Z$184+$AA$184-$Z$146-$AA$146)*(L146)</f>
        <v>30.493159944661823</v>
      </c>
      <c r="AF146" s="3" t="s">
        <v>778</v>
      </c>
    </row>
    <row r="147" spans="1:32" ht="11.25" customHeight="1" x14ac:dyDescent="0.3">
      <c r="A147" s="3" t="s">
        <v>21</v>
      </c>
      <c r="B147" s="3" t="s">
        <v>22</v>
      </c>
      <c r="C147" s="3" t="s">
        <v>23</v>
      </c>
      <c r="D147" s="3" t="s">
        <v>24</v>
      </c>
      <c r="E147" s="3" t="s">
        <v>30</v>
      </c>
      <c r="F147" s="3" t="s">
        <v>25</v>
      </c>
      <c r="G147" s="3" t="s">
        <v>25</v>
      </c>
      <c r="H147" s="3" t="s">
        <v>25</v>
      </c>
      <c r="I147" s="6">
        <v>44531</v>
      </c>
      <c r="J147" s="4">
        <v>0</v>
      </c>
      <c r="K147" s="4">
        <v>0</v>
      </c>
      <c r="L147" s="4">
        <v>70.614000000000004</v>
      </c>
      <c r="M147" s="4">
        <v>70.614000000000004</v>
      </c>
      <c r="N147" s="4">
        <v>70.614000000000004</v>
      </c>
      <c r="O147" s="4">
        <v>70.614000000000004</v>
      </c>
      <c r="P147" s="4">
        <v>162</v>
      </c>
      <c r="Q147" s="3" t="s">
        <v>26</v>
      </c>
      <c r="R147" s="3">
        <v>0</v>
      </c>
      <c r="S147" s="3">
        <v>0</v>
      </c>
      <c r="T147" s="3">
        <v>21</v>
      </c>
      <c r="U147" s="3">
        <v>61</v>
      </c>
      <c r="V147" s="4">
        <f>IF(ISERROR(VLOOKUP($S$147,'TAR FIN'!$A$1:$O$91,15,0)),0,VLOOKUP($S$147,'TAR FIN'!$A$1:$O$91,15,0))</f>
        <v>0</v>
      </c>
      <c r="W147" s="4">
        <f>IF(ISERROR(VLOOKUP($T$147,'TAR FIN'!$A$1:$O$91,15,0)),0,VLOOKUP($T$147,'TAR FIN'!$A$1:$O$91,15,0))</f>
        <v>192.27</v>
      </c>
      <c r="X147" s="4">
        <f>IF(ISERROR(VLOOKUP($U$147,'TAR FIN'!$A$1:$O$91,15,0)),0,VLOOKUP($U$147,'TAR FIN'!$A$1:$O$91,15,0))</f>
        <v>119.42</v>
      </c>
      <c r="Y147" s="4"/>
      <c r="Z147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7" s="4">
        <f>('TE BE'!$AB$16+'TE BF'!$AB$16+'TE CVA'!$AB$16)*(1-CUSTOS!$M$35)</f>
        <v>123.31397920481668</v>
      </c>
      <c r="AB147" s="4">
        <f t="shared" si="14"/>
        <v>0</v>
      </c>
      <c r="AC147" s="4">
        <f>(L147-M147)*(W147+X147)+($W$184+$X$184-$W$147-$X$147)*(L147)</f>
        <v>14672.176920000004</v>
      </c>
      <c r="AD147" s="4">
        <f t="shared" si="15"/>
        <v>0</v>
      </c>
      <c r="AE147" s="4">
        <f ca="1">(L147-M147)*(Z147+AA147)+($Z$184+$AA$184-$Z$147-$AA$147)*(L147)</f>
        <v>15380.314259516786</v>
      </c>
      <c r="AF147" s="3" t="s">
        <v>778</v>
      </c>
    </row>
    <row r="148" spans="1:32" ht="11.25" customHeight="1" x14ac:dyDescent="0.3">
      <c r="A148" s="3" t="s">
        <v>28</v>
      </c>
      <c r="B148" s="3" t="s">
        <v>22</v>
      </c>
      <c r="C148" s="3" t="s">
        <v>23</v>
      </c>
      <c r="D148" s="3" t="s">
        <v>24</v>
      </c>
      <c r="E148" s="3" t="s">
        <v>30</v>
      </c>
      <c r="F148" s="3" t="s">
        <v>25</v>
      </c>
      <c r="G148" s="3" t="s">
        <v>25</v>
      </c>
      <c r="H148" s="3" t="s">
        <v>25</v>
      </c>
      <c r="I148" s="6">
        <v>44531</v>
      </c>
      <c r="J148" s="4">
        <v>0</v>
      </c>
      <c r="K148" s="4">
        <v>0</v>
      </c>
      <c r="L148" s="4">
        <v>3.1E-2</v>
      </c>
      <c r="M148" s="4">
        <v>1.8599999999999998E-2</v>
      </c>
      <c r="N148" s="4">
        <v>3.1E-2</v>
      </c>
      <c r="O148" s="4">
        <v>1.8599999999999998E-2</v>
      </c>
      <c r="P148" s="4">
        <v>0</v>
      </c>
      <c r="Q148" s="3" t="s">
        <v>26</v>
      </c>
      <c r="R148" s="3">
        <v>0</v>
      </c>
      <c r="S148" s="3">
        <v>0</v>
      </c>
      <c r="T148" s="3">
        <v>21</v>
      </c>
      <c r="U148" s="3">
        <v>61</v>
      </c>
      <c r="V148" s="4">
        <f>IF(ISERROR(VLOOKUP($S$148,'TAR FIN'!$A$1:$O$91,15,0)),0,VLOOKUP($S$148,'TAR FIN'!$A$1:$O$91,15,0))</f>
        <v>0</v>
      </c>
      <c r="W148" s="4">
        <f>IF(ISERROR(VLOOKUP($T$148,'TAR FIN'!$A$1:$O$91,15,0)),0,VLOOKUP($T$148,'TAR FIN'!$A$1:$O$91,15,0))</f>
        <v>192.27</v>
      </c>
      <c r="X148" s="4">
        <f>IF(ISERROR(VLOOKUP($U$148,'TAR FIN'!$A$1:$O$91,15,0)),0,VLOOKUP($U$148,'TAR FIN'!$A$1:$O$91,15,0))</f>
        <v>119.42</v>
      </c>
      <c r="Y148" s="4"/>
      <c r="Z148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8" s="4">
        <f>('TE BE'!$AB$16+'TE BF'!$AB$16+'TE CVA'!$AB$16)*(1-CUSTOS!$M$35)</f>
        <v>123.31397920481668</v>
      </c>
      <c r="AB148" s="4">
        <f t="shared" si="14"/>
        <v>0</v>
      </c>
      <c r="AC148" s="4">
        <f>(L148-M148)*(W148+X148)+($W$184+$X$184-$W$148-$X$148)*(L148)</f>
        <v>10.306136000000002</v>
      </c>
      <c r="AD148" s="4">
        <f t="shared" si="15"/>
        <v>0</v>
      </c>
      <c r="AE148" s="4">
        <f ca="1">(L148-M148)*(Z148+AA148)+($Z$184+$AA$184-$Z$148-$AA$148)*(L148)</f>
        <v>10.803290951823044</v>
      </c>
      <c r="AF148" s="3" t="s">
        <v>778</v>
      </c>
    </row>
    <row r="149" spans="1:32" ht="11.25" customHeight="1" x14ac:dyDescent="0.3">
      <c r="A149" s="3" t="s">
        <v>21</v>
      </c>
      <c r="B149" s="3" t="s">
        <v>22</v>
      </c>
      <c r="C149" s="3" t="s">
        <v>23</v>
      </c>
      <c r="D149" s="3" t="s">
        <v>24</v>
      </c>
      <c r="E149" s="3" t="s">
        <v>30</v>
      </c>
      <c r="F149" s="3" t="s">
        <v>25</v>
      </c>
      <c r="G149" s="3" t="s">
        <v>25</v>
      </c>
      <c r="H149" s="3" t="s">
        <v>25</v>
      </c>
      <c r="I149" s="6">
        <v>44562</v>
      </c>
      <c r="J149" s="4">
        <v>0</v>
      </c>
      <c r="K149" s="4">
        <v>0</v>
      </c>
      <c r="L149" s="4">
        <v>73.241</v>
      </c>
      <c r="M149" s="4">
        <v>73.241</v>
      </c>
      <c r="N149" s="4">
        <v>73.241</v>
      </c>
      <c r="O149" s="4">
        <v>73.241</v>
      </c>
      <c r="P149" s="4">
        <v>122</v>
      </c>
      <c r="Q149" s="3" t="s">
        <v>26</v>
      </c>
      <c r="R149" s="3">
        <v>0</v>
      </c>
      <c r="S149" s="3">
        <v>0</v>
      </c>
      <c r="T149" s="3">
        <v>21</v>
      </c>
      <c r="U149" s="3">
        <v>61</v>
      </c>
      <c r="V149" s="4">
        <f>IF(ISERROR(VLOOKUP($S$149,'TAR FIN'!$A$1:$O$91,15,0)),0,VLOOKUP($S$149,'TAR FIN'!$A$1:$O$91,15,0))</f>
        <v>0</v>
      </c>
      <c r="W149" s="4">
        <f>IF(ISERROR(VLOOKUP($T$149,'TAR FIN'!$A$1:$O$91,15,0)),0,VLOOKUP($T$149,'TAR FIN'!$A$1:$O$91,15,0))</f>
        <v>192.27</v>
      </c>
      <c r="X149" s="4">
        <f>IF(ISERROR(VLOOKUP($U$149,'TAR FIN'!$A$1:$O$91,15,0)),0,VLOOKUP($U$149,'TAR FIN'!$A$1:$O$91,15,0))</f>
        <v>119.42</v>
      </c>
      <c r="Y149" s="4"/>
      <c r="Z149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49" s="4">
        <f>('TE BE'!$AB$16+'TE BF'!$AB$16+'TE CVA'!$AB$16)*(1-CUSTOS!$M$35)</f>
        <v>123.31397920481668</v>
      </c>
      <c r="AB149" s="4">
        <f t="shared" si="14"/>
        <v>0</v>
      </c>
      <c r="AC149" s="4">
        <f>(L149-M149)*(W149+X149)+($W$184+$X$184-$W$149-$X$149)*(L149)</f>
        <v>15218.014980000002</v>
      </c>
      <c r="AD149" s="4">
        <f t="shared" si="15"/>
        <v>0</v>
      </c>
      <c r="AE149" s="4">
        <f ca="1">(L149-M149)*(Z149+AA149)+($Z$184+$AA$184-$Z$149-$AA$149)*(L149)</f>
        <v>15952.496625049831</v>
      </c>
      <c r="AF149" s="3" t="s">
        <v>778</v>
      </c>
    </row>
    <row r="150" spans="1:32" ht="11.25" customHeight="1" x14ac:dyDescent="0.3">
      <c r="A150" s="3" t="s">
        <v>28</v>
      </c>
      <c r="B150" s="3" t="s">
        <v>22</v>
      </c>
      <c r="C150" s="3" t="s">
        <v>23</v>
      </c>
      <c r="D150" s="3" t="s">
        <v>24</v>
      </c>
      <c r="E150" s="3" t="s">
        <v>30</v>
      </c>
      <c r="F150" s="3" t="s">
        <v>25</v>
      </c>
      <c r="G150" s="3" t="s">
        <v>25</v>
      </c>
      <c r="H150" s="3" t="s">
        <v>25</v>
      </c>
      <c r="I150" s="6">
        <v>44562</v>
      </c>
      <c r="J150" s="4">
        <v>0</v>
      </c>
      <c r="K150" s="4">
        <v>0</v>
      </c>
      <c r="L150" s="4">
        <v>7.0000000000000007E-2</v>
      </c>
      <c r="M150" s="4">
        <v>4.2000000000000003E-2</v>
      </c>
      <c r="N150" s="4">
        <v>7.0000000000000007E-2</v>
      </c>
      <c r="O150" s="4">
        <v>4.2000000000000003E-2</v>
      </c>
      <c r="P150" s="4">
        <v>0</v>
      </c>
      <c r="Q150" s="3" t="s">
        <v>26</v>
      </c>
      <c r="R150" s="3">
        <v>0</v>
      </c>
      <c r="S150" s="3">
        <v>0</v>
      </c>
      <c r="T150" s="3">
        <v>21</v>
      </c>
      <c r="U150" s="3">
        <v>61</v>
      </c>
      <c r="V150" s="4">
        <f>IF(ISERROR(VLOOKUP($S$150,'TAR FIN'!$A$1:$O$91,15,0)),0,VLOOKUP($S$150,'TAR FIN'!$A$1:$O$91,15,0))</f>
        <v>0</v>
      </c>
      <c r="W150" s="4">
        <f>IF(ISERROR(VLOOKUP($T$150,'TAR FIN'!$A$1:$O$91,15,0)),0,VLOOKUP($T$150,'TAR FIN'!$A$1:$O$91,15,0))</f>
        <v>192.27</v>
      </c>
      <c r="X150" s="4">
        <f>IF(ISERROR(VLOOKUP($U$150,'TAR FIN'!$A$1:$O$91,15,0)),0,VLOOKUP($U$150,'TAR FIN'!$A$1:$O$91,15,0))</f>
        <v>119.42</v>
      </c>
      <c r="Y150" s="4"/>
      <c r="Z150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0" s="4">
        <f>('TE BE'!$AB$16+'TE BF'!$AB$16+'TE CVA'!$AB$16)*(1-CUSTOS!$M$35)</f>
        <v>123.31397920481668</v>
      </c>
      <c r="AB150" s="4">
        <f t="shared" si="14"/>
        <v>0</v>
      </c>
      <c r="AC150" s="4">
        <f>(L150-M150)*(W150+X150)+($W$184+$X$184-$W$150-$X$150)*(L150)</f>
        <v>23.271920000000001</v>
      </c>
      <c r="AD150" s="4">
        <f t="shared" si="15"/>
        <v>0</v>
      </c>
      <c r="AE150" s="4">
        <f ca="1">(L150-M150)*(Z150+AA150)+($Z$184+$AA$184-$Z$150-$AA$150)*(L150)</f>
        <v>24.394527955729458</v>
      </c>
      <c r="AF150" s="3" t="s">
        <v>778</v>
      </c>
    </row>
    <row r="151" spans="1:32" ht="11.25" customHeight="1" x14ac:dyDescent="0.3">
      <c r="A151" s="3" t="s">
        <v>21</v>
      </c>
      <c r="B151" s="3" t="s">
        <v>22</v>
      </c>
      <c r="C151" s="3" t="s">
        <v>23</v>
      </c>
      <c r="D151" s="3" t="s">
        <v>24</v>
      </c>
      <c r="E151" s="3" t="s">
        <v>30</v>
      </c>
      <c r="F151" s="3" t="s">
        <v>25</v>
      </c>
      <c r="G151" s="3" t="s">
        <v>25</v>
      </c>
      <c r="H151" s="3" t="s">
        <v>25</v>
      </c>
      <c r="I151" s="6">
        <v>44593</v>
      </c>
      <c r="J151" s="4">
        <v>0</v>
      </c>
      <c r="K151" s="4">
        <v>0</v>
      </c>
      <c r="L151" s="4">
        <v>74.933000000000007</v>
      </c>
      <c r="M151" s="4">
        <v>74.933000000000007</v>
      </c>
      <c r="N151" s="4">
        <v>74.933000000000007</v>
      </c>
      <c r="O151" s="4">
        <v>74.933000000000007</v>
      </c>
      <c r="P151" s="4">
        <v>103</v>
      </c>
      <c r="Q151" s="3" t="s">
        <v>26</v>
      </c>
      <c r="R151" s="3">
        <v>0</v>
      </c>
      <c r="S151" s="3">
        <v>0</v>
      </c>
      <c r="T151" s="3">
        <v>21</v>
      </c>
      <c r="U151" s="3">
        <v>61</v>
      </c>
      <c r="V151" s="4">
        <f>IF(ISERROR(VLOOKUP($S$151,'TAR FIN'!$A$1:$O$91,15,0)),0,VLOOKUP($S$151,'TAR FIN'!$A$1:$O$91,15,0))</f>
        <v>0</v>
      </c>
      <c r="W151" s="4">
        <f>IF(ISERROR(VLOOKUP($T$151,'TAR FIN'!$A$1:$O$91,15,0)),0,VLOOKUP($T$151,'TAR FIN'!$A$1:$O$91,15,0))</f>
        <v>192.27</v>
      </c>
      <c r="X151" s="4">
        <f>IF(ISERROR(VLOOKUP($U$151,'TAR FIN'!$A$1:$O$91,15,0)),0,VLOOKUP($U$151,'TAR FIN'!$A$1:$O$91,15,0))</f>
        <v>119.42</v>
      </c>
      <c r="Y151" s="4"/>
      <c r="Z151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1" s="4">
        <f>('TE BE'!$AB$16+'TE BF'!$AB$16+'TE CVA'!$AB$16)*(1-CUSTOS!$M$35)</f>
        <v>123.31397920481668</v>
      </c>
      <c r="AB151" s="4">
        <f t="shared" si="14"/>
        <v>0</v>
      </c>
      <c r="AC151" s="4">
        <f>(L151-M151)*(W151+X151)+($W$184+$X$184-$W$151-$X$151)*(L151)</f>
        <v>15569.578740000004</v>
      </c>
      <c r="AD151" s="4">
        <f t="shared" si="15"/>
        <v>0</v>
      </c>
      <c r="AE151" s="4">
        <f ca="1">(L151-M151)*(Z151+AA151)+($Z$184+$AA$184-$Z$151-$AA$151)*(L151)</f>
        <v>16321.028243809604</v>
      </c>
      <c r="AF151" s="3" t="s">
        <v>778</v>
      </c>
    </row>
    <row r="152" spans="1:32" ht="11.25" customHeight="1" x14ac:dyDescent="0.3">
      <c r="A152" s="3" t="s">
        <v>28</v>
      </c>
      <c r="B152" s="3" t="s">
        <v>22</v>
      </c>
      <c r="C152" s="3" t="s">
        <v>23</v>
      </c>
      <c r="D152" s="3" t="s">
        <v>24</v>
      </c>
      <c r="E152" s="3" t="s">
        <v>30</v>
      </c>
      <c r="F152" s="3" t="s">
        <v>25</v>
      </c>
      <c r="G152" s="3" t="s">
        <v>25</v>
      </c>
      <c r="H152" s="3" t="s">
        <v>25</v>
      </c>
      <c r="I152" s="6">
        <v>44593</v>
      </c>
      <c r="J152" s="4">
        <v>0</v>
      </c>
      <c r="K152" s="4">
        <v>0</v>
      </c>
      <c r="L152" s="4">
        <v>7.0000000000000007E-2</v>
      </c>
      <c r="M152" s="4">
        <v>4.2000000000000003E-2</v>
      </c>
      <c r="N152" s="4">
        <v>7.0000000000000007E-2</v>
      </c>
      <c r="O152" s="4">
        <v>4.2000000000000003E-2</v>
      </c>
      <c r="P152" s="4">
        <v>0</v>
      </c>
      <c r="Q152" s="3" t="s">
        <v>26</v>
      </c>
      <c r="R152" s="3">
        <v>0</v>
      </c>
      <c r="S152" s="3">
        <v>0</v>
      </c>
      <c r="T152" s="3">
        <v>21</v>
      </c>
      <c r="U152" s="3">
        <v>61</v>
      </c>
      <c r="V152" s="4">
        <f>IF(ISERROR(VLOOKUP($S$152,'TAR FIN'!$A$1:$O$91,15,0)),0,VLOOKUP($S$152,'TAR FIN'!$A$1:$O$91,15,0))</f>
        <v>0</v>
      </c>
      <c r="W152" s="4">
        <f>IF(ISERROR(VLOOKUP($T$152,'TAR FIN'!$A$1:$O$91,15,0)),0,VLOOKUP($T$152,'TAR FIN'!$A$1:$O$91,15,0))</f>
        <v>192.27</v>
      </c>
      <c r="X152" s="4">
        <f>IF(ISERROR(VLOOKUP($U$152,'TAR FIN'!$A$1:$O$91,15,0)),0,VLOOKUP($U$152,'TAR FIN'!$A$1:$O$91,15,0))</f>
        <v>119.42</v>
      </c>
      <c r="Y152" s="4"/>
      <c r="Z152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2" s="4">
        <f>('TE BE'!$AB$16+'TE BF'!$AB$16+'TE CVA'!$AB$16)*(1-CUSTOS!$M$35)</f>
        <v>123.31397920481668</v>
      </c>
      <c r="AB152" s="4">
        <f t="shared" si="14"/>
        <v>0</v>
      </c>
      <c r="AC152" s="4">
        <f>(L152-M152)*(W152+X152)+($W$184+$X$184-$W$152-$X$152)*(L152)</f>
        <v>23.271920000000001</v>
      </c>
      <c r="AD152" s="4">
        <f t="shared" si="15"/>
        <v>0</v>
      </c>
      <c r="AE152" s="4">
        <f ca="1">(L152-M152)*(Z152+AA152)+($Z$184+$AA$184-$Z$152-$AA$152)*(L152)</f>
        <v>24.394527955729458</v>
      </c>
      <c r="AF152" s="3" t="s">
        <v>778</v>
      </c>
    </row>
    <row r="153" spans="1:32" ht="11.25" customHeight="1" x14ac:dyDescent="0.3">
      <c r="A153" s="3" t="s">
        <v>21</v>
      </c>
      <c r="B153" s="3" t="s">
        <v>22</v>
      </c>
      <c r="C153" s="3" t="s">
        <v>23</v>
      </c>
      <c r="D153" s="3" t="s">
        <v>24</v>
      </c>
      <c r="E153" s="3" t="s">
        <v>30</v>
      </c>
      <c r="F153" s="3" t="s">
        <v>25</v>
      </c>
      <c r="G153" s="3" t="s">
        <v>25</v>
      </c>
      <c r="H153" s="3" t="s">
        <v>25</v>
      </c>
      <c r="I153" s="6">
        <v>44621</v>
      </c>
      <c r="J153" s="4">
        <v>0</v>
      </c>
      <c r="K153" s="4">
        <v>0</v>
      </c>
      <c r="L153" s="4">
        <v>75.010000000000005</v>
      </c>
      <c r="M153" s="4">
        <v>75.010000000000005</v>
      </c>
      <c r="N153" s="4">
        <v>75.010000000000005</v>
      </c>
      <c r="O153" s="4">
        <v>75.010000000000005</v>
      </c>
      <c r="P153" s="4">
        <v>138</v>
      </c>
      <c r="Q153" s="3" t="s">
        <v>26</v>
      </c>
      <c r="R153" s="3">
        <v>0</v>
      </c>
      <c r="S153" s="3">
        <v>0</v>
      </c>
      <c r="T153" s="3">
        <v>21</v>
      </c>
      <c r="U153" s="3">
        <v>61</v>
      </c>
      <c r="V153" s="4">
        <f>IF(ISERROR(VLOOKUP($S$153,'TAR FIN'!$A$1:$O$91,15,0)),0,VLOOKUP($S$153,'TAR FIN'!$A$1:$O$91,15,0))</f>
        <v>0</v>
      </c>
      <c r="W153" s="4">
        <f>IF(ISERROR(VLOOKUP($T$153,'TAR FIN'!$A$1:$O$91,15,0)),0,VLOOKUP($T$153,'TAR FIN'!$A$1:$O$91,15,0))</f>
        <v>192.27</v>
      </c>
      <c r="X153" s="4">
        <f>IF(ISERROR(VLOOKUP($U$153,'TAR FIN'!$A$1:$O$91,15,0)),0,VLOOKUP($U$153,'TAR FIN'!$A$1:$O$91,15,0))</f>
        <v>119.42</v>
      </c>
      <c r="Y153" s="4"/>
      <c r="Z153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3" s="4">
        <f>('TE BE'!$AB$16+'TE BF'!$AB$16+'TE CVA'!$AB$16)*(1-CUSTOS!$M$35)</f>
        <v>123.31397920481668</v>
      </c>
      <c r="AB153" s="4">
        <f t="shared" si="14"/>
        <v>0</v>
      </c>
      <c r="AC153" s="4">
        <f>(L153-M153)*(W153+X153)+($W$184+$X$184-$W$153-$X$153)*(L153)</f>
        <v>15585.577800000003</v>
      </c>
      <c r="AD153" s="4">
        <f t="shared" si="15"/>
        <v>0</v>
      </c>
      <c r="AE153" s="4">
        <f ca="1">(L153-M153)*(Z153+AA153)+($Z$184+$AA$184-$Z$153-$AA$153)*(L153)</f>
        <v>16337.799481779168</v>
      </c>
      <c r="AF153" s="3" t="s">
        <v>778</v>
      </c>
    </row>
    <row r="154" spans="1:32" ht="11.25" customHeight="1" x14ac:dyDescent="0.3">
      <c r="A154" s="3" t="s">
        <v>28</v>
      </c>
      <c r="B154" s="3" t="s">
        <v>22</v>
      </c>
      <c r="C154" s="3" t="s">
        <v>23</v>
      </c>
      <c r="D154" s="3" t="s">
        <v>24</v>
      </c>
      <c r="E154" s="3" t="s">
        <v>30</v>
      </c>
      <c r="F154" s="3" t="s">
        <v>25</v>
      </c>
      <c r="G154" s="3" t="s">
        <v>25</v>
      </c>
      <c r="H154" s="3" t="s">
        <v>25</v>
      </c>
      <c r="I154" s="6">
        <v>44621</v>
      </c>
      <c r="J154" s="4">
        <v>0</v>
      </c>
      <c r="K154" s="4">
        <v>0</v>
      </c>
      <c r="L154" s="4">
        <v>7.0000000000000007E-2</v>
      </c>
      <c r="M154" s="4">
        <v>4.2000000000000003E-2</v>
      </c>
      <c r="N154" s="4">
        <v>7.0000000000000007E-2</v>
      </c>
      <c r="O154" s="4">
        <v>4.2000000000000003E-2</v>
      </c>
      <c r="P154" s="4">
        <v>0</v>
      </c>
      <c r="Q154" s="3" t="s">
        <v>26</v>
      </c>
      <c r="R154" s="3">
        <v>0</v>
      </c>
      <c r="S154" s="3">
        <v>0</v>
      </c>
      <c r="T154" s="3">
        <v>21</v>
      </c>
      <c r="U154" s="3">
        <v>61</v>
      </c>
      <c r="V154" s="4">
        <f>IF(ISERROR(VLOOKUP($S$154,'TAR FIN'!$A$1:$O$91,15,0)),0,VLOOKUP($S$154,'TAR FIN'!$A$1:$O$91,15,0))</f>
        <v>0</v>
      </c>
      <c r="W154" s="4">
        <f>IF(ISERROR(VLOOKUP($T$154,'TAR FIN'!$A$1:$O$91,15,0)),0,VLOOKUP($T$154,'TAR FIN'!$A$1:$O$91,15,0))</f>
        <v>192.27</v>
      </c>
      <c r="X154" s="4">
        <f>IF(ISERROR(VLOOKUP($U$154,'TAR FIN'!$A$1:$O$91,15,0)),0,VLOOKUP($U$154,'TAR FIN'!$A$1:$O$91,15,0))</f>
        <v>119.42</v>
      </c>
      <c r="Y154" s="4"/>
      <c r="Z154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4" s="4">
        <f>('TE BE'!$AB$16+'TE BF'!$AB$16+'TE CVA'!$AB$16)*(1-CUSTOS!$M$35)</f>
        <v>123.31397920481668</v>
      </c>
      <c r="AB154" s="4">
        <f t="shared" si="14"/>
        <v>0</v>
      </c>
      <c r="AC154" s="4">
        <f>(L154-M154)*(W154+X154)+($W$184+$X$184-$W$154-$X$154)*(L154)</f>
        <v>23.271920000000001</v>
      </c>
      <c r="AD154" s="4">
        <f t="shared" si="15"/>
        <v>0</v>
      </c>
      <c r="AE154" s="4">
        <f ca="1">(L154-M154)*(Z154+AA154)+($Z$184+$AA$184-$Z$154-$AA$154)*(L154)</f>
        <v>24.394527955729458</v>
      </c>
      <c r="AF154" s="3" t="s">
        <v>778</v>
      </c>
    </row>
    <row r="155" spans="1:32" ht="11.25" customHeight="1" x14ac:dyDescent="0.3">
      <c r="A155" s="3" t="s">
        <v>21</v>
      </c>
      <c r="B155" s="3" t="s">
        <v>22</v>
      </c>
      <c r="C155" s="3" t="s">
        <v>23</v>
      </c>
      <c r="D155" s="3" t="s">
        <v>24</v>
      </c>
      <c r="E155" s="3" t="s">
        <v>30</v>
      </c>
      <c r="F155" s="3" t="s">
        <v>25</v>
      </c>
      <c r="G155" s="3" t="s">
        <v>25</v>
      </c>
      <c r="H155" s="3" t="s">
        <v>25</v>
      </c>
      <c r="I155" s="6">
        <v>44652</v>
      </c>
      <c r="J155" s="4">
        <v>0</v>
      </c>
      <c r="K155" s="4">
        <v>0</v>
      </c>
      <c r="L155" s="4">
        <v>73.043000000000006</v>
      </c>
      <c r="M155" s="4">
        <v>73.043000000000006</v>
      </c>
      <c r="N155" s="4">
        <v>73.043000000000006</v>
      </c>
      <c r="O155" s="4">
        <v>73.043000000000006</v>
      </c>
      <c r="P155" s="4">
        <v>265</v>
      </c>
      <c r="Q155" s="3" t="s">
        <v>26</v>
      </c>
      <c r="R155" s="3">
        <v>0</v>
      </c>
      <c r="S155" s="3">
        <v>0</v>
      </c>
      <c r="T155" s="3">
        <v>21</v>
      </c>
      <c r="U155" s="3">
        <v>61</v>
      </c>
      <c r="V155" s="4">
        <f>IF(ISERROR(VLOOKUP($S$155,'TAR FIN'!$A$1:$O$91,15,0)),0,VLOOKUP($S$155,'TAR FIN'!$A$1:$O$91,15,0))</f>
        <v>0</v>
      </c>
      <c r="W155" s="4">
        <f>IF(ISERROR(VLOOKUP($T$155,'TAR FIN'!$A$1:$O$91,15,0)),0,VLOOKUP($T$155,'TAR FIN'!$A$1:$O$91,15,0))</f>
        <v>192.27</v>
      </c>
      <c r="X155" s="4">
        <f>IF(ISERROR(VLOOKUP($U$155,'TAR FIN'!$A$1:$O$91,15,0)),0,VLOOKUP($U$155,'TAR FIN'!$A$1:$O$91,15,0))</f>
        <v>119.42</v>
      </c>
      <c r="Y155" s="4"/>
      <c r="Z155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5" s="4">
        <f>('TE BE'!$AB$16+'TE BF'!$AB$16+'TE CVA'!$AB$16)*(1-CUSTOS!$M$35)</f>
        <v>123.31397920481668</v>
      </c>
      <c r="AB155" s="4">
        <f t="shared" si="14"/>
        <v>0</v>
      </c>
      <c r="AC155" s="4">
        <f>(L155-M155)*(W155+X155)+($W$184+$X$184-$W$155-$X$155)*(L155)</f>
        <v>15176.874540000004</v>
      </c>
      <c r="AD155" s="4">
        <f t="shared" si="15"/>
        <v>0</v>
      </c>
      <c r="AE155" s="4">
        <f ca="1">(L155-M155)*(Z155+AA155)+($Z$184+$AA$184-$Z$155-$AA$155)*(L155)</f>
        <v>15909.370584556669</v>
      </c>
      <c r="AF155" s="3" t="s">
        <v>778</v>
      </c>
    </row>
    <row r="156" spans="1:32" ht="11.25" customHeight="1" x14ac:dyDescent="0.3">
      <c r="A156" s="3" t="s">
        <v>28</v>
      </c>
      <c r="B156" s="3" t="s">
        <v>22</v>
      </c>
      <c r="C156" s="3" t="s">
        <v>23</v>
      </c>
      <c r="D156" s="3" t="s">
        <v>24</v>
      </c>
      <c r="E156" s="3" t="s">
        <v>30</v>
      </c>
      <c r="F156" s="3" t="s">
        <v>25</v>
      </c>
      <c r="G156" s="3" t="s">
        <v>25</v>
      </c>
      <c r="H156" s="3" t="s">
        <v>25</v>
      </c>
      <c r="I156" s="6">
        <v>44652</v>
      </c>
      <c r="J156" s="4">
        <v>0</v>
      </c>
      <c r="K156" s="4">
        <v>0</v>
      </c>
      <c r="L156" s="4">
        <v>5.8999999999999997E-2</v>
      </c>
      <c r="M156" s="4">
        <v>3.5400000000000001E-2</v>
      </c>
      <c r="N156" s="4">
        <v>5.8999999999999997E-2</v>
      </c>
      <c r="O156" s="4">
        <v>3.5400000000000001E-2</v>
      </c>
      <c r="P156" s="4">
        <v>0</v>
      </c>
      <c r="Q156" s="3" t="s">
        <v>26</v>
      </c>
      <c r="R156" s="3">
        <v>0</v>
      </c>
      <c r="S156" s="3">
        <v>0</v>
      </c>
      <c r="T156" s="3">
        <v>21</v>
      </c>
      <c r="U156" s="3">
        <v>61</v>
      </c>
      <c r="V156" s="4">
        <f>IF(ISERROR(VLOOKUP($S$156,'TAR FIN'!$A$1:$O$91,15,0)),0,VLOOKUP($S$156,'TAR FIN'!$A$1:$O$91,15,0))</f>
        <v>0</v>
      </c>
      <c r="W156" s="4">
        <f>IF(ISERROR(VLOOKUP($T$156,'TAR FIN'!$A$1:$O$91,15,0)),0,VLOOKUP($T$156,'TAR FIN'!$A$1:$O$91,15,0))</f>
        <v>192.27</v>
      </c>
      <c r="X156" s="4">
        <f>IF(ISERROR(VLOOKUP($U$156,'TAR FIN'!$A$1:$O$91,15,0)),0,VLOOKUP($U$156,'TAR FIN'!$A$1:$O$91,15,0))</f>
        <v>119.42</v>
      </c>
      <c r="Y156" s="4"/>
      <c r="Z156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6" s="4">
        <f>('TE BE'!$AB$16+'TE BF'!$AB$16+'TE CVA'!$AB$16)*(1-CUSTOS!$M$35)</f>
        <v>123.31397920481668</v>
      </c>
      <c r="AB156" s="4">
        <f t="shared" si="14"/>
        <v>0</v>
      </c>
      <c r="AC156" s="4">
        <f>(L156-M156)*(W156+X156)+($W$184+$X$184-$W$156-$X$156)*(L156)</f>
        <v>19.614903999999999</v>
      </c>
      <c r="AD156" s="4">
        <f t="shared" si="15"/>
        <v>0</v>
      </c>
      <c r="AE156" s="4">
        <f ca="1">(L156-M156)*(Z156+AA156)+($Z$184+$AA$184-$Z$156-$AA$156)*(L156)</f>
        <v>20.561102134114826</v>
      </c>
      <c r="AF156" s="3" t="s">
        <v>778</v>
      </c>
    </row>
    <row r="157" spans="1:32" ht="11.25" customHeight="1" x14ac:dyDescent="0.3">
      <c r="A157" s="3" t="s">
        <v>21</v>
      </c>
      <c r="B157" s="3" t="s">
        <v>22</v>
      </c>
      <c r="C157" s="3" t="s">
        <v>23</v>
      </c>
      <c r="D157" s="3" t="s">
        <v>24</v>
      </c>
      <c r="E157" s="3" t="s">
        <v>30</v>
      </c>
      <c r="F157" s="3" t="s">
        <v>25</v>
      </c>
      <c r="G157" s="3" t="s">
        <v>25</v>
      </c>
      <c r="H157" s="3" t="s">
        <v>25</v>
      </c>
      <c r="I157" s="6">
        <v>44682</v>
      </c>
      <c r="J157" s="4">
        <v>0</v>
      </c>
      <c r="K157" s="4">
        <v>0</v>
      </c>
      <c r="L157" s="4">
        <v>90.843999999999994</v>
      </c>
      <c r="M157" s="4">
        <v>90.843999999999994</v>
      </c>
      <c r="N157" s="4">
        <v>90.843999999999994</v>
      </c>
      <c r="O157" s="4">
        <v>90.843999999999994</v>
      </c>
      <c r="P157" s="4">
        <v>370</v>
      </c>
      <c r="Q157" s="3" t="s">
        <v>26</v>
      </c>
      <c r="R157" s="3">
        <v>0</v>
      </c>
      <c r="S157" s="3">
        <v>0</v>
      </c>
      <c r="T157" s="3">
        <v>21</v>
      </c>
      <c r="U157" s="3">
        <v>61</v>
      </c>
      <c r="V157" s="4">
        <f>IF(ISERROR(VLOOKUP($S$157,'TAR FIN'!$A$1:$O$91,15,0)),0,VLOOKUP($S$157,'TAR FIN'!$A$1:$O$91,15,0))</f>
        <v>0</v>
      </c>
      <c r="W157" s="4">
        <f>IF(ISERROR(VLOOKUP($T$157,'TAR FIN'!$A$1:$O$91,15,0)),0,VLOOKUP($T$157,'TAR FIN'!$A$1:$O$91,15,0))</f>
        <v>192.27</v>
      </c>
      <c r="X157" s="4">
        <f>IF(ISERROR(VLOOKUP($U$157,'TAR FIN'!$A$1:$O$91,15,0)),0,VLOOKUP($U$157,'TAR FIN'!$A$1:$O$91,15,0))</f>
        <v>119.42</v>
      </c>
      <c r="Y157" s="4"/>
      <c r="Z157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7" s="4">
        <f>('TE BE'!$AB$16+'TE BF'!$AB$16+'TE CVA'!$AB$16)*(1-CUSTOS!$M$35)</f>
        <v>123.31397920481668</v>
      </c>
      <c r="AB157" s="4">
        <f t="shared" si="14"/>
        <v>0</v>
      </c>
      <c r="AC157" s="4">
        <f>(L157-M157)*(W157+X157)+($W$184+$X$184-$W$157-$X$157)*(L157)</f>
        <v>18875.566320000002</v>
      </c>
      <c r="AD157" s="4">
        <f t="shared" si="15"/>
        <v>0</v>
      </c>
      <c r="AE157" s="4">
        <f ca="1">(L157-M157)*(Z157+AA157)+($Z$184+$AA$184-$Z$157-$AA$157)*(L157)</f>
        <v>19786.575871520417</v>
      </c>
      <c r="AF157" s="3" t="s">
        <v>778</v>
      </c>
    </row>
    <row r="158" spans="1:32" ht="11.25" customHeight="1" x14ac:dyDescent="0.3">
      <c r="A158" s="3" t="s">
        <v>28</v>
      </c>
      <c r="B158" s="3" t="s">
        <v>22</v>
      </c>
      <c r="C158" s="3" t="s">
        <v>23</v>
      </c>
      <c r="D158" s="3" t="s">
        <v>24</v>
      </c>
      <c r="E158" s="3" t="s">
        <v>30</v>
      </c>
      <c r="F158" s="3" t="s">
        <v>25</v>
      </c>
      <c r="G158" s="3" t="s">
        <v>25</v>
      </c>
      <c r="H158" s="3" t="s">
        <v>25</v>
      </c>
      <c r="I158" s="6">
        <v>44682</v>
      </c>
      <c r="J158" s="4">
        <v>0</v>
      </c>
      <c r="K158" s="4">
        <v>0</v>
      </c>
      <c r="L158" s="4">
        <v>7.0000000000000007E-2</v>
      </c>
      <c r="M158" s="4">
        <v>4.2000000000000003E-2</v>
      </c>
      <c r="N158" s="4">
        <v>7.0000000000000007E-2</v>
      </c>
      <c r="O158" s="4">
        <v>4.2000000000000003E-2</v>
      </c>
      <c r="P158" s="4">
        <v>0</v>
      </c>
      <c r="Q158" s="3" t="s">
        <v>26</v>
      </c>
      <c r="R158" s="3">
        <v>0</v>
      </c>
      <c r="S158" s="3">
        <v>0</v>
      </c>
      <c r="T158" s="3">
        <v>21</v>
      </c>
      <c r="U158" s="3">
        <v>61</v>
      </c>
      <c r="V158" s="4">
        <f>IF(ISERROR(VLOOKUP($S$158,'TAR FIN'!$A$1:$O$91,15,0)),0,VLOOKUP($S$158,'TAR FIN'!$A$1:$O$91,15,0))</f>
        <v>0</v>
      </c>
      <c r="W158" s="4">
        <f>IF(ISERROR(VLOOKUP($T$158,'TAR FIN'!$A$1:$O$91,15,0)),0,VLOOKUP($T$158,'TAR FIN'!$A$1:$O$91,15,0))</f>
        <v>192.27</v>
      </c>
      <c r="X158" s="4">
        <f>IF(ISERROR(VLOOKUP($U$158,'TAR FIN'!$A$1:$O$91,15,0)),0,VLOOKUP($U$158,'TAR FIN'!$A$1:$O$91,15,0))</f>
        <v>119.42</v>
      </c>
      <c r="Y158" s="4"/>
      <c r="Z158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8" s="4">
        <f>('TE BE'!$AB$16+'TE BF'!$AB$16+'TE CVA'!$AB$16)*(1-CUSTOS!$M$35)</f>
        <v>123.31397920481668</v>
      </c>
      <c r="AB158" s="4">
        <f t="shared" si="14"/>
        <v>0</v>
      </c>
      <c r="AC158" s="4">
        <f>(L158-M158)*(W158+X158)+($W$184+$X$184-$W$158-$X$158)*(L158)</f>
        <v>23.271920000000001</v>
      </c>
      <c r="AD158" s="4">
        <f t="shared" si="15"/>
        <v>0</v>
      </c>
      <c r="AE158" s="4">
        <f ca="1">(L158-M158)*(Z158+AA158)+($Z$184+$AA$184-$Z$158-$AA$158)*(L158)</f>
        <v>24.394527955729458</v>
      </c>
      <c r="AF158" s="3" t="s">
        <v>778</v>
      </c>
    </row>
    <row r="159" spans="1:32" ht="11.25" customHeight="1" x14ac:dyDescent="0.3">
      <c r="A159" s="3" t="s">
        <v>21</v>
      </c>
      <c r="B159" s="3" t="s">
        <v>22</v>
      </c>
      <c r="C159" s="3" t="s">
        <v>23</v>
      </c>
      <c r="D159" s="3" t="s">
        <v>24</v>
      </c>
      <c r="E159" s="3" t="s">
        <v>30</v>
      </c>
      <c r="F159" s="3" t="s">
        <v>25</v>
      </c>
      <c r="G159" s="3" t="s">
        <v>25</v>
      </c>
      <c r="H159" s="3" t="s">
        <v>25</v>
      </c>
      <c r="I159" s="6">
        <v>44713</v>
      </c>
      <c r="J159" s="4">
        <v>0</v>
      </c>
      <c r="K159" s="4">
        <v>0</v>
      </c>
      <c r="L159" s="4">
        <v>88.426000000000002</v>
      </c>
      <c r="M159" s="4">
        <v>88.426000000000002</v>
      </c>
      <c r="N159" s="4">
        <v>88.426000000000002</v>
      </c>
      <c r="O159" s="4">
        <v>88.426000000000002</v>
      </c>
      <c r="P159" s="4">
        <v>339</v>
      </c>
      <c r="Q159" s="3" t="s">
        <v>26</v>
      </c>
      <c r="R159" s="3">
        <v>0</v>
      </c>
      <c r="S159" s="3">
        <v>0</v>
      </c>
      <c r="T159" s="3">
        <v>21</v>
      </c>
      <c r="U159" s="3">
        <v>61</v>
      </c>
      <c r="V159" s="4">
        <f>IF(ISERROR(VLOOKUP($S$159,'TAR FIN'!$A$1:$O$91,15,0)),0,VLOOKUP($S$159,'TAR FIN'!$A$1:$O$91,15,0))</f>
        <v>0</v>
      </c>
      <c r="W159" s="4">
        <f>IF(ISERROR(VLOOKUP($T$159,'TAR FIN'!$A$1:$O$91,15,0)),0,VLOOKUP($T$159,'TAR FIN'!$A$1:$O$91,15,0))</f>
        <v>192.27</v>
      </c>
      <c r="X159" s="4">
        <f>IF(ISERROR(VLOOKUP($U$159,'TAR FIN'!$A$1:$O$91,15,0)),0,VLOOKUP($U$159,'TAR FIN'!$A$1:$O$91,15,0))</f>
        <v>119.42</v>
      </c>
      <c r="Y159" s="4"/>
      <c r="Z159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59" s="4">
        <f>('TE BE'!$AB$16+'TE BF'!$AB$16+'TE CVA'!$AB$16)*(1-CUSTOS!$M$35)</f>
        <v>123.31397920481668</v>
      </c>
      <c r="AB159" s="4">
        <f t="shared" si="14"/>
        <v>0</v>
      </c>
      <c r="AC159" s="4">
        <f>(L159-M159)*(W159+X159)+($W$184+$X$184-$W$159-$X$159)*(L159)</f>
        <v>18373.154280000002</v>
      </c>
      <c r="AD159" s="4">
        <f t="shared" si="15"/>
        <v>0</v>
      </c>
      <c r="AE159" s="4">
        <f ca="1">(L159-M159)*(Z159+AA159)+($Z$184+$AA$184-$Z$159-$AA$159)*(L159)</f>
        <v>19259.915437619045</v>
      </c>
      <c r="AF159" s="3" t="s">
        <v>778</v>
      </c>
    </row>
    <row r="160" spans="1:32" ht="11.25" customHeight="1" x14ac:dyDescent="0.3">
      <c r="A160" s="3" t="s">
        <v>28</v>
      </c>
      <c r="B160" s="3" t="s">
        <v>22</v>
      </c>
      <c r="C160" s="3" t="s">
        <v>23</v>
      </c>
      <c r="D160" s="3" t="s">
        <v>24</v>
      </c>
      <c r="E160" s="3" t="s">
        <v>30</v>
      </c>
      <c r="F160" s="3" t="s">
        <v>25</v>
      </c>
      <c r="G160" s="3" t="s">
        <v>25</v>
      </c>
      <c r="H160" s="3" t="s">
        <v>25</v>
      </c>
      <c r="I160" s="6">
        <v>44713</v>
      </c>
      <c r="J160" s="4">
        <v>0</v>
      </c>
      <c r="K160" s="4">
        <v>0</v>
      </c>
      <c r="L160" s="4">
        <v>7.0000000000000007E-2</v>
      </c>
      <c r="M160" s="4">
        <v>1.4E-2</v>
      </c>
      <c r="N160" s="4">
        <v>7.0000000000000007E-2</v>
      </c>
      <c r="O160" s="4">
        <v>1.4E-2</v>
      </c>
      <c r="P160" s="4">
        <v>0</v>
      </c>
      <c r="Q160" s="3" t="s">
        <v>26</v>
      </c>
      <c r="R160" s="3">
        <v>0</v>
      </c>
      <c r="S160" s="3">
        <v>0</v>
      </c>
      <c r="T160" s="3">
        <v>21</v>
      </c>
      <c r="U160" s="3">
        <v>61</v>
      </c>
      <c r="V160" s="4">
        <f>IF(ISERROR(VLOOKUP($S$160,'TAR FIN'!$A$1:$O$91,15,0)),0,VLOOKUP($S$160,'TAR FIN'!$A$1:$O$91,15,0))</f>
        <v>0</v>
      </c>
      <c r="W160" s="4">
        <f>IF(ISERROR(VLOOKUP($T$160,'TAR FIN'!$A$1:$O$91,15,0)),0,VLOOKUP($T$160,'TAR FIN'!$A$1:$O$91,15,0))</f>
        <v>192.27</v>
      </c>
      <c r="X160" s="4">
        <f>IF(ISERROR(VLOOKUP($U$160,'TAR FIN'!$A$1:$O$91,15,0)),0,VLOOKUP($U$160,'TAR FIN'!$A$1:$O$91,15,0))</f>
        <v>119.42</v>
      </c>
      <c r="Y160" s="4"/>
      <c r="Z160" s="4">
        <f ca="1">('TUSD BE'!$AM$25+'TUSD BF'!$AM$25+'TUSD CVA'!$AM$25-('TUSD BE'!$P$25+'TUSD BF'!$P$25+'TUSD CVA'!$P$25)-('TUSD BE'!$Q$25+'TUSD BF'!$Q$25+'TUSD CVA'!$Q$25)-('TUSD BE'!$R$25+'TUSD BF'!$R$25+'TUSD CVA'!$R$25))*(1-CUSTOS!$M$35)</f>
        <v>203.39844877370277</v>
      </c>
      <c r="AA160" s="4">
        <f>('TE BE'!$AB$16+'TE BF'!$AB$16+'TE CVA'!$AB$16)*(1-CUSTOS!$M$35)</f>
        <v>123.31397920481668</v>
      </c>
      <c r="AB160" s="4">
        <f t="shared" si="14"/>
        <v>0</v>
      </c>
      <c r="AC160" s="4">
        <f>(L160-M160)*(W160+X160)+($W$184+$X$184-$W$160-$X$160)*(L160)</f>
        <v>31.999240000000004</v>
      </c>
      <c r="AD160" s="4">
        <f t="shared" si="15"/>
        <v>0</v>
      </c>
      <c r="AE160" s="4">
        <f ca="1">(L160-M160)*(Z160+AA160)+($Z$184+$AA$184-$Z$160-$AA$160)*(L160)</f>
        <v>33.542475939128003</v>
      </c>
      <c r="AF160" s="3" t="s">
        <v>778</v>
      </c>
    </row>
    <row r="161" spans="1:32" ht="11.25" customHeight="1" x14ac:dyDescent="0.3">
      <c r="A161" s="3" t="s">
        <v>21</v>
      </c>
      <c r="B161" s="3" t="s">
        <v>22</v>
      </c>
      <c r="C161" s="3" t="s">
        <v>23</v>
      </c>
      <c r="D161" s="3" t="s">
        <v>24</v>
      </c>
      <c r="E161" s="3" t="s">
        <v>31</v>
      </c>
      <c r="F161" s="3" t="s">
        <v>25</v>
      </c>
      <c r="G161" s="3" t="s">
        <v>25</v>
      </c>
      <c r="H161" s="3" t="s">
        <v>25</v>
      </c>
      <c r="I161" s="6">
        <v>44378</v>
      </c>
      <c r="J161" s="4">
        <v>0</v>
      </c>
      <c r="K161" s="4">
        <v>0</v>
      </c>
      <c r="L161" s="4">
        <v>52.960999999999999</v>
      </c>
      <c r="M161" s="4">
        <v>52.960999999999999</v>
      </c>
      <c r="N161" s="4">
        <v>52.960999999999999</v>
      </c>
      <c r="O161" s="4">
        <v>52.960999999999999</v>
      </c>
      <c r="P161" s="4">
        <v>545</v>
      </c>
      <c r="Q161" s="3" t="s">
        <v>26</v>
      </c>
      <c r="R161" s="3">
        <v>0</v>
      </c>
      <c r="S161" s="3">
        <v>0</v>
      </c>
      <c r="T161" s="3">
        <v>22</v>
      </c>
      <c r="U161" s="3">
        <v>62</v>
      </c>
      <c r="V161" s="4">
        <f>IF(ISERROR(VLOOKUP($S$161,'TAR FIN'!$A$1:$O$91,15,0)),0,VLOOKUP($S$161,'TAR FIN'!$A$1:$O$91,15,0))</f>
        <v>0</v>
      </c>
      <c r="W161" s="4">
        <f>IF(ISERROR(VLOOKUP($T$161,'TAR FIN'!$A$1:$O$91,15,0)),0,VLOOKUP($T$161,'TAR FIN'!$A$1:$O$91,15,0))</f>
        <v>288.39999999999998</v>
      </c>
      <c r="X161" s="4">
        <f>IF(ISERROR(VLOOKUP($U$161,'TAR FIN'!$A$1:$O$91,15,0)),0,VLOOKUP($U$161,'TAR FIN'!$A$1:$O$91,15,0))</f>
        <v>179.13</v>
      </c>
      <c r="Y161" s="4"/>
      <c r="Z161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1" s="4">
        <f>('TE BE'!$AB$17+'TE BF'!$AB$17+'TE CVA'!$AB$17)*(1-CUSTOS!$M$36)</f>
        <v>184.97096880722503</v>
      </c>
      <c r="AB161" s="4">
        <f t="shared" si="14"/>
        <v>0</v>
      </c>
      <c r="AC161" s="4">
        <f>(L161-M161)*(W161+X161)+($W$184+$X$184-$W$161-$X$161)*(L161)</f>
        <v>2750.7943400000026</v>
      </c>
      <c r="AD161" s="4">
        <f t="shared" si="15"/>
        <v>0</v>
      </c>
      <c r="AE161" s="4">
        <f ca="1">(L161-M161)*(Z161+AA161)+($Z$184+$AA$184-$Z$161-$AA$161)*(L161)</f>
        <v>2883.8361496950611</v>
      </c>
      <c r="AF161" s="3" t="s">
        <v>778</v>
      </c>
    </row>
    <row r="162" spans="1:32" ht="11.25" customHeight="1" x14ac:dyDescent="0.3">
      <c r="A162" s="3" t="s">
        <v>27</v>
      </c>
      <c r="B162" s="3" t="s">
        <v>22</v>
      </c>
      <c r="C162" s="3" t="s">
        <v>23</v>
      </c>
      <c r="D162" s="3" t="s">
        <v>24</v>
      </c>
      <c r="E162" s="3" t="s">
        <v>31</v>
      </c>
      <c r="F162" s="3" t="s">
        <v>25</v>
      </c>
      <c r="G162" s="3" t="s">
        <v>25</v>
      </c>
      <c r="H162" s="3" t="s">
        <v>25</v>
      </c>
      <c r="I162" s="6">
        <v>44378</v>
      </c>
      <c r="J162" s="4">
        <v>0</v>
      </c>
      <c r="K162" s="4">
        <v>0</v>
      </c>
      <c r="L162" s="4">
        <v>-0.12</v>
      </c>
      <c r="M162" s="4">
        <v>-0.12</v>
      </c>
      <c r="N162" s="4">
        <v>-0.12</v>
      </c>
      <c r="O162" s="4">
        <v>-0.12</v>
      </c>
      <c r="P162" s="4">
        <v>0</v>
      </c>
      <c r="Q162" s="3" t="s">
        <v>26</v>
      </c>
      <c r="R162" s="3">
        <v>0</v>
      </c>
      <c r="S162" s="3">
        <v>0</v>
      </c>
      <c r="T162" s="3">
        <v>22</v>
      </c>
      <c r="U162" s="3">
        <v>62</v>
      </c>
      <c r="V162" s="4">
        <f>IF(ISERROR(VLOOKUP($S$162,'TAR FIN'!$A$1:$O$91,15,0)),0,VLOOKUP($S$162,'TAR FIN'!$A$1:$O$91,15,0))</f>
        <v>0</v>
      </c>
      <c r="W162" s="4">
        <f>IF(ISERROR(VLOOKUP($T$162,'TAR FIN'!$A$1:$O$91,15,0)),0,VLOOKUP($T$162,'TAR FIN'!$A$1:$O$91,15,0))</f>
        <v>288.39999999999998</v>
      </c>
      <c r="X162" s="4">
        <f>IF(ISERROR(VLOOKUP($U$162,'TAR FIN'!$A$1:$O$91,15,0)),0,VLOOKUP($U$162,'TAR FIN'!$A$1:$O$91,15,0))</f>
        <v>179.13</v>
      </c>
      <c r="Y162" s="4"/>
      <c r="Z162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2" s="4">
        <f>('TE BE'!$AB$17+'TE BF'!$AB$17+'TE CVA'!$AB$17)*(1-CUSTOS!$M$36)</f>
        <v>184.97096880722503</v>
      </c>
      <c r="AB162" s="4">
        <f t="shared" si="14"/>
        <v>0</v>
      </c>
      <c r="AC162" s="4">
        <f>(L162-M162)*(W162+X162)+($W$184+$X$184-$W$162-$X$162)*(L162)</f>
        <v>-6.2328000000000063</v>
      </c>
      <c r="AD162" s="4">
        <f t="shared" si="15"/>
        <v>0</v>
      </c>
      <c r="AE162" s="4">
        <f ca="1">(L162-M162)*(Z162+AA162)+($Z$184+$AA$184-$Z$162-$AA$162)*(L162)</f>
        <v>-6.5342485595703881</v>
      </c>
      <c r="AF162" s="3" t="s">
        <v>778</v>
      </c>
    </row>
    <row r="163" spans="1:32" ht="11.25" customHeight="1" x14ac:dyDescent="0.3">
      <c r="A163" s="3" t="s">
        <v>28</v>
      </c>
      <c r="B163" s="3" t="s">
        <v>22</v>
      </c>
      <c r="C163" s="3" t="s">
        <v>23</v>
      </c>
      <c r="D163" s="3" t="s">
        <v>24</v>
      </c>
      <c r="E163" s="3" t="s">
        <v>31</v>
      </c>
      <c r="F163" s="3" t="s">
        <v>25</v>
      </c>
      <c r="G163" s="3" t="s">
        <v>25</v>
      </c>
      <c r="H163" s="3" t="s">
        <v>25</v>
      </c>
      <c r="I163" s="6">
        <v>44378</v>
      </c>
      <c r="J163" s="4">
        <v>0</v>
      </c>
      <c r="K163" s="4">
        <v>0</v>
      </c>
      <c r="L163" s="4">
        <v>4.3999999999999997E-2</v>
      </c>
      <c r="M163" s="4">
        <v>4.3999999999999997E-2</v>
      </c>
      <c r="N163" s="4">
        <v>4.3999999999999997E-2</v>
      </c>
      <c r="O163" s="4">
        <v>4.3999999999999997E-2</v>
      </c>
      <c r="P163" s="4">
        <v>0</v>
      </c>
      <c r="Q163" s="3" t="s">
        <v>26</v>
      </c>
      <c r="R163" s="3">
        <v>0</v>
      </c>
      <c r="S163" s="3">
        <v>0</v>
      </c>
      <c r="T163" s="3">
        <v>22</v>
      </c>
      <c r="U163" s="3">
        <v>62</v>
      </c>
      <c r="V163" s="4">
        <f>IF(ISERROR(VLOOKUP($S$163,'TAR FIN'!$A$1:$O$91,15,0)),0,VLOOKUP($S$163,'TAR FIN'!$A$1:$O$91,15,0))</f>
        <v>0</v>
      </c>
      <c r="W163" s="4">
        <f>IF(ISERROR(VLOOKUP($T$163,'TAR FIN'!$A$1:$O$91,15,0)),0,VLOOKUP($T$163,'TAR FIN'!$A$1:$O$91,15,0))</f>
        <v>288.39999999999998</v>
      </c>
      <c r="X163" s="4">
        <f>IF(ISERROR(VLOOKUP($U$163,'TAR FIN'!$A$1:$O$91,15,0)),0,VLOOKUP($U$163,'TAR FIN'!$A$1:$O$91,15,0))</f>
        <v>179.13</v>
      </c>
      <c r="Y163" s="4"/>
      <c r="Z163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3" s="4">
        <f>('TE BE'!$AB$17+'TE BF'!$AB$17+'TE CVA'!$AB$17)*(1-CUSTOS!$M$36)</f>
        <v>184.97096880722503</v>
      </c>
      <c r="AB163" s="4">
        <f t="shared" si="14"/>
        <v>0</v>
      </c>
      <c r="AC163" s="4">
        <f>(L163-M163)*(W163+X163)+($W$184+$X$184-$W$163-$X$163)*(L163)</f>
        <v>2.2853600000000021</v>
      </c>
      <c r="AD163" s="4">
        <f t="shared" si="15"/>
        <v>0</v>
      </c>
      <c r="AE163" s="4">
        <f ca="1">(L163-M163)*(Z163+AA163)+($Z$184+$AA$184-$Z$163-$AA$163)*(L163)</f>
        <v>2.3958911385091421</v>
      </c>
      <c r="AF163" s="3" t="s">
        <v>778</v>
      </c>
    </row>
    <row r="164" spans="1:32" ht="11.25" customHeight="1" x14ac:dyDescent="0.3">
      <c r="A164" s="3" t="s">
        <v>21</v>
      </c>
      <c r="B164" s="3" t="s">
        <v>22</v>
      </c>
      <c r="C164" s="3" t="s">
        <v>23</v>
      </c>
      <c r="D164" s="3" t="s">
        <v>24</v>
      </c>
      <c r="E164" s="3" t="s">
        <v>31</v>
      </c>
      <c r="F164" s="3" t="s">
        <v>25</v>
      </c>
      <c r="G164" s="3" t="s">
        <v>25</v>
      </c>
      <c r="H164" s="3" t="s">
        <v>25</v>
      </c>
      <c r="I164" s="6">
        <v>44409</v>
      </c>
      <c r="J164" s="4">
        <v>0</v>
      </c>
      <c r="K164" s="4">
        <v>0</v>
      </c>
      <c r="L164" s="4">
        <v>61.317999999999998</v>
      </c>
      <c r="M164" s="4">
        <v>61.317999999999998</v>
      </c>
      <c r="N164" s="4">
        <v>61.317999999999998</v>
      </c>
      <c r="O164" s="4">
        <v>61.317999999999998</v>
      </c>
      <c r="P164" s="4">
        <v>566</v>
      </c>
      <c r="Q164" s="3" t="s">
        <v>26</v>
      </c>
      <c r="R164" s="3">
        <v>0</v>
      </c>
      <c r="S164" s="3">
        <v>0</v>
      </c>
      <c r="T164" s="3">
        <v>22</v>
      </c>
      <c r="U164" s="3">
        <v>62</v>
      </c>
      <c r="V164" s="4">
        <f>IF(ISERROR(VLOOKUP($S$164,'TAR FIN'!$A$1:$O$91,15,0)),0,VLOOKUP($S$164,'TAR FIN'!$A$1:$O$91,15,0))</f>
        <v>0</v>
      </c>
      <c r="W164" s="4">
        <f>IF(ISERROR(VLOOKUP($T$164,'TAR FIN'!$A$1:$O$91,15,0)),0,VLOOKUP($T$164,'TAR FIN'!$A$1:$O$91,15,0))</f>
        <v>288.39999999999998</v>
      </c>
      <c r="X164" s="4">
        <f>IF(ISERROR(VLOOKUP($U$164,'TAR FIN'!$A$1:$O$91,15,0)),0,VLOOKUP($U$164,'TAR FIN'!$A$1:$O$91,15,0))</f>
        <v>179.13</v>
      </c>
      <c r="Y164" s="4"/>
      <c r="Z164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4" s="4">
        <f>('TE BE'!$AB$17+'TE BF'!$AB$17+'TE CVA'!$AB$17)*(1-CUSTOS!$M$36)</f>
        <v>184.97096880722503</v>
      </c>
      <c r="AB164" s="4">
        <f t="shared" si="14"/>
        <v>0</v>
      </c>
      <c r="AC164" s="4">
        <f>(L164-M164)*(W164+X164)+($W$184+$X$184-$W$164-$X$164)*(L164)</f>
        <v>3184.8569200000034</v>
      </c>
      <c r="AD164" s="4">
        <f t="shared" si="15"/>
        <v>0</v>
      </c>
      <c r="AE164" s="4">
        <f ca="1">(L164-M164)*(Z164+AA164)+($Z$184+$AA$184-$Z$164-$AA$164)*(L164)</f>
        <v>3338.8921097978091</v>
      </c>
      <c r="AF164" s="3" t="s">
        <v>778</v>
      </c>
    </row>
    <row r="165" spans="1:32" ht="11.25" customHeight="1" x14ac:dyDescent="0.3">
      <c r="A165" s="3" t="s">
        <v>27</v>
      </c>
      <c r="B165" s="3" t="s">
        <v>22</v>
      </c>
      <c r="C165" s="3" t="s">
        <v>23</v>
      </c>
      <c r="D165" s="3" t="s">
        <v>24</v>
      </c>
      <c r="E165" s="3" t="s">
        <v>31</v>
      </c>
      <c r="F165" s="3" t="s">
        <v>25</v>
      </c>
      <c r="G165" s="3" t="s">
        <v>25</v>
      </c>
      <c r="H165" s="3" t="s">
        <v>25</v>
      </c>
      <c r="I165" s="6">
        <v>44409</v>
      </c>
      <c r="J165" s="4">
        <v>0</v>
      </c>
      <c r="K165" s="4">
        <v>0</v>
      </c>
      <c r="L165" s="4">
        <v>0.23799999999999999</v>
      </c>
      <c r="M165" s="4">
        <v>0.23799999999999999</v>
      </c>
      <c r="N165" s="4">
        <v>0.23799999999999999</v>
      </c>
      <c r="O165" s="4">
        <v>0.23799999999999999</v>
      </c>
      <c r="P165" s="4">
        <v>0</v>
      </c>
      <c r="Q165" s="3" t="s">
        <v>26</v>
      </c>
      <c r="R165" s="3">
        <v>0</v>
      </c>
      <c r="S165" s="3">
        <v>0</v>
      </c>
      <c r="T165" s="3">
        <v>22</v>
      </c>
      <c r="U165" s="3">
        <v>62</v>
      </c>
      <c r="V165" s="4">
        <f>IF(ISERROR(VLOOKUP($S$165,'TAR FIN'!$A$1:$O$91,15,0)),0,VLOOKUP($S$165,'TAR FIN'!$A$1:$O$91,15,0))</f>
        <v>0</v>
      </c>
      <c r="W165" s="4">
        <f>IF(ISERROR(VLOOKUP($T$165,'TAR FIN'!$A$1:$O$91,15,0)),0,VLOOKUP($T$165,'TAR FIN'!$A$1:$O$91,15,0))</f>
        <v>288.39999999999998</v>
      </c>
      <c r="X165" s="4">
        <f>IF(ISERROR(VLOOKUP($U$165,'TAR FIN'!$A$1:$O$91,15,0)),0,VLOOKUP($U$165,'TAR FIN'!$A$1:$O$91,15,0))</f>
        <v>179.13</v>
      </c>
      <c r="Y165" s="4"/>
      <c r="Z165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5" s="4">
        <f>('TE BE'!$AB$17+'TE BF'!$AB$17+'TE CVA'!$AB$17)*(1-CUSTOS!$M$36)</f>
        <v>184.97096880722503</v>
      </c>
      <c r="AB165" s="4">
        <f t="shared" si="14"/>
        <v>0</v>
      </c>
      <c r="AC165" s="4">
        <f>(L165-M165)*(W165+X165)+($W$184+$X$184-$W$165-$X$165)*(L165)</f>
        <v>12.361720000000012</v>
      </c>
      <c r="AD165" s="4">
        <f t="shared" si="15"/>
        <v>0</v>
      </c>
      <c r="AE165" s="4">
        <f ca="1">(L165-M165)*(Z165+AA165)+($Z$184+$AA$184-$Z$165-$AA$165)*(L165)</f>
        <v>12.95959297648127</v>
      </c>
      <c r="AF165" s="3" t="s">
        <v>778</v>
      </c>
    </row>
    <row r="166" spans="1:32" ht="11.25" customHeight="1" x14ac:dyDescent="0.3">
      <c r="A166" s="3" t="s">
        <v>21</v>
      </c>
      <c r="B166" s="3" t="s">
        <v>22</v>
      </c>
      <c r="C166" s="3" t="s">
        <v>23</v>
      </c>
      <c r="D166" s="3" t="s">
        <v>24</v>
      </c>
      <c r="E166" s="3" t="s">
        <v>31</v>
      </c>
      <c r="F166" s="3" t="s">
        <v>25</v>
      </c>
      <c r="G166" s="3" t="s">
        <v>25</v>
      </c>
      <c r="H166" s="3" t="s">
        <v>25</v>
      </c>
      <c r="I166" s="6">
        <v>44440</v>
      </c>
      <c r="J166" s="4">
        <v>0</v>
      </c>
      <c r="K166" s="4">
        <v>0</v>
      </c>
      <c r="L166" s="4">
        <v>58.665999999999997</v>
      </c>
      <c r="M166" s="4">
        <v>58.665999999999997</v>
      </c>
      <c r="N166" s="4">
        <v>58.665999999999997</v>
      </c>
      <c r="O166" s="4">
        <v>58.665999999999997</v>
      </c>
      <c r="P166" s="4">
        <v>579</v>
      </c>
      <c r="Q166" s="3" t="s">
        <v>26</v>
      </c>
      <c r="R166" s="3">
        <v>0</v>
      </c>
      <c r="S166" s="3">
        <v>0</v>
      </c>
      <c r="T166" s="3">
        <v>22</v>
      </c>
      <c r="U166" s="3">
        <v>62</v>
      </c>
      <c r="V166" s="4">
        <f>IF(ISERROR(VLOOKUP($S$166,'TAR FIN'!$A$1:$O$91,15,0)),0,VLOOKUP($S$166,'TAR FIN'!$A$1:$O$91,15,0))</f>
        <v>0</v>
      </c>
      <c r="W166" s="4">
        <f>IF(ISERROR(VLOOKUP($T$166,'TAR FIN'!$A$1:$O$91,15,0)),0,VLOOKUP($T$166,'TAR FIN'!$A$1:$O$91,15,0))</f>
        <v>288.39999999999998</v>
      </c>
      <c r="X166" s="4">
        <f>IF(ISERROR(VLOOKUP($U$166,'TAR FIN'!$A$1:$O$91,15,0)),0,VLOOKUP($U$166,'TAR FIN'!$A$1:$O$91,15,0))</f>
        <v>179.13</v>
      </c>
      <c r="Y166" s="4"/>
      <c r="Z166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6" s="4">
        <f>('TE BE'!$AB$17+'TE BF'!$AB$17+'TE CVA'!$AB$17)*(1-CUSTOS!$M$36)</f>
        <v>184.97096880722503</v>
      </c>
      <c r="AB166" s="4">
        <f t="shared" si="14"/>
        <v>0</v>
      </c>
      <c r="AC166" s="4">
        <f>(L166-M166)*(W166+X166)+($W$184+$X$184-$W$166-$X$166)*(L166)</f>
        <v>3047.1120400000032</v>
      </c>
      <c r="AD166" s="4">
        <f t="shared" si="15"/>
        <v>0</v>
      </c>
      <c r="AE166" s="4">
        <f ca="1">(L166-M166)*(Z166+AA166)+($Z$184+$AA$184-$Z$166-$AA$166)*(L166)</f>
        <v>3194.4852166313035</v>
      </c>
      <c r="AF166" s="3" t="s">
        <v>778</v>
      </c>
    </row>
    <row r="167" spans="1:32" ht="11.25" customHeight="1" x14ac:dyDescent="0.3">
      <c r="A167" s="3" t="s">
        <v>28</v>
      </c>
      <c r="B167" s="3" t="s">
        <v>22</v>
      </c>
      <c r="C167" s="3" t="s">
        <v>23</v>
      </c>
      <c r="D167" s="3" t="s">
        <v>24</v>
      </c>
      <c r="E167" s="3" t="s">
        <v>31</v>
      </c>
      <c r="F167" s="3" t="s">
        <v>25</v>
      </c>
      <c r="G167" s="3" t="s">
        <v>25</v>
      </c>
      <c r="H167" s="3" t="s">
        <v>25</v>
      </c>
      <c r="I167" s="6">
        <v>44440</v>
      </c>
      <c r="J167" s="4">
        <v>0</v>
      </c>
      <c r="K167" s="4">
        <v>0</v>
      </c>
      <c r="L167" s="4">
        <v>3.0000000000000001E-3</v>
      </c>
      <c r="M167" s="4">
        <v>3.0000000000000001E-3</v>
      </c>
      <c r="N167" s="4">
        <v>3.0000000000000001E-3</v>
      </c>
      <c r="O167" s="4">
        <v>3.0000000000000001E-3</v>
      </c>
      <c r="P167" s="4">
        <v>0</v>
      </c>
      <c r="Q167" s="3" t="s">
        <v>26</v>
      </c>
      <c r="R167" s="3">
        <v>0</v>
      </c>
      <c r="S167" s="3">
        <v>0</v>
      </c>
      <c r="T167" s="3">
        <v>22</v>
      </c>
      <c r="U167" s="3">
        <v>62</v>
      </c>
      <c r="V167" s="4">
        <f>IF(ISERROR(VLOOKUP($S$167,'TAR FIN'!$A$1:$O$91,15,0)),0,VLOOKUP($S$167,'TAR FIN'!$A$1:$O$91,15,0))</f>
        <v>0</v>
      </c>
      <c r="W167" s="4">
        <f>IF(ISERROR(VLOOKUP($T$167,'TAR FIN'!$A$1:$O$91,15,0)),0,VLOOKUP($T$167,'TAR FIN'!$A$1:$O$91,15,0))</f>
        <v>288.39999999999998</v>
      </c>
      <c r="X167" s="4">
        <f>IF(ISERROR(VLOOKUP($U$167,'TAR FIN'!$A$1:$O$91,15,0)),0,VLOOKUP($U$167,'TAR FIN'!$A$1:$O$91,15,0))</f>
        <v>179.13</v>
      </c>
      <c r="Y167" s="4"/>
      <c r="Z167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7" s="4">
        <f>('TE BE'!$AB$17+'TE BF'!$AB$17+'TE CVA'!$AB$17)*(1-CUSTOS!$M$36)</f>
        <v>184.97096880722503</v>
      </c>
      <c r="AB167" s="4">
        <f t="shared" si="14"/>
        <v>0</v>
      </c>
      <c r="AC167" s="4">
        <f>(L167-M167)*(W167+X167)+($W$184+$X$184-$W$167-$X$167)*(L167)</f>
        <v>0.15582000000000018</v>
      </c>
      <c r="AD167" s="4">
        <f t="shared" si="15"/>
        <v>0</v>
      </c>
      <c r="AE167" s="4">
        <f ca="1">(L167-M167)*(Z167+AA167)+($Z$184+$AA$184-$Z$167-$AA$167)*(L167)</f>
        <v>0.16335621398925973</v>
      </c>
      <c r="AF167" s="3" t="s">
        <v>778</v>
      </c>
    </row>
    <row r="168" spans="1:32" ht="11.25" customHeight="1" x14ac:dyDescent="0.3">
      <c r="A168" s="3" t="s">
        <v>21</v>
      </c>
      <c r="B168" s="3" t="s">
        <v>22</v>
      </c>
      <c r="C168" s="3" t="s">
        <v>23</v>
      </c>
      <c r="D168" s="3" t="s">
        <v>24</v>
      </c>
      <c r="E168" s="3" t="s">
        <v>31</v>
      </c>
      <c r="F168" s="3" t="s">
        <v>25</v>
      </c>
      <c r="G168" s="3" t="s">
        <v>25</v>
      </c>
      <c r="H168" s="3" t="s">
        <v>25</v>
      </c>
      <c r="I168" s="6">
        <v>44470</v>
      </c>
      <c r="J168" s="4">
        <v>0</v>
      </c>
      <c r="K168" s="4">
        <v>0</v>
      </c>
      <c r="L168" s="4">
        <v>62.91</v>
      </c>
      <c r="M168" s="4">
        <v>62.91</v>
      </c>
      <c r="N168" s="4">
        <v>62.91</v>
      </c>
      <c r="O168" s="4">
        <v>62.91</v>
      </c>
      <c r="P168" s="4">
        <v>595</v>
      </c>
      <c r="Q168" s="3" t="s">
        <v>26</v>
      </c>
      <c r="R168" s="3">
        <v>0</v>
      </c>
      <c r="S168" s="3">
        <v>0</v>
      </c>
      <c r="T168" s="3">
        <v>22</v>
      </c>
      <c r="U168" s="3">
        <v>62</v>
      </c>
      <c r="V168" s="4">
        <f>IF(ISERROR(VLOOKUP($S$168,'TAR FIN'!$A$1:$O$91,15,0)),0,VLOOKUP($S$168,'TAR FIN'!$A$1:$O$91,15,0))</f>
        <v>0</v>
      </c>
      <c r="W168" s="4">
        <f>IF(ISERROR(VLOOKUP($T$168,'TAR FIN'!$A$1:$O$91,15,0)),0,VLOOKUP($T$168,'TAR FIN'!$A$1:$O$91,15,0))</f>
        <v>288.39999999999998</v>
      </c>
      <c r="X168" s="4">
        <f>IF(ISERROR(VLOOKUP($U$168,'TAR FIN'!$A$1:$O$91,15,0)),0,VLOOKUP($U$168,'TAR FIN'!$A$1:$O$91,15,0))</f>
        <v>179.13</v>
      </c>
      <c r="Y168" s="4"/>
      <c r="Z168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8" s="4">
        <f>('TE BE'!$AB$17+'TE BF'!$AB$17+'TE CVA'!$AB$17)*(1-CUSTOS!$M$36)</f>
        <v>184.97096880722503</v>
      </c>
      <c r="AB168" s="4">
        <f t="shared" si="14"/>
        <v>0</v>
      </c>
      <c r="AC168" s="4">
        <f>(L168-M168)*(W168+X168)+($W$184+$X$184-$W$168-$X$168)*(L168)</f>
        <v>3267.5454000000032</v>
      </c>
      <c r="AD168" s="4">
        <f t="shared" si="15"/>
        <v>0</v>
      </c>
      <c r="AE168" s="4">
        <f ca="1">(L168-M168)*(Z168+AA168)+($Z$184+$AA$184-$Z$168-$AA$168)*(L168)</f>
        <v>3425.5798073547762</v>
      </c>
      <c r="AF168" s="3" t="s">
        <v>778</v>
      </c>
    </row>
    <row r="169" spans="1:32" ht="11.25" customHeight="1" x14ac:dyDescent="0.3">
      <c r="A169" s="3" t="s">
        <v>21</v>
      </c>
      <c r="B169" s="3" t="s">
        <v>22</v>
      </c>
      <c r="C169" s="3" t="s">
        <v>23</v>
      </c>
      <c r="D169" s="3" t="s">
        <v>24</v>
      </c>
      <c r="E169" s="3" t="s">
        <v>31</v>
      </c>
      <c r="F169" s="3" t="s">
        <v>25</v>
      </c>
      <c r="G169" s="3" t="s">
        <v>25</v>
      </c>
      <c r="H169" s="3" t="s">
        <v>25</v>
      </c>
      <c r="I169" s="6">
        <v>44501</v>
      </c>
      <c r="J169" s="4">
        <v>0</v>
      </c>
      <c r="K169" s="4">
        <v>0</v>
      </c>
      <c r="L169" s="4">
        <v>70.632000000000005</v>
      </c>
      <c r="M169" s="4">
        <v>70.632000000000005</v>
      </c>
      <c r="N169" s="4">
        <v>70.632000000000005</v>
      </c>
      <c r="O169" s="4">
        <v>70.632000000000005</v>
      </c>
      <c r="P169" s="4">
        <v>564</v>
      </c>
      <c r="Q169" s="3" t="s">
        <v>26</v>
      </c>
      <c r="R169" s="3">
        <v>0</v>
      </c>
      <c r="S169" s="3">
        <v>0</v>
      </c>
      <c r="T169" s="3">
        <v>22</v>
      </c>
      <c r="U169" s="3">
        <v>62</v>
      </c>
      <c r="V169" s="4">
        <f>IF(ISERROR(VLOOKUP($S$169,'TAR FIN'!$A$1:$O$91,15,0)),0,VLOOKUP($S$169,'TAR FIN'!$A$1:$O$91,15,0))</f>
        <v>0</v>
      </c>
      <c r="W169" s="4">
        <f>IF(ISERROR(VLOOKUP($T$169,'TAR FIN'!$A$1:$O$91,15,0)),0,VLOOKUP($T$169,'TAR FIN'!$A$1:$O$91,15,0))</f>
        <v>288.39999999999998</v>
      </c>
      <c r="X169" s="4">
        <f>IF(ISERROR(VLOOKUP($U$169,'TAR FIN'!$A$1:$O$91,15,0)),0,VLOOKUP($U$169,'TAR FIN'!$A$1:$O$91,15,0))</f>
        <v>179.13</v>
      </c>
      <c r="Y169" s="4"/>
      <c r="Z169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69" s="4">
        <f>('TE BE'!$AB$17+'TE BF'!$AB$17+'TE CVA'!$AB$17)*(1-CUSTOS!$M$36)</f>
        <v>184.97096880722503</v>
      </c>
      <c r="AB169" s="4">
        <f t="shared" si="14"/>
        <v>0</v>
      </c>
      <c r="AC169" s="4">
        <f>(L169-M169)*(W169+X169)+($W$184+$X$184-$W$169-$X$169)*(L169)</f>
        <v>3668.6260800000041</v>
      </c>
      <c r="AD169" s="4">
        <f t="shared" si="15"/>
        <v>0</v>
      </c>
      <c r="AE169" s="4">
        <f ca="1">(L169-M169)*(Z169+AA169)+($Z$184+$AA$184-$Z$169-$AA$169)*(L169)</f>
        <v>3846.0587021631309</v>
      </c>
      <c r="AF169" s="3" t="s">
        <v>778</v>
      </c>
    </row>
    <row r="170" spans="1:32" ht="11.25" customHeight="1" x14ac:dyDescent="0.3">
      <c r="A170" s="3" t="s">
        <v>21</v>
      </c>
      <c r="B170" s="3" t="s">
        <v>22</v>
      </c>
      <c r="C170" s="3" t="s">
        <v>23</v>
      </c>
      <c r="D170" s="3" t="s">
        <v>24</v>
      </c>
      <c r="E170" s="3" t="s">
        <v>31</v>
      </c>
      <c r="F170" s="3" t="s">
        <v>25</v>
      </c>
      <c r="G170" s="3" t="s">
        <v>25</v>
      </c>
      <c r="H170" s="3" t="s">
        <v>25</v>
      </c>
      <c r="I170" s="6">
        <v>44531</v>
      </c>
      <c r="J170" s="4">
        <v>0</v>
      </c>
      <c r="K170" s="4">
        <v>0</v>
      </c>
      <c r="L170" s="4">
        <v>75.957999999999998</v>
      </c>
      <c r="M170" s="4">
        <v>75.957999999999998</v>
      </c>
      <c r="N170" s="4">
        <v>75.957999999999998</v>
      </c>
      <c r="O170" s="4">
        <v>75.957999999999998</v>
      </c>
      <c r="P170" s="4">
        <v>557</v>
      </c>
      <c r="Q170" s="3" t="s">
        <v>26</v>
      </c>
      <c r="R170" s="3">
        <v>0</v>
      </c>
      <c r="S170" s="3">
        <v>0</v>
      </c>
      <c r="T170" s="3">
        <v>22</v>
      </c>
      <c r="U170" s="3">
        <v>62</v>
      </c>
      <c r="V170" s="4">
        <f>IF(ISERROR(VLOOKUP($S$170,'TAR FIN'!$A$1:$O$91,15,0)),0,VLOOKUP($S$170,'TAR FIN'!$A$1:$O$91,15,0))</f>
        <v>0</v>
      </c>
      <c r="W170" s="4">
        <f>IF(ISERROR(VLOOKUP($T$170,'TAR FIN'!$A$1:$O$91,15,0)),0,VLOOKUP($T$170,'TAR FIN'!$A$1:$O$91,15,0))</f>
        <v>288.39999999999998</v>
      </c>
      <c r="X170" s="4">
        <f>IF(ISERROR(VLOOKUP($U$170,'TAR FIN'!$A$1:$O$91,15,0)),0,VLOOKUP($U$170,'TAR FIN'!$A$1:$O$91,15,0))</f>
        <v>179.13</v>
      </c>
      <c r="Y170" s="4"/>
      <c r="Z170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0" s="4">
        <f>('TE BE'!$AB$17+'TE BF'!$AB$17+'TE CVA'!$AB$17)*(1-CUSTOS!$M$36)</f>
        <v>184.97096880722503</v>
      </c>
      <c r="AB170" s="4">
        <f t="shared" si="14"/>
        <v>0</v>
      </c>
      <c r="AC170" s="4">
        <f>(L170-M170)*(W170+X170)+($W$184+$X$184-$W$170-$X$170)*(L170)</f>
        <v>3945.258520000004</v>
      </c>
      <c r="AD170" s="4">
        <f t="shared" si="15"/>
        <v>0</v>
      </c>
      <c r="AE170" s="4">
        <f ca="1">(L170-M170)*(Z170+AA170)+($Z$184+$AA$184-$Z$170-$AA$170)*(L170)</f>
        <v>4136.0704340653965</v>
      </c>
      <c r="AF170" s="3" t="s">
        <v>778</v>
      </c>
    </row>
    <row r="171" spans="1:32" ht="11.25" customHeight="1" x14ac:dyDescent="0.3">
      <c r="A171" s="3" t="s">
        <v>21</v>
      </c>
      <c r="B171" s="3" t="s">
        <v>22</v>
      </c>
      <c r="C171" s="3" t="s">
        <v>23</v>
      </c>
      <c r="D171" s="3" t="s">
        <v>24</v>
      </c>
      <c r="E171" s="3" t="s">
        <v>31</v>
      </c>
      <c r="F171" s="3" t="s">
        <v>25</v>
      </c>
      <c r="G171" s="3" t="s">
        <v>25</v>
      </c>
      <c r="H171" s="3" t="s">
        <v>25</v>
      </c>
      <c r="I171" s="6">
        <v>44562</v>
      </c>
      <c r="J171" s="4">
        <v>0</v>
      </c>
      <c r="K171" s="4">
        <v>0</v>
      </c>
      <c r="L171" s="4">
        <v>86.519000000000005</v>
      </c>
      <c r="M171" s="4">
        <v>86.519000000000005</v>
      </c>
      <c r="N171" s="4">
        <v>86.519000000000005</v>
      </c>
      <c r="O171" s="4">
        <v>86.519000000000005</v>
      </c>
      <c r="P171" s="4">
        <v>513</v>
      </c>
      <c r="Q171" s="3" t="s">
        <v>26</v>
      </c>
      <c r="R171" s="3">
        <v>0</v>
      </c>
      <c r="S171" s="3">
        <v>0</v>
      </c>
      <c r="T171" s="3">
        <v>22</v>
      </c>
      <c r="U171" s="3">
        <v>62</v>
      </c>
      <c r="V171" s="4">
        <f>IF(ISERROR(VLOOKUP($S$171,'TAR FIN'!$A$1:$O$91,15,0)),0,VLOOKUP($S$171,'TAR FIN'!$A$1:$O$91,15,0))</f>
        <v>0</v>
      </c>
      <c r="W171" s="4">
        <f>IF(ISERROR(VLOOKUP($T$171,'TAR FIN'!$A$1:$O$91,15,0)),0,VLOOKUP($T$171,'TAR FIN'!$A$1:$O$91,15,0))</f>
        <v>288.39999999999998</v>
      </c>
      <c r="X171" s="4">
        <f>IF(ISERROR(VLOOKUP($U$171,'TAR FIN'!$A$1:$O$91,15,0)),0,VLOOKUP($U$171,'TAR FIN'!$A$1:$O$91,15,0))</f>
        <v>179.13</v>
      </c>
      <c r="Y171" s="4"/>
      <c r="Z171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1" s="4">
        <f>('TE BE'!$AB$17+'TE BF'!$AB$17+'TE CVA'!$AB$17)*(1-CUSTOS!$M$36)</f>
        <v>184.97096880722503</v>
      </c>
      <c r="AB171" s="4">
        <f t="shared" si="14"/>
        <v>0</v>
      </c>
      <c r="AC171" s="4">
        <f>(L171-M171)*(W171+X171)+($W$184+$X$184-$W$171-$X$171)*(L171)</f>
        <v>4493.7968600000049</v>
      </c>
      <c r="AD171" s="4">
        <f t="shared" si="15"/>
        <v>0</v>
      </c>
      <c r="AE171" s="4">
        <f ca="1">(L171-M171)*(Z171+AA171)+($Z$184+$AA$184-$Z$171-$AA$171)*(L171)</f>
        <v>4711.1387593789204</v>
      </c>
      <c r="AF171" s="3" t="s">
        <v>778</v>
      </c>
    </row>
    <row r="172" spans="1:32" ht="11.25" customHeight="1" x14ac:dyDescent="0.3">
      <c r="A172" s="3" t="s">
        <v>28</v>
      </c>
      <c r="B172" s="3" t="s">
        <v>22</v>
      </c>
      <c r="C172" s="3" t="s">
        <v>23</v>
      </c>
      <c r="D172" s="3" t="s">
        <v>24</v>
      </c>
      <c r="E172" s="3" t="s">
        <v>31</v>
      </c>
      <c r="F172" s="3" t="s">
        <v>25</v>
      </c>
      <c r="G172" s="3" t="s">
        <v>25</v>
      </c>
      <c r="H172" s="3" t="s">
        <v>25</v>
      </c>
      <c r="I172" s="6">
        <v>44562</v>
      </c>
      <c r="J172" s="4">
        <v>0</v>
      </c>
      <c r="K172" s="4">
        <v>0</v>
      </c>
      <c r="L172" s="4">
        <v>2.5000000000000001E-2</v>
      </c>
      <c r="M172" s="4">
        <v>2.2499999999999999E-2</v>
      </c>
      <c r="N172" s="4">
        <v>2.5000000000000001E-2</v>
      </c>
      <c r="O172" s="4">
        <v>2.2499999999999999E-2</v>
      </c>
      <c r="P172" s="4">
        <v>0</v>
      </c>
      <c r="Q172" s="3" t="s">
        <v>26</v>
      </c>
      <c r="R172" s="3">
        <v>0</v>
      </c>
      <c r="S172" s="3">
        <v>0</v>
      </c>
      <c r="T172" s="3">
        <v>22</v>
      </c>
      <c r="U172" s="3">
        <v>62</v>
      </c>
      <c r="V172" s="4">
        <f>IF(ISERROR(VLOOKUP($S$172,'TAR FIN'!$A$1:$O$91,15,0)),0,VLOOKUP($S$172,'TAR FIN'!$A$1:$O$91,15,0))</f>
        <v>0</v>
      </c>
      <c r="W172" s="4">
        <f>IF(ISERROR(VLOOKUP($T$172,'TAR FIN'!$A$1:$O$91,15,0)),0,VLOOKUP($T$172,'TAR FIN'!$A$1:$O$91,15,0))</f>
        <v>288.39999999999998</v>
      </c>
      <c r="X172" s="4">
        <f>IF(ISERROR(VLOOKUP($U$172,'TAR FIN'!$A$1:$O$91,15,0)),0,VLOOKUP($U$172,'TAR FIN'!$A$1:$O$91,15,0))</f>
        <v>179.13</v>
      </c>
      <c r="Y172" s="4"/>
      <c r="Z172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2" s="4">
        <f>('TE BE'!$AB$17+'TE BF'!$AB$17+'TE CVA'!$AB$17)*(1-CUSTOS!$M$36)</f>
        <v>184.97096880722503</v>
      </c>
      <c r="AB172" s="4">
        <f t="shared" si="14"/>
        <v>0</v>
      </c>
      <c r="AC172" s="4">
        <f>(L172-M172)*(W172+X172)+($W$184+$X$184-$W$172-$X$172)*(L172)</f>
        <v>2.4673250000000024</v>
      </c>
      <c r="AD172" s="4">
        <f t="shared" si="15"/>
        <v>0</v>
      </c>
      <c r="AE172" s="4">
        <f ca="1">(L172-M172)*(Z172+AA172)+($Z$184+$AA$184-$Z$172-$AA$172)*(L172)</f>
        <v>2.58647338816328</v>
      </c>
      <c r="AF172" s="3" t="s">
        <v>778</v>
      </c>
    </row>
    <row r="173" spans="1:32" ht="11.25" customHeight="1" x14ac:dyDescent="0.3">
      <c r="A173" s="3" t="s">
        <v>21</v>
      </c>
      <c r="B173" s="3" t="s">
        <v>22</v>
      </c>
      <c r="C173" s="3" t="s">
        <v>23</v>
      </c>
      <c r="D173" s="3" t="s">
        <v>24</v>
      </c>
      <c r="E173" s="3" t="s">
        <v>31</v>
      </c>
      <c r="F173" s="3" t="s">
        <v>25</v>
      </c>
      <c r="G173" s="3" t="s">
        <v>25</v>
      </c>
      <c r="H173" s="3" t="s">
        <v>25</v>
      </c>
      <c r="I173" s="6">
        <v>44593</v>
      </c>
      <c r="J173" s="4">
        <v>0</v>
      </c>
      <c r="K173" s="4">
        <v>0</v>
      </c>
      <c r="L173" s="4">
        <v>96.45</v>
      </c>
      <c r="M173" s="4">
        <v>96.45</v>
      </c>
      <c r="N173" s="4">
        <v>96.45</v>
      </c>
      <c r="O173" s="4">
        <v>96.45</v>
      </c>
      <c r="P173" s="4">
        <v>437</v>
      </c>
      <c r="Q173" s="3" t="s">
        <v>26</v>
      </c>
      <c r="R173" s="3">
        <v>0</v>
      </c>
      <c r="S173" s="3">
        <v>0</v>
      </c>
      <c r="T173" s="3">
        <v>22</v>
      </c>
      <c r="U173" s="3">
        <v>62</v>
      </c>
      <c r="V173" s="4">
        <f>IF(ISERROR(VLOOKUP($S$173,'TAR FIN'!$A$1:$O$91,15,0)),0,VLOOKUP($S$173,'TAR FIN'!$A$1:$O$91,15,0))</f>
        <v>0</v>
      </c>
      <c r="W173" s="4">
        <f>IF(ISERROR(VLOOKUP($T$173,'TAR FIN'!$A$1:$O$91,15,0)),0,VLOOKUP($T$173,'TAR FIN'!$A$1:$O$91,15,0))</f>
        <v>288.39999999999998</v>
      </c>
      <c r="X173" s="4">
        <f>IF(ISERROR(VLOOKUP($U$173,'TAR FIN'!$A$1:$O$91,15,0)),0,VLOOKUP($U$173,'TAR FIN'!$A$1:$O$91,15,0))</f>
        <v>179.13</v>
      </c>
      <c r="Y173" s="4"/>
      <c r="Z173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3" s="4">
        <f>('TE BE'!$AB$17+'TE BF'!$AB$17+'TE CVA'!$AB$17)*(1-CUSTOS!$M$36)</f>
        <v>184.97096880722503</v>
      </c>
      <c r="AB173" s="4">
        <f t="shared" si="14"/>
        <v>0</v>
      </c>
      <c r="AC173" s="4">
        <f>(L173-M173)*(W173+X173)+($W$184+$X$184-$W$173-$X$173)*(L173)</f>
        <v>5009.6130000000057</v>
      </c>
      <c r="AD173" s="4">
        <f t="shared" si="15"/>
        <v>0</v>
      </c>
      <c r="AE173" s="4">
        <f ca="1">(L173-M173)*(Z173+AA173)+($Z$184+$AA$184-$Z$173-$AA$173)*(L173)</f>
        <v>5251.9022797547004</v>
      </c>
      <c r="AF173" s="3" t="s">
        <v>778</v>
      </c>
    </row>
    <row r="174" spans="1:32" ht="11.25" customHeight="1" x14ac:dyDescent="0.3">
      <c r="A174" s="3" t="s">
        <v>27</v>
      </c>
      <c r="B174" s="3" t="s">
        <v>22</v>
      </c>
      <c r="C174" s="3" t="s">
        <v>23</v>
      </c>
      <c r="D174" s="3" t="s">
        <v>24</v>
      </c>
      <c r="E174" s="3" t="s">
        <v>31</v>
      </c>
      <c r="F174" s="3" t="s">
        <v>25</v>
      </c>
      <c r="G174" s="3" t="s">
        <v>25</v>
      </c>
      <c r="H174" s="3" t="s">
        <v>25</v>
      </c>
      <c r="I174" s="6">
        <v>44593</v>
      </c>
      <c r="J174" s="4">
        <v>0</v>
      </c>
      <c r="K174" s="4">
        <v>0</v>
      </c>
      <c r="L174" s="4">
        <v>-9.4E-2</v>
      </c>
      <c r="M174" s="4">
        <v>-9.4E-2</v>
      </c>
      <c r="N174" s="4">
        <v>-9.4E-2</v>
      </c>
      <c r="O174" s="4">
        <v>-9.4E-2</v>
      </c>
      <c r="P174" s="4">
        <v>0</v>
      </c>
      <c r="Q174" s="3" t="s">
        <v>26</v>
      </c>
      <c r="R174" s="3">
        <v>0</v>
      </c>
      <c r="S174" s="3">
        <v>0</v>
      </c>
      <c r="T174" s="3">
        <v>22</v>
      </c>
      <c r="U174" s="3">
        <v>62</v>
      </c>
      <c r="V174" s="4">
        <f>IF(ISERROR(VLOOKUP($S$174,'TAR FIN'!$A$1:$O$91,15,0)),0,VLOOKUP($S$174,'TAR FIN'!$A$1:$O$91,15,0))</f>
        <v>0</v>
      </c>
      <c r="W174" s="4">
        <f>IF(ISERROR(VLOOKUP($T$174,'TAR FIN'!$A$1:$O$91,15,0)),0,VLOOKUP($T$174,'TAR FIN'!$A$1:$O$91,15,0))</f>
        <v>288.39999999999998</v>
      </c>
      <c r="X174" s="4">
        <f>IF(ISERROR(VLOOKUP($U$174,'TAR FIN'!$A$1:$O$91,15,0)),0,VLOOKUP($U$174,'TAR FIN'!$A$1:$O$91,15,0))</f>
        <v>179.13</v>
      </c>
      <c r="Y174" s="4"/>
      <c r="Z174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4" s="4">
        <f>('TE BE'!$AB$17+'TE BF'!$AB$17+'TE CVA'!$AB$17)*(1-CUSTOS!$M$36)</f>
        <v>184.97096880722503</v>
      </c>
      <c r="AB174" s="4">
        <f t="shared" si="14"/>
        <v>0</v>
      </c>
      <c r="AC174" s="4">
        <f>(L174-M174)*(W174+X174)+($W$184+$X$184-$W$174-$X$174)*(L174)</f>
        <v>-4.8823600000000056</v>
      </c>
      <c r="AD174" s="4">
        <f t="shared" si="15"/>
        <v>0</v>
      </c>
      <c r="AE174" s="4">
        <f ca="1">(L174-M174)*(Z174+AA174)+($Z$184+$AA$184-$Z$174-$AA$174)*(L174)</f>
        <v>-5.1184947049968041</v>
      </c>
      <c r="AF174" s="3" t="s">
        <v>778</v>
      </c>
    </row>
    <row r="175" spans="1:32" ht="11.25" customHeight="1" x14ac:dyDescent="0.3">
      <c r="A175" s="3" t="s">
        <v>28</v>
      </c>
      <c r="B175" s="3" t="s">
        <v>22</v>
      </c>
      <c r="C175" s="3" t="s">
        <v>23</v>
      </c>
      <c r="D175" s="3" t="s">
        <v>24</v>
      </c>
      <c r="E175" s="3" t="s">
        <v>31</v>
      </c>
      <c r="F175" s="3" t="s">
        <v>25</v>
      </c>
      <c r="G175" s="3" t="s">
        <v>25</v>
      </c>
      <c r="H175" s="3" t="s">
        <v>25</v>
      </c>
      <c r="I175" s="6">
        <v>44593</v>
      </c>
      <c r="J175" s="4">
        <v>0</v>
      </c>
      <c r="K175" s="4">
        <v>0</v>
      </c>
      <c r="L175" s="4">
        <v>0.12</v>
      </c>
      <c r="M175" s="4">
        <v>0.108</v>
      </c>
      <c r="N175" s="4">
        <v>0.12</v>
      </c>
      <c r="O175" s="4">
        <v>0.108</v>
      </c>
      <c r="P175" s="4">
        <v>0</v>
      </c>
      <c r="Q175" s="3" t="s">
        <v>26</v>
      </c>
      <c r="R175" s="3">
        <v>0</v>
      </c>
      <c r="S175" s="3">
        <v>0</v>
      </c>
      <c r="T175" s="3">
        <v>22</v>
      </c>
      <c r="U175" s="3">
        <v>62</v>
      </c>
      <c r="V175" s="4">
        <f>IF(ISERROR(VLOOKUP($S$175,'TAR FIN'!$A$1:$O$91,15,0)),0,VLOOKUP($S$175,'TAR FIN'!$A$1:$O$91,15,0))</f>
        <v>0</v>
      </c>
      <c r="W175" s="4">
        <f>IF(ISERROR(VLOOKUP($T$175,'TAR FIN'!$A$1:$O$91,15,0)),0,VLOOKUP($T$175,'TAR FIN'!$A$1:$O$91,15,0))</f>
        <v>288.39999999999998</v>
      </c>
      <c r="X175" s="4">
        <f>IF(ISERROR(VLOOKUP($U$175,'TAR FIN'!$A$1:$O$91,15,0)),0,VLOOKUP($U$175,'TAR FIN'!$A$1:$O$91,15,0))</f>
        <v>179.13</v>
      </c>
      <c r="Y175" s="4"/>
      <c r="Z175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5" s="4">
        <f>('TE BE'!$AB$17+'TE BF'!$AB$17+'TE CVA'!$AB$17)*(1-CUSTOS!$M$36)</f>
        <v>184.97096880722503</v>
      </c>
      <c r="AB175" s="4">
        <f t="shared" si="14"/>
        <v>0</v>
      </c>
      <c r="AC175" s="4">
        <f>(L175-M175)*(W175+X175)+($W$184+$X$184-$W$175-$X$175)*(L175)</f>
        <v>11.843160000000005</v>
      </c>
      <c r="AD175" s="4">
        <f t="shared" si="15"/>
        <v>0</v>
      </c>
      <c r="AE175" s="4">
        <f ca="1">(L175-M175)*(Z175+AA175)+($Z$184+$AA$184-$Z$175-$AA$175)*(L175)</f>
        <v>12.415072263183736</v>
      </c>
      <c r="AF175" s="3" t="s">
        <v>778</v>
      </c>
    </row>
    <row r="176" spans="1:32" ht="11.25" customHeight="1" x14ac:dyDescent="0.3">
      <c r="A176" s="3" t="s">
        <v>21</v>
      </c>
      <c r="B176" s="3" t="s">
        <v>22</v>
      </c>
      <c r="C176" s="3" t="s">
        <v>23</v>
      </c>
      <c r="D176" s="3" t="s">
        <v>24</v>
      </c>
      <c r="E176" s="3" t="s">
        <v>31</v>
      </c>
      <c r="F176" s="3" t="s">
        <v>25</v>
      </c>
      <c r="G176" s="3" t="s">
        <v>25</v>
      </c>
      <c r="H176" s="3" t="s">
        <v>25</v>
      </c>
      <c r="I176" s="6">
        <v>44621</v>
      </c>
      <c r="J176" s="4">
        <v>0</v>
      </c>
      <c r="K176" s="4">
        <v>0</v>
      </c>
      <c r="L176" s="4">
        <v>87.647000000000006</v>
      </c>
      <c r="M176" s="4">
        <v>87.647000000000006</v>
      </c>
      <c r="N176" s="4">
        <v>87.647000000000006</v>
      </c>
      <c r="O176" s="4">
        <v>87.647000000000006</v>
      </c>
      <c r="P176" s="4">
        <v>538</v>
      </c>
      <c r="Q176" s="3" t="s">
        <v>26</v>
      </c>
      <c r="R176" s="3">
        <v>0</v>
      </c>
      <c r="S176" s="3">
        <v>0</v>
      </c>
      <c r="T176" s="3">
        <v>22</v>
      </c>
      <c r="U176" s="3">
        <v>62</v>
      </c>
      <c r="V176" s="4">
        <f>IF(ISERROR(VLOOKUP($S$176,'TAR FIN'!$A$1:$O$91,15,0)),0,VLOOKUP($S$176,'TAR FIN'!$A$1:$O$91,15,0))</f>
        <v>0</v>
      </c>
      <c r="W176" s="4">
        <f>IF(ISERROR(VLOOKUP($T$176,'TAR FIN'!$A$1:$O$91,15,0)),0,VLOOKUP($T$176,'TAR FIN'!$A$1:$O$91,15,0))</f>
        <v>288.39999999999998</v>
      </c>
      <c r="X176" s="4">
        <f>IF(ISERROR(VLOOKUP($U$176,'TAR FIN'!$A$1:$O$91,15,0)),0,VLOOKUP($U$176,'TAR FIN'!$A$1:$O$91,15,0))</f>
        <v>179.13</v>
      </c>
      <c r="Y176" s="4"/>
      <c r="Z176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6" s="4">
        <f>('TE BE'!$AB$17+'TE BF'!$AB$17+'TE CVA'!$AB$17)*(1-CUSTOS!$M$36)</f>
        <v>184.97096880722503</v>
      </c>
      <c r="AB176" s="4">
        <f t="shared" si="14"/>
        <v>0</v>
      </c>
      <c r="AC176" s="4">
        <f>(L176-M176)*(W176+X176)+($W$184+$X$184-$W$176-$X$176)*(L176)</f>
        <v>4552.3851800000048</v>
      </c>
      <c r="AD176" s="4">
        <f t="shared" si="15"/>
        <v>0</v>
      </c>
      <c r="AE176" s="4">
        <f ca="1">(L176-M176)*(Z176+AA176)+($Z$184+$AA$184-$Z$176-$AA$176)*(L176)</f>
        <v>4772.5606958388826</v>
      </c>
      <c r="AF176" s="3" t="s">
        <v>778</v>
      </c>
    </row>
    <row r="177" spans="1:32" ht="11.25" customHeight="1" x14ac:dyDescent="0.3">
      <c r="A177" s="3" t="s">
        <v>27</v>
      </c>
      <c r="B177" s="3" t="s">
        <v>22</v>
      </c>
      <c r="C177" s="3" t="s">
        <v>23</v>
      </c>
      <c r="D177" s="3" t="s">
        <v>24</v>
      </c>
      <c r="E177" s="3" t="s">
        <v>31</v>
      </c>
      <c r="F177" s="3" t="s">
        <v>25</v>
      </c>
      <c r="G177" s="3" t="s">
        <v>25</v>
      </c>
      <c r="H177" s="3" t="s">
        <v>25</v>
      </c>
      <c r="I177" s="6">
        <v>44621</v>
      </c>
      <c r="J177" s="4">
        <v>0</v>
      </c>
      <c r="K177" s="4">
        <v>0</v>
      </c>
      <c r="L177" s="4">
        <v>-8.4000000000000005E-2</v>
      </c>
      <c r="M177" s="4">
        <v>-8.4000000000000005E-2</v>
      </c>
      <c r="N177" s="4">
        <v>-8.4000000000000005E-2</v>
      </c>
      <c r="O177" s="4">
        <v>-8.4000000000000005E-2</v>
      </c>
      <c r="P177" s="4">
        <v>0</v>
      </c>
      <c r="Q177" s="3" t="s">
        <v>26</v>
      </c>
      <c r="R177" s="3">
        <v>0</v>
      </c>
      <c r="S177" s="3">
        <v>0</v>
      </c>
      <c r="T177" s="3">
        <v>22</v>
      </c>
      <c r="U177" s="3">
        <v>62</v>
      </c>
      <c r="V177" s="4">
        <f>IF(ISERROR(VLOOKUP($S$177,'TAR FIN'!$A$1:$O$91,15,0)),0,VLOOKUP($S$177,'TAR FIN'!$A$1:$O$91,15,0))</f>
        <v>0</v>
      </c>
      <c r="W177" s="4">
        <f>IF(ISERROR(VLOOKUP($T$177,'TAR FIN'!$A$1:$O$91,15,0)),0,VLOOKUP($T$177,'TAR FIN'!$A$1:$O$91,15,0))</f>
        <v>288.39999999999998</v>
      </c>
      <c r="X177" s="4">
        <f>IF(ISERROR(VLOOKUP($U$177,'TAR FIN'!$A$1:$O$91,15,0)),0,VLOOKUP($U$177,'TAR FIN'!$A$1:$O$91,15,0))</f>
        <v>179.13</v>
      </c>
      <c r="Y177" s="4"/>
      <c r="Z177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7" s="4">
        <f>('TE BE'!$AB$17+'TE BF'!$AB$17+'TE CVA'!$AB$17)*(1-CUSTOS!$M$36)</f>
        <v>184.97096880722503</v>
      </c>
      <c r="AB177" s="4">
        <f t="shared" si="14"/>
        <v>0</v>
      </c>
      <c r="AC177" s="4">
        <f>(L177-M177)*(W177+X177)+($W$184+$X$184-$W$177-$X$177)*(L177)</f>
        <v>-4.3629600000000046</v>
      </c>
      <c r="AD177" s="4">
        <f t="shared" si="15"/>
        <v>0</v>
      </c>
      <c r="AE177" s="4">
        <f ca="1">(L177-M177)*(Z177+AA177)+($Z$184+$AA$184-$Z$177-$AA$177)*(L177)</f>
        <v>-4.5739739916992725</v>
      </c>
      <c r="AF177" s="3" t="s">
        <v>778</v>
      </c>
    </row>
    <row r="178" spans="1:32" ht="11.25" customHeight="1" x14ac:dyDescent="0.3">
      <c r="A178" s="3" t="s">
        <v>28</v>
      </c>
      <c r="B178" s="3" t="s">
        <v>22</v>
      </c>
      <c r="C178" s="3" t="s">
        <v>23</v>
      </c>
      <c r="D178" s="3" t="s">
        <v>24</v>
      </c>
      <c r="E178" s="3" t="s">
        <v>31</v>
      </c>
      <c r="F178" s="3" t="s">
        <v>25</v>
      </c>
      <c r="G178" s="3" t="s">
        <v>25</v>
      </c>
      <c r="H178" s="3" t="s">
        <v>25</v>
      </c>
      <c r="I178" s="6">
        <v>44621</v>
      </c>
      <c r="J178" s="4">
        <v>0</v>
      </c>
      <c r="K178" s="4">
        <v>0</v>
      </c>
      <c r="L178" s="4">
        <v>6.5000000000000002E-2</v>
      </c>
      <c r="M178" s="4">
        <v>5.8500000000000003E-2</v>
      </c>
      <c r="N178" s="4">
        <v>6.5000000000000002E-2</v>
      </c>
      <c r="O178" s="4">
        <v>5.8500000000000003E-2</v>
      </c>
      <c r="P178" s="4">
        <v>0</v>
      </c>
      <c r="Q178" s="3" t="s">
        <v>26</v>
      </c>
      <c r="R178" s="3">
        <v>0</v>
      </c>
      <c r="S178" s="3">
        <v>0</v>
      </c>
      <c r="T178" s="3">
        <v>22</v>
      </c>
      <c r="U178" s="3">
        <v>62</v>
      </c>
      <c r="V178" s="4">
        <f>IF(ISERROR(VLOOKUP($S$178,'TAR FIN'!$A$1:$O$91,15,0)),0,VLOOKUP($S$178,'TAR FIN'!$A$1:$O$91,15,0))</f>
        <v>0</v>
      </c>
      <c r="W178" s="4">
        <f>IF(ISERROR(VLOOKUP($T$178,'TAR FIN'!$A$1:$O$91,15,0)),0,VLOOKUP($T$178,'TAR FIN'!$A$1:$O$91,15,0))</f>
        <v>288.39999999999998</v>
      </c>
      <c r="X178" s="4">
        <f>IF(ISERROR(VLOOKUP($U$178,'TAR FIN'!$A$1:$O$91,15,0)),0,VLOOKUP($U$178,'TAR FIN'!$A$1:$O$91,15,0))</f>
        <v>179.13</v>
      </c>
      <c r="Y178" s="4"/>
      <c r="Z178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8" s="4">
        <f>('TE BE'!$AB$17+'TE BF'!$AB$17+'TE CVA'!$AB$17)*(1-CUSTOS!$M$36)</f>
        <v>184.97096880722503</v>
      </c>
      <c r="AB178" s="4">
        <f t="shared" si="14"/>
        <v>0</v>
      </c>
      <c r="AC178" s="4">
        <f>(L178-M178)*(W178+X178)+($W$184+$X$184-$W$178-$X$178)*(L178)</f>
        <v>6.4150450000000028</v>
      </c>
      <c r="AD178" s="4">
        <f t="shared" si="15"/>
        <v>0</v>
      </c>
      <c r="AE178" s="4">
        <f ca="1">(L178-M178)*(Z178+AA178)+($Z$184+$AA$184-$Z$178-$AA$178)*(L178)</f>
        <v>6.7248308092245246</v>
      </c>
      <c r="AF178" s="3" t="s">
        <v>778</v>
      </c>
    </row>
    <row r="179" spans="1:32" ht="11.25" customHeight="1" x14ac:dyDescent="0.3">
      <c r="A179" s="3" t="s">
        <v>21</v>
      </c>
      <c r="B179" s="3" t="s">
        <v>22</v>
      </c>
      <c r="C179" s="3" t="s">
        <v>23</v>
      </c>
      <c r="D179" s="3" t="s">
        <v>24</v>
      </c>
      <c r="E179" s="3" t="s">
        <v>31</v>
      </c>
      <c r="F179" s="3" t="s">
        <v>25</v>
      </c>
      <c r="G179" s="3" t="s">
        <v>25</v>
      </c>
      <c r="H179" s="3" t="s">
        <v>25</v>
      </c>
      <c r="I179" s="6">
        <v>44652</v>
      </c>
      <c r="J179" s="4">
        <v>0</v>
      </c>
      <c r="K179" s="4">
        <v>0</v>
      </c>
      <c r="L179" s="4">
        <v>65.495000000000005</v>
      </c>
      <c r="M179" s="4">
        <v>65.495000000000005</v>
      </c>
      <c r="N179" s="4">
        <v>65.495000000000005</v>
      </c>
      <c r="O179" s="4">
        <v>65.495000000000005</v>
      </c>
      <c r="P179" s="4">
        <v>636</v>
      </c>
      <c r="Q179" s="3" t="s">
        <v>26</v>
      </c>
      <c r="R179" s="3">
        <v>0</v>
      </c>
      <c r="S179" s="3">
        <v>0</v>
      </c>
      <c r="T179" s="3">
        <v>22</v>
      </c>
      <c r="U179" s="3">
        <v>62</v>
      </c>
      <c r="V179" s="4">
        <f>IF(ISERROR(VLOOKUP($S$179,'TAR FIN'!$A$1:$O$91,15,0)),0,VLOOKUP($S$179,'TAR FIN'!$A$1:$O$91,15,0))</f>
        <v>0</v>
      </c>
      <c r="W179" s="4">
        <f>IF(ISERROR(VLOOKUP($T$179,'TAR FIN'!$A$1:$O$91,15,0)),0,VLOOKUP($T$179,'TAR FIN'!$A$1:$O$91,15,0))</f>
        <v>288.39999999999998</v>
      </c>
      <c r="X179" s="4">
        <f>IF(ISERROR(VLOOKUP($U$179,'TAR FIN'!$A$1:$O$91,15,0)),0,VLOOKUP($U$179,'TAR FIN'!$A$1:$O$91,15,0))</f>
        <v>179.13</v>
      </c>
      <c r="Y179" s="4"/>
      <c r="Z179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79" s="4">
        <f>('TE BE'!$AB$17+'TE BF'!$AB$17+'TE CVA'!$AB$17)*(1-CUSTOS!$M$36)</f>
        <v>184.97096880722503</v>
      </c>
      <c r="AB179" s="4">
        <f t="shared" si="14"/>
        <v>0</v>
      </c>
      <c r="AC179" s="4">
        <f>(L179-M179)*(W179+X179)+($W$184+$X$184-$W$179-$X$179)*(L179)</f>
        <v>3401.8103000000037</v>
      </c>
      <c r="AD179" s="4">
        <f t="shared" si="15"/>
        <v>0</v>
      </c>
      <c r="AE179" s="4">
        <f ca="1">(L179-M179)*(Z179+AA179)+($Z$184+$AA$184-$Z$179-$AA$179)*(L179)</f>
        <v>3566.3384117421888</v>
      </c>
      <c r="AF179" s="3" t="s">
        <v>778</v>
      </c>
    </row>
    <row r="180" spans="1:32" ht="11.25" customHeight="1" x14ac:dyDescent="0.3">
      <c r="A180" s="3" t="s">
        <v>21</v>
      </c>
      <c r="B180" s="3" t="s">
        <v>22</v>
      </c>
      <c r="C180" s="3" t="s">
        <v>23</v>
      </c>
      <c r="D180" s="3" t="s">
        <v>24</v>
      </c>
      <c r="E180" s="3" t="s">
        <v>31</v>
      </c>
      <c r="F180" s="3" t="s">
        <v>25</v>
      </c>
      <c r="G180" s="3" t="s">
        <v>25</v>
      </c>
      <c r="H180" s="3" t="s">
        <v>25</v>
      </c>
      <c r="I180" s="6">
        <v>44682</v>
      </c>
      <c r="J180" s="4">
        <v>0</v>
      </c>
      <c r="K180" s="4">
        <v>0</v>
      </c>
      <c r="L180" s="4">
        <v>77.677999999999997</v>
      </c>
      <c r="M180" s="4">
        <v>77.677999999999997</v>
      </c>
      <c r="N180" s="4">
        <v>77.677999999999997</v>
      </c>
      <c r="O180" s="4">
        <v>77.677999999999997</v>
      </c>
      <c r="P180" s="4">
        <v>771</v>
      </c>
      <c r="Q180" s="3" t="s">
        <v>26</v>
      </c>
      <c r="R180" s="3">
        <v>0</v>
      </c>
      <c r="S180" s="3">
        <v>0</v>
      </c>
      <c r="T180" s="3">
        <v>22</v>
      </c>
      <c r="U180" s="3">
        <v>62</v>
      </c>
      <c r="V180" s="4">
        <f>IF(ISERROR(VLOOKUP($S$180,'TAR FIN'!$A$1:$O$91,15,0)),0,VLOOKUP($S$180,'TAR FIN'!$A$1:$O$91,15,0))</f>
        <v>0</v>
      </c>
      <c r="W180" s="4">
        <f>IF(ISERROR(VLOOKUP($T$180,'TAR FIN'!$A$1:$O$91,15,0)),0,VLOOKUP($T$180,'TAR FIN'!$A$1:$O$91,15,0))</f>
        <v>288.39999999999998</v>
      </c>
      <c r="X180" s="4">
        <f>IF(ISERROR(VLOOKUP($U$180,'TAR FIN'!$A$1:$O$91,15,0)),0,VLOOKUP($U$180,'TAR FIN'!$A$1:$O$91,15,0))</f>
        <v>179.13</v>
      </c>
      <c r="Y180" s="4"/>
      <c r="Z180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80" s="4">
        <f>('TE BE'!$AB$17+'TE BF'!$AB$17+'TE CVA'!$AB$17)*(1-CUSTOS!$M$36)</f>
        <v>184.97096880722503</v>
      </c>
      <c r="AB180" s="4">
        <f t="shared" si="14"/>
        <v>0</v>
      </c>
      <c r="AC180" s="4">
        <f>(L180-M180)*(W180+X180)+($W$184+$X$184-$W$180-$X$180)*(L180)</f>
        <v>4034.595320000004</v>
      </c>
      <c r="AD180" s="4">
        <f t="shared" si="15"/>
        <v>0</v>
      </c>
      <c r="AE180" s="4">
        <f ca="1">(L180-M180)*(Z180+AA180)+($Z$184+$AA$184-$Z$180-$AA$180)*(L180)</f>
        <v>4229.7279967525719</v>
      </c>
      <c r="AF180" s="3" t="s">
        <v>778</v>
      </c>
    </row>
    <row r="181" spans="1:32" ht="11.25" customHeight="1" x14ac:dyDescent="0.3">
      <c r="A181" s="3" t="s">
        <v>28</v>
      </c>
      <c r="B181" s="3" t="s">
        <v>22</v>
      </c>
      <c r="C181" s="3" t="s">
        <v>23</v>
      </c>
      <c r="D181" s="3" t="s">
        <v>24</v>
      </c>
      <c r="E181" s="3" t="s">
        <v>31</v>
      </c>
      <c r="F181" s="3" t="s">
        <v>25</v>
      </c>
      <c r="G181" s="3" t="s">
        <v>25</v>
      </c>
      <c r="H181" s="3" t="s">
        <v>25</v>
      </c>
      <c r="I181" s="6">
        <v>44682</v>
      </c>
      <c r="J181" s="4">
        <v>0</v>
      </c>
      <c r="K181" s="4">
        <v>0</v>
      </c>
      <c r="L181" s="4">
        <v>4.7E-2</v>
      </c>
      <c r="M181" s="4">
        <v>4.2299999999999997E-2</v>
      </c>
      <c r="N181" s="4">
        <v>4.7E-2</v>
      </c>
      <c r="O181" s="4">
        <v>4.2299999999999997E-2</v>
      </c>
      <c r="P181" s="4">
        <v>0</v>
      </c>
      <c r="Q181" s="3" t="s">
        <v>26</v>
      </c>
      <c r="R181" s="3">
        <v>0</v>
      </c>
      <c r="S181" s="3">
        <v>0</v>
      </c>
      <c r="T181" s="3">
        <v>22</v>
      </c>
      <c r="U181" s="3">
        <v>62</v>
      </c>
      <c r="V181" s="4">
        <f>IF(ISERROR(VLOOKUP($S$181,'TAR FIN'!$A$1:$O$91,15,0)),0,VLOOKUP($S$181,'TAR FIN'!$A$1:$O$91,15,0))</f>
        <v>0</v>
      </c>
      <c r="W181" s="4">
        <f>IF(ISERROR(VLOOKUP($T$181,'TAR FIN'!$A$1:$O$91,15,0)),0,VLOOKUP($T$181,'TAR FIN'!$A$1:$O$91,15,0))</f>
        <v>288.39999999999998</v>
      </c>
      <c r="X181" s="4">
        <f>IF(ISERROR(VLOOKUP($U$181,'TAR FIN'!$A$1:$O$91,15,0)),0,VLOOKUP($U$181,'TAR FIN'!$A$1:$O$91,15,0))</f>
        <v>179.13</v>
      </c>
      <c r="Y181" s="4"/>
      <c r="Z181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81" s="4">
        <f>('TE BE'!$AB$17+'TE BF'!$AB$17+'TE CVA'!$AB$17)*(1-CUSTOS!$M$36)</f>
        <v>184.97096880722503</v>
      </c>
      <c r="AB181" s="4">
        <f t="shared" si="14"/>
        <v>0</v>
      </c>
      <c r="AC181" s="4">
        <f>(L181-M181)*(W181+X181)+($W$184+$X$184-$W$181-$X$181)*(L181)</f>
        <v>4.6385710000000042</v>
      </c>
      <c r="AD181" s="4">
        <f t="shared" si="15"/>
        <v>0</v>
      </c>
      <c r="AE181" s="4">
        <f ca="1">(L181-M181)*(Z181+AA181)+($Z$184+$AA$184-$Z$181-$AA$181)*(L181)</f>
        <v>4.862569969746966</v>
      </c>
      <c r="AF181" s="3" t="s">
        <v>778</v>
      </c>
    </row>
    <row r="182" spans="1:32" ht="11.25" customHeight="1" x14ac:dyDescent="0.3">
      <c r="A182" s="3" t="s">
        <v>21</v>
      </c>
      <c r="B182" s="3" t="s">
        <v>22</v>
      </c>
      <c r="C182" s="3" t="s">
        <v>23</v>
      </c>
      <c r="D182" s="3" t="s">
        <v>24</v>
      </c>
      <c r="E182" s="3" t="s">
        <v>31</v>
      </c>
      <c r="F182" s="3" t="s">
        <v>25</v>
      </c>
      <c r="G182" s="3" t="s">
        <v>25</v>
      </c>
      <c r="H182" s="3" t="s">
        <v>25</v>
      </c>
      <c r="I182" s="6">
        <v>44713</v>
      </c>
      <c r="J182" s="4">
        <v>0</v>
      </c>
      <c r="K182" s="4">
        <v>0</v>
      </c>
      <c r="L182" s="4">
        <v>79.436999999999998</v>
      </c>
      <c r="M182" s="4">
        <v>79.436999999999998</v>
      </c>
      <c r="N182" s="4">
        <v>79.436999999999998</v>
      </c>
      <c r="O182" s="4">
        <v>79.436999999999998</v>
      </c>
      <c r="P182" s="4">
        <v>738</v>
      </c>
      <c r="Q182" s="3" t="s">
        <v>26</v>
      </c>
      <c r="R182" s="3">
        <v>0</v>
      </c>
      <c r="S182" s="3">
        <v>0</v>
      </c>
      <c r="T182" s="3">
        <v>22</v>
      </c>
      <c r="U182" s="3">
        <v>62</v>
      </c>
      <c r="V182" s="4">
        <f>IF(ISERROR(VLOOKUP($S$182,'TAR FIN'!$A$1:$O$91,15,0)),0,VLOOKUP($S$182,'TAR FIN'!$A$1:$O$91,15,0))</f>
        <v>0</v>
      </c>
      <c r="W182" s="4">
        <f>IF(ISERROR(VLOOKUP($T$182,'TAR FIN'!$A$1:$O$91,15,0)),0,VLOOKUP($T$182,'TAR FIN'!$A$1:$O$91,15,0))</f>
        <v>288.39999999999998</v>
      </c>
      <c r="X182" s="4">
        <f>IF(ISERROR(VLOOKUP($U$182,'TAR FIN'!$A$1:$O$91,15,0)),0,VLOOKUP($U$182,'TAR FIN'!$A$1:$O$91,15,0))</f>
        <v>179.13</v>
      </c>
      <c r="Y182" s="4"/>
      <c r="Z182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82" s="4">
        <f>('TE BE'!$AB$17+'TE BF'!$AB$17+'TE CVA'!$AB$17)*(1-CUSTOS!$M$36)</f>
        <v>184.97096880722503</v>
      </c>
      <c r="AB182" s="4">
        <f t="shared" si="14"/>
        <v>0</v>
      </c>
      <c r="AC182" s="4">
        <f>(L182-M182)*(W182+X182)+($W$184+$X$184-$W$182-$X$182)*(L182)</f>
        <v>4125.9577800000043</v>
      </c>
      <c r="AD182" s="4">
        <f t="shared" si="15"/>
        <v>0</v>
      </c>
      <c r="AE182" s="4">
        <f ca="1">(L182-M182)*(Z182+AA182)+($Z$184+$AA$184-$Z$182-$AA$182)*(L182)</f>
        <v>4325.5091902216082</v>
      </c>
      <c r="AF182" s="3" t="s">
        <v>778</v>
      </c>
    </row>
    <row r="183" spans="1:32" ht="11.25" customHeight="1" x14ac:dyDescent="0.3">
      <c r="A183" s="3" t="s">
        <v>28</v>
      </c>
      <c r="B183" s="3" t="s">
        <v>22</v>
      </c>
      <c r="C183" s="3" t="s">
        <v>23</v>
      </c>
      <c r="D183" s="3" t="s">
        <v>24</v>
      </c>
      <c r="E183" s="3" t="s">
        <v>31</v>
      </c>
      <c r="F183" s="3" t="s">
        <v>25</v>
      </c>
      <c r="G183" s="3" t="s">
        <v>25</v>
      </c>
      <c r="H183" s="3" t="s">
        <v>25</v>
      </c>
      <c r="I183" s="6">
        <v>44713</v>
      </c>
      <c r="J183" s="4">
        <v>0</v>
      </c>
      <c r="K183" s="4">
        <v>0</v>
      </c>
      <c r="L183" s="4">
        <v>8.5999999999999993E-2</v>
      </c>
      <c r="M183" s="4">
        <v>6.88E-2</v>
      </c>
      <c r="N183" s="4">
        <v>8.5999999999999993E-2</v>
      </c>
      <c r="O183" s="4">
        <v>6.88E-2</v>
      </c>
      <c r="P183" s="4">
        <v>1</v>
      </c>
      <c r="Q183" s="3" t="s">
        <v>26</v>
      </c>
      <c r="R183" s="3">
        <v>0</v>
      </c>
      <c r="S183" s="3">
        <v>0</v>
      </c>
      <c r="T183" s="3">
        <v>22</v>
      </c>
      <c r="U183" s="3">
        <v>62</v>
      </c>
      <c r="V183" s="4">
        <f>IF(ISERROR(VLOOKUP($S$183,'TAR FIN'!$A$1:$O$91,15,0)),0,VLOOKUP($S$183,'TAR FIN'!$A$1:$O$91,15,0))</f>
        <v>0</v>
      </c>
      <c r="W183" s="4">
        <f>IF(ISERROR(VLOOKUP($T$183,'TAR FIN'!$A$1:$O$91,15,0)),0,VLOOKUP($T$183,'TAR FIN'!$A$1:$O$91,15,0))</f>
        <v>288.39999999999998</v>
      </c>
      <c r="X183" s="4">
        <f>IF(ISERROR(VLOOKUP($U$183,'TAR FIN'!$A$1:$O$91,15,0)),0,VLOOKUP($U$183,'TAR FIN'!$A$1:$O$91,15,0))</f>
        <v>179.13</v>
      </c>
      <c r="Y183" s="4"/>
      <c r="Z183" s="4">
        <f ca="1">('TUSD BE'!$AM$26+'TUSD BF'!$AM$26+'TUSD CVA'!$AM$26-('TUSD BE'!$P$26+'TUSD BF'!$P$26+'TUSD CVA'!$P$26)-('TUSD BE'!$Q$26+'TUSD BF'!$Q$26+'TUSD CVA'!$Q$26)-('TUSD BE'!$R$26+'TUSD BF'!$R$26+'TUSD CVA'!$R$26))*(1-CUSTOS!$M$36)</f>
        <v>305.09767316055417</v>
      </c>
      <c r="AA183" s="4">
        <f>('TE BE'!$AB$17+'TE BF'!$AB$17+'TE CVA'!$AB$17)*(1-CUSTOS!$M$36)</f>
        <v>184.97096880722503</v>
      </c>
      <c r="AB183" s="4">
        <f t="shared" si="14"/>
        <v>0</v>
      </c>
      <c r="AC183" s="4">
        <f>(L183-M183)*(W183+X183)+($W$184+$X$184-$W$183-$X$183)*(L183)</f>
        <v>12.508355999999999</v>
      </c>
      <c r="AD183" s="4">
        <f t="shared" si="15"/>
        <v>0</v>
      </c>
      <c r="AE183" s="4">
        <f ca="1">(L183-M183)*(Z183+AA183)+($Z$184+$AA$184-$Z$183-$AA$183)*(L183)</f>
        <v>13.112058776204577</v>
      </c>
      <c r="AF183" s="3" t="s">
        <v>778</v>
      </c>
    </row>
    <row r="184" spans="1:32" ht="11.25" customHeight="1" x14ac:dyDescent="0.3">
      <c r="A184" s="3" t="s">
        <v>21</v>
      </c>
      <c r="B184" s="3" t="s">
        <v>22</v>
      </c>
      <c r="C184" s="3" t="s">
        <v>23</v>
      </c>
      <c r="D184" s="3" t="s">
        <v>24</v>
      </c>
      <c r="E184" s="3" t="s">
        <v>32</v>
      </c>
      <c r="F184" s="3" t="s">
        <v>25</v>
      </c>
      <c r="G184" s="3" t="s">
        <v>25</v>
      </c>
      <c r="H184" s="3" t="s">
        <v>25</v>
      </c>
      <c r="I184" s="6">
        <v>44378</v>
      </c>
      <c r="J184" s="4">
        <v>0</v>
      </c>
      <c r="K184" s="4">
        <v>0</v>
      </c>
      <c r="L184" s="4">
        <v>12.297000000000001</v>
      </c>
      <c r="M184" s="4">
        <v>12.297000000000001</v>
      </c>
      <c r="N184" s="4">
        <v>12.297000000000001</v>
      </c>
      <c r="O184" s="4">
        <v>12.297000000000001</v>
      </c>
      <c r="P184" s="4">
        <v>196</v>
      </c>
      <c r="Q184" s="3" t="s">
        <v>26</v>
      </c>
      <c r="R184" s="3">
        <v>0</v>
      </c>
      <c r="S184" s="3">
        <v>0</v>
      </c>
      <c r="T184" s="3">
        <v>23</v>
      </c>
      <c r="U184" s="3">
        <v>63</v>
      </c>
      <c r="V184" s="4">
        <f>IF(ISERROR(VLOOKUP($S$184,'TAR FIN'!$A$1:$O$91,15,0)),0,VLOOKUP($S$184,'TAR FIN'!$A$1:$O$91,15,0))</f>
        <v>0</v>
      </c>
      <c r="W184" s="4">
        <f>IF(ISERROR(VLOOKUP($T$184,'TAR FIN'!$A$1:$O$91,15,0)),0,VLOOKUP($T$184,'TAR FIN'!$A$1:$O$91,15,0))</f>
        <v>320.44</v>
      </c>
      <c r="X184" s="4">
        <f>IF(ISERROR(VLOOKUP($U$184,'TAR FIN'!$A$1:$O$91,15,0)),0,VLOOKUP($U$184,'TAR FIN'!$A$1:$O$91,15,0))</f>
        <v>199.03</v>
      </c>
      <c r="Y184" s="4"/>
      <c r="Z184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84" s="4">
        <f>('TE BE'!$AB$18+'TE BF'!$AB$18+'TE CVA'!$AB$18)*(1-CUSTOS!$M$37)</f>
        <v>205.52329867469447</v>
      </c>
      <c r="AB184" s="4">
        <f t="shared" si="14"/>
        <v>0</v>
      </c>
      <c r="AC184" s="4">
        <f>(L184-M184)*(W184+X184)+($W$184+$X$184-$W$184-$X$184)*(L184)</f>
        <v>3.495017608656781E-13</v>
      </c>
      <c r="AD184" s="4">
        <f t="shared" si="15"/>
        <v>0</v>
      </c>
      <c r="AE184" s="4">
        <f ca="1">(L184-M184)*(Z184+AA184)+($Z$184+$AA$184-$Z$184-$AA$184)*(L184)</f>
        <v>3.495017608656781E-13</v>
      </c>
      <c r="AF184" s="3" t="s">
        <v>778</v>
      </c>
    </row>
    <row r="185" spans="1:32" ht="11.25" customHeight="1" x14ac:dyDescent="0.3">
      <c r="A185" s="3" t="s">
        <v>27</v>
      </c>
      <c r="B185" s="3" t="s">
        <v>22</v>
      </c>
      <c r="C185" s="3" t="s">
        <v>23</v>
      </c>
      <c r="D185" s="3" t="s">
        <v>24</v>
      </c>
      <c r="E185" s="3" t="s">
        <v>32</v>
      </c>
      <c r="F185" s="3" t="s">
        <v>25</v>
      </c>
      <c r="G185" s="3" t="s">
        <v>25</v>
      </c>
      <c r="H185" s="3" t="s">
        <v>25</v>
      </c>
      <c r="I185" s="6">
        <v>44378</v>
      </c>
      <c r="J185" s="4">
        <v>0</v>
      </c>
      <c r="K185" s="4">
        <v>0</v>
      </c>
      <c r="L185" s="4">
        <v>-0.03</v>
      </c>
      <c r="M185" s="4">
        <v>-0.03</v>
      </c>
      <c r="N185" s="4">
        <v>-0.03</v>
      </c>
      <c r="O185" s="4">
        <v>-0.03</v>
      </c>
      <c r="P185" s="4">
        <v>0</v>
      </c>
      <c r="Q185" s="3" t="s">
        <v>26</v>
      </c>
      <c r="R185" s="3">
        <v>0</v>
      </c>
      <c r="S185" s="3">
        <v>0</v>
      </c>
      <c r="T185" s="3">
        <v>23</v>
      </c>
      <c r="U185" s="3">
        <v>63</v>
      </c>
      <c r="V185" s="4">
        <f>IF(ISERROR(VLOOKUP($S$185,'TAR FIN'!$A$1:$O$91,15,0)),0,VLOOKUP($S$185,'TAR FIN'!$A$1:$O$91,15,0))</f>
        <v>0</v>
      </c>
      <c r="W185" s="4">
        <f>IF(ISERROR(VLOOKUP($T$185,'TAR FIN'!$A$1:$O$91,15,0)),0,VLOOKUP($T$185,'TAR FIN'!$A$1:$O$91,15,0))</f>
        <v>320.44</v>
      </c>
      <c r="X185" s="4">
        <f>IF(ISERROR(VLOOKUP($U$185,'TAR FIN'!$A$1:$O$91,15,0)),0,VLOOKUP($U$185,'TAR FIN'!$A$1:$O$91,15,0))</f>
        <v>199.03</v>
      </c>
      <c r="Y185" s="4"/>
      <c r="Z185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85" s="4">
        <f>('TE BE'!$AB$18+'TE BF'!$AB$18+'TE CVA'!$AB$18)*(1-CUSTOS!$M$37)</f>
        <v>205.52329867469447</v>
      </c>
      <c r="AB185" s="4">
        <f t="shared" si="14"/>
        <v>0</v>
      </c>
      <c r="AC185" s="4">
        <f>(L185-M185)*(W185+X185)+($W$184+$X$184-$W$185-$X$185)*(L185)</f>
        <v>-8.5265128291212019E-16</v>
      </c>
      <c r="AD185" s="4">
        <f t="shared" si="15"/>
        <v>0</v>
      </c>
      <c r="AE185" s="4">
        <f ca="1">(L185-M185)*(Z185+AA185)+($Z$184+$AA$184-$Z$185-$AA$185)*(L185)</f>
        <v>-8.5265128291212019E-16</v>
      </c>
      <c r="AF185" s="3" t="s">
        <v>778</v>
      </c>
    </row>
    <row r="186" spans="1:32" ht="11.25" customHeight="1" x14ac:dyDescent="0.3">
      <c r="A186" s="3" t="s">
        <v>21</v>
      </c>
      <c r="B186" s="3" t="s">
        <v>22</v>
      </c>
      <c r="C186" s="3" t="s">
        <v>23</v>
      </c>
      <c r="D186" s="3" t="s">
        <v>24</v>
      </c>
      <c r="E186" s="3" t="s">
        <v>32</v>
      </c>
      <c r="F186" s="3" t="s">
        <v>25</v>
      </c>
      <c r="G186" s="3" t="s">
        <v>25</v>
      </c>
      <c r="H186" s="3" t="s">
        <v>25</v>
      </c>
      <c r="I186" s="6">
        <v>44409</v>
      </c>
      <c r="J186" s="4">
        <v>0</v>
      </c>
      <c r="K186" s="4">
        <v>0</v>
      </c>
      <c r="L186" s="4">
        <v>16.533000000000001</v>
      </c>
      <c r="M186" s="4">
        <v>16.533000000000001</v>
      </c>
      <c r="N186" s="4">
        <v>16.533000000000001</v>
      </c>
      <c r="O186" s="4">
        <v>16.533000000000001</v>
      </c>
      <c r="P186" s="4">
        <v>233</v>
      </c>
      <c r="Q186" s="3" t="s">
        <v>26</v>
      </c>
      <c r="R186" s="3">
        <v>0</v>
      </c>
      <c r="S186" s="3">
        <v>0</v>
      </c>
      <c r="T186" s="3">
        <v>23</v>
      </c>
      <c r="U186" s="3">
        <v>63</v>
      </c>
      <c r="V186" s="4">
        <f>IF(ISERROR(VLOOKUP($S$186,'TAR FIN'!$A$1:$O$91,15,0)),0,VLOOKUP($S$186,'TAR FIN'!$A$1:$O$91,15,0))</f>
        <v>0</v>
      </c>
      <c r="W186" s="4">
        <f>IF(ISERROR(VLOOKUP($T$186,'TAR FIN'!$A$1:$O$91,15,0)),0,VLOOKUP($T$186,'TAR FIN'!$A$1:$O$91,15,0))</f>
        <v>320.44</v>
      </c>
      <c r="X186" s="4">
        <f>IF(ISERROR(VLOOKUP($U$186,'TAR FIN'!$A$1:$O$91,15,0)),0,VLOOKUP($U$186,'TAR FIN'!$A$1:$O$91,15,0))</f>
        <v>199.03</v>
      </c>
      <c r="Y186" s="4"/>
      <c r="Z186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86" s="4">
        <f>('TE BE'!$AB$18+'TE BF'!$AB$18+'TE CVA'!$AB$18)*(1-CUSTOS!$M$37)</f>
        <v>205.52329867469447</v>
      </c>
      <c r="AB186" s="4">
        <f t="shared" si="14"/>
        <v>0</v>
      </c>
      <c r="AC186" s="4">
        <f>(L186-M186)*(W186+X186)+($W$184+$X$184-$W$186-$X$186)*(L186)</f>
        <v>4.6989612201286949E-13</v>
      </c>
      <c r="AD186" s="4">
        <f t="shared" si="15"/>
        <v>0</v>
      </c>
      <c r="AE186" s="4">
        <f ca="1">(L186-M186)*(Z186+AA186)+($Z$184+$AA$184-$Z$186-$AA$186)*(L186)</f>
        <v>4.6989612201286949E-13</v>
      </c>
      <c r="AF186" s="3" t="s">
        <v>778</v>
      </c>
    </row>
    <row r="187" spans="1:32" ht="11.25" customHeight="1" x14ac:dyDescent="0.3">
      <c r="A187" s="3" t="s">
        <v>21</v>
      </c>
      <c r="B187" s="3" t="s">
        <v>22</v>
      </c>
      <c r="C187" s="3" t="s">
        <v>23</v>
      </c>
      <c r="D187" s="3" t="s">
        <v>24</v>
      </c>
      <c r="E187" s="3" t="s">
        <v>32</v>
      </c>
      <c r="F187" s="3" t="s">
        <v>25</v>
      </c>
      <c r="G187" s="3" t="s">
        <v>25</v>
      </c>
      <c r="H187" s="3" t="s">
        <v>25</v>
      </c>
      <c r="I187" s="6">
        <v>44440</v>
      </c>
      <c r="J187" s="4">
        <v>0</v>
      </c>
      <c r="K187" s="4">
        <v>0</v>
      </c>
      <c r="L187" s="4">
        <v>14.256</v>
      </c>
      <c r="M187" s="4">
        <v>14.256</v>
      </c>
      <c r="N187" s="4">
        <v>14.256</v>
      </c>
      <c r="O187" s="4">
        <v>14.256</v>
      </c>
      <c r="P187" s="4">
        <v>222</v>
      </c>
      <c r="Q187" s="3" t="s">
        <v>26</v>
      </c>
      <c r="R187" s="3">
        <v>0</v>
      </c>
      <c r="S187" s="3">
        <v>0</v>
      </c>
      <c r="T187" s="3">
        <v>23</v>
      </c>
      <c r="U187" s="3">
        <v>63</v>
      </c>
      <c r="V187" s="4">
        <f>IF(ISERROR(VLOOKUP($S$187,'TAR FIN'!$A$1:$O$91,15,0)),0,VLOOKUP($S$187,'TAR FIN'!$A$1:$O$91,15,0))</f>
        <v>0</v>
      </c>
      <c r="W187" s="4">
        <f>IF(ISERROR(VLOOKUP($T$187,'TAR FIN'!$A$1:$O$91,15,0)),0,VLOOKUP($T$187,'TAR FIN'!$A$1:$O$91,15,0))</f>
        <v>320.44</v>
      </c>
      <c r="X187" s="4">
        <f>IF(ISERROR(VLOOKUP($U$187,'TAR FIN'!$A$1:$O$91,15,0)),0,VLOOKUP($U$187,'TAR FIN'!$A$1:$O$91,15,0))</f>
        <v>199.03</v>
      </c>
      <c r="Y187" s="4"/>
      <c r="Z187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87" s="4">
        <f>('TE BE'!$AB$18+'TE BF'!$AB$18+'TE CVA'!$AB$18)*(1-CUSTOS!$M$37)</f>
        <v>205.52329867469447</v>
      </c>
      <c r="AB187" s="4">
        <f t="shared" si="14"/>
        <v>0</v>
      </c>
      <c r="AC187" s="4">
        <f>(L187-M187)*(W187+X187)+($W$184+$X$184-$W$187-$X$187)*(L187)</f>
        <v>4.0517988963983954E-13</v>
      </c>
      <c r="AD187" s="4">
        <f t="shared" si="15"/>
        <v>0</v>
      </c>
      <c r="AE187" s="4">
        <f ca="1">(L187-M187)*(Z187+AA187)+($Z$184+$AA$184-$Z$187-$AA$187)*(L187)</f>
        <v>4.0517988963983954E-13</v>
      </c>
      <c r="AF187" s="3" t="s">
        <v>778</v>
      </c>
    </row>
    <row r="188" spans="1:32" ht="11.25" customHeight="1" x14ac:dyDescent="0.3">
      <c r="A188" s="3" t="s">
        <v>21</v>
      </c>
      <c r="B188" s="3" t="s">
        <v>22</v>
      </c>
      <c r="C188" s="3" t="s">
        <v>23</v>
      </c>
      <c r="D188" s="3" t="s">
        <v>24</v>
      </c>
      <c r="E188" s="3" t="s">
        <v>32</v>
      </c>
      <c r="F188" s="3" t="s">
        <v>25</v>
      </c>
      <c r="G188" s="3" t="s">
        <v>25</v>
      </c>
      <c r="H188" s="3" t="s">
        <v>25</v>
      </c>
      <c r="I188" s="6">
        <v>44470</v>
      </c>
      <c r="J188" s="4">
        <v>0</v>
      </c>
      <c r="K188" s="4">
        <v>0</v>
      </c>
      <c r="L188" s="4">
        <v>15.997999999999999</v>
      </c>
      <c r="M188" s="4">
        <v>15.997999999999999</v>
      </c>
      <c r="N188" s="4">
        <v>15.997999999999999</v>
      </c>
      <c r="O188" s="4">
        <v>15.997999999999999</v>
      </c>
      <c r="P188" s="4">
        <v>244</v>
      </c>
      <c r="Q188" s="3" t="s">
        <v>26</v>
      </c>
      <c r="R188" s="3">
        <v>0</v>
      </c>
      <c r="S188" s="3">
        <v>0</v>
      </c>
      <c r="T188" s="3">
        <v>23</v>
      </c>
      <c r="U188" s="3">
        <v>63</v>
      </c>
      <c r="V188" s="4">
        <f>IF(ISERROR(VLOOKUP($S$188,'TAR FIN'!$A$1:$O$91,15,0)),0,VLOOKUP($S$188,'TAR FIN'!$A$1:$O$91,15,0))</f>
        <v>0</v>
      </c>
      <c r="W188" s="4">
        <f>IF(ISERROR(VLOOKUP($T$188,'TAR FIN'!$A$1:$O$91,15,0)),0,VLOOKUP($T$188,'TAR FIN'!$A$1:$O$91,15,0))</f>
        <v>320.44</v>
      </c>
      <c r="X188" s="4">
        <f>IF(ISERROR(VLOOKUP($U$188,'TAR FIN'!$A$1:$O$91,15,0)),0,VLOOKUP($U$188,'TAR FIN'!$A$1:$O$91,15,0))</f>
        <v>199.03</v>
      </c>
      <c r="Y188" s="4"/>
      <c r="Z188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88" s="4">
        <f>('TE BE'!$AB$18+'TE BF'!$AB$18+'TE CVA'!$AB$18)*(1-CUSTOS!$M$37)</f>
        <v>205.52329867469447</v>
      </c>
      <c r="AB188" s="4">
        <f t="shared" si="14"/>
        <v>0</v>
      </c>
      <c r="AC188" s="4">
        <f>(L188-M188)*(W188+X188)+($W$184+$X$184-$W$188-$X$188)*(L188)</f>
        <v>4.5469050746760329E-13</v>
      </c>
      <c r="AD188" s="4">
        <f t="shared" si="15"/>
        <v>0</v>
      </c>
      <c r="AE188" s="4">
        <f ca="1">(L188-M188)*(Z188+AA188)+($Z$184+$AA$184-$Z$188-$AA$188)*(L188)</f>
        <v>4.5469050746760329E-13</v>
      </c>
      <c r="AF188" s="3" t="s">
        <v>778</v>
      </c>
    </row>
    <row r="189" spans="1:32" ht="11.25" customHeight="1" x14ac:dyDescent="0.3">
      <c r="A189" s="3" t="s">
        <v>21</v>
      </c>
      <c r="B189" s="3" t="s">
        <v>22</v>
      </c>
      <c r="C189" s="3" t="s">
        <v>23</v>
      </c>
      <c r="D189" s="3" t="s">
        <v>24</v>
      </c>
      <c r="E189" s="3" t="s">
        <v>32</v>
      </c>
      <c r="F189" s="3" t="s">
        <v>25</v>
      </c>
      <c r="G189" s="3" t="s">
        <v>25</v>
      </c>
      <c r="H189" s="3" t="s">
        <v>25</v>
      </c>
      <c r="I189" s="6">
        <v>44501</v>
      </c>
      <c r="J189" s="4">
        <v>0</v>
      </c>
      <c r="K189" s="4">
        <v>0</v>
      </c>
      <c r="L189" s="4">
        <v>22.010999999999999</v>
      </c>
      <c r="M189" s="4">
        <v>22.010999999999999</v>
      </c>
      <c r="N189" s="4">
        <v>22.010999999999999</v>
      </c>
      <c r="O189" s="4">
        <v>22.010999999999999</v>
      </c>
      <c r="P189" s="4">
        <v>303</v>
      </c>
      <c r="Q189" s="3" t="s">
        <v>26</v>
      </c>
      <c r="R189" s="3">
        <v>0</v>
      </c>
      <c r="S189" s="3">
        <v>0</v>
      </c>
      <c r="T189" s="3">
        <v>23</v>
      </c>
      <c r="U189" s="3">
        <v>63</v>
      </c>
      <c r="V189" s="4">
        <f>IF(ISERROR(VLOOKUP($S$189,'TAR FIN'!$A$1:$O$91,15,0)),0,VLOOKUP($S$189,'TAR FIN'!$A$1:$O$91,15,0))</f>
        <v>0</v>
      </c>
      <c r="W189" s="4">
        <f>IF(ISERROR(VLOOKUP($T$189,'TAR FIN'!$A$1:$O$91,15,0)),0,VLOOKUP($T$189,'TAR FIN'!$A$1:$O$91,15,0))</f>
        <v>320.44</v>
      </c>
      <c r="X189" s="4">
        <f>IF(ISERROR(VLOOKUP($U$189,'TAR FIN'!$A$1:$O$91,15,0)),0,VLOOKUP($U$189,'TAR FIN'!$A$1:$O$91,15,0))</f>
        <v>199.03</v>
      </c>
      <c r="Y189" s="4"/>
      <c r="Z189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89" s="4">
        <f>('TE BE'!$AB$18+'TE BF'!$AB$18+'TE CVA'!$AB$18)*(1-CUSTOS!$M$37)</f>
        <v>205.52329867469447</v>
      </c>
      <c r="AB189" s="4">
        <f t="shared" si="14"/>
        <v>0</v>
      </c>
      <c r="AC189" s="4">
        <f>(L189-M189)*(W189+X189)+($W$184+$X$184-$W$189-$X$189)*(L189)</f>
        <v>6.2559024627262259E-13</v>
      </c>
      <c r="AD189" s="4">
        <f t="shared" si="15"/>
        <v>0</v>
      </c>
      <c r="AE189" s="4">
        <f ca="1">(L189-M189)*(Z189+AA189)+($Z$184+$AA$184-$Z$189-$AA$189)*(L189)</f>
        <v>6.2559024627262259E-13</v>
      </c>
      <c r="AF189" s="3" t="s">
        <v>778</v>
      </c>
    </row>
    <row r="190" spans="1:32" ht="11.25" customHeight="1" x14ac:dyDescent="0.3">
      <c r="A190" s="3" t="s">
        <v>21</v>
      </c>
      <c r="B190" s="3" t="s">
        <v>22</v>
      </c>
      <c r="C190" s="3" t="s">
        <v>23</v>
      </c>
      <c r="D190" s="3" t="s">
        <v>24</v>
      </c>
      <c r="E190" s="3" t="s">
        <v>32</v>
      </c>
      <c r="F190" s="3" t="s">
        <v>25</v>
      </c>
      <c r="G190" s="3" t="s">
        <v>25</v>
      </c>
      <c r="H190" s="3" t="s">
        <v>25</v>
      </c>
      <c r="I190" s="6">
        <v>44531</v>
      </c>
      <c r="J190" s="4">
        <v>0</v>
      </c>
      <c r="K190" s="4">
        <v>0</v>
      </c>
      <c r="L190" s="4">
        <v>25.661000000000001</v>
      </c>
      <c r="M190" s="4">
        <v>25.661000000000001</v>
      </c>
      <c r="N190" s="4">
        <v>25.661000000000001</v>
      </c>
      <c r="O190" s="4">
        <v>25.661000000000001</v>
      </c>
      <c r="P190" s="4">
        <v>354</v>
      </c>
      <c r="Q190" s="3" t="s">
        <v>26</v>
      </c>
      <c r="R190" s="3">
        <v>0</v>
      </c>
      <c r="S190" s="3">
        <v>0</v>
      </c>
      <c r="T190" s="3">
        <v>23</v>
      </c>
      <c r="U190" s="3">
        <v>63</v>
      </c>
      <c r="V190" s="4">
        <f>IF(ISERROR(VLOOKUP($S$190,'TAR FIN'!$A$1:$O$91,15,0)),0,VLOOKUP($S$190,'TAR FIN'!$A$1:$O$91,15,0))</f>
        <v>0</v>
      </c>
      <c r="W190" s="4">
        <f>IF(ISERROR(VLOOKUP($T$190,'TAR FIN'!$A$1:$O$91,15,0)),0,VLOOKUP($T$190,'TAR FIN'!$A$1:$O$91,15,0))</f>
        <v>320.44</v>
      </c>
      <c r="X190" s="4">
        <f>IF(ISERROR(VLOOKUP($U$190,'TAR FIN'!$A$1:$O$91,15,0)),0,VLOOKUP($U$190,'TAR FIN'!$A$1:$O$91,15,0))</f>
        <v>199.03</v>
      </c>
      <c r="Y190" s="4"/>
      <c r="Z190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0" s="4">
        <f>('TE BE'!$AB$18+'TE BF'!$AB$18+'TE CVA'!$AB$18)*(1-CUSTOS!$M$37)</f>
        <v>205.52329867469447</v>
      </c>
      <c r="AB190" s="4">
        <f t="shared" si="14"/>
        <v>0</v>
      </c>
      <c r="AC190" s="4">
        <f>(L190-M190)*(W190+X190)+($W$184+$X$184-$W$190-$X$190)*(L190)</f>
        <v>7.2932948569359727E-13</v>
      </c>
      <c r="AD190" s="4">
        <f t="shared" si="15"/>
        <v>0</v>
      </c>
      <c r="AE190" s="4">
        <f ca="1">(L190-M190)*(Z190+AA190)+($Z$184+$AA$184-$Z$190-$AA$190)*(L190)</f>
        <v>7.2932948569359727E-13</v>
      </c>
      <c r="AF190" s="3" t="s">
        <v>778</v>
      </c>
    </row>
    <row r="191" spans="1:32" ht="11.25" customHeight="1" x14ac:dyDescent="0.3">
      <c r="A191" s="3" t="s">
        <v>21</v>
      </c>
      <c r="B191" s="3" t="s">
        <v>22</v>
      </c>
      <c r="C191" s="3" t="s">
        <v>23</v>
      </c>
      <c r="D191" s="3" t="s">
        <v>24</v>
      </c>
      <c r="E191" s="3" t="s">
        <v>32</v>
      </c>
      <c r="F191" s="3" t="s">
        <v>25</v>
      </c>
      <c r="G191" s="3" t="s">
        <v>25</v>
      </c>
      <c r="H191" s="3" t="s">
        <v>25</v>
      </c>
      <c r="I191" s="6">
        <v>44562</v>
      </c>
      <c r="J191" s="4">
        <v>0</v>
      </c>
      <c r="K191" s="4">
        <v>0</v>
      </c>
      <c r="L191" s="4">
        <v>47.101999999999997</v>
      </c>
      <c r="M191" s="4">
        <v>47.101999999999997</v>
      </c>
      <c r="N191" s="4">
        <v>47.101999999999997</v>
      </c>
      <c r="O191" s="4">
        <v>47.101999999999997</v>
      </c>
      <c r="P191" s="4">
        <v>453</v>
      </c>
      <c r="Q191" s="3" t="s">
        <v>26</v>
      </c>
      <c r="R191" s="3">
        <v>0</v>
      </c>
      <c r="S191" s="3">
        <v>0</v>
      </c>
      <c r="T191" s="3">
        <v>23</v>
      </c>
      <c r="U191" s="3">
        <v>63</v>
      </c>
      <c r="V191" s="4">
        <f>IF(ISERROR(VLOOKUP($S$191,'TAR FIN'!$A$1:$O$91,15,0)),0,VLOOKUP($S$191,'TAR FIN'!$A$1:$O$91,15,0))</f>
        <v>0</v>
      </c>
      <c r="W191" s="4">
        <f>IF(ISERROR(VLOOKUP($T$191,'TAR FIN'!$A$1:$O$91,15,0)),0,VLOOKUP($T$191,'TAR FIN'!$A$1:$O$91,15,0))</f>
        <v>320.44</v>
      </c>
      <c r="X191" s="4">
        <f>IF(ISERROR(VLOOKUP($U$191,'TAR FIN'!$A$1:$O$91,15,0)),0,VLOOKUP($U$191,'TAR FIN'!$A$1:$O$91,15,0))</f>
        <v>199.03</v>
      </c>
      <c r="Y191" s="4"/>
      <c r="Z191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1" s="4">
        <f>('TE BE'!$AB$18+'TE BF'!$AB$18+'TE CVA'!$AB$18)*(1-CUSTOS!$M$37)</f>
        <v>205.52329867469447</v>
      </c>
      <c r="AB191" s="4">
        <f t="shared" si="14"/>
        <v>0</v>
      </c>
      <c r="AC191" s="4">
        <f>(L191-M191)*(W191+X191)+($W$184+$X$184-$W$191-$X$191)*(L191)</f>
        <v>1.3387193575908895E-12</v>
      </c>
      <c r="AD191" s="4">
        <f t="shared" si="15"/>
        <v>0</v>
      </c>
      <c r="AE191" s="4">
        <f ca="1">(L191-M191)*(Z191+AA191)+($Z$184+$AA$184-$Z$191-$AA$191)*(L191)</f>
        <v>1.3387193575908895E-12</v>
      </c>
      <c r="AF191" s="3" t="s">
        <v>778</v>
      </c>
    </row>
    <row r="192" spans="1:32" ht="11.25" customHeight="1" x14ac:dyDescent="0.3">
      <c r="A192" s="3" t="s">
        <v>27</v>
      </c>
      <c r="B192" s="3" t="s">
        <v>22</v>
      </c>
      <c r="C192" s="3" t="s">
        <v>23</v>
      </c>
      <c r="D192" s="3" t="s">
        <v>24</v>
      </c>
      <c r="E192" s="3" t="s">
        <v>32</v>
      </c>
      <c r="F192" s="3" t="s">
        <v>25</v>
      </c>
      <c r="G192" s="3" t="s">
        <v>25</v>
      </c>
      <c r="H192" s="3" t="s">
        <v>25</v>
      </c>
      <c r="I192" s="6">
        <v>44562</v>
      </c>
      <c r="J192" s="4">
        <v>0</v>
      </c>
      <c r="K192" s="4">
        <v>0</v>
      </c>
      <c r="L192" s="4">
        <v>0.24</v>
      </c>
      <c r="M192" s="4">
        <v>0.24</v>
      </c>
      <c r="N192" s="4">
        <v>0.24</v>
      </c>
      <c r="O192" s="4">
        <v>0.24</v>
      </c>
      <c r="P192" s="4">
        <v>0</v>
      </c>
      <c r="Q192" s="3" t="s">
        <v>26</v>
      </c>
      <c r="R192" s="3">
        <v>0</v>
      </c>
      <c r="S192" s="3">
        <v>0</v>
      </c>
      <c r="T192" s="3">
        <v>23</v>
      </c>
      <c r="U192" s="3">
        <v>63</v>
      </c>
      <c r="V192" s="4">
        <f>IF(ISERROR(VLOOKUP($S$192,'TAR FIN'!$A$1:$O$91,15,0)),0,VLOOKUP($S$192,'TAR FIN'!$A$1:$O$91,15,0))</f>
        <v>0</v>
      </c>
      <c r="W192" s="4">
        <f>IF(ISERROR(VLOOKUP($T$192,'TAR FIN'!$A$1:$O$91,15,0)),0,VLOOKUP($T$192,'TAR FIN'!$A$1:$O$91,15,0))</f>
        <v>320.44</v>
      </c>
      <c r="X192" s="4">
        <f>IF(ISERROR(VLOOKUP($U$192,'TAR FIN'!$A$1:$O$91,15,0)),0,VLOOKUP($U$192,'TAR FIN'!$A$1:$O$91,15,0))</f>
        <v>199.03</v>
      </c>
      <c r="Y192" s="4"/>
      <c r="Z192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2" s="4">
        <f>('TE BE'!$AB$18+'TE BF'!$AB$18+'TE CVA'!$AB$18)*(1-CUSTOS!$M$37)</f>
        <v>205.52329867469447</v>
      </c>
      <c r="AB192" s="4">
        <f t="shared" si="14"/>
        <v>0</v>
      </c>
      <c r="AC192" s="4">
        <f>(L192-M192)*(W192+X192)+($W$184+$X$184-$W$192-$X$192)*(L192)</f>
        <v>6.8212102632969615E-15</v>
      </c>
      <c r="AD192" s="4">
        <f t="shared" si="15"/>
        <v>0</v>
      </c>
      <c r="AE192" s="4">
        <f ca="1">(L192-M192)*(Z192+AA192)+($Z$184+$AA$184-$Z$192-$AA$192)*(L192)</f>
        <v>6.8212102632969615E-15</v>
      </c>
      <c r="AF192" s="3" t="s">
        <v>778</v>
      </c>
    </row>
    <row r="193" spans="1:32" ht="11.25" customHeight="1" x14ac:dyDescent="0.3">
      <c r="A193" s="3" t="s">
        <v>21</v>
      </c>
      <c r="B193" s="3" t="s">
        <v>22</v>
      </c>
      <c r="C193" s="3" t="s">
        <v>23</v>
      </c>
      <c r="D193" s="3" t="s">
        <v>24</v>
      </c>
      <c r="E193" s="3" t="s">
        <v>32</v>
      </c>
      <c r="F193" s="3" t="s">
        <v>25</v>
      </c>
      <c r="G193" s="3" t="s">
        <v>25</v>
      </c>
      <c r="H193" s="3" t="s">
        <v>25</v>
      </c>
      <c r="I193" s="6">
        <v>44593</v>
      </c>
      <c r="J193" s="4">
        <v>0</v>
      </c>
      <c r="K193" s="4">
        <v>0</v>
      </c>
      <c r="L193" s="4">
        <v>70.347999999999999</v>
      </c>
      <c r="M193" s="4">
        <v>70.347999999999999</v>
      </c>
      <c r="N193" s="4">
        <v>70.347999999999999</v>
      </c>
      <c r="O193" s="4">
        <v>70.347999999999999</v>
      </c>
      <c r="P193" s="4">
        <v>564</v>
      </c>
      <c r="Q193" s="3" t="s">
        <v>26</v>
      </c>
      <c r="R193" s="3">
        <v>0</v>
      </c>
      <c r="S193" s="3">
        <v>0</v>
      </c>
      <c r="T193" s="3">
        <v>23</v>
      </c>
      <c r="U193" s="3">
        <v>63</v>
      </c>
      <c r="V193" s="4">
        <f>IF(ISERROR(VLOOKUP($S$193,'TAR FIN'!$A$1:$O$91,15,0)),0,VLOOKUP($S$193,'TAR FIN'!$A$1:$O$91,15,0))</f>
        <v>0</v>
      </c>
      <c r="W193" s="4">
        <f>IF(ISERROR(VLOOKUP($T$193,'TAR FIN'!$A$1:$O$91,15,0)),0,VLOOKUP($T$193,'TAR FIN'!$A$1:$O$91,15,0))</f>
        <v>320.44</v>
      </c>
      <c r="X193" s="4">
        <f>IF(ISERROR(VLOOKUP($U$193,'TAR FIN'!$A$1:$O$91,15,0)),0,VLOOKUP($U$193,'TAR FIN'!$A$1:$O$91,15,0))</f>
        <v>199.03</v>
      </c>
      <c r="Y193" s="4"/>
      <c r="Z193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3" s="4">
        <f>('TE BE'!$AB$18+'TE BF'!$AB$18+'TE CVA'!$AB$18)*(1-CUSTOS!$M$37)</f>
        <v>205.52329867469447</v>
      </c>
      <c r="AB193" s="4">
        <f t="shared" si="14"/>
        <v>0</v>
      </c>
      <c r="AC193" s="4">
        <f>(L193-M193)*(W193+X193)+($W$184+$X$184-$W$193-$X$193)*(L193)</f>
        <v>1.9994104150100611E-12</v>
      </c>
      <c r="AD193" s="4">
        <f t="shared" si="15"/>
        <v>0</v>
      </c>
      <c r="AE193" s="4">
        <f ca="1">(L193-M193)*(Z193+AA193)+($Z$184+$AA$184-$Z$193-$AA$193)*(L193)</f>
        <v>1.9994104150100611E-12</v>
      </c>
      <c r="AF193" s="3" t="s">
        <v>778</v>
      </c>
    </row>
    <row r="194" spans="1:32" ht="11.25" customHeight="1" x14ac:dyDescent="0.3">
      <c r="A194" s="3" t="s">
        <v>27</v>
      </c>
      <c r="B194" s="3" t="s">
        <v>22</v>
      </c>
      <c r="C194" s="3" t="s">
        <v>23</v>
      </c>
      <c r="D194" s="3" t="s">
        <v>24</v>
      </c>
      <c r="E194" s="3" t="s">
        <v>32</v>
      </c>
      <c r="F194" s="3" t="s">
        <v>25</v>
      </c>
      <c r="G194" s="3" t="s">
        <v>25</v>
      </c>
      <c r="H194" s="3" t="s">
        <v>25</v>
      </c>
      <c r="I194" s="6">
        <v>44593</v>
      </c>
      <c r="J194" s="4">
        <v>0</v>
      </c>
      <c r="K194" s="4">
        <v>0</v>
      </c>
      <c r="L194" s="4">
        <v>-0.61499999999999999</v>
      </c>
      <c r="M194" s="4">
        <v>-0.61499999999999999</v>
      </c>
      <c r="N194" s="4">
        <v>-0.61499999999999999</v>
      </c>
      <c r="O194" s="4">
        <v>-0.61499999999999999</v>
      </c>
      <c r="P194" s="4">
        <v>0</v>
      </c>
      <c r="Q194" s="3" t="s">
        <v>26</v>
      </c>
      <c r="R194" s="3">
        <v>0</v>
      </c>
      <c r="S194" s="3">
        <v>0</v>
      </c>
      <c r="T194" s="3">
        <v>23</v>
      </c>
      <c r="U194" s="3">
        <v>63</v>
      </c>
      <c r="V194" s="4">
        <f>IF(ISERROR(VLOOKUP($S$194,'TAR FIN'!$A$1:$O$91,15,0)),0,VLOOKUP($S$194,'TAR FIN'!$A$1:$O$91,15,0))</f>
        <v>0</v>
      </c>
      <c r="W194" s="4">
        <f>IF(ISERROR(VLOOKUP($T$194,'TAR FIN'!$A$1:$O$91,15,0)),0,VLOOKUP($T$194,'TAR FIN'!$A$1:$O$91,15,0))</f>
        <v>320.44</v>
      </c>
      <c r="X194" s="4">
        <f>IF(ISERROR(VLOOKUP($U$194,'TAR FIN'!$A$1:$O$91,15,0)),0,VLOOKUP($U$194,'TAR FIN'!$A$1:$O$91,15,0))</f>
        <v>199.03</v>
      </c>
      <c r="Y194" s="4"/>
      <c r="Z194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4" s="4">
        <f>('TE BE'!$AB$18+'TE BF'!$AB$18+'TE CVA'!$AB$18)*(1-CUSTOS!$M$37)</f>
        <v>205.52329867469447</v>
      </c>
      <c r="AB194" s="4">
        <f t="shared" ref="AB194:AB257" si="16">(J194-K194)*V194</f>
        <v>0</v>
      </c>
      <c r="AC194" s="4">
        <f>(L194-M194)*(W194+X194)+($W$184+$X$184-$W$194-$X$194)*(L194)</f>
        <v>-1.7479351299698464E-14</v>
      </c>
      <c r="AD194" s="4">
        <f t="shared" ref="AD194:AD257" si="17">(J194-K194)*Y194</f>
        <v>0</v>
      </c>
      <c r="AE194" s="4">
        <f ca="1">(L194-M194)*(Z194+AA194)+($Z$184+$AA$184-$Z$194-$AA$194)*(L194)</f>
        <v>-1.7479351299698464E-14</v>
      </c>
      <c r="AF194" s="3" t="s">
        <v>778</v>
      </c>
    </row>
    <row r="195" spans="1:32" ht="11.25" customHeight="1" x14ac:dyDescent="0.3">
      <c r="A195" s="3" t="s">
        <v>28</v>
      </c>
      <c r="B195" s="3" t="s">
        <v>22</v>
      </c>
      <c r="C195" s="3" t="s">
        <v>23</v>
      </c>
      <c r="D195" s="3" t="s">
        <v>24</v>
      </c>
      <c r="E195" s="3" t="s">
        <v>32</v>
      </c>
      <c r="F195" s="3" t="s">
        <v>25</v>
      </c>
      <c r="G195" s="3" t="s">
        <v>25</v>
      </c>
      <c r="H195" s="3" t="s">
        <v>25</v>
      </c>
      <c r="I195" s="6">
        <v>44593</v>
      </c>
      <c r="J195" s="4">
        <v>0</v>
      </c>
      <c r="K195" s="4">
        <v>0</v>
      </c>
      <c r="L195" s="4">
        <v>1.4E-2</v>
      </c>
      <c r="M195" s="4">
        <v>1.4E-2</v>
      </c>
      <c r="N195" s="4">
        <v>1.4E-2</v>
      </c>
      <c r="O195" s="4">
        <v>1.4E-2</v>
      </c>
      <c r="P195" s="4">
        <v>1</v>
      </c>
      <c r="Q195" s="3" t="s">
        <v>26</v>
      </c>
      <c r="R195" s="3">
        <v>0</v>
      </c>
      <c r="S195" s="3">
        <v>0</v>
      </c>
      <c r="T195" s="3">
        <v>23</v>
      </c>
      <c r="U195" s="3">
        <v>63</v>
      </c>
      <c r="V195" s="4">
        <f>IF(ISERROR(VLOOKUP($S$195,'TAR FIN'!$A$1:$O$91,15,0)),0,VLOOKUP($S$195,'TAR FIN'!$A$1:$O$91,15,0))</f>
        <v>0</v>
      </c>
      <c r="W195" s="4">
        <f>IF(ISERROR(VLOOKUP($T$195,'TAR FIN'!$A$1:$O$91,15,0)),0,VLOOKUP($T$195,'TAR FIN'!$A$1:$O$91,15,0))</f>
        <v>320.44</v>
      </c>
      <c r="X195" s="4">
        <f>IF(ISERROR(VLOOKUP($U$195,'TAR FIN'!$A$1:$O$91,15,0)),0,VLOOKUP($U$195,'TAR FIN'!$A$1:$O$91,15,0))</f>
        <v>199.03</v>
      </c>
      <c r="Y195" s="4"/>
      <c r="Z195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5" s="4">
        <f>('TE BE'!$AB$18+'TE BF'!$AB$18+'TE CVA'!$AB$18)*(1-CUSTOS!$M$37)</f>
        <v>205.52329867469447</v>
      </c>
      <c r="AB195" s="4">
        <f t="shared" si="16"/>
        <v>0</v>
      </c>
      <c r="AC195" s="4">
        <f>(L195-M195)*(W195+X195)+($W$184+$X$184-$W$195-$X$195)*(L195)</f>
        <v>3.9790393202565611E-16</v>
      </c>
      <c r="AD195" s="4">
        <f t="shared" si="17"/>
        <v>0</v>
      </c>
      <c r="AE195" s="4">
        <f ca="1">(L195-M195)*(Z195+AA195)+($Z$184+$AA$184-$Z$195-$AA$195)*(L195)</f>
        <v>3.9790393202565611E-16</v>
      </c>
      <c r="AF195" s="3" t="s">
        <v>778</v>
      </c>
    </row>
    <row r="196" spans="1:32" ht="11.25" customHeight="1" x14ac:dyDescent="0.3">
      <c r="A196" s="3" t="s">
        <v>21</v>
      </c>
      <c r="B196" s="3" t="s">
        <v>22</v>
      </c>
      <c r="C196" s="3" t="s">
        <v>23</v>
      </c>
      <c r="D196" s="3" t="s">
        <v>24</v>
      </c>
      <c r="E196" s="3" t="s">
        <v>32</v>
      </c>
      <c r="F196" s="3" t="s">
        <v>25</v>
      </c>
      <c r="G196" s="3" t="s">
        <v>25</v>
      </c>
      <c r="H196" s="3" t="s">
        <v>25</v>
      </c>
      <c r="I196" s="6">
        <v>44621</v>
      </c>
      <c r="J196" s="4">
        <v>0</v>
      </c>
      <c r="K196" s="4">
        <v>0</v>
      </c>
      <c r="L196" s="4">
        <v>43.421999999999997</v>
      </c>
      <c r="M196" s="4">
        <v>43.421999999999997</v>
      </c>
      <c r="N196" s="4">
        <v>43.421999999999997</v>
      </c>
      <c r="O196" s="4">
        <v>43.421999999999997</v>
      </c>
      <c r="P196" s="4">
        <v>447</v>
      </c>
      <c r="Q196" s="3" t="s">
        <v>26</v>
      </c>
      <c r="R196" s="3">
        <v>0</v>
      </c>
      <c r="S196" s="3">
        <v>0</v>
      </c>
      <c r="T196" s="3">
        <v>23</v>
      </c>
      <c r="U196" s="3">
        <v>63</v>
      </c>
      <c r="V196" s="4">
        <f>IF(ISERROR(VLOOKUP($S$196,'TAR FIN'!$A$1:$O$91,15,0)),0,VLOOKUP($S$196,'TAR FIN'!$A$1:$O$91,15,0))</f>
        <v>0</v>
      </c>
      <c r="W196" s="4">
        <f>IF(ISERROR(VLOOKUP($T$196,'TAR FIN'!$A$1:$O$91,15,0)),0,VLOOKUP($T$196,'TAR FIN'!$A$1:$O$91,15,0))</f>
        <v>320.44</v>
      </c>
      <c r="X196" s="4">
        <f>IF(ISERROR(VLOOKUP($U$196,'TAR FIN'!$A$1:$O$91,15,0)),0,VLOOKUP($U$196,'TAR FIN'!$A$1:$O$91,15,0))</f>
        <v>199.03</v>
      </c>
      <c r="Y196" s="4"/>
      <c r="Z196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6" s="4">
        <f>('TE BE'!$AB$18+'TE BF'!$AB$18+'TE CVA'!$AB$18)*(1-CUSTOS!$M$37)</f>
        <v>205.52329867469447</v>
      </c>
      <c r="AB196" s="4">
        <f t="shared" si="16"/>
        <v>0</v>
      </c>
      <c r="AC196" s="4">
        <f>(L196-M196)*(W196+X196)+($W$184+$X$184-$W$196-$X$196)*(L196)</f>
        <v>1.2341274668870027E-12</v>
      </c>
      <c r="AD196" s="4">
        <f t="shared" si="17"/>
        <v>0</v>
      </c>
      <c r="AE196" s="4">
        <f ca="1">(L196-M196)*(Z196+AA196)+($Z$184+$AA$184-$Z$196-$AA$196)*(L196)</f>
        <v>1.2341274668870027E-12</v>
      </c>
      <c r="AF196" s="3" t="s">
        <v>778</v>
      </c>
    </row>
    <row r="197" spans="1:32" ht="11.25" customHeight="1" x14ac:dyDescent="0.3">
      <c r="A197" s="3" t="s">
        <v>27</v>
      </c>
      <c r="B197" s="3" t="s">
        <v>22</v>
      </c>
      <c r="C197" s="3" t="s">
        <v>23</v>
      </c>
      <c r="D197" s="3" t="s">
        <v>24</v>
      </c>
      <c r="E197" s="3" t="s">
        <v>32</v>
      </c>
      <c r="F197" s="3" t="s">
        <v>25</v>
      </c>
      <c r="G197" s="3" t="s">
        <v>25</v>
      </c>
      <c r="H197" s="3" t="s">
        <v>25</v>
      </c>
      <c r="I197" s="6">
        <v>44621</v>
      </c>
      <c r="J197" s="4">
        <v>0</v>
      </c>
      <c r="K197" s="4">
        <v>0</v>
      </c>
      <c r="L197" s="4">
        <v>-0.43099999999999999</v>
      </c>
      <c r="M197" s="4">
        <v>-0.43099999999999999</v>
      </c>
      <c r="N197" s="4">
        <v>-0.43099999999999999</v>
      </c>
      <c r="O197" s="4">
        <v>-0.43099999999999999</v>
      </c>
      <c r="P197" s="4">
        <v>0</v>
      </c>
      <c r="Q197" s="3" t="s">
        <v>26</v>
      </c>
      <c r="R197" s="3">
        <v>0</v>
      </c>
      <c r="S197" s="3">
        <v>0</v>
      </c>
      <c r="T197" s="3">
        <v>23</v>
      </c>
      <c r="U197" s="3">
        <v>63</v>
      </c>
      <c r="V197" s="4">
        <f>IF(ISERROR(VLOOKUP($S$197,'TAR FIN'!$A$1:$O$91,15,0)),0,VLOOKUP($S$197,'TAR FIN'!$A$1:$O$91,15,0))</f>
        <v>0</v>
      </c>
      <c r="W197" s="4">
        <f>IF(ISERROR(VLOOKUP($T$197,'TAR FIN'!$A$1:$O$91,15,0)),0,VLOOKUP($T$197,'TAR FIN'!$A$1:$O$91,15,0))</f>
        <v>320.44</v>
      </c>
      <c r="X197" s="4">
        <f>IF(ISERROR(VLOOKUP($U$197,'TAR FIN'!$A$1:$O$91,15,0)),0,VLOOKUP($U$197,'TAR FIN'!$A$1:$O$91,15,0))</f>
        <v>199.03</v>
      </c>
      <c r="Y197" s="4"/>
      <c r="Z197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7" s="4">
        <f>('TE BE'!$AB$18+'TE BF'!$AB$18+'TE CVA'!$AB$18)*(1-CUSTOS!$M$37)</f>
        <v>205.52329867469447</v>
      </c>
      <c r="AB197" s="4">
        <f t="shared" si="16"/>
        <v>0</v>
      </c>
      <c r="AC197" s="4">
        <f>(L197-M197)*(W197+X197)+($W$184+$X$184-$W$197-$X$197)*(L197)</f>
        <v>-1.2249756764504127E-14</v>
      </c>
      <c r="AD197" s="4">
        <f t="shared" si="17"/>
        <v>0</v>
      </c>
      <c r="AE197" s="4">
        <f ca="1">(L197-M197)*(Z197+AA197)+($Z$184+$AA$184-$Z$197-$AA$197)*(L197)</f>
        <v>-1.2249756764504127E-14</v>
      </c>
      <c r="AF197" s="3" t="s">
        <v>778</v>
      </c>
    </row>
    <row r="198" spans="1:32" ht="11.25" customHeight="1" x14ac:dyDescent="0.3">
      <c r="A198" s="3" t="s">
        <v>21</v>
      </c>
      <c r="B198" s="3" t="s">
        <v>22</v>
      </c>
      <c r="C198" s="3" t="s">
        <v>23</v>
      </c>
      <c r="D198" s="3" t="s">
        <v>24</v>
      </c>
      <c r="E198" s="3" t="s">
        <v>32</v>
      </c>
      <c r="F198" s="3" t="s">
        <v>25</v>
      </c>
      <c r="G198" s="3" t="s">
        <v>25</v>
      </c>
      <c r="H198" s="3" t="s">
        <v>25</v>
      </c>
      <c r="I198" s="6">
        <v>44652</v>
      </c>
      <c r="J198" s="4">
        <v>0</v>
      </c>
      <c r="K198" s="4">
        <v>0</v>
      </c>
      <c r="L198" s="4">
        <v>17.241</v>
      </c>
      <c r="M198" s="4">
        <v>17.241</v>
      </c>
      <c r="N198" s="4">
        <v>17.241</v>
      </c>
      <c r="O198" s="4">
        <v>17.241</v>
      </c>
      <c r="P198" s="4">
        <v>245</v>
      </c>
      <c r="Q198" s="3" t="s">
        <v>26</v>
      </c>
      <c r="R198" s="3">
        <v>0</v>
      </c>
      <c r="S198" s="3">
        <v>0</v>
      </c>
      <c r="T198" s="3">
        <v>23</v>
      </c>
      <c r="U198" s="3">
        <v>63</v>
      </c>
      <c r="V198" s="4">
        <f>IF(ISERROR(VLOOKUP($S$198,'TAR FIN'!$A$1:$O$91,15,0)),0,VLOOKUP($S$198,'TAR FIN'!$A$1:$O$91,15,0))</f>
        <v>0</v>
      </c>
      <c r="W198" s="4">
        <f>IF(ISERROR(VLOOKUP($T$198,'TAR FIN'!$A$1:$O$91,15,0)),0,VLOOKUP($T$198,'TAR FIN'!$A$1:$O$91,15,0))</f>
        <v>320.44</v>
      </c>
      <c r="X198" s="4">
        <f>IF(ISERROR(VLOOKUP($U$198,'TAR FIN'!$A$1:$O$91,15,0)),0,VLOOKUP($U$198,'TAR FIN'!$A$1:$O$91,15,0))</f>
        <v>199.03</v>
      </c>
      <c r="Y198" s="4"/>
      <c r="Z198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8" s="4">
        <f>('TE BE'!$AB$18+'TE BF'!$AB$18+'TE CVA'!$AB$18)*(1-CUSTOS!$M$37)</f>
        <v>205.52329867469447</v>
      </c>
      <c r="AB198" s="4">
        <f t="shared" si="16"/>
        <v>0</v>
      </c>
      <c r="AC198" s="4">
        <f>(L198-M198)*(W198+X198)+($W$184+$X$184-$W$198-$X$198)*(L198)</f>
        <v>4.9001869228959548E-13</v>
      </c>
      <c r="AD198" s="4">
        <f t="shared" si="17"/>
        <v>0</v>
      </c>
      <c r="AE198" s="4">
        <f ca="1">(L198-M198)*(Z198+AA198)+($Z$184+$AA$184-$Z$198-$AA$198)*(L198)</f>
        <v>4.9001869228959548E-13</v>
      </c>
      <c r="AF198" s="3" t="s">
        <v>778</v>
      </c>
    </row>
    <row r="199" spans="1:32" ht="11.25" customHeight="1" x14ac:dyDescent="0.3">
      <c r="A199" s="3" t="s">
        <v>21</v>
      </c>
      <c r="B199" s="3" t="s">
        <v>22</v>
      </c>
      <c r="C199" s="3" t="s">
        <v>23</v>
      </c>
      <c r="D199" s="3" t="s">
        <v>24</v>
      </c>
      <c r="E199" s="3" t="s">
        <v>32</v>
      </c>
      <c r="F199" s="3" t="s">
        <v>25</v>
      </c>
      <c r="G199" s="3" t="s">
        <v>25</v>
      </c>
      <c r="H199" s="3" t="s">
        <v>25</v>
      </c>
      <c r="I199" s="6">
        <v>44682</v>
      </c>
      <c r="J199" s="4">
        <v>0</v>
      </c>
      <c r="K199" s="4">
        <v>0</v>
      </c>
      <c r="L199" s="4">
        <v>22.236000000000001</v>
      </c>
      <c r="M199" s="4">
        <v>22.236000000000001</v>
      </c>
      <c r="N199" s="4">
        <v>22.236000000000001</v>
      </c>
      <c r="O199" s="4">
        <v>22.236000000000001</v>
      </c>
      <c r="P199" s="4">
        <v>294</v>
      </c>
      <c r="Q199" s="3" t="s">
        <v>26</v>
      </c>
      <c r="R199" s="3">
        <v>0</v>
      </c>
      <c r="S199" s="3">
        <v>0</v>
      </c>
      <c r="T199" s="3">
        <v>23</v>
      </c>
      <c r="U199" s="3">
        <v>63</v>
      </c>
      <c r="V199" s="4">
        <f>IF(ISERROR(VLOOKUP($S$199,'TAR FIN'!$A$1:$O$91,15,0)),0,VLOOKUP($S$199,'TAR FIN'!$A$1:$O$91,15,0))</f>
        <v>0</v>
      </c>
      <c r="W199" s="4">
        <f>IF(ISERROR(VLOOKUP($T$199,'TAR FIN'!$A$1:$O$91,15,0)),0,VLOOKUP($T$199,'TAR FIN'!$A$1:$O$91,15,0))</f>
        <v>320.44</v>
      </c>
      <c r="X199" s="4">
        <f>IF(ISERROR(VLOOKUP($U$199,'TAR FIN'!$A$1:$O$91,15,0)),0,VLOOKUP($U$199,'TAR FIN'!$A$1:$O$91,15,0))</f>
        <v>199.03</v>
      </c>
      <c r="Y199" s="4"/>
      <c r="Z199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199" s="4">
        <f>('TE BE'!$AB$18+'TE BF'!$AB$18+'TE CVA'!$AB$18)*(1-CUSTOS!$M$37)</f>
        <v>205.52329867469447</v>
      </c>
      <c r="AB199" s="4">
        <f t="shared" si="16"/>
        <v>0</v>
      </c>
      <c r="AC199" s="4">
        <f>(L199-M199)*(W199+X199)+($W$184+$X$184-$W$199-$X$199)*(L199)</f>
        <v>6.3198513089446353E-13</v>
      </c>
      <c r="AD199" s="4">
        <f t="shared" si="17"/>
        <v>0</v>
      </c>
      <c r="AE199" s="4">
        <f ca="1">(L199-M199)*(Z199+AA199)+($Z$184+$AA$184-$Z$199-$AA$199)*(L199)</f>
        <v>6.3198513089446353E-13</v>
      </c>
      <c r="AF199" s="3" t="s">
        <v>778</v>
      </c>
    </row>
    <row r="200" spans="1:32" ht="11.25" customHeight="1" x14ac:dyDescent="0.3">
      <c r="A200" s="3" t="s">
        <v>21</v>
      </c>
      <c r="B200" s="3" t="s">
        <v>22</v>
      </c>
      <c r="C200" s="3" t="s">
        <v>23</v>
      </c>
      <c r="D200" s="3" t="s">
        <v>24</v>
      </c>
      <c r="E200" s="3" t="s">
        <v>32</v>
      </c>
      <c r="F200" s="3" t="s">
        <v>25</v>
      </c>
      <c r="G200" s="3" t="s">
        <v>25</v>
      </c>
      <c r="H200" s="3" t="s">
        <v>25</v>
      </c>
      <c r="I200" s="6">
        <v>44713</v>
      </c>
      <c r="J200" s="4">
        <v>0</v>
      </c>
      <c r="K200" s="4">
        <v>0</v>
      </c>
      <c r="L200" s="4">
        <v>25.146999999999998</v>
      </c>
      <c r="M200" s="4">
        <v>25.146999999999998</v>
      </c>
      <c r="N200" s="4">
        <v>25.146999999999998</v>
      </c>
      <c r="O200" s="4">
        <v>25.146999999999998</v>
      </c>
      <c r="P200" s="4">
        <v>316</v>
      </c>
      <c r="Q200" s="3" t="s">
        <v>26</v>
      </c>
      <c r="R200" s="3">
        <v>0</v>
      </c>
      <c r="S200" s="3">
        <v>0</v>
      </c>
      <c r="T200" s="3">
        <v>23</v>
      </c>
      <c r="U200" s="3">
        <v>63</v>
      </c>
      <c r="V200" s="4">
        <f>IF(ISERROR(VLOOKUP($S$200,'TAR FIN'!$A$1:$O$91,15,0)),0,VLOOKUP($S$200,'TAR FIN'!$A$1:$O$91,15,0))</f>
        <v>0</v>
      </c>
      <c r="W200" s="4">
        <f>IF(ISERROR(VLOOKUP($T$200,'TAR FIN'!$A$1:$O$91,15,0)),0,VLOOKUP($T$200,'TAR FIN'!$A$1:$O$91,15,0))</f>
        <v>320.44</v>
      </c>
      <c r="X200" s="4">
        <f>IF(ISERROR(VLOOKUP($U$200,'TAR FIN'!$A$1:$O$91,15,0)),0,VLOOKUP($U$200,'TAR FIN'!$A$1:$O$91,15,0))</f>
        <v>199.03</v>
      </c>
      <c r="Y200" s="4"/>
      <c r="Z200" s="4">
        <f ca="1">('TUSD BE'!$AM$27+'TUSD BF'!$AM$27+'TUSD CVA'!$AM$27-('TUSD BE'!$P$27+'TUSD BF'!$P$27+'TUSD CVA'!$P$27)-('TUSD BE'!$Q$27+'TUSD BF'!$Q$27+'TUSD CVA'!$Q$27)-('TUSD BE'!$R$27+'TUSD BF'!$R$27+'TUSD CVA'!$R$27))*(1-CUSTOS!$M$37)</f>
        <v>338.99741462283794</v>
      </c>
      <c r="AA200" s="4">
        <f>('TE BE'!$AB$18+'TE BF'!$AB$18+'TE CVA'!$AB$18)*(1-CUSTOS!$M$37)</f>
        <v>205.52329867469447</v>
      </c>
      <c r="AB200" s="4">
        <f t="shared" si="16"/>
        <v>0</v>
      </c>
      <c r="AC200" s="4">
        <f>(L200-M200)*(W200+X200)+($W$184+$X$184-$W$200-$X$200)*(L200)</f>
        <v>7.1472072704636953E-13</v>
      </c>
      <c r="AD200" s="4">
        <f t="shared" si="17"/>
        <v>0</v>
      </c>
      <c r="AE200" s="4">
        <f ca="1">(L200-M200)*(Z200+AA200)+($Z$184+$AA$184-$Z$200-$AA$200)*(L200)</f>
        <v>7.1472072704636953E-13</v>
      </c>
      <c r="AF200" s="3" t="s">
        <v>778</v>
      </c>
    </row>
    <row r="201" spans="1:32" ht="11.25" customHeight="1" x14ac:dyDescent="0.3">
      <c r="A201" s="3" t="s">
        <v>21</v>
      </c>
      <c r="B201" s="3" t="s">
        <v>42</v>
      </c>
      <c r="C201" s="3" t="s">
        <v>33</v>
      </c>
      <c r="D201" s="3" t="s">
        <v>43</v>
      </c>
      <c r="E201" s="3" t="s">
        <v>25</v>
      </c>
      <c r="F201" s="3" t="s">
        <v>25</v>
      </c>
      <c r="G201" s="3" t="s">
        <v>25</v>
      </c>
      <c r="H201" s="3" t="s">
        <v>35</v>
      </c>
      <c r="I201" s="6">
        <v>44409</v>
      </c>
      <c r="J201" s="4">
        <v>0</v>
      </c>
      <c r="K201" s="4">
        <v>0</v>
      </c>
      <c r="L201" s="4">
        <v>0.13700000000000001</v>
      </c>
      <c r="M201" s="4">
        <v>0.13700000000000001</v>
      </c>
      <c r="N201" s="4">
        <v>0.13700000000000001</v>
      </c>
      <c r="O201" s="4">
        <v>0.13700000000000001</v>
      </c>
      <c r="P201" s="4">
        <v>0</v>
      </c>
      <c r="Q201" s="3" t="s">
        <v>26</v>
      </c>
      <c r="R201" s="3">
        <v>0</v>
      </c>
      <c r="S201" s="3">
        <v>0</v>
      </c>
      <c r="T201" s="3">
        <v>31</v>
      </c>
      <c r="U201" s="3">
        <v>71</v>
      </c>
      <c r="V201" s="4">
        <f>IF(ISERROR(VLOOKUP($S$201,'TAR FIN'!$A$1:$O$91,15,0)),0,VLOOKUP($S$201,'TAR FIN'!$A$1:$O$91,15,0))</f>
        <v>0</v>
      </c>
      <c r="W201" s="4">
        <f>IF(ISERROR(VLOOKUP($T$201,'TAR FIN'!$A$1:$O$91,15,0)),0,VLOOKUP($T$201,'TAR FIN'!$A$1:$O$91,15,0))</f>
        <v>243.73</v>
      </c>
      <c r="X201" s="4">
        <f>IF(ISERROR(VLOOKUP($U$201,'TAR FIN'!$A$1:$O$91,15,0)),0,VLOOKUP($U$201,'TAR FIN'!$A$1:$O$91,15,0))</f>
        <v>167.16</v>
      </c>
      <c r="Y201" s="4"/>
      <c r="Z201" s="4">
        <f ca="1">('TUSD BE'!$AM$35+'TUSD BF'!$AM$35+'TUSD CVA'!$AM$35)*(1-CUSTOS!$M$38)</f>
        <v>308.75483518149031</v>
      </c>
      <c r="AA201" s="4">
        <f>('TE BE'!$AB$26+'TE BF'!$AB$26+'TE CVA'!$AB$26)*(1-CUSTOS!$M$38)</f>
        <v>184.1432479319173</v>
      </c>
      <c r="AB201" s="4">
        <f t="shared" si="16"/>
        <v>0</v>
      </c>
      <c r="AC201" s="4">
        <f>(L201*W201+M201*X201)/(1-CUSTOS!$M$38)*CUSTOS!$M$38</f>
        <v>3.5931019148936176</v>
      </c>
      <c r="AD201" s="4">
        <f t="shared" si="17"/>
        <v>0</v>
      </c>
      <c r="AE201" s="4">
        <f ca="1">(L201*Z201+N201*AA201)/(1-CUSTOS!$M$38)*CUSTOS!$M$38</f>
        <v>4.3102364289278841</v>
      </c>
      <c r="AF201" s="3" t="s">
        <v>777</v>
      </c>
    </row>
    <row r="202" spans="1:32" ht="11.25" customHeight="1" x14ac:dyDescent="0.3">
      <c r="A202" s="3" t="s">
        <v>21</v>
      </c>
      <c r="B202" s="3" t="s">
        <v>42</v>
      </c>
      <c r="C202" s="3" t="s">
        <v>33</v>
      </c>
      <c r="D202" s="3" t="s">
        <v>43</v>
      </c>
      <c r="E202" s="3" t="s">
        <v>25</v>
      </c>
      <c r="F202" s="3" t="s">
        <v>25</v>
      </c>
      <c r="G202" s="3" t="s">
        <v>25</v>
      </c>
      <c r="H202" s="3" t="s">
        <v>35</v>
      </c>
      <c r="I202" s="6">
        <v>44470</v>
      </c>
      <c r="J202" s="4">
        <v>0</v>
      </c>
      <c r="K202" s="4">
        <v>0</v>
      </c>
      <c r="L202" s="4">
        <v>0.44500000000000001</v>
      </c>
      <c r="M202" s="4">
        <v>0.44500000000000001</v>
      </c>
      <c r="N202" s="4">
        <v>0.44500000000000001</v>
      </c>
      <c r="O202" s="4">
        <v>0.44500000000000001</v>
      </c>
      <c r="P202" s="4">
        <v>0</v>
      </c>
      <c r="Q202" s="3" t="s">
        <v>26</v>
      </c>
      <c r="R202" s="3">
        <v>0</v>
      </c>
      <c r="S202" s="3">
        <v>0</v>
      </c>
      <c r="T202" s="3">
        <v>31</v>
      </c>
      <c r="U202" s="3">
        <v>71</v>
      </c>
      <c r="V202" s="4">
        <f>IF(ISERROR(VLOOKUP($S$202,'TAR FIN'!$A$1:$O$91,15,0)),0,VLOOKUP($S$202,'TAR FIN'!$A$1:$O$91,15,0))</f>
        <v>0</v>
      </c>
      <c r="W202" s="4">
        <f>IF(ISERROR(VLOOKUP($T$202,'TAR FIN'!$A$1:$O$91,15,0)),0,VLOOKUP($T$202,'TAR FIN'!$A$1:$O$91,15,0))</f>
        <v>243.73</v>
      </c>
      <c r="X202" s="4">
        <f>IF(ISERROR(VLOOKUP($U$202,'TAR FIN'!$A$1:$O$91,15,0)),0,VLOOKUP($U$202,'TAR FIN'!$A$1:$O$91,15,0))</f>
        <v>167.16</v>
      </c>
      <c r="Y202" s="4"/>
      <c r="Z202" s="4">
        <f ca="1">('TUSD BE'!$AM$35+'TUSD BF'!$AM$35+'TUSD CVA'!$AM$35)*(1-CUSTOS!$M$38)</f>
        <v>308.75483518149031</v>
      </c>
      <c r="AA202" s="4">
        <f>('TE BE'!$AB$26+'TE BF'!$AB$26+'TE CVA'!$AB$26)*(1-CUSTOS!$M$38)</f>
        <v>184.1432479319173</v>
      </c>
      <c r="AB202" s="4">
        <f t="shared" si="16"/>
        <v>0</v>
      </c>
      <c r="AC202" s="4">
        <f>(L202*W202+M202*X202)/(1-CUSTOS!$M$38)*CUSTOS!$M$38</f>
        <v>11.671024468085106</v>
      </c>
      <c r="AD202" s="4">
        <f t="shared" si="17"/>
        <v>0</v>
      </c>
      <c r="AE202" s="4">
        <f ca="1">(L202*Z202+N202*AA202)/(1-CUSTOS!$M$38)*CUSTOS!$M$38</f>
        <v>14.000402999072325</v>
      </c>
      <c r="AF202" s="3" t="s">
        <v>777</v>
      </c>
    </row>
    <row r="203" spans="1:32" ht="11.25" customHeight="1" x14ac:dyDescent="0.3">
      <c r="A203" s="3" t="s">
        <v>21</v>
      </c>
      <c r="B203" s="3" t="s">
        <v>42</v>
      </c>
      <c r="C203" s="3" t="s">
        <v>33</v>
      </c>
      <c r="D203" s="3" t="s">
        <v>43</v>
      </c>
      <c r="E203" s="3" t="s">
        <v>25</v>
      </c>
      <c r="F203" s="3" t="s">
        <v>25</v>
      </c>
      <c r="G203" s="3" t="s">
        <v>25</v>
      </c>
      <c r="H203" s="3" t="s">
        <v>35</v>
      </c>
      <c r="I203" s="6">
        <v>44501</v>
      </c>
      <c r="J203" s="4">
        <v>0</v>
      </c>
      <c r="K203" s="4">
        <v>0</v>
      </c>
      <c r="L203" s="4">
        <v>0.26400000000000001</v>
      </c>
      <c r="M203" s="4">
        <v>0.26400000000000001</v>
      </c>
      <c r="N203" s="4">
        <v>0.26400000000000001</v>
      </c>
      <c r="O203" s="4">
        <v>0.26400000000000001</v>
      </c>
      <c r="P203" s="4">
        <v>0</v>
      </c>
      <c r="Q203" s="3" t="s">
        <v>26</v>
      </c>
      <c r="R203" s="3">
        <v>0</v>
      </c>
      <c r="S203" s="3">
        <v>0</v>
      </c>
      <c r="T203" s="3">
        <v>31</v>
      </c>
      <c r="U203" s="3">
        <v>71</v>
      </c>
      <c r="V203" s="4">
        <f>IF(ISERROR(VLOOKUP($S$203,'TAR FIN'!$A$1:$O$91,15,0)),0,VLOOKUP($S$203,'TAR FIN'!$A$1:$O$91,15,0))</f>
        <v>0</v>
      </c>
      <c r="W203" s="4">
        <f>IF(ISERROR(VLOOKUP($T$203,'TAR FIN'!$A$1:$O$91,15,0)),0,VLOOKUP($T$203,'TAR FIN'!$A$1:$O$91,15,0))</f>
        <v>243.73</v>
      </c>
      <c r="X203" s="4">
        <f>IF(ISERROR(VLOOKUP($U$203,'TAR FIN'!$A$1:$O$91,15,0)),0,VLOOKUP($U$203,'TAR FIN'!$A$1:$O$91,15,0))</f>
        <v>167.16</v>
      </c>
      <c r="Y203" s="4"/>
      <c r="Z203" s="4">
        <f ca="1">('TUSD BE'!$AM$35+'TUSD BF'!$AM$35+'TUSD CVA'!$AM$35)*(1-CUSTOS!$M$38)</f>
        <v>308.75483518149031</v>
      </c>
      <c r="AA203" s="4">
        <f>('TE BE'!$AB$26+'TE BF'!$AB$26+'TE CVA'!$AB$26)*(1-CUSTOS!$M$38)</f>
        <v>184.1432479319173</v>
      </c>
      <c r="AB203" s="4">
        <f t="shared" si="16"/>
        <v>0</v>
      </c>
      <c r="AC203" s="4">
        <f>(L203*W203+M203*X203)/(1-CUSTOS!$M$38)*CUSTOS!$M$38</f>
        <v>6.9239336170212757</v>
      </c>
      <c r="AD203" s="4">
        <f t="shared" si="17"/>
        <v>0</v>
      </c>
      <c r="AE203" s="4">
        <f ca="1">(L203*Z203+N203*AA203)/(1-CUSTOS!$M$38)*CUSTOS!$M$38</f>
        <v>8.3058570601238042</v>
      </c>
      <c r="AF203" s="3" t="s">
        <v>777</v>
      </c>
    </row>
    <row r="204" spans="1:32" ht="11.25" customHeight="1" x14ac:dyDescent="0.3">
      <c r="A204" s="3" t="s">
        <v>21</v>
      </c>
      <c r="B204" s="3" t="s">
        <v>42</v>
      </c>
      <c r="C204" s="3" t="s">
        <v>33</v>
      </c>
      <c r="D204" s="3" t="s">
        <v>43</v>
      </c>
      <c r="E204" s="3" t="s">
        <v>25</v>
      </c>
      <c r="F204" s="3" t="s">
        <v>25</v>
      </c>
      <c r="G204" s="3" t="s">
        <v>25</v>
      </c>
      <c r="H204" s="3" t="s">
        <v>35</v>
      </c>
      <c r="I204" s="6">
        <v>44531</v>
      </c>
      <c r="J204" s="4">
        <v>0</v>
      </c>
      <c r="K204" s="4">
        <v>0</v>
      </c>
      <c r="L204" s="4">
        <v>0.33200000000000002</v>
      </c>
      <c r="M204" s="4">
        <v>0.33200000000000002</v>
      </c>
      <c r="N204" s="4">
        <v>0.33200000000000002</v>
      </c>
      <c r="O204" s="4">
        <v>0.33200000000000002</v>
      </c>
      <c r="P204" s="4">
        <v>0</v>
      </c>
      <c r="Q204" s="3" t="s">
        <v>26</v>
      </c>
      <c r="R204" s="3">
        <v>0</v>
      </c>
      <c r="S204" s="3">
        <v>0</v>
      </c>
      <c r="T204" s="3">
        <v>31</v>
      </c>
      <c r="U204" s="3">
        <v>71</v>
      </c>
      <c r="V204" s="4">
        <f>IF(ISERROR(VLOOKUP($S$204,'TAR FIN'!$A$1:$O$91,15,0)),0,VLOOKUP($S$204,'TAR FIN'!$A$1:$O$91,15,0))</f>
        <v>0</v>
      </c>
      <c r="W204" s="4">
        <f>IF(ISERROR(VLOOKUP($T$204,'TAR FIN'!$A$1:$O$91,15,0)),0,VLOOKUP($T$204,'TAR FIN'!$A$1:$O$91,15,0))</f>
        <v>243.73</v>
      </c>
      <c r="X204" s="4">
        <f>IF(ISERROR(VLOOKUP($U$204,'TAR FIN'!$A$1:$O$91,15,0)),0,VLOOKUP($U$204,'TAR FIN'!$A$1:$O$91,15,0))</f>
        <v>167.16</v>
      </c>
      <c r="Y204" s="4"/>
      <c r="Z204" s="4">
        <f ca="1">('TUSD BE'!$AM$35+'TUSD BF'!$AM$35+'TUSD CVA'!$AM$35)*(1-CUSTOS!$M$38)</f>
        <v>308.75483518149031</v>
      </c>
      <c r="AA204" s="4">
        <f>('TE BE'!$AB$26+'TE BF'!$AB$26+'TE CVA'!$AB$26)*(1-CUSTOS!$M$38)</f>
        <v>184.1432479319173</v>
      </c>
      <c r="AB204" s="4">
        <f t="shared" si="16"/>
        <v>0</v>
      </c>
      <c r="AC204" s="4">
        <f>(L204*W204+M204*X204)/(1-CUSTOS!$M$38)*CUSTOS!$M$38</f>
        <v>8.7073710638297861</v>
      </c>
      <c r="AD204" s="4">
        <f t="shared" si="17"/>
        <v>0</v>
      </c>
      <c r="AE204" s="4">
        <f ca="1">(L204*Z204+N204*AA204)/(1-CUSTOS!$M$38)*CUSTOS!$M$38</f>
        <v>10.445244484701149</v>
      </c>
      <c r="AF204" s="3" t="s">
        <v>777</v>
      </c>
    </row>
    <row r="205" spans="1:32" ht="11.25" customHeight="1" x14ac:dyDescent="0.3">
      <c r="A205" s="3" t="s">
        <v>21</v>
      </c>
      <c r="B205" s="3" t="s">
        <v>42</v>
      </c>
      <c r="C205" s="3" t="s">
        <v>33</v>
      </c>
      <c r="D205" s="3" t="s">
        <v>43</v>
      </c>
      <c r="E205" s="3" t="s">
        <v>25</v>
      </c>
      <c r="F205" s="3" t="s">
        <v>25</v>
      </c>
      <c r="G205" s="3" t="s">
        <v>25</v>
      </c>
      <c r="H205" s="3" t="s">
        <v>35</v>
      </c>
      <c r="I205" s="6">
        <v>44562</v>
      </c>
      <c r="J205" s="4">
        <v>0</v>
      </c>
      <c r="K205" s="4">
        <v>0</v>
      </c>
      <c r="L205" s="4">
        <v>0.27600000000000002</v>
      </c>
      <c r="M205" s="4">
        <v>0.27600000000000002</v>
      </c>
      <c r="N205" s="4">
        <v>0.27600000000000002</v>
      </c>
      <c r="O205" s="4">
        <v>0.27600000000000002</v>
      </c>
      <c r="P205" s="4">
        <v>0</v>
      </c>
      <c r="Q205" s="3" t="s">
        <v>26</v>
      </c>
      <c r="R205" s="3">
        <v>0</v>
      </c>
      <c r="S205" s="3">
        <v>0</v>
      </c>
      <c r="T205" s="3">
        <v>31</v>
      </c>
      <c r="U205" s="3">
        <v>71</v>
      </c>
      <c r="V205" s="4">
        <f>IF(ISERROR(VLOOKUP($S$205,'TAR FIN'!$A$1:$O$91,15,0)),0,VLOOKUP($S$205,'TAR FIN'!$A$1:$O$91,15,0))</f>
        <v>0</v>
      </c>
      <c r="W205" s="4">
        <f>IF(ISERROR(VLOOKUP($T$205,'TAR FIN'!$A$1:$O$91,15,0)),0,VLOOKUP($T$205,'TAR FIN'!$A$1:$O$91,15,0))</f>
        <v>243.73</v>
      </c>
      <c r="X205" s="4">
        <f>IF(ISERROR(VLOOKUP($U$205,'TAR FIN'!$A$1:$O$91,15,0)),0,VLOOKUP($U$205,'TAR FIN'!$A$1:$O$91,15,0))</f>
        <v>167.16</v>
      </c>
      <c r="Y205" s="4"/>
      <c r="Z205" s="4">
        <f ca="1">('TUSD BE'!$AM$35+'TUSD BF'!$AM$35+'TUSD CVA'!$AM$35)*(1-CUSTOS!$M$38)</f>
        <v>308.75483518149031</v>
      </c>
      <c r="AA205" s="4">
        <f>('TE BE'!$AB$26+'TE BF'!$AB$26+'TE CVA'!$AB$26)*(1-CUSTOS!$M$38)</f>
        <v>184.1432479319173</v>
      </c>
      <c r="AB205" s="4">
        <f t="shared" si="16"/>
        <v>0</v>
      </c>
      <c r="AC205" s="4">
        <f>(L205*W205+M205*X205)/(1-CUSTOS!$M$38)*CUSTOS!$M$38</f>
        <v>7.2386578723404265</v>
      </c>
      <c r="AD205" s="4">
        <f t="shared" si="17"/>
        <v>0</v>
      </c>
      <c r="AE205" s="4">
        <f ca="1">(L205*Z205+N205*AA205)/(1-CUSTOS!$M$38)*CUSTOS!$M$38</f>
        <v>8.6833960174021598</v>
      </c>
      <c r="AF205" s="3" t="s">
        <v>777</v>
      </c>
    </row>
    <row r="206" spans="1:32" ht="11.25" customHeight="1" x14ac:dyDescent="0.3">
      <c r="A206" s="3" t="s">
        <v>21</v>
      </c>
      <c r="B206" s="3" t="s">
        <v>42</v>
      </c>
      <c r="C206" s="3" t="s">
        <v>33</v>
      </c>
      <c r="D206" s="3" t="s">
        <v>43</v>
      </c>
      <c r="E206" s="3" t="s">
        <v>25</v>
      </c>
      <c r="F206" s="3" t="s">
        <v>25</v>
      </c>
      <c r="G206" s="3" t="s">
        <v>25</v>
      </c>
      <c r="H206" s="3" t="s">
        <v>35</v>
      </c>
      <c r="I206" s="6">
        <v>44593</v>
      </c>
      <c r="J206" s="4">
        <v>0</v>
      </c>
      <c r="K206" s="4">
        <v>0</v>
      </c>
      <c r="L206" s="4">
        <v>0.28100000000000003</v>
      </c>
      <c r="M206" s="4">
        <v>0.28100000000000003</v>
      </c>
      <c r="N206" s="4">
        <v>0.28100000000000003</v>
      </c>
      <c r="O206" s="4">
        <v>0.28100000000000003</v>
      </c>
      <c r="P206" s="4">
        <v>0</v>
      </c>
      <c r="Q206" s="3" t="s">
        <v>26</v>
      </c>
      <c r="R206" s="3">
        <v>0</v>
      </c>
      <c r="S206" s="3">
        <v>0</v>
      </c>
      <c r="T206" s="3">
        <v>31</v>
      </c>
      <c r="U206" s="3">
        <v>71</v>
      </c>
      <c r="V206" s="4">
        <f>IF(ISERROR(VLOOKUP($S$206,'TAR FIN'!$A$1:$O$91,15,0)),0,VLOOKUP($S$206,'TAR FIN'!$A$1:$O$91,15,0))</f>
        <v>0</v>
      </c>
      <c r="W206" s="4">
        <f>IF(ISERROR(VLOOKUP($T$206,'TAR FIN'!$A$1:$O$91,15,0)),0,VLOOKUP($T$206,'TAR FIN'!$A$1:$O$91,15,0))</f>
        <v>243.73</v>
      </c>
      <c r="X206" s="4">
        <f>IF(ISERROR(VLOOKUP($U$206,'TAR FIN'!$A$1:$O$91,15,0)),0,VLOOKUP($U$206,'TAR FIN'!$A$1:$O$91,15,0))</f>
        <v>167.16</v>
      </c>
      <c r="Y206" s="4"/>
      <c r="Z206" s="4">
        <f ca="1">('TUSD BE'!$AM$35+'TUSD BF'!$AM$35+'TUSD CVA'!$AM$35)*(1-CUSTOS!$M$38)</f>
        <v>308.75483518149031</v>
      </c>
      <c r="AA206" s="4">
        <f>('TE BE'!$AB$26+'TE BF'!$AB$26+'TE CVA'!$AB$26)*(1-CUSTOS!$M$38)</f>
        <v>184.1432479319173</v>
      </c>
      <c r="AB206" s="4">
        <f t="shared" si="16"/>
        <v>0</v>
      </c>
      <c r="AC206" s="4">
        <f>(L206*W206+M206*X206)/(1-CUSTOS!$M$38)*CUSTOS!$M$38</f>
        <v>7.3697929787234049</v>
      </c>
      <c r="AD206" s="4">
        <f t="shared" si="17"/>
        <v>0</v>
      </c>
      <c r="AE206" s="4">
        <f ca="1">(L206*Z206+N206*AA206)/(1-CUSTOS!$M$38)*CUSTOS!$M$38</f>
        <v>8.8407039162681436</v>
      </c>
      <c r="AF206" s="3" t="s">
        <v>777</v>
      </c>
    </row>
    <row r="207" spans="1:32" ht="11.25" customHeight="1" x14ac:dyDescent="0.3">
      <c r="A207" s="3" t="s">
        <v>21</v>
      </c>
      <c r="B207" s="3" t="s">
        <v>42</v>
      </c>
      <c r="C207" s="3" t="s">
        <v>33</v>
      </c>
      <c r="D207" s="3" t="s">
        <v>43</v>
      </c>
      <c r="E207" s="3" t="s">
        <v>25</v>
      </c>
      <c r="F207" s="3" t="s">
        <v>25</v>
      </c>
      <c r="G207" s="3" t="s">
        <v>25</v>
      </c>
      <c r="H207" s="3" t="s">
        <v>35</v>
      </c>
      <c r="I207" s="6">
        <v>44621</v>
      </c>
      <c r="J207" s="4">
        <v>0</v>
      </c>
      <c r="K207" s="4">
        <v>0</v>
      </c>
      <c r="L207" s="4">
        <v>0.24199999999999999</v>
      </c>
      <c r="M207" s="4">
        <v>0.24199999999999999</v>
      </c>
      <c r="N207" s="4">
        <v>0.24199999999999999</v>
      </c>
      <c r="O207" s="4">
        <v>0.24199999999999999</v>
      </c>
      <c r="P207" s="4">
        <v>0</v>
      </c>
      <c r="Q207" s="3" t="s">
        <v>26</v>
      </c>
      <c r="R207" s="3">
        <v>0</v>
      </c>
      <c r="S207" s="3">
        <v>0</v>
      </c>
      <c r="T207" s="3">
        <v>31</v>
      </c>
      <c r="U207" s="3">
        <v>71</v>
      </c>
      <c r="V207" s="4">
        <f>IF(ISERROR(VLOOKUP($S$207,'TAR FIN'!$A$1:$O$91,15,0)),0,VLOOKUP($S$207,'TAR FIN'!$A$1:$O$91,15,0))</f>
        <v>0</v>
      </c>
      <c r="W207" s="4">
        <f>IF(ISERROR(VLOOKUP($T$207,'TAR FIN'!$A$1:$O$91,15,0)),0,VLOOKUP($T$207,'TAR FIN'!$A$1:$O$91,15,0))</f>
        <v>243.73</v>
      </c>
      <c r="X207" s="4">
        <f>IF(ISERROR(VLOOKUP($U$207,'TAR FIN'!$A$1:$O$91,15,0)),0,VLOOKUP($U$207,'TAR FIN'!$A$1:$O$91,15,0))</f>
        <v>167.16</v>
      </c>
      <c r="Y207" s="4"/>
      <c r="Z207" s="4">
        <f ca="1">('TUSD BE'!$AM$35+'TUSD BF'!$AM$35+'TUSD CVA'!$AM$35)*(1-CUSTOS!$M$38)</f>
        <v>308.75483518149031</v>
      </c>
      <c r="AA207" s="4">
        <f>('TE BE'!$AB$26+'TE BF'!$AB$26+'TE CVA'!$AB$26)*(1-CUSTOS!$M$38)</f>
        <v>184.1432479319173</v>
      </c>
      <c r="AB207" s="4">
        <f t="shared" si="16"/>
        <v>0</v>
      </c>
      <c r="AC207" s="4">
        <f>(L207*W207+M207*X207)/(1-CUSTOS!$M$38)*CUSTOS!$M$38</f>
        <v>6.3469391489361699</v>
      </c>
      <c r="AD207" s="4">
        <f t="shared" si="17"/>
        <v>0</v>
      </c>
      <c r="AE207" s="4">
        <f ca="1">(L207*Z207+N207*AA207)/(1-CUSTOS!$M$38)*CUSTOS!$M$38</f>
        <v>7.6137023051134873</v>
      </c>
      <c r="AF207" s="3" t="s">
        <v>777</v>
      </c>
    </row>
    <row r="208" spans="1:32" ht="11.25" customHeight="1" x14ac:dyDescent="0.3">
      <c r="A208" s="3" t="s">
        <v>21</v>
      </c>
      <c r="B208" s="3" t="s">
        <v>42</v>
      </c>
      <c r="C208" s="3" t="s">
        <v>33</v>
      </c>
      <c r="D208" s="3" t="s">
        <v>43</v>
      </c>
      <c r="E208" s="3" t="s">
        <v>25</v>
      </c>
      <c r="F208" s="3" t="s">
        <v>25</v>
      </c>
      <c r="G208" s="3" t="s">
        <v>25</v>
      </c>
      <c r="H208" s="3" t="s">
        <v>35</v>
      </c>
      <c r="I208" s="6">
        <v>44652</v>
      </c>
      <c r="J208" s="4">
        <v>0</v>
      </c>
      <c r="K208" s="4">
        <v>0</v>
      </c>
      <c r="L208" s="4">
        <v>0.2</v>
      </c>
      <c r="M208" s="4">
        <v>0.2</v>
      </c>
      <c r="N208" s="4">
        <v>0.2</v>
      </c>
      <c r="O208" s="4">
        <v>0.2</v>
      </c>
      <c r="P208" s="4">
        <v>0</v>
      </c>
      <c r="Q208" s="3" t="s">
        <v>26</v>
      </c>
      <c r="R208" s="3">
        <v>0</v>
      </c>
      <c r="S208" s="3">
        <v>0</v>
      </c>
      <c r="T208" s="3">
        <v>31</v>
      </c>
      <c r="U208" s="3">
        <v>71</v>
      </c>
      <c r="V208" s="4">
        <f>IF(ISERROR(VLOOKUP($S$208,'TAR FIN'!$A$1:$O$91,15,0)),0,VLOOKUP($S$208,'TAR FIN'!$A$1:$O$91,15,0))</f>
        <v>0</v>
      </c>
      <c r="W208" s="4">
        <f>IF(ISERROR(VLOOKUP($T$208,'TAR FIN'!$A$1:$O$91,15,0)),0,VLOOKUP($T$208,'TAR FIN'!$A$1:$O$91,15,0))</f>
        <v>243.73</v>
      </c>
      <c r="X208" s="4">
        <f>IF(ISERROR(VLOOKUP($U$208,'TAR FIN'!$A$1:$O$91,15,0)),0,VLOOKUP($U$208,'TAR FIN'!$A$1:$O$91,15,0))</f>
        <v>167.16</v>
      </c>
      <c r="Y208" s="4"/>
      <c r="Z208" s="4">
        <f ca="1">('TUSD BE'!$AM$35+'TUSD BF'!$AM$35+'TUSD CVA'!$AM$35)*(1-CUSTOS!$M$38)</f>
        <v>308.75483518149031</v>
      </c>
      <c r="AA208" s="4">
        <f>('TE BE'!$AB$26+'TE BF'!$AB$26+'TE CVA'!$AB$26)*(1-CUSTOS!$M$38)</f>
        <v>184.1432479319173</v>
      </c>
      <c r="AB208" s="4">
        <f t="shared" si="16"/>
        <v>0</v>
      </c>
      <c r="AC208" s="4">
        <f>(L208*W208+M208*X208)/(1-CUSTOS!$M$38)*CUSTOS!$M$38</f>
        <v>5.2454042553191496</v>
      </c>
      <c r="AD208" s="4">
        <f t="shared" si="17"/>
        <v>0</v>
      </c>
      <c r="AE208" s="4">
        <f ca="1">(L208*Z208+N208*AA208)/(1-CUSTOS!$M$38)*CUSTOS!$M$38</f>
        <v>6.2923159546392462</v>
      </c>
      <c r="AF208" s="3" t="s">
        <v>777</v>
      </c>
    </row>
    <row r="209" spans="1:32" ht="11.25" customHeight="1" x14ac:dyDescent="0.3">
      <c r="A209" s="3" t="s">
        <v>21</v>
      </c>
      <c r="B209" s="3" t="s">
        <v>42</v>
      </c>
      <c r="C209" s="3" t="s">
        <v>33</v>
      </c>
      <c r="D209" s="3" t="s">
        <v>43</v>
      </c>
      <c r="E209" s="3" t="s">
        <v>25</v>
      </c>
      <c r="F209" s="3" t="s">
        <v>25</v>
      </c>
      <c r="G209" s="3" t="s">
        <v>25</v>
      </c>
      <c r="H209" s="3" t="s">
        <v>35</v>
      </c>
      <c r="I209" s="6">
        <v>44682</v>
      </c>
      <c r="J209" s="4">
        <v>0</v>
      </c>
      <c r="K209" s="4">
        <v>0</v>
      </c>
      <c r="L209" s="4">
        <v>0.16</v>
      </c>
      <c r="M209" s="4">
        <v>0.16</v>
      </c>
      <c r="N209" s="4">
        <v>0.16</v>
      </c>
      <c r="O209" s="4">
        <v>0.16</v>
      </c>
      <c r="P209" s="4">
        <v>0</v>
      </c>
      <c r="Q209" s="3" t="s">
        <v>26</v>
      </c>
      <c r="R209" s="3">
        <v>0</v>
      </c>
      <c r="S209" s="3">
        <v>0</v>
      </c>
      <c r="T209" s="3">
        <v>31</v>
      </c>
      <c r="U209" s="3">
        <v>71</v>
      </c>
      <c r="V209" s="4">
        <f>IF(ISERROR(VLOOKUP($S$209,'TAR FIN'!$A$1:$O$91,15,0)),0,VLOOKUP($S$209,'TAR FIN'!$A$1:$O$91,15,0))</f>
        <v>0</v>
      </c>
      <c r="W209" s="4">
        <f>IF(ISERROR(VLOOKUP($T$209,'TAR FIN'!$A$1:$O$91,15,0)),0,VLOOKUP($T$209,'TAR FIN'!$A$1:$O$91,15,0))</f>
        <v>243.73</v>
      </c>
      <c r="X209" s="4">
        <f>IF(ISERROR(VLOOKUP($U$209,'TAR FIN'!$A$1:$O$91,15,0)),0,VLOOKUP($U$209,'TAR FIN'!$A$1:$O$91,15,0))</f>
        <v>167.16</v>
      </c>
      <c r="Y209" s="4"/>
      <c r="Z209" s="4">
        <f ca="1">('TUSD BE'!$AM$35+'TUSD BF'!$AM$35+'TUSD CVA'!$AM$35)*(1-CUSTOS!$M$38)</f>
        <v>308.75483518149031</v>
      </c>
      <c r="AA209" s="4">
        <f>('TE BE'!$AB$26+'TE BF'!$AB$26+'TE CVA'!$AB$26)*(1-CUSTOS!$M$38)</f>
        <v>184.1432479319173</v>
      </c>
      <c r="AB209" s="4">
        <f t="shared" si="16"/>
        <v>0</v>
      </c>
      <c r="AC209" s="4">
        <f>(L209*W209+M209*X209)/(1-CUSTOS!$M$38)*CUSTOS!$M$38</f>
        <v>4.1963234042553195</v>
      </c>
      <c r="AD209" s="4">
        <f t="shared" si="17"/>
        <v>0</v>
      </c>
      <c r="AE209" s="4">
        <f ca="1">(L209*Z209+N209*AA209)/(1-CUSTOS!$M$38)*CUSTOS!$M$38</f>
        <v>5.0338527637113977</v>
      </c>
      <c r="AF209" s="3" t="s">
        <v>777</v>
      </c>
    </row>
    <row r="210" spans="1:32" ht="11.25" customHeight="1" x14ac:dyDescent="0.3">
      <c r="A210" s="3" t="s">
        <v>21</v>
      </c>
      <c r="B210" s="3" t="s">
        <v>42</v>
      </c>
      <c r="C210" s="3" t="s">
        <v>33</v>
      </c>
      <c r="D210" s="3" t="s">
        <v>43</v>
      </c>
      <c r="E210" s="3" t="s">
        <v>25</v>
      </c>
      <c r="F210" s="3" t="s">
        <v>25</v>
      </c>
      <c r="G210" s="3" t="s">
        <v>25</v>
      </c>
      <c r="H210" s="3" t="s">
        <v>35</v>
      </c>
      <c r="I210" s="6">
        <v>44713</v>
      </c>
      <c r="J210" s="4">
        <v>0</v>
      </c>
      <c r="K210" s="4">
        <v>0</v>
      </c>
      <c r="L210" s="4">
        <v>0.16</v>
      </c>
      <c r="M210" s="4">
        <v>0.16</v>
      </c>
      <c r="N210" s="4">
        <v>0.16</v>
      </c>
      <c r="O210" s="4">
        <v>0.16</v>
      </c>
      <c r="P210" s="4">
        <v>0</v>
      </c>
      <c r="Q210" s="3" t="s">
        <v>26</v>
      </c>
      <c r="R210" s="3">
        <v>0</v>
      </c>
      <c r="S210" s="3">
        <v>0</v>
      </c>
      <c r="T210" s="3">
        <v>31</v>
      </c>
      <c r="U210" s="3">
        <v>71</v>
      </c>
      <c r="V210" s="4">
        <f>IF(ISERROR(VLOOKUP($S$210,'TAR FIN'!$A$1:$O$91,15,0)),0,VLOOKUP($S$210,'TAR FIN'!$A$1:$O$91,15,0))</f>
        <v>0</v>
      </c>
      <c r="W210" s="4">
        <f>IF(ISERROR(VLOOKUP($T$210,'TAR FIN'!$A$1:$O$91,15,0)),0,VLOOKUP($T$210,'TAR FIN'!$A$1:$O$91,15,0))</f>
        <v>243.73</v>
      </c>
      <c r="X210" s="4">
        <f>IF(ISERROR(VLOOKUP($U$210,'TAR FIN'!$A$1:$O$91,15,0)),0,VLOOKUP($U$210,'TAR FIN'!$A$1:$O$91,15,0))</f>
        <v>167.16</v>
      </c>
      <c r="Y210" s="4"/>
      <c r="Z210" s="4">
        <f ca="1">('TUSD BE'!$AM$35+'TUSD BF'!$AM$35+'TUSD CVA'!$AM$35)*(1-CUSTOS!$M$38)</f>
        <v>308.75483518149031</v>
      </c>
      <c r="AA210" s="4">
        <f>('TE BE'!$AB$26+'TE BF'!$AB$26+'TE CVA'!$AB$26)*(1-CUSTOS!$M$38)</f>
        <v>184.1432479319173</v>
      </c>
      <c r="AB210" s="4">
        <f t="shared" si="16"/>
        <v>0</v>
      </c>
      <c r="AC210" s="4">
        <f>(L210*W210+M210*X210)/(1-CUSTOS!$M$38)*CUSTOS!$M$38</f>
        <v>4.1963234042553195</v>
      </c>
      <c r="AD210" s="4">
        <f t="shared" si="17"/>
        <v>0</v>
      </c>
      <c r="AE210" s="4">
        <f ca="1">(L210*Z210+N210*AA210)/(1-CUSTOS!$M$38)*CUSTOS!$M$38</f>
        <v>5.0338527637113977</v>
      </c>
      <c r="AF210" s="3" t="s">
        <v>777</v>
      </c>
    </row>
    <row r="211" spans="1:32" ht="11.25" customHeight="1" x14ac:dyDescent="0.3">
      <c r="A211" s="3" t="s">
        <v>21</v>
      </c>
      <c r="B211" s="3" t="s">
        <v>42</v>
      </c>
      <c r="C211" s="3" t="s">
        <v>33</v>
      </c>
      <c r="D211" s="3" t="s">
        <v>43</v>
      </c>
      <c r="E211" s="3" t="s">
        <v>25</v>
      </c>
      <c r="F211" s="3" t="s">
        <v>25</v>
      </c>
      <c r="G211" s="3" t="s">
        <v>25</v>
      </c>
      <c r="H211" s="3" t="s">
        <v>36</v>
      </c>
      <c r="I211" s="6">
        <v>44409</v>
      </c>
      <c r="J211" s="4">
        <v>0</v>
      </c>
      <c r="K211" s="4">
        <v>0</v>
      </c>
      <c r="L211" s="4">
        <v>1.7000000000000001E-2</v>
      </c>
      <c r="M211" s="4">
        <v>1.7000000000000001E-2</v>
      </c>
      <c r="N211" s="4">
        <v>1.7000000000000001E-2</v>
      </c>
      <c r="O211" s="4">
        <v>1.7000000000000001E-2</v>
      </c>
      <c r="P211" s="4">
        <v>0</v>
      </c>
      <c r="Q211" s="3" t="s">
        <v>26</v>
      </c>
      <c r="R211" s="3">
        <v>0</v>
      </c>
      <c r="S211" s="3">
        <v>0</v>
      </c>
      <c r="T211" s="3">
        <v>30</v>
      </c>
      <c r="U211" s="3">
        <v>70</v>
      </c>
      <c r="V211" s="4">
        <f>IF(ISERROR(VLOOKUP($S$211,'TAR FIN'!$A$1:$O$91,15,0)),0,VLOOKUP($S$211,'TAR FIN'!$A$1:$O$91,15,0))</f>
        <v>0</v>
      </c>
      <c r="W211" s="4">
        <f>IF(ISERROR(VLOOKUP($T$211,'TAR FIN'!$A$1:$O$91,15,0)),0,VLOOKUP($T$211,'TAR FIN'!$A$1:$O$91,15,0))</f>
        <v>533.92999999999995</v>
      </c>
      <c r="X211" s="4">
        <f>IF(ISERROR(VLOOKUP($U$211,'TAR FIN'!$A$1:$O$91,15,0)),0,VLOOKUP($U$211,'TAR FIN'!$A$1:$O$91,15,0))</f>
        <v>167.16</v>
      </c>
      <c r="Y211" s="4"/>
      <c r="Z211" s="4">
        <f ca="1">('TUSD BE'!$AM$34+'TUSD BF'!$AM$34+'TUSD CVA'!$AM$34)*(1-CUSTOS!$M$38)</f>
        <v>685.07427471052529</v>
      </c>
      <c r="AA211" s="4">
        <f>('TE BE'!$AB$25+'TE BF'!$AB$25+'TE CVA'!$AB$25)*(1-CUSTOS!$M$38)</f>
        <v>184.1432479319173</v>
      </c>
      <c r="AB211" s="4">
        <f t="shared" si="16"/>
        <v>0</v>
      </c>
      <c r="AC211" s="4">
        <f>(L211*W211+M211*X211)/(1-CUSTOS!$M$38)*CUSTOS!$M$38</f>
        <v>0.76075723404255324</v>
      </c>
      <c r="AD211" s="4">
        <f t="shared" si="17"/>
        <v>0</v>
      </c>
      <c r="AE211" s="4">
        <f ca="1">(L211*Z211+N211*AA211)/(1-CUSTOS!$M$38)*CUSTOS!$M$38</f>
        <v>0.94319348201626751</v>
      </c>
      <c r="AF211" s="3" t="s">
        <v>777</v>
      </c>
    </row>
    <row r="212" spans="1:32" ht="11.25" customHeight="1" x14ac:dyDescent="0.3">
      <c r="A212" s="3" t="s">
        <v>21</v>
      </c>
      <c r="B212" s="3" t="s">
        <v>42</v>
      </c>
      <c r="C212" s="3" t="s">
        <v>33</v>
      </c>
      <c r="D212" s="3" t="s">
        <v>43</v>
      </c>
      <c r="E212" s="3" t="s">
        <v>25</v>
      </c>
      <c r="F212" s="3" t="s">
        <v>25</v>
      </c>
      <c r="G212" s="3" t="s">
        <v>25</v>
      </c>
      <c r="H212" s="3" t="s">
        <v>36</v>
      </c>
      <c r="I212" s="6">
        <v>44470</v>
      </c>
      <c r="J212" s="4">
        <v>0</v>
      </c>
      <c r="K212" s="4">
        <v>0</v>
      </c>
      <c r="L212" s="4">
        <v>1.4999999999999999E-2</v>
      </c>
      <c r="M212" s="4">
        <v>1.4999999999999999E-2</v>
      </c>
      <c r="N212" s="4">
        <v>1.4999999999999999E-2</v>
      </c>
      <c r="O212" s="4">
        <v>1.4999999999999999E-2</v>
      </c>
      <c r="P212" s="4">
        <v>0</v>
      </c>
      <c r="Q212" s="3" t="s">
        <v>26</v>
      </c>
      <c r="R212" s="3">
        <v>0</v>
      </c>
      <c r="S212" s="3">
        <v>0</v>
      </c>
      <c r="T212" s="3">
        <v>30</v>
      </c>
      <c r="U212" s="3">
        <v>70</v>
      </c>
      <c r="V212" s="4">
        <f>IF(ISERROR(VLOOKUP($S$212,'TAR FIN'!$A$1:$O$91,15,0)),0,VLOOKUP($S$212,'TAR FIN'!$A$1:$O$91,15,0))</f>
        <v>0</v>
      </c>
      <c r="W212" s="4">
        <f>IF(ISERROR(VLOOKUP($T$212,'TAR FIN'!$A$1:$O$91,15,0)),0,VLOOKUP($T$212,'TAR FIN'!$A$1:$O$91,15,0))</f>
        <v>533.92999999999995</v>
      </c>
      <c r="X212" s="4">
        <f>IF(ISERROR(VLOOKUP($U$212,'TAR FIN'!$A$1:$O$91,15,0)),0,VLOOKUP($U$212,'TAR FIN'!$A$1:$O$91,15,0))</f>
        <v>167.16</v>
      </c>
      <c r="Y212" s="4"/>
      <c r="Z212" s="4">
        <f ca="1">('TUSD BE'!$AM$34+'TUSD BF'!$AM$34+'TUSD CVA'!$AM$34)*(1-CUSTOS!$M$38)</f>
        <v>685.07427471052529</v>
      </c>
      <c r="AA212" s="4">
        <f>('TE BE'!$AB$25+'TE BF'!$AB$25+'TE CVA'!$AB$25)*(1-CUSTOS!$M$38)</f>
        <v>184.1432479319173</v>
      </c>
      <c r="AB212" s="4">
        <f t="shared" si="16"/>
        <v>0</v>
      </c>
      <c r="AC212" s="4">
        <f>(L212*W212+M212*X212)/(1-CUSTOS!$M$38)*CUSTOS!$M$38</f>
        <v>0.67125638297872336</v>
      </c>
      <c r="AD212" s="4">
        <f t="shared" si="17"/>
        <v>0</v>
      </c>
      <c r="AE212" s="4">
        <f ca="1">(L212*Z212+N212*AA212)/(1-CUSTOS!$M$38)*CUSTOS!$M$38</f>
        <v>0.83222954295553009</v>
      </c>
      <c r="AF212" s="3" t="s">
        <v>777</v>
      </c>
    </row>
    <row r="213" spans="1:32" ht="11.25" customHeight="1" x14ac:dyDescent="0.3">
      <c r="A213" s="3" t="s">
        <v>21</v>
      </c>
      <c r="B213" s="3" t="s">
        <v>42</v>
      </c>
      <c r="C213" s="3" t="s">
        <v>33</v>
      </c>
      <c r="D213" s="3" t="s">
        <v>43</v>
      </c>
      <c r="E213" s="3" t="s">
        <v>25</v>
      </c>
      <c r="F213" s="3" t="s">
        <v>25</v>
      </c>
      <c r="G213" s="3" t="s">
        <v>25</v>
      </c>
      <c r="H213" s="3" t="s">
        <v>36</v>
      </c>
      <c r="I213" s="6">
        <v>44501</v>
      </c>
      <c r="J213" s="4">
        <v>0</v>
      </c>
      <c r="K213" s="4">
        <v>0</v>
      </c>
      <c r="L213" s="4">
        <v>2.5999999999999999E-2</v>
      </c>
      <c r="M213" s="4">
        <v>2.5999999999999999E-2</v>
      </c>
      <c r="N213" s="4">
        <v>2.5999999999999999E-2</v>
      </c>
      <c r="O213" s="4">
        <v>2.5999999999999999E-2</v>
      </c>
      <c r="P213" s="4">
        <v>0</v>
      </c>
      <c r="Q213" s="3" t="s">
        <v>26</v>
      </c>
      <c r="R213" s="3">
        <v>0</v>
      </c>
      <c r="S213" s="3">
        <v>0</v>
      </c>
      <c r="T213" s="3">
        <v>30</v>
      </c>
      <c r="U213" s="3">
        <v>70</v>
      </c>
      <c r="V213" s="4">
        <f>IF(ISERROR(VLOOKUP($S$213,'TAR FIN'!$A$1:$O$91,15,0)),0,VLOOKUP($S$213,'TAR FIN'!$A$1:$O$91,15,0))</f>
        <v>0</v>
      </c>
      <c r="W213" s="4">
        <f>IF(ISERROR(VLOOKUP($T$213,'TAR FIN'!$A$1:$O$91,15,0)),0,VLOOKUP($T$213,'TAR FIN'!$A$1:$O$91,15,0))</f>
        <v>533.92999999999995</v>
      </c>
      <c r="X213" s="4">
        <f>IF(ISERROR(VLOOKUP($U$213,'TAR FIN'!$A$1:$O$91,15,0)),0,VLOOKUP($U$213,'TAR FIN'!$A$1:$O$91,15,0))</f>
        <v>167.16</v>
      </c>
      <c r="Y213" s="4"/>
      <c r="Z213" s="4">
        <f ca="1">('TUSD BE'!$AM$34+'TUSD BF'!$AM$34+'TUSD CVA'!$AM$34)*(1-CUSTOS!$M$38)</f>
        <v>685.07427471052529</v>
      </c>
      <c r="AA213" s="4">
        <f>('TE BE'!$AB$25+'TE BF'!$AB$25+'TE CVA'!$AB$25)*(1-CUSTOS!$M$38)</f>
        <v>184.1432479319173</v>
      </c>
      <c r="AB213" s="4">
        <f t="shared" si="16"/>
        <v>0</v>
      </c>
      <c r="AC213" s="4">
        <f>(L213*W213+M213*X213)/(1-CUSTOS!$M$38)*CUSTOS!$M$38</f>
        <v>1.163511063829787</v>
      </c>
      <c r="AD213" s="4">
        <f t="shared" si="17"/>
        <v>0</v>
      </c>
      <c r="AE213" s="4">
        <f ca="1">(L213*Z213+N213*AA213)/(1-CUSTOS!$M$38)*CUSTOS!$M$38</f>
        <v>1.4425312077895853</v>
      </c>
      <c r="AF213" s="3" t="s">
        <v>777</v>
      </c>
    </row>
    <row r="214" spans="1:32" ht="11.25" customHeight="1" x14ac:dyDescent="0.3">
      <c r="A214" s="3" t="s">
        <v>21</v>
      </c>
      <c r="B214" s="3" t="s">
        <v>42</v>
      </c>
      <c r="C214" s="3" t="s">
        <v>33</v>
      </c>
      <c r="D214" s="3" t="s">
        <v>43</v>
      </c>
      <c r="E214" s="3" t="s">
        <v>25</v>
      </c>
      <c r="F214" s="3" t="s">
        <v>25</v>
      </c>
      <c r="G214" s="3" t="s">
        <v>25</v>
      </c>
      <c r="H214" s="3" t="s">
        <v>36</v>
      </c>
      <c r="I214" s="6">
        <v>44531</v>
      </c>
      <c r="J214" s="4">
        <v>0</v>
      </c>
      <c r="K214" s="4">
        <v>0</v>
      </c>
      <c r="L214" s="4">
        <v>3.3000000000000002E-2</v>
      </c>
      <c r="M214" s="4">
        <v>3.3000000000000002E-2</v>
      </c>
      <c r="N214" s="4">
        <v>3.3000000000000002E-2</v>
      </c>
      <c r="O214" s="4">
        <v>3.3000000000000002E-2</v>
      </c>
      <c r="P214" s="4">
        <v>0</v>
      </c>
      <c r="Q214" s="3" t="s">
        <v>26</v>
      </c>
      <c r="R214" s="3">
        <v>0</v>
      </c>
      <c r="S214" s="3">
        <v>0</v>
      </c>
      <c r="T214" s="3">
        <v>30</v>
      </c>
      <c r="U214" s="3">
        <v>70</v>
      </c>
      <c r="V214" s="4">
        <f>IF(ISERROR(VLOOKUP($S$214,'TAR FIN'!$A$1:$O$91,15,0)),0,VLOOKUP($S$214,'TAR FIN'!$A$1:$O$91,15,0))</f>
        <v>0</v>
      </c>
      <c r="W214" s="4">
        <f>IF(ISERROR(VLOOKUP($T$214,'TAR FIN'!$A$1:$O$91,15,0)),0,VLOOKUP($T$214,'TAR FIN'!$A$1:$O$91,15,0))</f>
        <v>533.92999999999995</v>
      </c>
      <c r="X214" s="4">
        <f>IF(ISERROR(VLOOKUP($U$214,'TAR FIN'!$A$1:$O$91,15,0)),0,VLOOKUP($U$214,'TAR FIN'!$A$1:$O$91,15,0))</f>
        <v>167.16</v>
      </c>
      <c r="Y214" s="4"/>
      <c r="Z214" s="4">
        <f ca="1">('TUSD BE'!$AM$34+'TUSD BF'!$AM$34+'TUSD CVA'!$AM$34)*(1-CUSTOS!$M$38)</f>
        <v>685.07427471052529</v>
      </c>
      <c r="AA214" s="4">
        <f>('TE BE'!$AB$25+'TE BF'!$AB$25+'TE CVA'!$AB$25)*(1-CUSTOS!$M$38)</f>
        <v>184.1432479319173</v>
      </c>
      <c r="AB214" s="4">
        <f t="shared" si="16"/>
        <v>0</v>
      </c>
      <c r="AC214" s="4">
        <f>(L214*W214+M214*X214)/(1-CUSTOS!$M$38)*CUSTOS!$M$38</f>
        <v>1.4767640425531916</v>
      </c>
      <c r="AD214" s="4">
        <f t="shared" si="17"/>
        <v>0</v>
      </c>
      <c r="AE214" s="4">
        <f ca="1">(L214*Z214+N214*AA214)/(1-CUSTOS!$M$38)*CUSTOS!$M$38</f>
        <v>1.8309049945021665</v>
      </c>
      <c r="AF214" s="3" t="s">
        <v>777</v>
      </c>
    </row>
    <row r="215" spans="1:32" ht="11.25" customHeight="1" x14ac:dyDescent="0.3">
      <c r="A215" s="3" t="s">
        <v>21</v>
      </c>
      <c r="B215" s="3" t="s">
        <v>42</v>
      </c>
      <c r="C215" s="3" t="s">
        <v>33</v>
      </c>
      <c r="D215" s="3" t="s">
        <v>43</v>
      </c>
      <c r="E215" s="3" t="s">
        <v>25</v>
      </c>
      <c r="F215" s="3" t="s">
        <v>25</v>
      </c>
      <c r="G215" s="3" t="s">
        <v>25</v>
      </c>
      <c r="H215" s="3" t="s">
        <v>36</v>
      </c>
      <c r="I215" s="6">
        <v>44562</v>
      </c>
      <c r="J215" s="4">
        <v>0</v>
      </c>
      <c r="K215" s="4">
        <v>0</v>
      </c>
      <c r="L215" s="4">
        <v>2.4E-2</v>
      </c>
      <c r="M215" s="4">
        <v>2.4E-2</v>
      </c>
      <c r="N215" s="4">
        <v>2.4E-2</v>
      </c>
      <c r="O215" s="4">
        <v>2.4E-2</v>
      </c>
      <c r="P215" s="4">
        <v>0</v>
      </c>
      <c r="Q215" s="3" t="s">
        <v>26</v>
      </c>
      <c r="R215" s="3">
        <v>0</v>
      </c>
      <c r="S215" s="3">
        <v>0</v>
      </c>
      <c r="T215" s="3">
        <v>30</v>
      </c>
      <c r="U215" s="3">
        <v>70</v>
      </c>
      <c r="V215" s="4">
        <f>IF(ISERROR(VLOOKUP($S$215,'TAR FIN'!$A$1:$O$91,15,0)),0,VLOOKUP($S$215,'TAR FIN'!$A$1:$O$91,15,0))</f>
        <v>0</v>
      </c>
      <c r="W215" s="4">
        <f>IF(ISERROR(VLOOKUP($T$215,'TAR FIN'!$A$1:$O$91,15,0)),0,VLOOKUP($T$215,'TAR FIN'!$A$1:$O$91,15,0))</f>
        <v>533.92999999999995</v>
      </c>
      <c r="X215" s="4">
        <f>IF(ISERROR(VLOOKUP($U$215,'TAR FIN'!$A$1:$O$91,15,0)),0,VLOOKUP($U$215,'TAR FIN'!$A$1:$O$91,15,0))</f>
        <v>167.16</v>
      </c>
      <c r="Y215" s="4"/>
      <c r="Z215" s="4">
        <f ca="1">('TUSD BE'!$AM$34+'TUSD BF'!$AM$34+'TUSD CVA'!$AM$34)*(1-CUSTOS!$M$38)</f>
        <v>685.07427471052529</v>
      </c>
      <c r="AA215" s="4">
        <f>('TE BE'!$AB$25+'TE BF'!$AB$25+'TE CVA'!$AB$25)*(1-CUSTOS!$M$38)</f>
        <v>184.1432479319173</v>
      </c>
      <c r="AB215" s="4">
        <f t="shared" si="16"/>
        <v>0</v>
      </c>
      <c r="AC215" s="4">
        <f>(L215*W215+M215*X215)/(1-CUSTOS!$M$38)*CUSTOS!$M$38</f>
        <v>1.0740102127659574</v>
      </c>
      <c r="AD215" s="4">
        <f t="shared" si="17"/>
        <v>0</v>
      </c>
      <c r="AE215" s="4">
        <f ca="1">(L215*Z215+N215*AA215)/(1-CUSTOS!$M$38)*CUSTOS!$M$38</f>
        <v>1.3315672687288485</v>
      </c>
      <c r="AF215" s="3" t="s">
        <v>777</v>
      </c>
    </row>
    <row r="216" spans="1:32" ht="11.25" customHeight="1" x14ac:dyDescent="0.3">
      <c r="A216" s="3" t="s">
        <v>21</v>
      </c>
      <c r="B216" s="3" t="s">
        <v>42</v>
      </c>
      <c r="C216" s="3" t="s">
        <v>33</v>
      </c>
      <c r="D216" s="3" t="s">
        <v>43</v>
      </c>
      <c r="E216" s="3" t="s">
        <v>25</v>
      </c>
      <c r="F216" s="3" t="s">
        <v>25</v>
      </c>
      <c r="G216" s="3" t="s">
        <v>25</v>
      </c>
      <c r="H216" s="3" t="s">
        <v>36</v>
      </c>
      <c r="I216" s="6">
        <v>44593</v>
      </c>
      <c r="J216" s="4">
        <v>0</v>
      </c>
      <c r="K216" s="4">
        <v>0</v>
      </c>
      <c r="L216" s="4">
        <v>2.1000000000000001E-2</v>
      </c>
      <c r="M216" s="4">
        <v>2.1000000000000001E-2</v>
      </c>
      <c r="N216" s="4">
        <v>2.1000000000000001E-2</v>
      </c>
      <c r="O216" s="4">
        <v>2.1000000000000001E-2</v>
      </c>
      <c r="P216" s="4">
        <v>0</v>
      </c>
      <c r="Q216" s="3" t="s">
        <v>26</v>
      </c>
      <c r="R216" s="3">
        <v>0</v>
      </c>
      <c r="S216" s="3">
        <v>0</v>
      </c>
      <c r="T216" s="3">
        <v>30</v>
      </c>
      <c r="U216" s="3">
        <v>70</v>
      </c>
      <c r="V216" s="4">
        <f>IF(ISERROR(VLOOKUP($S$216,'TAR FIN'!$A$1:$O$91,15,0)),0,VLOOKUP($S$216,'TAR FIN'!$A$1:$O$91,15,0))</f>
        <v>0</v>
      </c>
      <c r="W216" s="4">
        <f>IF(ISERROR(VLOOKUP($T$216,'TAR FIN'!$A$1:$O$91,15,0)),0,VLOOKUP($T$216,'TAR FIN'!$A$1:$O$91,15,0))</f>
        <v>533.92999999999995</v>
      </c>
      <c r="X216" s="4">
        <f>IF(ISERROR(VLOOKUP($U$216,'TAR FIN'!$A$1:$O$91,15,0)),0,VLOOKUP($U$216,'TAR FIN'!$A$1:$O$91,15,0))</f>
        <v>167.16</v>
      </c>
      <c r="Y216" s="4"/>
      <c r="Z216" s="4">
        <f ca="1">('TUSD BE'!$AM$34+'TUSD BF'!$AM$34+'TUSD CVA'!$AM$34)*(1-CUSTOS!$M$38)</f>
        <v>685.07427471052529</v>
      </c>
      <c r="AA216" s="4">
        <f>('TE BE'!$AB$25+'TE BF'!$AB$25+'TE CVA'!$AB$25)*(1-CUSTOS!$M$38)</f>
        <v>184.1432479319173</v>
      </c>
      <c r="AB216" s="4">
        <f t="shared" si="16"/>
        <v>0</v>
      </c>
      <c r="AC216" s="4">
        <f>(L216*W216+M216*X216)/(1-CUSTOS!$M$38)*CUSTOS!$M$38</f>
        <v>0.93975893617021267</v>
      </c>
      <c r="AD216" s="4">
        <f t="shared" si="17"/>
        <v>0</v>
      </c>
      <c r="AE216" s="4">
        <f ca="1">(L216*Z216+N216*AA216)/(1-CUSTOS!$M$38)*CUSTOS!$M$38</f>
        <v>1.1651213601377424</v>
      </c>
      <c r="AF216" s="3" t="s">
        <v>777</v>
      </c>
    </row>
    <row r="217" spans="1:32" ht="11.25" customHeight="1" x14ac:dyDescent="0.3">
      <c r="A217" s="3" t="s">
        <v>21</v>
      </c>
      <c r="B217" s="3" t="s">
        <v>42</v>
      </c>
      <c r="C217" s="3" t="s">
        <v>33</v>
      </c>
      <c r="D217" s="3" t="s">
        <v>43</v>
      </c>
      <c r="E217" s="3" t="s">
        <v>25</v>
      </c>
      <c r="F217" s="3" t="s">
        <v>25</v>
      </c>
      <c r="G217" s="3" t="s">
        <v>25</v>
      </c>
      <c r="H217" s="3" t="s">
        <v>36</v>
      </c>
      <c r="I217" s="6">
        <v>44621</v>
      </c>
      <c r="J217" s="4">
        <v>0</v>
      </c>
      <c r="K217" s="4">
        <v>0</v>
      </c>
      <c r="L217" s="4">
        <v>1.6E-2</v>
      </c>
      <c r="M217" s="4">
        <v>1.6E-2</v>
      </c>
      <c r="N217" s="4">
        <v>1.6E-2</v>
      </c>
      <c r="O217" s="4">
        <v>1.6E-2</v>
      </c>
      <c r="P217" s="4">
        <v>0</v>
      </c>
      <c r="Q217" s="3" t="s">
        <v>26</v>
      </c>
      <c r="R217" s="3">
        <v>0</v>
      </c>
      <c r="S217" s="3">
        <v>0</v>
      </c>
      <c r="T217" s="3">
        <v>30</v>
      </c>
      <c r="U217" s="3">
        <v>70</v>
      </c>
      <c r="V217" s="4">
        <f>IF(ISERROR(VLOOKUP($S$217,'TAR FIN'!$A$1:$O$91,15,0)),0,VLOOKUP($S$217,'TAR FIN'!$A$1:$O$91,15,0))</f>
        <v>0</v>
      </c>
      <c r="W217" s="4">
        <f>IF(ISERROR(VLOOKUP($T$217,'TAR FIN'!$A$1:$O$91,15,0)),0,VLOOKUP($T$217,'TAR FIN'!$A$1:$O$91,15,0))</f>
        <v>533.92999999999995</v>
      </c>
      <c r="X217" s="4">
        <f>IF(ISERROR(VLOOKUP($U$217,'TAR FIN'!$A$1:$O$91,15,0)),0,VLOOKUP($U$217,'TAR FIN'!$A$1:$O$91,15,0))</f>
        <v>167.16</v>
      </c>
      <c r="Y217" s="4"/>
      <c r="Z217" s="4">
        <f ca="1">('TUSD BE'!$AM$34+'TUSD BF'!$AM$34+'TUSD CVA'!$AM$34)*(1-CUSTOS!$M$38)</f>
        <v>685.07427471052529</v>
      </c>
      <c r="AA217" s="4">
        <f>('TE BE'!$AB$25+'TE BF'!$AB$25+'TE CVA'!$AB$25)*(1-CUSTOS!$M$38)</f>
        <v>184.1432479319173</v>
      </c>
      <c r="AB217" s="4">
        <f t="shared" si="16"/>
        <v>0</v>
      </c>
      <c r="AC217" s="4">
        <f>(L217*W217+M217*X217)/(1-CUSTOS!$M$38)*CUSTOS!$M$38</f>
        <v>0.71600680851063825</v>
      </c>
      <c r="AD217" s="4">
        <f t="shared" si="17"/>
        <v>0</v>
      </c>
      <c r="AE217" s="4">
        <f ca="1">(L217*Z217+N217*AA217)/(1-CUSTOS!$M$38)*CUSTOS!$M$38</f>
        <v>0.88771151248589886</v>
      </c>
      <c r="AF217" s="3" t="s">
        <v>777</v>
      </c>
    </row>
    <row r="218" spans="1:32" ht="11.25" customHeight="1" x14ac:dyDescent="0.3">
      <c r="A218" s="3" t="s">
        <v>21</v>
      </c>
      <c r="B218" s="3" t="s">
        <v>42</v>
      </c>
      <c r="C218" s="3" t="s">
        <v>33</v>
      </c>
      <c r="D218" s="3" t="s">
        <v>43</v>
      </c>
      <c r="E218" s="3" t="s">
        <v>25</v>
      </c>
      <c r="F218" s="3" t="s">
        <v>25</v>
      </c>
      <c r="G218" s="3" t="s">
        <v>25</v>
      </c>
      <c r="H218" s="3" t="s">
        <v>36</v>
      </c>
      <c r="I218" s="6">
        <v>44652</v>
      </c>
      <c r="J218" s="4">
        <v>0</v>
      </c>
      <c r="K218" s="4">
        <v>0</v>
      </c>
      <c r="L218" s="4">
        <v>1.7999999999999999E-2</v>
      </c>
      <c r="M218" s="4">
        <v>1.7999999999999999E-2</v>
      </c>
      <c r="N218" s="4">
        <v>1.7999999999999999E-2</v>
      </c>
      <c r="O218" s="4">
        <v>1.7999999999999999E-2</v>
      </c>
      <c r="P218" s="4">
        <v>0</v>
      </c>
      <c r="Q218" s="3" t="s">
        <v>26</v>
      </c>
      <c r="R218" s="3">
        <v>0</v>
      </c>
      <c r="S218" s="3">
        <v>0</v>
      </c>
      <c r="T218" s="3">
        <v>30</v>
      </c>
      <c r="U218" s="3">
        <v>70</v>
      </c>
      <c r="V218" s="4">
        <f>IF(ISERROR(VLOOKUP($S$218,'TAR FIN'!$A$1:$O$91,15,0)),0,VLOOKUP($S$218,'TAR FIN'!$A$1:$O$91,15,0))</f>
        <v>0</v>
      </c>
      <c r="W218" s="4">
        <f>IF(ISERROR(VLOOKUP($T$218,'TAR FIN'!$A$1:$O$91,15,0)),0,VLOOKUP($T$218,'TAR FIN'!$A$1:$O$91,15,0))</f>
        <v>533.92999999999995</v>
      </c>
      <c r="X218" s="4">
        <f>IF(ISERROR(VLOOKUP($U$218,'TAR FIN'!$A$1:$O$91,15,0)),0,VLOOKUP($U$218,'TAR FIN'!$A$1:$O$91,15,0))</f>
        <v>167.16</v>
      </c>
      <c r="Y218" s="4"/>
      <c r="Z218" s="4">
        <f ca="1">('TUSD BE'!$AM$34+'TUSD BF'!$AM$34+'TUSD CVA'!$AM$34)*(1-CUSTOS!$M$38)</f>
        <v>685.07427471052529</v>
      </c>
      <c r="AA218" s="4">
        <f>('TE BE'!$AB$25+'TE BF'!$AB$25+'TE CVA'!$AB$25)*(1-CUSTOS!$M$38)</f>
        <v>184.1432479319173</v>
      </c>
      <c r="AB218" s="4">
        <f t="shared" si="16"/>
        <v>0</v>
      </c>
      <c r="AC218" s="4">
        <f>(L218*W218+M218*X218)/(1-CUSTOS!$M$38)*CUSTOS!$M$38</f>
        <v>0.8055076595744679</v>
      </c>
      <c r="AD218" s="4">
        <f t="shared" si="17"/>
        <v>0</v>
      </c>
      <c r="AE218" s="4">
        <f ca="1">(L218*Z218+N218*AA218)/(1-CUSTOS!$M$38)*CUSTOS!$M$38</f>
        <v>0.99867545154663617</v>
      </c>
      <c r="AF218" s="3" t="s">
        <v>777</v>
      </c>
    </row>
    <row r="219" spans="1:32" ht="11.25" customHeight="1" x14ac:dyDescent="0.3">
      <c r="A219" s="3" t="s">
        <v>21</v>
      </c>
      <c r="B219" s="3" t="s">
        <v>42</v>
      </c>
      <c r="C219" s="3" t="s">
        <v>33</v>
      </c>
      <c r="D219" s="3" t="s">
        <v>43</v>
      </c>
      <c r="E219" s="3" t="s">
        <v>25</v>
      </c>
      <c r="F219" s="3" t="s">
        <v>25</v>
      </c>
      <c r="G219" s="3" t="s">
        <v>25</v>
      </c>
      <c r="H219" s="3" t="s">
        <v>36</v>
      </c>
      <c r="I219" s="6">
        <v>44682</v>
      </c>
      <c r="J219" s="4">
        <v>0</v>
      </c>
      <c r="K219" s="4">
        <v>0</v>
      </c>
      <c r="L219" s="4">
        <v>2.1999999999999999E-2</v>
      </c>
      <c r="M219" s="4">
        <v>2.1999999999999999E-2</v>
      </c>
      <c r="N219" s="4">
        <v>2.1999999999999999E-2</v>
      </c>
      <c r="O219" s="4">
        <v>2.1999999999999999E-2</v>
      </c>
      <c r="P219" s="4">
        <v>0</v>
      </c>
      <c r="Q219" s="3" t="s">
        <v>26</v>
      </c>
      <c r="R219" s="3">
        <v>0</v>
      </c>
      <c r="S219" s="3">
        <v>0</v>
      </c>
      <c r="T219" s="3">
        <v>30</v>
      </c>
      <c r="U219" s="3">
        <v>70</v>
      </c>
      <c r="V219" s="4">
        <f>IF(ISERROR(VLOOKUP($S$219,'TAR FIN'!$A$1:$O$91,15,0)),0,VLOOKUP($S$219,'TAR FIN'!$A$1:$O$91,15,0))</f>
        <v>0</v>
      </c>
      <c r="W219" s="4">
        <f>IF(ISERROR(VLOOKUP($T$219,'TAR FIN'!$A$1:$O$91,15,0)),0,VLOOKUP($T$219,'TAR FIN'!$A$1:$O$91,15,0))</f>
        <v>533.92999999999995</v>
      </c>
      <c r="X219" s="4">
        <f>IF(ISERROR(VLOOKUP($U$219,'TAR FIN'!$A$1:$O$91,15,0)),0,VLOOKUP($U$219,'TAR FIN'!$A$1:$O$91,15,0))</f>
        <v>167.16</v>
      </c>
      <c r="Y219" s="4"/>
      <c r="Z219" s="4">
        <f ca="1">('TUSD BE'!$AM$34+'TUSD BF'!$AM$34+'TUSD CVA'!$AM$34)*(1-CUSTOS!$M$38)</f>
        <v>685.07427471052529</v>
      </c>
      <c r="AA219" s="4">
        <f>('TE BE'!$AB$25+'TE BF'!$AB$25+'TE CVA'!$AB$25)*(1-CUSTOS!$M$38)</f>
        <v>184.1432479319173</v>
      </c>
      <c r="AB219" s="4">
        <f t="shared" si="16"/>
        <v>0</v>
      </c>
      <c r="AC219" s="4">
        <f>(L219*W219+M219*X219)/(1-CUSTOS!$M$38)*CUSTOS!$M$38</f>
        <v>0.98450936170212755</v>
      </c>
      <c r="AD219" s="4">
        <f t="shared" si="17"/>
        <v>0</v>
      </c>
      <c r="AE219" s="4">
        <f ca="1">(L219*Z219+N219*AA219)/(1-CUSTOS!$M$38)*CUSTOS!$M$38</f>
        <v>1.2206033296681109</v>
      </c>
      <c r="AF219" s="3" t="s">
        <v>777</v>
      </c>
    </row>
    <row r="220" spans="1:32" ht="11.25" customHeight="1" x14ac:dyDescent="0.3">
      <c r="A220" s="3" t="s">
        <v>21</v>
      </c>
      <c r="B220" s="3" t="s">
        <v>42</v>
      </c>
      <c r="C220" s="3" t="s">
        <v>33</v>
      </c>
      <c r="D220" s="3" t="s">
        <v>43</v>
      </c>
      <c r="E220" s="3" t="s">
        <v>25</v>
      </c>
      <c r="F220" s="3" t="s">
        <v>25</v>
      </c>
      <c r="G220" s="3" t="s">
        <v>25</v>
      </c>
      <c r="H220" s="3" t="s">
        <v>36</v>
      </c>
      <c r="I220" s="6">
        <v>44713</v>
      </c>
      <c r="J220" s="4">
        <v>0</v>
      </c>
      <c r="K220" s="4">
        <v>0</v>
      </c>
      <c r="L220" s="4">
        <v>2.1999999999999999E-2</v>
      </c>
      <c r="M220" s="4">
        <v>2.1999999999999999E-2</v>
      </c>
      <c r="N220" s="4">
        <v>2.1999999999999999E-2</v>
      </c>
      <c r="O220" s="4">
        <v>2.1999999999999999E-2</v>
      </c>
      <c r="P220" s="4">
        <v>0</v>
      </c>
      <c r="Q220" s="3" t="s">
        <v>26</v>
      </c>
      <c r="R220" s="3">
        <v>0</v>
      </c>
      <c r="S220" s="3">
        <v>0</v>
      </c>
      <c r="T220" s="3">
        <v>30</v>
      </c>
      <c r="U220" s="3">
        <v>70</v>
      </c>
      <c r="V220" s="4">
        <f>IF(ISERROR(VLOOKUP($S$220,'TAR FIN'!$A$1:$O$91,15,0)),0,VLOOKUP($S$220,'TAR FIN'!$A$1:$O$91,15,0))</f>
        <v>0</v>
      </c>
      <c r="W220" s="4">
        <f>IF(ISERROR(VLOOKUP($T$220,'TAR FIN'!$A$1:$O$91,15,0)),0,VLOOKUP($T$220,'TAR FIN'!$A$1:$O$91,15,0))</f>
        <v>533.92999999999995</v>
      </c>
      <c r="X220" s="4">
        <f>IF(ISERROR(VLOOKUP($U$220,'TAR FIN'!$A$1:$O$91,15,0)),0,VLOOKUP($U$220,'TAR FIN'!$A$1:$O$91,15,0))</f>
        <v>167.16</v>
      </c>
      <c r="Y220" s="4"/>
      <c r="Z220" s="4">
        <f ca="1">('TUSD BE'!$AM$34+'TUSD BF'!$AM$34+'TUSD CVA'!$AM$34)*(1-CUSTOS!$M$38)</f>
        <v>685.07427471052529</v>
      </c>
      <c r="AA220" s="4">
        <f>('TE BE'!$AB$25+'TE BF'!$AB$25+'TE CVA'!$AB$25)*(1-CUSTOS!$M$38)</f>
        <v>184.1432479319173</v>
      </c>
      <c r="AB220" s="4">
        <f t="shared" si="16"/>
        <v>0</v>
      </c>
      <c r="AC220" s="4">
        <f>(L220*W220+M220*X220)/(1-CUSTOS!$M$38)*CUSTOS!$M$38</f>
        <v>0.98450936170212755</v>
      </c>
      <c r="AD220" s="4">
        <f t="shared" si="17"/>
        <v>0</v>
      </c>
      <c r="AE220" s="4">
        <f ca="1">(L220*Z220+N220*AA220)/(1-CUSTOS!$M$38)*CUSTOS!$M$38</f>
        <v>1.2206033296681109</v>
      </c>
      <c r="AF220" s="3" t="s">
        <v>777</v>
      </c>
    </row>
    <row r="221" spans="1:32" ht="11.25" customHeight="1" x14ac:dyDescent="0.3">
      <c r="A221" s="3" t="s">
        <v>21</v>
      </c>
      <c r="B221" s="3" t="s">
        <v>42</v>
      </c>
      <c r="C221" s="3" t="s">
        <v>33</v>
      </c>
      <c r="D221" s="3" t="s">
        <v>43</v>
      </c>
      <c r="E221" s="3" t="s">
        <v>25</v>
      </c>
      <c r="F221" s="3" t="s">
        <v>25</v>
      </c>
      <c r="G221" s="3" t="s">
        <v>25</v>
      </c>
      <c r="H221" s="3" t="s">
        <v>34</v>
      </c>
      <c r="I221" s="6">
        <v>44409</v>
      </c>
      <c r="J221" s="4">
        <v>0</v>
      </c>
      <c r="K221" s="4">
        <v>0</v>
      </c>
      <c r="L221" s="4">
        <v>3.2000000000000001E-2</v>
      </c>
      <c r="M221" s="4">
        <v>3.2000000000000001E-2</v>
      </c>
      <c r="N221" s="4">
        <v>3.2000000000000001E-2</v>
      </c>
      <c r="O221" s="4">
        <v>3.2000000000000001E-2</v>
      </c>
      <c r="P221" s="4">
        <v>0</v>
      </c>
      <c r="Q221" s="3" t="s">
        <v>26</v>
      </c>
      <c r="R221" s="3">
        <v>0</v>
      </c>
      <c r="S221" s="3">
        <v>0</v>
      </c>
      <c r="T221" s="3">
        <v>29</v>
      </c>
      <c r="U221" s="3">
        <v>69</v>
      </c>
      <c r="V221" s="4">
        <f>IF(ISERROR(VLOOKUP($S$221,'TAR FIN'!$A$1:$O$91,15,0)),0,VLOOKUP($S$221,'TAR FIN'!$A$1:$O$91,15,0))</f>
        <v>0</v>
      </c>
      <c r="W221" s="4">
        <f>IF(ISERROR(VLOOKUP($T$221,'TAR FIN'!$A$1:$O$91,15,0)),0,VLOOKUP($T$221,'TAR FIN'!$A$1:$O$91,15,0))</f>
        <v>824.14</v>
      </c>
      <c r="X221" s="4">
        <f>IF(ISERROR(VLOOKUP($U$221,'TAR FIN'!$A$1:$O$91,15,0)),0,VLOOKUP($U$221,'TAR FIN'!$A$1:$O$91,15,0))</f>
        <v>262.98</v>
      </c>
      <c r="Y221" s="4"/>
      <c r="Z221" s="4">
        <f ca="1">('TUSD BE'!$AM$33+'TUSD BF'!$AM$33+'TUSD CVA'!$AM$33)*(1-CUSTOS!$M$38)</f>
        <v>1061.3938140842067</v>
      </c>
      <c r="AA221" s="4">
        <f>('TE BE'!$AB$24+'TE BF'!$AB$24+'TE CVA'!$AB$24)*(1-CUSTOS!$M$38)</f>
        <v>292.72708179946335</v>
      </c>
      <c r="AB221" s="4">
        <f t="shared" si="16"/>
        <v>0</v>
      </c>
      <c r="AC221" s="4">
        <f>(L221*W221+M221*X221)/(1-CUSTOS!$M$38)*CUSTOS!$M$38</f>
        <v>2.220500425531915</v>
      </c>
      <c r="AD221" s="4">
        <f t="shared" si="17"/>
        <v>0</v>
      </c>
      <c r="AE221" s="4">
        <f ca="1">(L221*Z221+N221*AA221)/(1-CUSTOS!$M$38)*CUSTOS!$M$38</f>
        <v>2.765863957549624</v>
      </c>
      <c r="AF221" s="3" t="s">
        <v>777</v>
      </c>
    </row>
    <row r="222" spans="1:32" ht="11.25" customHeight="1" x14ac:dyDescent="0.3">
      <c r="A222" s="3" t="s">
        <v>21</v>
      </c>
      <c r="B222" s="3" t="s">
        <v>42</v>
      </c>
      <c r="C222" s="3" t="s">
        <v>33</v>
      </c>
      <c r="D222" s="3" t="s">
        <v>43</v>
      </c>
      <c r="E222" s="3" t="s">
        <v>25</v>
      </c>
      <c r="F222" s="3" t="s">
        <v>25</v>
      </c>
      <c r="G222" s="3" t="s">
        <v>25</v>
      </c>
      <c r="H222" s="3" t="s">
        <v>34</v>
      </c>
      <c r="I222" s="6">
        <v>44470</v>
      </c>
      <c r="J222" s="4">
        <v>0</v>
      </c>
      <c r="K222" s="4">
        <v>0</v>
      </c>
      <c r="L222" s="4">
        <v>2.9000000000000001E-2</v>
      </c>
      <c r="M222" s="4">
        <v>2.9000000000000001E-2</v>
      </c>
      <c r="N222" s="4">
        <v>2.9000000000000001E-2</v>
      </c>
      <c r="O222" s="4">
        <v>2.9000000000000001E-2</v>
      </c>
      <c r="P222" s="4">
        <v>0</v>
      </c>
      <c r="Q222" s="3" t="s">
        <v>26</v>
      </c>
      <c r="R222" s="3">
        <v>0</v>
      </c>
      <c r="S222" s="3">
        <v>0</v>
      </c>
      <c r="T222" s="3">
        <v>29</v>
      </c>
      <c r="U222" s="3">
        <v>69</v>
      </c>
      <c r="V222" s="4">
        <f>IF(ISERROR(VLOOKUP($S$222,'TAR FIN'!$A$1:$O$91,15,0)),0,VLOOKUP($S$222,'TAR FIN'!$A$1:$O$91,15,0))</f>
        <v>0</v>
      </c>
      <c r="W222" s="4">
        <f>IF(ISERROR(VLOOKUP($T$222,'TAR FIN'!$A$1:$O$91,15,0)),0,VLOOKUP($T$222,'TAR FIN'!$A$1:$O$91,15,0))</f>
        <v>824.14</v>
      </c>
      <c r="X222" s="4">
        <f>IF(ISERROR(VLOOKUP($U$222,'TAR FIN'!$A$1:$O$91,15,0)),0,VLOOKUP($U$222,'TAR FIN'!$A$1:$O$91,15,0))</f>
        <v>262.98</v>
      </c>
      <c r="Y222" s="4"/>
      <c r="Z222" s="4">
        <f ca="1">('TUSD BE'!$AM$33+'TUSD BF'!$AM$33+'TUSD CVA'!$AM$33)*(1-CUSTOS!$M$38)</f>
        <v>1061.3938140842067</v>
      </c>
      <c r="AA222" s="4">
        <f>('TE BE'!$AB$24+'TE BF'!$AB$24+'TE CVA'!$AB$24)*(1-CUSTOS!$M$38)</f>
        <v>292.72708179946335</v>
      </c>
      <c r="AB222" s="4">
        <f t="shared" si="16"/>
        <v>0</v>
      </c>
      <c r="AC222" s="4">
        <f>(L222*W222+M222*X222)/(1-CUSTOS!$M$38)*CUSTOS!$M$38</f>
        <v>2.012328510638298</v>
      </c>
      <c r="AD222" s="4">
        <f t="shared" si="17"/>
        <v>0</v>
      </c>
      <c r="AE222" s="4">
        <f ca="1">(L222*Z222+N222*AA222)/(1-CUSTOS!$M$38)*CUSTOS!$M$38</f>
        <v>2.5065642115293469</v>
      </c>
      <c r="AF222" s="3" t="s">
        <v>777</v>
      </c>
    </row>
    <row r="223" spans="1:32" ht="11.25" customHeight="1" x14ac:dyDescent="0.3">
      <c r="A223" s="3" t="s">
        <v>21</v>
      </c>
      <c r="B223" s="3" t="s">
        <v>42</v>
      </c>
      <c r="C223" s="3" t="s">
        <v>33</v>
      </c>
      <c r="D223" s="3" t="s">
        <v>43</v>
      </c>
      <c r="E223" s="3" t="s">
        <v>25</v>
      </c>
      <c r="F223" s="3" t="s">
        <v>25</v>
      </c>
      <c r="G223" s="3" t="s">
        <v>25</v>
      </c>
      <c r="H223" s="3" t="s">
        <v>34</v>
      </c>
      <c r="I223" s="6">
        <v>44501</v>
      </c>
      <c r="J223" s="4">
        <v>0</v>
      </c>
      <c r="K223" s="4">
        <v>0</v>
      </c>
      <c r="L223" s="4">
        <v>3.4000000000000002E-2</v>
      </c>
      <c r="M223" s="4">
        <v>3.4000000000000002E-2</v>
      </c>
      <c r="N223" s="4">
        <v>3.4000000000000002E-2</v>
      </c>
      <c r="O223" s="4">
        <v>3.4000000000000002E-2</v>
      </c>
      <c r="P223" s="4">
        <v>0</v>
      </c>
      <c r="Q223" s="3" t="s">
        <v>26</v>
      </c>
      <c r="R223" s="3">
        <v>0</v>
      </c>
      <c r="S223" s="3">
        <v>0</v>
      </c>
      <c r="T223" s="3">
        <v>29</v>
      </c>
      <c r="U223" s="3">
        <v>69</v>
      </c>
      <c r="V223" s="4">
        <f>IF(ISERROR(VLOOKUP($S$223,'TAR FIN'!$A$1:$O$91,15,0)),0,VLOOKUP($S$223,'TAR FIN'!$A$1:$O$91,15,0))</f>
        <v>0</v>
      </c>
      <c r="W223" s="4">
        <f>IF(ISERROR(VLOOKUP($T$223,'TAR FIN'!$A$1:$O$91,15,0)),0,VLOOKUP($T$223,'TAR FIN'!$A$1:$O$91,15,0))</f>
        <v>824.14</v>
      </c>
      <c r="X223" s="4">
        <f>IF(ISERROR(VLOOKUP($U$223,'TAR FIN'!$A$1:$O$91,15,0)),0,VLOOKUP($U$223,'TAR FIN'!$A$1:$O$91,15,0))</f>
        <v>262.98</v>
      </c>
      <c r="Y223" s="4"/>
      <c r="Z223" s="4">
        <f ca="1">('TUSD BE'!$AM$33+'TUSD BF'!$AM$33+'TUSD CVA'!$AM$33)*(1-CUSTOS!$M$38)</f>
        <v>1061.3938140842067</v>
      </c>
      <c r="AA223" s="4">
        <f>('TE BE'!$AB$24+'TE BF'!$AB$24+'TE CVA'!$AB$24)*(1-CUSTOS!$M$38)</f>
        <v>292.72708179946335</v>
      </c>
      <c r="AB223" s="4">
        <f t="shared" si="16"/>
        <v>0</v>
      </c>
      <c r="AC223" s="4">
        <f>(L223*W223+M223*X223)/(1-CUSTOS!$M$38)*CUSTOS!$M$38</f>
        <v>2.3592817021276598</v>
      </c>
      <c r="AD223" s="4">
        <f t="shared" si="17"/>
        <v>0</v>
      </c>
      <c r="AE223" s="4">
        <f ca="1">(L223*Z223+N223*AA223)/(1-CUSTOS!$M$38)*CUSTOS!$M$38</f>
        <v>2.9387304548964757</v>
      </c>
      <c r="AF223" s="3" t="s">
        <v>777</v>
      </c>
    </row>
    <row r="224" spans="1:32" ht="11.25" customHeight="1" x14ac:dyDescent="0.3">
      <c r="A224" s="3" t="s">
        <v>21</v>
      </c>
      <c r="B224" s="3" t="s">
        <v>42</v>
      </c>
      <c r="C224" s="3" t="s">
        <v>33</v>
      </c>
      <c r="D224" s="3" t="s">
        <v>43</v>
      </c>
      <c r="E224" s="3" t="s">
        <v>25</v>
      </c>
      <c r="F224" s="3" t="s">
        <v>25</v>
      </c>
      <c r="G224" s="3" t="s">
        <v>25</v>
      </c>
      <c r="H224" s="3" t="s">
        <v>34</v>
      </c>
      <c r="I224" s="6">
        <v>44531</v>
      </c>
      <c r="J224" s="4">
        <v>0</v>
      </c>
      <c r="K224" s="4">
        <v>0</v>
      </c>
      <c r="L224" s="4">
        <v>0.05</v>
      </c>
      <c r="M224" s="4">
        <v>0.05</v>
      </c>
      <c r="N224" s="4">
        <v>0.05</v>
      </c>
      <c r="O224" s="4">
        <v>0.05</v>
      </c>
      <c r="P224" s="4">
        <v>0</v>
      </c>
      <c r="Q224" s="3" t="s">
        <v>26</v>
      </c>
      <c r="R224" s="3">
        <v>0</v>
      </c>
      <c r="S224" s="3">
        <v>0</v>
      </c>
      <c r="T224" s="3">
        <v>29</v>
      </c>
      <c r="U224" s="3">
        <v>69</v>
      </c>
      <c r="V224" s="4">
        <f>IF(ISERROR(VLOOKUP($S$224,'TAR FIN'!$A$1:$O$91,15,0)),0,VLOOKUP($S$224,'TAR FIN'!$A$1:$O$91,15,0))</f>
        <v>0</v>
      </c>
      <c r="W224" s="4">
        <f>IF(ISERROR(VLOOKUP($T$224,'TAR FIN'!$A$1:$O$91,15,0)),0,VLOOKUP($T$224,'TAR FIN'!$A$1:$O$91,15,0))</f>
        <v>824.14</v>
      </c>
      <c r="X224" s="4">
        <f>IF(ISERROR(VLOOKUP($U$224,'TAR FIN'!$A$1:$O$91,15,0)),0,VLOOKUP($U$224,'TAR FIN'!$A$1:$O$91,15,0))</f>
        <v>262.98</v>
      </c>
      <c r="Y224" s="4"/>
      <c r="Z224" s="4">
        <f ca="1">('TUSD BE'!$AM$33+'TUSD BF'!$AM$33+'TUSD CVA'!$AM$33)*(1-CUSTOS!$M$38)</f>
        <v>1061.3938140842067</v>
      </c>
      <c r="AA224" s="4">
        <f>('TE BE'!$AB$24+'TE BF'!$AB$24+'TE CVA'!$AB$24)*(1-CUSTOS!$M$38)</f>
        <v>292.72708179946335</v>
      </c>
      <c r="AB224" s="4">
        <f t="shared" si="16"/>
        <v>0</v>
      </c>
      <c r="AC224" s="4">
        <f>(L224*W224+M224*X224)/(1-CUSTOS!$M$38)*CUSTOS!$M$38</f>
        <v>3.4695319148936172</v>
      </c>
      <c r="AD224" s="4">
        <f t="shared" si="17"/>
        <v>0</v>
      </c>
      <c r="AE224" s="4">
        <f ca="1">(L224*Z224+N224*AA224)/(1-CUSTOS!$M$38)*CUSTOS!$M$38</f>
        <v>4.3216624336712872</v>
      </c>
      <c r="AF224" s="3" t="s">
        <v>777</v>
      </c>
    </row>
    <row r="225" spans="1:32" ht="11.25" customHeight="1" x14ac:dyDescent="0.3">
      <c r="A225" s="3" t="s">
        <v>21</v>
      </c>
      <c r="B225" s="3" t="s">
        <v>42</v>
      </c>
      <c r="C225" s="3" t="s">
        <v>33</v>
      </c>
      <c r="D225" s="3" t="s">
        <v>43</v>
      </c>
      <c r="E225" s="3" t="s">
        <v>25</v>
      </c>
      <c r="F225" s="3" t="s">
        <v>25</v>
      </c>
      <c r="G225" s="3" t="s">
        <v>25</v>
      </c>
      <c r="H225" s="3" t="s">
        <v>34</v>
      </c>
      <c r="I225" s="6">
        <v>44562</v>
      </c>
      <c r="J225" s="4">
        <v>0</v>
      </c>
      <c r="K225" s="4">
        <v>0</v>
      </c>
      <c r="L225" s="4">
        <v>3.5000000000000003E-2</v>
      </c>
      <c r="M225" s="4">
        <v>3.5000000000000003E-2</v>
      </c>
      <c r="N225" s="4">
        <v>3.5000000000000003E-2</v>
      </c>
      <c r="O225" s="4">
        <v>3.5000000000000003E-2</v>
      </c>
      <c r="P225" s="4">
        <v>0</v>
      </c>
      <c r="Q225" s="3" t="s">
        <v>26</v>
      </c>
      <c r="R225" s="3">
        <v>0</v>
      </c>
      <c r="S225" s="3">
        <v>0</v>
      </c>
      <c r="T225" s="3">
        <v>29</v>
      </c>
      <c r="U225" s="3">
        <v>69</v>
      </c>
      <c r="V225" s="4">
        <f>IF(ISERROR(VLOOKUP($S$225,'TAR FIN'!$A$1:$O$91,15,0)),0,VLOOKUP($S$225,'TAR FIN'!$A$1:$O$91,15,0))</f>
        <v>0</v>
      </c>
      <c r="W225" s="4">
        <f>IF(ISERROR(VLOOKUP($T$225,'TAR FIN'!$A$1:$O$91,15,0)),0,VLOOKUP($T$225,'TAR FIN'!$A$1:$O$91,15,0))</f>
        <v>824.14</v>
      </c>
      <c r="X225" s="4">
        <f>IF(ISERROR(VLOOKUP($U$225,'TAR FIN'!$A$1:$O$91,15,0)),0,VLOOKUP($U$225,'TAR FIN'!$A$1:$O$91,15,0))</f>
        <v>262.98</v>
      </c>
      <c r="Y225" s="4"/>
      <c r="Z225" s="4">
        <f ca="1">('TUSD BE'!$AM$33+'TUSD BF'!$AM$33+'TUSD CVA'!$AM$33)*(1-CUSTOS!$M$38)</f>
        <v>1061.3938140842067</v>
      </c>
      <c r="AA225" s="4">
        <f>('TE BE'!$AB$24+'TE BF'!$AB$24+'TE CVA'!$AB$24)*(1-CUSTOS!$M$38)</f>
        <v>292.72708179946335</v>
      </c>
      <c r="AB225" s="4">
        <f t="shared" si="16"/>
        <v>0</v>
      </c>
      <c r="AC225" s="4">
        <f>(L225*W225+M225*X225)/(1-CUSTOS!$M$38)*CUSTOS!$M$38</f>
        <v>2.4286723404255324</v>
      </c>
      <c r="AD225" s="4">
        <f t="shared" si="17"/>
        <v>0</v>
      </c>
      <c r="AE225" s="4">
        <f ca="1">(L225*Z225+N225*AA225)/(1-CUSTOS!$M$38)*CUSTOS!$M$38</f>
        <v>3.0251637035699011</v>
      </c>
      <c r="AF225" s="3" t="s">
        <v>777</v>
      </c>
    </row>
    <row r="226" spans="1:32" ht="11.25" customHeight="1" x14ac:dyDescent="0.3">
      <c r="A226" s="3" t="s">
        <v>21</v>
      </c>
      <c r="B226" s="3" t="s">
        <v>42</v>
      </c>
      <c r="C226" s="3" t="s">
        <v>33</v>
      </c>
      <c r="D226" s="3" t="s">
        <v>43</v>
      </c>
      <c r="E226" s="3" t="s">
        <v>25</v>
      </c>
      <c r="F226" s="3" t="s">
        <v>25</v>
      </c>
      <c r="G226" s="3" t="s">
        <v>25</v>
      </c>
      <c r="H226" s="3" t="s">
        <v>34</v>
      </c>
      <c r="I226" s="6">
        <v>44593</v>
      </c>
      <c r="J226" s="4">
        <v>0</v>
      </c>
      <c r="K226" s="4">
        <v>0</v>
      </c>
      <c r="L226" s="4">
        <v>3.5999999999999997E-2</v>
      </c>
      <c r="M226" s="4">
        <v>3.5999999999999997E-2</v>
      </c>
      <c r="N226" s="4">
        <v>3.5999999999999997E-2</v>
      </c>
      <c r="O226" s="4">
        <v>3.5999999999999997E-2</v>
      </c>
      <c r="P226" s="4">
        <v>0</v>
      </c>
      <c r="Q226" s="3" t="s">
        <v>26</v>
      </c>
      <c r="R226" s="3">
        <v>0</v>
      </c>
      <c r="S226" s="3">
        <v>0</v>
      </c>
      <c r="T226" s="3">
        <v>29</v>
      </c>
      <c r="U226" s="3">
        <v>69</v>
      </c>
      <c r="V226" s="4">
        <f>IF(ISERROR(VLOOKUP($S$226,'TAR FIN'!$A$1:$O$91,15,0)),0,VLOOKUP($S$226,'TAR FIN'!$A$1:$O$91,15,0))</f>
        <v>0</v>
      </c>
      <c r="W226" s="4">
        <f>IF(ISERROR(VLOOKUP($T$226,'TAR FIN'!$A$1:$O$91,15,0)),0,VLOOKUP($T$226,'TAR FIN'!$A$1:$O$91,15,0))</f>
        <v>824.14</v>
      </c>
      <c r="X226" s="4">
        <f>IF(ISERROR(VLOOKUP($U$226,'TAR FIN'!$A$1:$O$91,15,0)),0,VLOOKUP($U$226,'TAR FIN'!$A$1:$O$91,15,0))</f>
        <v>262.98</v>
      </c>
      <c r="Y226" s="4"/>
      <c r="Z226" s="4">
        <f ca="1">('TUSD BE'!$AM$33+'TUSD BF'!$AM$33+'TUSD CVA'!$AM$33)*(1-CUSTOS!$M$38)</f>
        <v>1061.3938140842067</v>
      </c>
      <c r="AA226" s="4">
        <f>('TE BE'!$AB$24+'TE BF'!$AB$24+'TE CVA'!$AB$24)*(1-CUSTOS!$M$38)</f>
        <v>292.72708179946335</v>
      </c>
      <c r="AB226" s="4">
        <f t="shared" si="16"/>
        <v>0</v>
      </c>
      <c r="AC226" s="4">
        <f>(L226*W226+M226*X226)/(1-CUSTOS!$M$38)*CUSTOS!$M$38</f>
        <v>2.4980629787234041</v>
      </c>
      <c r="AD226" s="4">
        <f t="shared" si="17"/>
        <v>0</v>
      </c>
      <c r="AE226" s="4">
        <f ca="1">(L226*Z226+N226*AA226)/(1-CUSTOS!$M$38)*CUSTOS!$M$38</f>
        <v>3.1115969522433269</v>
      </c>
      <c r="AF226" s="3" t="s">
        <v>777</v>
      </c>
    </row>
    <row r="227" spans="1:32" ht="11.25" customHeight="1" x14ac:dyDescent="0.3">
      <c r="A227" s="3" t="s">
        <v>21</v>
      </c>
      <c r="B227" s="3" t="s">
        <v>42</v>
      </c>
      <c r="C227" s="3" t="s">
        <v>33</v>
      </c>
      <c r="D227" s="3" t="s">
        <v>43</v>
      </c>
      <c r="E227" s="3" t="s">
        <v>25</v>
      </c>
      <c r="F227" s="3" t="s">
        <v>25</v>
      </c>
      <c r="G227" s="3" t="s">
        <v>25</v>
      </c>
      <c r="H227" s="3" t="s">
        <v>34</v>
      </c>
      <c r="I227" s="6">
        <v>44621</v>
      </c>
      <c r="J227" s="4">
        <v>0</v>
      </c>
      <c r="K227" s="4">
        <v>0</v>
      </c>
      <c r="L227" s="4">
        <v>0.03</v>
      </c>
      <c r="M227" s="4">
        <v>0.03</v>
      </c>
      <c r="N227" s="4">
        <v>0.03</v>
      </c>
      <c r="O227" s="4">
        <v>0.03</v>
      </c>
      <c r="P227" s="4">
        <v>0</v>
      </c>
      <c r="Q227" s="3" t="s">
        <v>26</v>
      </c>
      <c r="R227" s="3">
        <v>0</v>
      </c>
      <c r="S227" s="3">
        <v>0</v>
      </c>
      <c r="T227" s="3">
        <v>29</v>
      </c>
      <c r="U227" s="3">
        <v>69</v>
      </c>
      <c r="V227" s="4">
        <f>IF(ISERROR(VLOOKUP($S$227,'TAR FIN'!$A$1:$O$91,15,0)),0,VLOOKUP($S$227,'TAR FIN'!$A$1:$O$91,15,0))</f>
        <v>0</v>
      </c>
      <c r="W227" s="4">
        <f>IF(ISERROR(VLOOKUP($T$227,'TAR FIN'!$A$1:$O$91,15,0)),0,VLOOKUP($T$227,'TAR FIN'!$A$1:$O$91,15,0))</f>
        <v>824.14</v>
      </c>
      <c r="X227" s="4">
        <f>IF(ISERROR(VLOOKUP($U$227,'TAR FIN'!$A$1:$O$91,15,0)),0,VLOOKUP($U$227,'TAR FIN'!$A$1:$O$91,15,0))</f>
        <v>262.98</v>
      </c>
      <c r="Y227" s="4"/>
      <c r="Z227" s="4">
        <f ca="1">('TUSD BE'!$AM$33+'TUSD BF'!$AM$33+'TUSD CVA'!$AM$33)*(1-CUSTOS!$M$38)</f>
        <v>1061.3938140842067</v>
      </c>
      <c r="AA227" s="4">
        <f>('TE BE'!$AB$24+'TE BF'!$AB$24+'TE CVA'!$AB$24)*(1-CUSTOS!$M$38)</f>
        <v>292.72708179946335</v>
      </c>
      <c r="AB227" s="4">
        <f t="shared" si="16"/>
        <v>0</v>
      </c>
      <c r="AC227" s="4">
        <f>(L227*W227+M227*X227)/(1-CUSTOS!$M$38)*CUSTOS!$M$38</f>
        <v>2.0817191489361702</v>
      </c>
      <c r="AD227" s="4">
        <f t="shared" si="17"/>
        <v>0</v>
      </c>
      <c r="AE227" s="4">
        <f ca="1">(L227*Z227+N227*AA227)/(1-CUSTOS!$M$38)*CUSTOS!$M$38</f>
        <v>2.5929974602027723</v>
      </c>
      <c r="AF227" s="3" t="s">
        <v>777</v>
      </c>
    </row>
    <row r="228" spans="1:32" ht="11.25" customHeight="1" x14ac:dyDescent="0.3">
      <c r="A228" s="3" t="s">
        <v>21</v>
      </c>
      <c r="B228" s="3" t="s">
        <v>42</v>
      </c>
      <c r="C228" s="3" t="s">
        <v>33</v>
      </c>
      <c r="D228" s="3" t="s">
        <v>43</v>
      </c>
      <c r="E228" s="3" t="s">
        <v>25</v>
      </c>
      <c r="F228" s="3" t="s">
        <v>25</v>
      </c>
      <c r="G228" s="3" t="s">
        <v>25</v>
      </c>
      <c r="H228" s="3" t="s">
        <v>34</v>
      </c>
      <c r="I228" s="6">
        <v>44652</v>
      </c>
      <c r="J228" s="4">
        <v>0</v>
      </c>
      <c r="K228" s="4">
        <v>0</v>
      </c>
      <c r="L228" s="4">
        <v>3.1E-2</v>
      </c>
      <c r="M228" s="4">
        <v>3.1E-2</v>
      </c>
      <c r="N228" s="4">
        <v>3.1E-2</v>
      </c>
      <c r="O228" s="4">
        <v>3.1E-2</v>
      </c>
      <c r="P228" s="4">
        <v>0</v>
      </c>
      <c r="Q228" s="3" t="s">
        <v>26</v>
      </c>
      <c r="R228" s="3">
        <v>0</v>
      </c>
      <c r="S228" s="3">
        <v>0</v>
      </c>
      <c r="T228" s="3">
        <v>29</v>
      </c>
      <c r="U228" s="3">
        <v>69</v>
      </c>
      <c r="V228" s="4">
        <f>IF(ISERROR(VLOOKUP($S$228,'TAR FIN'!$A$1:$O$91,15,0)),0,VLOOKUP($S$228,'TAR FIN'!$A$1:$O$91,15,0))</f>
        <v>0</v>
      </c>
      <c r="W228" s="4">
        <f>IF(ISERROR(VLOOKUP($T$228,'TAR FIN'!$A$1:$O$91,15,0)),0,VLOOKUP($T$228,'TAR FIN'!$A$1:$O$91,15,0))</f>
        <v>824.14</v>
      </c>
      <c r="X228" s="4">
        <f>IF(ISERROR(VLOOKUP($U$228,'TAR FIN'!$A$1:$O$91,15,0)),0,VLOOKUP($U$228,'TAR FIN'!$A$1:$O$91,15,0))</f>
        <v>262.98</v>
      </c>
      <c r="Y228" s="4"/>
      <c r="Z228" s="4">
        <f ca="1">('TUSD BE'!$AM$33+'TUSD BF'!$AM$33+'TUSD CVA'!$AM$33)*(1-CUSTOS!$M$38)</f>
        <v>1061.3938140842067</v>
      </c>
      <c r="AA228" s="4">
        <f>('TE BE'!$AB$24+'TE BF'!$AB$24+'TE CVA'!$AB$24)*(1-CUSTOS!$M$38)</f>
        <v>292.72708179946335</v>
      </c>
      <c r="AB228" s="4">
        <f t="shared" si="16"/>
        <v>0</v>
      </c>
      <c r="AC228" s="4">
        <f>(L228*W228+M228*X228)/(1-CUSTOS!$M$38)*CUSTOS!$M$38</f>
        <v>2.1511097872340428</v>
      </c>
      <c r="AD228" s="4">
        <f t="shared" si="17"/>
        <v>0</v>
      </c>
      <c r="AE228" s="4">
        <f ca="1">(L228*Z228+N228*AA228)/(1-CUSTOS!$M$38)*CUSTOS!$M$38</f>
        <v>2.6794307088761986</v>
      </c>
      <c r="AF228" s="3" t="s">
        <v>777</v>
      </c>
    </row>
    <row r="229" spans="1:32" ht="11.25" customHeight="1" x14ac:dyDescent="0.3">
      <c r="A229" s="3" t="s">
        <v>21</v>
      </c>
      <c r="B229" s="3" t="s">
        <v>42</v>
      </c>
      <c r="C229" s="3" t="s">
        <v>33</v>
      </c>
      <c r="D229" s="3" t="s">
        <v>43</v>
      </c>
      <c r="E229" s="3" t="s">
        <v>25</v>
      </c>
      <c r="F229" s="3" t="s">
        <v>25</v>
      </c>
      <c r="G229" s="3" t="s">
        <v>25</v>
      </c>
      <c r="H229" s="3" t="s">
        <v>34</v>
      </c>
      <c r="I229" s="6">
        <v>44682</v>
      </c>
      <c r="J229" s="4">
        <v>0</v>
      </c>
      <c r="K229" s="4">
        <v>0</v>
      </c>
      <c r="L229" s="4">
        <v>4.2000000000000003E-2</v>
      </c>
      <c r="M229" s="4">
        <v>4.2000000000000003E-2</v>
      </c>
      <c r="N229" s="4">
        <v>4.2000000000000003E-2</v>
      </c>
      <c r="O229" s="4">
        <v>4.2000000000000003E-2</v>
      </c>
      <c r="P229" s="4">
        <v>0</v>
      </c>
      <c r="Q229" s="3" t="s">
        <v>26</v>
      </c>
      <c r="R229" s="3">
        <v>0</v>
      </c>
      <c r="S229" s="3">
        <v>0</v>
      </c>
      <c r="T229" s="3">
        <v>29</v>
      </c>
      <c r="U229" s="3">
        <v>69</v>
      </c>
      <c r="V229" s="4">
        <f>IF(ISERROR(VLOOKUP($S$229,'TAR FIN'!$A$1:$O$91,15,0)),0,VLOOKUP($S$229,'TAR FIN'!$A$1:$O$91,15,0))</f>
        <v>0</v>
      </c>
      <c r="W229" s="4">
        <f>IF(ISERROR(VLOOKUP($T$229,'TAR FIN'!$A$1:$O$91,15,0)),0,VLOOKUP($T$229,'TAR FIN'!$A$1:$O$91,15,0))</f>
        <v>824.14</v>
      </c>
      <c r="X229" s="4">
        <f>IF(ISERROR(VLOOKUP($U$229,'TAR FIN'!$A$1:$O$91,15,0)),0,VLOOKUP($U$229,'TAR FIN'!$A$1:$O$91,15,0))</f>
        <v>262.98</v>
      </c>
      <c r="Y229" s="4"/>
      <c r="Z229" s="4">
        <f ca="1">('TUSD BE'!$AM$33+'TUSD BF'!$AM$33+'TUSD CVA'!$AM$33)*(1-CUSTOS!$M$38)</f>
        <v>1061.3938140842067</v>
      </c>
      <c r="AA229" s="4">
        <f>('TE BE'!$AB$24+'TE BF'!$AB$24+'TE CVA'!$AB$24)*(1-CUSTOS!$M$38)</f>
        <v>292.72708179946335</v>
      </c>
      <c r="AB229" s="4">
        <f t="shared" si="16"/>
        <v>0</v>
      </c>
      <c r="AC229" s="4">
        <f>(L229*W229+M229*X229)/(1-CUSTOS!$M$38)*CUSTOS!$M$38</f>
        <v>2.9144068085106385</v>
      </c>
      <c r="AD229" s="4">
        <f t="shared" si="17"/>
        <v>0</v>
      </c>
      <c r="AE229" s="4">
        <f ca="1">(L229*Z229+N229*AA229)/(1-CUSTOS!$M$38)*CUSTOS!$M$38</f>
        <v>3.6301964442838814</v>
      </c>
      <c r="AF229" s="3" t="s">
        <v>777</v>
      </c>
    </row>
    <row r="230" spans="1:32" ht="11.25" customHeight="1" x14ac:dyDescent="0.3">
      <c r="A230" s="3" t="s">
        <v>21</v>
      </c>
      <c r="B230" s="3" t="s">
        <v>42</v>
      </c>
      <c r="C230" s="3" t="s">
        <v>33</v>
      </c>
      <c r="D230" s="3" t="s">
        <v>43</v>
      </c>
      <c r="E230" s="3" t="s">
        <v>25</v>
      </c>
      <c r="F230" s="3" t="s">
        <v>25</v>
      </c>
      <c r="G230" s="3" t="s">
        <v>25</v>
      </c>
      <c r="H230" s="3" t="s">
        <v>34</v>
      </c>
      <c r="I230" s="6">
        <v>44713</v>
      </c>
      <c r="J230" s="4">
        <v>0</v>
      </c>
      <c r="K230" s="4">
        <v>0</v>
      </c>
      <c r="L230" s="4">
        <v>4.2000000000000003E-2</v>
      </c>
      <c r="M230" s="4">
        <v>4.2000000000000003E-2</v>
      </c>
      <c r="N230" s="4">
        <v>4.2000000000000003E-2</v>
      </c>
      <c r="O230" s="4">
        <v>4.2000000000000003E-2</v>
      </c>
      <c r="P230" s="4">
        <v>0</v>
      </c>
      <c r="Q230" s="3" t="s">
        <v>26</v>
      </c>
      <c r="R230" s="3">
        <v>0</v>
      </c>
      <c r="S230" s="3">
        <v>0</v>
      </c>
      <c r="T230" s="3">
        <v>29</v>
      </c>
      <c r="U230" s="3">
        <v>69</v>
      </c>
      <c r="V230" s="4">
        <f>IF(ISERROR(VLOOKUP($S$230,'TAR FIN'!$A$1:$O$91,15,0)),0,VLOOKUP($S$230,'TAR FIN'!$A$1:$O$91,15,0))</f>
        <v>0</v>
      </c>
      <c r="W230" s="4">
        <f>IF(ISERROR(VLOOKUP($T$230,'TAR FIN'!$A$1:$O$91,15,0)),0,VLOOKUP($T$230,'TAR FIN'!$A$1:$O$91,15,0))</f>
        <v>824.14</v>
      </c>
      <c r="X230" s="4">
        <f>IF(ISERROR(VLOOKUP($U$230,'TAR FIN'!$A$1:$O$91,15,0)),0,VLOOKUP($U$230,'TAR FIN'!$A$1:$O$91,15,0))</f>
        <v>262.98</v>
      </c>
      <c r="Y230" s="4"/>
      <c r="Z230" s="4">
        <f ca="1">('TUSD BE'!$AM$33+'TUSD BF'!$AM$33+'TUSD CVA'!$AM$33)*(1-CUSTOS!$M$38)</f>
        <v>1061.3938140842067</v>
      </c>
      <c r="AA230" s="4">
        <f>('TE BE'!$AB$24+'TE BF'!$AB$24+'TE CVA'!$AB$24)*(1-CUSTOS!$M$38)</f>
        <v>292.72708179946335</v>
      </c>
      <c r="AB230" s="4">
        <f t="shared" si="16"/>
        <v>0</v>
      </c>
      <c r="AC230" s="4">
        <f>(L230*W230+M230*X230)/(1-CUSTOS!$M$38)*CUSTOS!$M$38</f>
        <v>2.9144068085106385</v>
      </c>
      <c r="AD230" s="4">
        <f t="shared" si="17"/>
        <v>0</v>
      </c>
      <c r="AE230" s="4">
        <f ca="1">(L230*Z230+N230*AA230)/(1-CUSTOS!$M$38)*CUSTOS!$M$38</f>
        <v>3.6301964442838814</v>
      </c>
      <c r="AF230" s="3" t="s">
        <v>777</v>
      </c>
    </row>
    <row r="231" spans="1:32" ht="11.25" customHeight="1" x14ac:dyDescent="0.3">
      <c r="A231" s="3" t="s">
        <v>21</v>
      </c>
      <c r="B231" s="3" t="s">
        <v>42</v>
      </c>
      <c r="C231" s="3" t="s">
        <v>23</v>
      </c>
      <c r="D231" s="3" t="s">
        <v>43</v>
      </c>
      <c r="E231" s="3" t="s">
        <v>51</v>
      </c>
      <c r="F231" s="3" t="s">
        <v>52</v>
      </c>
      <c r="G231" s="3" t="s">
        <v>25</v>
      </c>
      <c r="H231" s="3" t="s">
        <v>25</v>
      </c>
      <c r="I231" s="6">
        <v>44378</v>
      </c>
      <c r="J231" s="4">
        <v>0</v>
      </c>
      <c r="K231" s="4">
        <v>0</v>
      </c>
      <c r="L231" s="4">
        <v>4.2359999999999998</v>
      </c>
      <c r="M231" s="4">
        <v>4.2359999999999998</v>
      </c>
      <c r="N231" s="4">
        <v>4.2359999999999998</v>
      </c>
      <c r="O231" s="4">
        <v>4.2359999999999998</v>
      </c>
      <c r="P231" s="4">
        <v>0</v>
      </c>
      <c r="Q231" s="3" t="s">
        <v>26</v>
      </c>
      <c r="R231" s="3">
        <v>0</v>
      </c>
      <c r="S231" s="3">
        <v>0</v>
      </c>
      <c r="T231" s="3">
        <v>32</v>
      </c>
      <c r="U231" s="3">
        <v>72</v>
      </c>
      <c r="V231" s="4">
        <f>IF(ISERROR(VLOOKUP($S$231,'TAR FIN'!$A$1:$O$91,15,0)),0,VLOOKUP($S$231,'TAR FIN'!$A$1:$O$91,15,0))</f>
        <v>0</v>
      </c>
      <c r="W231" s="4">
        <f>IF(ISERROR(VLOOKUP($T$231,'TAR FIN'!$A$1:$O$91,15,0)),0,VLOOKUP($T$231,'TAR FIN'!$A$1:$O$91,15,0))</f>
        <v>357.74</v>
      </c>
      <c r="X231" s="4">
        <f>IF(ISERROR(VLOOKUP($U$231,'TAR FIN'!$A$1:$O$91,15,0)),0,VLOOKUP($U$231,'TAR FIN'!$A$1:$O$91,15,0))</f>
        <v>175.15</v>
      </c>
      <c r="Y231" s="4"/>
      <c r="Z231" s="4">
        <f ca="1">('TUSD BE'!$AM$36+'TUSD BF'!$AM$36+'TUSD CVA'!$AM$36)*(1-CUSTOS!$M$38)</f>
        <v>419.26134561460873</v>
      </c>
      <c r="AA231" s="4">
        <f>('TE BE'!$AB$27+'TE BF'!$AB$27+'TE CVA'!$AB$27)*(1-CUSTOS!$M$38)</f>
        <v>193.19190075421278</v>
      </c>
      <c r="AB231" s="4">
        <f t="shared" si="16"/>
        <v>0</v>
      </c>
      <c r="AC231" s="4">
        <f>(L231-M231)*(W231+X231)+($W$110+$X$110-$W$231-$X$231)*(L231)</f>
        <v>307.78775999999971</v>
      </c>
      <c r="AD231" s="4">
        <f t="shared" si="17"/>
        <v>0</v>
      </c>
      <c r="AE231" s="4">
        <f ca="1">(L231-M231)*(Z231+AA231)+($Z$110+$AA$110-$Z$231-$AA$231)*(L231)</f>
        <v>165.59693308202125</v>
      </c>
      <c r="AF231" s="3" t="s">
        <v>777</v>
      </c>
    </row>
    <row r="232" spans="1:32" ht="11.25" customHeight="1" x14ac:dyDescent="0.3">
      <c r="A232" s="3" t="s">
        <v>21</v>
      </c>
      <c r="B232" s="3" t="s">
        <v>42</v>
      </c>
      <c r="C232" s="3" t="s">
        <v>23</v>
      </c>
      <c r="D232" s="3" t="s">
        <v>43</v>
      </c>
      <c r="E232" s="3" t="s">
        <v>51</v>
      </c>
      <c r="F232" s="3" t="s">
        <v>52</v>
      </c>
      <c r="G232" s="3" t="s">
        <v>25</v>
      </c>
      <c r="H232" s="3" t="s">
        <v>25</v>
      </c>
      <c r="I232" s="6">
        <v>44409</v>
      </c>
      <c r="J232" s="4">
        <v>0</v>
      </c>
      <c r="K232" s="4">
        <v>0</v>
      </c>
      <c r="L232" s="4">
        <v>5.0670000000000002</v>
      </c>
      <c r="M232" s="4">
        <v>5.0670000000000002</v>
      </c>
      <c r="N232" s="4">
        <v>5.0670000000000002</v>
      </c>
      <c r="O232" s="4">
        <v>5.0670000000000002</v>
      </c>
      <c r="P232" s="4">
        <v>0</v>
      </c>
      <c r="Q232" s="3" t="s">
        <v>26</v>
      </c>
      <c r="R232" s="3">
        <v>0</v>
      </c>
      <c r="S232" s="3">
        <v>0</v>
      </c>
      <c r="T232" s="3">
        <v>32</v>
      </c>
      <c r="U232" s="3">
        <v>72</v>
      </c>
      <c r="V232" s="4">
        <f>IF(ISERROR(VLOOKUP($S$232,'TAR FIN'!$A$1:$O$91,15,0)),0,VLOOKUP($S$232,'TAR FIN'!$A$1:$O$91,15,0))</f>
        <v>0</v>
      </c>
      <c r="W232" s="4">
        <f>IF(ISERROR(VLOOKUP($T$232,'TAR FIN'!$A$1:$O$91,15,0)),0,VLOOKUP($T$232,'TAR FIN'!$A$1:$O$91,15,0))</f>
        <v>357.74</v>
      </c>
      <c r="X232" s="4">
        <f>IF(ISERROR(VLOOKUP($U$232,'TAR FIN'!$A$1:$O$91,15,0)),0,VLOOKUP($U$232,'TAR FIN'!$A$1:$O$91,15,0))</f>
        <v>175.15</v>
      </c>
      <c r="Y232" s="4"/>
      <c r="Z232" s="4">
        <f ca="1">('TUSD BE'!$AM$36+'TUSD BF'!$AM$36+'TUSD CVA'!$AM$36)*(1-CUSTOS!$M$38)</f>
        <v>419.26134561460873</v>
      </c>
      <c r="AA232" s="4">
        <f>('TE BE'!$AB$27+'TE BF'!$AB$27+'TE CVA'!$AB$27)*(1-CUSTOS!$M$38)</f>
        <v>193.19190075421278</v>
      </c>
      <c r="AB232" s="4">
        <f t="shared" si="16"/>
        <v>0</v>
      </c>
      <c r="AC232" s="4">
        <f>(L232-M232)*(W232+X232)+($W$110+$X$110-$W$232-$X$232)*(L232)</f>
        <v>368.16821999999974</v>
      </c>
      <c r="AD232" s="4">
        <f t="shared" si="17"/>
        <v>0</v>
      </c>
      <c r="AE232" s="4">
        <f ca="1">(L232-M232)*(Z232+AA232)+($Z$110+$AA$110-$Z$232-$AA$232)*(L232)</f>
        <v>198.08301697983987</v>
      </c>
      <c r="AF232" s="3" t="s">
        <v>777</v>
      </c>
    </row>
    <row r="233" spans="1:32" ht="11.25" customHeight="1" x14ac:dyDescent="0.3">
      <c r="A233" s="3" t="s">
        <v>21</v>
      </c>
      <c r="B233" s="3" t="s">
        <v>42</v>
      </c>
      <c r="C233" s="3" t="s">
        <v>23</v>
      </c>
      <c r="D233" s="3" t="s">
        <v>43</v>
      </c>
      <c r="E233" s="3" t="s">
        <v>51</v>
      </c>
      <c r="F233" s="3" t="s">
        <v>52</v>
      </c>
      <c r="G233" s="3" t="s">
        <v>25</v>
      </c>
      <c r="H233" s="3" t="s">
        <v>25</v>
      </c>
      <c r="I233" s="6">
        <v>44440</v>
      </c>
      <c r="J233" s="4">
        <v>0</v>
      </c>
      <c r="K233" s="4">
        <v>0</v>
      </c>
      <c r="L233" s="4">
        <v>2.8380000000000001</v>
      </c>
      <c r="M233" s="4">
        <v>2.8380000000000001</v>
      </c>
      <c r="N233" s="4">
        <v>2.8380000000000001</v>
      </c>
      <c r="O233" s="4">
        <v>2.8380000000000001</v>
      </c>
      <c r="P233" s="4">
        <v>0</v>
      </c>
      <c r="Q233" s="3" t="s">
        <v>26</v>
      </c>
      <c r="R233" s="3">
        <v>0</v>
      </c>
      <c r="S233" s="3">
        <v>0</v>
      </c>
      <c r="T233" s="3">
        <v>32</v>
      </c>
      <c r="U233" s="3">
        <v>72</v>
      </c>
      <c r="V233" s="4">
        <f>IF(ISERROR(VLOOKUP($S$233,'TAR FIN'!$A$1:$O$91,15,0)),0,VLOOKUP($S$233,'TAR FIN'!$A$1:$O$91,15,0))</f>
        <v>0</v>
      </c>
      <c r="W233" s="4">
        <f>IF(ISERROR(VLOOKUP($T$233,'TAR FIN'!$A$1:$O$91,15,0)),0,VLOOKUP($T$233,'TAR FIN'!$A$1:$O$91,15,0))</f>
        <v>357.74</v>
      </c>
      <c r="X233" s="4">
        <f>IF(ISERROR(VLOOKUP($U$233,'TAR FIN'!$A$1:$O$91,15,0)),0,VLOOKUP($U$233,'TAR FIN'!$A$1:$O$91,15,0))</f>
        <v>175.15</v>
      </c>
      <c r="Y233" s="4"/>
      <c r="Z233" s="4">
        <f ca="1">('TUSD BE'!$AM$36+'TUSD BF'!$AM$36+'TUSD CVA'!$AM$36)*(1-CUSTOS!$M$38)</f>
        <v>419.26134561460873</v>
      </c>
      <c r="AA233" s="4">
        <f>('TE BE'!$AB$27+'TE BF'!$AB$27+'TE CVA'!$AB$27)*(1-CUSTOS!$M$38)</f>
        <v>193.19190075421278</v>
      </c>
      <c r="AB233" s="4">
        <f t="shared" si="16"/>
        <v>0</v>
      </c>
      <c r="AC233" s="4">
        <f>(L233-M233)*(W233+X233)+($W$110+$X$110-$W$233-$X$233)*(L233)</f>
        <v>206.20907999999983</v>
      </c>
      <c r="AD233" s="4">
        <f t="shared" si="17"/>
        <v>0</v>
      </c>
      <c r="AE233" s="4">
        <f ca="1">(L233-M233)*(Z233+AA233)+($Z$110+$AA$110-$Z$233-$AA$233)*(L233)</f>
        <v>110.94525403370545</v>
      </c>
      <c r="AF233" s="3" t="s">
        <v>777</v>
      </c>
    </row>
    <row r="234" spans="1:32" ht="11.25" customHeight="1" x14ac:dyDescent="0.3">
      <c r="A234" s="3" t="s">
        <v>21</v>
      </c>
      <c r="B234" s="3" t="s">
        <v>42</v>
      </c>
      <c r="C234" s="3" t="s">
        <v>23</v>
      </c>
      <c r="D234" s="3" t="s">
        <v>43</v>
      </c>
      <c r="E234" s="3" t="s">
        <v>51</v>
      </c>
      <c r="F234" s="3" t="s">
        <v>52</v>
      </c>
      <c r="G234" s="3" t="s">
        <v>25</v>
      </c>
      <c r="H234" s="3" t="s">
        <v>25</v>
      </c>
      <c r="I234" s="6">
        <v>44470</v>
      </c>
      <c r="J234" s="4">
        <v>0</v>
      </c>
      <c r="K234" s="4">
        <v>0</v>
      </c>
      <c r="L234" s="4">
        <v>5.6070000000000002</v>
      </c>
      <c r="M234" s="4">
        <v>5.6070000000000002</v>
      </c>
      <c r="N234" s="4">
        <v>5.6070000000000002</v>
      </c>
      <c r="O234" s="4">
        <v>5.6070000000000002</v>
      </c>
      <c r="P234" s="4">
        <v>0</v>
      </c>
      <c r="Q234" s="3" t="s">
        <v>26</v>
      </c>
      <c r="R234" s="3">
        <v>0</v>
      </c>
      <c r="S234" s="3">
        <v>0</v>
      </c>
      <c r="T234" s="3">
        <v>32</v>
      </c>
      <c r="U234" s="3">
        <v>72</v>
      </c>
      <c r="V234" s="4">
        <f>IF(ISERROR(VLOOKUP($S$234,'TAR FIN'!$A$1:$O$91,15,0)),0,VLOOKUP($S$234,'TAR FIN'!$A$1:$O$91,15,0))</f>
        <v>0</v>
      </c>
      <c r="W234" s="4">
        <f>IF(ISERROR(VLOOKUP($T$234,'TAR FIN'!$A$1:$O$91,15,0)),0,VLOOKUP($T$234,'TAR FIN'!$A$1:$O$91,15,0))</f>
        <v>357.74</v>
      </c>
      <c r="X234" s="4">
        <f>IF(ISERROR(VLOOKUP($U$234,'TAR FIN'!$A$1:$O$91,15,0)),0,VLOOKUP($U$234,'TAR FIN'!$A$1:$O$91,15,0))</f>
        <v>175.15</v>
      </c>
      <c r="Y234" s="4"/>
      <c r="Z234" s="4">
        <f ca="1">('TUSD BE'!$AM$36+'TUSD BF'!$AM$36+'TUSD CVA'!$AM$36)*(1-CUSTOS!$M$38)</f>
        <v>419.26134561460873</v>
      </c>
      <c r="AA234" s="4">
        <f>('TE BE'!$AB$27+'TE BF'!$AB$27+'TE CVA'!$AB$27)*(1-CUSTOS!$M$38)</f>
        <v>193.19190075421278</v>
      </c>
      <c r="AB234" s="4">
        <f t="shared" si="16"/>
        <v>0</v>
      </c>
      <c r="AC234" s="4">
        <f>(L234-M234)*(W234+X234)+($W$110+$X$110-$W$234-$X$234)*(L234)</f>
        <v>407.40461999999968</v>
      </c>
      <c r="AD234" s="4">
        <f t="shared" si="17"/>
        <v>0</v>
      </c>
      <c r="AE234" s="4">
        <f ca="1">(L234-M234)*(Z234+AA234)+($Z$110+$AA$110-$Z$234-$AA$234)*(L234)</f>
        <v>219.19310759936099</v>
      </c>
      <c r="AF234" s="3" t="s">
        <v>777</v>
      </c>
    </row>
    <row r="235" spans="1:32" ht="11.25" customHeight="1" x14ac:dyDescent="0.3">
      <c r="A235" s="3" t="s">
        <v>21</v>
      </c>
      <c r="B235" s="3" t="s">
        <v>42</v>
      </c>
      <c r="C235" s="3" t="s">
        <v>23</v>
      </c>
      <c r="D235" s="3" t="s">
        <v>43</v>
      </c>
      <c r="E235" s="3" t="s">
        <v>51</v>
      </c>
      <c r="F235" s="3" t="s">
        <v>52</v>
      </c>
      <c r="G235" s="3" t="s">
        <v>25</v>
      </c>
      <c r="H235" s="3" t="s">
        <v>25</v>
      </c>
      <c r="I235" s="6">
        <v>44501</v>
      </c>
      <c r="J235" s="4">
        <v>0</v>
      </c>
      <c r="K235" s="4">
        <v>0</v>
      </c>
      <c r="L235" s="4">
        <v>29.422000000000001</v>
      </c>
      <c r="M235" s="4">
        <v>29.422000000000001</v>
      </c>
      <c r="N235" s="4">
        <v>29.422000000000001</v>
      </c>
      <c r="O235" s="4">
        <v>29.422000000000001</v>
      </c>
      <c r="P235" s="4">
        <v>0</v>
      </c>
      <c r="Q235" s="3" t="s">
        <v>26</v>
      </c>
      <c r="R235" s="3">
        <v>0</v>
      </c>
      <c r="S235" s="3">
        <v>0</v>
      </c>
      <c r="T235" s="3">
        <v>32</v>
      </c>
      <c r="U235" s="3">
        <v>72</v>
      </c>
      <c r="V235" s="4">
        <f>IF(ISERROR(VLOOKUP($S$235,'TAR FIN'!$A$1:$O$91,15,0)),0,VLOOKUP($S$235,'TAR FIN'!$A$1:$O$91,15,0))</f>
        <v>0</v>
      </c>
      <c r="W235" s="4">
        <f>IF(ISERROR(VLOOKUP($T$235,'TAR FIN'!$A$1:$O$91,15,0)),0,VLOOKUP($T$235,'TAR FIN'!$A$1:$O$91,15,0))</f>
        <v>357.74</v>
      </c>
      <c r="X235" s="4">
        <f>IF(ISERROR(VLOOKUP($U$235,'TAR FIN'!$A$1:$O$91,15,0)),0,VLOOKUP($U$235,'TAR FIN'!$A$1:$O$91,15,0))</f>
        <v>175.15</v>
      </c>
      <c r="Y235" s="4"/>
      <c r="Z235" s="4">
        <f ca="1">('TUSD BE'!$AM$36+'TUSD BF'!$AM$36+'TUSD CVA'!$AM$36)*(1-CUSTOS!$M$38)</f>
        <v>419.26134561460873</v>
      </c>
      <c r="AA235" s="4">
        <f>('TE BE'!$AB$27+'TE BF'!$AB$27+'TE CVA'!$AB$27)*(1-CUSTOS!$M$38)</f>
        <v>193.19190075421278</v>
      </c>
      <c r="AB235" s="4">
        <f t="shared" si="16"/>
        <v>0</v>
      </c>
      <c r="AC235" s="4">
        <f>(L235-M235)*(W235+X235)+($W$110+$X$110-$W$235-$X$235)*(L235)</f>
        <v>2137.8025199999984</v>
      </c>
      <c r="AD235" s="4">
        <f t="shared" si="17"/>
        <v>0</v>
      </c>
      <c r="AE235" s="4">
        <f ca="1">(L235-M235)*(Z235+AA235)+($Z$110+$AA$110-$Z$235-$AA$235)*(L235)</f>
        <v>1150.1871966806491</v>
      </c>
      <c r="AF235" s="3" t="s">
        <v>777</v>
      </c>
    </row>
    <row r="236" spans="1:32" ht="11.25" customHeight="1" x14ac:dyDescent="0.3">
      <c r="A236" s="3" t="s">
        <v>21</v>
      </c>
      <c r="B236" s="3" t="s">
        <v>42</v>
      </c>
      <c r="C236" s="3" t="s">
        <v>23</v>
      </c>
      <c r="D236" s="3" t="s">
        <v>43</v>
      </c>
      <c r="E236" s="3" t="s">
        <v>51</v>
      </c>
      <c r="F236" s="3" t="s">
        <v>52</v>
      </c>
      <c r="G236" s="3" t="s">
        <v>25</v>
      </c>
      <c r="H236" s="3" t="s">
        <v>25</v>
      </c>
      <c r="I236" s="6">
        <v>44531</v>
      </c>
      <c r="J236" s="4">
        <v>0</v>
      </c>
      <c r="K236" s="4">
        <v>0</v>
      </c>
      <c r="L236" s="4">
        <v>40.567999999999998</v>
      </c>
      <c r="M236" s="4">
        <v>40.567999999999998</v>
      </c>
      <c r="N236" s="4">
        <v>40.567999999999998</v>
      </c>
      <c r="O236" s="4">
        <v>40.567999999999998</v>
      </c>
      <c r="P236" s="4">
        <v>0</v>
      </c>
      <c r="Q236" s="3" t="s">
        <v>26</v>
      </c>
      <c r="R236" s="3">
        <v>0</v>
      </c>
      <c r="S236" s="3">
        <v>0</v>
      </c>
      <c r="T236" s="3">
        <v>32</v>
      </c>
      <c r="U236" s="3">
        <v>72</v>
      </c>
      <c r="V236" s="4">
        <f>IF(ISERROR(VLOOKUP($S$236,'TAR FIN'!$A$1:$O$91,15,0)),0,VLOOKUP($S$236,'TAR FIN'!$A$1:$O$91,15,0))</f>
        <v>0</v>
      </c>
      <c r="W236" s="4">
        <f>IF(ISERROR(VLOOKUP($T$236,'TAR FIN'!$A$1:$O$91,15,0)),0,VLOOKUP($T$236,'TAR FIN'!$A$1:$O$91,15,0))</f>
        <v>357.74</v>
      </c>
      <c r="X236" s="4">
        <f>IF(ISERROR(VLOOKUP($U$236,'TAR FIN'!$A$1:$O$91,15,0)),0,VLOOKUP($U$236,'TAR FIN'!$A$1:$O$91,15,0))</f>
        <v>175.15</v>
      </c>
      <c r="Y236" s="4"/>
      <c r="Z236" s="4">
        <f ca="1">('TUSD BE'!$AM$36+'TUSD BF'!$AM$36+'TUSD CVA'!$AM$36)*(1-CUSTOS!$M$38)</f>
        <v>419.26134561460873</v>
      </c>
      <c r="AA236" s="4">
        <f>('TE BE'!$AB$27+'TE BF'!$AB$27+'TE CVA'!$AB$27)*(1-CUSTOS!$M$38)</f>
        <v>193.19190075421278</v>
      </c>
      <c r="AB236" s="4">
        <f t="shared" si="16"/>
        <v>0</v>
      </c>
      <c r="AC236" s="4">
        <f>(L236-M236)*(W236+X236)+($W$110+$X$110-$W$236-$X$236)*(L236)</f>
        <v>2947.6708799999974</v>
      </c>
      <c r="AD236" s="4">
        <f t="shared" si="17"/>
        <v>0</v>
      </c>
      <c r="AE236" s="4">
        <f ca="1">(L236-M236)*(Z236+AA236)+($Z$110+$AA$110-$Z$236-$AA$236)*(L236)</f>
        <v>1585.9151041717275</v>
      </c>
      <c r="AF236" s="3" t="s">
        <v>777</v>
      </c>
    </row>
    <row r="237" spans="1:32" ht="11.25" customHeight="1" x14ac:dyDescent="0.3">
      <c r="A237" s="3" t="s">
        <v>21</v>
      </c>
      <c r="B237" s="3" t="s">
        <v>42</v>
      </c>
      <c r="C237" s="3" t="s">
        <v>23</v>
      </c>
      <c r="D237" s="3" t="s">
        <v>43</v>
      </c>
      <c r="E237" s="3" t="s">
        <v>51</v>
      </c>
      <c r="F237" s="3" t="s">
        <v>52</v>
      </c>
      <c r="G237" s="3" t="s">
        <v>25</v>
      </c>
      <c r="H237" s="3" t="s">
        <v>25</v>
      </c>
      <c r="I237" s="6">
        <v>44562</v>
      </c>
      <c r="J237" s="4">
        <v>0</v>
      </c>
      <c r="K237" s="4">
        <v>0</v>
      </c>
      <c r="L237" s="4">
        <v>38.094000000000001</v>
      </c>
      <c r="M237" s="4">
        <v>38.094000000000001</v>
      </c>
      <c r="N237" s="4">
        <v>38.094000000000001</v>
      </c>
      <c r="O237" s="4">
        <v>38.094000000000001</v>
      </c>
      <c r="P237" s="4">
        <v>0</v>
      </c>
      <c r="Q237" s="3" t="s">
        <v>26</v>
      </c>
      <c r="R237" s="3">
        <v>0</v>
      </c>
      <c r="S237" s="3">
        <v>0</v>
      </c>
      <c r="T237" s="3">
        <v>32</v>
      </c>
      <c r="U237" s="3">
        <v>72</v>
      </c>
      <c r="V237" s="4">
        <f>IF(ISERROR(VLOOKUP($S$237,'TAR FIN'!$A$1:$O$91,15,0)),0,VLOOKUP($S$237,'TAR FIN'!$A$1:$O$91,15,0))</f>
        <v>0</v>
      </c>
      <c r="W237" s="4">
        <f>IF(ISERROR(VLOOKUP($T$237,'TAR FIN'!$A$1:$O$91,15,0)),0,VLOOKUP($T$237,'TAR FIN'!$A$1:$O$91,15,0))</f>
        <v>357.74</v>
      </c>
      <c r="X237" s="4">
        <f>IF(ISERROR(VLOOKUP($U$237,'TAR FIN'!$A$1:$O$91,15,0)),0,VLOOKUP($U$237,'TAR FIN'!$A$1:$O$91,15,0))</f>
        <v>175.15</v>
      </c>
      <c r="Y237" s="4"/>
      <c r="Z237" s="4">
        <f ca="1">('TUSD BE'!$AM$36+'TUSD BF'!$AM$36+'TUSD CVA'!$AM$36)*(1-CUSTOS!$M$38)</f>
        <v>419.26134561460873</v>
      </c>
      <c r="AA237" s="4">
        <f>('TE BE'!$AB$27+'TE BF'!$AB$27+'TE CVA'!$AB$27)*(1-CUSTOS!$M$38)</f>
        <v>193.19190075421278</v>
      </c>
      <c r="AB237" s="4">
        <f t="shared" si="16"/>
        <v>0</v>
      </c>
      <c r="AC237" s="4">
        <f>(L237-M237)*(W237+X237)+($W$110+$X$110-$W$237-$X$237)*(L237)</f>
        <v>2767.9100399999979</v>
      </c>
      <c r="AD237" s="4">
        <f t="shared" si="17"/>
        <v>0</v>
      </c>
      <c r="AE237" s="4">
        <f ca="1">(L237-M237)*(Z237+AA237)+($Z$110+$AA$110-$Z$237-$AA$237)*(L237)</f>
        <v>1489.1996149259958</v>
      </c>
      <c r="AF237" s="3" t="s">
        <v>777</v>
      </c>
    </row>
    <row r="238" spans="1:32" ht="11.25" customHeight="1" x14ac:dyDescent="0.3">
      <c r="A238" s="3" t="s">
        <v>21</v>
      </c>
      <c r="B238" s="3" t="s">
        <v>42</v>
      </c>
      <c r="C238" s="3" t="s">
        <v>23</v>
      </c>
      <c r="D238" s="3" t="s">
        <v>43</v>
      </c>
      <c r="E238" s="3" t="s">
        <v>51</v>
      </c>
      <c r="F238" s="3" t="s">
        <v>52</v>
      </c>
      <c r="G238" s="3" t="s">
        <v>25</v>
      </c>
      <c r="H238" s="3" t="s">
        <v>25</v>
      </c>
      <c r="I238" s="6">
        <v>44593</v>
      </c>
      <c r="J238" s="4">
        <v>0</v>
      </c>
      <c r="K238" s="4">
        <v>0</v>
      </c>
      <c r="L238" s="4">
        <v>27.29</v>
      </c>
      <c r="M238" s="4">
        <v>27.29</v>
      </c>
      <c r="N238" s="4">
        <v>27.29</v>
      </c>
      <c r="O238" s="4">
        <v>27.29</v>
      </c>
      <c r="P238" s="4">
        <v>0</v>
      </c>
      <c r="Q238" s="3" t="s">
        <v>26</v>
      </c>
      <c r="R238" s="3">
        <v>0</v>
      </c>
      <c r="S238" s="3">
        <v>0</v>
      </c>
      <c r="T238" s="3">
        <v>32</v>
      </c>
      <c r="U238" s="3">
        <v>72</v>
      </c>
      <c r="V238" s="4">
        <f>IF(ISERROR(VLOOKUP($S$238,'TAR FIN'!$A$1:$O$91,15,0)),0,VLOOKUP($S$238,'TAR FIN'!$A$1:$O$91,15,0))</f>
        <v>0</v>
      </c>
      <c r="W238" s="4">
        <f>IF(ISERROR(VLOOKUP($T$238,'TAR FIN'!$A$1:$O$91,15,0)),0,VLOOKUP($T$238,'TAR FIN'!$A$1:$O$91,15,0))</f>
        <v>357.74</v>
      </c>
      <c r="X238" s="4">
        <f>IF(ISERROR(VLOOKUP($U$238,'TAR FIN'!$A$1:$O$91,15,0)),0,VLOOKUP($U$238,'TAR FIN'!$A$1:$O$91,15,0))</f>
        <v>175.15</v>
      </c>
      <c r="Y238" s="4"/>
      <c r="Z238" s="4">
        <f ca="1">('TUSD BE'!$AM$36+'TUSD BF'!$AM$36+'TUSD CVA'!$AM$36)*(1-CUSTOS!$M$38)</f>
        <v>419.26134561460873</v>
      </c>
      <c r="AA238" s="4">
        <f>('TE BE'!$AB$27+'TE BF'!$AB$27+'TE CVA'!$AB$27)*(1-CUSTOS!$M$38)</f>
        <v>193.19190075421278</v>
      </c>
      <c r="AB238" s="4">
        <f t="shared" si="16"/>
        <v>0</v>
      </c>
      <c r="AC238" s="4">
        <f>(L238-M238)*(W238+X238)+($W$110+$X$110-$W$238-$X$238)*(L238)</f>
        <v>1982.8913999999984</v>
      </c>
      <c r="AD238" s="4">
        <f t="shared" si="17"/>
        <v>0</v>
      </c>
      <c r="AE238" s="4">
        <f ca="1">(L238-M238)*(Z238+AA238)+($Z$110+$AA$110-$Z$238-$AA$238)*(L238)</f>
        <v>1066.8414314939471</v>
      </c>
      <c r="AF238" s="3" t="s">
        <v>777</v>
      </c>
    </row>
    <row r="239" spans="1:32" ht="11.25" customHeight="1" x14ac:dyDescent="0.3">
      <c r="A239" s="3" t="s">
        <v>21</v>
      </c>
      <c r="B239" s="3" t="s">
        <v>42</v>
      </c>
      <c r="C239" s="3" t="s">
        <v>23</v>
      </c>
      <c r="D239" s="3" t="s">
        <v>43</v>
      </c>
      <c r="E239" s="3" t="s">
        <v>51</v>
      </c>
      <c r="F239" s="3" t="s">
        <v>52</v>
      </c>
      <c r="G239" s="3" t="s">
        <v>25</v>
      </c>
      <c r="H239" s="3" t="s">
        <v>25</v>
      </c>
      <c r="I239" s="6">
        <v>44621</v>
      </c>
      <c r="J239" s="4">
        <v>0</v>
      </c>
      <c r="K239" s="4">
        <v>0</v>
      </c>
      <c r="L239" s="4">
        <v>3.7909999999999999</v>
      </c>
      <c r="M239" s="4">
        <v>3.7909999999999999</v>
      </c>
      <c r="N239" s="4">
        <v>3.7909999999999999</v>
      </c>
      <c r="O239" s="4">
        <v>3.7909999999999999</v>
      </c>
      <c r="P239" s="4">
        <v>0</v>
      </c>
      <c r="Q239" s="3" t="s">
        <v>26</v>
      </c>
      <c r="R239" s="3">
        <v>0</v>
      </c>
      <c r="S239" s="3">
        <v>0</v>
      </c>
      <c r="T239" s="3">
        <v>32</v>
      </c>
      <c r="U239" s="3">
        <v>72</v>
      </c>
      <c r="V239" s="4">
        <f>IF(ISERROR(VLOOKUP($S$239,'TAR FIN'!$A$1:$O$91,15,0)),0,VLOOKUP($S$239,'TAR FIN'!$A$1:$O$91,15,0))</f>
        <v>0</v>
      </c>
      <c r="W239" s="4">
        <f>IF(ISERROR(VLOOKUP($T$239,'TAR FIN'!$A$1:$O$91,15,0)),0,VLOOKUP($T$239,'TAR FIN'!$A$1:$O$91,15,0))</f>
        <v>357.74</v>
      </c>
      <c r="X239" s="4">
        <f>IF(ISERROR(VLOOKUP($U$239,'TAR FIN'!$A$1:$O$91,15,0)),0,VLOOKUP($U$239,'TAR FIN'!$A$1:$O$91,15,0))</f>
        <v>175.15</v>
      </c>
      <c r="Y239" s="4"/>
      <c r="Z239" s="4">
        <f ca="1">('TUSD BE'!$AM$36+'TUSD BF'!$AM$36+'TUSD CVA'!$AM$36)*(1-CUSTOS!$M$38)</f>
        <v>419.26134561460873</v>
      </c>
      <c r="AA239" s="4">
        <f>('TE BE'!$AB$27+'TE BF'!$AB$27+'TE CVA'!$AB$27)*(1-CUSTOS!$M$38)</f>
        <v>193.19190075421278</v>
      </c>
      <c r="AB239" s="4">
        <f t="shared" si="16"/>
        <v>0</v>
      </c>
      <c r="AC239" s="4">
        <f>(L239-M239)*(W239+X239)+($W$110+$X$110-$W$239-$X$239)*(L239)</f>
        <v>275.45405999999974</v>
      </c>
      <c r="AD239" s="4">
        <f t="shared" si="17"/>
        <v>0</v>
      </c>
      <c r="AE239" s="4">
        <f ca="1">(L239-M239)*(Z239+AA239)+($Z$110+$AA$110-$Z$239-$AA$239)*(L239)</f>
        <v>148.20065470111959</v>
      </c>
      <c r="AF239" s="3" t="s">
        <v>777</v>
      </c>
    </row>
    <row r="240" spans="1:32" ht="11.25" customHeight="1" x14ac:dyDescent="0.3">
      <c r="A240" s="3" t="s">
        <v>21</v>
      </c>
      <c r="B240" s="3" t="s">
        <v>42</v>
      </c>
      <c r="C240" s="3" t="s">
        <v>23</v>
      </c>
      <c r="D240" s="3" t="s">
        <v>43</v>
      </c>
      <c r="E240" s="3" t="s">
        <v>51</v>
      </c>
      <c r="F240" s="3" t="s">
        <v>52</v>
      </c>
      <c r="G240" s="3" t="s">
        <v>25</v>
      </c>
      <c r="H240" s="3" t="s">
        <v>25</v>
      </c>
      <c r="I240" s="6">
        <v>44652</v>
      </c>
      <c r="J240" s="4">
        <v>0</v>
      </c>
      <c r="K240" s="4">
        <v>0</v>
      </c>
      <c r="L240" s="4">
        <v>1.879</v>
      </c>
      <c r="M240" s="4">
        <v>1.879</v>
      </c>
      <c r="N240" s="4">
        <v>1.879</v>
      </c>
      <c r="O240" s="4">
        <v>1.879</v>
      </c>
      <c r="P240" s="4">
        <v>0</v>
      </c>
      <c r="Q240" s="3" t="s">
        <v>26</v>
      </c>
      <c r="R240" s="3">
        <v>0</v>
      </c>
      <c r="S240" s="3">
        <v>0</v>
      </c>
      <c r="T240" s="3">
        <v>32</v>
      </c>
      <c r="U240" s="3">
        <v>72</v>
      </c>
      <c r="V240" s="4">
        <f>IF(ISERROR(VLOOKUP($S$240,'TAR FIN'!$A$1:$O$91,15,0)),0,VLOOKUP($S$240,'TAR FIN'!$A$1:$O$91,15,0))</f>
        <v>0</v>
      </c>
      <c r="W240" s="4">
        <f>IF(ISERROR(VLOOKUP($T$240,'TAR FIN'!$A$1:$O$91,15,0)),0,VLOOKUP($T$240,'TAR FIN'!$A$1:$O$91,15,0))</f>
        <v>357.74</v>
      </c>
      <c r="X240" s="4">
        <f>IF(ISERROR(VLOOKUP($U$240,'TAR FIN'!$A$1:$O$91,15,0)),0,VLOOKUP($U$240,'TAR FIN'!$A$1:$O$91,15,0))</f>
        <v>175.15</v>
      </c>
      <c r="Y240" s="4"/>
      <c r="Z240" s="4">
        <f ca="1">('TUSD BE'!$AM$36+'TUSD BF'!$AM$36+'TUSD CVA'!$AM$36)*(1-CUSTOS!$M$38)</f>
        <v>419.26134561460873</v>
      </c>
      <c r="AA240" s="4">
        <f>('TE BE'!$AB$27+'TE BF'!$AB$27+'TE CVA'!$AB$27)*(1-CUSTOS!$M$38)</f>
        <v>193.19190075421278</v>
      </c>
      <c r="AB240" s="4">
        <f t="shared" si="16"/>
        <v>0</v>
      </c>
      <c r="AC240" s="4">
        <f>(L240-M240)*(W240+X240)+($W$110+$X$110-$W$240-$X$240)*(L240)</f>
        <v>136.52813999999989</v>
      </c>
      <c r="AD240" s="4">
        <f t="shared" si="17"/>
        <v>0</v>
      </c>
      <c r="AE240" s="4">
        <f ca="1">(L240-M240)*(Z240+AA240)+($Z$110+$AA$110-$Z$240-$AA$240)*(L240)</f>
        <v>73.455296803852207</v>
      </c>
      <c r="AF240" s="3" t="s">
        <v>777</v>
      </c>
    </row>
    <row r="241" spans="1:32" ht="11.25" customHeight="1" x14ac:dyDescent="0.3">
      <c r="A241" s="3" t="s">
        <v>21</v>
      </c>
      <c r="B241" s="3" t="s">
        <v>42</v>
      </c>
      <c r="C241" s="3" t="s">
        <v>23</v>
      </c>
      <c r="D241" s="3" t="s">
        <v>43</v>
      </c>
      <c r="E241" s="3" t="s">
        <v>51</v>
      </c>
      <c r="F241" s="3" t="s">
        <v>52</v>
      </c>
      <c r="G241" s="3" t="s">
        <v>25</v>
      </c>
      <c r="H241" s="3" t="s">
        <v>25</v>
      </c>
      <c r="I241" s="6">
        <v>44682</v>
      </c>
      <c r="J241" s="4">
        <v>0</v>
      </c>
      <c r="K241" s="4">
        <v>0</v>
      </c>
      <c r="L241" s="4">
        <v>1.1619999999999999</v>
      </c>
      <c r="M241" s="4">
        <v>1.1619999999999999</v>
      </c>
      <c r="N241" s="4">
        <v>1.1619999999999999</v>
      </c>
      <c r="O241" s="4">
        <v>1.1619999999999999</v>
      </c>
      <c r="P241" s="4">
        <v>0</v>
      </c>
      <c r="Q241" s="3" t="s">
        <v>26</v>
      </c>
      <c r="R241" s="3">
        <v>0</v>
      </c>
      <c r="S241" s="3">
        <v>0</v>
      </c>
      <c r="T241" s="3">
        <v>32</v>
      </c>
      <c r="U241" s="3">
        <v>72</v>
      </c>
      <c r="V241" s="4">
        <f>IF(ISERROR(VLOOKUP($S$241,'TAR FIN'!$A$1:$O$91,15,0)),0,VLOOKUP($S$241,'TAR FIN'!$A$1:$O$91,15,0))</f>
        <v>0</v>
      </c>
      <c r="W241" s="4">
        <f>IF(ISERROR(VLOOKUP($T$241,'TAR FIN'!$A$1:$O$91,15,0)),0,VLOOKUP($T$241,'TAR FIN'!$A$1:$O$91,15,0))</f>
        <v>357.74</v>
      </c>
      <c r="X241" s="4">
        <f>IF(ISERROR(VLOOKUP($U$241,'TAR FIN'!$A$1:$O$91,15,0)),0,VLOOKUP($U$241,'TAR FIN'!$A$1:$O$91,15,0))</f>
        <v>175.15</v>
      </c>
      <c r="Y241" s="4"/>
      <c r="Z241" s="4">
        <f ca="1">('TUSD BE'!$AM$36+'TUSD BF'!$AM$36+'TUSD CVA'!$AM$36)*(1-CUSTOS!$M$38)</f>
        <v>419.26134561460873</v>
      </c>
      <c r="AA241" s="4">
        <f>('TE BE'!$AB$27+'TE BF'!$AB$27+'TE CVA'!$AB$27)*(1-CUSTOS!$M$38)</f>
        <v>193.19190075421278</v>
      </c>
      <c r="AB241" s="4">
        <f t="shared" si="16"/>
        <v>0</v>
      </c>
      <c r="AC241" s="4">
        <f>(L241-M241)*(W241+X241)+($W$110+$X$110-$W$241-$X$241)*(L241)</f>
        <v>84.430919999999929</v>
      </c>
      <c r="AD241" s="4">
        <f t="shared" si="17"/>
        <v>0</v>
      </c>
      <c r="AE241" s="4">
        <f ca="1">(L241-M241)*(Z241+AA241)+($Z$110+$AA$110-$Z$241-$AA$241)*(L241)</f>
        <v>45.425787592376928</v>
      </c>
      <c r="AF241" s="3" t="s">
        <v>777</v>
      </c>
    </row>
    <row r="242" spans="1:32" ht="11.25" customHeight="1" x14ac:dyDescent="0.3">
      <c r="A242" s="3" t="s">
        <v>21</v>
      </c>
      <c r="B242" s="3" t="s">
        <v>42</v>
      </c>
      <c r="C242" s="3" t="s">
        <v>23</v>
      </c>
      <c r="D242" s="3" t="s">
        <v>43</v>
      </c>
      <c r="E242" s="3" t="s">
        <v>51</v>
      </c>
      <c r="F242" s="3" t="s">
        <v>52</v>
      </c>
      <c r="G242" s="3" t="s">
        <v>25</v>
      </c>
      <c r="H242" s="3" t="s">
        <v>25</v>
      </c>
      <c r="I242" s="6">
        <v>44713</v>
      </c>
      <c r="J242" s="4">
        <v>0</v>
      </c>
      <c r="K242" s="4">
        <v>0</v>
      </c>
      <c r="L242" s="4">
        <v>0.8</v>
      </c>
      <c r="M242" s="4">
        <v>0.8</v>
      </c>
      <c r="N242" s="4">
        <v>0.8</v>
      </c>
      <c r="O242" s="4">
        <v>0.8</v>
      </c>
      <c r="P242" s="4">
        <v>0</v>
      </c>
      <c r="Q242" s="3" t="s">
        <v>26</v>
      </c>
      <c r="R242" s="3">
        <v>0</v>
      </c>
      <c r="S242" s="3">
        <v>0</v>
      </c>
      <c r="T242" s="3">
        <v>32</v>
      </c>
      <c r="U242" s="3">
        <v>72</v>
      </c>
      <c r="V242" s="4">
        <f>IF(ISERROR(VLOOKUP($S$242,'TAR FIN'!$A$1:$O$91,15,0)),0,VLOOKUP($S$242,'TAR FIN'!$A$1:$O$91,15,0))</f>
        <v>0</v>
      </c>
      <c r="W242" s="4">
        <f>IF(ISERROR(VLOOKUP($T$242,'TAR FIN'!$A$1:$O$91,15,0)),0,VLOOKUP($T$242,'TAR FIN'!$A$1:$O$91,15,0))</f>
        <v>357.74</v>
      </c>
      <c r="X242" s="4">
        <f>IF(ISERROR(VLOOKUP($U$242,'TAR FIN'!$A$1:$O$91,15,0)),0,VLOOKUP($U$242,'TAR FIN'!$A$1:$O$91,15,0))</f>
        <v>175.15</v>
      </c>
      <c r="Y242" s="4"/>
      <c r="Z242" s="4">
        <f ca="1">('TUSD BE'!$AM$36+'TUSD BF'!$AM$36+'TUSD CVA'!$AM$36)*(1-CUSTOS!$M$38)</f>
        <v>419.26134561460873</v>
      </c>
      <c r="AA242" s="4">
        <f>('TE BE'!$AB$27+'TE BF'!$AB$27+'TE CVA'!$AB$27)*(1-CUSTOS!$M$38)</f>
        <v>193.19190075421278</v>
      </c>
      <c r="AB242" s="4">
        <f t="shared" si="16"/>
        <v>0</v>
      </c>
      <c r="AC242" s="4">
        <f>(L242-M242)*(W242+X242)+($W$110+$X$110-$W$242-$X$242)*(L242)</f>
        <v>58.127999999999957</v>
      </c>
      <c r="AD242" s="4">
        <f t="shared" si="17"/>
        <v>0</v>
      </c>
      <c r="AE242" s="4">
        <f ca="1">(L242-M242)*(Z242+AA242)+($Z$110+$AA$110-$Z$242-$AA$242)*(L242)</f>
        <v>31.274208325216478</v>
      </c>
      <c r="AF242" s="3" t="s">
        <v>777</v>
      </c>
    </row>
    <row r="243" spans="1:32" ht="11.25" customHeight="1" x14ac:dyDescent="0.3">
      <c r="A243" s="3" t="s">
        <v>21</v>
      </c>
      <c r="B243" s="3" t="s">
        <v>42</v>
      </c>
      <c r="C243" s="3" t="s">
        <v>23</v>
      </c>
      <c r="D243" s="3" t="s">
        <v>43</v>
      </c>
      <c r="E243" s="3" t="s">
        <v>51</v>
      </c>
      <c r="F243" s="3" t="s">
        <v>53</v>
      </c>
      <c r="G243" s="3" t="s">
        <v>25</v>
      </c>
      <c r="H243" s="3" t="s">
        <v>25</v>
      </c>
      <c r="I243" s="6">
        <v>44378</v>
      </c>
      <c r="J243" s="4">
        <v>0</v>
      </c>
      <c r="K243" s="4">
        <v>0</v>
      </c>
      <c r="L243" s="4">
        <v>0.82299999999999995</v>
      </c>
      <c r="M243" s="4">
        <v>0.32919999999999999</v>
      </c>
      <c r="N243" s="4">
        <v>0.82299999999999995</v>
      </c>
      <c r="O243" s="4">
        <v>0.32919999999999999</v>
      </c>
      <c r="P243" s="4">
        <v>0</v>
      </c>
      <c r="Q243" s="3" t="s">
        <v>26</v>
      </c>
      <c r="R243" s="3">
        <v>0</v>
      </c>
      <c r="S243" s="3">
        <v>0</v>
      </c>
      <c r="T243" s="3">
        <v>32</v>
      </c>
      <c r="U243" s="3">
        <v>72</v>
      </c>
      <c r="V243" s="4">
        <f>IF(ISERROR(VLOOKUP($S$243,'TAR FIN'!$A$1:$O$91,15,0)),0,VLOOKUP($S$243,'TAR FIN'!$A$1:$O$91,15,0))</f>
        <v>0</v>
      </c>
      <c r="W243" s="4">
        <f>IF(ISERROR(VLOOKUP($T$243,'TAR FIN'!$A$1:$O$91,15,0)),0,VLOOKUP($T$243,'TAR FIN'!$A$1:$O$91,15,0))</f>
        <v>357.74</v>
      </c>
      <c r="X243" s="4">
        <f>IF(ISERROR(VLOOKUP($U$243,'TAR FIN'!$A$1:$O$91,15,0)),0,VLOOKUP($U$243,'TAR FIN'!$A$1:$O$91,15,0))</f>
        <v>175.15</v>
      </c>
      <c r="Y243" s="4"/>
      <c r="Z243" s="4">
        <f ca="1">('TUSD BE'!$AM$36+'TUSD BF'!$AM$36+'TUSD CVA'!$AM$36)*(1-CUSTOS!$M$38)</f>
        <v>419.26134561460873</v>
      </c>
      <c r="AA243" s="4">
        <f>('TE BE'!$AB$27+'TE BF'!$AB$27+'TE CVA'!$AB$27)*(1-CUSTOS!$M$38)</f>
        <v>193.19190075421278</v>
      </c>
      <c r="AB243" s="4">
        <f t="shared" si="16"/>
        <v>0</v>
      </c>
      <c r="AC243" s="4">
        <f>(L243-M243)*(W243+X243)+($W$110+$X$110-$W$243-$X$243)*(L243)</f>
        <v>322.94026199999996</v>
      </c>
      <c r="AD243" s="4">
        <f t="shared" si="17"/>
        <v>0</v>
      </c>
      <c r="AE243" s="4">
        <f ca="1">(L243-M243)*(Z243+AA243)+($Z$110+$AA$110-$Z$243-$AA$243)*(L243)</f>
        <v>334.6027548714905</v>
      </c>
      <c r="AF243" s="3" t="s">
        <v>779</v>
      </c>
    </row>
    <row r="244" spans="1:32" ht="11.25" customHeight="1" x14ac:dyDescent="0.3">
      <c r="A244" s="3" t="s">
        <v>21</v>
      </c>
      <c r="B244" s="3" t="s">
        <v>42</v>
      </c>
      <c r="C244" s="3" t="s">
        <v>23</v>
      </c>
      <c r="D244" s="3" t="s">
        <v>43</v>
      </c>
      <c r="E244" s="3" t="s">
        <v>51</v>
      </c>
      <c r="F244" s="3" t="s">
        <v>53</v>
      </c>
      <c r="G244" s="3" t="s">
        <v>25</v>
      </c>
      <c r="H244" s="3" t="s">
        <v>25</v>
      </c>
      <c r="I244" s="6">
        <v>44409</v>
      </c>
      <c r="J244" s="4">
        <v>0</v>
      </c>
      <c r="K244" s="4">
        <v>0</v>
      </c>
      <c r="L244" s="4">
        <v>1.702</v>
      </c>
      <c r="M244" s="4">
        <v>0.68079999999999996</v>
      </c>
      <c r="N244" s="4">
        <v>1.702</v>
      </c>
      <c r="O244" s="4">
        <v>0.68079999999999996</v>
      </c>
      <c r="P244" s="4">
        <v>0</v>
      </c>
      <c r="Q244" s="3" t="s">
        <v>26</v>
      </c>
      <c r="R244" s="3">
        <v>0</v>
      </c>
      <c r="S244" s="3">
        <v>0</v>
      </c>
      <c r="T244" s="3">
        <v>32</v>
      </c>
      <c r="U244" s="3">
        <v>72</v>
      </c>
      <c r="V244" s="4">
        <f>IF(ISERROR(VLOOKUP($S$244,'TAR FIN'!$A$1:$O$91,15,0)),0,VLOOKUP($S$244,'TAR FIN'!$A$1:$O$91,15,0))</f>
        <v>0</v>
      </c>
      <c r="W244" s="4">
        <f>IF(ISERROR(VLOOKUP($T$244,'TAR FIN'!$A$1:$O$91,15,0)),0,VLOOKUP($T$244,'TAR FIN'!$A$1:$O$91,15,0))</f>
        <v>357.74</v>
      </c>
      <c r="X244" s="4">
        <f>IF(ISERROR(VLOOKUP($U$244,'TAR FIN'!$A$1:$O$91,15,0)),0,VLOOKUP($U$244,'TAR FIN'!$A$1:$O$91,15,0))</f>
        <v>175.15</v>
      </c>
      <c r="Y244" s="4"/>
      <c r="Z244" s="4">
        <f ca="1">('TUSD BE'!$AM$36+'TUSD BF'!$AM$36+'TUSD CVA'!$AM$36)*(1-CUSTOS!$M$38)</f>
        <v>419.26134561460873</v>
      </c>
      <c r="AA244" s="4">
        <f>('TE BE'!$AB$27+'TE BF'!$AB$27+'TE CVA'!$AB$27)*(1-CUSTOS!$M$38)</f>
        <v>193.19190075421278</v>
      </c>
      <c r="AB244" s="4">
        <f t="shared" si="16"/>
        <v>0</v>
      </c>
      <c r="AC244" s="4">
        <f>(L244-M244)*(W244+X244)+($W$110+$X$110-$W$244-$X$244)*(L244)</f>
        <v>667.85458799999981</v>
      </c>
      <c r="AD244" s="4">
        <f t="shared" si="17"/>
        <v>0</v>
      </c>
      <c r="AE244" s="4">
        <f ca="1">(L244-M244)*(Z244+AA244)+($Z$110+$AA$110-$Z$244-$AA$244)*(L244)</f>
        <v>691.97313340373853</v>
      </c>
      <c r="AF244" s="3" t="s">
        <v>779</v>
      </c>
    </row>
    <row r="245" spans="1:32" ht="11.25" customHeight="1" x14ac:dyDescent="0.3">
      <c r="A245" s="3" t="s">
        <v>21</v>
      </c>
      <c r="B245" s="3" t="s">
        <v>42</v>
      </c>
      <c r="C245" s="3" t="s">
        <v>23</v>
      </c>
      <c r="D245" s="3" t="s">
        <v>43</v>
      </c>
      <c r="E245" s="3" t="s">
        <v>51</v>
      </c>
      <c r="F245" s="3" t="s">
        <v>53</v>
      </c>
      <c r="G245" s="3" t="s">
        <v>25</v>
      </c>
      <c r="H245" s="3" t="s">
        <v>25</v>
      </c>
      <c r="I245" s="6">
        <v>44440</v>
      </c>
      <c r="J245" s="4">
        <v>0</v>
      </c>
      <c r="K245" s="4">
        <v>0</v>
      </c>
      <c r="L245" s="4">
        <v>1.234</v>
      </c>
      <c r="M245" s="4">
        <v>0.49359999999999998</v>
      </c>
      <c r="N245" s="4">
        <v>1.234</v>
      </c>
      <c r="O245" s="4">
        <v>0.49359999999999998</v>
      </c>
      <c r="P245" s="4">
        <v>0</v>
      </c>
      <c r="Q245" s="3" t="s">
        <v>26</v>
      </c>
      <c r="R245" s="3">
        <v>0</v>
      </c>
      <c r="S245" s="3">
        <v>0</v>
      </c>
      <c r="T245" s="3">
        <v>32</v>
      </c>
      <c r="U245" s="3">
        <v>72</v>
      </c>
      <c r="V245" s="4">
        <f>IF(ISERROR(VLOOKUP($S$245,'TAR FIN'!$A$1:$O$91,15,0)),0,VLOOKUP($S$245,'TAR FIN'!$A$1:$O$91,15,0))</f>
        <v>0</v>
      </c>
      <c r="W245" s="4">
        <f>IF(ISERROR(VLOOKUP($T$245,'TAR FIN'!$A$1:$O$91,15,0)),0,VLOOKUP($T$245,'TAR FIN'!$A$1:$O$91,15,0))</f>
        <v>357.74</v>
      </c>
      <c r="X245" s="4">
        <f>IF(ISERROR(VLOOKUP($U$245,'TAR FIN'!$A$1:$O$91,15,0)),0,VLOOKUP($U$245,'TAR FIN'!$A$1:$O$91,15,0))</f>
        <v>175.15</v>
      </c>
      <c r="Y245" s="4"/>
      <c r="Z245" s="4">
        <f ca="1">('TUSD BE'!$AM$36+'TUSD BF'!$AM$36+'TUSD CVA'!$AM$36)*(1-CUSTOS!$M$38)</f>
        <v>419.26134561460873</v>
      </c>
      <c r="AA245" s="4">
        <f>('TE BE'!$AB$27+'TE BF'!$AB$27+'TE CVA'!$AB$27)*(1-CUSTOS!$M$38)</f>
        <v>193.19190075421278</v>
      </c>
      <c r="AB245" s="4">
        <f t="shared" si="16"/>
        <v>0</v>
      </c>
      <c r="AC245" s="4">
        <f>(L245-M245)*(W245+X245)+($W$110+$X$110-$W$245-$X$245)*(L245)</f>
        <v>484.2141959999999</v>
      </c>
      <c r="AD245" s="4">
        <f t="shared" si="17"/>
        <v>0</v>
      </c>
      <c r="AE245" s="4">
        <f ca="1">(L245-M245)*(Z245+AA245)+($Z$110+$AA$110-$Z$245-$AA$245)*(L245)</f>
        <v>501.70084995312186</v>
      </c>
      <c r="AF245" s="3" t="s">
        <v>779</v>
      </c>
    </row>
    <row r="246" spans="1:32" ht="11.25" customHeight="1" x14ac:dyDescent="0.3">
      <c r="A246" s="3" t="s">
        <v>21</v>
      </c>
      <c r="B246" s="3" t="s">
        <v>42</v>
      </c>
      <c r="C246" s="3" t="s">
        <v>23</v>
      </c>
      <c r="D246" s="3" t="s">
        <v>43</v>
      </c>
      <c r="E246" s="3" t="s">
        <v>51</v>
      </c>
      <c r="F246" s="3" t="s">
        <v>53</v>
      </c>
      <c r="G246" s="3" t="s">
        <v>25</v>
      </c>
      <c r="H246" s="3" t="s">
        <v>25</v>
      </c>
      <c r="I246" s="6">
        <v>44470</v>
      </c>
      <c r="J246" s="4">
        <v>0</v>
      </c>
      <c r="K246" s="4">
        <v>0</v>
      </c>
      <c r="L246" s="4">
        <v>2.4849999999999999</v>
      </c>
      <c r="M246" s="4">
        <v>0.99399999999999999</v>
      </c>
      <c r="N246" s="4">
        <v>2.4849999999999999</v>
      </c>
      <c r="O246" s="4">
        <v>0.99399999999999999</v>
      </c>
      <c r="P246" s="4">
        <v>0</v>
      </c>
      <c r="Q246" s="3" t="s">
        <v>26</v>
      </c>
      <c r="R246" s="3">
        <v>0</v>
      </c>
      <c r="S246" s="3">
        <v>0</v>
      </c>
      <c r="T246" s="3">
        <v>32</v>
      </c>
      <c r="U246" s="3">
        <v>72</v>
      </c>
      <c r="V246" s="4">
        <f>IF(ISERROR(VLOOKUP($S$246,'TAR FIN'!$A$1:$O$91,15,0)),0,VLOOKUP($S$246,'TAR FIN'!$A$1:$O$91,15,0))</f>
        <v>0</v>
      </c>
      <c r="W246" s="4">
        <f>IF(ISERROR(VLOOKUP($T$246,'TAR FIN'!$A$1:$O$91,15,0)),0,VLOOKUP($T$246,'TAR FIN'!$A$1:$O$91,15,0))</f>
        <v>357.74</v>
      </c>
      <c r="X246" s="4">
        <f>IF(ISERROR(VLOOKUP($U$246,'TAR FIN'!$A$1:$O$91,15,0)),0,VLOOKUP($U$246,'TAR FIN'!$A$1:$O$91,15,0))</f>
        <v>175.15</v>
      </c>
      <c r="Y246" s="4"/>
      <c r="Z246" s="4">
        <f ca="1">('TUSD BE'!$AM$36+'TUSD BF'!$AM$36+'TUSD CVA'!$AM$36)*(1-CUSTOS!$M$38)</f>
        <v>419.26134561460873</v>
      </c>
      <c r="AA246" s="4">
        <f>('TE BE'!$AB$27+'TE BF'!$AB$27+'TE CVA'!$AB$27)*(1-CUSTOS!$M$38)</f>
        <v>193.19190075421278</v>
      </c>
      <c r="AB246" s="4">
        <f t="shared" si="16"/>
        <v>0</v>
      </c>
      <c r="AC246" s="4">
        <f>(L246-M246)*(W246+X246)+($W$110+$X$110-$W$246-$X$246)*(L246)</f>
        <v>975.09908999999971</v>
      </c>
      <c r="AD246" s="4">
        <f t="shared" si="17"/>
        <v>0</v>
      </c>
      <c r="AE246" s="4">
        <f ca="1">(L246-M246)*(Z246+AA246)+($Z$110+$AA$110-$Z$246-$AA$246)*(L246)</f>
        <v>1010.3132999461166</v>
      </c>
      <c r="AF246" s="3" t="s">
        <v>779</v>
      </c>
    </row>
    <row r="247" spans="1:32" ht="11.25" customHeight="1" x14ac:dyDescent="0.3">
      <c r="A247" s="3" t="s">
        <v>21</v>
      </c>
      <c r="B247" s="3" t="s">
        <v>42</v>
      </c>
      <c r="C247" s="3" t="s">
        <v>23</v>
      </c>
      <c r="D247" s="3" t="s">
        <v>43</v>
      </c>
      <c r="E247" s="3" t="s">
        <v>51</v>
      </c>
      <c r="F247" s="3" t="s">
        <v>53</v>
      </c>
      <c r="G247" s="3" t="s">
        <v>25</v>
      </c>
      <c r="H247" s="3" t="s">
        <v>25</v>
      </c>
      <c r="I247" s="6">
        <v>44501</v>
      </c>
      <c r="J247" s="4">
        <v>0</v>
      </c>
      <c r="K247" s="4">
        <v>0</v>
      </c>
      <c r="L247" s="4">
        <v>12.452</v>
      </c>
      <c r="M247" s="4">
        <v>4.9808000000000003</v>
      </c>
      <c r="N247" s="4">
        <v>12.452</v>
      </c>
      <c r="O247" s="4">
        <v>4.9808000000000003</v>
      </c>
      <c r="P247" s="4">
        <v>0</v>
      </c>
      <c r="Q247" s="3" t="s">
        <v>26</v>
      </c>
      <c r="R247" s="3">
        <v>0</v>
      </c>
      <c r="S247" s="3">
        <v>0</v>
      </c>
      <c r="T247" s="3">
        <v>32</v>
      </c>
      <c r="U247" s="3">
        <v>72</v>
      </c>
      <c r="V247" s="4">
        <f>IF(ISERROR(VLOOKUP($S$247,'TAR FIN'!$A$1:$O$91,15,0)),0,VLOOKUP($S$247,'TAR FIN'!$A$1:$O$91,15,0))</f>
        <v>0</v>
      </c>
      <c r="W247" s="4">
        <f>IF(ISERROR(VLOOKUP($T$247,'TAR FIN'!$A$1:$O$91,15,0)),0,VLOOKUP($T$247,'TAR FIN'!$A$1:$O$91,15,0))</f>
        <v>357.74</v>
      </c>
      <c r="X247" s="4">
        <f>IF(ISERROR(VLOOKUP($U$247,'TAR FIN'!$A$1:$O$91,15,0)),0,VLOOKUP($U$247,'TAR FIN'!$A$1:$O$91,15,0))</f>
        <v>175.15</v>
      </c>
      <c r="Y247" s="4"/>
      <c r="Z247" s="4">
        <f ca="1">('TUSD BE'!$AM$36+'TUSD BF'!$AM$36+'TUSD CVA'!$AM$36)*(1-CUSTOS!$M$38)</f>
        <v>419.26134561460873</v>
      </c>
      <c r="AA247" s="4">
        <f>('TE BE'!$AB$27+'TE BF'!$AB$27+'TE CVA'!$AB$27)*(1-CUSTOS!$M$38)</f>
        <v>193.19190075421278</v>
      </c>
      <c r="AB247" s="4">
        <f t="shared" si="16"/>
        <v>0</v>
      </c>
      <c r="AC247" s="4">
        <f>(L247-M247)*(W247+X247)+($W$110+$X$110-$W$247-$X$247)*(L247)</f>
        <v>4886.090087999999</v>
      </c>
      <c r="AD247" s="4">
        <f t="shared" si="17"/>
        <v>0</v>
      </c>
      <c r="AE247" s="4">
        <f ca="1">(L247-M247)*(Z247+AA247)+($Z$110+$AA$110-$Z$247-$AA$247)*(L247)</f>
        <v>5062.5437468527334</v>
      </c>
      <c r="AF247" s="3" t="s">
        <v>779</v>
      </c>
    </row>
    <row r="248" spans="1:32" ht="11.25" customHeight="1" x14ac:dyDescent="0.3">
      <c r="A248" s="3" t="s">
        <v>21</v>
      </c>
      <c r="B248" s="3" t="s">
        <v>42</v>
      </c>
      <c r="C248" s="3" t="s">
        <v>23</v>
      </c>
      <c r="D248" s="3" t="s">
        <v>43</v>
      </c>
      <c r="E248" s="3" t="s">
        <v>51</v>
      </c>
      <c r="F248" s="3" t="s">
        <v>53</v>
      </c>
      <c r="G248" s="3" t="s">
        <v>25</v>
      </c>
      <c r="H248" s="3" t="s">
        <v>25</v>
      </c>
      <c r="I248" s="6">
        <v>44531</v>
      </c>
      <c r="J248" s="4">
        <v>0</v>
      </c>
      <c r="K248" s="4">
        <v>0</v>
      </c>
      <c r="L248" s="4">
        <v>17.614999999999998</v>
      </c>
      <c r="M248" s="4">
        <v>7.0460000000000003</v>
      </c>
      <c r="N248" s="4">
        <v>17.614999999999998</v>
      </c>
      <c r="O248" s="4">
        <v>7.0460000000000003</v>
      </c>
      <c r="P248" s="4">
        <v>0</v>
      </c>
      <c r="Q248" s="3" t="s">
        <v>26</v>
      </c>
      <c r="R248" s="3">
        <v>0</v>
      </c>
      <c r="S248" s="3">
        <v>0</v>
      </c>
      <c r="T248" s="3">
        <v>32</v>
      </c>
      <c r="U248" s="3">
        <v>72</v>
      </c>
      <c r="V248" s="4">
        <f>IF(ISERROR(VLOOKUP($S$248,'TAR FIN'!$A$1:$O$91,15,0)),0,VLOOKUP($S$248,'TAR FIN'!$A$1:$O$91,15,0))</f>
        <v>0</v>
      </c>
      <c r="W248" s="4">
        <f>IF(ISERROR(VLOOKUP($T$248,'TAR FIN'!$A$1:$O$91,15,0)),0,VLOOKUP($T$248,'TAR FIN'!$A$1:$O$91,15,0))</f>
        <v>357.74</v>
      </c>
      <c r="X248" s="4">
        <f>IF(ISERROR(VLOOKUP($U$248,'TAR FIN'!$A$1:$O$91,15,0)),0,VLOOKUP($U$248,'TAR FIN'!$A$1:$O$91,15,0))</f>
        <v>175.15</v>
      </c>
      <c r="Y248" s="4"/>
      <c r="Z248" s="4">
        <f ca="1">('TUSD BE'!$AM$36+'TUSD BF'!$AM$36+'TUSD CVA'!$AM$36)*(1-CUSTOS!$M$38)</f>
        <v>419.26134561460873</v>
      </c>
      <c r="AA248" s="4">
        <f>('TE BE'!$AB$27+'TE BF'!$AB$27+'TE CVA'!$AB$27)*(1-CUSTOS!$M$38)</f>
        <v>193.19190075421278</v>
      </c>
      <c r="AB248" s="4">
        <f t="shared" si="16"/>
        <v>0</v>
      </c>
      <c r="AC248" s="4">
        <f>(L248-M248)*(W248+X248)+($W$110+$X$110-$W$248-$X$248)*(L248)</f>
        <v>6912.0203099999981</v>
      </c>
      <c r="AD248" s="4">
        <f t="shared" si="17"/>
        <v>0</v>
      </c>
      <c r="AE248" s="4">
        <f ca="1">(L248-M248)*(Z248+AA248)+($Z$110+$AA$110-$Z$248-$AA$248)*(L248)</f>
        <v>7161.6373354329335</v>
      </c>
      <c r="AF248" s="3" t="s">
        <v>779</v>
      </c>
    </row>
    <row r="249" spans="1:32" ht="11.25" customHeight="1" x14ac:dyDescent="0.3">
      <c r="A249" s="3" t="s">
        <v>21</v>
      </c>
      <c r="B249" s="3" t="s">
        <v>42</v>
      </c>
      <c r="C249" s="3" t="s">
        <v>23</v>
      </c>
      <c r="D249" s="3" t="s">
        <v>43</v>
      </c>
      <c r="E249" s="3" t="s">
        <v>51</v>
      </c>
      <c r="F249" s="3" t="s">
        <v>53</v>
      </c>
      <c r="G249" s="3" t="s">
        <v>25</v>
      </c>
      <c r="H249" s="3" t="s">
        <v>25</v>
      </c>
      <c r="I249" s="6">
        <v>44562</v>
      </c>
      <c r="J249" s="4">
        <v>0</v>
      </c>
      <c r="K249" s="4">
        <v>0</v>
      </c>
      <c r="L249" s="4">
        <v>19.951000000000001</v>
      </c>
      <c r="M249" s="4">
        <v>7.9804000000000004</v>
      </c>
      <c r="N249" s="4">
        <v>19.951000000000001</v>
      </c>
      <c r="O249" s="4">
        <v>7.9804000000000004</v>
      </c>
      <c r="P249" s="4">
        <v>0</v>
      </c>
      <c r="Q249" s="3" t="s">
        <v>26</v>
      </c>
      <c r="R249" s="3">
        <v>0</v>
      </c>
      <c r="S249" s="3">
        <v>0</v>
      </c>
      <c r="T249" s="3">
        <v>32</v>
      </c>
      <c r="U249" s="3">
        <v>72</v>
      </c>
      <c r="V249" s="4">
        <f>IF(ISERROR(VLOOKUP($S$249,'TAR FIN'!$A$1:$O$91,15,0)),0,VLOOKUP($S$249,'TAR FIN'!$A$1:$O$91,15,0))</f>
        <v>0</v>
      </c>
      <c r="W249" s="4">
        <f>IF(ISERROR(VLOOKUP($T$249,'TAR FIN'!$A$1:$O$91,15,0)),0,VLOOKUP($T$249,'TAR FIN'!$A$1:$O$91,15,0))</f>
        <v>357.74</v>
      </c>
      <c r="X249" s="4">
        <f>IF(ISERROR(VLOOKUP($U$249,'TAR FIN'!$A$1:$O$91,15,0)),0,VLOOKUP($U$249,'TAR FIN'!$A$1:$O$91,15,0))</f>
        <v>175.15</v>
      </c>
      <c r="Y249" s="4"/>
      <c r="Z249" s="4">
        <f ca="1">('TUSD BE'!$AM$36+'TUSD BF'!$AM$36+'TUSD CVA'!$AM$36)*(1-CUSTOS!$M$38)</f>
        <v>419.26134561460873</v>
      </c>
      <c r="AA249" s="4">
        <f>('TE BE'!$AB$27+'TE BF'!$AB$27+'TE CVA'!$AB$27)*(1-CUSTOS!$M$38)</f>
        <v>193.19190075421278</v>
      </c>
      <c r="AB249" s="4">
        <f t="shared" si="16"/>
        <v>0</v>
      </c>
      <c r="AC249" s="4">
        <f>(L249-M249)*(W249+X249)+($W$110+$X$110-$W$249-$X$249)*(L249)</f>
        <v>7828.6526939999994</v>
      </c>
      <c r="AD249" s="4">
        <f t="shared" si="17"/>
        <v>0</v>
      </c>
      <c r="AE249" s="4">
        <f ca="1">(L249-M249)*(Z249+AA249)+($Z$110+$AA$110-$Z$249-$AA$249)*(L249)</f>
        <v>8111.3724938531077</v>
      </c>
      <c r="AF249" s="3" t="s">
        <v>779</v>
      </c>
    </row>
    <row r="250" spans="1:32" ht="11.25" customHeight="1" x14ac:dyDescent="0.3">
      <c r="A250" s="3" t="s">
        <v>21</v>
      </c>
      <c r="B250" s="3" t="s">
        <v>42</v>
      </c>
      <c r="C250" s="3" t="s">
        <v>23</v>
      </c>
      <c r="D250" s="3" t="s">
        <v>43</v>
      </c>
      <c r="E250" s="3" t="s">
        <v>51</v>
      </c>
      <c r="F250" s="3" t="s">
        <v>53</v>
      </c>
      <c r="G250" s="3" t="s">
        <v>25</v>
      </c>
      <c r="H250" s="3" t="s">
        <v>25</v>
      </c>
      <c r="I250" s="6">
        <v>44593</v>
      </c>
      <c r="J250" s="4">
        <v>0</v>
      </c>
      <c r="K250" s="4">
        <v>0</v>
      </c>
      <c r="L250" s="4">
        <v>13.702999999999999</v>
      </c>
      <c r="M250" s="4">
        <v>5.4812000000000003</v>
      </c>
      <c r="N250" s="4">
        <v>13.702999999999999</v>
      </c>
      <c r="O250" s="4">
        <v>5.4812000000000003</v>
      </c>
      <c r="P250" s="4">
        <v>0</v>
      </c>
      <c r="Q250" s="3" t="s">
        <v>26</v>
      </c>
      <c r="R250" s="3">
        <v>0</v>
      </c>
      <c r="S250" s="3">
        <v>0</v>
      </c>
      <c r="T250" s="3">
        <v>32</v>
      </c>
      <c r="U250" s="3">
        <v>72</v>
      </c>
      <c r="V250" s="4">
        <f>IF(ISERROR(VLOOKUP($S$250,'TAR FIN'!$A$1:$O$91,15,0)),0,VLOOKUP($S$250,'TAR FIN'!$A$1:$O$91,15,0))</f>
        <v>0</v>
      </c>
      <c r="W250" s="4">
        <f>IF(ISERROR(VLOOKUP($T$250,'TAR FIN'!$A$1:$O$91,15,0)),0,VLOOKUP($T$250,'TAR FIN'!$A$1:$O$91,15,0))</f>
        <v>357.74</v>
      </c>
      <c r="X250" s="4">
        <f>IF(ISERROR(VLOOKUP($U$250,'TAR FIN'!$A$1:$O$91,15,0)),0,VLOOKUP($U$250,'TAR FIN'!$A$1:$O$91,15,0))</f>
        <v>175.15</v>
      </c>
      <c r="Y250" s="4"/>
      <c r="Z250" s="4">
        <f ca="1">('TUSD BE'!$AM$36+'TUSD BF'!$AM$36+'TUSD CVA'!$AM$36)*(1-CUSTOS!$M$38)</f>
        <v>419.26134561460873</v>
      </c>
      <c r="AA250" s="4">
        <f>('TE BE'!$AB$27+'TE BF'!$AB$27+'TE CVA'!$AB$27)*(1-CUSTOS!$M$38)</f>
        <v>193.19190075421278</v>
      </c>
      <c r="AB250" s="4">
        <f t="shared" si="16"/>
        <v>0</v>
      </c>
      <c r="AC250" s="4">
        <f>(L250-M250)*(W250+X250)+($W$110+$X$110-$W$250-$X$250)*(L250)</f>
        <v>5376.9749819999988</v>
      </c>
      <c r="AD250" s="4">
        <f t="shared" si="17"/>
        <v>0</v>
      </c>
      <c r="AE250" s="4">
        <f ca="1">(L250-M250)*(Z250+AA250)+($Z$110+$AA$110-$Z$250-$AA$250)*(L250)</f>
        <v>5571.1561968457272</v>
      </c>
      <c r="AF250" s="3" t="s">
        <v>779</v>
      </c>
    </row>
    <row r="251" spans="1:32" ht="11.25" customHeight="1" x14ac:dyDescent="0.3">
      <c r="A251" s="3" t="s">
        <v>21</v>
      </c>
      <c r="B251" s="3" t="s">
        <v>42</v>
      </c>
      <c r="C251" s="3" t="s">
        <v>23</v>
      </c>
      <c r="D251" s="3" t="s">
        <v>43</v>
      </c>
      <c r="E251" s="3" t="s">
        <v>51</v>
      </c>
      <c r="F251" s="3" t="s">
        <v>53</v>
      </c>
      <c r="G251" s="3" t="s">
        <v>25</v>
      </c>
      <c r="H251" s="3" t="s">
        <v>25</v>
      </c>
      <c r="I251" s="6">
        <v>44621</v>
      </c>
      <c r="J251" s="4">
        <v>0</v>
      </c>
      <c r="K251" s="4">
        <v>0</v>
      </c>
      <c r="L251" s="4">
        <v>1.51</v>
      </c>
      <c r="M251" s="4">
        <v>0.60399999999999998</v>
      </c>
      <c r="N251" s="4">
        <v>1.51</v>
      </c>
      <c r="O251" s="4">
        <v>0.60399999999999998</v>
      </c>
      <c r="P251" s="4">
        <v>0</v>
      </c>
      <c r="Q251" s="3" t="s">
        <v>26</v>
      </c>
      <c r="R251" s="3">
        <v>0</v>
      </c>
      <c r="S251" s="3">
        <v>0</v>
      </c>
      <c r="T251" s="3">
        <v>32</v>
      </c>
      <c r="U251" s="3">
        <v>72</v>
      </c>
      <c r="V251" s="4">
        <f>IF(ISERROR(VLOOKUP($S$251,'TAR FIN'!$A$1:$O$91,15,0)),0,VLOOKUP($S$251,'TAR FIN'!$A$1:$O$91,15,0))</f>
        <v>0</v>
      </c>
      <c r="W251" s="4">
        <f>IF(ISERROR(VLOOKUP($T$251,'TAR FIN'!$A$1:$O$91,15,0)),0,VLOOKUP($T$251,'TAR FIN'!$A$1:$O$91,15,0))</f>
        <v>357.74</v>
      </c>
      <c r="X251" s="4">
        <f>IF(ISERROR(VLOOKUP($U$251,'TAR FIN'!$A$1:$O$91,15,0)),0,VLOOKUP($U$251,'TAR FIN'!$A$1:$O$91,15,0))</f>
        <v>175.15</v>
      </c>
      <c r="Y251" s="4"/>
      <c r="Z251" s="4">
        <f ca="1">('TUSD BE'!$AM$36+'TUSD BF'!$AM$36+'TUSD CVA'!$AM$36)*(1-CUSTOS!$M$38)</f>
        <v>419.26134561460873</v>
      </c>
      <c r="AA251" s="4">
        <f>('TE BE'!$AB$27+'TE BF'!$AB$27+'TE CVA'!$AB$27)*(1-CUSTOS!$M$38)</f>
        <v>193.19190075421278</v>
      </c>
      <c r="AB251" s="4">
        <f t="shared" si="16"/>
        <v>0</v>
      </c>
      <c r="AC251" s="4">
        <f>(L251-M251)*(W251+X251)+($W$110+$X$110-$W$251-$X$251)*(L251)</f>
        <v>592.51493999999991</v>
      </c>
      <c r="AD251" s="4">
        <f t="shared" si="17"/>
        <v>0</v>
      </c>
      <c r="AE251" s="4">
        <f ca="1">(L251-M251)*(Z251+AA251)+($Z$110+$AA$110-$Z$251-$AA$251)*(L251)</f>
        <v>613.91270942399842</v>
      </c>
      <c r="AF251" s="3" t="s">
        <v>779</v>
      </c>
    </row>
    <row r="252" spans="1:32" ht="11.25" customHeight="1" x14ac:dyDescent="0.3">
      <c r="A252" s="3" t="s">
        <v>21</v>
      </c>
      <c r="B252" s="3" t="s">
        <v>42</v>
      </c>
      <c r="C252" s="3" t="s">
        <v>23</v>
      </c>
      <c r="D252" s="3" t="s">
        <v>43</v>
      </c>
      <c r="E252" s="3" t="s">
        <v>51</v>
      </c>
      <c r="F252" s="3" t="s">
        <v>53</v>
      </c>
      <c r="G252" s="3" t="s">
        <v>25</v>
      </c>
      <c r="H252" s="3" t="s">
        <v>25</v>
      </c>
      <c r="I252" s="6">
        <v>44652</v>
      </c>
      <c r="J252" s="4">
        <v>0</v>
      </c>
      <c r="K252" s="4">
        <v>0</v>
      </c>
      <c r="L252" s="4">
        <v>0.372</v>
      </c>
      <c r="M252" s="4">
        <v>0.14879999999999999</v>
      </c>
      <c r="N252" s="4">
        <v>0.372</v>
      </c>
      <c r="O252" s="4">
        <v>0.14879999999999999</v>
      </c>
      <c r="P252" s="4">
        <v>0</v>
      </c>
      <c r="Q252" s="3" t="s">
        <v>26</v>
      </c>
      <c r="R252" s="3">
        <v>0</v>
      </c>
      <c r="S252" s="3">
        <v>0</v>
      </c>
      <c r="T252" s="3">
        <v>32</v>
      </c>
      <c r="U252" s="3">
        <v>72</v>
      </c>
      <c r="V252" s="4">
        <f>IF(ISERROR(VLOOKUP($S$252,'TAR FIN'!$A$1:$O$91,15,0)),0,VLOOKUP($S$252,'TAR FIN'!$A$1:$O$91,15,0))</f>
        <v>0</v>
      </c>
      <c r="W252" s="4">
        <f>IF(ISERROR(VLOOKUP($T$252,'TAR FIN'!$A$1:$O$91,15,0)),0,VLOOKUP($T$252,'TAR FIN'!$A$1:$O$91,15,0))</f>
        <v>357.74</v>
      </c>
      <c r="X252" s="4">
        <f>IF(ISERROR(VLOOKUP($U$252,'TAR FIN'!$A$1:$O$91,15,0)),0,VLOOKUP($U$252,'TAR FIN'!$A$1:$O$91,15,0))</f>
        <v>175.15</v>
      </c>
      <c r="Y252" s="4"/>
      <c r="Z252" s="4">
        <f ca="1">('TUSD BE'!$AM$36+'TUSD BF'!$AM$36+'TUSD CVA'!$AM$36)*(1-CUSTOS!$M$38)</f>
        <v>419.26134561460873</v>
      </c>
      <c r="AA252" s="4">
        <f>('TE BE'!$AB$27+'TE BF'!$AB$27+'TE CVA'!$AB$27)*(1-CUSTOS!$M$38)</f>
        <v>193.19190075421278</v>
      </c>
      <c r="AB252" s="4">
        <f t="shared" si="16"/>
        <v>0</v>
      </c>
      <c r="AC252" s="4">
        <f>(L252-M252)*(W252+X252)+($W$110+$X$110-$W$252-$X$252)*(L252)</f>
        <v>145.97056799999996</v>
      </c>
      <c r="AD252" s="4">
        <f t="shared" si="17"/>
        <v>0</v>
      </c>
      <c r="AE252" s="4">
        <f ca="1">(L252-M252)*(Z252+AA252)+($Z$110+$AA$110-$Z$252-$AA$252)*(L252)</f>
        <v>151.24207146074664</v>
      </c>
      <c r="AF252" s="3" t="s">
        <v>779</v>
      </c>
    </row>
    <row r="253" spans="1:32" ht="11.25" customHeight="1" x14ac:dyDescent="0.3">
      <c r="A253" s="3" t="s">
        <v>21</v>
      </c>
      <c r="B253" s="3" t="s">
        <v>42</v>
      </c>
      <c r="C253" s="3" t="s">
        <v>23</v>
      </c>
      <c r="D253" s="3" t="s">
        <v>43</v>
      </c>
      <c r="E253" s="3" t="s">
        <v>51</v>
      </c>
      <c r="F253" s="3" t="s">
        <v>53</v>
      </c>
      <c r="G253" s="3" t="s">
        <v>25</v>
      </c>
      <c r="H253" s="3" t="s">
        <v>25</v>
      </c>
      <c r="I253" s="6">
        <v>44682</v>
      </c>
      <c r="J253" s="4">
        <v>0</v>
      </c>
      <c r="K253" s="4">
        <v>0</v>
      </c>
      <c r="L253" s="4">
        <v>0.152</v>
      </c>
      <c r="M253" s="4">
        <v>6.08E-2</v>
      </c>
      <c r="N253" s="4">
        <v>0.152</v>
      </c>
      <c r="O253" s="4">
        <v>6.08E-2</v>
      </c>
      <c r="P253" s="4">
        <v>0</v>
      </c>
      <c r="Q253" s="3" t="s">
        <v>26</v>
      </c>
      <c r="R253" s="3">
        <v>0</v>
      </c>
      <c r="S253" s="3">
        <v>0</v>
      </c>
      <c r="T253" s="3">
        <v>32</v>
      </c>
      <c r="U253" s="3">
        <v>72</v>
      </c>
      <c r="V253" s="4">
        <f>IF(ISERROR(VLOOKUP($S$253,'TAR FIN'!$A$1:$O$91,15,0)),0,VLOOKUP($S$253,'TAR FIN'!$A$1:$O$91,15,0))</f>
        <v>0</v>
      </c>
      <c r="W253" s="4">
        <f>IF(ISERROR(VLOOKUP($T$253,'TAR FIN'!$A$1:$O$91,15,0)),0,VLOOKUP($T$253,'TAR FIN'!$A$1:$O$91,15,0))</f>
        <v>357.74</v>
      </c>
      <c r="X253" s="4">
        <f>IF(ISERROR(VLOOKUP($U$253,'TAR FIN'!$A$1:$O$91,15,0)),0,VLOOKUP($U$253,'TAR FIN'!$A$1:$O$91,15,0))</f>
        <v>175.15</v>
      </c>
      <c r="Y253" s="4"/>
      <c r="Z253" s="4">
        <f ca="1">('TUSD BE'!$AM$36+'TUSD BF'!$AM$36+'TUSD CVA'!$AM$36)*(1-CUSTOS!$M$38)</f>
        <v>419.26134561460873</v>
      </c>
      <c r="AA253" s="4">
        <f>('TE BE'!$AB$27+'TE BF'!$AB$27+'TE CVA'!$AB$27)*(1-CUSTOS!$M$38)</f>
        <v>193.19190075421278</v>
      </c>
      <c r="AB253" s="4">
        <f t="shared" si="16"/>
        <v>0</v>
      </c>
      <c r="AC253" s="4">
        <f>(L253-M253)*(W253+X253)+($W$110+$X$110-$W$253-$X$253)*(L253)</f>
        <v>59.64388799999999</v>
      </c>
      <c r="AD253" s="4">
        <f t="shared" si="17"/>
        <v>0</v>
      </c>
      <c r="AE253" s="4">
        <f ca="1">(L253-M253)*(Z253+AA253)+($Z$110+$AA$110-$Z$253-$AA$253)*(L253)</f>
        <v>61.797835650627654</v>
      </c>
      <c r="AF253" s="3" t="s">
        <v>779</v>
      </c>
    </row>
    <row r="254" spans="1:32" ht="11.25" customHeight="1" x14ac:dyDescent="0.3">
      <c r="A254" s="3" t="s">
        <v>21</v>
      </c>
      <c r="B254" s="3" t="s">
        <v>42</v>
      </c>
      <c r="C254" s="3" t="s">
        <v>23</v>
      </c>
      <c r="D254" s="3" t="s">
        <v>43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44378</v>
      </c>
      <c r="J254" s="4">
        <v>0</v>
      </c>
      <c r="K254" s="4">
        <v>0</v>
      </c>
      <c r="L254" s="4">
        <v>1126.674</v>
      </c>
      <c r="M254" s="4">
        <v>1126.674</v>
      </c>
      <c r="N254" s="4">
        <v>1126.674</v>
      </c>
      <c r="O254" s="4">
        <v>1126.674</v>
      </c>
      <c r="P254" s="4">
        <v>4531</v>
      </c>
      <c r="Q254" s="3" t="s">
        <v>26</v>
      </c>
      <c r="R254" s="3">
        <v>0</v>
      </c>
      <c r="S254" s="3">
        <v>0</v>
      </c>
      <c r="T254" s="3">
        <v>32</v>
      </c>
      <c r="U254" s="3">
        <v>72</v>
      </c>
      <c r="V254" s="4">
        <f>IF(ISERROR(VLOOKUP($S$254,'TAR FIN'!$A$1:$O$91,15,0)),0,VLOOKUP($S$254,'TAR FIN'!$A$1:$O$91,15,0))</f>
        <v>0</v>
      </c>
      <c r="W254" s="4">
        <f>IF(ISERROR(VLOOKUP($T$254,'TAR FIN'!$A$1:$O$91,15,0)),0,VLOOKUP($T$254,'TAR FIN'!$A$1:$O$91,15,0))</f>
        <v>357.74</v>
      </c>
      <c r="X254" s="4">
        <f>IF(ISERROR(VLOOKUP($U$254,'TAR FIN'!$A$1:$O$91,15,0)),0,VLOOKUP($U$254,'TAR FIN'!$A$1:$O$91,15,0))</f>
        <v>175.15</v>
      </c>
      <c r="Y254" s="4"/>
      <c r="Z254" s="4">
        <f ca="1">('TUSD BE'!$AM$36+'TUSD BF'!$AM$36+'TUSD CVA'!$AM$36)*(1-CUSTOS!$M$38)</f>
        <v>419.26134561460873</v>
      </c>
      <c r="AA254" s="4">
        <f>('TE BE'!$AB$27+'TE BF'!$AB$27+'TE CVA'!$AB$27)*(1-CUSTOS!$M$38)</f>
        <v>193.19190075421278</v>
      </c>
      <c r="AB254" s="4">
        <f t="shared" si="16"/>
        <v>0</v>
      </c>
      <c r="AC254" s="4">
        <f>(L254-M254)*(W254+X254)+($W$110+$X$110-$W$254-$X$254)*(L254)</f>
        <v>81864.132839999933</v>
      </c>
      <c r="AD254" s="4">
        <f t="shared" si="17"/>
        <v>0</v>
      </c>
      <c r="AE254" s="4">
        <f ca="1">(L254-M254)*(Z254+AA254)+($Z$110+$AA$110-$Z$254-$AA$254)*(L254)</f>
        <v>44044.796738256184</v>
      </c>
      <c r="AF254" s="3" t="s">
        <v>777</v>
      </c>
    </row>
    <row r="255" spans="1:32" ht="11.25" customHeight="1" x14ac:dyDescent="0.3">
      <c r="A255" s="3" t="s">
        <v>27</v>
      </c>
      <c r="B255" s="3" t="s">
        <v>42</v>
      </c>
      <c r="C255" s="3" t="s">
        <v>23</v>
      </c>
      <c r="D255" s="3" t="s">
        <v>43</v>
      </c>
      <c r="E255" s="3" t="s">
        <v>25</v>
      </c>
      <c r="F255" s="3" t="s">
        <v>25</v>
      </c>
      <c r="G255" s="3" t="s">
        <v>25</v>
      </c>
      <c r="H255" s="3" t="s">
        <v>25</v>
      </c>
      <c r="I255" s="6">
        <v>44378</v>
      </c>
      <c r="J255" s="4">
        <v>0</v>
      </c>
      <c r="K255" s="4">
        <v>0</v>
      </c>
      <c r="L255" s="4">
        <v>-1.522</v>
      </c>
      <c r="M255" s="4">
        <v>-1.522</v>
      </c>
      <c r="N255" s="4">
        <v>-1.522</v>
      </c>
      <c r="O255" s="4">
        <v>-1.522</v>
      </c>
      <c r="P255" s="4">
        <v>0</v>
      </c>
      <c r="Q255" s="3" t="s">
        <v>26</v>
      </c>
      <c r="R255" s="3">
        <v>0</v>
      </c>
      <c r="S255" s="3">
        <v>0</v>
      </c>
      <c r="T255" s="3">
        <v>32</v>
      </c>
      <c r="U255" s="3">
        <v>72</v>
      </c>
      <c r="V255" s="4">
        <f>IF(ISERROR(VLOOKUP($S$255,'TAR FIN'!$A$1:$O$91,15,0)),0,VLOOKUP($S$255,'TAR FIN'!$A$1:$O$91,15,0))</f>
        <v>0</v>
      </c>
      <c r="W255" s="4">
        <f>IF(ISERROR(VLOOKUP($T$255,'TAR FIN'!$A$1:$O$91,15,0)),0,VLOOKUP($T$255,'TAR FIN'!$A$1:$O$91,15,0))</f>
        <v>357.74</v>
      </c>
      <c r="X255" s="4">
        <f>IF(ISERROR(VLOOKUP($U$255,'TAR FIN'!$A$1:$O$91,15,0)),0,VLOOKUP($U$255,'TAR FIN'!$A$1:$O$91,15,0))</f>
        <v>175.15</v>
      </c>
      <c r="Y255" s="4"/>
      <c r="Z255" s="4">
        <f ca="1">('TUSD BE'!$AM$36+'TUSD BF'!$AM$36+'TUSD CVA'!$AM$36)*(1-CUSTOS!$M$38)</f>
        <v>419.26134561460873</v>
      </c>
      <c r="AA255" s="4">
        <f>('TE BE'!$AB$27+'TE BF'!$AB$27+'TE CVA'!$AB$27)*(1-CUSTOS!$M$38)</f>
        <v>193.19190075421278</v>
      </c>
      <c r="AB255" s="4">
        <f t="shared" si="16"/>
        <v>0</v>
      </c>
      <c r="AC255" s="4">
        <f>(L255-M255)*(W255+X255)+($W$110+$X$110-$W$255-$X$255)*(L255)</f>
        <v>-110.5885199999999</v>
      </c>
      <c r="AD255" s="4">
        <f t="shared" si="17"/>
        <v>0</v>
      </c>
      <c r="AE255" s="4">
        <f ca="1">(L255-M255)*(Z255+AA255)+($Z$110+$AA$110-$Z$255-$AA$255)*(L255)</f>
        <v>-59.499181338724348</v>
      </c>
      <c r="AF255" s="3" t="s">
        <v>777</v>
      </c>
    </row>
    <row r="256" spans="1:32" ht="11.25" customHeight="1" x14ac:dyDescent="0.3">
      <c r="A256" s="3" t="s">
        <v>28</v>
      </c>
      <c r="B256" s="3" t="s">
        <v>42</v>
      </c>
      <c r="C256" s="3" t="s">
        <v>23</v>
      </c>
      <c r="D256" s="3" t="s">
        <v>43</v>
      </c>
      <c r="E256" s="3" t="s">
        <v>25</v>
      </c>
      <c r="F256" s="3" t="s">
        <v>25</v>
      </c>
      <c r="G256" s="3" t="s">
        <v>25</v>
      </c>
      <c r="H256" s="3" t="s">
        <v>25</v>
      </c>
      <c r="I256" s="6">
        <v>44378</v>
      </c>
      <c r="J256" s="4">
        <v>0</v>
      </c>
      <c r="K256" s="4">
        <v>0</v>
      </c>
      <c r="L256" s="4">
        <v>12.750999999999999</v>
      </c>
      <c r="M256" s="4">
        <v>12.750999999999999</v>
      </c>
      <c r="N256" s="4">
        <v>12.750999999999999</v>
      </c>
      <c r="O256" s="4">
        <v>12.750999999999999</v>
      </c>
      <c r="P256" s="4">
        <v>37</v>
      </c>
      <c r="Q256" s="3" t="s">
        <v>26</v>
      </c>
      <c r="R256" s="3">
        <v>0</v>
      </c>
      <c r="S256" s="3">
        <v>0</v>
      </c>
      <c r="T256" s="3">
        <v>32</v>
      </c>
      <c r="U256" s="3">
        <v>72</v>
      </c>
      <c r="V256" s="4">
        <f>IF(ISERROR(VLOOKUP($S$256,'TAR FIN'!$A$1:$O$91,15,0)),0,VLOOKUP($S$256,'TAR FIN'!$A$1:$O$91,15,0))</f>
        <v>0</v>
      </c>
      <c r="W256" s="4">
        <f>IF(ISERROR(VLOOKUP($T$256,'TAR FIN'!$A$1:$O$91,15,0)),0,VLOOKUP($T$256,'TAR FIN'!$A$1:$O$91,15,0))</f>
        <v>357.74</v>
      </c>
      <c r="X256" s="4">
        <f>IF(ISERROR(VLOOKUP($U$256,'TAR FIN'!$A$1:$O$91,15,0)),0,VLOOKUP($U$256,'TAR FIN'!$A$1:$O$91,15,0))</f>
        <v>175.15</v>
      </c>
      <c r="Y256" s="4"/>
      <c r="Z256" s="4">
        <f ca="1">('TUSD BE'!$AM$36+'TUSD BF'!$AM$36+'TUSD CVA'!$AM$36)*(1-CUSTOS!$M$38)</f>
        <v>419.26134561460873</v>
      </c>
      <c r="AA256" s="4">
        <f>('TE BE'!$AB$27+'TE BF'!$AB$27+'TE CVA'!$AB$27)*(1-CUSTOS!$M$38)</f>
        <v>193.19190075421278</v>
      </c>
      <c r="AB256" s="4">
        <f t="shared" si="16"/>
        <v>0</v>
      </c>
      <c r="AC256" s="4">
        <f>(L256-M256)*(W256+X256)+($W$110+$X$110-$W$256-$X$256)*(L256)</f>
        <v>926.48765999999921</v>
      </c>
      <c r="AD256" s="4">
        <f t="shared" si="17"/>
        <v>0</v>
      </c>
      <c r="AE256" s="4">
        <f ca="1">(L256-M256)*(Z256+AA256)+($Z$110+$AA$110-$Z$256-$AA$256)*(L256)</f>
        <v>498.47178794354409</v>
      </c>
      <c r="AF256" s="3" t="s">
        <v>777</v>
      </c>
    </row>
    <row r="257" spans="1:32" ht="11.25" customHeight="1" x14ac:dyDescent="0.3">
      <c r="A257" s="3" t="s">
        <v>21</v>
      </c>
      <c r="B257" s="3" t="s">
        <v>42</v>
      </c>
      <c r="C257" s="3" t="s">
        <v>23</v>
      </c>
      <c r="D257" s="3" t="s">
        <v>43</v>
      </c>
      <c r="E257" s="3" t="s">
        <v>25</v>
      </c>
      <c r="F257" s="3" t="s">
        <v>25</v>
      </c>
      <c r="G257" s="3" t="s">
        <v>25</v>
      </c>
      <c r="H257" s="3" t="s">
        <v>25</v>
      </c>
      <c r="I257" s="6">
        <v>44409</v>
      </c>
      <c r="J257" s="4">
        <v>0</v>
      </c>
      <c r="K257" s="4">
        <v>0</v>
      </c>
      <c r="L257" s="4">
        <v>1124.0170000000001</v>
      </c>
      <c r="M257" s="4">
        <v>1124.0170000000001</v>
      </c>
      <c r="N257" s="4">
        <v>1124.0170000000001</v>
      </c>
      <c r="O257" s="4">
        <v>1124.0170000000001</v>
      </c>
      <c r="P257" s="4">
        <v>4536</v>
      </c>
      <c r="Q257" s="3" t="s">
        <v>26</v>
      </c>
      <c r="R257" s="3">
        <v>0</v>
      </c>
      <c r="S257" s="3">
        <v>0</v>
      </c>
      <c r="T257" s="3">
        <v>32</v>
      </c>
      <c r="U257" s="3">
        <v>72</v>
      </c>
      <c r="V257" s="4">
        <f>IF(ISERROR(VLOOKUP($S$257,'TAR FIN'!$A$1:$O$91,15,0)),0,VLOOKUP($S$257,'TAR FIN'!$A$1:$O$91,15,0))</f>
        <v>0</v>
      </c>
      <c r="W257" s="4">
        <f>IF(ISERROR(VLOOKUP($T$257,'TAR FIN'!$A$1:$O$91,15,0)),0,VLOOKUP($T$257,'TAR FIN'!$A$1:$O$91,15,0))</f>
        <v>357.74</v>
      </c>
      <c r="X257" s="4">
        <f>IF(ISERROR(VLOOKUP($U$257,'TAR FIN'!$A$1:$O$91,15,0)),0,VLOOKUP($U$257,'TAR FIN'!$A$1:$O$91,15,0))</f>
        <v>175.15</v>
      </c>
      <c r="Y257" s="4"/>
      <c r="Z257" s="4">
        <f ca="1">('TUSD BE'!$AM$36+'TUSD BF'!$AM$36+'TUSD CVA'!$AM$36)*(1-CUSTOS!$M$38)</f>
        <v>419.26134561460873</v>
      </c>
      <c r="AA257" s="4">
        <f>('TE BE'!$AB$27+'TE BF'!$AB$27+'TE CVA'!$AB$27)*(1-CUSTOS!$M$38)</f>
        <v>193.19190075421278</v>
      </c>
      <c r="AB257" s="4">
        <f t="shared" si="16"/>
        <v>0</v>
      </c>
      <c r="AC257" s="4">
        <f>(L257-M257)*(W257+X257)+($W$110+$X$110-$W$257-$X$257)*(L257)</f>
        <v>81671.075219999941</v>
      </c>
      <c r="AD257" s="4">
        <f t="shared" si="17"/>
        <v>0</v>
      </c>
      <c r="AE257" s="4">
        <f ca="1">(L257-M257)*(Z257+AA257)+($Z$110+$AA$110-$Z$257-$AA$257)*(L257)</f>
        <v>43940.927273856061</v>
      </c>
      <c r="AF257" s="3" t="s">
        <v>777</v>
      </c>
    </row>
    <row r="258" spans="1:32" ht="11.25" customHeight="1" x14ac:dyDescent="0.3">
      <c r="A258" s="3" t="s">
        <v>27</v>
      </c>
      <c r="B258" s="3" t="s">
        <v>42</v>
      </c>
      <c r="C258" s="3" t="s">
        <v>23</v>
      </c>
      <c r="D258" s="3" t="s">
        <v>43</v>
      </c>
      <c r="E258" s="3" t="s">
        <v>25</v>
      </c>
      <c r="F258" s="3" t="s">
        <v>25</v>
      </c>
      <c r="G258" s="3" t="s">
        <v>25</v>
      </c>
      <c r="H258" s="3" t="s">
        <v>25</v>
      </c>
      <c r="I258" s="6">
        <v>44409</v>
      </c>
      <c r="J258" s="4">
        <v>0</v>
      </c>
      <c r="K258" s="4">
        <v>0</v>
      </c>
      <c r="L258" s="4">
        <v>1.9E-2</v>
      </c>
      <c r="M258" s="4">
        <v>1.9E-2</v>
      </c>
      <c r="N258" s="4">
        <v>1.9E-2</v>
      </c>
      <c r="O258" s="4">
        <v>1.9E-2</v>
      </c>
      <c r="P258" s="4">
        <v>0</v>
      </c>
      <c r="Q258" s="3" t="s">
        <v>26</v>
      </c>
      <c r="R258" s="3">
        <v>0</v>
      </c>
      <c r="S258" s="3">
        <v>0</v>
      </c>
      <c r="T258" s="3">
        <v>32</v>
      </c>
      <c r="U258" s="3">
        <v>72</v>
      </c>
      <c r="V258" s="4">
        <f>IF(ISERROR(VLOOKUP($S$258,'TAR FIN'!$A$1:$O$91,15,0)),0,VLOOKUP($S$258,'TAR FIN'!$A$1:$O$91,15,0))</f>
        <v>0</v>
      </c>
      <c r="W258" s="4">
        <f>IF(ISERROR(VLOOKUP($T$258,'TAR FIN'!$A$1:$O$91,15,0)),0,VLOOKUP($T$258,'TAR FIN'!$A$1:$O$91,15,0))</f>
        <v>357.74</v>
      </c>
      <c r="X258" s="4">
        <f>IF(ISERROR(VLOOKUP($U$258,'TAR FIN'!$A$1:$O$91,15,0)),0,VLOOKUP($U$258,'TAR FIN'!$A$1:$O$91,15,0))</f>
        <v>175.15</v>
      </c>
      <c r="Y258" s="4"/>
      <c r="Z258" s="4">
        <f ca="1">('TUSD BE'!$AM$36+'TUSD BF'!$AM$36+'TUSD CVA'!$AM$36)*(1-CUSTOS!$M$38)</f>
        <v>419.26134561460873</v>
      </c>
      <c r="AA258" s="4">
        <f>('TE BE'!$AB$27+'TE BF'!$AB$27+'TE CVA'!$AB$27)*(1-CUSTOS!$M$38)</f>
        <v>193.19190075421278</v>
      </c>
      <c r="AB258" s="4">
        <f t="shared" ref="AB258:AB289" si="18">(J258-K258)*V258</f>
        <v>0</v>
      </c>
      <c r="AC258" s="4">
        <f>(L258-M258)*(W258+X258)+($W$110+$X$110-$W$258-$X$258)*(L258)</f>
        <v>1.3805399999999988</v>
      </c>
      <c r="AD258" s="4">
        <f t="shared" ref="AD258:AD289" si="19">(J258-K258)*Y258</f>
        <v>0</v>
      </c>
      <c r="AE258" s="4">
        <f ca="1">(L258-M258)*(Z258+AA258)+($Z$110+$AA$110-$Z$258-$AA$258)*(L258)</f>
        <v>0.74276244772389133</v>
      </c>
      <c r="AF258" s="3" t="s">
        <v>777</v>
      </c>
    </row>
    <row r="259" spans="1:32" ht="11.25" customHeight="1" x14ac:dyDescent="0.3">
      <c r="A259" s="3" t="s">
        <v>28</v>
      </c>
      <c r="B259" s="3" t="s">
        <v>42</v>
      </c>
      <c r="C259" s="3" t="s">
        <v>23</v>
      </c>
      <c r="D259" s="3" t="s">
        <v>43</v>
      </c>
      <c r="E259" s="3" t="s">
        <v>25</v>
      </c>
      <c r="F259" s="3" t="s">
        <v>25</v>
      </c>
      <c r="G259" s="3" t="s">
        <v>25</v>
      </c>
      <c r="H259" s="3" t="s">
        <v>25</v>
      </c>
      <c r="I259" s="6">
        <v>44409</v>
      </c>
      <c r="J259" s="4">
        <v>0</v>
      </c>
      <c r="K259" s="4">
        <v>0</v>
      </c>
      <c r="L259" s="4">
        <v>12.103999999999999</v>
      </c>
      <c r="M259" s="4">
        <v>12.103999999999999</v>
      </c>
      <c r="N259" s="4">
        <v>12.103999999999999</v>
      </c>
      <c r="O259" s="4">
        <v>12.103999999999999</v>
      </c>
      <c r="P259" s="4">
        <v>39</v>
      </c>
      <c r="Q259" s="3" t="s">
        <v>26</v>
      </c>
      <c r="R259" s="3">
        <v>0</v>
      </c>
      <c r="S259" s="3">
        <v>0</v>
      </c>
      <c r="T259" s="3">
        <v>32</v>
      </c>
      <c r="U259" s="3">
        <v>72</v>
      </c>
      <c r="V259" s="4">
        <f>IF(ISERROR(VLOOKUP($S$259,'TAR FIN'!$A$1:$O$91,15,0)),0,VLOOKUP($S$259,'TAR FIN'!$A$1:$O$91,15,0))</f>
        <v>0</v>
      </c>
      <c r="W259" s="4">
        <f>IF(ISERROR(VLOOKUP($T$259,'TAR FIN'!$A$1:$O$91,15,0)),0,VLOOKUP($T$259,'TAR FIN'!$A$1:$O$91,15,0))</f>
        <v>357.74</v>
      </c>
      <c r="X259" s="4">
        <f>IF(ISERROR(VLOOKUP($U$259,'TAR FIN'!$A$1:$O$91,15,0)),0,VLOOKUP($U$259,'TAR FIN'!$A$1:$O$91,15,0))</f>
        <v>175.15</v>
      </c>
      <c r="Y259" s="4"/>
      <c r="Z259" s="4">
        <f ca="1">('TUSD BE'!$AM$36+'TUSD BF'!$AM$36+'TUSD CVA'!$AM$36)*(1-CUSTOS!$M$38)</f>
        <v>419.26134561460873</v>
      </c>
      <c r="AA259" s="4">
        <f>('TE BE'!$AB$27+'TE BF'!$AB$27+'TE CVA'!$AB$27)*(1-CUSTOS!$M$38)</f>
        <v>193.19190075421278</v>
      </c>
      <c r="AB259" s="4">
        <f t="shared" si="18"/>
        <v>0</v>
      </c>
      <c r="AC259" s="4">
        <f>(L259-M259)*(W259+X259)+($W$110+$X$110-$W$259-$X$259)*(L259)</f>
        <v>879.47663999999918</v>
      </c>
      <c r="AD259" s="4">
        <f t="shared" si="19"/>
        <v>0</v>
      </c>
      <c r="AE259" s="4">
        <f ca="1">(L259-M259)*(Z259+AA259)+($Z$110+$AA$110-$Z$259-$AA$259)*(L259)</f>
        <v>473.1787719605253</v>
      </c>
      <c r="AF259" s="3" t="s">
        <v>777</v>
      </c>
    </row>
    <row r="260" spans="1:32" ht="11.25" customHeight="1" x14ac:dyDescent="0.3">
      <c r="A260" s="3" t="s">
        <v>21</v>
      </c>
      <c r="B260" s="3" t="s">
        <v>42</v>
      </c>
      <c r="C260" s="3" t="s">
        <v>23</v>
      </c>
      <c r="D260" s="3" t="s">
        <v>43</v>
      </c>
      <c r="E260" s="3" t="s">
        <v>25</v>
      </c>
      <c r="F260" s="3" t="s">
        <v>25</v>
      </c>
      <c r="G260" s="3" t="s">
        <v>25</v>
      </c>
      <c r="H260" s="3" t="s">
        <v>25</v>
      </c>
      <c r="I260" s="6">
        <v>44440</v>
      </c>
      <c r="J260" s="4">
        <v>0</v>
      </c>
      <c r="K260" s="4">
        <v>0</v>
      </c>
      <c r="L260" s="4">
        <v>1096.153</v>
      </c>
      <c r="M260" s="4">
        <v>1096.153</v>
      </c>
      <c r="N260" s="4">
        <v>1096.153</v>
      </c>
      <c r="O260" s="4">
        <v>1096.153</v>
      </c>
      <c r="P260" s="4">
        <v>4534</v>
      </c>
      <c r="Q260" s="3" t="s">
        <v>26</v>
      </c>
      <c r="R260" s="3">
        <v>0</v>
      </c>
      <c r="S260" s="3">
        <v>0</v>
      </c>
      <c r="T260" s="3">
        <v>32</v>
      </c>
      <c r="U260" s="3">
        <v>72</v>
      </c>
      <c r="V260" s="4">
        <f>IF(ISERROR(VLOOKUP($S$260,'TAR FIN'!$A$1:$O$91,15,0)),0,VLOOKUP($S$260,'TAR FIN'!$A$1:$O$91,15,0))</f>
        <v>0</v>
      </c>
      <c r="W260" s="4">
        <f>IF(ISERROR(VLOOKUP($T$260,'TAR FIN'!$A$1:$O$91,15,0)),0,VLOOKUP($T$260,'TAR FIN'!$A$1:$O$91,15,0))</f>
        <v>357.74</v>
      </c>
      <c r="X260" s="4">
        <f>IF(ISERROR(VLOOKUP($U$260,'TAR FIN'!$A$1:$O$91,15,0)),0,VLOOKUP($U$260,'TAR FIN'!$A$1:$O$91,15,0))</f>
        <v>175.15</v>
      </c>
      <c r="Y260" s="4"/>
      <c r="Z260" s="4">
        <f ca="1">('TUSD BE'!$AM$36+'TUSD BF'!$AM$36+'TUSD CVA'!$AM$36)*(1-CUSTOS!$M$38)</f>
        <v>419.26134561460873</v>
      </c>
      <c r="AA260" s="4">
        <f>('TE BE'!$AB$27+'TE BF'!$AB$27+'TE CVA'!$AB$27)*(1-CUSTOS!$M$38)</f>
        <v>193.19190075421278</v>
      </c>
      <c r="AB260" s="4">
        <f t="shared" si="18"/>
        <v>0</v>
      </c>
      <c r="AC260" s="4">
        <f>(L260-M260)*(W260+X260)+($W$110+$X$110-$W$260-$X$260)*(L260)</f>
        <v>79646.476979999934</v>
      </c>
      <c r="AD260" s="4">
        <f t="shared" si="19"/>
        <v>0</v>
      </c>
      <c r="AE260" s="4">
        <f ca="1">(L260-M260)*(Z260+AA260)+($Z$110+$AA$110-$Z$260-$AA$260)*(L260)</f>
        <v>42851.646597888772</v>
      </c>
      <c r="AF260" s="3" t="s">
        <v>777</v>
      </c>
    </row>
    <row r="261" spans="1:32" ht="11.25" customHeight="1" x14ac:dyDescent="0.3">
      <c r="A261" s="3" t="s">
        <v>27</v>
      </c>
      <c r="B261" s="3" t="s">
        <v>42</v>
      </c>
      <c r="C261" s="3" t="s">
        <v>23</v>
      </c>
      <c r="D261" s="3" t="s">
        <v>43</v>
      </c>
      <c r="E261" s="3" t="s">
        <v>25</v>
      </c>
      <c r="F261" s="3" t="s">
        <v>25</v>
      </c>
      <c r="G261" s="3" t="s">
        <v>25</v>
      </c>
      <c r="H261" s="3" t="s">
        <v>25</v>
      </c>
      <c r="I261" s="6">
        <v>44440</v>
      </c>
      <c r="J261" s="4">
        <v>0</v>
      </c>
      <c r="K261" s="4">
        <v>0</v>
      </c>
      <c r="L261" s="4">
        <v>-2.4340000000000002</v>
      </c>
      <c r="M261" s="4">
        <v>-2.4340000000000002</v>
      </c>
      <c r="N261" s="4">
        <v>-2.4340000000000002</v>
      </c>
      <c r="O261" s="4">
        <v>-2.4340000000000002</v>
      </c>
      <c r="P261" s="4">
        <v>0</v>
      </c>
      <c r="Q261" s="3" t="s">
        <v>26</v>
      </c>
      <c r="R261" s="3">
        <v>0</v>
      </c>
      <c r="S261" s="3">
        <v>0</v>
      </c>
      <c r="T261" s="3">
        <v>32</v>
      </c>
      <c r="U261" s="3">
        <v>72</v>
      </c>
      <c r="V261" s="4">
        <f>IF(ISERROR(VLOOKUP($S$261,'TAR FIN'!$A$1:$O$91,15,0)),0,VLOOKUP($S$261,'TAR FIN'!$A$1:$O$91,15,0))</f>
        <v>0</v>
      </c>
      <c r="W261" s="4">
        <f>IF(ISERROR(VLOOKUP($T$261,'TAR FIN'!$A$1:$O$91,15,0)),0,VLOOKUP($T$261,'TAR FIN'!$A$1:$O$91,15,0))</f>
        <v>357.74</v>
      </c>
      <c r="X261" s="4">
        <f>IF(ISERROR(VLOOKUP($U$261,'TAR FIN'!$A$1:$O$91,15,0)),0,VLOOKUP($U$261,'TAR FIN'!$A$1:$O$91,15,0))</f>
        <v>175.15</v>
      </c>
      <c r="Y261" s="4"/>
      <c r="Z261" s="4">
        <f ca="1">('TUSD BE'!$AM$36+'TUSD BF'!$AM$36+'TUSD CVA'!$AM$36)*(1-CUSTOS!$M$38)</f>
        <v>419.26134561460873</v>
      </c>
      <c r="AA261" s="4">
        <f>('TE BE'!$AB$27+'TE BF'!$AB$27+'TE CVA'!$AB$27)*(1-CUSTOS!$M$38)</f>
        <v>193.19190075421278</v>
      </c>
      <c r="AB261" s="4">
        <f t="shared" si="18"/>
        <v>0</v>
      </c>
      <c r="AC261" s="4">
        <f>(L261-M261)*(W261+X261)+($W$110+$X$110-$W$261-$X$261)*(L261)</f>
        <v>-176.85443999999987</v>
      </c>
      <c r="AD261" s="4">
        <f t="shared" si="19"/>
        <v>0</v>
      </c>
      <c r="AE261" s="4">
        <f ca="1">(L261-M261)*(Z261+AA261)+($Z$110+$AA$110-$Z$261-$AA$261)*(L261)</f>
        <v>-95.151778829471141</v>
      </c>
      <c r="AF261" s="3" t="s">
        <v>777</v>
      </c>
    </row>
    <row r="262" spans="1:32" ht="11.25" customHeight="1" x14ac:dyDescent="0.3">
      <c r="A262" s="3" t="s">
        <v>28</v>
      </c>
      <c r="B262" s="3" t="s">
        <v>42</v>
      </c>
      <c r="C262" s="3" t="s">
        <v>23</v>
      </c>
      <c r="D262" s="3" t="s">
        <v>43</v>
      </c>
      <c r="E262" s="3" t="s">
        <v>25</v>
      </c>
      <c r="F262" s="3" t="s">
        <v>25</v>
      </c>
      <c r="G262" s="3" t="s">
        <v>25</v>
      </c>
      <c r="H262" s="3" t="s">
        <v>25</v>
      </c>
      <c r="I262" s="6">
        <v>44440</v>
      </c>
      <c r="J262" s="4">
        <v>0</v>
      </c>
      <c r="K262" s="4">
        <v>0</v>
      </c>
      <c r="L262" s="4">
        <v>10.117000000000001</v>
      </c>
      <c r="M262" s="4">
        <v>10.117000000000001</v>
      </c>
      <c r="N262" s="4">
        <v>10.117000000000001</v>
      </c>
      <c r="O262" s="4">
        <v>10.117000000000001</v>
      </c>
      <c r="P262" s="4">
        <v>40</v>
      </c>
      <c r="Q262" s="3" t="s">
        <v>26</v>
      </c>
      <c r="R262" s="3">
        <v>0</v>
      </c>
      <c r="S262" s="3">
        <v>0</v>
      </c>
      <c r="T262" s="3">
        <v>32</v>
      </c>
      <c r="U262" s="3">
        <v>72</v>
      </c>
      <c r="V262" s="4">
        <f>IF(ISERROR(VLOOKUP($S$262,'TAR FIN'!$A$1:$O$91,15,0)),0,VLOOKUP($S$262,'TAR FIN'!$A$1:$O$91,15,0))</f>
        <v>0</v>
      </c>
      <c r="W262" s="4">
        <f>IF(ISERROR(VLOOKUP($T$262,'TAR FIN'!$A$1:$O$91,15,0)),0,VLOOKUP($T$262,'TAR FIN'!$A$1:$O$91,15,0))</f>
        <v>357.74</v>
      </c>
      <c r="X262" s="4">
        <f>IF(ISERROR(VLOOKUP($U$262,'TAR FIN'!$A$1:$O$91,15,0)),0,VLOOKUP($U$262,'TAR FIN'!$A$1:$O$91,15,0))</f>
        <v>175.15</v>
      </c>
      <c r="Y262" s="4"/>
      <c r="Z262" s="4">
        <f ca="1">('TUSD BE'!$AM$36+'TUSD BF'!$AM$36+'TUSD CVA'!$AM$36)*(1-CUSTOS!$M$38)</f>
        <v>419.26134561460873</v>
      </c>
      <c r="AA262" s="4">
        <f>('TE BE'!$AB$27+'TE BF'!$AB$27+'TE CVA'!$AB$27)*(1-CUSTOS!$M$38)</f>
        <v>193.19190075421278</v>
      </c>
      <c r="AB262" s="4">
        <f t="shared" si="18"/>
        <v>0</v>
      </c>
      <c r="AC262" s="4">
        <f>(L262-M262)*(W262+X262)+($W$110+$X$110-$W$262-$X$262)*(L262)</f>
        <v>735.10121999999944</v>
      </c>
      <c r="AD262" s="4">
        <f t="shared" si="19"/>
        <v>0</v>
      </c>
      <c r="AE262" s="4">
        <f ca="1">(L262-M262)*(Z262+AA262)+($Z$110+$AA$110-$Z$262-$AA$262)*(L262)</f>
        <v>395.50145703276894</v>
      </c>
      <c r="AF262" s="3" t="s">
        <v>777</v>
      </c>
    </row>
    <row r="263" spans="1:32" ht="11.25" customHeight="1" x14ac:dyDescent="0.3">
      <c r="A263" s="3" t="s">
        <v>21</v>
      </c>
      <c r="B263" s="3" t="s">
        <v>42</v>
      </c>
      <c r="C263" s="3" t="s">
        <v>23</v>
      </c>
      <c r="D263" s="3" t="s">
        <v>43</v>
      </c>
      <c r="E263" s="3" t="s">
        <v>25</v>
      </c>
      <c r="F263" s="3" t="s">
        <v>25</v>
      </c>
      <c r="G263" s="3" t="s">
        <v>25</v>
      </c>
      <c r="H263" s="3" t="s">
        <v>25</v>
      </c>
      <c r="I263" s="6">
        <v>44470</v>
      </c>
      <c r="J263" s="4">
        <v>0</v>
      </c>
      <c r="K263" s="4">
        <v>0</v>
      </c>
      <c r="L263" s="4">
        <v>1158.865</v>
      </c>
      <c r="M263" s="4">
        <v>1158.865</v>
      </c>
      <c r="N263" s="4">
        <v>1158.865</v>
      </c>
      <c r="O263" s="4">
        <v>1158.865</v>
      </c>
      <c r="P263" s="4">
        <v>4539</v>
      </c>
      <c r="Q263" s="3" t="s">
        <v>26</v>
      </c>
      <c r="R263" s="3">
        <v>0</v>
      </c>
      <c r="S263" s="3">
        <v>0</v>
      </c>
      <c r="T263" s="3">
        <v>32</v>
      </c>
      <c r="U263" s="3">
        <v>72</v>
      </c>
      <c r="V263" s="4">
        <f>IF(ISERROR(VLOOKUP($S$263,'TAR FIN'!$A$1:$O$91,15,0)),0,VLOOKUP($S$263,'TAR FIN'!$A$1:$O$91,15,0))</f>
        <v>0</v>
      </c>
      <c r="W263" s="4">
        <f>IF(ISERROR(VLOOKUP($T$263,'TAR FIN'!$A$1:$O$91,15,0)),0,VLOOKUP($T$263,'TAR FIN'!$A$1:$O$91,15,0))</f>
        <v>357.74</v>
      </c>
      <c r="X263" s="4">
        <f>IF(ISERROR(VLOOKUP($U$263,'TAR FIN'!$A$1:$O$91,15,0)),0,VLOOKUP($U$263,'TAR FIN'!$A$1:$O$91,15,0))</f>
        <v>175.15</v>
      </c>
      <c r="Y263" s="4"/>
      <c r="Z263" s="4">
        <f ca="1">('TUSD BE'!$AM$36+'TUSD BF'!$AM$36+'TUSD CVA'!$AM$36)*(1-CUSTOS!$M$38)</f>
        <v>419.26134561460873</v>
      </c>
      <c r="AA263" s="4">
        <f>('TE BE'!$AB$27+'TE BF'!$AB$27+'TE CVA'!$AB$27)*(1-CUSTOS!$M$38)</f>
        <v>193.19190075421278</v>
      </c>
      <c r="AB263" s="4">
        <f t="shared" si="18"/>
        <v>0</v>
      </c>
      <c r="AC263" s="4">
        <f>(L263-M263)*(W263+X263)+($W$110+$X$110-$W$263-$X$263)*(L263)</f>
        <v>84203.130899999931</v>
      </c>
      <c r="AD263" s="4">
        <f t="shared" si="19"/>
        <v>0</v>
      </c>
      <c r="AE263" s="4">
        <f ca="1">(L263-M263)*(Z263+AA263)+($Z$110+$AA$110-$Z$263-$AA$263)*(L263)</f>
        <v>45303.23178850249</v>
      </c>
      <c r="AF263" s="3" t="s">
        <v>777</v>
      </c>
    </row>
    <row r="264" spans="1:32" ht="11.25" customHeight="1" x14ac:dyDescent="0.3">
      <c r="A264" s="3" t="s">
        <v>27</v>
      </c>
      <c r="B264" s="3" t="s">
        <v>42</v>
      </c>
      <c r="C264" s="3" t="s">
        <v>23</v>
      </c>
      <c r="D264" s="3" t="s">
        <v>43</v>
      </c>
      <c r="E264" s="3" t="s">
        <v>25</v>
      </c>
      <c r="F264" s="3" t="s">
        <v>25</v>
      </c>
      <c r="G264" s="3" t="s">
        <v>25</v>
      </c>
      <c r="H264" s="3" t="s">
        <v>25</v>
      </c>
      <c r="I264" s="6">
        <v>44470</v>
      </c>
      <c r="J264" s="4">
        <v>0</v>
      </c>
      <c r="K264" s="4">
        <v>0</v>
      </c>
      <c r="L264" s="4">
        <v>-1.619</v>
      </c>
      <c r="M264" s="4">
        <v>-1.619</v>
      </c>
      <c r="N264" s="4">
        <v>-1.619</v>
      </c>
      <c r="O264" s="4">
        <v>-1.619</v>
      </c>
      <c r="P264" s="4">
        <v>0</v>
      </c>
      <c r="Q264" s="3" t="s">
        <v>26</v>
      </c>
      <c r="R264" s="3">
        <v>0</v>
      </c>
      <c r="S264" s="3">
        <v>0</v>
      </c>
      <c r="T264" s="3">
        <v>32</v>
      </c>
      <c r="U264" s="3">
        <v>72</v>
      </c>
      <c r="V264" s="4">
        <f>IF(ISERROR(VLOOKUP($S$264,'TAR FIN'!$A$1:$O$91,15,0)),0,VLOOKUP($S$264,'TAR FIN'!$A$1:$O$91,15,0))</f>
        <v>0</v>
      </c>
      <c r="W264" s="4">
        <f>IF(ISERROR(VLOOKUP($T$264,'TAR FIN'!$A$1:$O$91,15,0)),0,VLOOKUP($T$264,'TAR FIN'!$A$1:$O$91,15,0))</f>
        <v>357.74</v>
      </c>
      <c r="X264" s="4">
        <f>IF(ISERROR(VLOOKUP($U$264,'TAR FIN'!$A$1:$O$91,15,0)),0,VLOOKUP($U$264,'TAR FIN'!$A$1:$O$91,15,0))</f>
        <v>175.15</v>
      </c>
      <c r="Y264" s="4"/>
      <c r="Z264" s="4">
        <f ca="1">('TUSD BE'!$AM$36+'TUSD BF'!$AM$36+'TUSD CVA'!$AM$36)*(1-CUSTOS!$M$38)</f>
        <v>419.26134561460873</v>
      </c>
      <c r="AA264" s="4">
        <f>('TE BE'!$AB$27+'TE BF'!$AB$27+'TE CVA'!$AB$27)*(1-CUSTOS!$M$38)</f>
        <v>193.19190075421278</v>
      </c>
      <c r="AB264" s="4">
        <f t="shared" si="18"/>
        <v>0</v>
      </c>
      <c r="AC264" s="4">
        <f>(L264-M264)*(W264+X264)+($W$110+$X$110-$W$264-$X$264)*(L264)</f>
        <v>-117.6365399999999</v>
      </c>
      <c r="AD264" s="4">
        <f t="shared" si="19"/>
        <v>0</v>
      </c>
      <c r="AE264" s="4">
        <f ca="1">(L264-M264)*(Z264+AA264)+($Z$110+$AA$110-$Z$264-$AA$264)*(L264)</f>
        <v>-63.291179098156846</v>
      </c>
      <c r="AF264" s="3" t="s">
        <v>777</v>
      </c>
    </row>
    <row r="265" spans="1:32" ht="11.25" customHeight="1" x14ac:dyDescent="0.3">
      <c r="A265" s="3" t="s">
        <v>28</v>
      </c>
      <c r="B265" s="3" t="s">
        <v>42</v>
      </c>
      <c r="C265" s="3" t="s">
        <v>23</v>
      </c>
      <c r="D265" s="3" t="s">
        <v>43</v>
      </c>
      <c r="E265" s="3" t="s">
        <v>25</v>
      </c>
      <c r="F265" s="3" t="s">
        <v>25</v>
      </c>
      <c r="G265" s="3" t="s">
        <v>25</v>
      </c>
      <c r="H265" s="3" t="s">
        <v>25</v>
      </c>
      <c r="I265" s="6">
        <v>44470</v>
      </c>
      <c r="J265" s="4">
        <v>0</v>
      </c>
      <c r="K265" s="4">
        <v>0</v>
      </c>
      <c r="L265" s="4">
        <v>11.327</v>
      </c>
      <c r="M265" s="4">
        <v>11.327</v>
      </c>
      <c r="N265" s="4">
        <v>11.327</v>
      </c>
      <c r="O265" s="4">
        <v>11.327</v>
      </c>
      <c r="P265" s="4">
        <v>45</v>
      </c>
      <c r="Q265" s="3" t="s">
        <v>26</v>
      </c>
      <c r="R265" s="3">
        <v>0</v>
      </c>
      <c r="S265" s="3">
        <v>0</v>
      </c>
      <c r="T265" s="3">
        <v>32</v>
      </c>
      <c r="U265" s="3">
        <v>72</v>
      </c>
      <c r="V265" s="4">
        <f>IF(ISERROR(VLOOKUP($S$265,'TAR FIN'!$A$1:$O$91,15,0)),0,VLOOKUP($S$265,'TAR FIN'!$A$1:$O$91,15,0))</f>
        <v>0</v>
      </c>
      <c r="W265" s="4">
        <f>IF(ISERROR(VLOOKUP($T$265,'TAR FIN'!$A$1:$O$91,15,0)),0,VLOOKUP($T$265,'TAR FIN'!$A$1:$O$91,15,0))</f>
        <v>357.74</v>
      </c>
      <c r="X265" s="4">
        <f>IF(ISERROR(VLOOKUP($U$265,'TAR FIN'!$A$1:$O$91,15,0)),0,VLOOKUP($U$265,'TAR FIN'!$A$1:$O$91,15,0))</f>
        <v>175.15</v>
      </c>
      <c r="Y265" s="4"/>
      <c r="Z265" s="4">
        <f ca="1">('TUSD BE'!$AM$36+'TUSD BF'!$AM$36+'TUSD CVA'!$AM$36)*(1-CUSTOS!$M$38)</f>
        <v>419.26134561460873</v>
      </c>
      <c r="AA265" s="4">
        <f>('TE BE'!$AB$27+'TE BF'!$AB$27+'TE CVA'!$AB$27)*(1-CUSTOS!$M$38)</f>
        <v>193.19190075421278</v>
      </c>
      <c r="AB265" s="4">
        <f t="shared" si="18"/>
        <v>0</v>
      </c>
      <c r="AC265" s="4">
        <f>(L265-M265)*(W265+X265)+($W$110+$X$110-$W$265-$X$265)*(L265)</f>
        <v>823.0198199999993</v>
      </c>
      <c r="AD265" s="4">
        <f t="shared" si="19"/>
        <v>0</v>
      </c>
      <c r="AE265" s="4">
        <f ca="1">(L265-M265)*(Z265+AA265)+($Z$110+$AA$110-$Z$265-$AA$265)*(L265)</f>
        <v>442.80369712465881</v>
      </c>
      <c r="AF265" s="3" t="s">
        <v>777</v>
      </c>
    </row>
    <row r="266" spans="1:32" ht="11.25" customHeight="1" x14ac:dyDescent="0.3">
      <c r="A266" s="3" t="s">
        <v>21</v>
      </c>
      <c r="B266" s="3" t="s">
        <v>42</v>
      </c>
      <c r="C266" s="3" t="s">
        <v>23</v>
      </c>
      <c r="D266" s="3" t="s">
        <v>43</v>
      </c>
      <c r="E266" s="3" t="s">
        <v>25</v>
      </c>
      <c r="F266" s="3" t="s">
        <v>25</v>
      </c>
      <c r="G266" s="3" t="s">
        <v>25</v>
      </c>
      <c r="H266" s="3" t="s">
        <v>25</v>
      </c>
      <c r="I266" s="6">
        <v>44501</v>
      </c>
      <c r="J266" s="4">
        <v>0</v>
      </c>
      <c r="K266" s="4">
        <v>0</v>
      </c>
      <c r="L266" s="4">
        <v>1383.107</v>
      </c>
      <c r="M266" s="4">
        <v>1383.107</v>
      </c>
      <c r="N266" s="4">
        <v>1383.107</v>
      </c>
      <c r="O266" s="4">
        <v>1383.107</v>
      </c>
      <c r="P266" s="4">
        <v>4514</v>
      </c>
      <c r="Q266" s="3" t="s">
        <v>26</v>
      </c>
      <c r="R266" s="3">
        <v>0</v>
      </c>
      <c r="S266" s="3">
        <v>0</v>
      </c>
      <c r="T266" s="3">
        <v>32</v>
      </c>
      <c r="U266" s="3">
        <v>72</v>
      </c>
      <c r="V266" s="4">
        <f>IF(ISERROR(VLOOKUP($S$266,'TAR FIN'!$A$1:$O$91,15,0)),0,VLOOKUP($S$266,'TAR FIN'!$A$1:$O$91,15,0))</f>
        <v>0</v>
      </c>
      <c r="W266" s="4">
        <f>IF(ISERROR(VLOOKUP($T$266,'TAR FIN'!$A$1:$O$91,15,0)),0,VLOOKUP($T$266,'TAR FIN'!$A$1:$O$91,15,0))</f>
        <v>357.74</v>
      </c>
      <c r="X266" s="4">
        <f>IF(ISERROR(VLOOKUP($U$266,'TAR FIN'!$A$1:$O$91,15,0)),0,VLOOKUP($U$266,'TAR FIN'!$A$1:$O$91,15,0))</f>
        <v>175.15</v>
      </c>
      <c r="Y266" s="4"/>
      <c r="Z266" s="4">
        <f ca="1">('TUSD BE'!$AM$36+'TUSD BF'!$AM$36+'TUSD CVA'!$AM$36)*(1-CUSTOS!$M$38)</f>
        <v>419.26134561460873</v>
      </c>
      <c r="AA266" s="4">
        <f>('TE BE'!$AB$27+'TE BF'!$AB$27+'TE CVA'!$AB$27)*(1-CUSTOS!$M$38)</f>
        <v>193.19190075421278</v>
      </c>
      <c r="AB266" s="4">
        <f t="shared" si="18"/>
        <v>0</v>
      </c>
      <c r="AC266" s="4">
        <f>(L266-M266)*(W266+X266)+($W$110+$X$110-$W$266-$X$266)*(L266)</f>
        <v>100496.55461999991</v>
      </c>
      <c r="AD266" s="4">
        <f t="shared" si="19"/>
        <v>0</v>
      </c>
      <c r="AE266" s="4">
        <f ca="1">(L266-M266)*(Z266+AA266)+($Z$110+$AA$110-$Z$266-$AA$266)*(L266)</f>
        <v>54069.470567581484</v>
      </c>
      <c r="AF266" s="3" t="s">
        <v>777</v>
      </c>
    </row>
    <row r="267" spans="1:32" ht="11.25" customHeight="1" x14ac:dyDescent="0.3">
      <c r="A267" s="3" t="s">
        <v>27</v>
      </c>
      <c r="B267" s="3" t="s">
        <v>42</v>
      </c>
      <c r="C267" s="3" t="s">
        <v>23</v>
      </c>
      <c r="D267" s="3" t="s">
        <v>43</v>
      </c>
      <c r="E267" s="3" t="s">
        <v>25</v>
      </c>
      <c r="F267" s="3" t="s">
        <v>25</v>
      </c>
      <c r="G267" s="3" t="s">
        <v>25</v>
      </c>
      <c r="H267" s="3" t="s">
        <v>25</v>
      </c>
      <c r="I267" s="6">
        <v>44501</v>
      </c>
      <c r="J267" s="4">
        <v>0</v>
      </c>
      <c r="K267" s="4">
        <v>0</v>
      </c>
      <c r="L267" s="4">
        <v>-8.7420000000000009</v>
      </c>
      <c r="M267" s="4">
        <v>-8.7420000000000009</v>
      </c>
      <c r="N267" s="4">
        <v>-8.7420000000000009</v>
      </c>
      <c r="O267" s="4">
        <v>-8.7420000000000009</v>
      </c>
      <c r="P267" s="4">
        <v>0</v>
      </c>
      <c r="Q267" s="3" t="s">
        <v>26</v>
      </c>
      <c r="R267" s="3">
        <v>0</v>
      </c>
      <c r="S267" s="3">
        <v>0</v>
      </c>
      <c r="T267" s="3">
        <v>32</v>
      </c>
      <c r="U267" s="3">
        <v>72</v>
      </c>
      <c r="V267" s="4">
        <f>IF(ISERROR(VLOOKUP($S$267,'TAR FIN'!$A$1:$O$91,15,0)),0,VLOOKUP($S$267,'TAR FIN'!$A$1:$O$91,15,0))</f>
        <v>0</v>
      </c>
      <c r="W267" s="4">
        <f>IF(ISERROR(VLOOKUP($T$267,'TAR FIN'!$A$1:$O$91,15,0)),0,VLOOKUP($T$267,'TAR FIN'!$A$1:$O$91,15,0))</f>
        <v>357.74</v>
      </c>
      <c r="X267" s="4">
        <f>IF(ISERROR(VLOOKUP($U$267,'TAR FIN'!$A$1:$O$91,15,0)),0,VLOOKUP($U$267,'TAR FIN'!$A$1:$O$91,15,0))</f>
        <v>175.15</v>
      </c>
      <c r="Y267" s="4"/>
      <c r="Z267" s="4">
        <f ca="1">('TUSD BE'!$AM$36+'TUSD BF'!$AM$36+'TUSD CVA'!$AM$36)*(1-CUSTOS!$M$38)</f>
        <v>419.26134561460873</v>
      </c>
      <c r="AA267" s="4">
        <f>('TE BE'!$AB$27+'TE BF'!$AB$27+'TE CVA'!$AB$27)*(1-CUSTOS!$M$38)</f>
        <v>193.19190075421278</v>
      </c>
      <c r="AB267" s="4">
        <f t="shared" si="18"/>
        <v>0</v>
      </c>
      <c r="AC267" s="4">
        <f>(L267-M267)*(W267+X267)+($W$110+$X$110-$W$267-$X$267)*(L267)</f>
        <v>-635.19371999999953</v>
      </c>
      <c r="AD267" s="4">
        <f t="shared" si="19"/>
        <v>0</v>
      </c>
      <c r="AE267" s="4">
        <f ca="1">(L267-M267)*(Z267+AA267)+($Z$110+$AA$110-$Z$267-$AA$267)*(L267)</f>
        <v>-341.7489114738031</v>
      </c>
      <c r="AF267" s="3" t="s">
        <v>777</v>
      </c>
    </row>
    <row r="268" spans="1:32" ht="11.25" customHeight="1" x14ac:dyDescent="0.3">
      <c r="A268" s="3" t="s">
        <v>28</v>
      </c>
      <c r="B268" s="3" t="s">
        <v>42</v>
      </c>
      <c r="C268" s="3" t="s">
        <v>23</v>
      </c>
      <c r="D268" s="3" t="s">
        <v>43</v>
      </c>
      <c r="E268" s="3" t="s">
        <v>25</v>
      </c>
      <c r="F268" s="3" t="s">
        <v>25</v>
      </c>
      <c r="G268" s="3" t="s">
        <v>25</v>
      </c>
      <c r="H268" s="3" t="s">
        <v>25</v>
      </c>
      <c r="I268" s="6">
        <v>44501</v>
      </c>
      <c r="J268" s="4">
        <v>0</v>
      </c>
      <c r="K268" s="4">
        <v>0</v>
      </c>
      <c r="L268" s="4">
        <v>16.164999999999999</v>
      </c>
      <c r="M268" s="4">
        <v>16.164999999999999</v>
      </c>
      <c r="N268" s="4">
        <v>16.164999999999999</v>
      </c>
      <c r="O268" s="4">
        <v>16.164999999999999</v>
      </c>
      <c r="P268" s="4">
        <v>47</v>
      </c>
      <c r="Q268" s="3" t="s">
        <v>26</v>
      </c>
      <c r="R268" s="3">
        <v>0</v>
      </c>
      <c r="S268" s="3">
        <v>0</v>
      </c>
      <c r="T268" s="3">
        <v>32</v>
      </c>
      <c r="U268" s="3">
        <v>72</v>
      </c>
      <c r="V268" s="4">
        <f>IF(ISERROR(VLOOKUP($S$268,'TAR FIN'!$A$1:$O$91,15,0)),0,VLOOKUP($S$268,'TAR FIN'!$A$1:$O$91,15,0))</f>
        <v>0</v>
      </c>
      <c r="W268" s="4">
        <f>IF(ISERROR(VLOOKUP($T$268,'TAR FIN'!$A$1:$O$91,15,0)),0,VLOOKUP($T$268,'TAR FIN'!$A$1:$O$91,15,0))</f>
        <v>357.74</v>
      </c>
      <c r="X268" s="4">
        <f>IF(ISERROR(VLOOKUP($U$268,'TAR FIN'!$A$1:$O$91,15,0)),0,VLOOKUP($U$268,'TAR FIN'!$A$1:$O$91,15,0))</f>
        <v>175.15</v>
      </c>
      <c r="Y268" s="4"/>
      <c r="Z268" s="4">
        <f ca="1">('TUSD BE'!$AM$36+'TUSD BF'!$AM$36+'TUSD CVA'!$AM$36)*(1-CUSTOS!$M$38)</f>
        <v>419.26134561460873</v>
      </c>
      <c r="AA268" s="4">
        <f>('TE BE'!$AB$27+'TE BF'!$AB$27+'TE CVA'!$AB$27)*(1-CUSTOS!$M$38)</f>
        <v>193.19190075421278</v>
      </c>
      <c r="AB268" s="4">
        <f t="shared" si="18"/>
        <v>0</v>
      </c>
      <c r="AC268" s="4">
        <f>(L268-M268)*(W268+X268)+($W$110+$X$110-$W$268-$X$268)*(L268)</f>
        <v>1174.5488999999989</v>
      </c>
      <c r="AD268" s="4">
        <f t="shared" si="19"/>
        <v>0</v>
      </c>
      <c r="AE268" s="4">
        <f ca="1">(L268-M268)*(Z268+AA268)+($Z$110+$AA$110-$Z$268-$AA$268)*(L268)</f>
        <v>631.9344719714054</v>
      </c>
      <c r="AF268" s="3" t="s">
        <v>777</v>
      </c>
    </row>
    <row r="269" spans="1:32" ht="11.25" customHeight="1" x14ac:dyDescent="0.3">
      <c r="A269" s="3" t="s">
        <v>21</v>
      </c>
      <c r="B269" s="3" t="s">
        <v>42</v>
      </c>
      <c r="C269" s="3" t="s">
        <v>23</v>
      </c>
      <c r="D269" s="3" t="s">
        <v>43</v>
      </c>
      <c r="E269" s="3" t="s">
        <v>25</v>
      </c>
      <c r="F269" s="3" t="s">
        <v>25</v>
      </c>
      <c r="G269" s="3" t="s">
        <v>25</v>
      </c>
      <c r="H269" s="3" t="s">
        <v>25</v>
      </c>
      <c r="I269" s="6">
        <v>44531</v>
      </c>
      <c r="J269" s="4">
        <v>0</v>
      </c>
      <c r="K269" s="4">
        <v>0</v>
      </c>
      <c r="L269" s="4">
        <v>1749.32</v>
      </c>
      <c r="M269" s="4">
        <v>1749.32</v>
      </c>
      <c r="N269" s="4">
        <v>1749.32</v>
      </c>
      <c r="O269" s="4">
        <v>1749.32</v>
      </c>
      <c r="P269" s="4">
        <v>4519</v>
      </c>
      <c r="Q269" s="3" t="s">
        <v>26</v>
      </c>
      <c r="R269" s="3">
        <v>0</v>
      </c>
      <c r="S269" s="3">
        <v>0</v>
      </c>
      <c r="T269" s="3">
        <v>32</v>
      </c>
      <c r="U269" s="3">
        <v>72</v>
      </c>
      <c r="V269" s="4">
        <f>IF(ISERROR(VLOOKUP($S$269,'TAR FIN'!$A$1:$O$91,15,0)),0,VLOOKUP($S$269,'TAR FIN'!$A$1:$O$91,15,0))</f>
        <v>0</v>
      </c>
      <c r="W269" s="4">
        <f>IF(ISERROR(VLOOKUP($T$269,'TAR FIN'!$A$1:$O$91,15,0)),0,VLOOKUP($T$269,'TAR FIN'!$A$1:$O$91,15,0))</f>
        <v>357.74</v>
      </c>
      <c r="X269" s="4">
        <f>IF(ISERROR(VLOOKUP($U$269,'TAR FIN'!$A$1:$O$91,15,0)),0,VLOOKUP($U$269,'TAR FIN'!$A$1:$O$91,15,0))</f>
        <v>175.15</v>
      </c>
      <c r="Y269" s="4"/>
      <c r="Z269" s="4">
        <f ca="1">('TUSD BE'!$AM$36+'TUSD BF'!$AM$36+'TUSD CVA'!$AM$36)*(1-CUSTOS!$M$38)</f>
        <v>419.26134561460873</v>
      </c>
      <c r="AA269" s="4">
        <f>('TE BE'!$AB$27+'TE BF'!$AB$27+'TE CVA'!$AB$27)*(1-CUSTOS!$M$38)</f>
        <v>193.19190075421278</v>
      </c>
      <c r="AB269" s="4">
        <f t="shared" si="18"/>
        <v>0</v>
      </c>
      <c r="AC269" s="4">
        <f>(L269-M269)*(W269+X269)+($W$110+$X$110-$W$269-$X$269)*(L269)</f>
        <v>127105.59119999989</v>
      </c>
      <c r="AD269" s="4">
        <f t="shared" si="19"/>
        <v>0</v>
      </c>
      <c r="AE269" s="4">
        <f ca="1">(L269-M269)*(Z269+AA269)+($Z$110+$AA$110-$Z$269-$AA$269)*(L269)</f>
        <v>68385.747634334606</v>
      </c>
      <c r="AF269" s="3" t="s">
        <v>777</v>
      </c>
    </row>
    <row r="270" spans="1:32" ht="11.25" customHeight="1" x14ac:dyDescent="0.3">
      <c r="A270" s="3" t="s">
        <v>27</v>
      </c>
      <c r="B270" s="3" t="s">
        <v>42</v>
      </c>
      <c r="C270" s="3" t="s">
        <v>23</v>
      </c>
      <c r="D270" s="3" t="s">
        <v>43</v>
      </c>
      <c r="E270" s="3" t="s">
        <v>25</v>
      </c>
      <c r="F270" s="3" t="s">
        <v>25</v>
      </c>
      <c r="G270" s="3" t="s">
        <v>25</v>
      </c>
      <c r="H270" s="3" t="s">
        <v>25</v>
      </c>
      <c r="I270" s="6">
        <v>44531</v>
      </c>
      <c r="J270" s="4">
        <v>0</v>
      </c>
      <c r="K270" s="4">
        <v>0</v>
      </c>
      <c r="L270" s="4">
        <v>3.4449999999999998</v>
      </c>
      <c r="M270" s="4">
        <v>3.4449999999999998</v>
      </c>
      <c r="N270" s="4">
        <v>3.4449999999999998</v>
      </c>
      <c r="O270" s="4">
        <v>3.4449999999999998</v>
      </c>
      <c r="P270" s="4">
        <v>0</v>
      </c>
      <c r="Q270" s="3" t="s">
        <v>26</v>
      </c>
      <c r="R270" s="3">
        <v>0</v>
      </c>
      <c r="S270" s="3">
        <v>0</v>
      </c>
      <c r="T270" s="3">
        <v>32</v>
      </c>
      <c r="U270" s="3">
        <v>72</v>
      </c>
      <c r="V270" s="4">
        <f>IF(ISERROR(VLOOKUP($S$270,'TAR FIN'!$A$1:$O$91,15,0)),0,VLOOKUP($S$270,'TAR FIN'!$A$1:$O$91,15,0))</f>
        <v>0</v>
      </c>
      <c r="W270" s="4">
        <f>IF(ISERROR(VLOOKUP($T$270,'TAR FIN'!$A$1:$O$91,15,0)),0,VLOOKUP($T$270,'TAR FIN'!$A$1:$O$91,15,0))</f>
        <v>357.74</v>
      </c>
      <c r="X270" s="4">
        <f>IF(ISERROR(VLOOKUP($U$270,'TAR FIN'!$A$1:$O$91,15,0)),0,VLOOKUP($U$270,'TAR FIN'!$A$1:$O$91,15,0))</f>
        <v>175.15</v>
      </c>
      <c r="Y270" s="4"/>
      <c r="Z270" s="4">
        <f ca="1">('TUSD BE'!$AM$36+'TUSD BF'!$AM$36+'TUSD CVA'!$AM$36)*(1-CUSTOS!$M$38)</f>
        <v>419.26134561460873</v>
      </c>
      <c r="AA270" s="4">
        <f>('TE BE'!$AB$27+'TE BF'!$AB$27+'TE CVA'!$AB$27)*(1-CUSTOS!$M$38)</f>
        <v>193.19190075421278</v>
      </c>
      <c r="AB270" s="4">
        <f t="shared" si="18"/>
        <v>0</v>
      </c>
      <c r="AC270" s="4">
        <f>(L270-M270)*(W270+X270)+($W$110+$X$110-$W$270-$X$270)*(L270)</f>
        <v>250.31369999999978</v>
      </c>
      <c r="AD270" s="4">
        <f t="shared" si="19"/>
        <v>0</v>
      </c>
      <c r="AE270" s="4">
        <f ca="1">(L270-M270)*(Z270+AA270)+($Z$110+$AA$110-$Z$270-$AA$270)*(L270)</f>
        <v>134.67455960046345</v>
      </c>
      <c r="AF270" s="3" t="s">
        <v>777</v>
      </c>
    </row>
    <row r="271" spans="1:32" ht="11.25" customHeight="1" x14ac:dyDescent="0.3">
      <c r="A271" s="3" t="s">
        <v>28</v>
      </c>
      <c r="B271" s="3" t="s">
        <v>42</v>
      </c>
      <c r="C271" s="3" t="s">
        <v>23</v>
      </c>
      <c r="D271" s="3" t="s">
        <v>43</v>
      </c>
      <c r="E271" s="3" t="s">
        <v>25</v>
      </c>
      <c r="F271" s="3" t="s">
        <v>25</v>
      </c>
      <c r="G271" s="3" t="s">
        <v>25</v>
      </c>
      <c r="H271" s="3" t="s">
        <v>25</v>
      </c>
      <c r="I271" s="6">
        <v>44531</v>
      </c>
      <c r="J271" s="4">
        <v>0</v>
      </c>
      <c r="K271" s="4">
        <v>0</v>
      </c>
      <c r="L271" s="4">
        <v>26.19</v>
      </c>
      <c r="M271" s="4">
        <v>26.19</v>
      </c>
      <c r="N271" s="4">
        <v>26.19</v>
      </c>
      <c r="O271" s="4">
        <v>26.19</v>
      </c>
      <c r="P271" s="4">
        <v>49</v>
      </c>
      <c r="Q271" s="3" t="s">
        <v>26</v>
      </c>
      <c r="R271" s="3">
        <v>0</v>
      </c>
      <c r="S271" s="3">
        <v>0</v>
      </c>
      <c r="T271" s="3">
        <v>32</v>
      </c>
      <c r="U271" s="3">
        <v>72</v>
      </c>
      <c r="V271" s="4">
        <f>IF(ISERROR(VLOOKUP($S$271,'TAR FIN'!$A$1:$O$91,15,0)),0,VLOOKUP($S$271,'TAR FIN'!$A$1:$O$91,15,0))</f>
        <v>0</v>
      </c>
      <c r="W271" s="4">
        <f>IF(ISERROR(VLOOKUP($T$271,'TAR FIN'!$A$1:$O$91,15,0)),0,VLOOKUP($T$271,'TAR FIN'!$A$1:$O$91,15,0))</f>
        <v>357.74</v>
      </c>
      <c r="X271" s="4">
        <f>IF(ISERROR(VLOOKUP($U$271,'TAR FIN'!$A$1:$O$91,15,0)),0,VLOOKUP($U$271,'TAR FIN'!$A$1:$O$91,15,0))</f>
        <v>175.15</v>
      </c>
      <c r="Y271" s="4"/>
      <c r="Z271" s="4">
        <f ca="1">('TUSD BE'!$AM$36+'TUSD BF'!$AM$36+'TUSD CVA'!$AM$36)*(1-CUSTOS!$M$38)</f>
        <v>419.26134561460873</v>
      </c>
      <c r="AA271" s="4">
        <f>('TE BE'!$AB$27+'TE BF'!$AB$27+'TE CVA'!$AB$27)*(1-CUSTOS!$M$38)</f>
        <v>193.19190075421278</v>
      </c>
      <c r="AB271" s="4">
        <f t="shared" si="18"/>
        <v>0</v>
      </c>
      <c r="AC271" s="4">
        <f>(L271-M271)*(W271+X271)+($W$110+$X$110-$W$271-$X$271)*(L271)</f>
        <v>1902.9653999999985</v>
      </c>
      <c r="AD271" s="4">
        <f t="shared" si="19"/>
        <v>0</v>
      </c>
      <c r="AE271" s="4">
        <f ca="1">(L271-M271)*(Z271+AA271)+($Z$110+$AA$110-$Z$271-$AA$271)*(L271)</f>
        <v>1023.8393950467745</v>
      </c>
      <c r="AF271" s="3" t="s">
        <v>777</v>
      </c>
    </row>
    <row r="272" spans="1:32" ht="11.25" customHeight="1" x14ac:dyDescent="0.3">
      <c r="A272" s="3" t="s">
        <v>21</v>
      </c>
      <c r="B272" s="3" t="s">
        <v>42</v>
      </c>
      <c r="C272" s="3" t="s">
        <v>23</v>
      </c>
      <c r="D272" s="3" t="s">
        <v>43</v>
      </c>
      <c r="E272" s="3" t="s">
        <v>25</v>
      </c>
      <c r="F272" s="3" t="s">
        <v>25</v>
      </c>
      <c r="G272" s="3" t="s">
        <v>25</v>
      </c>
      <c r="H272" s="3" t="s">
        <v>25</v>
      </c>
      <c r="I272" s="6">
        <v>44562</v>
      </c>
      <c r="J272" s="4">
        <v>0</v>
      </c>
      <c r="K272" s="4">
        <v>0</v>
      </c>
      <c r="L272" s="4">
        <v>2106.8679999999999</v>
      </c>
      <c r="M272" s="4">
        <v>2106.8679999999999</v>
      </c>
      <c r="N272" s="4">
        <v>2106.8679999999999</v>
      </c>
      <c r="O272" s="4">
        <v>2106.8679999999999</v>
      </c>
      <c r="P272" s="4">
        <v>4514</v>
      </c>
      <c r="Q272" s="3" t="s">
        <v>26</v>
      </c>
      <c r="R272" s="3">
        <v>0</v>
      </c>
      <c r="S272" s="3">
        <v>0</v>
      </c>
      <c r="T272" s="3">
        <v>32</v>
      </c>
      <c r="U272" s="3">
        <v>72</v>
      </c>
      <c r="V272" s="4">
        <f>IF(ISERROR(VLOOKUP($S$272,'TAR FIN'!$A$1:$O$91,15,0)),0,VLOOKUP($S$272,'TAR FIN'!$A$1:$O$91,15,0))</f>
        <v>0</v>
      </c>
      <c r="W272" s="4">
        <f>IF(ISERROR(VLOOKUP($T$272,'TAR FIN'!$A$1:$O$91,15,0)),0,VLOOKUP($T$272,'TAR FIN'!$A$1:$O$91,15,0))</f>
        <v>357.74</v>
      </c>
      <c r="X272" s="4">
        <f>IF(ISERROR(VLOOKUP($U$272,'TAR FIN'!$A$1:$O$91,15,0)),0,VLOOKUP($U$272,'TAR FIN'!$A$1:$O$91,15,0))</f>
        <v>175.15</v>
      </c>
      <c r="Y272" s="4"/>
      <c r="Z272" s="4">
        <f ca="1">('TUSD BE'!$AM$36+'TUSD BF'!$AM$36+'TUSD CVA'!$AM$36)*(1-CUSTOS!$M$38)</f>
        <v>419.26134561460873</v>
      </c>
      <c r="AA272" s="4">
        <f>('TE BE'!$AB$27+'TE BF'!$AB$27+'TE CVA'!$AB$27)*(1-CUSTOS!$M$38)</f>
        <v>193.19190075421278</v>
      </c>
      <c r="AB272" s="4">
        <f t="shared" si="18"/>
        <v>0</v>
      </c>
      <c r="AC272" s="4">
        <f>(L272-M272)*(W272+X272)+($W$110+$X$110-$W$272-$X$272)*(L272)</f>
        <v>153085.02887999988</v>
      </c>
      <c r="AD272" s="4">
        <f t="shared" si="19"/>
        <v>0</v>
      </c>
      <c r="AE272" s="4">
        <f ca="1">(L272-M272)*(Z272+AA272)+($Z$110+$AA$110-$Z$272-$AA$272)*(L272)</f>
        <v>82363.285932165236</v>
      </c>
      <c r="AF272" s="3" t="s">
        <v>777</v>
      </c>
    </row>
    <row r="273" spans="1:32" ht="11.25" customHeight="1" x14ac:dyDescent="0.3">
      <c r="A273" s="3" t="s">
        <v>27</v>
      </c>
      <c r="B273" s="3" t="s">
        <v>42</v>
      </c>
      <c r="C273" s="3" t="s">
        <v>23</v>
      </c>
      <c r="D273" s="3" t="s">
        <v>43</v>
      </c>
      <c r="E273" s="3" t="s">
        <v>25</v>
      </c>
      <c r="F273" s="3" t="s">
        <v>25</v>
      </c>
      <c r="G273" s="3" t="s">
        <v>25</v>
      </c>
      <c r="H273" s="3" t="s">
        <v>25</v>
      </c>
      <c r="I273" s="6">
        <v>44562</v>
      </c>
      <c r="J273" s="4">
        <v>0</v>
      </c>
      <c r="K273" s="4">
        <v>0</v>
      </c>
      <c r="L273" s="4">
        <v>1.38</v>
      </c>
      <c r="M273" s="4">
        <v>1.38</v>
      </c>
      <c r="N273" s="4">
        <v>1.38</v>
      </c>
      <c r="O273" s="4">
        <v>1.38</v>
      </c>
      <c r="P273" s="4">
        <v>0</v>
      </c>
      <c r="Q273" s="3" t="s">
        <v>26</v>
      </c>
      <c r="R273" s="3">
        <v>0</v>
      </c>
      <c r="S273" s="3">
        <v>0</v>
      </c>
      <c r="T273" s="3">
        <v>32</v>
      </c>
      <c r="U273" s="3">
        <v>72</v>
      </c>
      <c r="V273" s="4">
        <f>IF(ISERROR(VLOOKUP($S$273,'TAR FIN'!$A$1:$O$91,15,0)),0,VLOOKUP($S$273,'TAR FIN'!$A$1:$O$91,15,0))</f>
        <v>0</v>
      </c>
      <c r="W273" s="4">
        <f>IF(ISERROR(VLOOKUP($T$273,'TAR FIN'!$A$1:$O$91,15,0)),0,VLOOKUP($T$273,'TAR FIN'!$A$1:$O$91,15,0))</f>
        <v>357.74</v>
      </c>
      <c r="X273" s="4">
        <f>IF(ISERROR(VLOOKUP($U$273,'TAR FIN'!$A$1:$O$91,15,0)),0,VLOOKUP($U$273,'TAR FIN'!$A$1:$O$91,15,0))</f>
        <v>175.15</v>
      </c>
      <c r="Y273" s="4"/>
      <c r="Z273" s="4">
        <f ca="1">('TUSD BE'!$AM$36+'TUSD BF'!$AM$36+'TUSD CVA'!$AM$36)*(1-CUSTOS!$M$38)</f>
        <v>419.26134561460873</v>
      </c>
      <c r="AA273" s="4">
        <f>('TE BE'!$AB$27+'TE BF'!$AB$27+'TE CVA'!$AB$27)*(1-CUSTOS!$M$38)</f>
        <v>193.19190075421278</v>
      </c>
      <c r="AB273" s="4">
        <f t="shared" si="18"/>
        <v>0</v>
      </c>
      <c r="AC273" s="4">
        <f>(L273-M273)*(W273+X273)+($W$110+$X$110-$W$273-$X$273)*(L273)</f>
        <v>100.27079999999991</v>
      </c>
      <c r="AD273" s="4">
        <f t="shared" si="19"/>
        <v>0</v>
      </c>
      <c r="AE273" s="4">
        <f ca="1">(L273-M273)*(Z273+AA273)+($Z$110+$AA$110-$Z$273-$AA$273)*(L273)</f>
        <v>53.948009360998419</v>
      </c>
      <c r="AF273" s="3" t="s">
        <v>777</v>
      </c>
    </row>
    <row r="274" spans="1:32" ht="11.25" customHeight="1" x14ac:dyDescent="0.3">
      <c r="A274" s="3" t="s">
        <v>28</v>
      </c>
      <c r="B274" s="3" t="s">
        <v>42</v>
      </c>
      <c r="C274" s="3" t="s">
        <v>23</v>
      </c>
      <c r="D274" s="3" t="s">
        <v>43</v>
      </c>
      <c r="E274" s="3" t="s">
        <v>25</v>
      </c>
      <c r="F274" s="3" t="s">
        <v>25</v>
      </c>
      <c r="G274" s="3" t="s">
        <v>25</v>
      </c>
      <c r="H274" s="3" t="s">
        <v>25</v>
      </c>
      <c r="I274" s="6">
        <v>44562</v>
      </c>
      <c r="J274" s="4">
        <v>0</v>
      </c>
      <c r="K274" s="4">
        <v>0</v>
      </c>
      <c r="L274" s="4">
        <v>26.847999999999999</v>
      </c>
      <c r="M274" s="4">
        <v>26.847999999999999</v>
      </c>
      <c r="N274" s="4">
        <v>26.847999999999999</v>
      </c>
      <c r="O274" s="4">
        <v>26.847999999999999</v>
      </c>
      <c r="P274" s="4">
        <v>50</v>
      </c>
      <c r="Q274" s="3" t="s">
        <v>26</v>
      </c>
      <c r="R274" s="3">
        <v>0</v>
      </c>
      <c r="S274" s="3">
        <v>0</v>
      </c>
      <c r="T274" s="3">
        <v>32</v>
      </c>
      <c r="U274" s="3">
        <v>72</v>
      </c>
      <c r="V274" s="4">
        <f>IF(ISERROR(VLOOKUP($S$274,'TAR FIN'!$A$1:$O$91,15,0)),0,VLOOKUP($S$274,'TAR FIN'!$A$1:$O$91,15,0))</f>
        <v>0</v>
      </c>
      <c r="W274" s="4">
        <f>IF(ISERROR(VLOOKUP($T$274,'TAR FIN'!$A$1:$O$91,15,0)),0,VLOOKUP($T$274,'TAR FIN'!$A$1:$O$91,15,0))</f>
        <v>357.74</v>
      </c>
      <c r="X274" s="4">
        <f>IF(ISERROR(VLOOKUP($U$274,'TAR FIN'!$A$1:$O$91,15,0)),0,VLOOKUP($U$274,'TAR FIN'!$A$1:$O$91,15,0))</f>
        <v>175.15</v>
      </c>
      <c r="Y274" s="4"/>
      <c r="Z274" s="4">
        <f ca="1">('TUSD BE'!$AM$36+'TUSD BF'!$AM$36+'TUSD CVA'!$AM$36)*(1-CUSTOS!$M$38)</f>
        <v>419.26134561460873</v>
      </c>
      <c r="AA274" s="4">
        <f>('TE BE'!$AB$27+'TE BF'!$AB$27+'TE CVA'!$AB$27)*(1-CUSTOS!$M$38)</f>
        <v>193.19190075421278</v>
      </c>
      <c r="AB274" s="4">
        <f t="shared" si="18"/>
        <v>0</v>
      </c>
      <c r="AC274" s="4">
        <f>(L274-M274)*(W274+X274)+($W$110+$X$110-$W$274-$X$274)*(L274)</f>
        <v>1950.7756799999984</v>
      </c>
      <c r="AD274" s="4">
        <f t="shared" si="19"/>
        <v>0</v>
      </c>
      <c r="AE274" s="4">
        <f ca="1">(L274-M274)*(Z274+AA274)+($Z$110+$AA$110-$Z$274-$AA$274)*(L274)</f>
        <v>1049.5624313942649</v>
      </c>
      <c r="AF274" s="3" t="s">
        <v>777</v>
      </c>
    </row>
    <row r="275" spans="1:32" ht="11.25" customHeight="1" x14ac:dyDescent="0.3">
      <c r="A275" s="3" t="s">
        <v>21</v>
      </c>
      <c r="B275" s="3" t="s">
        <v>42</v>
      </c>
      <c r="C275" s="3" t="s">
        <v>23</v>
      </c>
      <c r="D275" s="3" t="s">
        <v>43</v>
      </c>
      <c r="E275" s="3" t="s">
        <v>25</v>
      </c>
      <c r="F275" s="3" t="s">
        <v>25</v>
      </c>
      <c r="G275" s="3" t="s">
        <v>25</v>
      </c>
      <c r="H275" s="3" t="s">
        <v>25</v>
      </c>
      <c r="I275" s="6">
        <v>44593</v>
      </c>
      <c r="J275" s="4">
        <v>0</v>
      </c>
      <c r="K275" s="4">
        <v>0</v>
      </c>
      <c r="L275" s="4">
        <v>2103.116</v>
      </c>
      <c r="M275" s="4">
        <v>2103.116</v>
      </c>
      <c r="N275" s="4">
        <v>2103.116</v>
      </c>
      <c r="O275" s="4">
        <v>2103.116</v>
      </c>
      <c r="P275" s="4">
        <v>4485</v>
      </c>
      <c r="Q275" s="3" t="s">
        <v>26</v>
      </c>
      <c r="R275" s="3">
        <v>0</v>
      </c>
      <c r="S275" s="3">
        <v>0</v>
      </c>
      <c r="T275" s="3">
        <v>32</v>
      </c>
      <c r="U275" s="3">
        <v>72</v>
      </c>
      <c r="V275" s="4">
        <f>IF(ISERROR(VLOOKUP($S$275,'TAR FIN'!$A$1:$O$91,15,0)),0,VLOOKUP($S$275,'TAR FIN'!$A$1:$O$91,15,0))</f>
        <v>0</v>
      </c>
      <c r="W275" s="4">
        <f>IF(ISERROR(VLOOKUP($T$275,'TAR FIN'!$A$1:$O$91,15,0)),0,VLOOKUP($T$275,'TAR FIN'!$A$1:$O$91,15,0))</f>
        <v>357.74</v>
      </c>
      <c r="X275" s="4">
        <f>IF(ISERROR(VLOOKUP($U$275,'TAR FIN'!$A$1:$O$91,15,0)),0,VLOOKUP($U$275,'TAR FIN'!$A$1:$O$91,15,0))</f>
        <v>175.15</v>
      </c>
      <c r="Y275" s="4"/>
      <c r="Z275" s="4">
        <f ca="1">('TUSD BE'!$AM$36+'TUSD BF'!$AM$36+'TUSD CVA'!$AM$36)*(1-CUSTOS!$M$38)</f>
        <v>419.26134561460873</v>
      </c>
      <c r="AA275" s="4">
        <f>('TE BE'!$AB$27+'TE BF'!$AB$27+'TE CVA'!$AB$27)*(1-CUSTOS!$M$38)</f>
        <v>193.19190075421278</v>
      </c>
      <c r="AB275" s="4">
        <f t="shared" si="18"/>
        <v>0</v>
      </c>
      <c r="AC275" s="4">
        <f>(L275-M275)*(W275+X275)+($W$110+$X$110-$W$275-$X$275)*(L275)</f>
        <v>152812.40855999987</v>
      </c>
      <c r="AD275" s="4">
        <f t="shared" si="19"/>
        <v>0</v>
      </c>
      <c r="AE275" s="4">
        <f ca="1">(L275-M275)*(Z275+AA275)+($Z$110+$AA$110-$Z$275-$AA$275)*(L275)</f>
        <v>82216.609895119967</v>
      </c>
      <c r="AF275" s="3" t="s">
        <v>777</v>
      </c>
    </row>
    <row r="276" spans="1:32" ht="11.25" customHeight="1" x14ac:dyDescent="0.3">
      <c r="A276" s="3" t="s">
        <v>27</v>
      </c>
      <c r="B276" s="3" t="s">
        <v>42</v>
      </c>
      <c r="C276" s="3" t="s">
        <v>23</v>
      </c>
      <c r="D276" s="3" t="s">
        <v>43</v>
      </c>
      <c r="E276" s="3" t="s">
        <v>25</v>
      </c>
      <c r="F276" s="3" t="s">
        <v>25</v>
      </c>
      <c r="G276" s="3" t="s">
        <v>25</v>
      </c>
      <c r="H276" s="3" t="s">
        <v>25</v>
      </c>
      <c r="I276" s="6">
        <v>44593</v>
      </c>
      <c r="J276" s="4">
        <v>0</v>
      </c>
      <c r="K276" s="4">
        <v>0</v>
      </c>
      <c r="L276" s="4">
        <v>15.670999999999999</v>
      </c>
      <c r="M276" s="4">
        <v>15.670999999999999</v>
      </c>
      <c r="N276" s="4">
        <v>15.670999999999999</v>
      </c>
      <c r="O276" s="4">
        <v>15.670999999999999</v>
      </c>
      <c r="P276" s="4">
        <v>0</v>
      </c>
      <c r="Q276" s="3" t="s">
        <v>26</v>
      </c>
      <c r="R276" s="3">
        <v>0</v>
      </c>
      <c r="S276" s="3">
        <v>0</v>
      </c>
      <c r="T276" s="3">
        <v>32</v>
      </c>
      <c r="U276" s="3">
        <v>72</v>
      </c>
      <c r="V276" s="4">
        <f>IF(ISERROR(VLOOKUP($S$276,'TAR FIN'!$A$1:$O$91,15,0)),0,VLOOKUP($S$276,'TAR FIN'!$A$1:$O$91,15,0))</f>
        <v>0</v>
      </c>
      <c r="W276" s="4">
        <f>IF(ISERROR(VLOOKUP($T$276,'TAR FIN'!$A$1:$O$91,15,0)),0,VLOOKUP($T$276,'TAR FIN'!$A$1:$O$91,15,0))</f>
        <v>357.74</v>
      </c>
      <c r="X276" s="4">
        <f>IF(ISERROR(VLOOKUP($U$276,'TAR FIN'!$A$1:$O$91,15,0)),0,VLOOKUP($U$276,'TAR FIN'!$A$1:$O$91,15,0))</f>
        <v>175.15</v>
      </c>
      <c r="Y276" s="4"/>
      <c r="Z276" s="4">
        <f ca="1">('TUSD BE'!$AM$36+'TUSD BF'!$AM$36+'TUSD CVA'!$AM$36)*(1-CUSTOS!$M$38)</f>
        <v>419.26134561460873</v>
      </c>
      <c r="AA276" s="4">
        <f>('TE BE'!$AB$27+'TE BF'!$AB$27+'TE CVA'!$AB$27)*(1-CUSTOS!$M$38)</f>
        <v>193.19190075421278</v>
      </c>
      <c r="AB276" s="4">
        <f t="shared" si="18"/>
        <v>0</v>
      </c>
      <c r="AC276" s="4">
        <f>(L276-M276)*(W276+X276)+($W$110+$X$110-$W$276-$X$276)*(L276)</f>
        <v>1138.654859999999</v>
      </c>
      <c r="AD276" s="4">
        <f t="shared" si="19"/>
        <v>0</v>
      </c>
      <c r="AE276" s="4">
        <f ca="1">(L276-M276)*(Z276+AA276)+($Z$110+$AA$110-$Z$276-$AA$276)*(L276)</f>
        <v>612.6226483305843</v>
      </c>
      <c r="AF276" s="3" t="s">
        <v>777</v>
      </c>
    </row>
    <row r="277" spans="1:32" ht="11.25" customHeight="1" x14ac:dyDescent="0.3">
      <c r="A277" s="3" t="s">
        <v>28</v>
      </c>
      <c r="B277" s="3" t="s">
        <v>42</v>
      </c>
      <c r="C277" s="3" t="s">
        <v>23</v>
      </c>
      <c r="D277" s="3" t="s">
        <v>43</v>
      </c>
      <c r="E277" s="3" t="s">
        <v>25</v>
      </c>
      <c r="F277" s="3" t="s">
        <v>25</v>
      </c>
      <c r="G277" s="3" t="s">
        <v>25</v>
      </c>
      <c r="H277" s="3" t="s">
        <v>25</v>
      </c>
      <c r="I277" s="6">
        <v>44593</v>
      </c>
      <c r="J277" s="4">
        <v>0</v>
      </c>
      <c r="K277" s="4">
        <v>0</v>
      </c>
      <c r="L277" s="4">
        <v>17.902999999999999</v>
      </c>
      <c r="M277" s="4">
        <v>17.902999999999999</v>
      </c>
      <c r="N277" s="4">
        <v>17.902999999999999</v>
      </c>
      <c r="O277" s="4">
        <v>17.902999999999999</v>
      </c>
      <c r="P277" s="4">
        <v>50</v>
      </c>
      <c r="Q277" s="3" t="s">
        <v>26</v>
      </c>
      <c r="R277" s="3">
        <v>0</v>
      </c>
      <c r="S277" s="3">
        <v>0</v>
      </c>
      <c r="T277" s="3">
        <v>32</v>
      </c>
      <c r="U277" s="3">
        <v>72</v>
      </c>
      <c r="V277" s="4">
        <f>IF(ISERROR(VLOOKUP($S$277,'TAR FIN'!$A$1:$O$91,15,0)),0,VLOOKUP($S$277,'TAR FIN'!$A$1:$O$91,15,0))</f>
        <v>0</v>
      </c>
      <c r="W277" s="4">
        <f>IF(ISERROR(VLOOKUP($T$277,'TAR FIN'!$A$1:$O$91,15,0)),0,VLOOKUP($T$277,'TAR FIN'!$A$1:$O$91,15,0))</f>
        <v>357.74</v>
      </c>
      <c r="X277" s="4">
        <f>IF(ISERROR(VLOOKUP($U$277,'TAR FIN'!$A$1:$O$91,15,0)),0,VLOOKUP($U$277,'TAR FIN'!$A$1:$O$91,15,0))</f>
        <v>175.15</v>
      </c>
      <c r="Y277" s="4"/>
      <c r="Z277" s="4">
        <f ca="1">('TUSD BE'!$AM$36+'TUSD BF'!$AM$36+'TUSD CVA'!$AM$36)*(1-CUSTOS!$M$38)</f>
        <v>419.26134561460873</v>
      </c>
      <c r="AA277" s="4">
        <f>('TE BE'!$AB$27+'TE BF'!$AB$27+'TE CVA'!$AB$27)*(1-CUSTOS!$M$38)</f>
        <v>193.19190075421278</v>
      </c>
      <c r="AB277" s="4">
        <f t="shared" si="18"/>
        <v>0</v>
      </c>
      <c r="AC277" s="4">
        <f>(L277-M277)*(W277+X277)+($W$110+$X$110-$W$277-$X$277)*(L277)</f>
        <v>1300.8319799999988</v>
      </c>
      <c r="AD277" s="4">
        <f t="shared" si="19"/>
        <v>0</v>
      </c>
      <c r="AE277" s="4">
        <f ca="1">(L277-M277)*(Z277+AA277)+($Z$110+$AA$110-$Z$277-$AA$277)*(L277)</f>
        <v>699.8776895579382</v>
      </c>
      <c r="AF277" s="3" t="s">
        <v>777</v>
      </c>
    </row>
    <row r="278" spans="1:32" ht="11.25" customHeight="1" x14ac:dyDescent="0.3">
      <c r="A278" s="3" t="s">
        <v>21</v>
      </c>
      <c r="B278" s="3" t="s">
        <v>42</v>
      </c>
      <c r="C278" s="3" t="s">
        <v>23</v>
      </c>
      <c r="D278" s="3" t="s">
        <v>43</v>
      </c>
      <c r="E278" s="3" t="s">
        <v>25</v>
      </c>
      <c r="F278" s="3" t="s">
        <v>25</v>
      </c>
      <c r="G278" s="3" t="s">
        <v>25</v>
      </c>
      <c r="H278" s="3" t="s">
        <v>25</v>
      </c>
      <c r="I278" s="6">
        <v>44621</v>
      </c>
      <c r="J278" s="4">
        <v>0</v>
      </c>
      <c r="K278" s="4">
        <v>0</v>
      </c>
      <c r="L278" s="4">
        <v>1813.027</v>
      </c>
      <c r="M278" s="4">
        <v>1813.027</v>
      </c>
      <c r="N278" s="4">
        <v>1813.027</v>
      </c>
      <c r="O278" s="4">
        <v>1813.027</v>
      </c>
      <c r="P278" s="4">
        <v>4493</v>
      </c>
      <c r="Q278" s="3" t="s">
        <v>26</v>
      </c>
      <c r="R278" s="3">
        <v>0</v>
      </c>
      <c r="S278" s="3">
        <v>0</v>
      </c>
      <c r="T278" s="3">
        <v>32</v>
      </c>
      <c r="U278" s="3">
        <v>72</v>
      </c>
      <c r="V278" s="4">
        <f>IF(ISERROR(VLOOKUP($S$278,'TAR FIN'!$A$1:$O$91,15,0)),0,VLOOKUP($S$278,'TAR FIN'!$A$1:$O$91,15,0))</f>
        <v>0</v>
      </c>
      <c r="W278" s="4">
        <f>IF(ISERROR(VLOOKUP($T$278,'TAR FIN'!$A$1:$O$91,15,0)),0,VLOOKUP($T$278,'TAR FIN'!$A$1:$O$91,15,0))</f>
        <v>357.74</v>
      </c>
      <c r="X278" s="4">
        <f>IF(ISERROR(VLOOKUP($U$278,'TAR FIN'!$A$1:$O$91,15,0)),0,VLOOKUP($U$278,'TAR FIN'!$A$1:$O$91,15,0))</f>
        <v>175.15</v>
      </c>
      <c r="Y278" s="4"/>
      <c r="Z278" s="4">
        <f ca="1">('TUSD BE'!$AM$36+'TUSD BF'!$AM$36+'TUSD CVA'!$AM$36)*(1-CUSTOS!$M$38)</f>
        <v>419.26134561460873</v>
      </c>
      <c r="AA278" s="4">
        <f>('TE BE'!$AB$27+'TE BF'!$AB$27+'TE CVA'!$AB$27)*(1-CUSTOS!$M$38)</f>
        <v>193.19190075421278</v>
      </c>
      <c r="AB278" s="4">
        <f t="shared" si="18"/>
        <v>0</v>
      </c>
      <c r="AC278" s="4">
        <f>(L278-M278)*(W278+X278)+($W$110+$X$110-$W$278-$X$278)*(L278)</f>
        <v>131734.5418199999</v>
      </c>
      <c r="AD278" s="4">
        <f t="shared" si="19"/>
        <v>0</v>
      </c>
      <c r="AE278" s="4">
        <f ca="1">(L278-M278)*(Z278+AA278)+($Z$110+$AA$110-$Z$278-$AA$278)*(L278)</f>
        <v>70876.230121552813</v>
      </c>
      <c r="AF278" s="3" t="s">
        <v>777</v>
      </c>
    </row>
    <row r="279" spans="1:32" ht="11.25" customHeight="1" x14ac:dyDescent="0.3">
      <c r="A279" s="3" t="s">
        <v>27</v>
      </c>
      <c r="B279" s="3" t="s">
        <v>42</v>
      </c>
      <c r="C279" s="3" t="s">
        <v>23</v>
      </c>
      <c r="D279" s="3" t="s">
        <v>43</v>
      </c>
      <c r="E279" s="3" t="s">
        <v>25</v>
      </c>
      <c r="F279" s="3" t="s">
        <v>25</v>
      </c>
      <c r="G279" s="3" t="s">
        <v>25</v>
      </c>
      <c r="H279" s="3" t="s">
        <v>25</v>
      </c>
      <c r="I279" s="6">
        <v>44621</v>
      </c>
      <c r="J279" s="4">
        <v>0</v>
      </c>
      <c r="K279" s="4">
        <v>0</v>
      </c>
      <c r="L279" s="4">
        <v>1.29</v>
      </c>
      <c r="M279" s="4">
        <v>1.29</v>
      </c>
      <c r="N279" s="4">
        <v>1.29</v>
      </c>
      <c r="O279" s="4">
        <v>1.29</v>
      </c>
      <c r="P279" s="4">
        <v>0</v>
      </c>
      <c r="Q279" s="3" t="s">
        <v>26</v>
      </c>
      <c r="R279" s="3">
        <v>0</v>
      </c>
      <c r="S279" s="3">
        <v>0</v>
      </c>
      <c r="T279" s="3">
        <v>32</v>
      </c>
      <c r="U279" s="3">
        <v>72</v>
      </c>
      <c r="V279" s="4">
        <f>IF(ISERROR(VLOOKUP($S$279,'TAR FIN'!$A$1:$O$91,15,0)),0,VLOOKUP($S$279,'TAR FIN'!$A$1:$O$91,15,0))</f>
        <v>0</v>
      </c>
      <c r="W279" s="4">
        <f>IF(ISERROR(VLOOKUP($T$279,'TAR FIN'!$A$1:$O$91,15,0)),0,VLOOKUP($T$279,'TAR FIN'!$A$1:$O$91,15,0))</f>
        <v>357.74</v>
      </c>
      <c r="X279" s="4">
        <f>IF(ISERROR(VLOOKUP($U$279,'TAR FIN'!$A$1:$O$91,15,0)),0,VLOOKUP($U$279,'TAR FIN'!$A$1:$O$91,15,0))</f>
        <v>175.15</v>
      </c>
      <c r="Y279" s="4"/>
      <c r="Z279" s="4">
        <f ca="1">('TUSD BE'!$AM$36+'TUSD BF'!$AM$36+'TUSD CVA'!$AM$36)*(1-CUSTOS!$M$38)</f>
        <v>419.26134561460873</v>
      </c>
      <c r="AA279" s="4">
        <f>('TE BE'!$AB$27+'TE BF'!$AB$27+'TE CVA'!$AB$27)*(1-CUSTOS!$M$38)</f>
        <v>193.19190075421278</v>
      </c>
      <c r="AB279" s="4">
        <f t="shared" si="18"/>
        <v>0</v>
      </c>
      <c r="AC279" s="4">
        <f>(L279-M279)*(W279+X279)+($W$110+$X$110-$W$279-$X$279)*(L279)</f>
        <v>93.731399999999923</v>
      </c>
      <c r="AD279" s="4">
        <f t="shared" si="19"/>
        <v>0</v>
      </c>
      <c r="AE279" s="4">
        <f ca="1">(L279-M279)*(Z279+AA279)+($Z$110+$AA$110-$Z$279-$AA$279)*(L279)</f>
        <v>50.429660924411571</v>
      </c>
      <c r="AF279" s="3" t="s">
        <v>777</v>
      </c>
    </row>
    <row r="280" spans="1:32" ht="11.25" customHeight="1" x14ac:dyDescent="0.3">
      <c r="A280" s="3" t="s">
        <v>28</v>
      </c>
      <c r="B280" s="3" t="s">
        <v>42</v>
      </c>
      <c r="C280" s="3" t="s">
        <v>23</v>
      </c>
      <c r="D280" s="3" t="s">
        <v>43</v>
      </c>
      <c r="E280" s="3" t="s">
        <v>25</v>
      </c>
      <c r="F280" s="3" t="s">
        <v>25</v>
      </c>
      <c r="G280" s="3" t="s">
        <v>25</v>
      </c>
      <c r="H280" s="3" t="s">
        <v>25</v>
      </c>
      <c r="I280" s="6">
        <v>44621</v>
      </c>
      <c r="J280" s="4">
        <v>0</v>
      </c>
      <c r="K280" s="4">
        <v>0</v>
      </c>
      <c r="L280" s="4">
        <v>34.594000000000001</v>
      </c>
      <c r="M280" s="4">
        <v>34.594000000000001</v>
      </c>
      <c r="N280" s="4">
        <v>34.594000000000001</v>
      </c>
      <c r="O280" s="4">
        <v>34.594000000000001</v>
      </c>
      <c r="P280" s="4">
        <v>45</v>
      </c>
      <c r="Q280" s="3" t="s">
        <v>26</v>
      </c>
      <c r="R280" s="3">
        <v>0</v>
      </c>
      <c r="S280" s="3">
        <v>0</v>
      </c>
      <c r="T280" s="3">
        <v>32</v>
      </c>
      <c r="U280" s="3">
        <v>72</v>
      </c>
      <c r="V280" s="4">
        <f>IF(ISERROR(VLOOKUP($S$280,'TAR FIN'!$A$1:$O$91,15,0)),0,VLOOKUP($S$280,'TAR FIN'!$A$1:$O$91,15,0))</f>
        <v>0</v>
      </c>
      <c r="W280" s="4">
        <f>IF(ISERROR(VLOOKUP($T$280,'TAR FIN'!$A$1:$O$91,15,0)),0,VLOOKUP($T$280,'TAR FIN'!$A$1:$O$91,15,0))</f>
        <v>357.74</v>
      </c>
      <c r="X280" s="4">
        <f>IF(ISERROR(VLOOKUP($U$280,'TAR FIN'!$A$1:$O$91,15,0)),0,VLOOKUP($U$280,'TAR FIN'!$A$1:$O$91,15,0))</f>
        <v>175.15</v>
      </c>
      <c r="Y280" s="4"/>
      <c r="Z280" s="4">
        <f ca="1">('TUSD BE'!$AM$36+'TUSD BF'!$AM$36+'TUSD CVA'!$AM$36)*(1-CUSTOS!$M$38)</f>
        <v>419.26134561460873</v>
      </c>
      <c r="AA280" s="4">
        <f>('TE BE'!$AB$27+'TE BF'!$AB$27+'TE CVA'!$AB$27)*(1-CUSTOS!$M$38)</f>
        <v>193.19190075421278</v>
      </c>
      <c r="AB280" s="4">
        <f t="shared" si="18"/>
        <v>0</v>
      </c>
      <c r="AC280" s="4">
        <f>(L280-M280)*(W280+X280)+($W$110+$X$110-$W$280-$X$280)*(L280)</f>
        <v>2513.600039999998</v>
      </c>
      <c r="AD280" s="4">
        <f t="shared" si="19"/>
        <v>0</v>
      </c>
      <c r="AE280" s="4">
        <f ca="1">(L280-M280)*(Z280+AA280)+($Z$110+$AA$110-$Z$280-$AA$280)*(L280)</f>
        <v>1352.3749535031736</v>
      </c>
      <c r="AF280" s="3" t="s">
        <v>777</v>
      </c>
    </row>
    <row r="281" spans="1:32" ht="11.25" customHeight="1" x14ac:dyDescent="0.3">
      <c r="A281" s="3" t="s">
        <v>21</v>
      </c>
      <c r="B281" s="3" t="s">
        <v>42</v>
      </c>
      <c r="C281" s="3" t="s">
        <v>23</v>
      </c>
      <c r="D281" s="3" t="s">
        <v>43</v>
      </c>
      <c r="E281" s="3" t="s">
        <v>25</v>
      </c>
      <c r="F281" s="3" t="s">
        <v>25</v>
      </c>
      <c r="G281" s="3" t="s">
        <v>25</v>
      </c>
      <c r="H281" s="3" t="s">
        <v>25</v>
      </c>
      <c r="I281" s="6">
        <v>44652</v>
      </c>
      <c r="J281" s="4">
        <v>0</v>
      </c>
      <c r="K281" s="4">
        <v>0</v>
      </c>
      <c r="L281" s="4">
        <v>1764.9369999999999</v>
      </c>
      <c r="M281" s="4">
        <v>1764.9369999999999</v>
      </c>
      <c r="N281" s="4">
        <v>1764.9369999999999</v>
      </c>
      <c r="O281" s="4">
        <v>1764.9369999999999</v>
      </c>
      <c r="P281" s="4">
        <v>4502</v>
      </c>
      <c r="Q281" s="3" t="s">
        <v>26</v>
      </c>
      <c r="R281" s="3">
        <v>0</v>
      </c>
      <c r="S281" s="3">
        <v>0</v>
      </c>
      <c r="T281" s="3">
        <v>32</v>
      </c>
      <c r="U281" s="3">
        <v>72</v>
      </c>
      <c r="V281" s="4">
        <f>IF(ISERROR(VLOOKUP($S$281,'TAR FIN'!$A$1:$O$91,15,0)),0,VLOOKUP($S$281,'TAR FIN'!$A$1:$O$91,15,0))</f>
        <v>0</v>
      </c>
      <c r="W281" s="4">
        <f>IF(ISERROR(VLOOKUP($T$281,'TAR FIN'!$A$1:$O$91,15,0)),0,VLOOKUP($T$281,'TAR FIN'!$A$1:$O$91,15,0))</f>
        <v>357.74</v>
      </c>
      <c r="X281" s="4">
        <f>IF(ISERROR(VLOOKUP($U$281,'TAR FIN'!$A$1:$O$91,15,0)),0,VLOOKUP($U$281,'TAR FIN'!$A$1:$O$91,15,0))</f>
        <v>175.15</v>
      </c>
      <c r="Y281" s="4"/>
      <c r="Z281" s="4">
        <f ca="1">('TUSD BE'!$AM$36+'TUSD BF'!$AM$36+'TUSD CVA'!$AM$36)*(1-CUSTOS!$M$38)</f>
        <v>419.26134561460873</v>
      </c>
      <c r="AA281" s="4">
        <f>('TE BE'!$AB$27+'TE BF'!$AB$27+'TE CVA'!$AB$27)*(1-CUSTOS!$M$38)</f>
        <v>193.19190075421278</v>
      </c>
      <c r="AB281" s="4">
        <f t="shared" si="18"/>
        <v>0</v>
      </c>
      <c r="AC281" s="4">
        <f>(L281-M281)*(W281+X281)+($W$110+$X$110-$W$281-$X$281)*(L281)</f>
        <v>128240.32241999988</v>
      </c>
      <c r="AD281" s="4">
        <f t="shared" si="19"/>
        <v>0</v>
      </c>
      <c r="AE281" s="4">
        <f ca="1">(L281-M281)*(Z281+AA281)+($Z$110+$AA$110-$Z$281-$AA$281)*(L281)</f>
        <v>68996.259273603238</v>
      </c>
      <c r="AF281" s="3" t="s">
        <v>777</v>
      </c>
    </row>
    <row r="282" spans="1:32" ht="11.25" customHeight="1" x14ac:dyDescent="0.3">
      <c r="A282" s="3" t="s">
        <v>27</v>
      </c>
      <c r="B282" s="3" t="s">
        <v>42</v>
      </c>
      <c r="C282" s="3" t="s">
        <v>23</v>
      </c>
      <c r="D282" s="3" t="s">
        <v>43</v>
      </c>
      <c r="E282" s="3" t="s">
        <v>25</v>
      </c>
      <c r="F282" s="3" t="s">
        <v>25</v>
      </c>
      <c r="G282" s="3" t="s">
        <v>25</v>
      </c>
      <c r="H282" s="3" t="s">
        <v>25</v>
      </c>
      <c r="I282" s="6">
        <v>44652</v>
      </c>
      <c r="J282" s="4">
        <v>0</v>
      </c>
      <c r="K282" s="4">
        <v>0</v>
      </c>
      <c r="L282" s="4">
        <v>-3.8220000000000001</v>
      </c>
      <c r="M282" s="4">
        <v>-3.8220000000000001</v>
      </c>
      <c r="N282" s="4">
        <v>-3.8220000000000001</v>
      </c>
      <c r="O282" s="4">
        <v>-3.8220000000000001</v>
      </c>
      <c r="P282" s="4">
        <v>0</v>
      </c>
      <c r="Q282" s="3" t="s">
        <v>26</v>
      </c>
      <c r="R282" s="3">
        <v>0</v>
      </c>
      <c r="S282" s="3">
        <v>0</v>
      </c>
      <c r="T282" s="3">
        <v>32</v>
      </c>
      <c r="U282" s="3">
        <v>72</v>
      </c>
      <c r="V282" s="4">
        <f>IF(ISERROR(VLOOKUP($S$282,'TAR FIN'!$A$1:$O$91,15,0)),0,VLOOKUP($S$282,'TAR FIN'!$A$1:$O$91,15,0))</f>
        <v>0</v>
      </c>
      <c r="W282" s="4">
        <f>IF(ISERROR(VLOOKUP($T$282,'TAR FIN'!$A$1:$O$91,15,0)),0,VLOOKUP($T$282,'TAR FIN'!$A$1:$O$91,15,0))</f>
        <v>357.74</v>
      </c>
      <c r="X282" s="4">
        <f>IF(ISERROR(VLOOKUP($U$282,'TAR FIN'!$A$1:$O$91,15,0)),0,VLOOKUP($U$282,'TAR FIN'!$A$1:$O$91,15,0))</f>
        <v>175.15</v>
      </c>
      <c r="Y282" s="4"/>
      <c r="Z282" s="4">
        <f ca="1">('TUSD BE'!$AM$36+'TUSD BF'!$AM$36+'TUSD CVA'!$AM$36)*(1-CUSTOS!$M$38)</f>
        <v>419.26134561460873</v>
      </c>
      <c r="AA282" s="4">
        <f>('TE BE'!$AB$27+'TE BF'!$AB$27+'TE CVA'!$AB$27)*(1-CUSTOS!$M$38)</f>
        <v>193.19190075421278</v>
      </c>
      <c r="AB282" s="4">
        <f t="shared" si="18"/>
        <v>0</v>
      </c>
      <c r="AC282" s="4">
        <f>(L282-M282)*(W282+X282)+($W$110+$X$110-$W$282-$X$282)*(L282)</f>
        <v>-277.70651999999978</v>
      </c>
      <c r="AD282" s="4">
        <f t="shared" si="19"/>
        <v>0</v>
      </c>
      <c r="AE282" s="4">
        <f ca="1">(L282-M282)*(Z282+AA282)+($Z$110+$AA$110-$Z$282-$AA$282)*(L282)</f>
        <v>-149.41253027372173</v>
      </c>
      <c r="AF282" s="3" t="s">
        <v>777</v>
      </c>
    </row>
    <row r="283" spans="1:32" ht="11.25" customHeight="1" x14ac:dyDescent="0.3">
      <c r="A283" s="3" t="s">
        <v>28</v>
      </c>
      <c r="B283" s="3" t="s">
        <v>42</v>
      </c>
      <c r="C283" s="3" t="s">
        <v>23</v>
      </c>
      <c r="D283" s="3" t="s">
        <v>43</v>
      </c>
      <c r="E283" s="3" t="s">
        <v>25</v>
      </c>
      <c r="F283" s="3" t="s">
        <v>25</v>
      </c>
      <c r="G283" s="3" t="s">
        <v>25</v>
      </c>
      <c r="H283" s="3" t="s">
        <v>25</v>
      </c>
      <c r="I283" s="6">
        <v>44652</v>
      </c>
      <c r="J283" s="4">
        <v>0</v>
      </c>
      <c r="K283" s="4">
        <v>0</v>
      </c>
      <c r="L283" s="4">
        <v>25.048999999999999</v>
      </c>
      <c r="M283" s="4">
        <v>25.048999999999999</v>
      </c>
      <c r="N283" s="4">
        <v>25.048999999999999</v>
      </c>
      <c r="O283" s="4">
        <v>25.048999999999999</v>
      </c>
      <c r="P283" s="4">
        <v>40</v>
      </c>
      <c r="Q283" s="3" t="s">
        <v>26</v>
      </c>
      <c r="R283" s="3">
        <v>0</v>
      </c>
      <c r="S283" s="3">
        <v>0</v>
      </c>
      <c r="T283" s="3">
        <v>32</v>
      </c>
      <c r="U283" s="3">
        <v>72</v>
      </c>
      <c r="V283" s="4">
        <f>IF(ISERROR(VLOOKUP($S$283,'TAR FIN'!$A$1:$O$91,15,0)),0,VLOOKUP($S$283,'TAR FIN'!$A$1:$O$91,15,0))</f>
        <v>0</v>
      </c>
      <c r="W283" s="4">
        <f>IF(ISERROR(VLOOKUP($T$283,'TAR FIN'!$A$1:$O$91,15,0)),0,VLOOKUP($T$283,'TAR FIN'!$A$1:$O$91,15,0))</f>
        <v>357.74</v>
      </c>
      <c r="X283" s="4">
        <f>IF(ISERROR(VLOOKUP($U$283,'TAR FIN'!$A$1:$O$91,15,0)),0,VLOOKUP($U$283,'TAR FIN'!$A$1:$O$91,15,0))</f>
        <v>175.15</v>
      </c>
      <c r="Y283" s="4"/>
      <c r="Z283" s="4">
        <f ca="1">('TUSD BE'!$AM$36+'TUSD BF'!$AM$36+'TUSD CVA'!$AM$36)*(1-CUSTOS!$M$38)</f>
        <v>419.26134561460873</v>
      </c>
      <c r="AA283" s="4">
        <f>('TE BE'!$AB$27+'TE BF'!$AB$27+'TE CVA'!$AB$27)*(1-CUSTOS!$M$38)</f>
        <v>193.19190075421278</v>
      </c>
      <c r="AB283" s="4">
        <f t="shared" si="18"/>
        <v>0</v>
      </c>
      <c r="AC283" s="4">
        <f>(L283-M283)*(W283+X283)+($W$110+$X$110-$W$283-$X$283)*(L283)</f>
        <v>1820.0603399999984</v>
      </c>
      <c r="AD283" s="4">
        <f t="shared" si="19"/>
        <v>0</v>
      </c>
      <c r="AE283" s="4">
        <f ca="1">(L283-M283)*(Z283+AA283)+($Z$110+$AA$110-$Z$283-$AA$283)*(L283)</f>
        <v>979.23455542293436</v>
      </c>
      <c r="AF283" s="3" t="s">
        <v>777</v>
      </c>
    </row>
    <row r="284" spans="1:32" ht="11.25" customHeight="1" x14ac:dyDescent="0.3">
      <c r="A284" s="3" t="s">
        <v>21</v>
      </c>
      <c r="B284" s="3" t="s">
        <v>42</v>
      </c>
      <c r="C284" s="3" t="s">
        <v>23</v>
      </c>
      <c r="D284" s="3" t="s">
        <v>43</v>
      </c>
      <c r="E284" s="3" t="s">
        <v>25</v>
      </c>
      <c r="F284" s="3" t="s">
        <v>25</v>
      </c>
      <c r="G284" s="3" t="s">
        <v>25</v>
      </c>
      <c r="H284" s="3" t="s">
        <v>25</v>
      </c>
      <c r="I284" s="6">
        <v>44682</v>
      </c>
      <c r="J284" s="4">
        <v>0</v>
      </c>
      <c r="K284" s="4">
        <v>0</v>
      </c>
      <c r="L284" s="4">
        <v>1466.04</v>
      </c>
      <c r="M284" s="4">
        <v>1466.04</v>
      </c>
      <c r="N284" s="4">
        <v>1466.04</v>
      </c>
      <c r="O284" s="4">
        <v>1466.04</v>
      </c>
      <c r="P284" s="4">
        <v>4505</v>
      </c>
      <c r="Q284" s="3" t="s">
        <v>26</v>
      </c>
      <c r="R284" s="3">
        <v>0</v>
      </c>
      <c r="S284" s="3">
        <v>0</v>
      </c>
      <c r="T284" s="3">
        <v>32</v>
      </c>
      <c r="U284" s="3">
        <v>72</v>
      </c>
      <c r="V284" s="4">
        <f>IF(ISERROR(VLOOKUP($S$284,'TAR FIN'!$A$1:$O$91,15,0)),0,VLOOKUP($S$284,'TAR FIN'!$A$1:$O$91,15,0))</f>
        <v>0</v>
      </c>
      <c r="W284" s="4">
        <f>IF(ISERROR(VLOOKUP($T$284,'TAR FIN'!$A$1:$O$91,15,0)),0,VLOOKUP($T$284,'TAR FIN'!$A$1:$O$91,15,0))</f>
        <v>357.74</v>
      </c>
      <c r="X284" s="4">
        <f>IF(ISERROR(VLOOKUP($U$284,'TAR FIN'!$A$1:$O$91,15,0)),0,VLOOKUP($U$284,'TAR FIN'!$A$1:$O$91,15,0))</f>
        <v>175.15</v>
      </c>
      <c r="Y284" s="4"/>
      <c r="Z284" s="4">
        <f ca="1">('TUSD BE'!$AM$36+'TUSD BF'!$AM$36+'TUSD CVA'!$AM$36)*(1-CUSTOS!$M$38)</f>
        <v>419.26134561460873</v>
      </c>
      <c r="AA284" s="4">
        <f>('TE BE'!$AB$27+'TE BF'!$AB$27+'TE CVA'!$AB$27)*(1-CUSTOS!$M$38)</f>
        <v>193.19190075421278</v>
      </c>
      <c r="AB284" s="4">
        <f t="shared" si="18"/>
        <v>0</v>
      </c>
      <c r="AC284" s="4">
        <f>(L284-M284)*(W284+X284)+($W$110+$X$110-$W$284-$X$284)*(L284)</f>
        <v>106522.4663999999</v>
      </c>
      <c r="AD284" s="4">
        <f t="shared" si="19"/>
        <v>0</v>
      </c>
      <c r="AE284" s="4">
        <f ca="1">(L284-M284)*(Z284+AA284)+($Z$110+$AA$110-$Z$284-$AA$284)*(L284)</f>
        <v>57311.550466375455</v>
      </c>
      <c r="AF284" s="3" t="s">
        <v>777</v>
      </c>
    </row>
    <row r="285" spans="1:32" ht="11.25" customHeight="1" x14ac:dyDescent="0.3">
      <c r="A285" s="3" t="s">
        <v>27</v>
      </c>
      <c r="B285" s="3" t="s">
        <v>42</v>
      </c>
      <c r="C285" s="3" t="s">
        <v>23</v>
      </c>
      <c r="D285" s="3" t="s">
        <v>43</v>
      </c>
      <c r="E285" s="3" t="s">
        <v>25</v>
      </c>
      <c r="F285" s="3" t="s">
        <v>25</v>
      </c>
      <c r="G285" s="3" t="s">
        <v>25</v>
      </c>
      <c r="H285" s="3" t="s">
        <v>25</v>
      </c>
      <c r="I285" s="6">
        <v>44682</v>
      </c>
      <c r="J285" s="4">
        <v>0</v>
      </c>
      <c r="K285" s="4">
        <v>0</v>
      </c>
      <c r="L285" s="4">
        <v>0.58299999999999996</v>
      </c>
      <c r="M285" s="4">
        <v>0.58299999999999996</v>
      </c>
      <c r="N285" s="4">
        <v>0.58299999999999996</v>
      </c>
      <c r="O285" s="4">
        <v>0.58299999999999996</v>
      </c>
      <c r="P285" s="4">
        <v>0</v>
      </c>
      <c r="Q285" s="3" t="s">
        <v>26</v>
      </c>
      <c r="R285" s="3">
        <v>0</v>
      </c>
      <c r="S285" s="3">
        <v>0</v>
      </c>
      <c r="T285" s="3">
        <v>32</v>
      </c>
      <c r="U285" s="3">
        <v>72</v>
      </c>
      <c r="V285" s="4">
        <f>IF(ISERROR(VLOOKUP($S$285,'TAR FIN'!$A$1:$O$91,15,0)),0,VLOOKUP($S$285,'TAR FIN'!$A$1:$O$91,15,0))</f>
        <v>0</v>
      </c>
      <c r="W285" s="4">
        <f>IF(ISERROR(VLOOKUP($T$285,'TAR FIN'!$A$1:$O$91,15,0)),0,VLOOKUP($T$285,'TAR FIN'!$A$1:$O$91,15,0))</f>
        <v>357.74</v>
      </c>
      <c r="X285" s="4">
        <f>IF(ISERROR(VLOOKUP($U$285,'TAR FIN'!$A$1:$O$91,15,0)),0,VLOOKUP($U$285,'TAR FIN'!$A$1:$O$91,15,0))</f>
        <v>175.15</v>
      </c>
      <c r="Y285" s="4"/>
      <c r="Z285" s="4">
        <f ca="1">('TUSD BE'!$AM$36+'TUSD BF'!$AM$36+'TUSD CVA'!$AM$36)*(1-CUSTOS!$M$38)</f>
        <v>419.26134561460873</v>
      </c>
      <c r="AA285" s="4">
        <f>('TE BE'!$AB$27+'TE BF'!$AB$27+'TE CVA'!$AB$27)*(1-CUSTOS!$M$38)</f>
        <v>193.19190075421278</v>
      </c>
      <c r="AB285" s="4">
        <f t="shared" si="18"/>
        <v>0</v>
      </c>
      <c r="AC285" s="4">
        <f>(L285-M285)*(W285+X285)+($W$110+$X$110-$W$285-$X$285)*(L285)</f>
        <v>42.360779999999963</v>
      </c>
      <c r="AD285" s="4">
        <f t="shared" si="19"/>
        <v>0</v>
      </c>
      <c r="AE285" s="4">
        <f ca="1">(L285-M285)*(Z285+AA285)+($Z$110+$AA$110-$Z$285-$AA$285)*(L285)</f>
        <v>22.791079317001508</v>
      </c>
      <c r="AF285" s="3" t="s">
        <v>777</v>
      </c>
    </row>
    <row r="286" spans="1:32" ht="11.25" customHeight="1" x14ac:dyDescent="0.3">
      <c r="A286" s="3" t="s">
        <v>28</v>
      </c>
      <c r="B286" s="3" t="s">
        <v>42</v>
      </c>
      <c r="C286" s="3" t="s">
        <v>23</v>
      </c>
      <c r="D286" s="3" t="s">
        <v>43</v>
      </c>
      <c r="E286" s="3" t="s">
        <v>25</v>
      </c>
      <c r="F286" s="3" t="s">
        <v>25</v>
      </c>
      <c r="G286" s="3" t="s">
        <v>25</v>
      </c>
      <c r="H286" s="3" t="s">
        <v>25</v>
      </c>
      <c r="I286" s="6">
        <v>44682</v>
      </c>
      <c r="J286" s="4">
        <v>0</v>
      </c>
      <c r="K286" s="4">
        <v>0</v>
      </c>
      <c r="L286" s="4">
        <v>14.222</v>
      </c>
      <c r="M286" s="4">
        <v>14.222</v>
      </c>
      <c r="N286" s="4">
        <v>14.222</v>
      </c>
      <c r="O286" s="4">
        <v>14.222</v>
      </c>
      <c r="P286" s="4">
        <v>48</v>
      </c>
      <c r="Q286" s="3" t="s">
        <v>26</v>
      </c>
      <c r="R286" s="3">
        <v>0</v>
      </c>
      <c r="S286" s="3">
        <v>0</v>
      </c>
      <c r="T286" s="3">
        <v>32</v>
      </c>
      <c r="U286" s="3">
        <v>72</v>
      </c>
      <c r="V286" s="4">
        <f>IF(ISERROR(VLOOKUP($S$286,'TAR FIN'!$A$1:$O$91,15,0)),0,VLOOKUP($S$286,'TAR FIN'!$A$1:$O$91,15,0))</f>
        <v>0</v>
      </c>
      <c r="W286" s="4">
        <f>IF(ISERROR(VLOOKUP($T$286,'TAR FIN'!$A$1:$O$91,15,0)),0,VLOOKUP($T$286,'TAR FIN'!$A$1:$O$91,15,0))</f>
        <v>357.74</v>
      </c>
      <c r="X286" s="4">
        <f>IF(ISERROR(VLOOKUP($U$286,'TAR FIN'!$A$1:$O$91,15,0)),0,VLOOKUP($U$286,'TAR FIN'!$A$1:$O$91,15,0))</f>
        <v>175.15</v>
      </c>
      <c r="Y286" s="4"/>
      <c r="Z286" s="4">
        <f ca="1">('TUSD BE'!$AM$36+'TUSD BF'!$AM$36+'TUSD CVA'!$AM$36)*(1-CUSTOS!$M$38)</f>
        <v>419.26134561460873</v>
      </c>
      <c r="AA286" s="4">
        <f>('TE BE'!$AB$27+'TE BF'!$AB$27+'TE CVA'!$AB$27)*(1-CUSTOS!$M$38)</f>
        <v>193.19190075421278</v>
      </c>
      <c r="AB286" s="4">
        <f t="shared" si="18"/>
        <v>0</v>
      </c>
      <c r="AC286" s="4">
        <f>(L286-M286)*(W286+X286)+($W$110+$X$110-$W$286-$X$286)*(L286)</f>
        <v>1033.370519999999</v>
      </c>
      <c r="AD286" s="4">
        <f t="shared" si="19"/>
        <v>0</v>
      </c>
      <c r="AE286" s="4">
        <f ca="1">(L286-M286)*(Z286+AA286)+($Z$110+$AA$110-$Z$286-$AA$286)*(L286)</f>
        <v>555.97723850153591</v>
      </c>
      <c r="AF286" s="3" t="s">
        <v>777</v>
      </c>
    </row>
    <row r="287" spans="1:32" ht="11.25" customHeight="1" x14ac:dyDescent="0.3">
      <c r="A287" s="3" t="s">
        <v>21</v>
      </c>
      <c r="B287" s="3" t="s">
        <v>42</v>
      </c>
      <c r="C287" s="3" t="s">
        <v>23</v>
      </c>
      <c r="D287" s="3" t="s">
        <v>43</v>
      </c>
      <c r="E287" s="3" t="s">
        <v>25</v>
      </c>
      <c r="F287" s="3" t="s">
        <v>25</v>
      </c>
      <c r="G287" s="3" t="s">
        <v>25</v>
      </c>
      <c r="H287" s="3" t="s">
        <v>25</v>
      </c>
      <c r="I287" s="6">
        <v>44713</v>
      </c>
      <c r="J287" s="4">
        <v>0</v>
      </c>
      <c r="K287" s="4">
        <v>0</v>
      </c>
      <c r="L287" s="4">
        <v>1335.79</v>
      </c>
      <c r="M287" s="4">
        <v>1335.79</v>
      </c>
      <c r="N287" s="4">
        <v>1335.79</v>
      </c>
      <c r="O287" s="4">
        <v>1335.79</v>
      </c>
      <c r="P287" s="4">
        <v>4496</v>
      </c>
      <c r="Q287" s="3" t="s">
        <v>26</v>
      </c>
      <c r="R287" s="3">
        <v>0</v>
      </c>
      <c r="S287" s="3">
        <v>0</v>
      </c>
      <c r="T287" s="3">
        <v>32</v>
      </c>
      <c r="U287" s="3">
        <v>72</v>
      </c>
      <c r="V287" s="4">
        <f>IF(ISERROR(VLOOKUP($S$287,'TAR FIN'!$A$1:$O$91,15,0)),0,VLOOKUP($S$287,'TAR FIN'!$A$1:$O$91,15,0))</f>
        <v>0</v>
      </c>
      <c r="W287" s="4">
        <f>IF(ISERROR(VLOOKUP($T$287,'TAR FIN'!$A$1:$O$91,15,0)),0,VLOOKUP($T$287,'TAR FIN'!$A$1:$O$91,15,0))</f>
        <v>357.74</v>
      </c>
      <c r="X287" s="4">
        <f>IF(ISERROR(VLOOKUP($U$287,'TAR FIN'!$A$1:$O$91,15,0)),0,VLOOKUP($U$287,'TAR FIN'!$A$1:$O$91,15,0))</f>
        <v>175.15</v>
      </c>
      <c r="Y287" s="4"/>
      <c r="Z287" s="4">
        <f ca="1">('TUSD BE'!$AM$36+'TUSD BF'!$AM$36+'TUSD CVA'!$AM$36)*(1-CUSTOS!$M$38)</f>
        <v>419.26134561460873</v>
      </c>
      <c r="AA287" s="4">
        <f>('TE BE'!$AB$27+'TE BF'!$AB$27+'TE CVA'!$AB$27)*(1-CUSTOS!$M$38)</f>
        <v>193.19190075421278</v>
      </c>
      <c r="AB287" s="4">
        <f t="shared" si="18"/>
        <v>0</v>
      </c>
      <c r="AC287" s="4">
        <f>(L287-M287)*(W287+X287)+($W$110+$X$110-$W$287-$X$287)*(L287)</f>
        <v>97058.501399999921</v>
      </c>
      <c r="AD287" s="4">
        <f t="shared" si="19"/>
        <v>0</v>
      </c>
      <c r="AE287" s="4">
        <f ca="1">(L287-M287)*(Z287+AA287)+($Z$110+$AA$110-$Z$287-$AA$287)*(L287)</f>
        <v>52219.718423426144</v>
      </c>
      <c r="AF287" s="3" t="s">
        <v>777</v>
      </c>
    </row>
    <row r="288" spans="1:32" ht="11.25" customHeight="1" x14ac:dyDescent="0.3">
      <c r="A288" s="3" t="s">
        <v>27</v>
      </c>
      <c r="B288" s="3" t="s">
        <v>42</v>
      </c>
      <c r="C288" s="3" t="s">
        <v>23</v>
      </c>
      <c r="D288" s="3" t="s">
        <v>43</v>
      </c>
      <c r="E288" s="3" t="s">
        <v>25</v>
      </c>
      <c r="F288" s="3" t="s">
        <v>25</v>
      </c>
      <c r="G288" s="3" t="s">
        <v>25</v>
      </c>
      <c r="H288" s="3" t="s">
        <v>25</v>
      </c>
      <c r="I288" s="6">
        <v>44713</v>
      </c>
      <c r="J288" s="4">
        <v>0</v>
      </c>
      <c r="K288" s="4">
        <v>0</v>
      </c>
      <c r="L288" s="4">
        <v>-2.8180000000000001</v>
      </c>
      <c r="M288" s="4">
        <v>-2.8180000000000001</v>
      </c>
      <c r="N288" s="4">
        <v>-2.8180000000000001</v>
      </c>
      <c r="O288" s="4">
        <v>-2.8180000000000001</v>
      </c>
      <c r="P288" s="4">
        <v>0</v>
      </c>
      <c r="Q288" s="3" t="s">
        <v>26</v>
      </c>
      <c r="R288" s="3">
        <v>0</v>
      </c>
      <c r="S288" s="3">
        <v>0</v>
      </c>
      <c r="T288" s="3">
        <v>32</v>
      </c>
      <c r="U288" s="3">
        <v>72</v>
      </c>
      <c r="V288" s="4">
        <f>IF(ISERROR(VLOOKUP($S$288,'TAR FIN'!$A$1:$O$91,15,0)),0,VLOOKUP($S$288,'TAR FIN'!$A$1:$O$91,15,0))</f>
        <v>0</v>
      </c>
      <c r="W288" s="4">
        <f>IF(ISERROR(VLOOKUP($T$288,'TAR FIN'!$A$1:$O$91,15,0)),0,VLOOKUP($T$288,'TAR FIN'!$A$1:$O$91,15,0))</f>
        <v>357.74</v>
      </c>
      <c r="X288" s="4">
        <f>IF(ISERROR(VLOOKUP($U$288,'TAR FIN'!$A$1:$O$91,15,0)),0,VLOOKUP($U$288,'TAR FIN'!$A$1:$O$91,15,0))</f>
        <v>175.15</v>
      </c>
      <c r="Y288" s="4"/>
      <c r="Z288" s="4">
        <f ca="1">('TUSD BE'!$AM$36+'TUSD BF'!$AM$36+'TUSD CVA'!$AM$36)*(1-CUSTOS!$M$38)</f>
        <v>419.26134561460873</v>
      </c>
      <c r="AA288" s="4">
        <f>('TE BE'!$AB$27+'TE BF'!$AB$27+'TE CVA'!$AB$27)*(1-CUSTOS!$M$38)</f>
        <v>193.19190075421278</v>
      </c>
      <c r="AB288" s="4">
        <f t="shared" si="18"/>
        <v>0</v>
      </c>
      <c r="AC288" s="4">
        <f>(L288-M288)*(W288+X288)+($W$110+$X$110-$W$288-$X$288)*(L288)</f>
        <v>-204.75587999999985</v>
      </c>
      <c r="AD288" s="4">
        <f t="shared" si="19"/>
        <v>0</v>
      </c>
      <c r="AE288" s="4">
        <f ca="1">(L288-M288)*(Z288+AA288)+($Z$110+$AA$110-$Z$288-$AA$288)*(L288)</f>
        <v>-110.16339882557504</v>
      </c>
      <c r="AF288" s="3" t="s">
        <v>777</v>
      </c>
    </row>
    <row r="289" spans="1:32" ht="11.25" customHeight="1" x14ac:dyDescent="0.3">
      <c r="A289" s="3" t="s">
        <v>28</v>
      </c>
      <c r="B289" s="3" t="s">
        <v>42</v>
      </c>
      <c r="C289" s="3" t="s">
        <v>23</v>
      </c>
      <c r="D289" s="3" t="s">
        <v>43</v>
      </c>
      <c r="E289" s="3" t="s">
        <v>25</v>
      </c>
      <c r="F289" s="3" t="s">
        <v>25</v>
      </c>
      <c r="G289" s="3" t="s">
        <v>25</v>
      </c>
      <c r="H289" s="3" t="s">
        <v>25</v>
      </c>
      <c r="I289" s="6">
        <v>44713</v>
      </c>
      <c r="J289" s="4">
        <v>0</v>
      </c>
      <c r="K289" s="4">
        <v>0</v>
      </c>
      <c r="L289" s="4">
        <v>22.350999999999999</v>
      </c>
      <c r="M289" s="4">
        <v>22.350999999999999</v>
      </c>
      <c r="N289" s="4">
        <v>22.350999999999999</v>
      </c>
      <c r="O289" s="4">
        <v>22.350999999999999</v>
      </c>
      <c r="P289" s="4">
        <v>52</v>
      </c>
      <c r="Q289" s="3" t="s">
        <v>26</v>
      </c>
      <c r="R289" s="3">
        <v>0</v>
      </c>
      <c r="S289" s="3">
        <v>0</v>
      </c>
      <c r="T289" s="3">
        <v>32</v>
      </c>
      <c r="U289" s="3">
        <v>72</v>
      </c>
      <c r="V289" s="4">
        <f>IF(ISERROR(VLOOKUP($S$289,'TAR FIN'!$A$1:$O$91,15,0)),0,VLOOKUP($S$289,'TAR FIN'!$A$1:$O$91,15,0))</f>
        <v>0</v>
      </c>
      <c r="W289" s="4">
        <f>IF(ISERROR(VLOOKUP($T$289,'TAR FIN'!$A$1:$O$91,15,0)),0,VLOOKUP($T$289,'TAR FIN'!$A$1:$O$91,15,0))</f>
        <v>357.74</v>
      </c>
      <c r="X289" s="4">
        <f>IF(ISERROR(VLOOKUP($U$289,'TAR FIN'!$A$1:$O$91,15,0)),0,VLOOKUP($U$289,'TAR FIN'!$A$1:$O$91,15,0))</f>
        <v>175.15</v>
      </c>
      <c r="Y289" s="4"/>
      <c r="Z289" s="4">
        <f ca="1">('TUSD BE'!$AM$36+'TUSD BF'!$AM$36+'TUSD CVA'!$AM$36)*(1-CUSTOS!$M$38)</f>
        <v>419.26134561460873</v>
      </c>
      <c r="AA289" s="4">
        <f>('TE BE'!$AB$27+'TE BF'!$AB$27+'TE CVA'!$AB$27)*(1-CUSTOS!$M$38)</f>
        <v>193.19190075421278</v>
      </c>
      <c r="AB289" s="4">
        <f t="shared" si="18"/>
        <v>0</v>
      </c>
      <c r="AC289" s="4">
        <f>(L289-M289)*(W289+X289)+($W$110+$X$110-$W$289-$X$289)*(L289)</f>
        <v>1624.0236599999987</v>
      </c>
      <c r="AD289" s="4">
        <f t="shared" si="19"/>
        <v>0</v>
      </c>
      <c r="AE289" s="4">
        <f ca="1">(L289-M289)*(Z289+AA289)+($Z$110+$AA$110-$Z$289-$AA$289)*(L289)</f>
        <v>873.76228784614182</v>
      </c>
      <c r="AF289" s="3" t="s">
        <v>777</v>
      </c>
    </row>
    <row r="290" spans="1:32" ht="11.25" customHeight="1" x14ac:dyDescent="0.3">
      <c r="A290" s="3" t="s">
        <v>21</v>
      </c>
      <c r="B290" s="3" t="s">
        <v>37</v>
      </c>
      <c r="C290" s="3" t="s">
        <v>33</v>
      </c>
      <c r="D290" s="3" t="s">
        <v>48</v>
      </c>
      <c r="E290" s="3" t="s">
        <v>49</v>
      </c>
      <c r="F290" s="3" t="s">
        <v>25</v>
      </c>
      <c r="G290" s="3" t="s">
        <v>25</v>
      </c>
      <c r="H290" s="3" t="s">
        <v>34</v>
      </c>
      <c r="I290" s="6">
        <v>44562</v>
      </c>
      <c r="J290" s="4">
        <v>0</v>
      </c>
      <c r="K290" s="88">
        <v>0</v>
      </c>
      <c r="L290" s="4">
        <v>0.69399999999999995</v>
      </c>
      <c r="M290" s="88">
        <v>0.69399999999999995</v>
      </c>
      <c r="N290" s="4">
        <v>0.69399999999999995</v>
      </c>
      <c r="O290" s="88">
        <v>0.69399999999999995</v>
      </c>
      <c r="P290" s="4">
        <v>0</v>
      </c>
      <c r="Q290" s="3" t="s">
        <v>26</v>
      </c>
      <c r="R290" s="3">
        <v>0</v>
      </c>
      <c r="S290" s="3">
        <v>0</v>
      </c>
      <c r="T290" s="3">
        <v>44</v>
      </c>
      <c r="U290" s="3">
        <v>84</v>
      </c>
      <c r="V290" s="88">
        <f>IF(ISERROR(VLOOKUP($S$290,'TAR FIN'!$A$1:$O$91,15,0)),0,VLOOKUP($S$290,'TAR FIN'!$A$1:$O$91,15,0))</f>
        <v>0</v>
      </c>
      <c r="W290" s="88">
        <f>IF(ISERROR(VLOOKUP($T$290,'TAR FIN'!$A$1:$O$91,15,0)),0,VLOOKUP($T$290,'TAR FIN'!$A$1:$O$91,15,0))*(1-0.06)</f>
        <v>1060.2354</v>
      </c>
      <c r="X290" s="88">
        <f>IF(ISERROR(VLOOKUP($U$290,'TAR FIN'!$A$1:$O$91,15,0)),0,VLOOKUP($U$290,'TAR FIN'!$A$1:$O$91,15,0))*(1-0.06)</f>
        <v>280.90959999999995</v>
      </c>
      <c r="Y290" s="88"/>
      <c r="Z290" s="88">
        <f ca="1">('TUSD BE'!$AM$48+'TUSD BF'!$AM$48+'TUSD CVA'!$AM$48)*1*(1-0.03)</f>
        <v>1233.9572379312599</v>
      </c>
      <c r="AA290" s="88">
        <f>('TE BE'!$AB$39+'TE BF'!$AB$39+'TE CVA'!$AB$39)*1*(1-0.03)</f>
        <v>302.06943547391433</v>
      </c>
      <c r="AB290" s="88">
        <f>(SUBSIDIO!$J$290*SUBSIDIO!$V$290)*(0.06)/(1-0.06)</f>
        <v>0</v>
      </c>
      <c r="AC290" s="88">
        <f>((SUBSIDIO!$L$290*SUBSIDIO!$W$290)+(SUBSIDIO!$N$290*SUBSIDIO!$X$290))*(0.06)/(1-0.06)</f>
        <v>59.409869999999991</v>
      </c>
      <c r="AD290" s="88">
        <f>(SUBSIDIO!$J$290*SUBSIDIO!$Y$290)*(0.03)/(1-0.03)</f>
        <v>0</v>
      </c>
      <c r="AE290" s="88">
        <f ca="1">((SUBSIDIO!$L$290*SUBSIDIO!$Z$290)+(SUBSIDIO!$N$290*SUBSIDIO!$AA$290))*(0.03)/(1-0.03)</f>
        <v>32.969149835356419</v>
      </c>
      <c r="AF290" s="3" t="s">
        <v>780</v>
      </c>
    </row>
    <row r="291" spans="1:32" ht="11.25" customHeight="1" x14ac:dyDescent="0.3">
      <c r="A291" s="3" t="s">
        <v>21</v>
      </c>
      <c r="B291" s="3" t="s">
        <v>37</v>
      </c>
      <c r="C291" s="3" t="s">
        <v>23</v>
      </c>
      <c r="D291" s="3" t="s">
        <v>48</v>
      </c>
      <c r="E291" s="3" t="s">
        <v>49</v>
      </c>
      <c r="F291" s="3" t="s">
        <v>25</v>
      </c>
      <c r="G291" s="3" t="s">
        <v>25</v>
      </c>
      <c r="H291" s="3" t="s">
        <v>25</v>
      </c>
      <c r="I291" s="6">
        <v>44378</v>
      </c>
      <c r="J291" s="4">
        <v>0</v>
      </c>
      <c r="K291" s="88">
        <v>0</v>
      </c>
      <c r="L291" s="4">
        <v>74.566999999999993</v>
      </c>
      <c r="M291" s="88">
        <v>74.566999999999993</v>
      </c>
      <c r="N291" s="4">
        <v>74.566999999999993</v>
      </c>
      <c r="O291" s="88">
        <v>74.566999999999993</v>
      </c>
      <c r="P291" s="4">
        <v>29</v>
      </c>
      <c r="Q291" s="3" t="s">
        <v>26</v>
      </c>
      <c r="R291" s="3">
        <v>0</v>
      </c>
      <c r="S291" s="3">
        <v>0</v>
      </c>
      <c r="T291" s="3">
        <v>47</v>
      </c>
      <c r="U291" s="3">
        <v>87</v>
      </c>
      <c r="V291" s="88">
        <f>IF(ISERROR(VLOOKUP($S$291,'TAR FIN'!$A$1:$O$91,15,0)),0,VLOOKUP($S$291,'TAR FIN'!$A$1:$O$91,15,0))</f>
        <v>0</v>
      </c>
      <c r="W291" s="88">
        <f>IF(ISERROR(VLOOKUP($T$291,'TAR FIN'!$A$1:$O$91,15,0)),0,VLOOKUP($T$291,'TAR FIN'!$A$1:$O$91,15,0))*(1-0.06)</f>
        <v>382.12879999999996</v>
      </c>
      <c r="X291" s="88">
        <f>IF(ISERROR(VLOOKUP($U$291,'TAR FIN'!$A$1:$O$91,15,0)),0,VLOOKUP($U$291,'TAR FIN'!$A$1:$O$91,15,0))*(1-0.06)</f>
        <v>187.0882</v>
      </c>
      <c r="Y291" s="88"/>
      <c r="Z291" s="88">
        <f ca="1">('TUSD BE'!$AM$51+'TUSD BF'!$AM$51+'TUSD CVA'!$AM$51)*1*(1-0.03)</f>
        <v>432.64202685762814</v>
      </c>
      <c r="AA291" s="88">
        <f>('TE BE'!$AB$42+'TE BF'!$AB$42+'TE CVA'!$AB$42)*1*(1-0.03)</f>
        <v>199.35759971445364</v>
      </c>
      <c r="AB291" s="88">
        <f>(SUBSIDIO!$J$291*SUBSIDIO!$V$291)*(0.06)/(1-0.06)</f>
        <v>0</v>
      </c>
      <c r="AC291" s="88">
        <f>((SUBSIDIO!$L$291*SUBSIDIO!$W$291)+(SUBSIDIO!$N$291*SUBSIDIO!$X$291))*(0.06)/(1-0.06)</f>
        <v>2709.2428110000001</v>
      </c>
      <c r="AD291" s="88">
        <f>(SUBSIDIO!$J$291*SUBSIDIO!$Y$291)*(0.03)/(1-0.03)</f>
        <v>0</v>
      </c>
      <c r="AE291" s="88">
        <f ca="1">((SUBSIDIO!$L$291*SUBSIDIO!$Z$291)+(SUBSIDIO!$N$291*SUBSIDIO!$AA$291))*(0.03)/(1-0.03)</f>
        <v>1457.5149326165078</v>
      </c>
      <c r="AF291" s="3" t="s">
        <v>780</v>
      </c>
    </row>
    <row r="292" spans="1:32" ht="11.25" customHeight="1" x14ac:dyDescent="0.3">
      <c r="A292" s="3" t="s">
        <v>21</v>
      </c>
      <c r="B292" s="3" t="s">
        <v>37</v>
      </c>
      <c r="C292" s="3" t="s">
        <v>23</v>
      </c>
      <c r="D292" s="3" t="s">
        <v>48</v>
      </c>
      <c r="E292" s="3" t="s">
        <v>49</v>
      </c>
      <c r="F292" s="3" t="s">
        <v>25</v>
      </c>
      <c r="G292" s="3" t="s">
        <v>25</v>
      </c>
      <c r="H292" s="3" t="s">
        <v>25</v>
      </c>
      <c r="I292" s="6">
        <v>44409</v>
      </c>
      <c r="J292" s="4">
        <v>0</v>
      </c>
      <c r="K292" s="88">
        <v>0</v>
      </c>
      <c r="L292" s="4">
        <v>72.856999999999999</v>
      </c>
      <c r="M292" s="88">
        <v>72.856999999999999</v>
      </c>
      <c r="N292" s="4">
        <v>72.856999999999999</v>
      </c>
      <c r="O292" s="88">
        <v>72.856999999999999</v>
      </c>
      <c r="P292" s="4">
        <v>29</v>
      </c>
      <c r="Q292" s="3" t="s">
        <v>26</v>
      </c>
      <c r="R292" s="3">
        <v>0</v>
      </c>
      <c r="S292" s="3">
        <v>0</v>
      </c>
      <c r="T292" s="3">
        <v>47</v>
      </c>
      <c r="U292" s="3">
        <v>87</v>
      </c>
      <c r="V292" s="88">
        <f>IF(ISERROR(VLOOKUP($S$292,'TAR FIN'!$A$1:$O$91,15,0)),0,VLOOKUP($S$292,'TAR FIN'!$A$1:$O$91,15,0))</f>
        <v>0</v>
      </c>
      <c r="W292" s="88">
        <f>IF(ISERROR(VLOOKUP($T$292,'TAR FIN'!$A$1:$O$91,15,0)),0,VLOOKUP($T$292,'TAR FIN'!$A$1:$O$91,15,0))*(1-0.06)</f>
        <v>382.12879999999996</v>
      </c>
      <c r="X292" s="88">
        <f>IF(ISERROR(VLOOKUP($U$292,'TAR FIN'!$A$1:$O$91,15,0)),0,VLOOKUP($U$292,'TAR FIN'!$A$1:$O$91,15,0))*(1-0.06)</f>
        <v>187.0882</v>
      </c>
      <c r="Y292" s="88"/>
      <c r="Z292" s="88">
        <f ca="1">('TUSD BE'!$AM$51+'TUSD BF'!$AM$51+'TUSD CVA'!$AM$51)*1*(1-0.03)</f>
        <v>432.64202685762814</v>
      </c>
      <c r="AA292" s="88">
        <f>('TE BE'!$AB$42+'TE BF'!$AB$42+'TE CVA'!$AB$42)*1*(1-0.03)</f>
        <v>199.35759971445364</v>
      </c>
      <c r="AB292" s="88">
        <f>(SUBSIDIO!$J$292*SUBSIDIO!$V$292)*(0.06)/(1-0.06)</f>
        <v>0</v>
      </c>
      <c r="AC292" s="88">
        <f>((SUBSIDIO!$L$292*SUBSIDIO!$W$292)+(SUBSIDIO!$N$292*SUBSIDIO!$X$292))*(0.06)/(1-0.06)</f>
        <v>2647.1133809999997</v>
      </c>
      <c r="AD292" s="88">
        <f>(SUBSIDIO!$J$292*SUBSIDIO!$Y$292)*(0.03)/(1-0.03)</f>
        <v>0</v>
      </c>
      <c r="AE292" s="88">
        <f ca="1">((SUBSIDIO!$L$292*SUBSIDIO!$Z$292)+(SUBSIDIO!$N$292*SUBSIDIO!$AA$292))*(0.03)/(1-0.03)</f>
        <v>1424.0906224689329</v>
      </c>
      <c r="AF292" s="3" t="s">
        <v>780</v>
      </c>
    </row>
    <row r="293" spans="1:32" ht="11.25" customHeight="1" x14ac:dyDescent="0.3">
      <c r="A293" s="3" t="s">
        <v>21</v>
      </c>
      <c r="B293" s="3" t="s">
        <v>37</v>
      </c>
      <c r="C293" s="3" t="s">
        <v>23</v>
      </c>
      <c r="D293" s="3" t="s">
        <v>48</v>
      </c>
      <c r="E293" s="3" t="s">
        <v>49</v>
      </c>
      <c r="F293" s="3" t="s">
        <v>25</v>
      </c>
      <c r="G293" s="3" t="s">
        <v>25</v>
      </c>
      <c r="H293" s="3" t="s">
        <v>25</v>
      </c>
      <c r="I293" s="6">
        <v>44440</v>
      </c>
      <c r="J293" s="4">
        <v>0</v>
      </c>
      <c r="K293" s="88">
        <v>0</v>
      </c>
      <c r="L293" s="4">
        <v>73.664000000000001</v>
      </c>
      <c r="M293" s="88">
        <v>73.664000000000001</v>
      </c>
      <c r="N293" s="4">
        <v>73.664000000000001</v>
      </c>
      <c r="O293" s="88">
        <v>73.664000000000001</v>
      </c>
      <c r="P293" s="4">
        <v>29</v>
      </c>
      <c r="Q293" s="3" t="s">
        <v>26</v>
      </c>
      <c r="R293" s="3">
        <v>0</v>
      </c>
      <c r="S293" s="3">
        <v>0</v>
      </c>
      <c r="T293" s="3">
        <v>47</v>
      </c>
      <c r="U293" s="3">
        <v>87</v>
      </c>
      <c r="V293" s="88">
        <f>IF(ISERROR(VLOOKUP($S$293,'TAR FIN'!$A$1:$O$91,15,0)),0,VLOOKUP($S$293,'TAR FIN'!$A$1:$O$91,15,0))</f>
        <v>0</v>
      </c>
      <c r="W293" s="88">
        <f>IF(ISERROR(VLOOKUP($T$293,'TAR FIN'!$A$1:$O$91,15,0)),0,VLOOKUP($T$293,'TAR FIN'!$A$1:$O$91,15,0))*(1-0.06)</f>
        <v>382.12879999999996</v>
      </c>
      <c r="X293" s="88">
        <f>IF(ISERROR(VLOOKUP($U$293,'TAR FIN'!$A$1:$O$91,15,0)),0,VLOOKUP($U$293,'TAR FIN'!$A$1:$O$91,15,0))*(1-0.06)</f>
        <v>187.0882</v>
      </c>
      <c r="Y293" s="88"/>
      <c r="Z293" s="88">
        <f ca="1">('TUSD BE'!$AM$51+'TUSD BF'!$AM$51+'TUSD CVA'!$AM$51)*1*(1-0.03)</f>
        <v>432.64202685762814</v>
      </c>
      <c r="AA293" s="88">
        <f>('TE BE'!$AB$42+'TE BF'!$AB$42+'TE CVA'!$AB$42)*1*(1-0.03)</f>
        <v>199.35759971445364</v>
      </c>
      <c r="AB293" s="88">
        <f>(SUBSIDIO!$J$293*SUBSIDIO!$V$293)*(0.06)/(1-0.06)</f>
        <v>0</v>
      </c>
      <c r="AC293" s="88">
        <f>((SUBSIDIO!$L$293*SUBSIDIO!$W$293)+(SUBSIDIO!$N$293*SUBSIDIO!$X$293))*(0.06)/(1-0.06)</f>
        <v>2676.4341119999995</v>
      </c>
      <c r="AD293" s="88">
        <f>(SUBSIDIO!$J$293*SUBSIDIO!$Y$293)*(0.03)/(1-0.03)</f>
        <v>0</v>
      </c>
      <c r="AE293" s="88">
        <f ca="1">((SUBSIDIO!$L$293*SUBSIDIO!$Z$293)+(SUBSIDIO!$N$293*SUBSIDIO!$AA$293))*(0.03)/(1-0.03)</f>
        <v>1439.8645512929641</v>
      </c>
      <c r="AF293" s="3" t="s">
        <v>780</v>
      </c>
    </row>
    <row r="294" spans="1:32" ht="11.25" customHeight="1" x14ac:dyDescent="0.3">
      <c r="A294" s="3" t="s">
        <v>21</v>
      </c>
      <c r="B294" s="3" t="s">
        <v>37</v>
      </c>
      <c r="C294" s="3" t="s">
        <v>23</v>
      </c>
      <c r="D294" s="3" t="s">
        <v>48</v>
      </c>
      <c r="E294" s="3" t="s">
        <v>49</v>
      </c>
      <c r="F294" s="3" t="s">
        <v>25</v>
      </c>
      <c r="G294" s="3" t="s">
        <v>25</v>
      </c>
      <c r="H294" s="3" t="s">
        <v>25</v>
      </c>
      <c r="I294" s="6">
        <v>44470</v>
      </c>
      <c r="J294" s="4">
        <v>0</v>
      </c>
      <c r="K294" s="88">
        <v>0</v>
      </c>
      <c r="L294" s="4">
        <v>76.557000000000002</v>
      </c>
      <c r="M294" s="88">
        <v>76.557000000000002</v>
      </c>
      <c r="N294" s="4">
        <v>76.557000000000002</v>
      </c>
      <c r="O294" s="88">
        <v>76.557000000000002</v>
      </c>
      <c r="P294" s="4">
        <v>29</v>
      </c>
      <c r="Q294" s="3" t="s">
        <v>26</v>
      </c>
      <c r="R294" s="3">
        <v>0</v>
      </c>
      <c r="S294" s="3">
        <v>0</v>
      </c>
      <c r="T294" s="3">
        <v>47</v>
      </c>
      <c r="U294" s="3">
        <v>87</v>
      </c>
      <c r="V294" s="88">
        <f>IF(ISERROR(VLOOKUP($S$294,'TAR FIN'!$A$1:$O$91,15,0)),0,VLOOKUP($S$294,'TAR FIN'!$A$1:$O$91,15,0))</f>
        <v>0</v>
      </c>
      <c r="W294" s="88">
        <f>IF(ISERROR(VLOOKUP($T$294,'TAR FIN'!$A$1:$O$91,15,0)),0,VLOOKUP($T$294,'TAR FIN'!$A$1:$O$91,15,0))*(1-0.06)</f>
        <v>382.12879999999996</v>
      </c>
      <c r="X294" s="88">
        <f>IF(ISERROR(VLOOKUP($U$294,'TAR FIN'!$A$1:$O$91,15,0)),0,VLOOKUP($U$294,'TAR FIN'!$A$1:$O$91,15,0))*(1-0.06)</f>
        <v>187.0882</v>
      </c>
      <c r="Y294" s="88"/>
      <c r="Z294" s="88">
        <f ca="1">('TUSD BE'!$AM$51+'TUSD BF'!$AM$51+'TUSD CVA'!$AM$51)*1*(1-0.03)</f>
        <v>432.64202685762814</v>
      </c>
      <c r="AA294" s="88">
        <f>('TE BE'!$AB$42+'TE BF'!$AB$42+'TE CVA'!$AB$42)*1*(1-0.03)</f>
        <v>199.35759971445364</v>
      </c>
      <c r="AB294" s="88">
        <f>(SUBSIDIO!$J$294*SUBSIDIO!$V$294)*(0.06)/(1-0.06)</f>
        <v>0</v>
      </c>
      <c r="AC294" s="88">
        <f>((SUBSIDIO!$L$294*SUBSIDIO!$W$294)+(SUBSIDIO!$N$294*SUBSIDIO!$X$294))*(0.06)/(1-0.06)</f>
        <v>2781.5454809999997</v>
      </c>
      <c r="AD294" s="88">
        <f>(SUBSIDIO!$J$294*SUBSIDIO!$Y$294)*(0.03)/(1-0.03)</f>
        <v>0</v>
      </c>
      <c r="AE294" s="88">
        <f ca="1">((SUBSIDIO!$L$294*SUBSIDIO!$Z$294)+(SUBSIDIO!$N$294*SUBSIDIO!$AA$294))*(0.03)/(1-0.03)</f>
        <v>1496.4122292209961</v>
      </c>
      <c r="AF294" s="3" t="s">
        <v>780</v>
      </c>
    </row>
    <row r="295" spans="1:32" ht="11.25" customHeight="1" x14ac:dyDescent="0.3">
      <c r="A295" s="3" t="s">
        <v>21</v>
      </c>
      <c r="B295" s="3" t="s">
        <v>37</v>
      </c>
      <c r="C295" s="3" t="s">
        <v>23</v>
      </c>
      <c r="D295" s="3" t="s">
        <v>48</v>
      </c>
      <c r="E295" s="3" t="s">
        <v>49</v>
      </c>
      <c r="F295" s="3" t="s">
        <v>25</v>
      </c>
      <c r="G295" s="3" t="s">
        <v>25</v>
      </c>
      <c r="H295" s="3" t="s">
        <v>25</v>
      </c>
      <c r="I295" s="6">
        <v>44501</v>
      </c>
      <c r="J295" s="4">
        <v>0</v>
      </c>
      <c r="K295" s="88">
        <v>0</v>
      </c>
      <c r="L295" s="4">
        <v>71.665999999999997</v>
      </c>
      <c r="M295" s="88">
        <v>71.665999999999997</v>
      </c>
      <c r="N295" s="4">
        <v>71.665999999999997</v>
      </c>
      <c r="O295" s="88">
        <v>71.665999999999997</v>
      </c>
      <c r="P295" s="4">
        <v>30</v>
      </c>
      <c r="Q295" s="3" t="s">
        <v>26</v>
      </c>
      <c r="R295" s="3">
        <v>0</v>
      </c>
      <c r="S295" s="3">
        <v>0</v>
      </c>
      <c r="T295" s="3">
        <v>47</v>
      </c>
      <c r="U295" s="3">
        <v>87</v>
      </c>
      <c r="V295" s="88">
        <f>IF(ISERROR(VLOOKUP($S$295,'TAR FIN'!$A$1:$O$91,15,0)),0,VLOOKUP($S$295,'TAR FIN'!$A$1:$O$91,15,0))</f>
        <v>0</v>
      </c>
      <c r="W295" s="88">
        <f>IF(ISERROR(VLOOKUP($T$295,'TAR FIN'!$A$1:$O$91,15,0)),0,VLOOKUP($T$295,'TAR FIN'!$A$1:$O$91,15,0))*(1-0.06)</f>
        <v>382.12879999999996</v>
      </c>
      <c r="X295" s="88">
        <f>IF(ISERROR(VLOOKUP($U$295,'TAR FIN'!$A$1:$O$91,15,0)),0,VLOOKUP($U$295,'TAR FIN'!$A$1:$O$91,15,0))*(1-0.06)</f>
        <v>187.0882</v>
      </c>
      <c r="Y295" s="88"/>
      <c r="Z295" s="88">
        <f ca="1">('TUSD BE'!$AM$51+'TUSD BF'!$AM$51+'TUSD CVA'!$AM$51)*1*(1-0.03)</f>
        <v>432.64202685762814</v>
      </c>
      <c r="AA295" s="88">
        <f>('TE BE'!$AB$42+'TE BF'!$AB$42+'TE CVA'!$AB$42)*1*(1-0.03)</f>
        <v>199.35759971445364</v>
      </c>
      <c r="AB295" s="88">
        <f>(SUBSIDIO!$J$295*SUBSIDIO!$V$295)*(0.06)/(1-0.06)</f>
        <v>0</v>
      </c>
      <c r="AC295" s="88">
        <f>((SUBSIDIO!$L$295*SUBSIDIO!$W$295)+(SUBSIDIO!$N$295*SUBSIDIO!$X$295))*(0.06)/(1-0.06)</f>
        <v>2603.8407779999998</v>
      </c>
      <c r="AD295" s="88">
        <f>(SUBSIDIO!$J$295*SUBSIDIO!$Y$295)*(0.03)/(1-0.03)</f>
        <v>0</v>
      </c>
      <c r="AE295" s="88">
        <f ca="1">((SUBSIDIO!$L$295*SUBSIDIO!$Z$295)+(SUBSIDIO!$N$295*SUBSIDIO!$AA$295))*(0.03)/(1-0.03)</f>
        <v>1400.8108836468498</v>
      </c>
      <c r="AF295" s="3" t="s">
        <v>780</v>
      </c>
    </row>
    <row r="296" spans="1:32" ht="11.25" customHeight="1" x14ac:dyDescent="0.3">
      <c r="A296" s="3" t="s">
        <v>21</v>
      </c>
      <c r="B296" s="3" t="s">
        <v>37</v>
      </c>
      <c r="C296" s="3" t="s">
        <v>23</v>
      </c>
      <c r="D296" s="3" t="s">
        <v>48</v>
      </c>
      <c r="E296" s="3" t="s">
        <v>49</v>
      </c>
      <c r="F296" s="3" t="s">
        <v>25</v>
      </c>
      <c r="G296" s="3" t="s">
        <v>25</v>
      </c>
      <c r="H296" s="3" t="s">
        <v>25</v>
      </c>
      <c r="I296" s="6">
        <v>44531</v>
      </c>
      <c r="J296" s="4">
        <v>0</v>
      </c>
      <c r="K296" s="88">
        <v>0</v>
      </c>
      <c r="L296" s="4">
        <v>79.037000000000006</v>
      </c>
      <c r="M296" s="88">
        <v>79.037000000000006</v>
      </c>
      <c r="N296" s="4">
        <v>79.037000000000006</v>
      </c>
      <c r="O296" s="88">
        <v>79.037000000000006</v>
      </c>
      <c r="P296" s="4">
        <v>30</v>
      </c>
      <c r="Q296" s="3" t="s">
        <v>26</v>
      </c>
      <c r="R296" s="3">
        <v>0</v>
      </c>
      <c r="S296" s="3">
        <v>0</v>
      </c>
      <c r="T296" s="3">
        <v>47</v>
      </c>
      <c r="U296" s="3">
        <v>87</v>
      </c>
      <c r="V296" s="88">
        <f>IF(ISERROR(VLOOKUP($S$296,'TAR FIN'!$A$1:$O$91,15,0)),0,VLOOKUP($S$296,'TAR FIN'!$A$1:$O$91,15,0))</f>
        <v>0</v>
      </c>
      <c r="W296" s="88">
        <f>IF(ISERROR(VLOOKUP($T$296,'TAR FIN'!$A$1:$O$91,15,0)),0,VLOOKUP($T$296,'TAR FIN'!$A$1:$O$91,15,0))*(1-0.06)</f>
        <v>382.12879999999996</v>
      </c>
      <c r="X296" s="88">
        <f>IF(ISERROR(VLOOKUP($U$296,'TAR FIN'!$A$1:$O$91,15,0)),0,VLOOKUP($U$296,'TAR FIN'!$A$1:$O$91,15,0))*(1-0.06)</f>
        <v>187.0882</v>
      </c>
      <c r="Y296" s="88"/>
      <c r="Z296" s="88">
        <f ca="1">('TUSD BE'!$AM$51+'TUSD BF'!$AM$51+'TUSD CVA'!$AM$51)*1*(1-0.03)</f>
        <v>432.64202685762814</v>
      </c>
      <c r="AA296" s="88">
        <f>('TE BE'!$AB$42+'TE BF'!$AB$42+'TE CVA'!$AB$42)*1*(1-0.03)</f>
        <v>199.35759971445364</v>
      </c>
      <c r="AB296" s="88">
        <f>(SUBSIDIO!$J$296*SUBSIDIO!$V$296)*(0.06)/(1-0.06)</f>
        <v>0</v>
      </c>
      <c r="AC296" s="88">
        <f>((SUBSIDIO!$L$296*SUBSIDIO!$W$296)+(SUBSIDIO!$N$296*SUBSIDIO!$X$296))*(0.06)/(1-0.06)</f>
        <v>2871.6513210000003</v>
      </c>
      <c r="AD296" s="88">
        <f>(SUBSIDIO!$J$296*SUBSIDIO!$Y$296)*(0.03)/(1-0.03)</f>
        <v>0</v>
      </c>
      <c r="AE296" s="88">
        <f ca="1">((SUBSIDIO!$L$296*SUBSIDIO!$Z$296)+(SUBSIDIO!$N$296*SUBSIDIO!$AA$296))*(0.03)/(1-0.03)</f>
        <v>1544.8872521250814</v>
      </c>
      <c r="AF296" s="3" t="s">
        <v>780</v>
      </c>
    </row>
    <row r="297" spans="1:32" ht="11.25" customHeight="1" x14ac:dyDescent="0.3">
      <c r="A297" s="3" t="s">
        <v>21</v>
      </c>
      <c r="B297" s="3" t="s">
        <v>37</v>
      </c>
      <c r="C297" s="3" t="s">
        <v>23</v>
      </c>
      <c r="D297" s="3" t="s">
        <v>48</v>
      </c>
      <c r="E297" s="3" t="s">
        <v>49</v>
      </c>
      <c r="F297" s="3" t="s">
        <v>25</v>
      </c>
      <c r="G297" s="3" t="s">
        <v>25</v>
      </c>
      <c r="H297" s="3" t="s">
        <v>25</v>
      </c>
      <c r="I297" s="6">
        <v>44562</v>
      </c>
      <c r="J297" s="4">
        <v>0</v>
      </c>
      <c r="K297" s="88">
        <v>0</v>
      </c>
      <c r="L297" s="4">
        <v>82.933000000000007</v>
      </c>
      <c r="M297" s="88">
        <v>82.933000000000007</v>
      </c>
      <c r="N297" s="4">
        <v>82.933000000000007</v>
      </c>
      <c r="O297" s="88">
        <v>82.933000000000007</v>
      </c>
      <c r="P297" s="4">
        <v>31</v>
      </c>
      <c r="Q297" s="3" t="s">
        <v>26</v>
      </c>
      <c r="R297" s="3">
        <v>0</v>
      </c>
      <c r="S297" s="3">
        <v>0</v>
      </c>
      <c r="T297" s="3">
        <v>47</v>
      </c>
      <c r="U297" s="3">
        <v>87</v>
      </c>
      <c r="V297" s="88">
        <f>IF(ISERROR(VLOOKUP($S$297,'TAR FIN'!$A$1:$O$91,15,0)),0,VLOOKUP($S$297,'TAR FIN'!$A$1:$O$91,15,0))</f>
        <v>0</v>
      </c>
      <c r="W297" s="88">
        <f>IF(ISERROR(VLOOKUP($T$297,'TAR FIN'!$A$1:$O$91,15,0)),0,VLOOKUP($T$297,'TAR FIN'!$A$1:$O$91,15,0))*(1-0.06)</f>
        <v>382.12879999999996</v>
      </c>
      <c r="X297" s="88">
        <f>IF(ISERROR(VLOOKUP($U$297,'TAR FIN'!$A$1:$O$91,15,0)),0,VLOOKUP($U$297,'TAR FIN'!$A$1:$O$91,15,0))*(1-0.06)</f>
        <v>187.0882</v>
      </c>
      <c r="Y297" s="88"/>
      <c r="Z297" s="88">
        <f ca="1">('TUSD BE'!$AM$51+'TUSD BF'!$AM$51+'TUSD CVA'!$AM$51)*1*(1-0.03)</f>
        <v>432.64202685762814</v>
      </c>
      <c r="AA297" s="88">
        <f>('TE BE'!$AB$42+'TE BF'!$AB$42+'TE CVA'!$AB$42)*1*(1-0.03)</f>
        <v>199.35759971445364</v>
      </c>
      <c r="AB297" s="88">
        <f>(SUBSIDIO!$J$297*SUBSIDIO!$V$297)*(0.06)/(1-0.06)</f>
        <v>0</v>
      </c>
      <c r="AC297" s="88">
        <f>((SUBSIDIO!$L$297*SUBSIDIO!$W$297)+(SUBSIDIO!$N$297*SUBSIDIO!$X$297))*(0.06)/(1-0.06)</f>
        <v>3013.2046889999997</v>
      </c>
      <c r="AD297" s="88">
        <f>(SUBSIDIO!$J$297*SUBSIDIO!$Y$297)*(0.03)/(1-0.03)</f>
        <v>0</v>
      </c>
      <c r="AE297" s="88">
        <f ca="1">((SUBSIDIO!$L$297*SUBSIDIO!$Z$297)+(SUBSIDIO!$N$297*SUBSIDIO!$AA$297))*(0.03)/(1-0.03)</f>
        <v>1621.039949396983</v>
      </c>
      <c r="AF297" s="3" t="s">
        <v>780</v>
      </c>
    </row>
    <row r="298" spans="1:32" ht="11.25" customHeight="1" x14ac:dyDescent="0.3">
      <c r="A298" s="3" t="s">
        <v>21</v>
      </c>
      <c r="B298" s="3" t="s">
        <v>37</v>
      </c>
      <c r="C298" s="3" t="s">
        <v>23</v>
      </c>
      <c r="D298" s="3" t="s">
        <v>48</v>
      </c>
      <c r="E298" s="3" t="s">
        <v>49</v>
      </c>
      <c r="F298" s="3" t="s">
        <v>25</v>
      </c>
      <c r="G298" s="3" t="s">
        <v>25</v>
      </c>
      <c r="H298" s="3" t="s">
        <v>25</v>
      </c>
      <c r="I298" s="6">
        <v>44593</v>
      </c>
      <c r="J298" s="4">
        <v>0</v>
      </c>
      <c r="K298" s="88">
        <v>0</v>
      </c>
      <c r="L298" s="4">
        <v>102.13200000000001</v>
      </c>
      <c r="M298" s="88">
        <v>102.13200000000001</v>
      </c>
      <c r="N298" s="4">
        <v>102.13200000000001</v>
      </c>
      <c r="O298" s="88">
        <v>102.13200000000001</v>
      </c>
      <c r="P298" s="4">
        <v>31</v>
      </c>
      <c r="Q298" s="3" t="s">
        <v>26</v>
      </c>
      <c r="R298" s="3">
        <v>0</v>
      </c>
      <c r="S298" s="3">
        <v>0</v>
      </c>
      <c r="T298" s="3">
        <v>47</v>
      </c>
      <c r="U298" s="3">
        <v>87</v>
      </c>
      <c r="V298" s="88">
        <f>IF(ISERROR(VLOOKUP($S$298,'TAR FIN'!$A$1:$O$91,15,0)),0,VLOOKUP($S$298,'TAR FIN'!$A$1:$O$91,15,0))</f>
        <v>0</v>
      </c>
      <c r="W298" s="88">
        <f>IF(ISERROR(VLOOKUP($T$298,'TAR FIN'!$A$1:$O$91,15,0)),0,VLOOKUP($T$298,'TAR FIN'!$A$1:$O$91,15,0))*(1-0.06)</f>
        <v>382.12879999999996</v>
      </c>
      <c r="X298" s="88">
        <f>IF(ISERROR(VLOOKUP($U$298,'TAR FIN'!$A$1:$O$91,15,0)),0,VLOOKUP($U$298,'TAR FIN'!$A$1:$O$91,15,0))*(1-0.06)</f>
        <v>187.0882</v>
      </c>
      <c r="Y298" s="88"/>
      <c r="Z298" s="88">
        <f ca="1">('TUSD BE'!$AM$51+'TUSD BF'!$AM$51+'TUSD CVA'!$AM$51)*1*(1-0.03)</f>
        <v>432.64202685762814</v>
      </c>
      <c r="AA298" s="88">
        <f>('TE BE'!$AB$42+'TE BF'!$AB$42+'TE CVA'!$AB$42)*1*(1-0.03)</f>
        <v>199.35759971445364</v>
      </c>
      <c r="AB298" s="88">
        <f>(SUBSIDIO!$J$298*SUBSIDIO!$V$298)*(0.06)/(1-0.06)</f>
        <v>0</v>
      </c>
      <c r="AC298" s="88">
        <f>((SUBSIDIO!$L$298*SUBSIDIO!$W$298)+(SUBSIDIO!$N$298*SUBSIDIO!$X$298))*(0.06)/(1-0.06)</f>
        <v>3710.7619560000003</v>
      </c>
      <c r="AD298" s="88">
        <f>(SUBSIDIO!$J$298*SUBSIDIO!$Y$298)*(0.03)/(1-0.03)</f>
        <v>0</v>
      </c>
      <c r="AE298" s="88">
        <f ca="1">((SUBSIDIO!$L$298*SUBSIDIO!$Z$298)+(SUBSIDIO!$N$298*SUBSIDIO!$AA$298))*(0.03)/(1-0.03)</f>
        <v>1996.3109029193772</v>
      </c>
      <c r="AF298" s="3" t="s">
        <v>780</v>
      </c>
    </row>
    <row r="299" spans="1:32" ht="11.25" customHeight="1" x14ac:dyDescent="0.3">
      <c r="A299" s="3" t="s">
        <v>27</v>
      </c>
      <c r="B299" s="3" t="s">
        <v>37</v>
      </c>
      <c r="C299" s="3" t="s">
        <v>23</v>
      </c>
      <c r="D299" s="3" t="s">
        <v>48</v>
      </c>
      <c r="E299" s="3" t="s">
        <v>49</v>
      </c>
      <c r="F299" s="3" t="s">
        <v>25</v>
      </c>
      <c r="G299" s="3" t="s">
        <v>25</v>
      </c>
      <c r="H299" s="3" t="s">
        <v>25</v>
      </c>
      <c r="I299" s="6">
        <v>44593</v>
      </c>
      <c r="J299" s="4">
        <v>0</v>
      </c>
      <c r="K299" s="88">
        <v>0</v>
      </c>
      <c r="L299" s="4">
        <v>0.69399999999999995</v>
      </c>
      <c r="M299" s="88">
        <v>0.69399999999999995</v>
      </c>
      <c r="N299" s="4">
        <v>0.69399999999999995</v>
      </c>
      <c r="O299" s="88">
        <v>0.69399999999999995</v>
      </c>
      <c r="P299" s="4">
        <v>0</v>
      </c>
      <c r="Q299" s="3" t="s">
        <v>26</v>
      </c>
      <c r="R299" s="3">
        <v>0</v>
      </c>
      <c r="S299" s="3">
        <v>0</v>
      </c>
      <c r="T299" s="3">
        <v>47</v>
      </c>
      <c r="U299" s="3">
        <v>87</v>
      </c>
      <c r="V299" s="88">
        <f>IF(ISERROR(VLOOKUP($S$299,'TAR FIN'!$A$1:$O$91,15,0)),0,VLOOKUP($S$299,'TAR FIN'!$A$1:$O$91,15,0))</f>
        <v>0</v>
      </c>
      <c r="W299" s="88">
        <f>IF(ISERROR(VLOOKUP($T$299,'TAR FIN'!$A$1:$O$91,15,0)),0,VLOOKUP($T$299,'TAR FIN'!$A$1:$O$91,15,0))*(1-0.06)</f>
        <v>382.12879999999996</v>
      </c>
      <c r="X299" s="88">
        <f>IF(ISERROR(VLOOKUP($U$299,'TAR FIN'!$A$1:$O$91,15,0)),0,VLOOKUP($U$299,'TAR FIN'!$A$1:$O$91,15,0))*(1-0.06)</f>
        <v>187.0882</v>
      </c>
      <c r="Y299" s="88"/>
      <c r="Z299" s="88">
        <f ca="1">('TUSD BE'!$AM$51+'TUSD BF'!$AM$51+'TUSD CVA'!$AM$51)*1*(1-0.03)</f>
        <v>432.64202685762814</v>
      </c>
      <c r="AA299" s="88">
        <f>('TE BE'!$AB$42+'TE BF'!$AB$42+'TE CVA'!$AB$42)*1*(1-0.03)</f>
        <v>199.35759971445364</v>
      </c>
      <c r="AB299" s="88">
        <f>(SUBSIDIO!$J$299*SUBSIDIO!$V$299)*(0.06)/(1-0.06)</f>
        <v>0</v>
      </c>
      <c r="AC299" s="88">
        <f>((SUBSIDIO!$L$299*SUBSIDIO!$W$299)+(SUBSIDIO!$N$299*SUBSIDIO!$X$299))*(0.06)/(1-0.06)</f>
        <v>25.215101999999995</v>
      </c>
      <c r="AD299" s="88">
        <f>(SUBSIDIO!$J$299*SUBSIDIO!$Y$299)*(0.03)/(1-0.03)</f>
        <v>0</v>
      </c>
      <c r="AE299" s="88">
        <f ca="1">((SUBSIDIO!$L$299*SUBSIDIO!$Z$299)+(SUBSIDIO!$N$299*SUBSIDIO!$AA$299))*(0.03)/(1-0.03)</f>
        <v>13.565187861062622</v>
      </c>
      <c r="AF299" s="3" t="s">
        <v>780</v>
      </c>
    </row>
    <row r="300" spans="1:32" ht="11.25" customHeight="1" x14ac:dyDescent="0.3">
      <c r="A300" s="3" t="s">
        <v>21</v>
      </c>
      <c r="B300" s="3" t="s">
        <v>37</v>
      </c>
      <c r="C300" s="3" t="s">
        <v>23</v>
      </c>
      <c r="D300" s="3" t="s">
        <v>48</v>
      </c>
      <c r="E300" s="3" t="s">
        <v>49</v>
      </c>
      <c r="F300" s="3" t="s">
        <v>25</v>
      </c>
      <c r="G300" s="3" t="s">
        <v>25</v>
      </c>
      <c r="H300" s="3" t="s">
        <v>25</v>
      </c>
      <c r="I300" s="6">
        <v>44621</v>
      </c>
      <c r="J300" s="4">
        <v>0</v>
      </c>
      <c r="K300" s="88">
        <v>0</v>
      </c>
      <c r="L300" s="4">
        <v>94.444000000000003</v>
      </c>
      <c r="M300" s="88">
        <v>94.444000000000003</v>
      </c>
      <c r="N300" s="4">
        <v>94.444000000000003</v>
      </c>
      <c r="O300" s="88">
        <v>94.444000000000003</v>
      </c>
      <c r="P300" s="4">
        <v>31</v>
      </c>
      <c r="Q300" s="3" t="s">
        <v>26</v>
      </c>
      <c r="R300" s="3">
        <v>0</v>
      </c>
      <c r="S300" s="3">
        <v>0</v>
      </c>
      <c r="T300" s="3">
        <v>47</v>
      </c>
      <c r="U300" s="3">
        <v>87</v>
      </c>
      <c r="V300" s="88">
        <f>IF(ISERROR(VLOOKUP($S$300,'TAR FIN'!$A$1:$O$91,15,0)),0,VLOOKUP($S$300,'TAR FIN'!$A$1:$O$91,15,0))</f>
        <v>0</v>
      </c>
      <c r="W300" s="88">
        <f>IF(ISERROR(VLOOKUP($T$300,'TAR FIN'!$A$1:$O$91,15,0)),0,VLOOKUP($T$300,'TAR FIN'!$A$1:$O$91,15,0))*(1-0.06)</f>
        <v>382.12879999999996</v>
      </c>
      <c r="X300" s="88">
        <f>IF(ISERROR(VLOOKUP($U$300,'TAR FIN'!$A$1:$O$91,15,0)),0,VLOOKUP($U$300,'TAR FIN'!$A$1:$O$91,15,0))*(1-0.06)</f>
        <v>187.0882</v>
      </c>
      <c r="Y300" s="88"/>
      <c r="Z300" s="88">
        <f ca="1">('TUSD BE'!$AM$51+'TUSD BF'!$AM$51+'TUSD CVA'!$AM$51)*1*(1-0.03)</f>
        <v>432.64202685762814</v>
      </c>
      <c r="AA300" s="88">
        <f>('TE BE'!$AB$42+'TE BF'!$AB$42+'TE CVA'!$AB$42)*1*(1-0.03)</f>
        <v>199.35759971445364</v>
      </c>
      <c r="AB300" s="88">
        <f>(SUBSIDIO!$J$300*SUBSIDIO!$V$300)*(0.06)/(1-0.06)</f>
        <v>0</v>
      </c>
      <c r="AC300" s="88">
        <f>((SUBSIDIO!$L$300*SUBSIDIO!$W$300)+(SUBSIDIO!$N$300*SUBSIDIO!$X$300))*(0.06)/(1-0.06)</f>
        <v>3431.4338520000001</v>
      </c>
      <c r="AD300" s="88">
        <f>(SUBSIDIO!$J$300*SUBSIDIO!$Y$300)*(0.03)/(1-0.03)</f>
        <v>0</v>
      </c>
      <c r="AE300" s="88">
        <f ca="1">((SUBSIDIO!$L$300*SUBSIDIO!$Z$300)+(SUBSIDIO!$N$300*SUBSIDIO!$AA$300))*(0.03)/(1-0.03)</f>
        <v>1846.0383319167122</v>
      </c>
      <c r="AF300" s="3" t="s">
        <v>780</v>
      </c>
    </row>
    <row r="301" spans="1:32" ht="11.25" customHeight="1" x14ac:dyDescent="0.3">
      <c r="A301" s="3" t="s">
        <v>21</v>
      </c>
      <c r="B301" s="3" t="s">
        <v>37</v>
      </c>
      <c r="C301" s="3" t="s">
        <v>23</v>
      </c>
      <c r="D301" s="3" t="s">
        <v>48</v>
      </c>
      <c r="E301" s="3" t="s">
        <v>49</v>
      </c>
      <c r="F301" s="3" t="s">
        <v>25</v>
      </c>
      <c r="G301" s="3" t="s">
        <v>25</v>
      </c>
      <c r="H301" s="3" t="s">
        <v>25</v>
      </c>
      <c r="I301" s="6">
        <v>44652</v>
      </c>
      <c r="J301" s="4">
        <v>0</v>
      </c>
      <c r="K301" s="88">
        <v>0</v>
      </c>
      <c r="L301" s="4">
        <v>81.756</v>
      </c>
      <c r="M301" s="88">
        <v>81.756</v>
      </c>
      <c r="N301" s="4">
        <v>81.756</v>
      </c>
      <c r="O301" s="88">
        <v>81.756</v>
      </c>
      <c r="P301" s="4">
        <v>31</v>
      </c>
      <c r="Q301" s="3" t="s">
        <v>26</v>
      </c>
      <c r="R301" s="3">
        <v>0</v>
      </c>
      <c r="S301" s="3">
        <v>0</v>
      </c>
      <c r="T301" s="3">
        <v>47</v>
      </c>
      <c r="U301" s="3">
        <v>87</v>
      </c>
      <c r="V301" s="88">
        <f>IF(ISERROR(VLOOKUP($S$301,'TAR FIN'!$A$1:$O$91,15,0)),0,VLOOKUP($S$301,'TAR FIN'!$A$1:$O$91,15,0))</f>
        <v>0</v>
      </c>
      <c r="W301" s="88">
        <f>IF(ISERROR(VLOOKUP($T$301,'TAR FIN'!$A$1:$O$91,15,0)),0,VLOOKUP($T$301,'TAR FIN'!$A$1:$O$91,15,0))*(1-0.06)</f>
        <v>382.12879999999996</v>
      </c>
      <c r="X301" s="88">
        <f>IF(ISERROR(VLOOKUP($U$301,'TAR FIN'!$A$1:$O$91,15,0)),0,VLOOKUP($U$301,'TAR FIN'!$A$1:$O$91,15,0))*(1-0.06)</f>
        <v>187.0882</v>
      </c>
      <c r="Y301" s="88"/>
      <c r="Z301" s="88">
        <f ca="1">('TUSD BE'!$AM$51+'TUSD BF'!$AM$51+'TUSD CVA'!$AM$51)*1*(1-0.03)</f>
        <v>432.64202685762814</v>
      </c>
      <c r="AA301" s="88">
        <f>('TE BE'!$AB$42+'TE BF'!$AB$42+'TE CVA'!$AB$42)*1*(1-0.03)</f>
        <v>199.35759971445364</v>
      </c>
      <c r="AB301" s="88">
        <f>(SUBSIDIO!$J$301*SUBSIDIO!$V$301)*(0.06)/(1-0.06)</f>
        <v>0</v>
      </c>
      <c r="AC301" s="88">
        <f>((SUBSIDIO!$L$301*SUBSIDIO!$W$301)+(SUBSIDIO!$N$301*SUBSIDIO!$X$301))*(0.06)/(1-0.06)</f>
        <v>2970.4407479999995</v>
      </c>
      <c r="AD301" s="88">
        <f>(SUBSIDIO!$J$301*SUBSIDIO!$Y$301)*(0.03)/(1-0.03)</f>
        <v>0</v>
      </c>
      <c r="AE301" s="88">
        <f ca="1">((SUBSIDIO!$L$301*SUBSIDIO!$Z$301)+(SUBSIDIO!$N$301*SUBSIDIO!$AA$301))*(0.03)/(1-0.03)</f>
        <v>1598.0338598977457</v>
      </c>
      <c r="AF301" s="3" t="s">
        <v>780</v>
      </c>
    </row>
    <row r="302" spans="1:32" ht="11.25" customHeight="1" x14ac:dyDescent="0.3">
      <c r="A302" s="3" t="s">
        <v>21</v>
      </c>
      <c r="B302" s="3" t="s">
        <v>37</v>
      </c>
      <c r="C302" s="3" t="s">
        <v>23</v>
      </c>
      <c r="D302" s="3" t="s">
        <v>48</v>
      </c>
      <c r="E302" s="3" t="s">
        <v>49</v>
      </c>
      <c r="F302" s="3" t="s">
        <v>25</v>
      </c>
      <c r="G302" s="3" t="s">
        <v>25</v>
      </c>
      <c r="H302" s="3" t="s">
        <v>25</v>
      </c>
      <c r="I302" s="6">
        <v>44682</v>
      </c>
      <c r="J302" s="4">
        <v>0</v>
      </c>
      <c r="K302" s="88">
        <v>0</v>
      </c>
      <c r="L302" s="4">
        <v>80.668999999999997</v>
      </c>
      <c r="M302" s="88">
        <v>80.668999999999997</v>
      </c>
      <c r="N302" s="4">
        <v>80.668999999999997</v>
      </c>
      <c r="O302" s="88">
        <v>80.668999999999997</v>
      </c>
      <c r="P302" s="4">
        <v>32</v>
      </c>
      <c r="Q302" s="3" t="s">
        <v>26</v>
      </c>
      <c r="R302" s="3">
        <v>0</v>
      </c>
      <c r="S302" s="3">
        <v>0</v>
      </c>
      <c r="T302" s="3">
        <v>47</v>
      </c>
      <c r="U302" s="3">
        <v>87</v>
      </c>
      <c r="V302" s="88">
        <f>IF(ISERROR(VLOOKUP($S$302,'TAR FIN'!$A$1:$O$91,15,0)),0,VLOOKUP($S$302,'TAR FIN'!$A$1:$O$91,15,0))</f>
        <v>0</v>
      </c>
      <c r="W302" s="88">
        <f>IF(ISERROR(VLOOKUP($T$302,'TAR FIN'!$A$1:$O$91,15,0)),0,VLOOKUP($T$302,'TAR FIN'!$A$1:$O$91,15,0))*(1-0.06)</f>
        <v>382.12879999999996</v>
      </c>
      <c r="X302" s="88">
        <f>IF(ISERROR(VLOOKUP($U$302,'TAR FIN'!$A$1:$O$91,15,0)),0,VLOOKUP($U$302,'TAR FIN'!$A$1:$O$91,15,0))*(1-0.06)</f>
        <v>187.0882</v>
      </c>
      <c r="Y302" s="88"/>
      <c r="Z302" s="88">
        <f ca="1">('TUSD BE'!$AM$51+'TUSD BF'!$AM$51+'TUSD CVA'!$AM$51)*1*(1-0.03)</f>
        <v>432.64202685762814</v>
      </c>
      <c r="AA302" s="88">
        <f>('TE BE'!$AB$42+'TE BF'!$AB$42+'TE CVA'!$AB$42)*1*(1-0.03)</f>
        <v>199.35759971445364</v>
      </c>
      <c r="AB302" s="88">
        <f>(SUBSIDIO!$J$302*SUBSIDIO!$V$302)*(0.06)/(1-0.06)</f>
        <v>0</v>
      </c>
      <c r="AC302" s="88">
        <f>((SUBSIDIO!$L$302*SUBSIDIO!$W$302)+(SUBSIDIO!$N$302*SUBSIDIO!$X$302))*(0.06)/(1-0.06)</f>
        <v>2930.9467769999997</v>
      </c>
      <c r="AD302" s="88">
        <f>(SUBSIDIO!$J$302*SUBSIDIO!$Y$302)*(0.03)/(1-0.03)</f>
        <v>0</v>
      </c>
      <c r="AE302" s="88">
        <f ca="1">((SUBSIDIO!$L$302*SUBSIDIO!$Z$302)+(SUBSIDIO!$N$302*SUBSIDIO!$AA$302))*(0.03)/(1-0.03)</f>
        <v>1576.786944616802</v>
      </c>
      <c r="AF302" s="3" t="s">
        <v>780</v>
      </c>
    </row>
    <row r="303" spans="1:32" ht="11.25" customHeight="1" x14ac:dyDescent="0.3">
      <c r="A303" s="3" t="s">
        <v>21</v>
      </c>
      <c r="B303" s="3" t="s">
        <v>37</v>
      </c>
      <c r="C303" s="3" t="s">
        <v>23</v>
      </c>
      <c r="D303" s="3" t="s">
        <v>48</v>
      </c>
      <c r="E303" s="3" t="s">
        <v>49</v>
      </c>
      <c r="F303" s="3" t="s">
        <v>25</v>
      </c>
      <c r="G303" s="3" t="s">
        <v>25</v>
      </c>
      <c r="H303" s="3" t="s">
        <v>25</v>
      </c>
      <c r="I303" s="6">
        <v>44713</v>
      </c>
      <c r="J303" s="4">
        <v>0</v>
      </c>
      <c r="K303" s="88">
        <v>0</v>
      </c>
      <c r="L303" s="4">
        <v>77.650999999999996</v>
      </c>
      <c r="M303" s="88">
        <v>77.650999999999996</v>
      </c>
      <c r="N303" s="4">
        <v>77.650999999999996</v>
      </c>
      <c r="O303" s="88">
        <v>77.650999999999996</v>
      </c>
      <c r="P303" s="4">
        <v>32</v>
      </c>
      <c r="Q303" s="3" t="s">
        <v>26</v>
      </c>
      <c r="R303" s="3">
        <v>0</v>
      </c>
      <c r="S303" s="3">
        <v>0</v>
      </c>
      <c r="T303" s="3">
        <v>47</v>
      </c>
      <c r="U303" s="3">
        <v>87</v>
      </c>
      <c r="V303" s="88">
        <f>IF(ISERROR(VLOOKUP($S$303,'TAR FIN'!$A$1:$O$91,15,0)),0,VLOOKUP($S$303,'TAR FIN'!$A$1:$O$91,15,0))</f>
        <v>0</v>
      </c>
      <c r="W303" s="88">
        <f>IF(ISERROR(VLOOKUP($T$303,'TAR FIN'!$A$1:$O$91,15,0)),0,VLOOKUP($T$303,'TAR FIN'!$A$1:$O$91,15,0))*(1-0.06)</f>
        <v>382.12879999999996</v>
      </c>
      <c r="X303" s="88">
        <f>IF(ISERROR(VLOOKUP($U$303,'TAR FIN'!$A$1:$O$91,15,0)),0,VLOOKUP($U$303,'TAR FIN'!$A$1:$O$91,15,0))*(1-0.06)</f>
        <v>187.0882</v>
      </c>
      <c r="Y303" s="88"/>
      <c r="Z303" s="88">
        <f ca="1">('TUSD BE'!$AM$51+'TUSD BF'!$AM$51+'TUSD CVA'!$AM$51)*1*(1-0.03)</f>
        <v>432.64202685762814</v>
      </c>
      <c r="AA303" s="88">
        <f>('TE BE'!$AB$42+'TE BF'!$AB$42+'TE CVA'!$AB$42)*1*(1-0.03)</f>
        <v>199.35759971445364</v>
      </c>
      <c r="AB303" s="88">
        <f>(SUBSIDIO!$J$303*SUBSIDIO!$V$303)*(0.06)/(1-0.06)</f>
        <v>0</v>
      </c>
      <c r="AC303" s="88">
        <f>((SUBSIDIO!$L$303*SUBSIDIO!$W$303)+(SUBSIDIO!$N$303*SUBSIDIO!$X$303))*(0.06)/(1-0.06)</f>
        <v>2821.2937829999996</v>
      </c>
      <c r="AD303" s="88">
        <f>(SUBSIDIO!$J$303*SUBSIDIO!$Y$303)*(0.03)/(1-0.03)</f>
        <v>0</v>
      </c>
      <c r="AE303" s="88">
        <f ca="1">((SUBSIDIO!$L$303*SUBSIDIO!$Z$303)+(SUBSIDIO!$N$303*SUBSIDIO!$AA$303))*(0.03)/(1-0.03)</f>
        <v>1517.7959691633623</v>
      </c>
      <c r="AF303" s="3" t="s">
        <v>780</v>
      </c>
    </row>
    <row r="304" spans="1:32" ht="11.25" customHeight="1" x14ac:dyDescent="0.3"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22:31" ht="11.25" customHeight="1" x14ac:dyDescent="0.3"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22:31" ht="11.25" customHeight="1" x14ac:dyDescent="0.3"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22:31" ht="11.25" customHeight="1" x14ac:dyDescent="0.3"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22:31" ht="11.25" customHeight="1" x14ac:dyDescent="0.3"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22:31" ht="11.25" customHeight="1" x14ac:dyDescent="0.3"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22:31" ht="11.25" customHeight="1" x14ac:dyDescent="0.3"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22:31" ht="11.25" customHeight="1" x14ac:dyDescent="0.3"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22:31" ht="11.25" customHeight="1" x14ac:dyDescent="0.3"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22:31" ht="11.25" customHeight="1" x14ac:dyDescent="0.3"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22:31" ht="11.25" customHeight="1" x14ac:dyDescent="0.3"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22:31" ht="11.25" customHeight="1" x14ac:dyDescent="0.3"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22:31" ht="11.25" customHeight="1" x14ac:dyDescent="0.3"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22:31" ht="11.25" customHeight="1" x14ac:dyDescent="0.3"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22:31" ht="11.25" customHeight="1" x14ac:dyDescent="0.3"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22:31" ht="11.25" customHeight="1" x14ac:dyDescent="0.3"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22:31" ht="11.25" customHeight="1" x14ac:dyDescent="0.3"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22:31" ht="11.25" customHeight="1" x14ac:dyDescent="0.3"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22:31" ht="11.25" customHeight="1" x14ac:dyDescent="0.3"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22:31" ht="11.25" customHeight="1" x14ac:dyDescent="0.3"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22:31" ht="11.25" customHeight="1" x14ac:dyDescent="0.3"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22:31" ht="11.25" customHeight="1" x14ac:dyDescent="0.3"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22:31" ht="11.25" customHeight="1" x14ac:dyDescent="0.3"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22:31" ht="11.25" customHeight="1" x14ac:dyDescent="0.3"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22:31" ht="11.25" customHeight="1" x14ac:dyDescent="0.3"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22:31" ht="11.25" customHeight="1" x14ac:dyDescent="0.3"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22:31" ht="11.25" customHeight="1" x14ac:dyDescent="0.3"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22:31" ht="11.25" customHeight="1" x14ac:dyDescent="0.3"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22:31" ht="11.25" customHeight="1" x14ac:dyDescent="0.3"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22:31" ht="11.25" customHeight="1" x14ac:dyDescent="0.3"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22:31" ht="11.25" customHeight="1" x14ac:dyDescent="0.3"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22:31" ht="11.25" customHeight="1" x14ac:dyDescent="0.3"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22:31" ht="11.25" customHeight="1" x14ac:dyDescent="0.3"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22:31" ht="11.25" customHeight="1" x14ac:dyDescent="0.3"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22:31" ht="11.25" customHeight="1" x14ac:dyDescent="0.3"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22:31" ht="11.25" customHeight="1" x14ac:dyDescent="0.3"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22:31" ht="11.25" customHeight="1" x14ac:dyDescent="0.3"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22:31" ht="11.25" customHeight="1" x14ac:dyDescent="0.3"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22:31" ht="11.25" customHeight="1" x14ac:dyDescent="0.3"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22:31" ht="11.25" customHeight="1" x14ac:dyDescent="0.3"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22:31" ht="11.25" customHeight="1" x14ac:dyDescent="0.3"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22:31" ht="11.25" customHeight="1" x14ac:dyDescent="0.3"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22:31" ht="11.25" customHeight="1" x14ac:dyDescent="0.3"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22:31" ht="11.25" customHeight="1" x14ac:dyDescent="0.3"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22:31" ht="11.25" customHeight="1" x14ac:dyDescent="0.3"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22:31" ht="11.25" customHeight="1" x14ac:dyDescent="0.3"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22:31" ht="11.25" customHeight="1" x14ac:dyDescent="0.3"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22:31" ht="11.25" customHeight="1" x14ac:dyDescent="0.3"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22:31" ht="11.25" customHeight="1" x14ac:dyDescent="0.3"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22:31" ht="11.25" customHeight="1" x14ac:dyDescent="0.3"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22:31" ht="11.25" customHeight="1" x14ac:dyDescent="0.3"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22:31" ht="11.25" customHeight="1" x14ac:dyDescent="0.3"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22:31" ht="11.25" customHeight="1" x14ac:dyDescent="0.3"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22:31" ht="11.25" customHeight="1" x14ac:dyDescent="0.3"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22:31" ht="11.25" customHeight="1" x14ac:dyDescent="0.3"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22:31" ht="11.25" customHeight="1" x14ac:dyDescent="0.3"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22:31" ht="11.25" customHeight="1" x14ac:dyDescent="0.3"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22:31" ht="11.25" customHeight="1" x14ac:dyDescent="0.3"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22:31" ht="11.25" customHeight="1" x14ac:dyDescent="0.3"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22:31" ht="11.25" customHeight="1" x14ac:dyDescent="0.3"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22:31" ht="11.25" customHeight="1" x14ac:dyDescent="0.3"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22:31" ht="11.25" customHeight="1" x14ac:dyDescent="0.3"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22:31" ht="11.25" customHeight="1" x14ac:dyDescent="0.3"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22:31" ht="11.25" customHeight="1" x14ac:dyDescent="0.3"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22:31" ht="11.25" customHeight="1" x14ac:dyDescent="0.3"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22:31" ht="11.25" customHeight="1" x14ac:dyDescent="0.3"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22:31" ht="11.25" customHeight="1" x14ac:dyDescent="0.3"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22:31" ht="11.25" customHeight="1" x14ac:dyDescent="0.3"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22:31" ht="11.25" customHeight="1" x14ac:dyDescent="0.3"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22:31" ht="11.25" customHeight="1" x14ac:dyDescent="0.3"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22:31" ht="11.25" customHeight="1" x14ac:dyDescent="0.3"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22:31" ht="11.25" customHeight="1" x14ac:dyDescent="0.3"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22:31" ht="11.25" customHeight="1" x14ac:dyDescent="0.3"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22:31" ht="11.25" customHeight="1" x14ac:dyDescent="0.3"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22:31" ht="11.25" customHeight="1" x14ac:dyDescent="0.3"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22:31" ht="11.25" customHeight="1" x14ac:dyDescent="0.3"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22:31" ht="11.25" customHeight="1" x14ac:dyDescent="0.3"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22:31" ht="11.25" customHeight="1" x14ac:dyDescent="0.3"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22:31" ht="11.25" customHeight="1" x14ac:dyDescent="0.3"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22:31" ht="11.25" customHeight="1" x14ac:dyDescent="0.3"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22:31" ht="11.25" customHeight="1" x14ac:dyDescent="0.3"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22:31" ht="11.25" customHeight="1" x14ac:dyDescent="0.3"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22:31" ht="11.25" customHeight="1" x14ac:dyDescent="0.3"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22:31" ht="11.25" customHeight="1" x14ac:dyDescent="0.3"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22:31" ht="11.25" customHeight="1" x14ac:dyDescent="0.3"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22:31" ht="11.25" customHeight="1" x14ac:dyDescent="0.3"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22:31" ht="11.25" customHeight="1" x14ac:dyDescent="0.3"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22:31" ht="11.25" customHeight="1" x14ac:dyDescent="0.3"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22:31" ht="11.25" customHeight="1" x14ac:dyDescent="0.3"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22:31" ht="11.25" customHeight="1" x14ac:dyDescent="0.3"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22:31" ht="11.25" customHeight="1" x14ac:dyDescent="0.3"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22:31" ht="11.25" customHeight="1" x14ac:dyDescent="0.3"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22:31" ht="11.25" customHeight="1" x14ac:dyDescent="0.3"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22:31" ht="11.25" customHeight="1" x14ac:dyDescent="0.3"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22:31" ht="11.25" customHeight="1" x14ac:dyDescent="0.3"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22:31" ht="11.25" customHeight="1" x14ac:dyDescent="0.3"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22:31" ht="11.25" customHeight="1" x14ac:dyDescent="0.3"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22:31" ht="11.25" customHeight="1" x14ac:dyDescent="0.3"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22:31" ht="11.25" customHeight="1" x14ac:dyDescent="0.3"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22:31" ht="11.25" customHeight="1" x14ac:dyDescent="0.3"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22:31" ht="11.25" customHeight="1" x14ac:dyDescent="0.3"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22:31" ht="11.25" customHeight="1" x14ac:dyDescent="0.3"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22:31" ht="11.25" customHeight="1" x14ac:dyDescent="0.3"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22:31" ht="11.25" customHeight="1" x14ac:dyDescent="0.3"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22:31" ht="11.25" customHeight="1" x14ac:dyDescent="0.3"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22:31" ht="11.25" customHeight="1" x14ac:dyDescent="0.3"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22:31" ht="11.25" customHeight="1" x14ac:dyDescent="0.3"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22:31" ht="11.25" customHeight="1" x14ac:dyDescent="0.3"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22:31" ht="11.25" customHeight="1" x14ac:dyDescent="0.3"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22:31" ht="11.25" customHeight="1" x14ac:dyDescent="0.3"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22:31" ht="11.25" customHeight="1" x14ac:dyDescent="0.3"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22:31" ht="11.25" customHeight="1" x14ac:dyDescent="0.3"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22:31" ht="11.25" customHeight="1" x14ac:dyDescent="0.3"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22:31" ht="11.25" customHeight="1" x14ac:dyDescent="0.3"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22:31" ht="11.25" customHeight="1" x14ac:dyDescent="0.3"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22:31" ht="11.25" customHeight="1" x14ac:dyDescent="0.3"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22:31" ht="11.25" customHeight="1" x14ac:dyDescent="0.3"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22:31" ht="11.25" customHeight="1" x14ac:dyDescent="0.3"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22:31" ht="11.25" customHeight="1" x14ac:dyDescent="0.3"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22:31" ht="11.25" customHeight="1" x14ac:dyDescent="0.3"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22:31" ht="11.25" customHeight="1" x14ac:dyDescent="0.3"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22:31" ht="11.25" customHeight="1" x14ac:dyDescent="0.3"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22:31" ht="11.25" customHeight="1" x14ac:dyDescent="0.3"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22:31" ht="11.25" customHeight="1" x14ac:dyDescent="0.3"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22:31" ht="11.25" customHeight="1" x14ac:dyDescent="0.3"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22:31" ht="11.25" customHeight="1" x14ac:dyDescent="0.3"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22:31" ht="11.25" customHeight="1" x14ac:dyDescent="0.3"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22:31" ht="11.25" customHeight="1" x14ac:dyDescent="0.3"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22:31" ht="11.25" customHeight="1" x14ac:dyDescent="0.3"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22:31" ht="11.25" customHeight="1" x14ac:dyDescent="0.3"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22:31" ht="11.25" customHeight="1" x14ac:dyDescent="0.3"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22:31" ht="11.25" customHeight="1" x14ac:dyDescent="0.3"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22:31" ht="11.25" customHeight="1" x14ac:dyDescent="0.3"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22:31" ht="11.25" customHeight="1" x14ac:dyDescent="0.3"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22:31" ht="11.25" customHeight="1" x14ac:dyDescent="0.3"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22:31" ht="11.25" customHeight="1" x14ac:dyDescent="0.3"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22:31" ht="11.25" customHeight="1" x14ac:dyDescent="0.3"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22:31" ht="11.25" customHeight="1" x14ac:dyDescent="0.3"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22:31" ht="11.25" customHeight="1" x14ac:dyDescent="0.3"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22:31" ht="11.25" customHeight="1" x14ac:dyDescent="0.3"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22:31" ht="11.25" customHeight="1" x14ac:dyDescent="0.3"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22:31" ht="11.25" customHeight="1" x14ac:dyDescent="0.3"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22:31" ht="11.25" customHeight="1" x14ac:dyDescent="0.3"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22:31" ht="11.25" customHeight="1" x14ac:dyDescent="0.3"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22:31" ht="11.25" customHeight="1" x14ac:dyDescent="0.3"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22:31" ht="11.25" customHeight="1" x14ac:dyDescent="0.3"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22:31" ht="11.25" customHeight="1" x14ac:dyDescent="0.3"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22:31" ht="11.25" customHeight="1" x14ac:dyDescent="0.3"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22:31" ht="11.25" customHeight="1" x14ac:dyDescent="0.3"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22:31" ht="11.25" customHeight="1" x14ac:dyDescent="0.3"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22:31" ht="11.25" customHeight="1" x14ac:dyDescent="0.3"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22:31" ht="11.25" customHeight="1" x14ac:dyDescent="0.3"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22:31" ht="11.25" customHeight="1" x14ac:dyDescent="0.3"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22:31" ht="11.25" customHeight="1" x14ac:dyDescent="0.3"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22:31" ht="11.25" customHeight="1" x14ac:dyDescent="0.3"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22:31" ht="11.25" customHeight="1" x14ac:dyDescent="0.3"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22:31" ht="11.25" customHeight="1" x14ac:dyDescent="0.3"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22:31" ht="11.25" customHeight="1" x14ac:dyDescent="0.3"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22:31" ht="11.25" customHeight="1" x14ac:dyDescent="0.3"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22:31" ht="11.25" customHeight="1" x14ac:dyDescent="0.3"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22:31" ht="11.25" customHeight="1" x14ac:dyDescent="0.3"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22:31" ht="11.25" customHeight="1" x14ac:dyDescent="0.3"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22:31" ht="11.25" customHeight="1" x14ac:dyDescent="0.3"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22:31" ht="11.25" customHeight="1" x14ac:dyDescent="0.3"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22:31" ht="11.25" customHeight="1" x14ac:dyDescent="0.3"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22:31" ht="11.25" customHeight="1" x14ac:dyDescent="0.3"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22:31" ht="11.25" customHeight="1" x14ac:dyDescent="0.3"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22:31" ht="11.25" customHeight="1" x14ac:dyDescent="0.3"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22:31" ht="11.25" customHeight="1" x14ac:dyDescent="0.3"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22:31" ht="11.25" customHeight="1" x14ac:dyDescent="0.3"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22:31" ht="11.25" customHeight="1" x14ac:dyDescent="0.3"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22:31" ht="11.25" customHeight="1" x14ac:dyDescent="0.3"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22:31" ht="11.25" customHeight="1" x14ac:dyDescent="0.3"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22:31" ht="11.25" customHeight="1" x14ac:dyDescent="0.3"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22:31" ht="11.25" customHeight="1" x14ac:dyDescent="0.3"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22:31" ht="11.25" customHeight="1" x14ac:dyDescent="0.3"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22:31" ht="11.25" customHeight="1" x14ac:dyDescent="0.3"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22:31" ht="11.25" customHeight="1" x14ac:dyDescent="0.3"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22:31" ht="11.25" customHeight="1" x14ac:dyDescent="0.3"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22:31" ht="11.25" customHeight="1" x14ac:dyDescent="0.3"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22:31" ht="11.25" customHeight="1" x14ac:dyDescent="0.3"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22:31" ht="11.25" customHeight="1" x14ac:dyDescent="0.3"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22:31" ht="11.25" customHeight="1" x14ac:dyDescent="0.3"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22:31" ht="11.25" customHeight="1" x14ac:dyDescent="0.3"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22:31" ht="11.25" customHeight="1" x14ac:dyDescent="0.3"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22:31" ht="11.25" customHeight="1" x14ac:dyDescent="0.3"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22:31" ht="11.25" customHeight="1" x14ac:dyDescent="0.3"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22:31" ht="11.25" customHeight="1" x14ac:dyDescent="0.3"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22:31" ht="11.25" customHeight="1" x14ac:dyDescent="0.3"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22:31" ht="11.25" customHeight="1" x14ac:dyDescent="0.3"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22:31" ht="11.25" customHeight="1" x14ac:dyDescent="0.3"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22:31" ht="11.25" customHeight="1" x14ac:dyDescent="0.3"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22:31" ht="11.25" customHeight="1" x14ac:dyDescent="0.3"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22:31" ht="11.25" customHeight="1" x14ac:dyDescent="0.3"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22:31" ht="11.25" customHeight="1" x14ac:dyDescent="0.3"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22:31" ht="11.25" customHeight="1" x14ac:dyDescent="0.3"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22:31" ht="11.25" customHeight="1" x14ac:dyDescent="0.3"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22:31" ht="11.25" customHeight="1" x14ac:dyDescent="0.3"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22:31" ht="11.25" customHeight="1" x14ac:dyDescent="0.3"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22:31" ht="11.25" customHeight="1" x14ac:dyDescent="0.3"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22:31" ht="11.25" customHeight="1" x14ac:dyDescent="0.3"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22:31" ht="11.25" customHeight="1" x14ac:dyDescent="0.3"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22:31" ht="11.25" customHeight="1" x14ac:dyDescent="0.3"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22:31" ht="11.25" customHeight="1" x14ac:dyDescent="0.3"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22:31" ht="11.25" customHeight="1" x14ac:dyDescent="0.3"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22:31" ht="11.25" customHeight="1" x14ac:dyDescent="0.3"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22:31" ht="11.25" customHeight="1" x14ac:dyDescent="0.3"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22:31" ht="11.25" customHeight="1" x14ac:dyDescent="0.3"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22:31" ht="11.25" customHeight="1" x14ac:dyDescent="0.3"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22:31" ht="11.25" customHeight="1" x14ac:dyDescent="0.3"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22:31" ht="11.25" customHeight="1" x14ac:dyDescent="0.3"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22:31" ht="11.25" customHeight="1" x14ac:dyDescent="0.3"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22:31" ht="11.25" customHeight="1" x14ac:dyDescent="0.3"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22:31" ht="11.25" customHeight="1" x14ac:dyDescent="0.3"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22:31" ht="11.25" customHeight="1" x14ac:dyDescent="0.3"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22:31" ht="11.25" customHeight="1" x14ac:dyDescent="0.3"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22:31" ht="11.25" customHeight="1" x14ac:dyDescent="0.3"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22:31" ht="11.25" customHeight="1" x14ac:dyDescent="0.3"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22:31" ht="11.25" customHeight="1" x14ac:dyDescent="0.3"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22:31" ht="11.25" customHeight="1" x14ac:dyDescent="0.3"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22:31" ht="11.25" customHeight="1" x14ac:dyDescent="0.3"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22:31" ht="11.25" customHeight="1" x14ac:dyDescent="0.3"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22:31" ht="11.25" customHeight="1" x14ac:dyDescent="0.3"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22:31" ht="11.25" customHeight="1" x14ac:dyDescent="0.3"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22:31" ht="11.25" customHeight="1" x14ac:dyDescent="0.3"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22:31" ht="11.25" customHeight="1" x14ac:dyDescent="0.3"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22:31" ht="11.25" customHeight="1" x14ac:dyDescent="0.3"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22:31" ht="11.25" customHeight="1" x14ac:dyDescent="0.3"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22:31" ht="11.25" customHeight="1" x14ac:dyDescent="0.3"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22:31" ht="11.25" customHeight="1" x14ac:dyDescent="0.3"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22:31" ht="11.25" customHeight="1" x14ac:dyDescent="0.3"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22:31" ht="11.25" customHeight="1" x14ac:dyDescent="0.3"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22:31" ht="11.25" customHeight="1" x14ac:dyDescent="0.3"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22:31" ht="11.25" customHeight="1" x14ac:dyDescent="0.3"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22:31" ht="11.25" customHeight="1" x14ac:dyDescent="0.3"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22:31" ht="11.25" customHeight="1" x14ac:dyDescent="0.3"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22:31" ht="11.25" customHeight="1" x14ac:dyDescent="0.3"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22:31" ht="11.25" customHeight="1" x14ac:dyDescent="0.3"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22:31" ht="11.25" customHeight="1" x14ac:dyDescent="0.3"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22:31" ht="11.25" customHeight="1" x14ac:dyDescent="0.3"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22:31" ht="11.25" customHeight="1" x14ac:dyDescent="0.3"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22:31" ht="11.25" customHeight="1" x14ac:dyDescent="0.3"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22:31" ht="11.25" customHeight="1" x14ac:dyDescent="0.3"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22:31" ht="11.25" customHeight="1" x14ac:dyDescent="0.3"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22:31" ht="11.25" customHeight="1" x14ac:dyDescent="0.3"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22:31" ht="11.25" customHeight="1" x14ac:dyDescent="0.3"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22:31" ht="11.25" customHeight="1" x14ac:dyDescent="0.3"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22:31" ht="11.25" customHeight="1" x14ac:dyDescent="0.3"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22:31" ht="11.25" customHeight="1" x14ac:dyDescent="0.3"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22:31" ht="11.25" customHeight="1" x14ac:dyDescent="0.3"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22:31" ht="11.25" customHeight="1" x14ac:dyDescent="0.3"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22:31" ht="11.25" customHeight="1" x14ac:dyDescent="0.3"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22:31" ht="11.25" customHeight="1" x14ac:dyDescent="0.3"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22:31" ht="11.25" customHeight="1" x14ac:dyDescent="0.3"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22:31" ht="11.25" customHeight="1" x14ac:dyDescent="0.3"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22:31" ht="11.25" customHeight="1" x14ac:dyDescent="0.3"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22:31" ht="11.25" customHeight="1" x14ac:dyDescent="0.3"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22:31" ht="11.25" customHeight="1" x14ac:dyDescent="0.3"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22:31" ht="11.25" customHeight="1" x14ac:dyDescent="0.3"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22:31" ht="11.25" customHeight="1" x14ac:dyDescent="0.3"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22:31" ht="11.25" customHeight="1" x14ac:dyDescent="0.3"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22:31" ht="11.25" customHeight="1" x14ac:dyDescent="0.3"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22:31" ht="11.25" customHeight="1" x14ac:dyDescent="0.3"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22:31" ht="11.25" customHeight="1" x14ac:dyDescent="0.3"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22:31" ht="11.25" customHeight="1" x14ac:dyDescent="0.3"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22:31" ht="11.25" customHeight="1" x14ac:dyDescent="0.3"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22:31" ht="11.25" customHeight="1" x14ac:dyDescent="0.3"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22:31" ht="11.25" customHeight="1" x14ac:dyDescent="0.3"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22:31" ht="11.25" customHeight="1" x14ac:dyDescent="0.3"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22:31" ht="11.25" customHeight="1" x14ac:dyDescent="0.3"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22:31" ht="11.25" customHeight="1" x14ac:dyDescent="0.3"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22:31" ht="11.25" customHeight="1" x14ac:dyDescent="0.3"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22:31" ht="11.25" customHeight="1" x14ac:dyDescent="0.3"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22:31" ht="11.25" customHeight="1" x14ac:dyDescent="0.3"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22:31" ht="11.25" customHeight="1" x14ac:dyDescent="0.3"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22:31" ht="11.25" customHeight="1" x14ac:dyDescent="0.3"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22:31" ht="11.25" customHeight="1" x14ac:dyDescent="0.3"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22:31" ht="11.25" customHeight="1" x14ac:dyDescent="0.3"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22:31" ht="11.25" customHeight="1" x14ac:dyDescent="0.3"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22:31" ht="11.25" customHeight="1" x14ac:dyDescent="0.3"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22:31" ht="11.25" customHeight="1" x14ac:dyDescent="0.3"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22:31" ht="11.25" customHeight="1" x14ac:dyDescent="0.3"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22:31" ht="11.25" customHeight="1" x14ac:dyDescent="0.3"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22:31" ht="11.25" customHeight="1" x14ac:dyDescent="0.3"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22:31" ht="11.25" customHeight="1" x14ac:dyDescent="0.3"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22:31" ht="11.25" customHeight="1" x14ac:dyDescent="0.3"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22:31" ht="11.25" customHeight="1" x14ac:dyDescent="0.3"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22:31" ht="11.25" customHeight="1" x14ac:dyDescent="0.3"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22:31" ht="11.25" customHeight="1" x14ac:dyDescent="0.3"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22:31" ht="11.25" customHeight="1" x14ac:dyDescent="0.3"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2:31" ht="11.25" customHeight="1" x14ac:dyDescent="0.3"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2:31" ht="11.25" customHeight="1" x14ac:dyDescent="0.3"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2:31" ht="11.25" customHeight="1" x14ac:dyDescent="0.3"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2:31" ht="11.25" customHeight="1" x14ac:dyDescent="0.3"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22:31" ht="11.25" customHeight="1" x14ac:dyDescent="0.3"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2:31" ht="11.25" customHeight="1" x14ac:dyDescent="0.3"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22:31" ht="11.25" customHeight="1" x14ac:dyDescent="0.3"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2:31" ht="11.25" customHeight="1" x14ac:dyDescent="0.3"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2:31" ht="11.25" customHeight="1" x14ac:dyDescent="0.3"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22:31" ht="11.25" customHeight="1" x14ac:dyDescent="0.3"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22:31" ht="11.25" customHeight="1" x14ac:dyDescent="0.3"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22:31" ht="11.25" customHeight="1" x14ac:dyDescent="0.3"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2:31" ht="11.25" customHeight="1" x14ac:dyDescent="0.3"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22:31" ht="11.25" customHeight="1" x14ac:dyDescent="0.3"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22:31" ht="11.25" customHeight="1" x14ac:dyDescent="0.3"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22:31" ht="11.25" customHeight="1" x14ac:dyDescent="0.3"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22:31" ht="11.25" customHeight="1" x14ac:dyDescent="0.3"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22:31" ht="11.25" customHeight="1" x14ac:dyDescent="0.3"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22:31" ht="11.25" customHeight="1" x14ac:dyDescent="0.3"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22:31" ht="11.25" customHeight="1" x14ac:dyDescent="0.3"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22:31" ht="11.25" customHeight="1" x14ac:dyDescent="0.3"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22:31" ht="11.25" customHeight="1" x14ac:dyDescent="0.3"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22:31" ht="11.25" customHeight="1" x14ac:dyDescent="0.3"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22:31" ht="11.25" customHeight="1" x14ac:dyDescent="0.3"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22:31" ht="11.25" customHeight="1" x14ac:dyDescent="0.3"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22:31" ht="11.25" customHeight="1" x14ac:dyDescent="0.3"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22:31" ht="11.25" customHeight="1" x14ac:dyDescent="0.3"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22:31" ht="11.25" customHeight="1" x14ac:dyDescent="0.3"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22:31" ht="11.25" customHeight="1" x14ac:dyDescent="0.3"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22:31" ht="11.25" customHeight="1" x14ac:dyDescent="0.3"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22:31" ht="11.25" customHeight="1" x14ac:dyDescent="0.3"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22:31" ht="11.25" customHeight="1" x14ac:dyDescent="0.3"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22:31" ht="11.25" customHeight="1" x14ac:dyDescent="0.3"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22:31" ht="11.25" customHeight="1" x14ac:dyDescent="0.3"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22:31" ht="11.25" customHeight="1" x14ac:dyDescent="0.3"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22:31" ht="11.25" customHeight="1" x14ac:dyDescent="0.3"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22:31" ht="11.25" customHeight="1" x14ac:dyDescent="0.3"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22:31" ht="11.25" customHeight="1" x14ac:dyDescent="0.3"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22:31" ht="11.25" customHeight="1" x14ac:dyDescent="0.3"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22:31" ht="11.25" customHeight="1" x14ac:dyDescent="0.3"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22:31" ht="11.25" customHeight="1" x14ac:dyDescent="0.3"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22:31" ht="11.25" customHeight="1" x14ac:dyDescent="0.3"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22:31" ht="11.25" customHeight="1" x14ac:dyDescent="0.3"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22:31" ht="11.25" customHeight="1" x14ac:dyDescent="0.3"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22:31" ht="11.25" customHeight="1" x14ac:dyDescent="0.3"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22:31" ht="11.25" customHeight="1" x14ac:dyDescent="0.3"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22:31" ht="11.25" customHeight="1" x14ac:dyDescent="0.3"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22:31" ht="11.25" customHeight="1" x14ac:dyDescent="0.3"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22:31" ht="11.25" customHeight="1" x14ac:dyDescent="0.3"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22:31" ht="11.25" customHeight="1" x14ac:dyDescent="0.3"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22:31" ht="11.25" customHeight="1" x14ac:dyDescent="0.3"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22:31" ht="11.25" customHeight="1" x14ac:dyDescent="0.3"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22:31" ht="11.25" customHeight="1" x14ac:dyDescent="0.3"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22:31" ht="11.25" customHeight="1" x14ac:dyDescent="0.3"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22:31" ht="11.25" customHeight="1" x14ac:dyDescent="0.3"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22:31" ht="11.25" customHeight="1" x14ac:dyDescent="0.3"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22:31" ht="11.25" customHeight="1" x14ac:dyDescent="0.3"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22:31" ht="11.25" customHeight="1" x14ac:dyDescent="0.3"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22:31" ht="11.25" customHeight="1" x14ac:dyDescent="0.3"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22:31" ht="11.25" customHeight="1" x14ac:dyDescent="0.3"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22:31" ht="11.25" customHeight="1" x14ac:dyDescent="0.3"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22:31" ht="11.25" customHeight="1" x14ac:dyDescent="0.3"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22:31" ht="11.25" customHeight="1" x14ac:dyDescent="0.3"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22:31" ht="11.25" customHeight="1" x14ac:dyDescent="0.3"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22:31" ht="11.25" customHeight="1" x14ac:dyDescent="0.3"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22:31" ht="11.25" customHeight="1" x14ac:dyDescent="0.3"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22:31" ht="11.25" customHeight="1" x14ac:dyDescent="0.3"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22:31" ht="11.25" customHeight="1" x14ac:dyDescent="0.3"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22:31" ht="11.25" customHeight="1" x14ac:dyDescent="0.3"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22:31" ht="11.25" customHeight="1" x14ac:dyDescent="0.3"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22:31" ht="11.25" customHeight="1" x14ac:dyDescent="0.3"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22:31" ht="11.25" customHeight="1" x14ac:dyDescent="0.3"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22:31" ht="11.25" customHeight="1" x14ac:dyDescent="0.3"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22:31" ht="11.25" customHeight="1" x14ac:dyDescent="0.3"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22:31" ht="11.25" customHeight="1" x14ac:dyDescent="0.3"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9852C-BAAC-4D61-AF5A-3AB3665FCC4B}">
  <sheetPr codeName="Planilha29"/>
  <dimension ref="A1:J661"/>
  <sheetViews>
    <sheetView showGridLines="0" workbookViewId="0"/>
  </sheetViews>
  <sheetFormatPr defaultColWidth="9.109375" defaultRowHeight="11.25" customHeight="1" x14ac:dyDescent="0.2"/>
  <cols>
    <col min="1" max="1" width="34.6640625" style="14" bestFit="1" customWidth="1"/>
    <col min="2" max="2" width="24.5546875" style="20" bestFit="1" customWidth="1"/>
    <col min="3" max="3" width="25.5546875" style="20" bestFit="1" customWidth="1"/>
    <col min="4" max="4" width="26" style="20" bestFit="1" customWidth="1"/>
    <col min="5" max="5" width="26.88671875" style="20" bestFit="1" customWidth="1"/>
    <col min="6" max="6" width="23.6640625" style="20" bestFit="1" customWidth="1"/>
    <col min="7" max="7" width="24.5546875" style="20" bestFit="1" customWidth="1"/>
    <col min="8" max="8" width="18.33203125" style="21" bestFit="1" customWidth="1"/>
    <col min="9" max="9" width="16" style="21" bestFit="1" customWidth="1"/>
    <col min="10" max="10" width="13.88671875" style="21" bestFit="1" customWidth="1"/>
    <col min="11" max="16384" width="9.109375" style="14"/>
  </cols>
  <sheetData>
    <row r="1" spans="1:10" ht="11.25" customHeight="1" x14ac:dyDescent="0.2">
      <c r="A1" s="19" t="s">
        <v>760</v>
      </c>
      <c r="B1" s="20" t="s">
        <v>761</v>
      </c>
      <c r="C1" s="20" t="s">
        <v>762</v>
      </c>
      <c r="D1" s="20" t="s">
        <v>763</v>
      </c>
      <c r="E1" s="20" t="s">
        <v>764</v>
      </c>
      <c r="F1" s="20" t="s">
        <v>765</v>
      </c>
      <c r="G1" s="20" t="s">
        <v>766</v>
      </c>
      <c r="H1" s="21" t="s">
        <v>767</v>
      </c>
      <c r="I1" s="21" t="s">
        <v>768</v>
      </c>
      <c r="J1" s="21" t="s">
        <v>769</v>
      </c>
    </row>
    <row r="2" spans="1:10" ht="11.25" customHeight="1" x14ac:dyDescent="0.2">
      <c r="A2" s="22" t="s">
        <v>26</v>
      </c>
      <c r="B2" s="20">
        <v>2668092.1220000014</v>
      </c>
      <c r="C2" s="20">
        <v>3521512.4946170188</v>
      </c>
      <c r="D2" s="20">
        <v>23258673.356828377</v>
      </c>
      <c r="E2" s="20">
        <v>29541049.288254116</v>
      </c>
      <c r="F2" s="20">
        <v>12756846.017357998</v>
      </c>
      <c r="G2" s="20">
        <v>13401617.837401824</v>
      </c>
      <c r="H2" s="21">
        <v>0.27522894477021342</v>
      </c>
      <c r="I2" s="21">
        <v>5.0543200032867608E-2</v>
      </c>
      <c r="J2" s="21">
        <v>0.20113344703747726</v>
      </c>
    </row>
    <row r="3" spans="1:10" ht="11.25" customHeight="1" x14ac:dyDescent="0.2">
      <c r="A3" s="23" t="s">
        <v>39</v>
      </c>
      <c r="B3" s="20">
        <v>2668092.1220000014</v>
      </c>
      <c r="C3" s="20">
        <v>3521512.4946170188</v>
      </c>
      <c r="D3" s="20">
        <v>1919806.9591392009</v>
      </c>
      <c r="E3" s="20">
        <v>2413327.3852804988</v>
      </c>
      <c r="F3" s="20">
        <v>2235674.9840512006</v>
      </c>
      <c r="G3" s="20">
        <v>2307260.885554349</v>
      </c>
      <c r="H3" s="21">
        <v>0.29358553336440463</v>
      </c>
      <c r="I3" s="21">
        <v>3.2019815945442121E-2</v>
      </c>
      <c r="J3" s="21">
        <v>0.20788617324429692</v>
      </c>
    </row>
    <row r="4" spans="1:10" ht="11.25" customHeight="1" x14ac:dyDescent="0.2">
      <c r="A4" s="24" t="s">
        <v>40</v>
      </c>
      <c r="B4" s="20">
        <v>2668092.1220000014</v>
      </c>
      <c r="C4" s="20">
        <v>3521512.4946170188</v>
      </c>
      <c r="D4" s="20">
        <v>1919806.9591392009</v>
      </c>
      <c r="E4" s="20">
        <v>2413327.3852804988</v>
      </c>
      <c r="F4" s="20">
        <v>2235674.9840512006</v>
      </c>
      <c r="G4" s="20">
        <v>2307260.885554349</v>
      </c>
      <c r="H4" s="21">
        <v>0.29358553336440463</v>
      </c>
      <c r="I4" s="21">
        <v>3.2019815945442121E-2</v>
      </c>
      <c r="J4" s="21">
        <v>0.20788617324429692</v>
      </c>
    </row>
    <row r="5" spans="1:10" ht="11.25" customHeight="1" x14ac:dyDescent="0.2">
      <c r="A5" s="25" t="s">
        <v>41</v>
      </c>
      <c r="B5" s="20">
        <v>1236949.6100000001</v>
      </c>
      <c r="C5" s="20">
        <v>1632602.3644046611</v>
      </c>
      <c r="D5" s="20">
        <v>1089511.9034400003</v>
      </c>
      <c r="E5" s="20">
        <v>1363179.9966690303</v>
      </c>
      <c r="F5" s="20">
        <v>1021972.8316800001</v>
      </c>
      <c r="G5" s="20">
        <v>1055120.7985744914</v>
      </c>
      <c r="H5" s="21">
        <v>0.28769908453976822</v>
      </c>
      <c r="I5" s="21">
        <v>3.2435272119709646E-2</v>
      </c>
      <c r="J5" s="21">
        <v>0.20979023093343896</v>
      </c>
    </row>
    <row r="6" spans="1:10" ht="11.25" customHeight="1" x14ac:dyDescent="0.2">
      <c r="A6" s="26" t="s">
        <v>25</v>
      </c>
      <c r="B6" s="20">
        <v>1236949.6100000001</v>
      </c>
      <c r="C6" s="20">
        <v>1632602.3644046611</v>
      </c>
      <c r="D6" s="20">
        <v>1089511.9034400003</v>
      </c>
      <c r="E6" s="20">
        <v>1363179.9966690303</v>
      </c>
      <c r="F6" s="20">
        <v>1021972.8316800001</v>
      </c>
      <c r="G6" s="20">
        <v>1055120.7985744914</v>
      </c>
      <c r="H6" s="21">
        <v>0.28769908453976822</v>
      </c>
      <c r="I6" s="21">
        <v>3.2435272119709646E-2</v>
      </c>
      <c r="J6" s="21">
        <v>0.20979023093343896</v>
      </c>
    </row>
    <row r="7" spans="1:10" ht="11.25" customHeight="1" x14ac:dyDescent="0.2">
      <c r="A7" s="27" t="s">
        <v>25</v>
      </c>
      <c r="B7" s="20">
        <v>1236949.6100000001</v>
      </c>
      <c r="C7" s="20">
        <v>1632602.3644046611</v>
      </c>
      <c r="D7" s="20">
        <v>1089511.9034400003</v>
      </c>
      <c r="E7" s="20">
        <v>1363179.9966690303</v>
      </c>
      <c r="F7" s="20">
        <v>1021972.8316800001</v>
      </c>
      <c r="G7" s="20">
        <v>1055120.7985744914</v>
      </c>
      <c r="H7" s="21">
        <v>0.28769908453976822</v>
      </c>
      <c r="I7" s="21">
        <v>3.2435272119709646E-2</v>
      </c>
      <c r="J7" s="21">
        <v>0.20979023093343896</v>
      </c>
    </row>
    <row r="8" spans="1:10" ht="11.25" customHeight="1" x14ac:dyDescent="0.2">
      <c r="A8" s="28" t="s">
        <v>25</v>
      </c>
      <c r="B8" s="20">
        <v>1236949.6100000001</v>
      </c>
      <c r="C8" s="20">
        <v>1632602.3644046611</v>
      </c>
      <c r="D8" s="20">
        <v>1089511.9034400003</v>
      </c>
      <c r="E8" s="20">
        <v>1363179.9966690303</v>
      </c>
      <c r="F8" s="20">
        <v>1021972.8316800001</v>
      </c>
      <c r="G8" s="20">
        <v>1055120.7985744914</v>
      </c>
      <c r="H8" s="21">
        <v>0.28769908453976822</v>
      </c>
      <c r="I8" s="21">
        <v>3.2435272119709646E-2</v>
      </c>
      <c r="J8" s="21">
        <v>0.20979023093343896</v>
      </c>
    </row>
    <row r="9" spans="1:10" ht="11.25" customHeight="1" x14ac:dyDescent="0.2">
      <c r="A9" s="29" t="s">
        <v>35</v>
      </c>
      <c r="B9" s="20">
        <v>0</v>
      </c>
      <c r="C9" s="20">
        <v>0</v>
      </c>
      <c r="D9" s="20">
        <v>433907.24598000007</v>
      </c>
      <c r="E9" s="20">
        <v>555972.06235237909</v>
      </c>
      <c r="F9" s="20">
        <v>910371.33252000005</v>
      </c>
      <c r="G9" s="20">
        <v>938824.37732882344</v>
      </c>
      <c r="H9" s="21">
        <v>0.28131545970542571</v>
      </c>
      <c r="I9" s="21">
        <v>3.125432863759281E-2</v>
      </c>
      <c r="J9" s="21">
        <v>0.11196924773520989</v>
      </c>
    </row>
    <row r="10" spans="1:10" ht="11.25" customHeight="1" x14ac:dyDescent="0.2">
      <c r="A10" s="30">
        <v>44378</v>
      </c>
      <c r="B10" s="20">
        <v>0</v>
      </c>
      <c r="C10" s="20">
        <v>0</v>
      </c>
      <c r="D10" s="20">
        <v>29240.16462000001</v>
      </c>
      <c r="E10" s="20">
        <v>37465.874971937636</v>
      </c>
      <c r="F10" s="20">
        <v>61348.151880000005</v>
      </c>
      <c r="G10" s="20">
        <v>63265.54718016649</v>
      </c>
      <c r="H10" s="21">
        <v>0.28131545970542571</v>
      </c>
      <c r="I10" s="21">
        <v>3.1254328637593032E-2</v>
      </c>
      <c r="J10" s="21">
        <v>0.11196924773520989</v>
      </c>
    </row>
    <row r="11" spans="1:10" ht="11.25" customHeight="1" x14ac:dyDescent="0.2">
      <c r="A11" s="30">
        <v>44409</v>
      </c>
      <c r="B11" s="20">
        <v>0</v>
      </c>
      <c r="C11" s="20">
        <v>0</v>
      </c>
      <c r="D11" s="20">
        <v>18388.492920000004</v>
      </c>
      <c r="E11" s="20">
        <v>23561.460259079769</v>
      </c>
      <c r="F11" s="20">
        <v>38580.496080000004</v>
      </c>
      <c r="G11" s="20">
        <v>39786.303583485686</v>
      </c>
      <c r="H11" s="21">
        <v>0.28131545970542571</v>
      </c>
      <c r="I11" s="21">
        <v>3.125432863759281E-2</v>
      </c>
      <c r="J11" s="21">
        <v>0.11196924773520989</v>
      </c>
    </row>
    <row r="12" spans="1:10" ht="11.25" customHeight="1" x14ac:dyDescent="0.2">
      <c r="A12" s="30">
        <v>44440</v>
      </c>
      <c r="B12" s="20">
        <v>0</v>
      </c>
      <c r="C12" s="20">
        <v>0</v>
      </c>
      <c r="D12" s="20">
        <v>25995.754260000005</v>
      </c>
      <c r="E12" s="20">
        <v>33308.761820041189</v>
      </c>
      <c r="F12" s="20">
        <v>54541.125240000008</v>
      </c>
      <c r="G12" s="20">
        <v>56245.771492515079</v>
      </c>
      <c r="H12" s="21">
        <v>0.28131545970542593</v>
      </c>
      <c r="I12" s="21">
        <v>3.125432863759281E-2</v>
      </c>
      <c r="J12" s="21">
        <v>0.11196924773521011</v>
      </c>
    </row>
    <row r="13" spans="1:10" ht="11.25" customHeight="1" x14ac:dyDescent="0.2">
      <c r="A13" s="30">
        <v>44470</v>
      </c>
      <c r="B13" s="20">
        <v>0</v>
      </c>
      <c r="C13" s="20">
        <v>0</v>
      </c>
      <c r="D13" s="20">
        <v>30152.717280000001</v>
      </c>
      <c r="E13" s="20">
        <v>38635.142802990937</v>
      </c>
      <c r="F13" s="20">
        <v>63262.758719999998</v>
      </c>
      <c r="G13" s="20">
        <v>65239.993771555623</v>
      </c>
      <c r="H13" s="21">
        <v>0.28131545970542571</v>
      </c>
      <c r="I13" s="21">
        <v>3.125432863759281E-2</v>
      </c>
      <c r="J13" s="21">
        <v>0.11196924773521011</v>
      </c>
    </row>
    <row r="14" spans="1:10" ht="11.25" customHeight="1" x14ac:dyDescent="0.2">
      <c r="A14" s="30">
        <v>44501</v>
      </c>
      <c r="B14" s="20">
        <v>0</v>
      </c>
      <c r="C14" s="20">
        <v>0</v>
      </c>
      <c r="D14" s="20">
        <v>33387.349320000001</v>
      </c>
      <c r="E14" s="20">
        <v>42779.726842301439</v>
      </c>
      <c r="F14" s="20">
        <v>70049.269679999998</v>
      </c>
      <c r="G14" s="20">
        <v>72238.61257540209</v>
      </c>
      <c r="H14" s="21">
        <v>0.28131545970542593</v>
      </c>
      <c r="I14" s="21">
        <v>3.125432863759281E-2</v>
      </c>
      <c r="J14" s="21">
        <v>0.11196924773521011</v>
      </c>
    </row>
    <row r="15" spans="1:10" ht="11.25" customHeight="1" x14ac:dyDescent="0.2">
      <c r="A15" s="30">
        <v>44531</v>
      </c>
      <c r="B15" s="20">
        <v>0</v>
      </c>
      <c r="C15" s="20">
        <v>0</v>
      </c>
      <c r="D15" s="20">
        <v>38691.816300000006</v>
      </c>
      <c r="E15" s="20">
        <v>49576.422389272397</v>
      </c>
      <c r="F15" s="20">
        <v>81178.456200000015</v>
      </c>
      <c r="G15" s="20">
        <v>83715.634348367239</v>
      </c>
      <c r="H15" s="21">
        <v>0.28131545970542593</v>
      </c>
      <c r="I15" s="21">
        <v>3.1254328637592588E-2</v>
      </c>
      <c r="J15" s="21">
        <v>0.11196924773520989</v>
      </c>
    </row>
    <row r="16" spans="1:10" ht="11.25" customHeight="1" x14ac:dyDescent="0.2">
      <c r="A16" s="30">
        <v>44562</v>
      </c>
      <c r="B16" s="20">
        <v>0</v>
      </c>
      <c r="C16" s="20">
        <v>0</v>
      </c>
      <c r="D16" s="20">
        <v>42928.001819999998</v>
      </c>
      <c r="E16" s="20">
        <v>55004.312386228659</v>
      </c>
      <c r="F16" s="20">
        <v>90066.304680000001</v>
      </c>
      <c r="G16" s="20">
        <v>92881.266565642291</v>
      </c>
      <c r="H16" s="21">
        <v>0.28131545970542593</v>
      </c>
      <c r="I16" s="21">
        <v>3.125432863759281E-2</v>
      </c>
      <c r="J16" s="21">
        <v>0.11196924773521011</v>
      </c>
    </row>
    <row r="17" spans="1:10" ht="11.25" customHeight="1" x14ac:dyDescent="0.2">
      <c r="A17" s="30">
        <v>44593</v>
      </c>
      <c r="B17" s="20">
        <v>0</v>
      </c>
      <c r="C17" s="20">
        <v>0</v>
      </c>
      <c r="D17" s="20">
        <v>38129.291280000005</v>
      </c>
      <c r="E17" s="20">
        <v>48855.650384675289</v>
      </c>
      <c r="F17" s="20">
        <v>79998.234720000008</v>
      </c>
      <c r="G17" s="20">
        <v>82498.525838366171</v>
      </c>
      <c r="H17" s="21">
        <v>0.28131545970542571</v>
      </c>
      <c r="I17" s="21">
        <v>3.125432863759281E-2</v>
      </c>
      <c r="J17" s="21">
        <v>0.11196924773520989</v>
      </c>
    </row>
    <row r="18" spans="1:10" ht="11.25" customHeight="1" x14ac:dyDescent="0.2">
      <c r="A18" s="30">
        <v>44621</v>
      </c>
      <c r="B18" s="20">
        <v>0</v>
      </c>
      <c r="C18" s="20">
        <v>0</v>
      </c>
      <c r="D18" s="20">
        <v>45452.257020000005</v>
      </c>
      <c r="E18" s="20">
        <v>58238.679598230468</v>
      </c>
      <c r="F18" s="20">
        <v>95362.389479999998</v>
      </c>
      <c r="G18" s="20">
        <v>98342.876940474045</v>
      </c>
      <c r="H18" s="21">
        <v>0.28131545970542571</v>
      </c>
      <c r="I18" s="21">
        <v>3.125432863759281E-2</v>
      </c>
      <c r="J18" s="21">
        <v>0.11196924773520989</v>
      </c>
    </row>
    <row r="19" spans="1:10" ht="11.25" customHeight="1" x14ac:dyDescent="0.2">
      <c r="A19" s="30">
        <v>44652</v>
      </c>
      <c r="B19" s="20">
        <v>0</v>
      </c>
      <c r="C19" s="20">
        <v>0</v>
      </c>
      <c r="D19" s="20">
        <v>49552.360920000006</v>
      </c>
      <c r="E19" s="20">
        <v>63492.206111698979</v>
      </c>
      <c r="F19" s="20">
        <v>103964.72808</v>
      </c>
      <c r="G19" s="20">
        <v>107214.07585813031</v>
      </c>
      <c r="H19" s="21">
        <v>0.28131545970542571</v>
      </c>
      <c r="I19" s="21">
        <v>3.1254328637593032E-2</v>
      </c>
      <c r="J19" s="21">
        <v>0.11196924773520989</v>
      </c>
    </row>
    <row r="20" spans="1:10" ht="11.25" customHeight="1" x14ac:dyDescent="0.2">
      <c r="A20" s="30">
        <v>44682</v>
      </c>
      <c r="B20" s="20">
        <v>0</v>
      </c>
      <c r="C20" s="20">
        <v>0</v>
      </c>
      <c r="D20" s="20">
        <v>44704.849320000001</v>
      </c>
      <c r="E20" s="20">
        <v>57281.014557517592</v>
      </c>
      <c r="F20" s="20">
        <v>93794.269679999998</v>
      </c>
      <c r="G20" s="20">
        <v>96725.746608901725</v>
      </c>
      <c r="H20" s="21">
        <v>0.28131545970542571</v>
      </c>
      <c r="I20" s="21">
        <v>3.125432863759281E-2</v>
      </c>
      <c r="J20" s="21">
        <v>0.11196924773520989</v>
      </c>
    </row>
    <row r="21" spans="1:10" ht="11.25" customHeight="1" x14ac:dyDescent="0.2">
      <c r="A21" s="30">
        <v>44713</v>
      </c>
      <c r="B21" s="20">
        <v>0</v>
      </c>
      <c r="C21" s="20">
        <v>0</v>
      </c>
      <c r="D21" s="20">
        <v>37284.190920000008</v>
      </c>
      <c r="E21" s="20">
        <v>47772.810228404669</v>
      </c>
      <c r="F21" s="20">
        <v>78225.148079999999</v>
      </c>
      <c r="G21" s="20">
        <v>80670.022565816689</v>
      </c>
      <c r="H21" s="21">
        <v>0.28131545970542571</v>
      </c>
      <c r="I21" s="21">
        <v>3.125432863759281E-2</v>
      </c>
      <c r="J21" s="21">
        <v>0.11196924773520989</v>
      </c>
    </row>
    <row r="22" spans="1:10" ht="11.25" customHeight="1" x14ac:dyDescent="0.2">
      <c r="A22" s="29" t="s">
        <v>25</v>
      </c>
      <c r="B22" s="20">
        <v>1236949.6100000001</v>
      </c>
      <c r="C22" s="20">
        <v>1632602.3644046611</v>
      </c>
      <c r="D22" s="20">
        <v>0</v>
      </c>
      <c r="E22" s="20">
        <v>0</v>
      </c>
      <c r="F22" s="20">
        <v>0</v>
      </c>
      <c r="G22" s="20">
        <v>0</v>
      </c>
      <c r="H22" s="21">
        <v>0.3198616590409542</v>
      </c>
      <c r="I22" s="21">
        <v>0</v>
      </c>
      <c r="J22" s="21">
        <v>0.3198616590409542</v>
      </c>
    </row>
    <row r="23" spans="1:10" ht="11.25" customHeight="1" x14ac:dyDescent="0.2">
      <c r="A23" s="30">
        <v>44378</v>
      </c>
      <c r="B23" s="20">
        <v>99532.1</v>
      </c>
      <c r="C23" s="20">
        <v>131368.60263383013</v>
      </c>
      <c r="D23" s="20">
        <v>0</v>
      </c>
      <c r="E23" s="20">
        <v>0</v>
      </c>
      <c r="F23" s="20">
        <v>0</v>
      </c>
      <c r="G23" s="20">
        <v>0</v>
      </c>
      <c r="H23" s="21">
        <v>0.31986165904095376</v>
      </c>
      <c r="I23" s="21">
        <v>0</v>
      </c>
      <c r="J23" s="21">
        <v>0.31986165904095376</v>
      </c>
    </row>
    <row r="24" spans="1:10" ht="11.25" customHeight="1" x14ac:dyDescent="0.2">
      <c r="A24" s="30">
        <v>44409</v>
      </c>
      <c r="B24" s="20">
        <v>88050.240000000005</v>
      </c>
      <c r="C24" s="20">
        <v>116214.13584535418</v>
      </c>
      <c r="D24" s="20">
        <v>0</v>
      </c>
      <c r="E24" s="20">
        <v>0</v>
      </c>
      <c r="F24" s="20">
        <v>0</v>
      </c>
      <c r="G24" s="20">
        <v>0</v>
      </c>
      <c r="H24" s="21">
        <v>0.31986165904095398</v>
      </c>
      <c r="I24" s="21">
        <v>0</v>
      </c>
      <c r="J24" s="21">
        <v>0.31986165904095398</v>
      </c>
    </row>
    <row r="25" spans="1:10" ht="11.25" customHeight="1" x14ac:dyDescent="0.2">
      <c r="A25" s="30">
        <v>44440</v>
      </c>
      <c r="B25" s="20">
        <v>89544.92</v>
      </c>
      <c r="C25" s="20">
        <v>118186.9066698895</v>
      </c>
      <c r="D25" s="20">
        <v>0</v>
      </c>
      <c r="E25" s="20">
        <v>0</v>
      </c>
      <c r="F25" s="20">
        <v>0</v>
      </c>
      <c r="G25" s="20">
        <v>0</v>
      </c>
      <c r="H25" s="21">
        <v>0.31986165904095398</v>
      </c>
      <c r="I25" s="21">
        <v>0</v>
      </c>
      <c r="J25" s="21">
        <v>0.31986165904095398</v>
      </c>
    </row>
    <row r="26" spans="1:10" ht="11.25" customHeight="1" x14ac:dyDescent="0.2">
      <c r="A26" s="30">
        <v>44470</v>
      </c>
      <c r="B26" s="20">
        <v>95387.760000000009</v>
      </c>
      <c r="C26" s="20">
        <v>125898.64716580034</v>
      </c>
      <c r="D26" s="20">
        <v>0</v>
      </c>
      <c r="E26" s="20">
        <v>0</v>
      </c>
      <c r="F26" s="20">
        <v>0</v>
      </c>
      <c r="G26" s="20">
        <v>0</v>
      </c>
      <c r="H26" s="21">
        <v>0.31986165904095376</v>
      </c>
      <c r="I26" s="21">
        <v>0</v>
      </c>
      <c r="J26" s="21">
        <v>0.31986165904095376</v>
      </c>
    </row>
    <row r="27" spans="1:10" ht="11.25" customHeight="1" x14ac:dyDescent="0.2">
      <c r="A27" s="30">
        <v>44501</v>
      </c>
      <c r="B27" s="20">
        <v>98003.45</v>
      </c>
      <c r="C27" s="20">
        <v>129350.99610873719</v>
      </c>
      <c r="D27" s="20">
        <v>0</v>
      </c>
      <c r="E27" s="20">
        <v>0</v>
      </c>
      <c r="F27" s="20">
        <v>0</v>
      </c>
      <c r="G27" s="20">
        <v>0</v>
      </c>
      <c r="H27" s="21">
        <v>0.3198616590409542</v>
      </c>
      <c r="I27" s="21">
        <v>0</v>
      </c>
      <c r="J27" s="21">
        <v>0.3198616590409542</v>
      </c>
    </row>
    <row r="28" spans="1:10" ht="11.25" customHeight="1" x14ac:dyDescent="0.2">
      <c r="A28" s="30">
        <v>44531</v>
      </c>
      <c r="B28" s="20">
        <v>103574.53</v>
      </c>
      <c r="C28" s="20">
        <v>136704.05100018709</v>
      </c>
      <c r="D28" s="20">
        <v>0</v>
      </c>
      <c r="E28" s="20">
        <v>0</v>
      </c>
      <c r="F28" s="20">
        <v>0</v>
      </c>
      <c r="G28" s="20">
        <v>0</v>
      </c>
      <c r="H28" s="21">
        <v>0.3198616590409542</v>
      </c>
      <c r="I28" s="21">
        <v>0</v>
      </c>
      <c r="J28" s="21">
        <v>0.3198616590409542</v>
      </c>
    </row>
    <row r="29" spans="1:10" ht="11.25" customHeight="1" x14ac:dyDescent="0.2">
      <c r="A29" s="30">
        <v>44562</v>
      </c>
      <c r="B29" s="20">
        <v>105850.52</v>
      </c>
      <c r="C29" s="20">
        <v>139708.04293754767</v>
      </c>
      <c r="D29" s="20">
        <v>0</v>
      </c>
      <c r="E29" s="20">
        <v>0</v>
      </c>
      <c r="F29" s="20">
        <v>0</v>
      </c>
      <c r="G29" s="20">
        <v>0</v>
      </c>
      <c r="H29" s="21">
        <v>0.31986165904095376</v>
      </c>
      <c r="I29" s="21">
        <v>0</v>
      </c>
      <c r="J29" s="21">
        <v>0.31986165904095376</v>
      </c>
    </row>
    <row r="30" spans="1:10" ht="11.25" customHeight="1" x14ac:dyDescent="0.2">
      <c r="A30" s="30">
        <v>44593</v>
      </c>
      <c r="B30" s="20">
        <v>105918.46</v>
      </c>
      <c r="C30" s="20">
        <v>139797.71433866292</v>
      </c>
      <c r="D30" s="20">
        <v>0</v>
      </c>
      <c r="E30" s="20">
        <v>0</v>
      </c>
      <c r="F30" s="20">
        <v>0</v>
      </c>
      <c r="G30" s="20">
        <v>0</v>
      </c>
      <c r="H30" s="21">
        <v>0.31986165904095376</v>
      </c>
      <c r="I30" s="21">
        <v>0</v>
      </c>
      <c r="J30" s="21">
        <v>0.31986165904095376</v>
      </c>
    </row>
    <row r="31" spans="1:10" ht="11.25" customHeight="1" x14ac:dyDescent="0.2">
      <c r="A31" s="30">
        <v>44621</v>
      </c>
      <c r="B31" s="20">
        <v>115769.76</v>
      </c>
      <c r="C31" s="20">
        <v>152800.06750037309</v>
      </c>
      <c r="D31" s="20">
        <v>0</v>
      </c>
      <c r="E31" s="20">
        <v>0</v>
      </c>
      <c r="F31" s="20">
        <v>0</v>
      </c>
      <c r="G31" s="20">
        <v>0</v>
      </c>
      <c r="H31" s="21">
        <v>0.3198616590409542</v>
      </c>
      <c r="I31" s="21">
        <v>0</v>
      </c>
      <c r="J31" s="21">
        <v>0.3198616590409542</v>
      </c>
    </row>
    <row r="32" spans="1:10" ht="11.25" customHeight="1" x14ac:dyDescent="0.2">
      <c r="A32" s="30">
        <v>44652</v>
      </c>
      <c r="B32" s="20">
        <v>111625.42</v>
      </c>
      <c r="C32" s="20">
        <v>147330.11203234328</v>
      </c>
      <c r="D32" s="20">
        <v>0</v>
      </c>
      <c r="E32" s="20">
        <v>0</v>
      </c>
      <c r="F32" s="20">
        <v>0</v>
      </c>
      <c r="G32" s="20">
        <v>0</v>
      </c>
      <c r="H32" s="21">
        <v>0.31986165904095398</v>
      </c>
      <c r="I32" s="21">
        <v>0</v>
      </c>
      <c r="J32" s="21">
        <v>0.31986165904095398</v>
      </c>
    </row>
    <row r="33" spans="1:10" ht="11.25" customHeight="1" x14ac:dyDescent="0.2">
      <c r="A33" s="30">
        <v>44682</v>
      </c>
      <c r="B33" s="20">
        <v>114410.95999999999</v>
      </c>
      <c r="C33" s="20">
        <v>151006.63947806825</v>
      </c>
      <c r="D33" s="20">
        <v>0</v>
      </c>
      <c r="E33" s="20">
        <v>0</v>
      </c>
      <c r="F33" s="20">
        <v>0</v>
      </c>
      <c r="G33" s="20">
        <v>0</v>
      </c>
      <c r="H33" s="21">
        <v>0.3198616590409542</v>
      </c>
      <c r="I33" s="21">
        <v>0</v>
      </c>
      <c r="J33" s="21">
        <v>0.3198616590409542</v>
      </c>
    </row>
    <row r="34" spans="1:10" ht="11.25" customHeight="1" x14ac:dyDescent="0.2">
      <c r="A34" s="30">
        <v>44713</v>
      </c>
      <c r="B34" s="20">
        <v>109281.49</v>
      </c>
      <c r="C34" s="20">
        <v>144236.44869386742</v>
      </c>
      <c r="D34" s="20">
        <v>0</v>
      </c>
      <c r="E34" s="20">
        <v>0</v>
      </c>
      <c r="F34" s="20">
        <v>0</v>
      </c>
      <c r="G34" s="20">
        <v>0</v>
      </c>
      <c r="H34" s="21">
        <v>0.31986165904095398</v>
      </c>
      <c r="I34" s="21">
        <v>0</v>
      </c>
      <c r="J34" s="21">
        <v>0.31986165904095398</v>
      </c>
    </row>
    <row r="35" spans="1:10" ht="11.25" customHeight="1" x14ac:dyDescent="0.2">
      <c r="A35" s="29" t="s">
        <v>34</v>
      </c>
      <c r="B35" s="20">
        <v>0</v>
      </c>
      <c r="C35" s="20">
        <v>0</v>
      </c>
      <c r="D35" s="20">
        <v>655604.6574599999</v>
      </c>
      <c r="E35" s="20">
        <v>807207.9343166512</v>
      </c>
      <c r="F35" s="20">
        <v>111601.49915999999</v>
      </c>
      <c r="G35" s="20">
        <v>116296.42124566787</v>
      </c>
      <c r="H35" s="21">
        <v>0.23124191558370799</v>
      </c>
      <c r="I35" s="21">
        <v>4.2068629194101703E-2</v>
      </c>
      <c r="J35" s="21">
        <v>0.20372385908750479</v>
      </c>
    </row>
    <row r="36" spans="1:10" ht="11.25" customHeight="1" x14ac:dyDescent="0.2">
      <c r="A36" s="30">
        <v>44378</v>
      </c>
      <c r="B36" s="20">
        <v>0</v>
      </c>
      <c r="C36" s="20">
        <v>0</v>
      </c>
      <c r="D36" s="20">
        <v>43900.788780000003</v>
      </c>
      <c r="E36" s="20">
        <v>54052.491273122956</v>
      </c>
      <c r="F36" s="20">
        <v>7473.091879999999</v>
      </c>
      <c r="G36" s="20">
        <v>7787.4746112331713</v>
      </c>
      <c r="H36" s="21">
        <v>0.23124191558370799</v>
      </c>
      <c r="I36" s="21">
        <v>4.2068629194101703E-2</v>
      </c>
      <c r="J36" s="21">
        <v>0.20372385908750479</v>
      </c>
    </row>
    <row r="37" spans="1:10" ht="11.25" customHeight="1" x14ac:dyDescent="0.2">
      <c r="A37" s="30">
        <v>44409</v>
      </c>
      <c r="B37" s="20">
        <v>0</v>
      </c>
      <c r="C37" s="20">
        <v>0</v>
      </c>
      <c r="D37" s="20">
        <v>36466.076880000001</v>
      </c>
      <c r="E37" s="20">
        <v>44898.56235155397</v>
      </c>
      <c r="F37" s="20">
        <v>6207.5044799999996</v>
      </c>
      <c r="G37" s="20">
        <v>6468.6456841898444</v>
      </c>
      <c r="H37" s="21">
        <v>0.23124191558370799</v>
      </c>
      <c r="I37" s="21">
        <v>4.2068629194101703E-2</v>
      </c>
      <c r="J37" s="21">
        <v>0.20372385908750501</v>
      </c>
    </row>
    <row r="38" spans="1:10" ht="11.25" customHeight="1" x14ac:dyDescent="0.2">
      <c r="A38" s="30">
        <v>44440</v>
      </c>
      <c r="B38" s="20">
        <v>0</v>
      </c>
      <c r="C38" s="20">
        <v>0</v>
      </c>
      <c r="D38" s="20">
        <v>37092.804660000002</v>
      </c>
      <c r="E38" s="20">
        <v>45670.215863950696</v>
      </c>
      <c r="F38" s="20">
        <v>6314.1903599999996</v>
      </c>
      <c r="G38" s="20">
        <v>6579.8196929158112</v>
      </c>
      <c r="H38" s="21">
        <v>0.23124191558370799</v>
      </c>
      <c r="I38" s="21">
        <v>4.2068629194101703E-2</v>
      </c>
      <c r="J38" s="21">
        <v>0.20372385908750501</v>
      </c>
    </row>
    <row r="39" spans="1:10" ht="11.25" customHeight="1" x14ac:dyDescent="0.2">
      <c r="A39" s="30">
        <v>44470</v>
      </c>
      <c r="B39" s="20">
        <v>0</v>
      </c>
      <c r="C39" s="20">
        <v>0</v>
      </c>
      <c r="D39" s="20">
        <v>41323.656060000001</v>
      </c>
      <c r="E39" s="20">
        <v>50879.417446236708</v>
      </c>
      <c r="F39" s="20">
        <v>7034.3947600000001</v>
      </c>
      <c r="G39" s="20">
        <v>7330.3221047633715</v>
      </c>
      <c r="H39" s="21">
        <v>0.23124191558370799</v>
      </c>
      <c r="I39" s="21">
        <v>4.2068629194101703E-2</v>
      </c>
      <c r="J39" s="21">
        <v>0.20372385908750479</v>
      </c>
    </row>
    <row r="40" spans="1:10" ht="11.25" customHeight="1" x14ac:dyDescent="0.2">
      <c r="A40" s="30">
        <v>44501</v>
      </c>
      <c r="B40" s="20">
        <v>0</v>
      </c>
      <c r="C40" s="20">
        <v>0</v>
      </c>
      <c r="D40" s="20">
        <v>49613.31594</v>
      </c>
      <c r="E40" s="20">
        <v>61085.994156425317</v>
      </c>
      <c r="F40" s="20">
        <v>8445.5172399999992</v>
      </c>
      <c r="G40" s="20">
        <v>8800.8085731219508</v>
      </c>
      <c r="H40" s="21">
        <v>0.23124191558370799</v>
      </c>
      <c r="I40" s="21">
        <v>4.2068629194101481E-2</v>
      </c>
      <c r="J40" s="21">
        <v>0.20372385908750479</v>
      </c>
    </row>
    <row r="41" spans="1:10" ht="11.25" customHeight="1" x14ac:dyDescent="0.2">
      <c r="A41" s="30">
        <v>44531</v>
      </c>
      <c r="B41" s="20">
        <v>0</v>
      </c>
      <c r="C41" s="20">
        <v>0</v>
      </c>
      <c r="D41" s="20">
        <v>62121.538440000004</v>
      </c>
      <c r="E41" s="20">
        <v>76486.641987872572</v>
      </c>
      <c r="F41" s="20">
        <v>10574.75224</v>
      </c>
      <c r="G41" s="20">
        <v>11019.617570804056</v>
      </c>
      <c r="H41" s="21">
        <v>0.23124191558370821</v>
      </c>
      <c r="I41" s="21">
        <v>4.2068629194101703E-2</v>
      </c>
      <c r="J41" s="21">
        <v>0.20372385908750501</v>
      </c>
    </row>
    <row r="42" spans="1:10" ht="11.25" customHeight="1" x14ac:dyDescent="0.2">
      <c r="A42" s="30">
        <v>44562</v>
      </c>
      <c r="B42" s="20">
        <v>0</v>
      </c>
      <c r="C42" s="20">
        <v>0</v>
      </c>
      <c r="D42" s="20">
        <v>52985.708279999999</v>
      </c>
      <c r="E42" s="20">
        <v>65238.224961226741</v>
      </c>
      <c r="F42" s="20">
        <v>9019.5888799999993</v>
      </c>
      <c r="G42" s="20">
        <v>9399.0306200759605</v>
      </c>
      <c r="H42" s="21">
        <v>0.23124191558370799</v>
      </c>
      <c r="I42" s="21">
        <v>4.2068629194101481E-2</v>
      </c>
      <c r="J42" s="21">
        <v>0.20372385908750479</v>
      </c>
    </row>
    <row r="43" spans="1:10" ht="11.25" customHeight="1" x14ac:dyDescent="0.2">
      <c r="A43" s="30">
        <v>44593</v>
      </c>
      <c r="B43" s="20">
        <v>0</v>
      </c>
      <c r="C43" s="20">
        <v>0</v>
      </c>
      <c r="D43" s="20">
        <v>53391.238019999997</v>
      </c>
      <c r="E43" s="20">
        <v>65737.530175130509</v>
      </c>
      <c r="F43" s="20">
        <v>9088.6209199999994</v>
      </c>
      <c r="G43" s="20">
        <v>9470.9667433692339</v>
      </c>
      <c r="H43" s="21">
        <v>0.23124191558370821</v>
      </c>
      <c r="I43" s="21">
        <v>4.2068629194101703E-2</v>
      </c>
      <c r="J43" s="21">
        <v>0.20372385908750501</v>
      </c>
    </row>
    <row r="44" spans="1:10" ht="11.25" customHeight="1" x14ac:dyDescent="0.2">
      <c r="A44" s="30">
        <v>44621</v>
      </c>
      <c r="B44" s="20">
        <v>0</v>
      </c>
      <c r="C44" s="20">
        <v>0</v>
      </c>
      <c r="D44" s="20">
        <v>76680.231660000005</v>
      </c>
      <c r="E44" s="20">
        <v>94411.915316460902</v>
      </c>
      <c r="F44" s="20">
        <v>13053.032359999999</v>
      </c>
      <c r="G44" s="20">
        <v>13602.155538211449</v>
      </c>
      <c r="H44" s="21">
        <v>0.23124191558370799</v>
      </c>
      <c r="I44" s="21">
        <v>4.2068629194101703E-2</v>
      </c>
      <c r="J44" s="21">
        <v>0.20372385908750479</v>
      </c>
    </row>
    <row r="45" spans="1:10" ht="11.25" customHeight="1" x14ac:dyDescent="0.2">
      <c r="A45" s="30">
        <v>44652</v>
      </c>
      <c r="B45" s="20">
        <v>0</v>
      </c>
      <c r="C45" s="20">
        <v>0</v>
      </c>
      <c r="D45" s="20">
        <v>69405.273899999986</v>
      </c>
      <c r="E45" s="20">
        <v>85454.682388247937</v>
      </c>
      <c r="F45" s="20">
        <v>11814.639399999998</v>
      </c>
      <c r="G45" s="20">
        <v>12311.665083980621</v>
      </c>
      <c r="H45" s="21">
        <v>0.23124191558370821</v>
      </c>
      <c r="I45" s="21">
        <v>4.2068629194101481E-2</v>
      </c>
      <c r="J45" s="21">
        <v>0.20372385908750501</v>
      </c>
    </row>
    <row r="46" spans="1:10" ht="11.25" customHeight="1" x14ac:dyDescent="0.2">
      <c r="A46" s="30">
        <v>44682</v>
      </c>
      <c r="B46" s="20">
        <v>0</v>
      </c>
      <c r="C46" s="20">
        <v>0</v>
      </c>
      <c r="D46" s="20">
        <v>71529.477299999999</v>
      </c>
      <c r="E46" s="20">
        <v>88070.090651553357</v>
      </c>
      <c r="F46" s="20">
        <v>12176.235799999999</v>
      </c>
      <c r="G46" s="20">
        <v>12688.473348850144</v>
      </c>
      <c r="H46" s="21">
        <v>0.23124191558370799</v>
      </c>
      <c r="I46" s="21">
        <v>4.2068629194101703E-2</v>
      </c>
      <c r="J46" s="21">
        <v>0.20372385908750501</v>
      </c>
    </row>
    <row r="47" spans="1:10" ht="11.25" customHeight="1" x14ac:dyDescent="0.2">
      <c r="A47" s="30">
        <v>44713</v>
      </c>
      <c r="B47" s="20">
        <v>0</v>
      </c>
      <c r="C47" s="20">
        <v>0</v>
      </c>
      <c r="D47" s="20">
        <v>61094.54754</v>
      </c>
      <c r="E47" s="20">
        <v>75222.167744869526</v>
      </c>
      <c r="F47" s="20">
        <v>10399.930839999999</v>
      </c>
      <c r="G47" s="20">
        <v>10837.441674152262</v>
      </c>
      <c r="H47" s="21">
        <v>0.23124191558370821</v>
      </c>
      <c r="I47" s="21">
        <v>4.2068629194101703E-2</v>
      </c>
      <c r="J47" s="21">
        <v>0.20372385908750479</v>
      </c>
    </row>
    <row r="48" spans="1:10" ht="11.25" customHeight="1" x14ac:dyDescent="0.2">
      <c r="A48" s="25" t="s">
        <v>38</v>
      </c>
      <c r="B48" s="20">
        <v>1340761.9300000002</v>
      </c>
      <c r="C48" s="20">
        <v>1769620.2653087515</v>
      </c>
      <c r="D48" s="20">
        <v>776981.49011999997</v>
      </c>
      <c r="E48" s="20">
        <v>983625.31662329391</v>
      </c>
      <c r="F48" s="20">
        <v>1170739.6511200001</v>
      </c>
      <c r="G48" s="20">
        <v>1207769.0359239292</v>
      </c>
      <c r="H48" s="21">
        <v>0.30008458804515348</v>
      </c>
      <c r="I48" s="21">
        <v>3.1629051573084821E-2</v>
      </c>
      <c r="J48" s="21">
        <v>0.20451117796461138</v>
      </c>
    </row>
    <row r="49" spans="1:10" ht="11.25" customHeight="1" x14ac:dyDescent="0.2">
      <c r="A49" s="26" t="s">
        <v>25</v>
      </c>
      <c r="B49" s="20">
        <v>1340761.9300000002</v>
      </c>
      <c r="C49" s="20">
        <v>1769620.2653087515</v>
      </c>
      <c r="D49" s="20">
        <v>776981.49011999997</v>
      </c>
      <c r="E49" s="20">
        <v>983625.31662329391</v>
      </c>
      <c r="F49" s="20">
        <v>1170739.6511200001</v>
      </c>
      <c r="G49" s="20">
        <v>1207769.0359239292</v>
      </c>
      <c r="H49" s="21">
        <v>0.30008458804515348</v>
      </c>
      <c r="I49" s="21">
        <v>3.1629051573084821E-2</v>
      </c>
      <c r="J49" s="21">
        <v>0.20451117796461138</v>
      </c>
    </row>
    <row r="50" spans="1:10" ht="11.25" customHeight="1" x14ac:dyDescent="0.2">
      <c r="A50" s="27" t="s">
        <v>25</v>
      </c>
      <c r="B50" s="20">
        <v>1340761.9300000002</v>
      </c>
      <c r="C50" s="20">
        <v>1769620.2653087515</v>
      </c>
      <c r="D50" s="20">
        <v>776981.49011999997</v>
      </c>
      <c r="E50" s="20">
        <v>983625.31662329391</v>
      </c>
      <c r="F50" s="20">
        <v>1170739.6511200001</v>
      </c>
      <c r="G50" s="20">
        <v>1207769.0359239292</v>
      </c>
      <c r="H50" s="21">
        <v>0.30008458804515348</v>
      </c>
      <c r="I50" s="21">
        <v>3.1629051573084821E-2</v>
      </c>
      <c r="J50" s="21">
        <v>0.20451117796461138</v>
      </c>
    </row>
    <row r="51" spans="1:10" ht="11.25" customHeight="1" x14ac:dyDescent="0.2">
      <c r="A51" s="28" t="s">
        <v>25</v>
      </c>
      <c r="B51" s="20">
        <v>1340761.9300000002</v>
      </c>
      <c r="C51" s="20">
        <v>1769620.2653087515</v>
      </c>
      <c r="D51" s="20">
        <v>776981.49011999997</v>
      </c>
      <c r="E51" s="20">
        <v>983625.31662329391</v>
      </c>
      <c r="F51" s="20">
        <v>1170739.6511200001</v>
      </c>
      <c r="G51" s="20">
        <v>1207769.0359239292</v>
      </c>
      <c r="H51" s="21">
        <v>0.30008458804515348</v>
      </c>
      <c r="I51" s="21">
        <v>3.1629051573084821E-2</v>
      </c>
      <c r="J51" s="21">
        <v>0.20451117796461138</v>
      </c>
    </row>
    <row r="52" spans="1:10" ht="11.25" customHeight="1" x14ac:dyDescent="0.2">
      <c r="A52" s="29" t="s">
        <v>35</v>
      </c>
      <c r="B52" s="20">
        <v>0</v>
      </c>
      <c r="C52" s="20">
        <v>0</v>
      </c>
      <c r="D52" s="20">
        <v>538670.44620000001</v>
      </c>
      <c r="E52" s="20">
        <v>690206.7704024798</v>
      </c>
      <c r="F52" s="20">
        <v>1130172.7188000001</v>
      </c>
      <c r="G52" s="20">
        <v>1165495.5083706169</v>
      </c>
      <c r="H52" s="21">
        <v>0.28131545970542615</v>
      </c>
      <c r="I52" s="21">
        <v>3.125432863759281E-2</v>
      </c>
      <c r="J52" s="21">
        <v>0.11196924773520989</v>
      </c>
    </row>
    <row r="53" spans="1:10" ht="11.25" customHeight="1" x14ac:dyDescent="0.2">
      <c r="A53" s="30">
        <v>44378</v>
      </c>
      <c r="B53" s="20">
        <v>0</v>
      </c>
      <c r="C53" s="20">
        <v>0</v>
      </c>
      <c r="D53" s="20">
        <v>56240.188560000002</v>
      </c>
      <c r="E53" s="20">
        <v>72061.423058676228</v>
      </c>
      <c r="F53" s="20">
        <v>117996.31344</v>
      </c>
      <c r="G53" s="20">
        <v>121684.20899827818</v>
      </c>
      <c r="H53" s="21">
        <v>0.28131545970542571</v>
      </c>
      <c r="I53" s="21">
        <v>3.125432863759281E-2</v>
      </c>
      <c r="J53" s="21">
        <v>0.11196924773520989</v>
      </c>
    </row>
    <row r="54" spans="1:10" ht="11.25" customHeight="1" x14ac:dyDescent="0.2">
      <c r="A54" s="30">
        <v>44409</v>
      </c>
      <c r="B54" s="20">
        <v>0</v>
      </c>
      <c r="C54" s="20">
        <v>0</v>
      </c>
      <c r="D54" s="20">
        <v>45545.78484</v>
      </c>
      <c r="E54" s="20">
        <v>58358.518239909019</v>
      </c>
      <c r="F54" s="20">
        <v>95558.618159999998</v>
      </c>
      <c r="G54" s="20">
        <v>98545.238616126895</v>
      </c>
      <c r="H54" s="21">
        <v>0.28131545970542593</v>
      </c>
      <c r="I54" s="21">
        <v>3.1254328637593032E-2</v>
      </c>
      <c r="J54" s="21">
        <v>0.11196924773521011</v>
      </c>
    </row>
    <row r="55" spans="1:10" ht="11.25" customHeight="1" x14ac:dyDescent="0.2">
      <c r="A55" s="30">
        <v>44440</v>
      </c>
      <c r="B55" s="20">
        <v>0</v>
      </c>
      <c r="C55" s="20">
        <v>0</v>
      </c>
      <c r="D55" s="20">
        <v>47619.965700000008</v>
      </c>
      <c r="E55" s="20">
        <v>61016.198242052116</v>
      </c>
      <c r="F55" s="20">
        <v>99910.411800000016</v>
      </c>
      <c r="G55" s="20">
        <v>103033.04464471445</v>
      </c>
      <c r="H55" s="21">
        <v>0.28131545970542571</v>
      </c>
      <c r="I55" s="21">
        <v>3.125432863759281E-2</v>
      </c>
      <c r="J55" s="21">
        <v>0.11196924773520989</v>
      </c>
    </row>
    <row r="56" spans="1:10" ht="11.25" customHeight="1" x14ac:dyDescent="0.2">
      <c r="A56" s="30">
        <v>44470</v>
      </c>
      <c r="B56" s="20">
        <v>0</v>
      </c>
      <c r="C56" s="20">
        <v>0</v>
      </c>
      <c r="D56" s="20">
        <v>44791.496100000004</v>
      </c>
      <c r="E56" s="20">
        <v>57392.036416265291</v>
      </c>
      <c r="F56" s="20">
        <v>93976.061400000006</v>
      </c>
      <c r="G56" s="20">
        <v>96913.220107062196</v>
      </c>
      <c r="H56" s="21">
        <v>0.28131545970542571</v>
      </c>
      <c r="I56" s="21">
        <v>3.1254328637592588E-2</v>
      </c>
      <c r="J56" s="21">
        <v>0.11196924773521011</v>
      </c>
    </row>
    <row r="57" spans="1:10" ht="11.25" customHeight="1" x14ac:dyDescent="0.2">
      <c r="A57" s="30">
        <v>44501</v>
      </c>
      <c r="B57" s="20">
        <v>0</v>
      </c>
      <c r="C57" s="20">
        <v>0</v>
      </c>
      <c r="D57" s="20">
        <v>45623.920860000006</v>
      </c>
      <c r="E57" s="20">
        <v>58458.635130294868</v>
      </c>
      <c r="F57" s="20">
        <v>95722.553639999998</v>
      </c>
      <c r="G57" s="20">
        <v>98714.297789494172</v>
      </c>
      <c r="H57" s="21">
        <v>0.28131545970542571</v>
      </c>
      <c r="I57" s="21">
        <v>3.125432863759281E-2</v>
      </c>
      <c r="J57" s="21">
        <v>0.11196924773520989</v>
      </c>
    </row>
    <row r="58" spans="1:10" ht="11.25" customHeight="1" x14ac:dyDescent="0.2">
      <c r="A58" s="30">
        <v>44531</v>
      </c>
      <c r="B58" s="20">
        <v>0</v>
      </c>
      <c r="C58" s="20">
        <v>0</v>
      </c>
      <c r="D58" s="20">
        <v>42920.577540000006</v>
      </c>
      <c r="E58" s="20">
        <v>54994.799541487482</v>
      </c>
      <c r="F58" s="20">
        <v>90050.727960000004</v>
      </c>
      <c r="G58" s="20">
        <v>92865.203005716307</v>
      </c>
      <c r="H58" s="21">
        <v>0.28131545970542593</v>
      </c>
      <c r="I58" s="21">
        <v>3.125432863759281E-2</v>
      </c>
      <c r="J58" s="21">
        <v>0.11196924773520989</v>
      </c>
    </row>
    <row r="59" spans="1:10" ht="11.25" customHeight="1" x14ac:dyDescent="0.2">
      <c r="A59" s="30">
        <v>44562</v>
      </c>
      <c r="B59" s="20">
        <v>0</v>
      </c>
      <c r="C59" s="20">
        <v>0</v>
      </c>
      <c r="D59" s="20">
        <v>37884.01842</v>
      </c>
      <c r="E59" s="20">
        <v>48541.378477311126</v>
      </c>
      <c r="F59" s="20">
        <v>79483.63308</v>
      </c>
      <c r="G59" s="20">
        <v>81967.840669592159</v>
      </c>
      <c r="H59" s="21">
        <v>0.28131545970542593</v>
      </c>
      <c r="I59" s="21">
        <v>3.125432863759281E-2</v>
      </c>
      <c r="J59" s="21">
        <v>0.11196924773520989</v>
      </c>
    </row>
    <row r="60" spans="1:10" ht="11.25" customHeight="1" x14ac:dyDescent="0.2">
      <c r="A60" s="30">
        <v>44593</v>
      </c>
      <c r="B60" s="20">
        <v>0</v>
      </c>
      <c r="C60" s="20">
        <v>0</v>
      </c>
      <c r="D60" s="20">
        <v>39395.855340000002</v>
      </c>
      <c r="E60" s="20">
        <v>50478.518495460557</v>
      </c>
      <c r="F60" s="20">
        <v>82655.585160000002</v>
      </c>
      <c r="G60" s="20">
        <v>85238.929982323185</v>
      </c>
      <c r="H60" s="21">
        <v>0.28131545970542593</v>
      </c>
      <c r="I60" s="21">
        <v>3.125432863759281E-2</v>
      </c>
      <c r="J60" s="21">
        <v>0.11196924773520989</v>
      </c>
    </row>
    <row r="61" spans="1:10" ht="11.25" customHeight="1" x14ac:dyDescent="0.2">
      <c r="A61" s="30">
        <v>44621</v>
      </c>
      <c r="B61" s="20">
        <v>0</v>
      </c>
      <c r="C61" s="20">
        <v>0</v>
      </c>
      <c r="D61" s="20">
        <v>46114.376040000003</v>
      </c>
      <c r="E61" s="20">
        <v>59087.062934721471</v>
      </c>
      <c r="F61" s="20">
        <v>96751.566959999996</v>
      </c>
      <c r="G61" s="20">
        <v>99775.472229969906</v>
      </c>
      <c r="H61" s="21">
        <v>0.28131545970542571</v>
      </c>
      <c r="I61" s="21">
        <v>3.125432863759281E-2</v>
      </c>
      <c r="J61" s="21">
        <v>0.11196924773521011</v>
      </c>
    </row>
    <row r="62" spans="1:10" ht="11.25" customHeight="1" x14ac:dyDescent="0.2">
      <c r="A62" s="30">
        <v>44652</v>
      </c>
      <c r="B62" s="20">
        <v>0</v>
      </c>
      <c r="C62" s="20">
        <v>0</v>
      </c>
      <c r="D62" s="20">
        <v>43668.800100000008</v>
      </c>
      <c r="E62" s="20">
        <v>55953.508674915851</v>
      </c>
      <c r="F62" s="20">
        <v>91620.557400000005</v>
      </c>
      <c r="G62" s="20">
        <v>94484.096410939048</v>
      </c>
      <c r="H62" s="21">
        <v>0.28131545970542571</v>
      </c>
      <c r="I62" s="21">
        <v>3.125432863759281E-2</v>
      </c>
      <c r="J62" s="21">
        <v>0.11196924773520989</v>
      </c>
    </row>
    <row r="63" spans="1:10" ht="11.25" customHeight="1" x14ac:dyDescent="0.2">
      <c r="A63" s="30">
        <v>44682</v>
      </c>
      <c r="B63" s="20">
        <v>0</v>
      </c>
      <c r="C63" s="20">
        <v>0</v>
      </c>
      <c r="D63" s="20">
        <v>50590.583100000003</v>
      </c>
      <c r="E63" s="20">
        <v>64822.496241542052</v>
      </c>
      <c r="F63" s="20">
        <v>106142.9994</v>
      </c>
      <c r="G63" s="20">
        <v>109460.42758582743</v>
      </c>
      <c r="H63" s="21">
        <v>0.28131545970542593</v>
      </c>
      <c r="I63" s="21">
        <v>3.1254328637593032E-2</v>
      </c>
      <c r="J63" s="21">
        <v>0.11196924773520989</v>
      </c>
    </row>
    <row r="64" spans="1:10" ht="11.25" customHeight="1" x14ac:dyDescent="0.2">
      <c r="A64" s="30">
        <v>44713</v>
      </c>
      <c r="B64" s="20">
        <v>0</v>
      </c>
      <c r="C64" s="20">
        <v>0</v>
      </c>
      <c r="D64" s="20">
        <v>38274.8796</v>
      </c>
      <c r="E64" s="20">
        <v>49042.194949843826</v>
      </c>
      <c r="F64" s="20">
        <v>80303.690399999992</v>
      </c>
      <c r="G64" s="20">
        <v>82813.528330573099</v>
      </c>
      <c r="H64" s="21">
        <v>0.28131545970542593</v>
      </c>
      <c r="I64" s="21">
        <v>3.125432863759281E-2</v>
      </c>
      <c r="J64" s="21">
        <v>0.11196924773520989</v>
      </c>
    </row>
    <row r="65" spans="1:10" ht="11.25" customHeight="1" x14ac:dyDescent="0.2">
      <c r="A65" s="29" t="s">
        <v>25</v>
      </c>
      <c r="B65" s="20">
        <v>1340761.9300000002</v>
      </c>
      <c r="C65" s="20">
        <v>1769620.2653087515</v>
      </c>
      <c r="D65" s="20">
        <v>0</v>
      </c>
      <c r="E65" s="20">
        <v>0</v>
      </c>
      <c r="F65" s="20">
        <v>0</v>
      </c>
      <c r="G65" s="20">
        <v>0</v>
      </c>
      <c r="H65" s="21">
        <v>0.31986165904095376</v>
      </c>
      <c r="I65" s="21">
        <v>0</v>
      </c>
      <c r="J65" s="21">
        <v>0.31986165904095376</v>
      </c>
    </row>
    <row r="66" spans="1:10" ht="11.25" customHeight="1" x14ac:dyDescent="0.2">
      <c r="A66" s="30">
        <v>44378</v>
      </c>
      <c r="B66" s="20">
        <v>117977.81</v>
      </c>
      <c r="C66" s="20">
        <v>155714.38803661845</v>
      </c>
      <c r="D66" s="20">
        <v>0</v>
      </c>
      <c r="E66" s="20">
        <v>0</v>
      </c>
      <c r="F66" s="20">
        <v>0</v>
      </c>
      <c r="G66" s="20">
        <v>0</v>
      </c>
      <c r="H66" s="21">
        <v>0.31986165904095398</v>
      </c>
      <c r="I66" s="21">
        <v>0</v>
      </c>
      <c r="J66" s="21">
        <v>0.31986165904095398</v>
      </c>
    </row>
    <row r="67" spans="1:10" ht="11.25" customHeight="1" x14ac:dyDescent="0.2">
      <c r="A67" s="30">
        <v>44409</v>
      </c>
      <c r="B67" s="20">
        <v>106597.86</v>
      </c>
      <c r="C67" s="20">
        <v>140694.42834981537</v>
      </c>
      <c r="D67" s="20">
        <v>0</v>
      </c>
      <c r="E67" s="20">
        <v>0</v>
      </c>
      <c r="F67" s="20">
        <v>0</v>
      </c>
      <c r="G67" s="20">
        <v>0</v>
      </c>
      <c r="H67" s="21">
        <v>0.3198616590409542</v>
      </c>
      <c r="I67" s="21">
        <v>0</v>
      </c>
      <c r="J67" s="21">
        <v>0.3198616590409542</v>
      </c>
    </row>
    <row r="68" spans="1:10" ht="11.25" customHeight="1" x14ac:dyDescent="0.2">
      <c r="A68" s="30">
        <v>44440</v>
      </c>
      <c r="B68" s="20">
        <v>108737.97</v>
      </c>
      <c r="C68" s="20">
        <v>143519.07748494548</v>
      </c>
      <c r="D68" s="20">
        <v>0</v>
      </c>
      <c r="E68" s="20">
        <v>0</v>
      </c>
      <c r="F68" s="20">
        <v>0</v>
      </c>
      <c r="G68" s="20">
        <v>0</v>
      </c>
      <c r="H68" s="21">
        <v>0.31986165904095398</v>
      </c>
      <c r="I68" s="21">
        <v>0</v>
      </c>
      <c r="J68" s="21">
        <v>0.31986165904095398</v>
      </c>
    </row>
    <row r="69" spans="1:10" ht="11.25" customHeight="1" x14ac:dyDescent="0.2">
      <c r="A69" s="30">
        <v>44470</v>
      </c>
      <c r="B69" s="20">
        <v>108194.45</v>
      </c>
      <c r="C69" s="20">
        <v>142801.70627602356</v>
      </c>
      <c r="D69" s="20">
        <v>0</v>
      </c>
      <c r="E69" s="20">
        <v>0</v>
      </c>
      <c r="F69" s="20">
        <v>0</v>
      </c>
      <c r="G69" s="20">
        <v>0</v>
      </c>
      <c r="H69" s="21">
        <v>0.3198616590409542</v>
      </c>
      <c r="I69" s="21">
        <v>0</v>
      </c>
      <c r="J69" s="21">
        <v>0.3198616590409542</v>
      </c>
    </row>
    <row r="70" spans="1:10" ht="11.25" customHeight="1" x14ac:dyDescent="0.2">
      <c r="A70" s="30">
        <v>44501</v>
      </c>
      <c r="B70" s="20">
        <v>107718.87</v>
      </c>
      <c r="C70" s="20">
        <v>142174.00646821686</v>
      </c>
      <c r="D70" s="20">
        <v>0</v>
      </c>
      <c r="E70" s="20">
        <v>0</v>
      </c>
      <c r="F70" s="20">
        <v>0</v>
      </c>
      <c r="G70" s="20">
        <v>0</v>
      </c>
      <c r="H70" s="21">
        <v>0.3198616590409542</v>
      </c>
      <c r="I70" s="21">
        <v>0</v>
      </c>
      <c r="J70" s="21">
        <v>0.3198616590409542</v>
      </c>
    </row>
    <row r="71" spans="1:10" ht="11.25" customHeight="1" x14ac:dyDescent="0.2">
      <c r="A71" s="30">
        <v>44531</v>
      </c>
      <c r="B71" s="20">
        <v>106122.28</v>
      </c>
      <c r="C71" s="20">
        <v>140066.72854200864</v>
      </c>
      <c r="D71" s="20">
        <v>0</v>
      </c>
      <c r="E71" s="20">
        <v>0</v>
      </c>
      <c r="F71" s="20">
        <v>0</v>
      </c>
      <c r="G71" s="20">
        <v>0</v>
      </c>
      <c r="H71" s="21">
        <v>0.31986165904095398</v>
      </c>
      <c r="I71" s="21">
        <v>0</v>
      </c>
      <c r="J71" s="21">
        <v>0.31986165904095398</v>
      </c>
    </row>
    <row r="72" spans="1:10" ht="11.25" customHeight="1" x14ac:dyDescent="0.2">
      <c r="A72" s="30">
        <v>44562</v>
      </c>
      <c r="B72" s="20">
        <v>104967.29999999999</v>
      </c>
      <c r="C72" s="20">
        <v>138542.31472304952</v>
      </c>
      <c r="D72" s="20">
        <v>0</v>
      </c>
      <c r="E72" s="20">
        <v>0</v>
      </c>
      <c r="F72" s="20">
        <v>0</v>
      </c>
      <c r="G72" s="20">
        <v>0</v>
      </c>
      <c r="H72" s="21">
        <v>0.31986165904095398</v>
      </c>
      <c r="I72" s="21">
        <v>0</v>
      </c>
      <c r="J72" s="21">
        <v>0.31986165904095398</v>
      </c>
    </row>
    <row r="73" spans="1:10" ht="11.25" customHeight="1" x14ac:dyDescent="0.2">
      <c r="A73" s="30">
        <v>44593</v>
      </c>
      <c r="B73" s="20">
        <v>111217.78</v>
      </c>
      <c r="C73" s="20">
        <v>146792.08362565184</v>
      </c>
      <c r="D73" s="20">
        <v>0</v>
      </c>
      <c r="E73" s="20">
        <v>0</v>
      </c>
      <c r="F73" s="20">
        <v>0</v>
      </c>
      <c r="G73" s="20">
        <v>0</v>
      </c>
      <c r="H73" s="21">
        <v>0.31986165904095398</v>
      </c>
      <c r="I73" s="21">
        <v>0</v>
      </c>
      <c r="J73" s="21">
        <v>0.31986165904095398</v>
      </c>
    </row>
    <row r="74" spans="1:10" ht="11.25" customHeight="1" x14ac:dyDescent="0.2">
      <c r="A74" s="30">
        <v>44621</v>
      </c>
      <c r="B74" s="20">
        <v>116211.37</v>
      </c>
      <c r="C74" s="20">
        <v>153382.93160762213</v>
      </c>
      <c r="D74" s="20">
        <v>0</v>
      </c>
      <c r="E74" s="20">
        <v>0</v>
      </c>
      <c r="F74" s="20">
        <v>0</v>
      </c>
      <c r="G74" s="20">
        <v>0</v>
      </c>
      <c r="H74" s="21">
        <v>0.31986165904095376</v>
      </c>
      <c r="I74" s="21">
        <v>0</v>
      </c>
      <c r="J74" s="21">
        <v>0.31986165904095376</v>
      </c>
    </row>
    <row r="75" spans="1:10" ht="11.25" customHeight="1" x14ac:dyDescent="0.2">
      <c r="A75" s="30">
        <v>44652</v>
      </c>
      <c r="B75" s="20">
        <v>118147.65999999999</v>
      </c>
      <c r="C75" s="20">
        <v>155938.56653940657</v>
      </c>
      <c r="D75" s="20">
        <v>0</v>
      </c>
      <c r="E75" s="20">
        <v>0</v>
      </c>
      <c r="F75" s="20">
        <v>0</v>
      </c>
      <c r="G75" s="20">
        <v>0</v>
      </c>
      <c r="H75" s="21">
        <v>0.3198616590409542</v>
      </c>
      <c r="I75" s="21">
        <v>0</v>
      </c>
      <c r="J75" s="21">
        <v>0.3198616590409542</v>
      </c>
    </row>
    <row r="76" spans="1:10" ht="11.25" customHeight="1" x14ac:dyDescent="0.2">
      <c r="A76" s="30">
        <v>44682</v>
      </c>
      <c r="B76" s="20">
        <v>117128.56</v>
      </c>
      <c r="C76" s="20">
        <v>154593.49552267793</v>
      </c>
      <c r="D76" s="20">
        <v>0</v>
      </c>
      <c r="E76" s="20">
        <v>0</v>
      </c>
      <c r="F76" s="20">
        <v>0</v>
      </c>
      <c r="G76" s="20">
        <v>0</v>
      </c>
      <c r="H76" s="21">
        <v>0.31986165904095398</v>
      </c>
      <c r="I76" s="21">
        <v>0</v>
      </c>
      <c r="J76" s="21">
        <v>0.31986165904095398</v>
      </c>
    </row>
    <row r="77" spans="1:10" ht="11.25" customHeight="1" x14ac:dyDescent="0.2">
      <c r="A77" s="30">
        <v>44713</v>
      </c>
      <c r="B77" s="20">
        <v>117740.02</v>
      </c>
      <c r="C77" s="20">
        <v>155400.53813271513</v>
      </c>
      <c r="D77" s="20">
        <v>0</v>
      </c>
      <c r="E77" s="20">
        <v>0</v>
      </c>
      <c r="F77" s="20">
        <v>0</v>
      </c>
      <c r="G77" s="20">
        <v>0</v>
      </c>
      <c r="H77" s="21">
        <v>0.3198616590409542</v>
      </c>
      <c r="I77" s="21">
        <v>0</v>
      </c>
      <c r="J77" s="21">
        <v>0.3198616590409542</v>
      </c>
    </row>
    <row r="78" spans="1:10" ht="11.25" customHeight="1" x14ac:dyDescent="0.2">
      <c r="A78" s="29" t="s">
        <v>34</v>
      </c>
      <c r="B78" s="20">
        <v>0</v>
      </c>
      <c r="C78" s="20">
        <v>0</v>
      </c>
      <c r="D78" s="20">
        <v>238311.04391999997</v>
      </c>
      <c r="E78" s="20">
        <v>293418.54622081399</v>
      </c>
      <c r="F78" s="20">
        <v>40566.93232</v>
      </c>
      <c r="G78" s="20">
        <v>42273.527553312291</v>
      </c>
      <c r="H78" s="21">
        <v>0.23124191558370844</v>
      </c>
      <c r="I78" s="21">
        <v>4.2068629194101703E-2</v>
      </c>
      <c r="J78" s="21">
        <v>0.20372385908750523</v>
      </c>
    </row>
    <row r="79" spans="1:10" ht="11.25" customHeight="1" x14ac:dyDescent="0.2">
      <c r="A79" s="30">
        <v>44378</v>
      </c>
      <c r="B79" s="20">
        <v>0</v>
      </c>
      <c r="C79" s="20">
        <v>0</v>
      </c>
      <c r="D79" s="20">
        <v>22414.73472</v>
      </c>
      <c r="E79" s="20">
        <v>27597.960913953451</v>
      </c>
      <c r="F79" s="20">
        <v>3815.5891200000001</v>
      </c>
      <c r="G79" s="20">
        <v>3976.1057238463286</v>
      </c>
      <c r="H79" s="21">
        <v>0.23124191558370799</v>
      </c>
      <c r="I79" s="21">
        <v>4.2068629194101703E-2</v>
      </c>
      <c r="J79" s="21">
        <v>0.20372385908750479</v>
      </c>
    </row>
    <row r="80" spans="1:10" ht="11.25" customHeight="1" x14ac:dyDescent="0.2">
      <c r="A80" s="30">
        <v>44409</v>
      </c>
      <c r="B80" s="20">
        <v>0</v>
      </c>
      <c r="C80" s="20">
        <v>0</v>
      </c>
      <c r="D80" s="20">
        <v>17567.68878</v>
      </c>
      <c r="E80" s="20">
        <v>21630.074785865614</v>
      </c>
      <c r="F80" s="20">
        <v>2990.4918799999996</v>
      </c>
      <c r="G80" s="20">
        <v>3116.2977740076913</v>
      </c>
      <c r="H80" s="21">
        <v>0.23124191558370799</v>
      </c>
      <c r="I80" s="21">
        <v>4.2068629194101481E-2</v>
      </c>
      <c r="J80" s="21">
        <v>0.20372385908750501</v>
      </c>
    </row>
    <row r="81" spans="1:10" ht="11.25" customHeight="1" x14ac:dyDescent="0.2">
      <c r="A81" s="30">
        <v>44440</v>
      </c>
      <c r="B81" s="20">
        <v>0</v>
      </c>
      <c r="C81" s="20">
        <v>0</v>
      </c>
      <c r="D81" s="20">
        <v>17989.018379999998</v>
      </c>
      <c r="E81" s="20">
        <v>22148.833449661732</v>
      </c>
      <c r="F81" s="20">
        <v>3062.2134799999999</v>
      </c>
      <c r="G81" s="20">
        <v>3191.0366034032991</v>
      </c>
      <c r="H81" s="21">
        <v>0.23124191558370821</v>
      </c>
      <c r="I81" s="21">
        <v>4.2068629194101481E-2</v>
      </c>
      <c r="J81" s="21">
        <v>0.20372385908750501</v>
      </c>
    </row>
    <row r="82" spans="1:10" ht="11.25" customHeight="1" x14ac:dyDescent="0.2">
      <c r="A82" s="30">
        <v>44470</v>
      </c>
      <c r="B82" s="20">
        <v>0</v>
      </c>
      <c r="C82" s="20">
        <v>0</v>
      </c>
      <c r="D82" s="20">
        <v>15396.085799999999</v>
      </c>
      <c r="E82" s="20">
        <v>18956.306172883127</v>
      </c>
      <c r="F82" s="20">
        <v>2620.8267999999998</v>
      </c>
      <c r="G82" s="20">
        <v>2731.0813908311634</v>
      </c>
      <c r="H82" s="21">
        <v>0.23124191558370821</v>
      </c>
      <c r="I82" s="21">
        <v>4.2068629194101481E-2</v>
      </c>
      <c r="J82" s="21">
        <v>0.20372385908750501</v>
      </c>
    </row>
    <row r="83" spans="1:10" ht="11.25" customHeight="1" x14ac:dyDescent="0.2">
      <c r="A83" s="30">
        <v>44501</v>
      </c>
      <c r="B83" s="20">
        <v>0</v>
      </c>
      <c r="C83" s="20">
        <v>0</v>
      </c>
      <c r="D83" s="20">
        <v>18803.588940000001</v>
      </c>
      <c r="E83" s="20">
        <v>23151.766866334227</v>
      </c>
      <c r="F83" s="20">
        <v>3200.8752399999998</v>
      </c>
      <c r="G83" s="20">
        <v>3335.5316735681408</v>
      </c>
      <c r="H83" s="21">
        <v>0.23124191558370799</v>
      </c>
      <c r="I83" s="21">
        <v>4.2068629194101703E-2</v>
      </c>
      <c r="J83" s="21">
        <v>0.20372385908750457</v>
      </c>
    </row>
    <row r="84" spans="1:10" ht="11.25" customHeight="1" x14ac:dyDescent="0.2">
      <c r="A84" s="30">
        <v>44531</v>
      </c>
      <c r="B84" s="20">
        <v>0</v>
      </c>
      <c r="C84" s="20">
        <v>0</v>
      </c>
      <c r="D84" s="20">
        <v>20643.39486</v>
      </c>
      <c r="E84" s="20">
        <v>25417.013031577273</v>
      </c>
      <c r="F84" s="20">
        <v>3514.0595599999997</v>
      </c>
      <c r="G84" s="20">
        <v>3661.8912285956276</v>
      </c>
      <c r="H84" s="21">
        <v>0.23124191558370799</v>
      </c>
      <c r="I84" s="21">
        <v>4.2068629194101703E-2</v>
      </c>
      <c r="J84" s="21">
        <v>0.20372385908750479</v>
      </c>
    </row>
    <row r="85" spans="1:10" ht="11.25" customHeight="1" x14ac:dyDescent="0.2">
      <c r="A85" s="30">
        <v>44562</v>
      </c>
      <c r="B85" s="20">
        <v>0</v>
      </c>
      <c r="C85" s="20">
        <v>0</v>
      </c>
      <c r="D85" s="20">
        <v>19059.897779999999</v>
      </c>
      <c r="E85" s="20">
        <v>23467.345053476864</v>
      </c>
      <c r="F85" s="20">
        <v>3244.5058799999997</v>
      </c>
      <c r="G85" s="20">
        <v>3380.997794783802</v>
      </c>
      <c r="H85" s="21">
        <v>0.23124191558370799</v>
      </c>
      <c r="I85" s="21">
        <v>4.2068629194101481E-2</v>
      </c>
      <c r="J85" s="21">
        <v>0.20372385908750479</v>
      </c>
    </row>
    <row r="86" spans="1:10" ht="11.25" customHeight="1" x14ac:dyDescent="0.2">
      <c r="A86" s="30">
        <v>44593</v>
      </c>
      <c r="B86" s="20">
        <v>0</v>
      </c>
      <c r="C86" s="20">
        <v>0</v>
      </c>
      <c r="D86" s="20">
        <v>18752.67828</v>
      </c>
      <c r="E86" s="20">
        <v>23089.083527792194</v>
      </c>
      <c r="F86" s="20">
        <v>3192.2088799999997</v>
      </c>
      <c r="G86" s="20">
        <v>3326.5007316828378</v>
      </c>
      <c r="H86" s="21">
        <v>0.23124191558370799</v>
      </c>
      <c r="I86" s="21">
        <v>4.2068629194101481E-2</v>
      </c>
      <c r="J86" s="21">
        <v>0.20372385908750479</v>
      </c>
    </row>
    <row r="87" spans="1:10" ht="11.25" customHeight="1" x14ac:dyDescent="0.2">
      <c r="A87" s="30">
        <v>44621</v>
      </c>
      <c r="B87" s="20">
        <v>0</v>
      </c>
      <c r="C87" s="20">
        <v>0</v>
      </c>
      <c r="D87" s="20">
        <v>23489.125199999999</v>
      </c>
      <c r="E87" s="20">
        <v>28920.795506633549</v>
      </c>
      <c r="F87" s="20">
        <v>3998.4791999999998</v>
      </c>
      <c r="G87" s="20">
        <v>4166.6897388051275</v>
      </c>
      <c r="H87" s="21">
        <v>0.23124191558370799</v>
      </c>
      <c r="I87" s="21">
        <v>4.2068629194101481E-2</v>
      </c>
      <c r="J87" s="21">
        <v>0.20372385908750501</v>
      </c>
    </row>
    <row r="88" spans="1:10" ht="11.25" customHeight="1" x14ac:dyDescent="0.2">
      <c r="A88" s="30">
        <v>44652</v>
      </c>
      <c r="B88" s="20">
        <v>0</v>
      </c>
      <c r="C88" s="20">
        <v>0</v>
      </c>
      <c r="D88" s="20">
        <v>20027.20032</v>
      </c>
      <c r="E88" s="20">
        <v>24658.328485775452</v>
      </c>
      <c r="F88" s="20">
        <v>3409.1667199999997</v>
      </c>
      <c r="G88" s="20">
        <v>3552.585690604551</v>
      </c>
      <c r="H88" s="21">
        <v>0.23124191558370799</v>
      </c>
      <c r="I88" s="21">
        <v>4.2068629194101481E-2</v>
      </c>
      <c r="J88" s="21">
        <v>0.20372385908750479</v>
      </c>
    </row>
    <row r="89" spans="1:10" ht="11.25" customHeight="1" x14ac:dyDescent="0.2">
      <c r="A89" s="30">
        <v>44682</v>
      </c>
      <c r="B89" s="20">
        <v>0</v>
      </c>
      <c r="C89" s="20">
        <v>0</v>
      </c>
      <c r="D89" s="20">
        <v>23343.415380000002</v>
      </c>
      <c r="E89" s="20">
        <v>28741.391468737394</v>
      </c>
      <c r="F89" s="20">
        <v>3973.6754799999999</v>
      </c>
      <c r="G89" s="20">
        <v>4140.842560305814</v>
      </c>
      <c r="H89" s="21">
        <v>0.23124191558370799</v>
      </c>
      <c r="I89" s="21">
        <v>4.2068629194101703E-2</v>
      </c>
      <c r="J89" s="21">
        <v>0.20372385908750479</v>
      </c>
    </row>
    <row r="90" spans="1:10" ht="11.25" customHeight="1" x14ac:dyDescent="0.2">
      <c r="A90" s="30">
        <v>44713</v>
      </c>
      <c r="B90" s="20">
        <v>0</v>
      </c>
      <c r="C90" s="20">
        <v>0</v>
      </c>
      <c r="D90" s="20">
        <v>20824.215479999999</v>
      </c>
      <c r="E90" s="20">
        <v>25639.646958123107</v>
      </c>
      <c r="F90" s="20">
        <v>3544.8400799999995</v>
      </c>
      <c r="G90" s="20">
        <v>3693.9666428779087</v>
      </c>
      <c r="H90" s="21">
        <v>0.23124191558370821</v>
      </c>
      <c r="I90" s="21">
        <v>4.2068629194101481E-2</v>
      </c>
      <c r="J90" s="21">
        <v>0.20372385908750501</v>
      </c>
    </row>
    <row r="91" spans="1:10" ht="11.25" customHeight="1" x14ac:dyDescent="0.2">
      <c r="A91" s="25" t="s">
        <v>44</v>
      </c>
      <c r="B91" s="20">
        <v>53366.869999999988</v>
      </c>
      <c r="C91" s="20">
        <v>70436.88557602292</v>
      </c>
      <c r="D91" s="20">
        <v>26886.632759999997</v>
      </c>
      <c r="E91" s="20">
        <v>33584.734659221656</v>
      </c>
      <c r="F91" s="20">
        <v>23087.256720000001</v>
      </c>
      <c r="G91" s="20">
        <v>23840.653195831364</v>
      </c>
      <c r="H91" s="21">
        <v>0.29616299174284899</v>
      </c>
      <c r="I91" s="21">
        <v>3.263256804255632E-2</v>
      </c>
      <c r="J91" s="21">
        <v>0.23728792080168248</v>
      </c>
    </row>
    <row r="92" spans="1:10" ht="11.25" customHeight="1" x14ac:dyDescent="0.2">
      <c r="A92" s="26" t="s">
        <v>25</v>
      </c>
      <c r="B92" s="20">
        <v>53366.869999999988</v>
      </c>
      <c r="C92" s="20">
        <v>70436.88557602292</v>
      </c>
      <c r="D92" s="20">
        <v>26886.632759999997</v>
      </c>
      <c r="E92" s="20">
        <v>33584.734659221656</v>
      </c>
      <c r="F92" s="20">
        <v>23087.256720000001</v>
      </c>
      <c r="G92" s="20">
        <v>23840.653195831364</v>
      </c>
      <c r="H92" s="21">
        <v>0.29616299174284899</v>
      </c>
      <c r="I92" s="21">
        <v>3.263256804255632E-2</v>
      </c>
      <c r="J92" s="21">
        <v>0.23728792080168248</v>
      </c>
    </row>
    <row r="93" spans="1:10" ht="11.25" customHeight="1" x14ac:dyDescent="0.2">
      <c r="A93" s="27" t="s">
        <v>25</v>
      </c>
      <c r="B93" s="20">
        <v>53366.869999999988</v>
      </c>
      <c r="C93" s="20">
        <v>70436.88557602292</v>
      </c>
      <c r="D93" s="20">
        <v>26886.632759999997</v>
      </c>
      <c r="E93" s="20">
        <v>33584.734659221656</v>
      </c>
      <c r="F93" s="20">
        <v>23087.256720000001</v>
      </c>
      <c r="G93" s="20">
        <v>23840.653195831364</v>
      </c>
      <c r="H93" s="21">
        <v>0.29616299174284899</v>
      </c>
      <c r="I93" s="21">
        <v>3.263256804255632E-2</v>
      </c>
      <c r="J93" s="21">
        <v>0.23728792080168248</v>
      </c>
    </row>
    <row r="94" spans="1:10" ht="11.25" customHeight="1" x14ac:dyDescent="0.2">
      <c r="A94" s="28" t="s">
        <v>25</v>
      </c>
      <c r="B94" s="20">
        <v>53366.869999999988</v>
      </c>
      <c r="C94" s="20">
        <v>70436.88557602292</v>
      </c>
      <c r="D94" s="20">
        <v>26886.632759999997</v>
      </c>
      <c r="E94" s="20">
        <v>33584.734659221656</v>
      </c>
      <c r="F94" s="20">
        <v>23087.256720000001</v>
      </c>
      <c r="G94" s="20">
        <v>23840.653195831364</v>
      </c>
      <c r="H94" s="21">
        <v>0.29616299174284899</v>
      </c>
      <c r="I94" s="21">
        <v>3.263256804255632E-2</v>
      </c>
      <c r="J94" s="21">
        <v>0.23728792080168248</v>
      </c>
    </row>
    <row r="95" spans="1:10" ht="11.25" customHeight="1" x14ac:dyDescent="0.2">
      <c r="A95" s="29" t="s">
        <v>35</v>
      </c>
      <c r="B95" s="20">
        <v>0</v>
      </c>
      <c r="C95" s="20">
        <v>0</v>
      </c>
      <c r="D95" s="20">
        <v>9601.5859199999995</v>
      </c>
      <c r="E95" s="20">
        <v>12302.660476985944</v>
      </c>
      <c r="F95" s="20">
        <v>20144.878080000002</v>
      </c>
      <c r="G95" s="20">
        <v>20774.492719876565</v>
      </c>
      <c r="H95" s="21">
        <v>0.28131545970542593</v>
      </c>
      <c r="I95" s="21">
        <v>3.1254328637593032E-2</v>
      </c>
      <c r="J95" s="21">
        <v>0.11196924773521011</v>
      </c>
    </row>
    <row r="96" spans="1:10" ht="11.25" customHeight="1" x14ac:dyDescent="0.2">
      <c r="A96" s="30">
        <v>44378</v>
      </c>
      <c r="B96" s="20">
        <v>0</v>
      </c>
      <c r="C96" s="20">
        <v>0</v>
      </c>
      <c r="D96" s="20">
        <v>763.34273999999994</v>
      </c>
      <c r="E96" s="20">
        <v>978.08285381589928</v>
      </c>
      <c r="F96" s="20">
        <v>1601.5527599999998</v>
      </c>
      <c r="G96" s="20">
        <v>1651.6082162914838</v>
      </c>
      <c r="H96" s="21">
        <v>0.28131545970542593</v>
      </c>
      <c r="I96" s="21">
        <v>3.1254328637593032E-2</v>
      </c>
      <c r="J96" s="21">
        <v>0.11196924773521011</v>
      </c>
    </row>
    <row r="97" spans="1:10" ht="11.25" customHeight="1" x14ac:dyDescent="0.2">
      <c r="A97" s="30">
        <v>44409</v>
      </c>
      <c r="B97" s="20">
        <v>0</v>
      </c>
      <c r="C97" s="20">
        <v>0</v>
      </c>
      <c r="D97" s="20">
        <v>736.7239800000001</v>
      </c>
      <c r="E97" s="20">
        <v>943.97582510971108</v>
      </c>
      <c r="F97" s="20">
        <v>1545.7045200000002</v>
      </c>
      <c r="G97" s="20">
        <v>1594.014477044693</v>
      </c>
      <c r="H97" s="21">
        <v>0.28131545970542593</v>
      </c>
      <c r="I97" s="21">
        <v>3.125432863759281E-2</v>
      </c>
      <c r="J97" s="21">
        <v>0.11196924773520989</v>
      </c>
    </row>
    <row r="98" spans="1:10" ht="11.25" customHeight="1" x14ac:dyDescent="0.2">
      <c r="A98" s="30">
        <v>44440</v>
      </c>
      <c r="B98" s="20">
        <v>0</v>
      </c>
      <c r="C98" s="20">
        <v>0</v>
      </c>
      <c r="D98" s="20">
        <v>643.37724000000003</v>
      </c>
      <c r="E98" s="20">
        <v>824.36920403460817</v>
      </c>
      <c r="F98" s="20">
        <v>1349.8557600000001</v>
      </c>
      <c r="G98" s="20">
        <v>1392.0445955363878</v>
      </c>
      <c r="H98" s="21">
        <v>0.28131545970542593</v>
      </c>
      <c r="I98" s="21">
        <v>3.125432863759281E-2</v>
      </c>
      <c r="J98" s="21">
        <v>0.11196924773521011</v>
      </c>
    </row>
    <row r="99" spans="1:10" ht="11.25" customHeight="1" x14ac:dyDescent="0.2">
      <c r="A99" s="30">
        <v>44470</v>
      </c>
      <c r="B99" s="20">
        <v>0</v>
      </c>
      <c r="C99" s="20">
        <v>0</v>
      </c>
      <c r="D99" s="20">
        <v>656.95824000000005</v>
      </c>
      <c r="E99" s="20">
        <v>841.77074929286755</v>
      </c>
      <c r="F99" s="20">
        <v>1378.3497600000001</v>
      </c>
      <c r="G99" s="20">
        <v>1421.4291563765873</v>
      </c>
      <c r="H99" s="21">
        <v>0.28131545970542593</v>
      </c>
      <c r="I99" s="21">
        <v>3.125432863759281E-2</v>
      </c>
      <c r="J99" s="21">
        <v>0.11196924773521011</v>
      </c>
    </row>
    <row r="100" spans="1:10" ht="11.25" customHeight="1" x14ac:dyDescent="0.2">
      <c r="A100" s="30">
        <v>44501</v>
      </c>
      <c r="B100" s="20">
        <v>0</v>
      </c>
      <c r="C100" s="20">
        <v>0</v>
      </c>
      <c r="D100" s="20">
        <v>757.72926000000007</v>
      </c>
      <c r="E100" s="20">
        <v>970.89021510915222</v>
      </c>
      <c r="F100" s="20">
        <v>1589.7752399999999</v>
      </c>
      <c r="G100" s="20">
        <v>1639.4625978108681</v>
      </c>
      <c r="H100" s="21">
        <v>0.28131545970542593</v>
      </c>
      <c r="I100" s="21">
        <v>3.1254328637593032E-2</v>
      </c>
      <c r="J100" s="21">
        <v>0.11196924773521011</v>
      </c>
    </row>
    <row r="101" spans="1:10" ht="11.25" customHeight="1" x14ac:dyDescent="0.2">
      <c r="A101" s="30">
        <v>44531</v>
      </c>
      <c r="B101" s="20">
        <v>0</v>
      </c>
      <c r="C101" s="20">
        <v>0</v>
      </c>
      <c r="D101" s="20">
        <v>782.44668000000001</v>
      </c>
      <c r="E101" s="20">
        <v>1002.5610274791842</v>
      </c>
      <c r="F101" s="20">
        <v>1641.6343199999999</v>
      </c>
      <c r="G101" s="20">
        <v>1692.9424985400312</v>
      </c>
      <c r="H101" s="21">
        <v>0.28131545970542571</v>
      </c>
      <c r="I101" s="21">
        <v>3.125432863759281E-2</v>
      </c>
      <c r="J101" s="21">
        <v>0.11196924773520989</v>
      </c>
    </row>
    <row r="102" spans="1:10" ht="11.25" customHeight="1" x14ac:dyDescent="0.2">
      <c r="A102" s="30">
        <v>44562</v>
      </c>
      <c r="B102" s="20">
        <v>0</v>
      </c>
      <c r="C102" s="20">
        <v>0</v>
      </c>
      <c r="D102" s="20">
        <v>929.57418000000007</v>
      </c>
      <c r="E102" s="20">
        <v>1191.0777677769943</v>
      </c>
      <c r="F102" s="20">
        <v>1950.3193200000001</v>
      </c>
      <c r="G102" s="20">
        <v>2011.2752409755267</v>
      </c>
      <c r="H102" s="21">
        <v>0.28131545970542571</v>
      </c>
      <c r="I102" s="21">
        <v>3.125432863759281E-2</v>
      </c>
      <c r="J102" s="21">
        <v>0.11196924773520989</v>
      </c>
    </row>
    <row r="103" spans="1:10" ht="11.25" customHeight="1" x14ac:dyDescent="0.2">
      <c r="A103" s="30">
        <v>44593</v>
      </c>
      <c r="B103" s="20">
        <v>0</v>
      </c>
      <c r="C103" s="20">
        <v>0</v>
      </c>
      <c r="D103" s="20">
        <v>890.64197999999999</v>
      </c>
      <c r="E103" s="20">
        <v>1141.1933380366506</v>
      </c>
      <c r="F103" s="20">
        <v>1868.63652</v>
      </c>
      <c r="G103" s="20">
        <v>1927.0394999002879</v>
      </c>
      <c r="H103" s="21">
        <v>0.28131545970542571</v>
      </c>
      <c r="I103" s="21">
        <v>3.125432863759281E-2</v>
      </c>
      <c r="J103" s="21">
        <v>0.11196924773520989</v>
      </c>
    </row>
    <row r="104" spans="1:10" ht="11.25" customHeight="1" x14ac:dyDescent="0.2">
      <c r="A104" s="30">
        <v>44621</v>
      </c>
      <c r="B104" s="20">
        <v>0</v>
      </c>
      <c r="C104" s="20">
        <v>0</v>
      </c>
      <c r="D104" s="20">
        <v>967.60098000000005</v>
      </c>
      <c r="E104" s="20">
        <v>1239.8020945001206</v>
      </c>
      <c r="F104" s="20">
        <v>2030.1025199999999</v>
      </c>
      <c r="G104" s="20">
        <v>2093.5520113280854</v>
      </c>
      <c r="H104" s="21">
        <v>0.28131545970542571</v>
      </c>
      <c r="I104" s="21">
        <v>3.125432863759281E-2</v>
      </c>
      <c r="J104" s="21">
        <v>0.11196924773521011</v>
      </c>
    </row>
    <row r="105" spans="1:10" ht="11.25" customHeight="1" x14ac:dyDescent="0.2">
      <c r="A105" s="30">
        <v>44652</v>
      </c>
      <c r="B105" s="20">
        <v>0</v>
      </c>
      <c r="C105" s="20">
        <v>0</v>
      </c>
      <c r="D105" s="20">
        <v>711.91602000000012</v>
      </c>
      <c r="E105" s="20">
        <v>912.18900243795724</v>
      </c>
      <c r="F105" s="20">
        <v>1493.6554800000001</v>
      </c>
      <c r="G105" s="20">
        <v>1540.3386792432616</v>
      </c>
      <c r="H105" s="21">
        <v>0.28131545970542571</v>
      </c>
      <c r="I105" s="21">
        <v>3.125432863759281E-2</v>
      </c>
      <c r="J105" s="21">
        <v>0.11196924773521011</v>
      </c>
    </row>
    <row r="106" spans="1:10" ht="11.25" customHeight="1" x14ac:dyDescent="0.2">
      <c r="A106" s="30">
        <v>44682</v>
      </c>
      <c r="B106" s="20">
        <v>0</v>
      </c>
      <c r="C106" s="20">
        <v>0</v>
      </c>
      <c r="D106" s="20">
        <v>843.56118000000004</v>
      </c>
      <c r="E106" s="20">
        <v>1080.8679811413515</v>
      </c>
      <c r="F106" s="20">
        <v>1769.8573200000001</v>
      </c>
      <c r="G106" s="20">
        <v>1825.1730223209295</v>
      </c>
      <c r="H106" s="21">
        <v>0.28131545970542571</v>
      </c>
      <c r="I106" s="21">
        <v>3.125432863759281E-2</v>
      </c>
      <c r="J106" s="21">
        <v>0.11196924773520989</v>
      </c>
    </row>
    <row r="107" spans="1:10" ht="11.25" customHeight="1" x14ac:dyDescent="0.2">
      <c r="A107" s="30">
        <v>44713</v>
      </c>
      <c r="B107" s="20">
        <v>0</v>
      </c>
      <c r="C107" s="20">
        <v>0</v>
      </c>
      <c r="D107" s="20">
        <v>917.71343999999999</v>
      </c>
      <c r="E107" s="20">
        <v>1175.8804182514477</v>
      </c>
      <c r="F107" s="20">
        <v>1925.4345599999999</v>
      </c>
      <c r="G107" s="20">
        <v>1985.612724508419</v>
      </c>
      <c r="H107" s="21">
        <v>0.28131545970542593</v>
      </c>
      <c r="I107" s="21">
        <v>3.125432863759281E-2</v>
      </c>
      <c r="J107" s="21">
        <v>0.11196924773520989</v>
      </c>
    </row>
    <row r="108" spans="1:10" ht="11.25" customHeight="1" x14ac:dyDescent="0.2">
      <c r="A108" s="29" t="s">
        <v>25</v>
      </c>
      <c r="B108" s="20">
        <v>53366.869999999988</v>
      </c>
      <c r="C108" s="20">
        <v>70436.88557602292</v>
      </c>
      <c r="D108" s="20">
        <v>0</v>
      </c>
      <c r="E108" s="20">
        <v>0</v>
      </c>
      <c r="F108" s="20">
        <v>0</v>
      </c>
      <c r="G108" s="20">
        <v>0</v>
      </c>
      <c r="H108" s="21">
        <v>0.31986165904095443</v>
      </c>
      <c r="I108" s="21">
        <v>0</v>
      </c>
      <c r="J108" s="21">
        <v>0.31986165904095443</v>
      </c>
    </row>
    <row r="109" spans="1:10" ht="11.25" customHeight="1" x14ac:dyDescent="0.2">
      <c r="A109" s="30">
        <v>44378</v>
      </c>
      <c r="B109" s="20">
        <v>4518.01</v>
      </c>
      <c r="C109" s="20">
        <v>5963.1481741636208</v>
      </c>
      <c r="D109" s="20">
        <v>0</v>
      </c>
      <c r="E109" s="20">
        <v>0</v>
      </c>
      <c r="F109" s="20">
        <v>0</v>
      </c>
      <c r="G109" s="20">
        <v>0</v>
      </c>
      <c r="H109" s="21">
        <v>0.31986165904095398</v>
      </c>
      <c r="I109" s="21">
        <v>0</v>
      </c>
      <c r="J109" s="21">
        <v>0.31986165904095398</v>
      </c>
    </row>
    <row r="110" spans="1:10" ht="11.25" customHeight="1" x14ac:dyDescent="0.2">
      <c r="A110" s="30">
        <v>44409</v>
      </c>
      <c r="B110" s="20">
        <v>4416.0999999999995</v>
      </c>
      <c r="C110" s="20">
        <v>5828.6410724907573</v>
      </c>
      <c r="D110" s="20">
        <v>0</v>
      </c>
      <c r="E110" s="20">
        <v>0</v>
      </c>
      <c r="F110" s="20">
        <v>0</v>
      </c>
      <c r="G110" s="20">
        <v>0</v>
      </c>
      <c r="H110" s="21">
        <v>0.3198616590409542</v>
      </c>
      <c r="I110" s="21">
        <v>0</v>
      </c>
      <c r="J110" s="21">
        <v>0.3198616590409542</v>
      </c>
    </row>
    <row r="111" spans="1:10" ht="11.25" customHeight="1" x14ac:dyDescent="0.2">
      <c r="A111" s="30">
        <v>44440</v>
      </c>
      <c r="B111" s="20">
        <v>4416.0999999999995</v>
      </c>
      <c r="C111" s="20">
        <v>5828.6410724907573</v>
      </c>
      <c r="D111" s="20">
        <v>0</v>
      </c>
      <c r="E111" s="20">
        <v>0</v>
      </c>
      <c r="F111" s="20">
        <v>0</v>
      </c>
      <c r="G111" s="20">
        <v>0</v>
      </c>
      <c r="H111" s="21">
        <v>0.3198616590409542</v>
      </c>
      <c r="I111" s="21">
        <v>0</v>
      </c>
      <c r="J111" s="21">
        <v>0.3198616590409542</v>
      </c>
    </row>
    <row r="112" spans="1:10" ht="11.25" customHeight="1" x14ac:dyDescent="0.2">
      <c r="A112" s="30">
        <v>44470</v>
      </c>
      <c r="B112" s="20">
        <v>4416.0999999999995</v>
      </c>
      <c r="C112" s="20">
        <v>5828.6410724907573</v>
      </c>
      <c r="D112" s="20">
        <v>0</v>
      </c>
      <c r="E112" s="20">
        <v>0</v>
      </c>
      <c r="F112" s="20">
        <v>0</v>
      </c>
      <c r="G112" s="20">
        <v>0</v>
      </c>
      <c r="H112" s="21">
        <v>0.3198616590409542</v>
      </c>
      <c r="I112" s="21">
        <v>0</v>
      </c>
      <c r="J112" s="21">
        <v>0.3198616590409542</v>
      </c>
    </row>
    <row r="113" spans="1:10" ht="11.25" customHeight="1" x14ac:dyDescent="0.2">
      <c r="A113" s="30">
        <v>44501</v>
      </c>
      <c r="B113" s="20">
        <v>4416.0999999999995</v>
      </c>
      <c r="C113" s="20">
        <v>5828.6410724907573</v>
      </c>
      <c r="D113" s="20">
        <v>0</v>
      </c>
      <c r="E113" s="20">
        <v>0</v>
      </c>
      <c r="F113" s="20">
        <v>0</v>
      </c>
      <c r="G113" s="20">
        <v>0</v>
      </c>
      <c r="H113" s="21">
        <v>0.3198616590409542</v>
      </c>
      <c r="I113" s="21">
        <v>0</v>
      </c>
      <c r="J113" s="21">
        <v>0.3198616590409542</v>
      </c>
    </row>
    <row r="114" spans="1:10" ht="11.25" customHeight="1" x14ac:dyDescent="0.2">
      <c r="A114" s="30">
        <v>44531</v>
      </c>
      <c r="B114" s="20">
        <v>4416.0999999999995</v>
      </c>
      <c r="C114" s="20">
        <v>5828.6410724907573</v>
      </c>
      <c r="D114" s="20">
        <v>0</v>
      </c>
      <c r="E114" s="20">
        <v>0</v>
      </c>
      <c r="F114" s="20">
        <v>0</v>
      </c>
      <c r="G114" s="20">
        <v>0</v>
      </c>
      <c r="H114" s="21">
        <v>0.3198616590409542</v>
      </c>
      <c r="I114" s="21">
        <v>0</v>
      </c>
      <c r="J114" s="21">
        <v>0.3198616590409542</v>
      </c>
    </row>
    <row r="115" spans="1:10" ht="11.25" customHeight="1" x14ac:dyDescent="0.2">
      <c r="A115" s="30">
        <v>44562</v>
      </c>
      <c r="B115" s="20">
        <v>4687.8599999999997</v>
      </c>
      <c r="C115" s="20">
        <v>6187.3266769517268</v>
      </c>
      <c r="D115" s="20">
        <v>0</v>
      </c>
      <c r="E115" s="20">
        <v>0</v>
      </c>
      <c r="F115" s="20">
        <v>0</v>
      </c>
      <c r="G115" s="20">
        <v>0</v>
      </c>
      <c r="H115" s="21">
        <v>0.3198616590409542</v>
      </c>
      <c r="I115" s="21">
        <v>0</v>
      </c>
      <c r="J115" s="21">
        <v>0.3198616590409542</v>
      </c>
    </row>
    <row r="116" spans="1:10" ht="11.25" customHeight="1" x14ac:dyDescent="0.2">
      <c r="A116" s="30">
        <v>44593</v>
      </c>
      <c r="B116" s="20">
        <v>4416.0999999999995</v>
      </c>
      <c r="C116" s="20">
        <v>5828.6410724907573</v>
      </c>
      <c r="D116" s="20">
        <v>0</v>
      </c>
      <c r="E116" s="20">
        <v>0</v>
      </c>
      <c r="F116" s="20">
        <v>0</v>
      </c>
      <c r="G116" s="20">
        <v>0</v>
      </c>
      <c r="H116" s="21">
        <v>0.3198616590409542</v>
      </c>
      <c r="I116" s="21">
        <v>0</v>
      </c>
      <c r="J116" s="21">
        <v>0.3198616590409542</v>
      </c>
    </row>
    <row r="117" spans="1:10" ht="11.25" customHeight="1" x14ac:dyDescent="0.2">
      <c r="A117" s="30">
        <v>44621</v>
      </c>
      <c r="B117" s="20">
        <v>4416.0999999999995</v>
      </c>
      <c r="C117" s="20">
        <v>5828.6410724907573</v>
      </c>
      <c r="D117" s="20">
        <v>0</v>
      </c>
      <c r="E117" s="20">
        <v>0</v>
      </c>
      <c r="F117" s="20">
        <v>0</v>
      </c>
      <c r="G117" s="20">
        <v>0</v>
      </c>
      <c r="H117" s="21">
        <v>0.3198616590409542</v>
      </c>
      <c r="I117" s="21">
        <v>0</v>
      </c>
      <c r="J117" s="21">
        <v>0.3198616590409542</v>
      </c>
    </row>
    <row r="118" spans="1:10" ht="11.25" customHeight="1" x14ac:dyDescent="0.2">
      <c r="A118" s="30">
        <v>44652</v>
      </c>
      <c r="B118" s="20">
        <v>4416.0999999999995</v>
      </c>
      <c r="C118" s="20">
        <v>5828.6410724907573</v>
      </c>
      <c r="D118" s="20">
        <v>0</v>
      </c>
      <c r="E118" s="20">
        <v>0</v>
      </c>
      <c r="F118" s="20">
        <v>0</v>
      </c>
      <c r="G118" s="20">
        <v>0</v>
      </c>
      <c r="H118" s="21">
        <v>0.3198616590409542</v>
      </c>
      <c r="I118" s="21">
        <v>0</v>
      </c>
      <c r="J118" s="21">
        <v>0.3198616590409542</v>
      </c>
    </row>
    <row r="119" spans="1:10" ht="11.25" customHeight="1" x14ac:dyDescent="0.2">
      <c r="A119" s="30">
        <v>44682</v>
      </c>
      <c r="B119" s="20">
        <v>4416.0999999999995</v>
      </c>
      <c r="C119" s="20">
        <v>5828.6410724907573</v>
      </c>
      <c r="D119" s="20">
        <v>0</v>
      </c>
      <c r="E119" s="20">
        <v>0</v>
      </c>
      <c r="F119" s="20">
        <v>0</v>
      </c>
      <c r="G119" s="20">
        <v>0</v>
      </c>
      <c r="H119" s="21">
        <v>0.3198616590409542</v>
      </c>
      <c r="I119" s="21">
        <v>0</v>
      </c>
      <c r="J119" s="21">
        <v>0.3198616590409542</v>
      </c>
    </row>
    <row r="120" spans="1:10" ht="11.25" customHeight="1" x14ac:dyDescent="0.2">
      <c r="A120" s="30">
        <v>44713</v>
      </c>
      <c r="B120" s="20">
        <v>4416.0999999999995</v>
      </c>
      <c r="C120" s="20">
        <v>5828.6410724907573</v>
      </c>
      <c r="D120" s="20">
        <v>0</v>
      </c>
      <c r="E120" s="20">
        <v>0</v>
      </c>
      <c r="F120" s="20">
        <v>0</v>
      </c>
      <c r="G120" s="20">
        <v>0</v>
      </c>
      <c r="H120" s="21">
        <v>0.3198616590409542</v>
      </c>
      <c r="I120" s="21">
        <v>0</v>
      </c>
      <c r="J120" s="21">
        <v>0.3198616590409542</v>
      </c>
    </row>
    <row r="121" spans="1:10" ht="11.25" customHeight="1" x14ac:dyDescent="0.2">
      <c r="A121" s="29" t="s">
        <v>34</v>
      </c>
      <c r="B121" s="20">
        <v>0</v>
      </c>
      <c r="C121" s="20">
        <v>0</v>
      </c>
      <c r="D121" s="20">
        <v>17285.046839999999</v>
      </c>
      <c r="E121" s="20">
        <v>21282.074182235723</v>
      </c>
      <c r="F121" s="20">
        <v>2942.3786399999999</v>
      </c>
      <c r="G121" s="20">
        <v>3066.1604759548045</v>
      </c>
      <c r="H121" s="21">
        <v>0.23124191558370821</v>
      </c>
      <c r="I121" s="21">
        <v>4.2068629194101481E-2</v>
      </c>
      <c r="J121" s="21">
        <v>0.20372385908750523</v>
      </c>
    </row>
    <row r="122" spans="1:10" ht="11.25" customHeight="1" x14ac:dyDescent="0.2">
      <c r="A122" s="30">
        <v>44378</v>
      </c>
      <c r="B122" s="20">
        <v>0</v>
      </c>
      <c r="C122" s="20">
        <v>0</v>
      </c>
      <c r="D122" s="20">
        <v>1443.0538799999999</v>
      </c>
      <c r="E122" s="20">
        <v>1776.7484235017023</v>
      </c>
      <c r="F122" s="20">
        <v>245.64647999999997</v>
      </c>
      <c r="G122" s="20">
        <v>255.98049067995626</v>
      </c>
      <c r="H122" s="21">
        <v>0.23124191558370799</v>
      </c>
      <c r="I122" s="21">
        <v>4.2068629194101703E-2</v>
      </c>
      <c r="J122" s="21">
        <v>0.20372385908750501</v>
      </c>
    </row>
    <row r="123" spans="1:10" ht="11.25" customHeight="1" x14ac:dyDescent="0.2">
      <c r="A123" s="30">
        <v>44409</v>
      </c>
      <c r="B123" s="20">
        <v>0</v>
      </c>
      <c r="C123" s="20">
        <v>0</v>
      </c>
      <c r="D123" s="20">
        <v>1383.3655200000001</v>
      </c>
      <c r="E123" s="20">
        <v>1703.2576127972525</v>
      </c>
      <c r="F123" s="20">
        <v>235.48591999999999</v>
      </c>
      <c r="G123" s="20">
        <v>245.39248984891188</v>
      </c>
      <c r="H123" s="21">
        <v>0.23124191558370799</v>
      </c>
      <c r="I123" s="21">
        <v>4.2068629194101703E-2</v>
      </c>
      <c r="J123" s="21">
        <v>0.20372385908750479</v>
      </c>
    </row>
    <row r="124" spans="1:10" ht="11.25" customHeight="1" x14ac:dyDescent="0.2">
      <c r="A124" s="30">
        <v>44440</v>
      </c>
      <c r="B124" s="20">
        <v>0</v>
      </c>
      <c r="C124" s="20">
        <v>0</v>
      </c>
      <c r="D124" s="20">
        <v>1220.1002999999998</v>
      </c>
      <c r="E124" s="20">
        <v>1502.2386305762568</v>
      </c>
      <c r="F124" s="20">
        <v>207.69379999999998</v>
      </c>
      <c r="G124" s="20">
        <v>216.43119345811388</v>
      </c>
      <c r="H124" s="21">
        <v>0.23124191558370821</v>
      </c>
      <c r="I124" s="21">
        <v>4.2068629194101703E-2</v>
      </c>
      <c r="J124" s="21">
        <v>0.20372385908750501</v>
      </c>
    </row>
    <row r="125" spans="1:10" ht="11.25" customHeight="1" x14ac:dyDescent="0.2">
      <c r="A125" s="30">
        <v>44470</v>
      </c>
      <c r="B125" s="20">
        <v>0</v>
      </c>
      <c r="C125" s="20">
        <v>0</v>
      </c>
      <c r="D125" s="20">
        <v>1097.2125000000001</v>
      </c>
      <c r="E125" s="20">
        <v>1350.9340203023894</v>
      </c>
      <c r="F125" s="20">
        <v>186.77499999999998</v>
      </c>
      <c r="G125" s="20">
        <v>194.6323682177283</v>
      </c>
      <c r="H125" s="21">
        <v>0.23124191558370799</v>
      </c>
      <c r="I125" s="21">
        <v>4.2068629194101481E-2</v>
      </c>
      <c r="J125" s="21">
        <v>0.20372385908750479</v>
      </c>
    </row>
    <row r="126" spans="1:10" ht="11.25" customHeight="1" x14ac:dyDescent="0.2">
      <c r="A126" s="30">
        <v>44501</v>
      </c>
      <c r="B126" s="20">
        <v>0</v>
      </c>
      <c r="C126" s="20">
        <v>0</v>
      </c>
      <c r="D126" s="20">
        <v>1160.41194</v>
      </c>
      <c r="E126" s="20">
        <v>1428.747819871807</v>
      </c>
      <c r="F126" s="20">
        <v>197.53324000000001</v>
      </c>
      <c r="G126" s="20">
        <v>205.84319262706947</v>
      </c>
      <c r="H126" s="21">
        <v>0.23124191558370821</v>
      </c>
      <c r="I126" s="21">
        <v>4.2068629194101481E-2</v>
      </c>
      <c r="J126" s="21">
        <v>0.20372385908750479</v>
      </c>
    </row>
    <row r="127" spans="1:10" ht="11.25" customHeight="1" x14ac:dyDescent="0.2">
      <c r="A127" s="30">
        <v>44531</v>
      </c>
      <c r="B127" s="20">
        <v>0</v>
      </c>
      <c r="C127" s="20">
        <v>0</v>
      </c>
      <c r="D127" s="20">
        <v>1262.23326</v>
      </c>
      <c r="E127" s="20">
        <v>1554.1144969558686</v>
      </c>
      <c r="F127" s="20">
        <v>214.86595999999997</v>
      </c>
      <c r="G127" s="20">
        <v>223.90507639767463</v>
      </c>
      <c r="H127" s="21">
        <v>0.23124191558370799</v>
      </c>
      <c r="I127" s="21">
        <v>4.2068629194101481E-2</v>
      </c>
      <c r="J127" s="21">
        <v>0.20372385908750479</v>
      </c>
    </row>
    <row r="128" spans="1:10" ht="11.25" customHeight="1" x14ac:dyDescent="0.2">
      <c r="A128" s="30">
        <v>44562</v>
      </c>
      <c r="B128" s="20">
        <v>0</v>
      </c>
      <c r="C128" s="20">
        <v>0</v>
      </c>
      <c r="D128" s="20">
        <v>1485.1868399999998</v>
      </c>
      <c r="E128" s="20">
        <v>1828.6242898813141</v>
      </c>
      <c r="F128" s="20">
        <v>252.81863999999996</v>
      </c>
      <c r="G128" s="20">
        <v>263.45437361951701</v>
      </c>
      <c r="H128" s="21">
        <v>0.23124191558370821</v>
      </c>
      <c r="I128" s="21">
        <v>4.2068629194101481E-2</v>
      </c>
      <c r="J128" s="21">
        <v>0.20372385908750501</v>
      </c>
    </row>
    <row r="129" spans="1:10" ht="11.25" customHeight="1" x14ac:dyDescent="0.2">
      <c r="A129" s="30">
        <v>44593</v>
      </c>
      <c r="B129" s="20">
        <v>0</v>
      </c>
      <c r="C129" s="20">
        <v>0</v>
      </c>
      <c r="D129" s="20">
        <v>1515.0310199999999</v>
      </c>
      <c r="E129" s="20">
        <v>1865.3696952335392</v>
      </c>
      <c r="F129" s="20">
        <v>257.89891999999998</v>
      </c>
      <c r="G129" s="20">
        <v>268.74837403503926</v>
      </c>
      <c r="H129" s="21">
        <v>0.23124191558370821</v>
      </c>
      <c r="I129" s="21">
        <v>4.2068629194101703E-2</v>
      </c>
      <c r="J129" s="21">
        <v>0.20372385908750479</v>
      </c>
    </row>
    <row r="130" spans="1:10" ht="11.25" customHeight="1" x14ac:dyDescent="0.2">
      <c r="A130" s="30">
        <v>44621</v>
      </c>
      <c r="B130" s="20">
        <v>0</v>
      </c>
      <c r="C130" s="20">
        <v>0</v>
      </c>
      <c r="D130" s="20">
        <v>1662.4963799999998</v>
      </c>
      <c r="E130" s="20">
        <v>2046.9352275621802</v>
      </c>
      <c r="F130" s="20">
        <v>283.00147999999996</v>
      </c>
      <c r="G130" s="20">
        <v>294.90696432350194</v>
      </c>
      <c r="H130" s="21">
        <v>0.23124191558370821</v>
      </c>
      <c r="I130" s="21">
        <v>4.2068629194101703E-2</v>
      </c>
      <c r="J130" s="21">
        <v>0.20372385908750501</v>
      </c>
    </row>
    <row r="131" spans="1:10" ht="11.25" customHeight="1" x14ac:dyDescent="0.2">
      <c r="A131" s="30">
        <v>44652</v>
      </c>
      <c r="B131" s="20">
        <v>0</v>
      </c>
      <c r="C131" s="20">
        <v>0</v>
      </c>
      <c r="D131" s="20">
        <v>1337.7214799999999</v>
      </c>
      <c r="E131" s="20">
        <v>1647.0587575526731</v>
      </c>
      <c r="F131" s="20">
        <v>227.71607999999998</v>
      </c>
      <c r="G131" s="20">
        <v>237.29578333105437</v>
      </c>
      <c r="H131" s="21">
        <v>0.23124191558370821</v>
      </c>
      <c r="I131" s="21">
        <v>4.2068629194101703E-2</v>
      </c>
      <c r="J131" s="21">
        <v>0.20372385908750501</v>
      </c>
    </row>
    <row r="132" spans="1:10" ht="11.25" customHeight="1" x14ac:dyDescent="0.2">
      <c r="A132" s="30">
        <v>44682</v>
      </c>
      <c r="B132" s="20">
        <v>0</v>
      </c>
      <c r="C132" s="20">
        <v>0</v>
      </c>
      <c r="D132" s="20">
        <v>1906.5164400000001</v>
      </c>
      <c r="E132" s="20">
        <v>2347.3829536774319</v>
      </c>
      <c r="F132" s="20">
        <v>324.54023999999998</v>
      </c>
      <c r="G132" s="20">
        <v>338.19320301512477</v>
      </c>
      <c r="H132" s="21">
        <v>0.23124191558370821</v>
      </c>
      <c r="I132" s="21">
        <v>4.2068629194101703E-2</v>
      </c>
      <c r="J132" s="21">
        <v>0.20372385908750479</v>
      </c>
    </row>
    <row r="133" spans="1:10" ht="11.25" customHeight="1" x14ac:dyDescent="0.2">
      <c r="A133" s="30">
        <v>44713</v>
      </c>
      <c r="B133" s="20">
        <v>0</v>
      </c>
      <c r="C133" s="20">
        <v>0</v>
      </c>
      <c r="D133" s="20">
        <v>1811.7172800000001</v>
      </c>
      <c r="E133" s="20">
        <v>2230.6622543233052</v>
      </c>
      <c r="F133" s="20">
        <v>308.40287999999998</v>
      </c>
      <c r="G133" s="20">
        <v>321.37696640111301</v>
      </c>
      <c r="H133" s="21">
        <v>0.23124191558370799</v>
      </c>
      <c r="I133" s="21">
        <v>4.2068629194101703E-2</v>
      </c>
      <c r="J133" s="21">
        <v>0.20372385908750479</v>
      </c>
    </row>
    <row r="134" spans="1:10" ht="11.25" customHeight="1" x14ac:dyDescent="0.2">
      <c r="A134" s="25" t="s">
        <v>43</v>
      </c>
      <c r="B134" s="20">
        <v>37013.711999999992</v>
      </c>
      <c r="C134" s="20">
        <v>48852.979327584071</v>
      </c>
      <c r="D134" s="20">
        <v>26426.932819199996</v>
      </c>
      <c r="E134" s="20">
        <v>32937.337328954287</v>
      </c>
      <c r="F134" s="20">
        <v>19875.244531199998</v>
      </c>
      <c r="G134" s="20">
        <v>20530.397860098303</v>
      </c>
      <c r="H134" s="21">
        <v>0.28924157201795864</v>
      </c>
      <c r="I134" s="21">
        <v>3.2963283941983779E-2</v>
      </c>
      <c r="J134" s="21">
        <v>0.22810565084780476</v>
      </c>
    </row>
    <row r="135" spans="1:10" ht="11.25" customHeight="1" x14ac:dyDescent="0.2">
      <c r="A135" s="26" t="s">
        <v>25</v>
      </c>
      <c r="B135" s="20">
        <v>37013.711999999992</v>
      </c>
      <c r="C135" s="20">
        <v>48852.979327584071</v>
      </c>
      <c r="D135" s="20">
        <v>26426.932819199996</v>
      </c>
      <c r="E135" s="20">
        <v>32937.337328954287</v>
      </c>
      <c r="F135" s="20">
        <v>19875.244531199998</v>
      </c>
      <c r="G135" s="20">
        <v>20530.397860098303</v>
      </c>
      <c r="H135" s="21">
        <v>0.28924157201795864</v>
      </c>
      <c r="I135" s="21">
        <v>3.2963283941983779E-2</v>
      </c>
      <c r="J135" s="21">
        <v>0.22810565084780476</v>
      </c>
    </row>
    <row r="136" spans="1:10" ht="11.25" customHeight="1" x14ac:dyDescent="0.2">
      <c r="A136" s="27" t="s">
        <v>25</v>
      </c>
      <c r="B136" s="20">
        <v>37013.711999999992</v>
      </c>
      <c r="C136" s="20">
        <v>48852.979327584071</v>
      </c>
      <c r="D136" s="20">
        <v>26426.932819199996</v>
      </c>
      <c r="E136" s="20">
        <v>32937.337328954287</v>
      </c>
      <c r="F136" s="20">
        <v>19875.244531199998</v>
      </c>
      <c r="G136" s="20">
        <v>20530.397860098303</v>
      </c>
      <c r="H136" s="21">
        <v>0.28924157201795864</v>
      </c>
      <c r="I136" s="21">
        <v>3.2963283941983779E-2</v>
      </c>
      <c r="J136" s="21">
        <v>0.22810565084780476</v>
      </c>
    </row>
    <row r="137" spans="1:10" ht="11.25" customHeight="1" x14ac:dyDescent="0.2">
      <c r="A137" s="28" t="s">
        <v>25</v>
      </c>
      <c r="B137" s="20">
        <v>37013.711999999992</v>
      </c>
      <c r="C137" s="20">
        <v>48852.979327584071</v>
      </c>
      <c r="D137" s="20">
        <v>26426.932819199996</v>
      </c>
      <c r="E137" s="20">
        <v>32937.337328954287</v>
      </c>
      <c r="F137" s="20">
        <v>19875.244531199998</v>
      </c>
      <c r="G137" s="20">
        <v>20530.397860098303</v>
      </c>
      <c r="H137" s="21">
        <v>0.28924157201795864</v>
      </c>
      <c r="I137" s="21">
        <v>3.2963283941983779E-2</v>
      </c>
      <c r="J137" s="21">
        <v>0.22810565084780476</v>
      </c>
    </row>
    <row r="138" spans="1:10" ht="11.25" customHeight="1" x14ac:dyDescent="0.2">
      <c r="A138" s="29" t="s">
        <v>35</v>
      </c>
      <c r="B138" s="20">
        <v>0</v>
      </c>
      <c r="C138" s="20">
        <v>0</v>
      </c>
      <c r="D138" s="20">
        <v>7976.0669760000001</v>
      </c>
      <c r="E138" s="20">
        <v>10219.857923994707</v>
      </c>
      <c r="F138" s="20">
        <v>16734.412224</v>
      </c>
      <c r="G138" s="20">
        <v>17257.435043205849</v>
      </c>
      <c r="H138" s="21">
        <v>0.28131545970542593</v>
      </c>
      <c r="I138" s="21">
        <v>3.1254328637593032E-2</v>
      </c>
      <c r="J138" s="21">
        <v>0.11196924773521011</v>
      </c>
    </row>
    <row r="139" spans="1:10" ht="11.25" customHeight="1" x14ac:dyDescent="0.2">
      <c r="A139" s="30">
        <v>44378</v>
      </c>
      <c r="B139" s="20">
        <v>0</v>
      </c>
      <c r="C139" s="20">
        <v>0</v>
      </c>
      <c r="D139" s="20">
        <v>759.05838720000008</v>
      </c>
      <c r="E139" s="20">
        <v>972.59324633842721</v>
      </c>
      <c r="F139" s="20">
        <v>1592.5638528000002</v>
      </c>
      <c r="G139" s="20">
        <v>1642.3383668317624</v>
      </c>
      <c r="H139" s="21">
        <v>0.28131545970542571</v>
      </c>
      <c r="I139" s="21">
        <v>3.125432863759281E-2</v>
      </c>
      <c r="J139" s="21">
        <v>0.11196924773521011</v>
      </c>
    </row>
    <row r="140" spans="1:10" ht="11.25" customHeight="1" x14ac:dyDescent="0.2">
      <c r="A140" s="30">
        <v>44409</v>
      </c>
      <c r="B140" s="20">
        <v>0</v>
      </c>
      <c r="C140" s="20">
        <v>0</v>
      </c>
      <c r="D140" s="20">
        <v>234.9404352</v>
      </c>
      <c r="E140" s="20">
        <v>301.03281173168079</v>
      </c>
      <c r="F140" s="20">
        <v>492.92340480000001</v>
      </c>
      <c r="G140" s="20">
        <v>508.32939488678039</v>
      </c>
      <c r="H140" s="21">
        <v>0.28131545970542571</v>
      </c>
      <c r="I140" s="21">
        <v>3.125432863759281E-2</v>
      </c>
      <c r="J140" s="21">
        <v>0.11196924773520989</v>
      </c>
    </row>
    <row r="141" spans="1:10" ht="11.25" customHeight="1" x14ac:dyDescent="0.2">
      <c r="A141" s="30">
        <v>44440</v>
      </c>
      <c r="B141" s="20">
        <v>0</v>
      </c>
      <c r="C141" s="20">
        <v>0</v>
      </c>
      <c r="D141" s="20">
        <v>299.69464319999997</v>
      </c>
      <c r="E141" s="20">
        <v>384.00337952306154</v>
      </c>
      <c r="F141" s="20">
        <v>628.78279679999991</v>
      </c>
      <c r="G141" s="20">
        <v>648.43498097285192</v>
      </c>
      <c r="H141" s="21">
        <v>0.28131545970542593</v>
      </c>
      <c r="I141" s="21">
        <v>3.125432863759281E-2</v>
      </c>
      <c r="J141" s="21">
        <v>0.11196924773521011</v>
      </c>
    </row>
    <row r="142" spans="1:10" ht="11.25" customHeight="1" x14ac:dyDescent="0.2">
      <c r="A142" s="30">
        <v>44470</v>
      </c>
      <c r="B142" s="20">
        <v>0</v>
      </c>
      <c r="C142" s="20">
        <v>0</v>
      </c>
      <c r="D142" s="20">
        <v>362.01513599999998</v>
      </c>
      <c r="E142" s="20">
        <v>463.85559040416223</v>
      </c>
      <c r="F142" s="20">
        <v>759.53606400000001</v>
      </c>
      <c r="G142" s="20">
        <v>783.27485375635979</v>
      </c>
      <c r="H142" s="21">
        <v>0.28131545970542593</v>
      </c>
      <c r="I142" s="21">
        <v>3.125432863759281E-2</v>
      </c>
      <c r="J142" s="21">
        <v>0.11196924773521011</v>
      </c>
    </row>
    <row r="143" spans="1:10" ht="11.25" customHeight="1" x14ac:dyDescent="0.2">
      <c r="A143" s="30">
        <v>44501</v>
      </c>
      <c r="B143" s="20">
        <v>0</v>
      </c>
      <c r="C143" s="20">
        <v>0</v>
      </c>
      <c r="D143" s="20">
        <v>193.5672768</v>
      </c>
      <c r="E143" s="20">
        <v>248.02074425691941</v>
      </c>
      <c r="F143" s="20">
        <v>406.11928319999998</v>
      </c>
      <c r="G143" s="20">
        <v>418.8122687431964</v>
      </c>
      <c r="H143" s="21">
        <v>0.28131545970542593</v>
      </c>
      <c r="I143" s="21">
        <v>3.125432863759281E-2</v>
      </c>
      <c r="J143" s="21">
        <v>0.11196924773520989</v>
      </c>
    </row>
    <row r="144" spans="1:10" ht="11.25" customHeight="1" x14ac:dyDescent="0.2">
      <c r="A144" s="30">
        <v>44531</v>
      </c>
      <c r="B144" s="20">
        <v>0</v>
      </c>
      <c r="C144" s="20">
        <v>0</v>
      </c>
      <c r="D144" s="20">
        <v>57.192307200000009</v>
      </c>
      <c r="E144" s="20">
        <v>73.281387391581944</v>
      </c>
      <c r="F144" s="20">
        <v>119.99393280000001</v>
      </c>
      <c r="G144" s="20">
        <v>123.74426261024844</v>
      </c>
      <c r="H144" s="21">
        <v>0.28131545970542571</v>
      </c>
      <c r="I144" s="21">
        <v>3.125432863759281E-2</v>
      </c>
      <c r="J144" s="21">
        <v>0.11196924773520989</v>
      </c>
    </row>
    <row r="145" spans="1:10" ht="11.25" customHeight="1" x14ac:dyDescent="0.2">
      <c r="A145" s="30">
        <v>44562</v>
      </c>
      <c r="B145" s="20">
        <v>0</v>
      </c>
      <c r="C145" s="20">
        <v>0</v>
      </c>
      <c r="D145" s="20">
        <v>86.570726400000012</v>
      </c>
      <c r="E145" s="20">
        <v>110.92441009424866</v>
      </c>
      <c r="F145" s="20">
        <v>181.63215360000001</v>
      </c>
      <c r="G145" s="20">
        <v>187.30894461976814</v>
      </c>
      <c r="H145" s="21">
        <v>0.28131545970542571</v>
      </c>
      <c r="I145" s="21">
        <v>3.125432863759281E-2</v>
      </c>
      <c r="J145" s="21">
        <v>0.11196924773520989</v>
      </c>
    </row>
    <row r="146" spans="1:10" ht="11.25" customHeight="1" x14ac:dyDescent="0.2">
      <c r="A146" s="30">
        <v>44593</v>
      </c>
      <c r="B146" s="20">
        <v>0</v>
      </c>
      <c r="C146" s="20">
        <v>0</v>
      </c>
      <c r="D146" s="20">
        <v>283.87549440000004</v>
      </c>
      <c r="E146" s="20">
        <v>363.73405960624103</v>
      </c>
      <c r="F146" s="20">
        <v>595.59298560000002</v>
      </c>
      <c r="G146" s="20">
        <v>614.20784450618748</v>
      </c>
      <c r="H146" s="21">
        <v>0.28131545970542571</v>
      </c>
      <c r="I146" s="21">
        <v>3.125432863759281E-2</v>
      </c>
      <c r="J146" s="21">
        <v>0.11196924773520989</v>
      </c>
    </row>
    <row r="147" spans="1:10" ht="11.25" customHeight="1" x14ac:dyDescent="0.2">
      <c r="A147" s="30">
        <v>44621</v>
      </c>
      <c r="B147" s="20">
        <v>0</v>
      </c>
      <c r="C147" s="20">
        <v>0</v>
      </c>
      <c r="D147" s="20">
        <v>1745.7560640000002</v>
      </c>
      <c r="E147" s="20">
        <v>2236.8642336776952</v>
      </c>
      <c r="F147" s="20">
        <v>3662.7327360000004</v>
      </c>
      <c r="G147" s="20">
        <v>3777.2089886426138</v>
      </c>
      <c r="H147" s="21">
        <v>0.28131545970542593</v>
      </c>
      <c r="I147" s="21">
        <v>3.125432863759281E-2</v>
      </c>
      <c r="J147" s="21">
        <v>0.11196924773520989</v>
      </c>
    </row>
    <row r="148" spans="1:10" ht="11.25" customHeight="1" x14ac:dyDescent="0.2">
      <c r="A148" s="30">
        <v>44652</v>
      </c>
      <c r="B148" s="20">
        <v>0</v>
      </c>
      <c r="C148" s="20">
        <v>0</v>
      </c>
      <c r="D148" s="20">
        <v>2110.3787520000001</v>
      </c>
      <c r="E148" s="20">
        <v>2704.0609207714433</v>
      </c>
      <c r="F148" s="20">
        <v>4427.7396480000007</v>
      </c>
      <c r="G148" s="20">
        <v>4566.1256780802923</v>
      </c>
      <c r="H148" s="21">
        <v>0.28131545970542593</v>
      </c>
      <c r="I148" s="21">
        <v>3.125432863759281E-2</v>
      </c>
      <c r="J148" s="21">
        <v>0.11196924773520989</v>
      </c>
    </row>
    <row r="149" spans="1:10" ht="11.25" customHeight="1" x14ac:dyDescent="0.2">
      <c r="A149" s="30">
        <v>44682</v>
      </c>
      <c r="B149" s="20">
        <v>0</v>
      </c>
      <c r="C149" s="20">
        <v>0</v>
      </c>
      <c r="D149" s="20">
        <v>1048.9312511999999</v>
      </c>
      <c r="E149" s="20">
        <v>1344.0118283307154</v>
      </c>
      <c r="F149" s="20">
        <v>2200.7397888</v>
      </c>
      <c r="G149" s="20">
        <v>2269.5224334049817</v>
      </c>
      <c r="H149" s="21">
        <v>0.28131545970542593</v>
      </c>
      <c r="I149" s="21">
        <v>3.125432863759281E-2</v>
      </c>
      <c r="J149" s="21">
        <v>0.11196924773520989</v>
      </c>
    </row>
    <row r="150" spans="1:10" ht="11.25" customHeight="1" x14ac:dyDescent="0.2">
      <c r="A150" s="30">
        <v>44713</v>
      </c>
      <c r="B150" s="20">
        <v>0</v>
      </c>
      <c r="C150" s="20">
        <v>0</v>
      </c>
      <c r="D150" s="20">
        <v>794.08650239999997</v>
      </c>
      <c r="E150" s="20">
        <v>1017.4753118685297</v>
      </c>
      <c r="F150" s="20">
        <v>1666.0555776000001</v>
      </c>
      <c r="G150" s="20">
        <v>1718.127026150805</v>
      </c>
      <c r="H150" s="21">
        <v>0.28131545970542593</v>
      </c>
      <c r="I150" s="21">
        <v>3.125432863759281E-2</v>
      </c>
      <c r="J150" s="21">
        <v>0.11196924773520989</v>
      </c>
    </row>
    <row r="151" spans="1:10" ht="11.25" customHeight="1" x14ac:dyDescent="0.2">
      <c r="A151" s="29" t="s">
        <v>25</v>
      </c>
      <c r="B151" s="20">
        <v>37013.711999999992</v>
      </c>
      <c r="C151" s="20">
        <v>48852.979327584071</v>
      </c>
      <c r="D151" s="20">
        <v>0</v>
      </c>
      <c r="E151" s="20">
        <v>0</v>
      </c>
      <c r="F151" s="20">
        <v>0</v>
      </c>
      <c r="G151" s="20">
        <v>0</v>
      </c>
      <c r="H151" s="21">
        <v>0.31986165904095443</v>
      </c>
      <c r="I151" s="21">
        <v>0</v>
      </c>
      <c r="J151" s="21">
        <v>0.31986165904095443</v>
      </c>
    </row>
    <row r="152" spans="1:10" ht="11.25" customHeight="1" x14ac:dyDescent="0.2">
      <c r="A152" s="30">
        <v>44378</v>
      </c>
      <c r="B152" s="20">
        <v>4891.68</v>
      </c>
      <c r="C152" s="20">
        <v>6456.3408802974536</v>
      </c>
      <c r="D152" s="20">
        <v>0</v>
      </c>
      <c r="E152" s="20">
        <v>0</v>
      </c>
      <c r="F152" s="20">
        <v>0</v>
      </c>
      <c r="G152" s="20">
        <v>0</v>
      </c>
      <c r="H152" s="21">
        <v>0.31986165904095398</v>
      </c>
      <c r="I152" s="21">
        <v>0</v>
      </c>
      <c r="J152" s="21">
        <v>0.31986165904095398</v>
      </c>
    </row>
    <row r="153" spans="1:10" ht="11.25" customHeight="1" x14ac:dyDescent="0.2">
      <c r="A153" s="30">
        <v>44409</v>
      </c>
      <c r="B153" s="20">
        <v>2967.6192000000001</v>
      </c>
      <c r="C153" s="20">
        <v>3916.846800713789</v>
      </c>
      <c r="D153" s="20">
        <v>0</v>
      </c>
      <c r="E153" s="20">
        <v>0</v>
      </c>
      <c r="F153" s="20">
        <v>0</v>
      </c>
      <c r="G153" s="20">
        <v>0</v>
      </c>
      <c r="H153" s="21">
        <v>0.31986165904095398</v>
      </c>
      <c r="I153" s="21">
        <v>0</v>
      </c>
      <c r="J153" s="21">
        <v>0.31986165904095398</v>
      </c>
    </row>
    <row r="154" spans="1:10" ht="11.25" customHeight="1" x14ac:dyDescent="0.2">
      <c r="A154" s="30">
        <v>44440</v>
      </c>
      <c r="B154" s="20">
        <v>2739.3407999999999</v>
      </c>
      <c r="C154" s="20">
        <v>3615.5508929665743</v>
      </c>
      <c r="D154" s="20">
        <v>0</v>
      </c>
      <c r="E154" s="20">
        <v>0</v>
      </c>
      <c r="F154" s="20">
        <v>0</v>
      </c>
      <c r="G154" s="20">
        <v>0</v>
      </c>
      <c r="H154" s="21">
        <v>0.31986165904095398</v>
      </c>
      <c r="I154" s="21">
        <v>0</v>
      </c>
      <c r="J154" s="21">
        <v>0.31986165904095398</v>
      </c>
    </row>
    <row r="155" spans="1:10" ht="11.25" customHeight="1" x14ac:dyDescent="0.2">
      <c r="A155" s="30">
        <v>44470</v>
      </c>
      <c r="B155" s="20">
        <v>2706.7295999999997</v>
      </c>
      <c r="C155" s="20">
        <v>3572.5086204312574</v>
      </c>
      <c r="D155" s="20">
        <v>0</v>
      </c>
      <c r="E155" s="20">
        <v>0</v>
      </c>
      <c r="F155" s="20">
        <v>0</v>
      </c>
      <c r="G155" s="20">
        <v>0</v>
      </c>
      <c r="H155" s="21">
        <v>0.31986165904095398</v>
      </c>
      <c r="I155" s="21">
        <v>0</v>
      </c>
      <c r="J155" s="21">
        <v>0.31986165904095398</v>
      </c>
    </row>
    <row r="156" spans="1:10" ht="11.25" customHeight="1" x14ac:dyDescent="0.2">
      <c r="A156" s="30">
        <v>44501</v>
      </c>
      <c r="B156" s="20">
        <v>2902.3968</v>
      </c>
      <c r="C156" s="20">
        <v>3830.7622556431561</v>
      </c>
      <c r="D156" s="20">
        <v>0</v>
      </c>
      <c r="E156" s="20">
        <v>0</v>
      </c>
      <c r="F156" s="20">
        <v>0</v>
      </c>
      <c r="G156" s="20">
        <v>0</v>
      </c>
      <c r="H156" s="21">
        <v>0.31986165904095398</v>
      </c>
      <c r="I156" s="21">
        <v>0</v>
      </c>
      <c r="J156" s="21">
        <v>0.31986165904095398</v>
      </c>
    </row>
    <row r="157" spans="1:10" ht="11.25" customHeight="1" x14ac:dyDescent="0.2">
      <c r="A157" s="30">
        <v>44531</v>
      </c>
      <c r="B157" s="20">
        <v>1434.8927999999999</v>
      </c>
      <c r="C157" s="20">
        <v>1893.8599915539196</v>
      </c>
      <c r="D157" s="20">
        <v>0</v>
      </c>
      <c r="E157" s="20">
        <v>0</v>
      </c>
      <c r="F157" s="20">
        <v>0</v>
      </c>
      <c r="G157" s="20">
        <v>0</v>
      </c>
      <c r="H157" s="21">
        <v>0.31986165904095398</v>
      </c>
      <c r="I157" s="21">
        <v>0</v>
      </c>
      <c r="J157" s="21">
        <v>0.31986165904095398</v>
      </c>
    </row>
    <row r="158" spans="1:10" ht="11.25" customHeight="1" x14ac:dyDescent="0.2">
      <c r="A158" s="30">
        <v>44562</v>
      </c>
      <c r="B158" s="20">
        <v>1500.1151999999997</v>
      </c>
      <c r="C158" s="20">
        <v>1979.9445366245525</v>
      </c>
      <c r="D158" s="20">
        <v>0</v>
      </c>
      <c r="E158" s="20">
        <v>0</v>
      </c>
      <c r="F158" s="20">
        <v>0</v>
      </c>
      <c r="G158" s="20">
        <v>0</v>
      </c>
      <c r="H158" s="21">
        <v>0.3198616590409542</v>
      </c>
      <c r="I158" s="21">
        <v>0</v>
      </c>
      <c r="J158" s="21">
        <v>0.3198616590409542</v>
      </c>
    </row>
    <row r="159" spans="1:10" ht="11.25" customHeight="1" x14ac:dyDescent="0.2">
      <c r="A159" s="30">
        <v>44593</v>
      </c>
      <c r="B159" s="20">
        <v>1858.8383999999999</v>
      </c>
      <c r="C159" s="20">
        <v>2453.4095345130327</v>
      </c>
      <c r="D159" s="20">
        <v>0</v>
      </c>
      <c r="E159" s="20">
        <v>0</v>
      </c>
      <c r="F159" s="20">
        <v>0</v>
      </c>
      <c r="G159" s="20">
        <v>0</v>
      </c>
      <c r="H159" s="21">
        <v>0.3198616590409542</v>
      </c>
      <c r="I159" s="21">
        <v>0</v>
      </c>
      <c r="J159" s="21">
        <v>0.3198616590409542</v>
      </c>
    </row>
    <row r="160" spans="1:10" ht="11.25" customHeight="1" x14ac:dyDescent="0.2">
      <c r="A160" s="30">
        <v>44621</v>
      </c>
      <c r="B160" s="20">
        <v>3815.5103999999997</v>
      </c>
      <c r="C160" s="20">
        <v>5035.9458866320138</v>
      </c>
      <c r="D160" s="20">
        <v>0</v>
      </c>
      <c r="E160" s="20">
        <v>0</v>
      </c>
      <c r="F160" s="20">
        <v>0</v>
      </c>
      <c r="G160" s="20">
        <v>0</v>
      </c>
      <c r="H160" s="21">
        <v>0.31986165904095398</v>
      </c>
      <c r="I160" s="21">
        <v>0</v>
      </c>
      <c r="J160" s="21">
        <v>0.31986165904095398</v>
      </c>
    </row>
    <row r="161" spans="1:10" ht="11.25" customHeight="1" x14ac:dyDescent="0.2">
      <c r="A161" s="30">
        <v>44652</v>
      </c>
      <c r="B161" s="20">
        <v>5087.3471999999992</v>
      </c>
      <c r="C161" s="20">
        <v>6714.5945155093523</v>
      </c>
      <c r="D161" s="20">
        <v>0</v>
      </c>
      <c r="E161" s="20">
        <v>0</v>
      </c>
      <c r="F161" s="20">
        <v>0</v>
      </c>
      <c r="G161" s="20">
        <v>0</v>
      </c>
      <c r="H161" s="21">
        <v>0.3198616590409542</v>
      </c>
      <c r="I161" s="21">
        <v>0</v>
      </c>
      <c r="J161" s="21">
        <v>0.3198616590409542</v>
      </c>
    </row>
    <row r="162" spans="1:10" ht="11.25" customHeight="1" x14ac:dyDescent="0.2">
      <c r="A162" s="30">
        <v>44682</v>
      </c>
      <c r="B162" s="20">
        <v>3913.3439999999996</v>
      </c>
      <c r="C162" s="20">
        <v>5165.0727042379631</v>
      </c>
      <c r="D162" s="20">
        <v>0</v>
      </c>
      <c r="E162" s="20">
        <v>0</v>
      </c>
      <c r="F162" s="20">
        <v>0</v>
      </c>
      <c r="G162" s="20">
        <v>0</v>
      </c>
      <c r="H162" s="21">
        <v>0.3198616590409542</v>
      </c>
      <c r="I162" s="21">
        <v>0</v>
      </c>
      <c r="J162" s="21">
        <v>0.3198616590409542</v>
      </c>
    </row>
    <row r="163" spans="1:10" ht="11.25" customHeight="1" x14ac:dyDescent="0.2">
      <c r="A163" s="30">
        <v>44713</v>
      </c>
      <c r="B163" s="20">
        <v>3195.8975999999998</v>
      </c>
      <c r="C163" s="20">
        <v>4218.1427084610032</v>
      </c>
      <c r="D163" s="20">
        <v>0</v>
      </c>
      <c r="E163" s="20">
        <v>0</v>
      </c>
      <c r="F163" s="20">
        <v>0</v>
      </c>
      <c r="G163" s="20">
        <v>0</v>
      </c>
      <c r="H163" s="21">
        <v>0.31986165904095398</v>
      </c>
      <c r="I163" s="21">
        <v>0</v>
      </c>
      <c r="J163" s="21">
        <v>0.31986165904095398</v>
      </c>
    </row>
    <row r="164" spans="1:10" ht="11.25" customHeight="1" x14ac:dyDescent="0.2">
      <c r="A164" s="29" t="s">
        <v>34</v>
      </c>
      <c r="B164" s="20">
        <v>0</v>
      </c>
      <c r="C164" s="20">
        <v>0</v>
      </c>
      <c r="D164" s="20">
        <v>18450.865843199997</v>
      </c>
      <c r="E164" s="20">
        <v>22717.479404959577</v>
      </c>
      <c r="F164" s="20">
        <v>3140.8323071999994</v>
      </c>
      <c r="G164" s="20">
        <v>3272.962816892451</v>
      </c>
      <c r="H164" s="21">
        <v>0.23124191558370821</v>
      </c>
      <c r="I164" s="21">
        <v>4.2068629194101703E-2</v>
      </c>
      <c r="J164" s="21">
        <v>0.20372385908750501</v>
      </c>
    </row>
    <row r="165" spans="1:10" ht="11.25" customHeight="1" x14ac:dyDescent="0.2">
      <c r="A165" s="30">
        <v>44378</v>
      </c>
      <c r="B165" s="20">
        <v>0</v>
      </c>
      <c r="C165" s="20">
        <v>0</v>
      </c>
      <c r="D165" s="20">
        <v>945.46362240000008</v>
      </c>
      <c r="E165" s="20">
        <v>1164.0944415584877</v>
      </c>
      <c r="F165" s="20">
        <v>160.94327039999999</v>
      </c>
      <c r="G165" s="20">
        <v>167.71393316374363</v>
      </c>
      <c r="H165" s="21">
        <v>0.23124191558370799</v>
      </c>
      <c r="I165" s="21">
        <v>4.2068629194101703E-2</v>
      </c>
      <c r="J165" s="21">
        <v>0.20372385908750479</v>
      </c>
    </row>
    <row r="166" spans="1:10" ht="11.25" customHeight="1" x14ac:dyDescent="0.2">
      <c r="A166" s="30">
        <v>44409</v>
      </c>
      <c r="B166" s="20">
        <v>0</v>
      </c>
      <c r="C166" s="20">
        <v>0</v>
      </c>
      <c r="D166" s="20">
        <v>455.03596799999997</v>
      </c>
      <c r="E166" s="20">
        <v>560.2593568998069</v>
      </c>
      <c r="F166" s="20">
        <v>77.459327999999985</v>
      </c>
      <c r="G166" s="20">
        <v>80.717935747256277</v>
      </c>
      <c r="H166" s="21">
        <v>0.23124191558370821</v>
      </c>
      <c r="I166" s="21">
        <v>4.2068629194101703E-2</v>
      </c>
      <c r="J166" s="21">
        <v>0.20372385908750501</v>
      </c>
    </row>
    <row r="167" spans="1:10" ht="11.25" customHeight="1" x14ac:dyDescent="0.2">
      <c r="A167" s="30">
        <v>44440</v>
      </c>
      <c r="B167" s="20">
        <v>0</v>
      </c>
      <c r="C167" s="20">
        <v>0</v>
      </c>
      <c r="D167" s="20">
        <v>1009.5057216</v>
      </c>
      <c r="E167" s="20">
        <v>1242.9457584554975</v>
      </c>
      <c r="F167" s="20">
        <v>171.8449536</v>
      </c>
      <c r="G167" s="20">
        <v>179.07423523187597</v>
      </c>
      <c r="H167" s="21">
        <v>0.23124191558370799</v>
      </c>
      <c r="I167" s="21">
        <v>4.2068629194101481E-2</v>
      </c>
      <c r="J167" s="21">
        <v>0.20372385908750479</v>
      </c>
    </row>
    <row r="168" spans="1:10" ht="11.25" customHeight="1" x14ac:dyDescent="0.2">
      <c r="A168" s="30">
        <v>44470</v>
      </c>
      <c r="B168" s="20">
        <v>0</v>
      </c>
      <c r="C168" s="20">
        <v>0</v>
      </c>
      <c r="D168" s="20">
        <v>1793.1787776000001</v>
      </c>
      <c r="E168" s="20">
        <v>2207.8368731162764</v>
      </c>
      <c r="F168" s="20">
        <v>305.24712959999999</v>
      </c>
      <c r="G168" s="20">
        <v>318.0884579077063</v>
      </c>
      <c r="H168" s="21">
        <v>0.23124191558370821</v>
      </c>
      <c r="I168" s="21">
        <v>4.2068629194101703E-2</v>
      </c>
      <c r="J168" s="21">
        <v>0.20372385908750501</v>
      </c>
    </row>
    <row r="169" spans="1:10" ht="11.25" customHeight="1" x14ac:dyDescent="0.2">
      <c r="A169" s="30">
        <v>44501</v>
      </c>
      <c r="B169" s="20">
        <v>0</v>
      </c>
      <c r="C169" s="20">
        <v>0</v>
      </c>
      <c r="D169" s="20">
        <v>107.86037760000001</v>
      </c>
      <c r="E169" s="20">
        <v>132.8022179318061</v>
      </c>
      <c r="F169" s="20">
        <v>18.360729599999999</v>
      </c>
      <c r="G169" s="20">
        <v>19.133140325275566</v>
      </c>
      <c r="H169" s="21">
        <v>0.23124191558370821</v>
      </c>
      <c r="I169" s="21">
        <v>4.2068629194101703E-2</v>
      </c>
      <c r="J169" s="21">
        <v>0.20372385908750501</v>
      </c>
    </row>
    <row r="170" spans="1:10" ht="11.25" customHeight="1" x14ac:dyDescent="0.2">
      <c r="A170" s="30">
        <v>44531</v>
      </c>
      <c r="B170" s="20">
        <v>0</v>
      </c>
      <c r="C170" s="20">
        <v>0</v>
      </c>
      <c r="D170" s="20">
        <v>109.54569599999999</v>
      </c>
      <c r="E170" s="20">
        <v>134.87725258699055</v>
      </c>
      <c r="F170" s="20">
        <v>18.647615999999999</v>
      </c>
      <c r="G170" s="20">
        <v>19.432095642857995</v>
      </c>
      <c r="H170" s="21">
        <v>0.23124191558370821</v>
      </c>
      <c r="I170" s="21">
        <v>4.2068629194101481E-2</v>
      </c>
      <c r="J170" s="21">
        <v>0.20372385908750501</v>
      </c>
    </row>
    <row r="171" spans="1:10" ht="11.25" customHeight="1" x14ac:dyDescent="0.2">
      <c r="A171" s="30">
        <v>44562</v>
      </c>
      <c r="B171" s="20">
        <v>0</v>
      </c>
      <c r="C171" s="20">
        <v>0</v>
      </c>
      <c r="D171" s="20">
        <v>121.34292479999998</v>
      </c>
      <c r="E171" s="20">
        <v>149.40249517328181</v>
      </c>
      <c r="F171" s="20">
        <v>20.655820799999994</v>
      </c>
      <c r="G171" s="20">
        <v>21.524782865935006</v>
      </c>
      <c r="H171" s="21">
        <v>0.23124191558370799</v>
      </c>
      <c r="I171" s="21">
        <v>4.2068629194101703E-2</v>
      </c>
      <c r="J171" s="21">
        <v>0.20372385908750479</v>
      </c>
    </row>
    <row r="172" spans="1:10" ht="11.25" customHeight="1" x14ac:dyDescent="0.2">
      <c r="A172" s="30">
        <v>44593</v>
      </c>
      <c r="B172" s="20">
        <v>0</v>
      </c>
      <c r="C172" s="20">
        <v>0</v>
      </c>
      <c r="D172" s="20">
        <v>456.7212864</v>
      </c>
      <c r="E172" s="20">
        <v>562.33439155499138</v>
      </c>
      <c r="F172" s="20">
        <v>77.7462144</v>
      </c>
      <c r="G172" s="20">
        <v>81.016891064838717</v>
      </c>
      <c r="H172" s="21">
        <v>0.23124191558370821</v>
      </c>
      <c r="I172" s="21">
        <v>4.2068629194101481E-2</v>
      </c>
      <c r="J172" s="21">
        <v>0.20372385908750479</v>
      </c>
    </row>
    <row r="173" spans="1:10" ht="11.25" customHeight="1" x14ac:dyDescent="0.2">
      <c r="A173" s="30">
        <v>44621</v>
      </c>
      <c r="B173" s="20">
        <v>0</v>
      </c>
      <c r="C173" s="20">
        <v>0</v>
      </c>
      <c r="D173" s="20">
        <v>4154.3098559999989</v>
      </c>
      <c r="E173" s="20">
        <v>5114.960425029718</v>
      </c>
      <c r="F173" s="20">
        <v>707.17497599999979</v>
      </c>
      <c r="G173" s="20">
        <v>736.92485784069152</v>
      </c>
      <c r="H173" s="21">
        <v>0.23124191558370821</v>
      </c>
      <c r="I173" s="21">
        <v>4.2068629194101703E-2</v>
      </c>
      <c r="J173" s="21">
        <v>0.20372385908750501</v>
      </c>
    </row>
    <row r="174" spans="1:10" ht="11.25" customHeight="1" x14ac:dyDescent="0.2">
      <c r="A174" s="30">
        <v>44652</v>
      </c>
      <c r="B174" s="20">
        <v>0</v>
      </c>
      <c r="C174" s="20">
        <v>0</v>
      </c>
      <c r="D174" s="20">
        <v>4044.7641599999997</v>
      </c>
      <c r="E174" s="20">
        <v>4980.083172442728</v>
      </c>
      <c r="F174" s="20">
        <v>688.52735999999993</v>
      </c>
      <c r="G174" s="20">
        <v>717.4927621978336</v>
      </c>
      <c r="H174" s="21">
        <v>0.23124191558370821</v>
      </c>
      <c r="I174" s="21">
        <v>4.2068629194101481E-2</v>
      </c>
      <c r="J174" s="21">
        <v>0.20372385908750479</v>
      </c>
    </row>
    <row r="175" spans="1:10" ht="11.25" customHeight="1" x14ac:dyDescent="0.2">
      <c r="A175" s="30">
        <v>44682</v>
      </c>
      <c r="B175" s="20">
        <v>0</v>
      </c>
      <c r="C175" s="20">
        <v>0</v>
      </c>
      <c r="D175" s="20">
        <v>3267.8323775999997</v>
      </c>
      <c r="E175" s="20">
        <v>4023.4921964026876</v>
      </c>
      <c r="F175" s="20">
        <v>556.27272959999993</v>
      </c>
      <c r="G175" s="20">
        <v>579.67436079233312</v>
      </c>
      <c r="H175" s="21">
        <v>0.23124191558370821</v>
      </c>
      <c r="I175" s="21">
        <v>4.2068629194101703E-2</v>
      </c>
      <c r="J175" s="21">
        <v>0.20372385908750501</v>
      </c>
    </row>
    <row r="176" spans="1:10" ht="11.25" customHeight="1" x14ac:dyDescent="0.2">
      <c r="A176" s="30">
        <v>44713</v>
      </c>
      <c r="B176" s="20">
        <v>0</v>
      </c>
      <c r="C176" s="20">
        <v>0</v>
      </c>
      <c r="D176" s="20">
        <v>1985.3050751999997</v>
      </c>
      <c r="E176" s="20">
        <v>2444.3908238073054</v>
      </c>
      <c r="F176" s="20">
        <v>337.95217919999993</v>
      </c>
      <c r="G176" s="20">
        <v>352.16936411210332</v>
      </c>
      <c r="H176" s="21">
        <v>0.23124191558370821</v>
      </c>
      <c r="I176" s="21">
        <v>4.2068629194101703E-2</v>
      </c>
      <c r="J176" s="21">
        <v>0.20372385908750501</v>
      </c>
    </row>
    <row r="177" spans="1:10" ht="11.25" customHeight="1" x14ac:dyDescent="0.2">
      <c r="A177" s="23" t="s">
        <v>22</v>
      </c>
      <c r="B177" s="20">
        <v>0</v>
      </c>
      <c r="C177" s="20">
        <v>0</v>
      </c>
      <c r="D177" s="20">
        <v>8899216.1056599971</v>
      </c>
      <c r="E177" s="20">
        <v>11063438.867433004</v>
      </c>
      <c r="F177" s="20">
        <v>4432817.8783229999</v>
      </c>
      <c r="G177" s="20">
        <v>4577433.372288269</v>
      </c>
      <c r="H177" s="21">
        <v>0.24319251674274223</v>
      </c>
      <c r="I177" s="21">
        <v>3.2623829341704491E-2</v>
      </c>
      <c r="J177" s="21">
        <v>0.17317974575463024</v>
      </c>
    </row>
    <row r="178" spans="1:10" ht="11.25" customHeight="1" x14ac:dyDescent="0.2">
      <c r="A178" s="24" t="s">
        <v>33</v>
      </c>
      <c r="B178" s="20">
        <v>0</v>
      </c>
      <c r="C178" s="20">
        <v>0</v>
      </c>
      <c r="D178" s="20">
        <v>2436.1376399999999</v>
      </c>
      <c r="E178" s="20">
        <v>3268.0381531655053</v>
      </c>
      <c r="F178" s="20">
        <v>1372.9061199999999</v>
      </c>
      <c r="G178" s="20">
        <v>1418.0388200209177</v>
      </c>
      <c r="H178" s="21">
        <v>0.34148337906125259</v>
      </c>
      <c r="I178" s="21">
        <v>3.2873842838516687E-2</v>
      </c>
      <c r="J178" s="21">
        <v>0.23025023298404523</v>
      </c>
    </row>
    <row r="179" spans="1:10" ht="11.25" customHeight="1" x14ac:dyDescent="0.2">
      <c r="A179" s="25" t="s">
        <v>24</v>
      </c>
      <c r="B179" s="20">
        <v>0</v>
      </c>
      <c r="C179" s="20">
        <v>0</v>
      </c>
      <c r="D179" s="20">
        <v>2436.1376399999999</v>
      </c>
      <c r="E179" s="20">
        <v>3268.0381531655053</v>
      </c>
      <c r="F179" s="20">
        <v>1372.9061199999999</v>
      </c>
      <c r="G179" s="20">
        <v>1418.0388200209177</v>
      </c>
      <c r="H179" s="21">
        <v>0.34148337906125259</v>
      </c>
      <c r="I179" s="21">
        <v>3.2873842838516687E-2</v>
      </c>
      <c r="J179" s="21">
        <v>0.23025023298404523</v>
      </c>
    </row>
    <row r="180" spans="1:10" ht="11.25" customHeight="1" x14ac:dyDescent="0.2">
      <c r="A180" s="26" t="s">
        <v>24</v>
      </c>
      <c r="B180" s="20">
        <v>0</v>
      </c>
      <c r="C180" s="20">
        <v>0</v>
      </c>
      <c r="D180" s="20">
        <v>2436.1376399999999</v>
      </c>
      <c r="E180" s="20">
        <v>3268.0381531655053</v>
      </c>
      <c r="F180" s="20">
        <v>1372.9061199999999</v>
      </c>
      <c r="G180" s="20">
        <v>1418.0388200209177</v>
      </c>
      <c r="H180" s="21">
        <v>0.34148337906125259</v>
      </c>
      <c r="I180" s="21">
        <v>3.2873842838516687E-2</v>
      </c>
      <c r="J180" s="21">
        <v>0.23025023298404523</v>
      </c>
    </row>
    <row r="181" spans="1:10" ht="11.25" customHeight="1" x14ac:dyDescent="0.2">
      <c r="A181" s="27" t="s">
        <v>25</v>
      </c>
      <c r="B181" s="20">
        <v>0</v>
      </c>
      <c r="C181" s="20">
        <v>0</v>
      </c>
      <c r="D181" s="20">
        <v>2436.1376399999999</v>
      </c>
      <c r="E181" s="20">
        <v>3268.0381531655053</v>
      </c>
      <c r="F181" s="20">
        <v>1372.9061199999999</v>
      </c>
      <c r="G181" s="20">
        <v>1418.0388200209177</v>
      </c>
      <c r="H181" s="21">
        <v>0.34148337906125259</v>
      </c>
      <c r="I181" s="21">
        <v>3.2873842838516687E-2</v>
      </c>
      <c r="J181" s="21">
        <v>0.23025023298404523</v>
      </c>
    </row>
    <row r="182" spans="1:10" ht="11.25" customHeight="1" x14ac:dyDescent="0.2">
      <c r="A182" s="28" t="s">
        <v>25</v>
      </c>
      <c r="B182" s="20">
        <v>0</v>
      </c>
      <c r="C182" s="20">
        <v>0</v>
      </c>
      <c r="D182" s="20">
        <v>2436.1376399999999</v>
      </c>
      <c r="E182" s="20">
        <v>3268.0381531655053</v>
      </c>
      <c r="F182" s="20">
        <v>1372.9061199999999</v>
      </c>
      <c r="G182" s="20">
        <v>1418.0388200209177</v>
      </c>
      <c r="H182" s="21">
        <v>0.34148337906125259</v>
      </c>
      <c r="I182" s="21">
        <v>3.2873842838516687E-2</v>
      </c>
      <c r="J182" s="21">
        <v>0.23025023298404523</v>
      </c>
    </row>
    <row r="183" spans="1:10" ht="11.25" customHeight="1" x14ac:dyDescent="0.2">
      <c r="A183" s="29" t="s">
        <v>35</v>
      </c>
      <c r="B183" s="20">
        <v>0</v>
      </c>
      <c r="C183" s="20">
        <v>0</v>
      </c>
      <c r="D183" s="20">
        <v>1541.0897999999997</v>
      </c>
      <c r="E183" s="20">
        <v>2053.5167509651901</v>
      </c>
      <c r="F183" s="20">
        <v>1079.9225999999999</v>
      </c>
      <c r="G183" s="20">
        <v>1113.6748558435638</v>
      </c>
      <c r="H183" s="21">
        <v>0.33250946892594468</v>
      </c>
      <c r="I183" s="21">
        <v>3.1254328637593032E-2</v>
      </c>
      <c r="J183" s="21">
        <v>0.20838482366918765</v>
      </c>
    </row>
    <row r="184" spans="1:10" ht="11.25" customHeight="1" x14ac:dyDescent="0.2">
      <c r="A184" s="30">
        <v>44378</v>
      </c>
      <c r="B184" s="20">
        <v>0</v>
      </c>
      <c r="C184" s="20">
        <v>0</v>
      </c>
      <c r="D184" s="20">
        <v>86.203440000000001</v>
      </c>
      <c r="E184" s="20">
        <v>114.86690005398953</v>
      </c>
      <c r="F184" s="20">
        <v>60.40728</v>
      </c>
      <c r="G184" s="20">
        <v>62.295268981223096</v>
      </c>
      <c r="H184" s="21">
        <v>0.33250946892594446</v>
      </c>
      <c r="I184" s="21">
        <v>3.1254328637593032E-2</v>
      </c>
      <c r="J184" s="21">
        <v>0.20838482366918742</v>
      </c>
    </row>
    <row r="185" spans="1:10" ht="11.25" customHeight="1" x14ac:dyDescent="0.2">
      <c r="A185" s="30">
        <v>44409</v>
      </c>
      <c r="B185" s="20">
        <v>0</v>
      </c>
      <c r="C185" s="20">
        <v>0</v>
      </c>
      <c r="D185" s="20">
        <v>97.046639999999996</v>
      </c>
      <c r="E185" s="20">
        <v>129.3155667274473</v>
      </c>
      <c r="F185" s="20">
        <v>68.005679999999998</v>
      </c>
      <c r="G185" s="20">
        <v>70.131151871942976</v>
      </c>
      <c r="H185" s="21">
        <v>0.33250946892594446</v>
      </c>
      <c r="I185" s="21">
        <v>3.125432863759281E-2</v>
      </c>
      <c r="J185" s="21">
        <v>0.20838482366918742</v>
      </c>
    </row>
    <row r="186" spans="1:10" ht="11.25" customHeight="1" x14ac:dyDescent="0.2">
      <c r="A186" s="30">
        <v>44440</v>
      </c>
      <c r="B186" s="20">
        <v>0</v>
      </c>
      <c r="C186" s="20">
        <v>0</v>
      </c>
      <c r="D186" s="20">
        <v>100.2996</v>
      </c>
      <c r="E186" s="20">
        <v>133.65016672948465</v>
      </c>
      <c r="F186" s="20">
        <v>70.285200000000003</v>
      </c>
      <c r="G186" s="20">
        <v>72.481916739158947</v>
      </c>
      <c r="H186" s="21">
        <v>0.33250946892594446</v>
      </c>
      <c r="I186" s="21">
        <v>3.125432863759281E-2</v>
      </c>
      <c r="J186" s="21">
        <v>0.20838482366918742</v>
      </c>
    </row>
    <row r="187" spans="1:10" ht="11.25" customHeight="1" x14ac:dyDescent="0.2">
      <c r="A187" s="30">
        <v>44470</v>
      </c>
      <c r="B187" s="20">
        <v>0</v>
      </c>
      <c r="C187" s="20">
        <v>0</v>
      </c>
      <c r="D187" s="20">
        <v>102.46823999999999</v>
      </c>
      <c r="E187" s="20">
        <v>136.53990006417621</v>
      </c>
      <c r="F187" s="20">
        <v>71.804879999999997</v>
      </c>
      <c r="G187" s="20">
        <v>74.049093317302919</v>
      </c>
      <c r="H187" s="21">
        <v>0.33250946892594446</v>
      </c>
      <c r="I187" s="21">
        <v>3.125432863759281E-2</v>
      </c>
      <c r="J187" s="21">
        <v>0.2083848236691872</v>
      </c>
    </row>
    <row r="188" spans="1:10" ht="11.25" customHeight="1" x14ac:dyDescent="0.2">
      <c r="A188" s="30">
        <v>44501</v>
      </c>
      <c r="B188" s="20">
        <v>0</v>
      </c>
      <c r="C188" s="20">
        <v>0</v>
      </c>
      <c r="D188" s="20">
        <v>133.37135999999998</v>
      </c>
      <c r="E188" s="20">
        <v>177.71860008353096</v>
      </c>
      <c r="F188" s="20">
        <v>93.460319999999996</v>
      </c>
      <c r="G188" s="20">
        <v>96.381359555854601</v>
      </c>
      <c r="H188" s="21">
        <v>0.33250946892594468</v>
      </c>
      <c r="I188" s="21">
        <v>3.1254328637593032E-2</v>
      </c>
      <c r="J188" s="21">
        <v>0.20838482366918765</v>
      </c>
    </row>
    <row r="189" spans="1:10" ht="11.25" customHeight="1" x14ac:dyDescent="0.2">
      <c r="A189" s="30">
        <v>44531</v>
      </c>
      <c r="B189" s="20">
        <v>0</v>
      </c>
      <c r="C189" s="20">
        <v>0</v>
      </c>
      <c r="D189" s="20">
        <v>146.65428</v>
      </c>
      <c r="E189" s="20">
        <v>195.41821675851676</v>
      </c>
      <c r="F189" s="20">
        <v>102.76836000000002</v>
      </c>
      <c r="G189" s="20">
        <v>105.98031609698646</v>
      </c>
      <c r="H189" s="21">
        <v>0.33250946892594446</v>
      </c>
      <c r="I189" s="21">
        <v>3.125432863759281E-2</v>
      </c>
      <c r="J189" s="21">
        <v>0.20838482366918742</v>
      </c>
    </row>
    <row r="190" spans="1:10" ht="11.25" customHeight="1" x14ac:dyDescent="0.2">
      <c r="A190" s="30">
        <v>44562</v>
      </c>
      <c r="B190" s="20">
        <v>0</v>
      </c>
      <c r="C190" s="20">
        <v>0</v>
      </c>
      <c r="D190" s="20">
        <v>181.35252</v>
      </c>
      <c r="E190" s="20">
        <v>241.65395011358174</v>
      </c>
      <c r="F190" s="20">
        <v>127.08324000000002</v>
      </c>
      <c r="G190" s="20">
        <v>131.05514134729009</v>
      </c>
      <c r="H190" s="21">
        <v>0.33250946892594468</v>
      </c>
      <c r="I190" s="21">
        <v>3.125432863759281E-2</v>
      </c>
      <c r="J190" s="21">
        <v>0.20838482366918742</v>
      </c>
    </row>
    <row r="191" spans="1:10" ht="11.25" customHeight="1" x14ac:dyDescent="0.2">
      <c r="A191" s="30">
        <v>44593</v>
      </c>
      <c r="B191" s="20">
        <v>0</v>
      </c>
      <c r="C191" s="20">
        <v>0</v>
      </c>
      <c r="D191" s="20">
        <v>209.00268</v>
      </c>
      <c r="E191" s="20">
        <v>278.49805013089912</v>
      </c>
      <c r="F191" s="20">
        <v>146.45916</v>
      </c>
      <c r="G191" s="20">
        <v>151.03664271862581</v>
      </c>
      <c r="H191" s="21">
        <v>0.33250946892594446</v>
      </c>
      <c r="I191" s="21">
        <v>3.1254328637593032E-2</v>
      </c>
      <c r="J191" s="21">
        <v>0.20838482366918765</v>
      </c>
    </row>
    <row r="192" spans="1:10" ht="11.25" customHeight="1" x14ac:dyDescent="0.2">
      <c r="A192" s="30">
        <v>44621</v>
      </c>
      <c r="B192" s="20">
        <v>0</v>
      </c>
      <c r="C192" s="20">
        <v>0</v>
      </c>
      <c r="D192" s="20">
        <v>167.79852</v>
      </c>
      <c r="E192" s="20">
        <v>223.59311677175947</v>
      </c>
      <c r="F192" s="20">
        <v>117.58524</v>
      </c>
      <c r="G192" s="20">
        <v>121.26028773389024</v>
      </c>
      <c r="H192" s="21">
        <v>0.33250946892594446</v>
      </c>
      <c r="I192" s="21">
        <v>3.1254328637593032E-2</v>
      </c>
      <c r="J192" s="21">
        <v>0.20838482366918742</v>
      </c>
    </row>
    <row r="193" spans="1:10" ht="11.25" customHeight="1" x14ac:dyDescent="0.2">
      <c r="A193" s="30">
        <v>44652</v>
      </c>
      <c r="B193" s="20">
        <v>0</v>
      </c>
      <c r="C193" s="20">
        <v>0</v>
      </c>
      <c r="D193" s="20">
        <v>101.92608</v>
      </c>
      <c r="E193" s="20">
        <v>135.81746673050333</v>
      </c>
      <c r="F193" s="20">
        <v>71.424959999999999</v>
      </c>
      <c r="G193" s="20">
        <v>73.657299172766926</v>
      </c>
      <c r="H193" s="21">
        <v>0.33250946892594446</v>
      </c>
      <c r="I193" s="21">
        <v>3.125432863759281E-2</v>
      </c>
      <c r="J193" s="21">
        <v>0.20838482366918742</v>
      </c>
    </row>
    <row r="194" spans="1:10" ht="11.25" customHeight="1" x14ac:dyDescent="0.2">
      <c r="A194" s="30">
        <v>44682</v>
      </c>
      <c r="B194" s="20">
        <v>0</v>
      </c>
      <c r="C194" s="20">
        <v>0</v>
      </c>
      <c r="D194" s="20">
        <v>89.72748</v>
      </c>
      <c r="E194" s="20">
        <v>119.56271672286331</v>
      </c>
      <c r="F194" s="20">
        <v>62.876760000000004</v>
      </c>
      <c r="G194" s="20">
        <v>64.841930920707057</v>
      </c>
      <c r="H194" s="21">
        <v>0.33250946892594468</v>
      </c>
      <c r="I194" s="21">
        <v>3.125432863759281E-2</v>
      </c>
      <c r="J194" s="21">
        <v>0.20838482366918742</v>
      </c>
    </row>
    <row r="195" spans="1:10" ht="11.25" customHeight="1" x14ac:dyDescent="0.2">
      <c r="A195" s="30">
        <v>44713</v>
      </c>
      <c r="B195" s="20">
        <v>0</v>
      </c>
      <c r="C195" s="20">
        <v>0</v>
      </c>
      <c r="D195" s="20">
        <v>125.23895999999999</v>
      </c>
      <c r="E195" s="20">
        <v>166.88210007843762</v>
      </c>
      <c r="F195" s="20">
        <v>87.761520000000004</v>
      </c>
      <c r="G195" s="20">
        <v>90.504447387814679</v>
      </c>
      <c r="H195" s="21">
        <v>0.33250946892594468</v>
      </c>
      <c r="I195" s="21">
        <v>3.125432863759281E-2</v>
      </c>
      <c r="J195" s="21">
        <v>0.20838482366918765</v>
      </c>
    </row>
    <row r="196" spans="1:10" ht="11.25" customHeight="1" x14ac:dyDescent="0.2">
      <c r="A196" s="29" t="s">
        <v>36</v>
      </c>
      <c r="B196" s="20">
        <v>0</v>
      </c>
      <c r="C196" s="20">
        <v>0</v>
      </c>
      <c r="D196" s="20">
        <v>270.97679999999997</v>
      </c>
      <c r="E196" s="20">
        <v>366.5564949172574</v>
      </c>
      <c r="F196" s="20">
        <v>87.381599999999992</v>
      </c>
      <c r="G196" s="20">
        <v>90.112653243278686</v>
      </c>
      <c r="H196" s="21">
        <v>0.35272279736589041</v>
      </c>
      <c r="I196" s="21">
        <v>3.1254328637593032E-2</v>
      </c>
      <c r="J196" s="21">
        <v>0.27433638547480999</v>
      </c>
    </row>
    <row r="197" spans="1:10" ht="11.25" customHeight="1" x14ac:dyDescent="0.2">
      <c r="A197" s="30">
        <v>44378</v>
      </c>
      <c r="B197" s="20">
        <v>0</v>
      </c>
      <c r="C197" s="20">
        <v>0</v>
      </c>
      <c r="D197" s="20">
        <v>13.54884</v>
      </c>
      <c r="E197" s="20">
        <v>18.32782474586287</v>
      </c>
      <c r="F197" s="20">
        <v>4.3690800000000003</v>
      </c>
      <c r="G197" s="20">
        <v>4.5056326621639347</v>
      </c>
      <c r="H197" s="21">
        <v>0.35272279736589041</v>
      </c>
      <c r="I197" s="21">
        <v>3.125432863759281E-2</v>
      </c>
      <c r="J197" s="21">
        <v>0.27433638547480954</v>
      </c>
    </row>
    <row r="198" spans="1:10" ht="11.25" customHeight="1" x14ac:dyDescent="0.2">
      <c r="A198" s="30">
        <v>44409</v>
      </c>
      <c r="B198" s="20">
        <v>0</v>
      </c>
      <c r="C198" s="20">
        <v>0</v>
      </c>
      <c r="D198" s="20">
        <v>15.90516</v>
      </c>
      <c r="E198" s="20">
        <v>21.515272527752064</v>
      </c>
      <c r="F198" s="20">
        <v>5.1289199999999999</v>
      </c>
      <c r="G198" s="20">
        <v>5.2892209512359232</v>
      </c>
      <c r="H198" s="21">
        <v>0.35272279736589018</v>
      </c>
      <c r="I198" s="21">
        <v>3.1254328637593032E-2</v>
      </c>
      <c r="J198" s="21">
        <v>0.27433638547480976</v>
      </c>
    </row>
    <row r="199" spans="1:10" ht="11.25" customHeight="1" x14ac:dyDescent="0.2">
      <c r="A199" s="30">
        <v>44440</v>
      </c>
      <c r="B199" s="20">
        <v>0</v>
      </c>
      <c r="C199" s="20">
        <v>0</v>
      </c>
      <c r="D199" s="20">
        <v>15.90516</v>
      </c>
      <c r="E199" s="20">
        <v>21.515272527752064</v>
      </c>
      <c r="F199" s="20">
        <v>5.1289199999999999</v>
      </c>
      <c r="G199" s="20">
        <v>5.2892209512359232</v>
      </c>
      <c r="H199" s="21">
        <v>0.35272279736589018</v>
      </c>
      <c r="I199" s="21">
        <v>3.1254328637593032E-2</v>
      </c>
      <c r="J199" s="21">
        <v>0.27433638547480976</v>
      </c>
    </row>
    <row r="200" spans="1:10" ht="11.25" customHeight="1" x14ac:dyDescent="0.2">
      <c r="A200" s="30">
        <v>44470</v>
      </c>
      <c r="B200" s="20">
        <v>0</v>
      </c>
      <c r="C200" s="20">
        <v>0</v>
      </c>
      <c r="D200" s="20">
        <v>15.316079999999999</v>
      </c>
      <c r="E200" s="20">
        <v>20.718410582279763</v>
      </c>
      <c r="F200" s="20">
        <v>4.9389599999999998</v>
      </c>
      <c r="G200" s="20">
        <v>5.0933238789679258</v>
      </c>
      <c r="H200" s="21">
        <v>0.35272279736589018</v>
      </c>
      <c r="I200" s="21">
        <v>3.1254328637593032E-2</v>
      </c>
      <c r="J200" s="21">
        <v>0.27433638547480954</v>
      </c>
    </row>
    <row r="201" spans="1:10" ht="11.25" customHeight="1" x14ac:dyDescent="0.2">
      <c r="A201" s="30">
        <v>44501</v>
      </c>
      <c r="B201" s="20">
        <v>0</v>
      </c>
      <c r="C201" s="20">
        <v>0</v>
      </c>
      <c r="D201" s="20">
        <v>24.152280000000001</v>
      </c>
      <c r="E201" s="20">
        <v>32.671339764364248</v>
      </c>
      <c r="F201" s="20">
        <v>7.7883600000000008</v>
      </c>
      <c r="G201" s="20">
        <v>8.0317799629878834</v>
      </c>
      <c r="H201" s="21">
        <v>0.35272279736589041</v>
      </c>
      <c r="I201" s="21">
        <v>3.125432863759281E-2</v>
      </c>
      <c r="J201" s="21">
        <v>0.27433638547480976</v>
      </c>
    </row>
    <row r="202" spans="1:10" ht="11.25" customHeight="1" x14ac:dyDescent="0.2">
      <c r="A202" s="30">
        <v>44531</v>
      </c>
      <c r="B202" s="20">
        <v>0</v>
      </c>
      <c r="C202" s="20">
        <v>0</v>
      </c>
      <c r="D202" s="20">
        <v>25.919519999999999</v>
      </c>
      <c r="E202" s="20">
        <v>35.061925600781137</v>
      </c>
      <c r="F202" s="20">
        <v>8.3582400000000003</v>
      </c>
      <c r="G202" s="20">
        <v>8.6194711797918746</v>
      </c>
      <c r="H202" s="21">
        <v>0.35272279736589018</v>
      </c>
      <c r="I202" s="21">
        <v>3.125432863759281E-2</v>
      </c>
      <c r="J202" s="21">
        <v>0.27433638547480954</v>
      </c>
    </row>
    <row r="203" spans="1:10" ht="11.25" customHeight="1" x14ac:dyDescent="0.2">
      <c r="A203" s="30">
        <v>44562</v>
      </c>
      <c r="B203" s="20">
        <v>0</v>
      </c>
      <c r="C203" s="20">
        <v>0</v>
      </c>
      <c r="D203" s="20">
        <v>34.755720000000004</v>
      </c>
      <c r="E203" s="20">
        <v>47.014854782865619</v>
      </c>
      <c r="F203" s="20">
        <v>11.20764</v>
      </c>
      <c r="G203" s="20">
        <v>11.55792726381183</v>
      </c>
      <c r="H203" s="21">
        <v>0.35272279736589018</v>
      </c>
      <c r="I203" s="21">
        <v>3.125432863759281E-2</v>
      </c>
      <c r="J203" s="21">
        <v>0.27433638547480954</v>
      </c>
    </row>
    <row r="204" spans="1:10" ht="11.25" customHeight="1" x14ac:dyDescent="0.2">
      <c r="A204" s="30">
        <v>44593</v>
      </c>
      <c r="B204" s="20">
        <v>0</v>
      </c>
      <c r="C204" s="20">
        <v>0</v>
      </c>
      <c r="D204" s="20">
        <v>41.824680000000001</v>
      </c>
      <c r="E204" s="20">
        <v>56.577198128533198</v>
      </c>
      <c r="F204" s="20">
        <v>13.487159999999999</v>
      </c>
      <c r="G204" s="20">
        <v>13.908692131027797</v>
      </c>
      <c r="H204" s="21">
        <v>0.35272279736589018</v>
      </c>
      <c r="I204" s="21">
        <v>3.125432863759281E-2</v>
      </c>
      <c r="J204" s="21">
        <v>0.27433638547480954</v>
      </c>
    </row>
    <row r="205" spans="1:10" ht="11.25" customHeight="1" x14ac:dyDescent="0.2">
      <c r="A205" s="30">
        <v>44621</v>
      </c>
      <c r="B205" s="20">
        <v>0</v>
      </c>
      <c r="C205" s="20">
        <v>0</v>
      </c>
      <c r="D205" s="20">
        <v>32.3994</v>
      </c>
      <c r="E205" s="20">
        <v>43.827407000976429</v>
      </c>
      <c r="F205" s="20">
        <v>10.447800000000001</v>
      </c>
      <c r="G205" s="20">
        <v>10.774338974739843</v>
      </c>
      <c r="H205" s="21">
        <v>0.35272279736589041</v>
      </c>
      <c r="I205" s="21">
        <v>3.125432863759281E-2</v>
      </c>
      <c r="J205" s="21">
        <v>0.27433638547480976</v>
      </c>
    </row>
    <row r="206" spans="1:10" ht="11.25" customHeight="1" x14ac:dyDescent="0.2">
      <c r="A206" s="30">
        <v>44652</v>
      </c>
      <c r="B206" s="20">
        <v>0</v>
      </c>
      <c r="C206" s="20">
        <v>0</v>
      </c>
      <c r="D206" s="20">
        <v>15.90516</v>
      </c>
      <c r="E206" s="20">
        <v>21.515272527752064</v>
      </c>
      <c r="F206" s="20">
        <v>5.1289199999999999</v>
      </c>
      <c r="G206" s="20">
        <v>5.2892209512359232</v>
      </c>
      <c r="H206" s="21">
        <v>0.35272279736589018</v>
      </c>
      <c r="I206" s="21">
        <v>3.1254328637593032E-2</v>
      </c>
      <c r="J206" s="21">
        <v>0.27433638547480976</v>
      </c>
    </row>
    <row r="207" spans="1:10" ht="11.25" customHeight="1" x14ac:dyDescent="0.2">
      <c r="A207" s="30">
        <v>44682</v>
      </c>
      <c r="B207" s="20">
        <v>0</v>
      </c>
      <c r="C207" s="20">
        <v>0</v>
      </c>
      <c r="D207" s="20">
        <v>12.959759999999999</v>
      </c>
      <c r="E207" s="20">
        <v>17.530962800390569</v>
      </c>
      <c r="F207" s="20">
        <v>4.1791200000000002</v>
      </c>
      <c r="G207" s="20">
        <v>4.3097355898959373</v>
      </c>
      <c r="H207" s="21">
        <v>0.35272279736589018</v>
      </c>
      <c r="I207" s="21">
        <v>3.125432863759281E-2</v>
      </c>
      <c r="J207" s="21">
        <v>0.27433638547480954</v>
      </c>
    </row>
    <row r="208" spans="1:10" ht="11.25" customHeight="1" x14ac:dyDescent="0.2">
      <c r="A208" s="30">
        <v>44713</v>
      </c>
      <c r="B208" s="20">
        <v>0</v>
      </c>
      <c r="C208" s="20">
        <v>0</v>
      </c>
      <c r="D208" s="20">
        <v>22.38504</v>
      </c>
      <c r="E208" s="20">
        <v>30.280753927947348</v>
      </c>
      <c r="F208" s="20">
        <v>7.2184800000000005</v>
      </c>
      <c r="G208" s="20">
        <v>7.4440887461838914</v>
      </c>
      <c r="H208" s="21">
        <v>0.35272279736589018</v>
      </c>
      <c r="I208" s="21">
        <v>3.125432863759281E-2</v>
      </c>
      <c r="J208" s="21">
        <v>0.27433638547480976</v>
      </c>
    </row>
    <row r="209" spans="1:10" ht="11.25" customHeight="1" x14ac:dyDescent="0.2">
      <c r="A209" s="29" t="s">
        <v>34</v>
      </c>
      <c r="B209" s="20">
        <v>0</v>
      </c>
      <c r="C209" s="20">
        <v>0</v>
      </c>
      <c r="D209" s="20">
        <v>624.07104000000004</v>
      </c>
      <c r="E209" s="20">
        <v>847.96490728305719</v>
      </c>
      <c r="F209" s="20">
        <v>205.60191999999998</v>
      </c>
      <c r="G209" s="20">
        <v>214.25131093407535</v>
      </c>
      <c r="H209" s="21">
        <v>0.35876343065535798</v>
      </c>
      <c r="I209" s="21">
        <v>4.2068629194101703E-2</v>
      </c>
      <c r="J209" s="21">
        <v>0.28028303853259562</v>
      </c>
    </row>
    <row r="210" spans="1:10" ht="11.25" customHeight="1" x14ac:dyDescent="0.2">
      <c r="A210" s="30">
        <v>44378</v>
      </c>
      <c r="B210" s="20">
        <v>0</v>
      </c>
      <c r="C210" s="20">
        <v>0</v>
      </c>
      <c r="D210" s="20">
        <v>44.446920000000006</v>
      </c>
      <c r="E210" s="20">
        <v>60.392849501264244</v>
      </c>
      <c r="F210" s="20">
        <v>14.64316</v>
      </c>
      <c r="G210" s="20">
        <v>15.259177668269901</v>
      </c>
      <c r="H210" s="21">
        <v>0.35876343065535776</v>
      </c>
      <c r="I210" s="21">
        <v>4.2068629194101703E-2</v>
      </c>
      <c r="J210" s="21">
        <v>0.2802830385325954</v>
      </c>
    </row>
    <row r="211" spans="1:10" ht="11.25" customHeight="1" x14ac:dyDescent="0.2">
      <c r="A211" s="30">
        <v>44409</v>
      </c>
      <c r="B211" s="20">
        <v>0</v>
      </c>
      <c r="C211" s="20">
        <v>0</v>
      </c>
      <c r="D211" s="20">
        <v>54.424799999999998</v>
      </c>
      <c r="E211" s="20">
        <v>73.950427960731716</v>
      </c>
      <c r="F211" s="20">
        <v>17.930399999999999</v>
      </c>
      <c r="G211" s="20">
        <v>18.684707348901917</v>
      </c>
      <c r="H211" s="21">
        <v>0.35876343065535776</v>
      </c>
      <c r="I211" s="21">
        <v>4.2068629194101481E-2</v>
      </c>
      <c r="J211" s="21">
        <v>0.28028303853259517</v>
      </c>
    </row>
    <row r="212" spans="1:10" ht="11.25" customHeight="1" x14ac:dyDescent="0.2">
      <c r="A212" s="30">
        <v>44440</v>
      </c>
      <c r="B212" s="20">
        <v>0</v>
      </c>
      <c r="C212" s="20">
        <v>0</v>
      </c>
      <c r="D212" s="20">
        <v>48.982320000000001</v>
      </c>
      <c r="E212" s="20">
        <v>66.555385164658546</v>
      </c>
      <c r="F212" s="20">
        <v>16.137359999999997</v>
      </c>
      <c r="G212" s="20">
        <v>16.816236614011725</v>
      </c>
      <c r="H212" s="21">
        <v>0.35876343065535776</v>
      </c>
      <c r="I212" s="21">
        <v>4.2068629194101703E-2</v>
      </c>
      <c r="J212" s="21">
        <v>0.28028303853259517</v>
      </c>
    </row>
    <row r="213" spans="1:10" ht="11.25" customHeight="1" x14ac:dyDescent="0.2">
      <c r="A213" s="30">
        <v>44470</v>
      </c>
      <c r="B213" s="20">
        <v>0</v>
      </c>
      <c r="C213" s="20">
        <v>0</v>
      </c>
      <c r="D213" s="20">
        <v>48.075240000000001</v>
      </c>
      <c r="E213" s="20">
        <v>65.322878031979684</v>
      </c>
      <c r="F213" s="20">
        <v>15.838519999999999</v>
      </c>
      <c r="G213" s="20">
        <v>16.504824824863359</v>
      </c>
      <c r="H213" s="21">
        <v>0.35876343065535776</v>
      </c>
      <c r="I213" s="21">
        <v>4.2068629194101481E-2</v>
      </c>
      <c r="J213" s="21">
        <v>0.2802830385325954</v>
      </c>
    </row>
    <row r="214" spans="1:10" ht="11.25" customHeight="1" x14ac:dyDescent="0.2">
      <c r="A214" s="30">
        <v>44501</v>
      </c>
      <c r="B214" s="20">
        <v>0</v>
      </c>
      <c r="C214" s="20">
        <v>0</v>
      </c>
      <c r="D214" s="20">
        <v>46.26108</v>
      </c>
      <c r="E214" s="20">
        <v>62.857863766621961</v>
      </c>
      <c r="F214" s="20">
        <v>15.240839999999999</v>
      </c>
      <c r="G214" s="20">
        <v>15.882001246566629</v>
      </c>
      <c r="H214" s="21">
        <v>0.35876343065535776</v>
      </c>
      <c r="I214" s="21">
        <v>4.2068629194101481E-2</v>
      </c>
      <c r="J214" s="21">
        <v>0.2802830385325954</v>
      </c>
    </row>
    <row r="215" spans="1:10" ht="11.25" customHeight="1" x14ac:dyDescent="0.2">
      <c r="A215" s="30">
        <v>44531</v>
      </c>
      <c r="B215" s="20">
        <v>0</v>
      </c>
      <c r="C215" s="20">
        <v>0</v>
      </c>
      <c r="D215" s="20">
        <v>49.889400000000002</v>
      </c>
      <c r="E215" s="20">
        <v>67.787892297337407</v>
      </c>
      <c r="F215" s="20">
        <v>16.436199999999999</v>
      </c>
      <c r="G215" s="20">
        <v>17.127648403160091</v>
      </c>
      <c r="H215" s="21">
        <v>0.35876343065535776</v>
      </c>
      <c r="I215" s="21">
        <v>4.2068629194101481E-2</v>
      </c>
      <c r="J215" s="21">
        <v>0.28028303853259517</v>
      </c>
    </row>
    <row r="216" spans="1:10" ht="11.25" customHeight="1" x14ac:dyDescent="0.2">
      <c r="A216" s="30">
        <v>44562</v>
      </c>
      <c r="B216" s="20">
        <v>0</v>
      </c>
      <c r="C216" s="20">
        <v>0</v>
      </c>
      <c r="D216" s="20">
        <v>57.146040000000006</v>
      </c>
      <c r="E216" s="20">
        <v>77.647949358768315</v>
      </c>
      <c r="F216" s="20">
        <v>18.826919999999998</v>
      </c>
      <c r="G216" s="20">
        <v>19.618942716347014</v>
      </c>
      <c r="H216" s="21">
        <v>0.35876343065535776</v>
      </c>
      <c r="I216" s="21">
        <v>4.2068629194101703E-2</v>
      </c>
      <c r="J216" s="21">
        <v>0.2802830385325954</v>
      </c>
    </row>
    <row r="217" spans="1:10" ht="11.25" customHeight="1" x14ac:dyDescent="0.2">
      <c r="A217" s="30">
        <v>44593</v>
      </c>
      <c r="B217" s="20">
        <v>0</v>
      </c>
      <c r="C217" s="20">
        <v>0</v>
      </c>
      <c r="D217" s="20">
        <v>70.75224</v>
      </c>
      <c r="E217" s="20">
        <v>96.135556348951241</v>
      </c>
      <c r="F217" s="20">
        <v>23.309519999999999</v>
      </c>
      <c r="G217" s="20">
        <v>24.290119553572495</v>
      </c>
      <c r="H217" s="21">
        <v>0.35876343065535798</v>
      </c>
      <c r="I217" s="21">
        <v>4.2068629194101703E-2</v>
      </c>
      <c r="J217" s="21">
        <v>0.2802830385325954</v>
      </c>
    </row>
    <row r="218" spans="1:10" ht="11.25" customHeight="1" x14ac:dyDescent="0.2">
      <c r="A218" s="30">
        <v>44621</v>
      </c>
      <c r="B218" s="20">
        <v>0</v>
      </c>
      <c r="C218" s="20">
        <v>0</v>
      </c>
      <c r="D218" s="20">
        <v>62.58852000000001</v>
      </c>
      <c r="E218" s="20">
        <v>85.042992154841485</v>
      </c>
      <c r="F218" s="20">
        <v>20.619959999999999</v>
      </c>
      <c r="G218" s="20">
        <v>21.487413451237206</v>
      </c>
      <c r="H218" s="21">
        <v>0.35876343065535776</v>
      </c>
      <c r="I218" s="21">
        <v>4.2068629194101481E-2</v>
      </c>
      <c r="J218" s="21">
        <v>0.28028303853259517</v>
      </c>
    </row>
    <row r="219" spans="1:10" ht="11.25" customHeight="1" x14ac:dyDescent="0.2">
      <c r="A219" s="30">
        <v>44652</v>
      </c>
      <c r="B219" s="20">
        <v>0</v>
      </c>
      <c r="C219" s="20">
        <v>0</v>
      </c>
      <c r="D219" s="20">
        <v>38.097360000000002</v>
      </c>
      <c r="E219" s="20">
        <v>51.765299572512205</v>
      </c>
      <c r="F219" s="20">
        <v>12.55128</v>
      </c>
      <c r="G219" s="20">
        <v>13.079295144231343</v>
      </c>
      <c r="H219" s="21">
        <v>0.35876343065535776</v>
      </c>
      <c r="I219" s="21">
        <v>4.2068629194101481E-2</v>
      </c>
      <c r="J219" s="21">
        <v>0.28028303853259517</v>
      </c>
    </row>
    <row r="220" spans="1:10" ht="11.25" customHeight="1" x14ac:dyDescent="0.2">
      <c r="A220" s="30">
        <v>44682</v>
      </c>
      <c r="B220" s="20">
        <v>0</v>
      </c>
      <c r="C220" s="20">
        <v>0</v>
      </c>
      <c r="D220" s="20">
        <v>39.911520000000003</v>
      </c>
      <c r="E220" s="20">
        <v>54.230313837869929</v>
      </c>
      <c r="F220" s="20">
        <v>13.148959999999999</v>
      </c>
      <c r="G220" s="20">
        <v>13.702118722528072</v>
      </c>
      <c r="H220" s="21">
        <v>0.35876343065535776</v>
      </c>
      <c r="I220" s="21">
        <v>4.2068629194101481E-2</v>
      </c>
      <c r="J220" s="21">
        <v>0.28028303853259517</v>
      </c>
    </row>
    <row r="221" spans="1:10" ht="11.25" customHeight="1" x14ac:dyDescent="0.2">
      <c r="A221" s="30">
        <v>44713</v>
      </c>
      <c r="B221" s="20">
        <v>0</v>
      </c>
      <c r="C221" s="20">
        <v>0</v>
      </c>
      <c r="D221" s="20">
        <v>63.49560000000001</v>
      </c>
      <c r="E221" s="20">
        <v>86.275499287520347</v>
      </c>
      <c r="F221" s="20">
        <v>20.918800000000001</v>
      </c>
      <c r="G221" s="20">
        <v>21.798825240385572</v>
      </c>
      <c r="H221" s="21">
        <v>0.35876343065535776</v>
      </c>
      <c r="I221" s="21">
        <v>4.2068629194101481E-2</v>
      </c>
      <c r="J221" s="21">
        <v>0.28028303853259517</v>
      </c>
    </row>
    <row r="222" spans="1:10" ht="11.25" customHeight="1" x14ac:dyDescent="0.2">
      <c r="A222" s="24" t="s">
        <v>23</v>
      </c>
      <c r="B222" s="20">
        <v>0</v>
      </c>
      <c r="C222" s="20">
        <v>0</v>
      </c>
      <c r="D222" s="20">
        <v>8896779.9680199977</v>
      </c>
      <c r="E222" s="20">
        <v>11060170.829279838</v>
      </c>
      <c r="F222" s="20">
        <v>4431444.9722030004</v>
      </c>
      <c r="G222" s="20">
        <v>4576015.3334682481</v>
      </c>
      <c r="H222" s="21">
        <v>0.24316560250295849</v>
      </c>
      <c r="I222" s="21">
        <v>3.2623751885014096E-2</v>
      </c>
      <c r="J222" s="21">
        <v>0.17316343570702575</v>
      </c>
    </row>
    <row r="223" spans="1:10" ht="11.25" customHeight="1" x14ac:dyDescent="0.2">
      <c r="A223" s="25" t="s">
        <v>24</v>
      </c>
      <c r="B223" s="20">
        <v>0</v>
      </c>
      <c r="C223" s="20">
        <v>0</v>
      </c>
      <c r="D223" s="20">
        <v>8896779.9680199977</v>
      </c>
      <c r="E223" s="20">
        <v>11060170.829279838</v>
      </c>
      <c r="F223" s="20">
        <v>4431444.9722030004</v>
      </c>
      <c r="G223" s="20">
        <v>4576015.3334682481</v>
      </c>
      <c r="H223" s="21">
        <v>0.24316560250295849</v>
      </c>
      <c r="I223" s="21">
        <v>3.2623751885014096E-2</v>
      </c>
      <c r="J223" s="21">
        <v>0.17316343570702575</v>
      </c>
    </row>
    <row r="224" spans="1:10" ht="11.25" customHeight="1" x14ac:dyDescent="0.2">
      <c r="A224" s="26" t="s">
        <v>24</v>
      </c>
      <c r="B224" s="20">
        <v>0</v>
      </c>
      <c r="C224" s="20">
        <v>0</v>
      </c>
      <c r="D224" s="20">
        <v>8321737.1749200001</v>
      </c>
      <c r="E224" s="20">
        <v>10366998.129565699</v>
      </c>
      <c r="F224" s="20">
        <v>4074277.6491299998</v>
      </c>
      <c r="G224" s="20">
        <v>4207199.8300044071</v>
      </c>
      <c r="H224" s="21">
        <v>0.24577331771660504</v>
      </c>
      <c r="I224" s="21">
        <v>3.2624723281386769E-2</v>
      </c>
      <c r="J224" s="21">
        <v>0.17571640292766699</v>
      </c>
    </row>
    <row r="225" spans="1:10" ht="11.25" customHeight="1" x14ac:dyDescent="0.2">
      <c r="A225" s="27" t="s">
        <v>25</v>
      </c>
      <c r="B225" s="20">
        <v>0</v>
      </c>
      <c r="C225" s="20">
        <v>0</v>
      </c>
      <c r="D225" s="20">
        <v>8321737.1749200001</v>
      </c>
      <c r="E225" s="20">
        <v>10366998.129565699</v>
      </c>
      <c r="F225" s="20">
        <v>4074277.6491299998</v>
      </c>
      <c r="G225" s="20">
        <v>4207199.8300044071</v>
      </c>
      <c r="H225" s="21">
        <v>0.24577331771660504</v>
      </c>
      <c r="I225" s="21">
        <v>3.2624723281386769E-2</v>
      </c>
      <c r="J225" s="21">
        <v>0.17571640292766699</v>
      </c>
    </row>
    <row r="226" spans="1:10" ht="11.25" customHeight="1" x14ac:dyDescent="0.2">
      <c r="A226" s="28" t="s">
        <v>25</v>
      </c>
      <c r="B226" s="20">
        <v>0</v>
      </c>
      <c r="C226" s="20">
        <v>0</v>
      </c>
      <c r="D226" s="20">
        <v>8321737.1749200001</v>
      </c>
      <c r="E226" s="20">
        <v>10366998.129565699</v>
      </c>
      <c r="F226" s="20">
        <v>4074277.6491299998</v>
      </c>
      <c r="G226" s="20">
        <v>4207199.8300044071</v>
      </c>
      <c r="H226" s="21">
        <v>0.24577331771660504</v>
      </c>
      <c r="I226" s="21">
        <v>3.2624723281386769E-2</v>
      </c>
      <c r="J226" s="21">
        <v>0.17571640292766699</v>
      </c>
    </row>
    <row r="227" spans="1:10" ht="11.25" customHeight="1" x14ac:dyDescent="0.2">
      <c r="A227" s="29" t="s">
        <v>25</v>
      </c>
      <c r="B227" s="20">
        <v>0</v>
      </c>
      <c r="C227" s="20">
        <v>0</v>
      </c>
      <c r="D227" s="20">
        <v>8321737.1749200001</v>
      </c>
      <c r="E227" s="20">
        <v>10366998.129565699</v>
      </c>
      <c r="F227" s="20">
        <v>4074277.6491299998</v>
      </c>
      <c r="G227" s="20">
        <v>4207199.8300044071</v>
      </c>
      <c r="H227" s="21">
        <v>0.24577331771660504</v>
      </c>
      <c r="I227" s="21">
        <v>3.2624723281386769E-2</v>
      </c>
      <c r="J227" s="21">
        <v>0.17571640292766699</v>
      </c>
    </row>
    <row r="228" spans="1:10" ht="11.25" customHeight="1" x14ac:dyDescent="0.2">
      <c r="A228" s="30">
        <v>44378</v>
      </c>
      <c r="B228" s="20">
        <v>0</v>
      </c>
      <c r="C228" s="20">
        <v>0</v>
      </c>
      <c r="D228" s="20">
        <v>625702.16884000006</v>
      </c>
      <c r="E228" s="20">
        <v>779483.06677828229</v>
      </c>
      <c r="F228" s="20">
        <v>306340.40800999996</v>
      </c>
      <c r="G228" s="20">
        <v>316334.67905123346</v>
      </c>
      <c r="H228" s="21">
        <v>0.24577331771660504</v>
      </c>
      <c r="I228" s="21">
        <v>3.2624723281387213E-2</v>
      </c>
      <c r="J228" s="21">
        <v>0.17571640292766699</v>
      </c>
    </row>
    <row r="229" spans="1:10" ht="11.25" customHeight="1" x14ac:dyDescent="0.2">
      <c r="A229" s="30">
        <v>44409</v>
      </c>
      <c r="B229" s="20">
        <v>0</v>
      </c>
      <c r="C229" s="20">
        <v>0</v>
      </c>
      <c r="D229" s="20">
        <v>661086.4826799999</v>
      </c>
      <c r="E229" s="20">
        <v>823563.90082586464</v>
      </c>
      <c r="F229" s="20">
        <v>323664.37727</v>
      </c>
      <c r="G229" s="20">
        <v>334223.83801447623</v>
      </c>
      <c r="H229" s="21">
        <v>0.24577331771660527</v>
      </c>
      <c r="I229" s="21">
        <v>3.2624723281387213E-2</v>
      </c>
      <c r="J229" s="21">
        <v>0.17571640292766721</v>
      </c>
    </row>
    <row r="230" spans="1:10" ht="11.25" customHeight="1" x14ac:dyDescent="0.2">
      <c r="A230" s="30">
        <v>44440</v>
      </c>
      <c r="B230" s="20">
        <v>0</v>
      </c>
      <c r="C230" s="20">
        <v>0</v>
      </c>
      <c r="D230" s="20">
        <v>592028.0846399999</v>
      </c>
      <c r="E230" s="20">
        <v>737532.79118337994</v>
      </c>
      <c r="F230" s="20">
        <v>289853.75796000002</v>
      </c>
      <c r="G230" s="20">
        <v>299310.15660551511</v>
      </c>
      <c r="H230" s="21">
        <v>0.24577331771660549</v>
      </c>
      <c r="I230" s="21">
        <v>3.2624723281386769E-2</v>
      </c>
      <c r="J230" s="21">
        <v>0.17571640292766721</v>
      </c>
    </row>
    <row r="231" spans="1:10" ht="11.25" customHeight="1" x14ac:dyDescent="0.2">
      <c r="A231" s="30">
        <v>44470</v>
      </c>
      <c r="B231" s="20">
        <v>0</v>
      </c>
      <c r="C231" s="20">
        <v>0</v>
      </c>
      <c r="D231" s="20">
        <v>614126.51183999993</v>
      </c>
      <c r="E231" s="20">
        <v>765062.42215264286</v>
      </c>
      <c r="F231" s="20">
        <v>300673.02875999996</v>
      </c>
      <c r="G231" s="20">
        <v>310482.40312147152</v>
      </c>
      <c r="H231" s="21">
        <v>0.24577331771660549</v>
      </c>
      <c r="I231" s="21">
        <v>3.2624723281387213E-2</v>
      </c>
      <c r="J231" s="21">
        <v>0.17571640292766721</v>
      </c>
    </row>
    <row r="232" spans="1:10" ht="11.25" customHeight="1" x14ac:dyDescent="0.2">
      <c r="A232" s="30">
        <v>44501</v>
      </c>
      <c r="B232" s="20">
        <v>0</v>
      </c>
      <c r="C232" s="20">
        <v>0</v>
      </c>
      <c r="D232" s="20">
        <v>661286.89703999995</v>
      </c>
      <c r="E232" s="20">
        <v>823813.57168803993</v>
      </c>
      <c r="F232" s="20">
        <v>323762.49906</v>
      </c>
      <c r="G232" s="20">
        <v>334325.16100072284</v>
      </c>
      <c r="H232" s="21">
        <v>0.24577331771660527</v>
      </c>
      <c r="I232" s="21">
        <v>3.2624723281386991E-2</v>
      </c>
      <c r="J232" s="21">
        <v>0.17571640292766699</v>
      </c>
    </row>
    <row r="233" spans="1:10" ht="11.25" customHeight="1" x14ac:dyDescent="0.2">
      <c r="A233" s="30">
        <v>44531</v>
      </c>
      <c r="B233" s="20">
        <v>0</v>
      </c>
      <c r="C233" s="20">
        <v>0</v>
      </c>
      <c r="D233" s="20">
        <v>695612.22627999983</v>
      </c>
      <c r="E233" s="20">
        <v>866575.1509770694</v>
      </c>
      <c r="F233" s="20">
        <v>340567.99516999995</v>
      </c>
      <c r="G233" s="20">
        <v>351678.93177091796</v>
      </c>
      <c r="H233" s="21">
        <v>0.24577331771660527</v>
      </c>
      <c r="I233" s="21">
        <v>3.2624723281386991E-2</v>
      </c>
      <c r="J233" s="21">
        <v>0.17571640292766721</v>
      </c>
    </row>
    <row r="234" spans="1:10" ht="11.25" customHeight="1" x14ac:dyDescent="0.2">
      <c r="A234" s="30">
        <v>44562</v>
      </c>
      <c r="B234" s="20">
        <v>0</v>
      </c>
      <c r="C234" s="20">
        <v>0</v>
      </c>
      <c r="D234" s="20">
        <v>869357.65471999999</v>
      </c>
      <c r="E234" s="20">
        <v>1083022.5698028614</v>
      </c>
      <c r="F234" s="20">
        <v>425632.82008000003</v>
      </c>
      <c r="G234" s="20">
        <v>439518.9730545865</v>
      </c>
      <c r="H234" s="21">
        <v>0.24577331771660527</v>
      </c>
      <c r="I234" s="21">
        <v>3.2624723281387213E-2</v>
      </c>
      <c r="J234" s="21">
        <v>0.17571640292766721</v>
      </c>
    </row>
    <row r="235" spans="1:10" ht="11.25" customHeight="1" x14ac:dyDescent="0.2">
      <c r="A235" s="30">
        <v>44593</v>
      </c>
      <c r="B235" s="20">
        <v>0</v>
      </c>
      <c r="C235" s="20">
        <v>0</v>
      </c>
      <c r="D235" s="20">
        <v>1049061.4467999998</v>
      </c>
      <c r="E235" s="20">
        <v>1306892.7590686178</v>
      </c>
      <c r="F235" s="20">
        <v>513614.82769999997</v>
      </c>
      <c r="G235" s="20">
        <v>530371.36932692979</v>
      </c>
      <c r="H235" s="21">
        <v>0.24577331771660527</v>
      </c>
      <c r="I235" s="21">
        <v>3.2624723281387213E-2</v>
      </c>
      <c r="J235" s="21">
        <v>0.17571640292766721</v>
      </c>
    </row>
    <row r="236" spans="1:10" ht="11.25" customHeight="1" x14ac:dyDescent="0.2">
      <c r="A236" s="30">
        <v>44621</v>
      </c>
      <c r="B236" s="20">
        <v>0</v>
      </c>
      <c r="C236" s="20">
        <v>0</v>
      </c>
      <c r="D236" s="20">
        <v>814646.97355999995</v>
      </c>
      <c r="E236" s="20">
        <v>1014865.4630196329</v>
      </c>
      <c r="F236" s="20">
        <v>398846.76559000002</v>
      </c>
      <c r="G236" s="20">
        <v>411859.03094905004</v>
      </c>
      <c r="H236" s="21">
        <v>0.24577331771660549</v>
      </c>
      <c r="I236" s="21">
        <v>3.2624723281386991E-2</v>
      </c>
      <c r="J236" s="21">
        <v>0.17571640292766721</v>
      </c>
    </row>
    <row r="237" spans="1:10" ht="11.25" customHeight="1" x14ac:dyDescent="0.2">
      <c r="A237" s="30">
        <v>44652</v>
      </c>
      <c r="B237" s="20">
        <v>0</v>
      </c>
      <c r="C237" s="20">
        <v>0</v>
      </c>
      <c r="D237" s="20">
        <v>562459.03939999989</v>
      </c>
      <c r="E237" s="20">
        <v>700696.46359303268</v>
      </c>
      <c r="F237" s="20">
        <v>275376.91284999996</v>
      </c>
      <c r="G237" s="20">
        <v>284361.0084298139</v>
      </c>
      <c r="H237" s="21">
        <v>0.24577331771660527</v>
      </c>
      <c r="I237" s="21">
        <v>3.2624723281387213E-2</v>
      </c>
      <c r="J237" s="21">
        <v>0.17571640292766721</v>
      </c>
    </row>
    <row r="238" spans="1:10" ht="11.25" customHeight="1" x14ac:dyDescent="0.2">
      <c r="A238" s="30">
        <v>44682</v>
      </c>
      <c r="B238" s="20">
        <v>0</v>
      </c>
      <c r="C238" s="20">
        <v>0</v>
      </c>
      <c r="D238" s="20">
        <v>559299.97247999988</v>
      </c>
      <c r="E238" s="20">
        <v>696760.98231521563</v>
      </c>
      <c r="F238" s="20">
        <v>273830.25072000001</v>
      </c>
      <c r="G238" s="20">
        <v>282763.88687581284</v>
      </c>
      <c r="H238" s="21">
        <v>0.24577331771660549</v>
      </c>
      <c r="I238" s="21">
        <v>3.2624723281386991E-2</v>
      </c>
      <c r="J238" s="21">
        <v>0.17571640292766721</v>
      </c>
    </row>
    <row r="239" spans="1:10" ht="11.25" customHeight="1" x14ac:dyDescent="0.2">
      <c r="A239" s="30">
        <v>44713</v>
      </c>
      <c r="B239" s="20">
        <v>0</v>
      </c>
      <c r="C239" s="20">
        <v>0</v>
      </c>
      <c r="D239" s="20">
        <v>617069.71663999988</v>
      </c>
      <c r="E239" s="20">
        <v>768728.98816105828</v>
      </c>
      <c r="F239" s="20">
        <v>302114.00595999998</v>
      </c>
      <c r="G239" s="20">
        <v>311970.39180387638</v>
      </c>
      <c r="H239" s="21">
        <v>0.24577331771660549</v>
      </c>
      <c r="I239" s="21">
        <v>3.2624723281387213E-2</v>
      </c>
      <c r="J239" s="21">
        <v>0.17571640292766744</v>
      </c>
    </row>
    <row r="240" spans="1:10" ht="11.25" customHeight="1" x14ac:dyDescent="0.2">
      <c r="A240" s="26" t="s">
        <v>29</v>
      </c>
      <c r="B240" s="20">
        <v>0</v>
      </c>
      <c r="C240" s="20">
        <v>0</v>
      </c>
      <c r="D240" s="20">
        <v>47659.936900000008</v>
      </c>
      <c r="E240" s="20">
        <v>57453.37854389385</v>
      </c>
      <c r="F240" s="20">
        <v>29603.131559999998</v>
      </c>
      <c r="G240" s="20">
        <v>30569.144950606573</v>
      </c>
      <c r="H240" s="21">
        <v>0.20548582899810452</v>
      </c>
      <c r="I240" s="21">
        <v>3.2632135172883547E-2</v>
      </c>
      <c r="J240" s="21">
        <v>0.13925741300412775</v>
      </c>
    </row>
    <row r="241" spans="1:10" ht="11.25" customHeight="1" x14ac:dyDescent="0.2">
      <c r="A241" s="27" t="s">
        <v>25</v>
      </c>
      <c r="B241" s="20">
        <v>0</v>
      </c>
      <c r="C241" s="20">
        <v>0</v>
      </c>
      <c r="D241" s="20">
        <v>47659.936900000008</v>
      </c>
      <c r="E241" s="20">
        <v>57453.37854389385</v>
      </c>
      <c r="F241" s="20">
        <v>29603.131559999998</v>
      </c>
      <c r="G241" s="20">
        <v>30569.144950606573</v>
      </c>
      <c r="H241" s="21">
        <v>0.20548582899810452</v>
      </c>
      <c r="I241" s="21">
        <v>3.2632135172883547E-2</v>
      </c>
      <c r="J241" s="21">
        <v>0.13925741300412775</v>
      </c>
    </row>
    <row r="242" spans="1:10" ht="11.25" customHeight="1" x14ac:dyDescent="0.2">
      <c r="A242" s="28" t="s">
        <v>25</v>
      </c>
      <c r="B242" s="20">
        <v>0</v>
      </c>
      <c r="C242" s="20">
        <v>0</v>
      </c>
      <c r="D242" s="20">
        <v>47659.936900000008</v>
      </c>
      <c r="E242" s="20">
        <v>57453.37854389385</v>
      </c>
      <c r="F242" s="20">
        <v>29603.131559999998</v>
      </c>
      <c r="G242" s="20">
        <v>30569.144950606573</v>
      </c>
      <c r="H242" s="21">
        <v>0.20548582899810452</v>
      </c>
      <c r="I242" s="21">
        <v>3.2632135172883547E-2</v>
      </c>
      <c r="J242" s="21">
        <v>0.13925741300412775</v>
      </c>
    </row>
    <row r="243" spans="1:10" ht="11.25" customHeight="1" x14ac:dyDescent="0.2">
      <c r="A243" s="29" t="s">
        <v>25</v>
      </c>
      <c r="B243" s="20">
        <v>0</v>
      </c>
      <c r="C243" s="20">
        <v>0</v>
      </c>
      <c r="D243" s="20">
        <v>47659.936900000008</v>
      </c>
      <c r="E243" s="20">
        <v>57453.37854389385</v>
      </c>
      <c r="F243" s="20">
        <v>29603.131559999998</v>
      </c>
      <c r="G243" s="20">
        <v>30569.144950606573</v>
      </c>
      <c r="H243" s="21">
        <v>0.20548582899810452</v>
      </c>
      <c r="I243" s="21">
        <v>3.2632135172883547E-2</v>
      </c>
      <c r="J243" s="21">
        <v>0.13925741300412775</v>
      </c>
    </row>
    <row r="244" spans="1:10" ht="11.25" customHeight="1" x14ac:dyDescent="0.2">
      <c r="A244" s="30">
        <v>44378</v>
      </c>
      <c r="B244" s="20">
        <v>0</v>
      </c>
      <c r="C244" s="20">
        <v>0</v>
      </c>
      <c r="D244" s="20">
        <v>3616.8374999999996</v>
      </c>
      <c r="E244" s="20">
        <v>4360.0463520389312</v>
      </c>
      <c r="F244" s="20">
        <v>2246.5349999999999</v>
      </c>
      <c r="G244" s="20">
        <v>2319.844233790614</v>
      </c>
      <c r="H244" s="21">
        <v>0.20548582899810452</v>
      </c>
      <c r="I244" s="21">
        <v>3.2632135172883547E-2</v>
      </c>
      <c r="J244" s="21">
        <v>0.13925741300412797</v>
      </c>
    </row>
    <row r="245" spans="1:10" ht="11.25" customHeight="1" x14ac:dyDescent="0.2">
      <c r="A245" s="30">
        <v>44409</v>
      </c>
      <c r="B245" s="20">
        <v>0</v>
      </c>
      <c r="C245" s="20">
        <v>0</v>
      </c>
      <c r="D245" s="20">
        <v>3626.9310000000005</v>
      </c>
      <c r="E245" s="20">
        <v>4372.2139232539248</v>
      </c>
      <c r="F245" s="20">
        <v>2252.8044000000004</v>
      </c>
      <c r="G245" s="20">
        <v>2326.3182176988671</v>
      </c>
      <c r="H245" s="21">
        <v>0.20548582899810452</v>
      </c>
      <c r="I245" s="21">
        <v>3.2632135172883547E-2</v>
      </c>
      <c r="J245" s="21">
        <v>0.13925741300412775</v>
      </c>
    </row>
    <row r="246" spans="1:10" ht="11.25" customHeight="1" x14ac:dyDescent="0.2">
      <c r="A246" s="30">
        <v>44440</v>
      </c>
      <c r="B246" s="20">
        <v>0</v>
      </c>
      <c r="C246" s="20">
        <v>0</v>
      </c>
      <c r="D246" s="20">
        <v>3657.2115000000003</v>
      </c>
      <c r="E246" s="20">
        <v>4408.716636898901</v>
      </c>
      <c r="F246" s="20">
        <v>2271.6125999999999</v>
      </c>
      <c r="G246" s="20">
        <v>2345.7401694236255</v>
      </c>
      <c r="H246" s="21">
        <v>0.2054858289981043</v>
      </c>
      <c r="I246" s="21">
        <v>3.2632135172883547E-2</v>
      </c>
      <c r="J246" s="21">
        <v>0.13925741300412797</v>
      </c>
    </row>
    <row r="247" spans="1:10" ht="11.25" customHeight="1" x14ac:dyDescent="0.2">
      <c r="A247" s="30">
        <v>44470</v>
      </c>
      <c r="B247" s="20">
        <v>0</v>
      </c>
      <c r="C247" s="20">
        <v>0</v>
      </c>
      <c r="D247" s="20">
        <v>3670.6695000000004</v>
      </c>
      <c r="E247" s="20">
        <v>4424.9400651855585</v>
      </c>
      <c r="F247" s="20">
        <v>2279.9718000000003</v>
      </c>
      <c r="G247" s="20">
        <v>2354.372147967963</v>
      </c>
      <c r="H247" s="21">
        <v>0.20548582899810452</v>
      </c>
      <c r="I247" s="21">
        <v>3.2632135172883547E-2</v>
      </c>
      <c r="J247" s="21">
        <v>0.13925741300412797</v>
      </c>
    </row>
    <row r="248" spans="1:10" ht="11.25" customHeight="1" x14ac:dyDescent="0.2">
      <c r="A248" s="30">
        <v>44501</v>
      </c>
      <c r="B248" s="20">
        <v>0</v>
      </c>
      <c r="C248" s="20">
        <v>0</v>
      </c>
      <c r="D248" s="20">
        <v>3690.8565000000008</v>
      </c>
      <c r="E248" s="20">
        <v>4449.275207615543</v>
      </c>
      <c r="F248" s="20">
        <v>2292.5106000000001</v>
      </c>
      <c r="G248" s="20">
        <v>2367.3201157844687</v>
      </c>
      <c r="H248" s="21">
        <v>0.2054858289981043</v>
      </c>
      <c r="I248" s="21">
        <v>3.2632135172883769E-2</v>
      </c>
      <c r="J248" s="21">
        <v>0.13925741300412775</v>
      </c>
    </row>
    <row r="249" spans="1:10" ht="11.25" customHeight="1" x14ac:dyDescent="0.2">
      <c r="A249" s="30">
        <v>44531</v>
      </c>
      <c r="B249" s="20">
        <v>0</v>
      </c>
      <c r="C249" s="20">
        <v>0</v>
      </c>
      <c r="D249" s="20">
        <v>3761.1184750000007</v>
      </c>
      <c r="E249" s="20">
        <v>4533.9750227954619</v>
      </c>
      <c r="F249" s="20">
        <v>2336.1525900000001</v>
      </c>
      <c r="G249" s="20">
        <v>2412.386237101362</v>
      </c>
      <c r="H249" s="21">
        <v>0.2054858289981043</v>
      </c>
      <c r="I249" s="21">
        <v>3.2632135172883547E-2</v>
      </c>
      <c r="J249" s="21">
        <v>0.13925741300412775</v>
      </c>
    </row>
    <row r="250" spans="1:10" ht="11.25" customHeight="1" x14ac:dyDescent="0.2">
      <c r="A250" s="30">
        <v>44562</v>
      </c>
      <c r="B250" s="20">
        <v>0</v>
      </c>
      <c r="C250" s="20">
        <v>0</v>
      </c>
      <c r="D250" s="20">
        <v>3813.1560750000008</v>
      </c>
      <c r="E250" s="20">
        <v>4596.7056121705336</v>
      </c>
      <c r="F250" s="20">
        <v>2368.4748299999997</v>
      </c>
      <c r="G250" s="20">
        <v>2445.7632208061323</v>
      </c>
      <c r="H250" s="21">
        <v>0.2054858289981043</v>
      </c>
      <c r="I250" s="21">
        <v>3.2632135172883547E-2</v>
      </c>
      <c r="J250" s="21">
        <v>0.13925741300412797</v>
      </c>
    </row>
    <row r="251" spans="1:10" ht="11.25" customHeight="1" x14ac:dyDescent="0.2">
      <c r="A251" s="30">
        <v>44593</v>
      </c>
      <c r="B251" s="20">
        <v>0</v>
      </c>
      <c r="C251" s="20">
        <v>0</v>
      </c>
      <c r="D251" s="20">
        <v>3833.3430750000007</v>
      </c>
      <c r="E251" s="20">
        <v>4621.0407546005181</v>
      </c>
      <c r="F251" s="20">
        <v>2381.0136299999999</v>
      </c>
      <c r="G251" s="20">
        <v>2458.711188622638</v>
      </c>
      <c r="H251" s="21">
        <v>0.2054858289981043</v>
      </c>
      <c r="I251" s="21">
        <v>3.2632135172883547E-2</v>
      </c>
      <c r="J251" s="21">
        <v>0.13925741300412797</v>
      </c>
    </row>
    <row r="252" spans="1:10" ht="11.25" customHeight="1" x14ac:dyDescent="0.2">
      <c r="A252" s="30">
        <v>44621</v>
      </c>
      <c r="B252" s="20">
        <v>0</v>
      </c>
      <c r="C252" s="20">
        <v>0</v>
      </c>
      <c r="D252" s="20">
        <v>3917.4555750000004</v>
      </c>
      <c r="E252" s="20">
        <v>4722.4371813921216</v>
      </c>
      <c r="F252" s="20">
        <v>2433.2586299999998</v>
      </c>
      <c r="G252" s="20">
        <v>2512.6610545247454</v>
      </c>
      <c r="H252" s="21">
        <v>0.20548582899810452</v>
      </c>
      <c r="I252" s="21">
        <v>3.2632135172883547E-2</v>
      </c>
      <c r="J252" s="21">
        <v>0.13925741300412775</v>
      </c>
    </row>
    <row r="253" spans="1:10" ht="11.25" customHeight="1" x14ac:dyDescent="0.2">
      <c r="A253" s="30">
        <v>44652</v>
      </c>
      <c r="B253" s="20">
        <v>0</v>
      </c>
      <c r="C253" s="20">
        <v>0</v>
      </c>
      <c r="D253" s="20">
        <v>3991.4745750000002</v>
      </c>
      <c r="E253" s="20">
        <v>4811.6660369687315</v>
      </c>
      <c r="F253" s="20">
        <v>2479.2342299999996</v>
      </c>
      <c r="G253" s="20">
        <v>2560.1369365185997</v>
      </c>
      <c r="H253" s="21">
        <v>0.2054858289981043</v>
      </c>
      <c r="I253" s="21">
        <v>3.2632135172883547E-2</v>
      </c>
      <c r="J253" s="21">
        <v>0.13925741300412775</v>
      </c>
    </row>
    <row r="254" spans="1:10" ht="11.25" customHeight="1" x14ac:dyDescent="0.2">
      <c r="A254" s="30">
        <v>44682</v>
      </c>
      <c r="B254" s="20">
        <v>0</v>
      </c>
      <c r="C254" s="20">
        <v>0</v>
      </c>
      <c r="D254" s="20">
        <v>5127.6662249999999</v>
      </c>
      <c r="E254" s="20">
        <v>6181.328970069706</v>
      </c>
      <c r="F254" s="20">
        <v>3184.9596899999997</v>
      </c>
      <c r="G254" s="20">
        <v>3288.8917251242651</v>
      </c>
      <c r="H254" s="21">
        <v>0.20548582899810452</v>
      </c>
      <c r="I254" s="21">
        <v>3.2632135172883547E-2</v>
      </c>
      <c r="J254" s="21">
        <v>0.13925741300412775</v>
      </c>
    </row>
    <row r="255" spans="1:10" ht="11.25" customHeight="1" x14ac:dyDescent="0.2">
      <c r="A255" s="30">
        <v>44713</v>
      </c>
      <c r="B255" s="20">
        <v>0</v>
      </c>
      <c r="C255" s="20">
        <v>0</v>
      </c>
      <c r="D255" s="20">
        <v>4953.2168999999994</v>
      </c>
      <c r="E255" s="20">
        <v>5971.0327809039209</v>
      </c>
      <c r="F255" s="20">
        <v>3076.6035599999996</v>
      </c>
      <c r="G255" s="20">
        <v>3176.9997032432943</v>
      </c>
      <c r="H255" s="21">
        <v>0.20548582899810452</v>
      </c>
      <c r="I255" s="21">
        <v>3.2632135172883547E-2</v>
      </c>
      <c r="J255" s="21">
        <v>0.13925741300412797</v>
      </c>
    </row>
    <row r="256" spans="1:10" ht="11.25" customHeight="1" x14ac:dyDescent="0.2">
      <c r="A256" s="26" t="s">
        <v>30</v>
      </c>
      <c r="B256" s="20">
        <v>0</v>
      </c>
      <c r="C256" s="20">
        <v>0</v>
      </c>
      <c r="D256" s="20">
        <v>168553.11096000002</v>
      </c>
      <c r="E256" s="20">
        <v>203174.79943772629</v>
      </c>
      <c r="F256" s="20">
        <v>104689.30416</v>
      </c>
      <c r="G256" s="20">
        <v>108102.95324194412</v>
      </c>
      <c r="H256" s="21">
        <v>0.20540521786003985</v>
      </c>
      <c r="I256" s="21">
        <v>3.2607429281667155E-2</v>
      </c>
      <c r="J256" s="21">
        <v>0.13919997575400744</v>
      </c>
    </row>
    <row r="257" spans="1:10" ht="11.25" customHeight="1" x14ac:dyDescent="0.2">
      <c r="A257" s="27" t="s">
        <v>25</v>
      </c>
      <c r="B257" s="20">
        <v>0</v>
      </c>
      <c r="C257" s="20">
        <v>0</v>
      </c>
      <c r="D257" s="20">
        <v>168553.11096000002</v>
      </c>
      <c r="E257" s="20">
        <v>203174.79943772629</v>
      </c>
      <c r="F257" s="20">
        <v>104689.30416</v>
      </c>
      <c r="G257" s="20">
        <v>108102.95324194412</v>
      </c>
      <c r="H257" s="21">
        <v>0.20540521786003985</v>
      </c>
      <c r="I257" s="21">
        <v>3.2607429281667155E-2</v>
      </c>
      <c r="J257" s="21">
        <v>0.13919997575400744</v>
      </c>
    </row>
    <row r="258" spans="1:10" ht="11.25" customHeight="1" x14ac:dyDescent="0.2">
      <c r="A258" s="28" t="s">
        <v>25</v>
      </c>
      <c r="B258" s="20">
        <v>0</v>
      </c>
      <c r="C258" s="20">
        <v>0</v>
      </c>
      <c r="D258" s="20">
        <v>168553.11096000002</v>
      </c>
      <c r="E258" s="20">
        <v>203174.79943772629</v>
      </c>
      <c r="F258" s="20">
        <v>104689.30416</v>
      </c>
      <c r="G258" s="20">
        <v>108102.95324194412</v>
      </c>
      <c r="H258" s="21">
        <v>0.20540521786003985</v>
      </c>
      <c r="I258" s="21">
        <v>3.2607429281667155E-2</v>
      </c>
      <c r="J258" s="21">
        <v>0.13919997575400744</v>
      </c>
    </row>
    <row r="259" spans="1:10" ht="11.25" customHeight="1" x14ac:dyDescent="0.2">
      <c r="A259" s="29" t="s">
        <v>25</v>
      </c>
      <c r="B259" s="20">
        <v>0</v>
      </c>
      <c r="C259" s="20">
        <v>0</v>
      </c>
      <c r="D259" s="20">
        <v>168553.11096000002</v>
      </c>
      <c r="E259" s="20">
        <v>203174.79943772629</v>
      </c>
      <c r="F259" s="20">
        <v>104689.30416</v>
      </c>
      <c r="G259" s="20">
        <v>108102.95324194412</v>
      </c>
      <c r="H259" s="21">
        <v>0.20540521786003985</v>
      </c>
      <c r="I259" s="21">
        <v>3.2607429281667155E-2</v>
      </c>
      <c r="J259" s="21">
        <v>0.13919997575400744</v>
      </c>
    </row>
    <row r="260" spans="1:10" ht="11.25" customHeight="1" x14ac:dyDescent="0.2">
      <c r="A260" s="30">
        <v>44378</v>
      </c>
      <c r="B260" s="20">
        <v>0</v>
      </c>
      <c r="C260" s="20">
        <v>0</v>
      </c>
      <c r="D260" s="20">
        <v>12125.50755</v>
      </c>
      <c r="E260" s="20">
        <v>14616.150069971309</v>
      </c>
      <c r="F260" s="20">
        <v>7531.2222999999994</v>
      </c>
      <c r="G260" s="20">
        <v>7776.796098551763</v>
      </c>
      <c r="H260" s="21">
        <v>0.20540521786003985</v>
      </c>
      <c r="I260" s="21">
        <v>3.2607429281666933E-2</v>
      </c>
      <c r="J260" s="21">
        <v>0.13919997575400722</v>
      </c>
    </row>
    <row r="261" spans="1:10" ht="11.25" customHeight="1" x14ac:dyDescent="0.2">
      <c r="A261" s="30">
        <v>44409</v>
      </c>
      <c r="B261" s="20">
        <v>0</v>
      </c>
      <c r="C261" s="20">
        <v>0</v>
      </c>
      <c r="D261" s="20">
        <v>12447.17526</v>
      </c>
      <c r="E261" s="20">
        <v>15003.8900060224</v>
      </c>
      <c r="F261" s="20">
        <v>7731.0119599999998</v>
      </c>
      <c r="G261" s="20">
        <v>7983.1003857614214</v>
      </c>
      <c r="H261" s="21">
        <v>0.20540521786004007</v>
      </c>
      <c r="I261" s="21">
        <v>3.2607429281666933E-2</v>
      </c>
      <c r="J261" s="21">
        <v>0.13919997575400744</v>
      </c>
    </row>
    <row r="262" spans="1:10" ht="11.25" customHeight="1" x14ac:dyDescent="0.2">
      <c r="A262" s="30">
        <v>44440</v>
      </c>
      <c r="B262" s="20">
        <v>0</v>
      </c>
      <c r="C262" s="20">
        <v>0</v>
      </c>
      <c r="D262" s="20">
        <v>12697.318529999999</v>
      </c>
      <c r="E262" s="20">
        <v>15305.414008892969</v>
      </c>
      <c r="F262" s="20">
        <v>7886.3773799999999</v>
      </c>
      <c r="G262" s="20">
        <v>8143.531872706888</v>
      </c>
      <c r="H262" s="21">
        <v>0.20540521786003985</v>
      </c>
      <c r="I262" s="21">
        <v>3.2607429281666933E-2</v>
      </c>
      <c r="J262" s="21">
        <v>0.13919997575400744</v>
      </c>
    </row>
    <row r="263" spans="1:10" ht="11.25" customHeight="1" x14ac:dyDescent="0.2">
      <c r="A263" s="30">
        <v>44470</v>
      </c>
      <c r="B263" s="20">
        <v>0</v>
      </c>
      <c r="C263" s="20">
        <v>0</v>
      </c>
      <c r="D263" s="20">
        <v>12988.60758</v>
      </c>
      <c r="E263" s="20">
        <v>15656.535349668464</v>
      </c>
      <c r="F263" s="20">
        <v>8067.2986799999999</v>
      </c>
      <c r="G263" s="20">
        <v>8330.3525512021861</v>
      </c>
      <c r="H263" s="21">
        <v>0.20540521786003985</v>
      </c>
      <c r="I263" s="21">
        <v>3.2607429281667155E-2</v>
      </c>
      <c r="J263" s="21">
        <v>0.13919997575400722</v>
      </c>
    </row>
    <row r="264" spans="1:10" ht="11.25" customHeight="1" x14ac:dyDescent="0.2">
      <c r="A264" s="30">
        <v>44501</v>
      </c>
      <c r="B264" s="20">
        <v>0</v>
      </c>
      <c r="C264" s="20">
        <v>0</v>
      </c>
      <c r="D264" s="20">
        <v>13248.36435</v>
      </c>
      <c r="E264" s="20">
        <v>15969.647515600936</v>
      </c>
      <c r="F264" s="20">
        <v>8228.6351000000013</v>
      </c>
      <c r="G264" s="20">
        <v>8496.9497371078942</v>
      </c>
      <c r="H264" s="21">
        <v>0.20540521786004007</v>
      </c>
      <c r="I264" s="21">
        <v>3.2607429281666933E-2</v>
      </c>
      <c r="J264" s="21">
        <v>0.13919997575400722</v>
      </c>
    </row>
    <row r="265" spans="1:10" ht="11.25" customHeight="1" x14ac:dyDescent="0.2">
      <c r="A265" s="30">
        <v>44531</v>
      </c>
      <c r="B265" s="20">
        <v>0</v>
      </c>
      <c r="C265" s="20">
        <v>0</v>
      </c>
      <c r="D265" s="20">
        <v>13580.530002000001</v>
      </c>
      <c r="E265" s="20">
        <v>16370.041725715619</v>
      </c>
      <c r="F265" s="20">
        <v>8434.9450920000018</v>
      </c>
      <c r="G265" s="20">
        <v>8709.9869675821337</v>
      </c>
      <c r="H265" s="21">
        <v>0.20540521786003985</v>
      </c>
      <c r="I265" s="21">
        <v>3.2607429281666711E-2</v>
      </c>
      <c r="J265" s="21">
        <v>0.13919997575400744</v>
      </c>
    </row>
    <row r="266" spans="1:10" ht="11.25" customHeight="1" x14ac:dyDescent="0.2">
      <c r="A266" s="30">
        <v>44562</v>
      </c>
      <c r="B266" s="20">
        <v>0</v>
      </c>
      <c r="C266" s="20">
        <v>0</v>
      </c>
      <c r="D266" s="20">
        <v>14090.12241</v>
      </c>
      <c r="E266" s="20">
        <v>16984.307073300679</v>
      </c>
      <c r="F266" s="20">
        <v>8751.45586</v>
      </c>
      <c r="G266" s="20">
        <v>9036.8183380665796</v>
      </c>
      <c r="H266" s="21">
        <v>0.20540521786003985</v>
      </c>
      <c r="I266" s="21">
        <v>3.2607429281666933E-2</v>
      </c>
      <c r="J266" s="21">
        <v>0.13919997575400722</v>
      </c>
    </row>
    <row r="267" spans="1:10" ht="11.25" customHeight="1" x14ac:dyDescent="0.2">
      <c r="A267" s="30">
        <v>44593</v>
      </c>
      <c r="B267" s="20">
        <v>0</v>
      </c>
      <c r="C267" s="20">
        <v>0</v>
      </c>
      <c r="D267" s="20">
        <v>14415.443250000002</v>
      </c>
      <c r="E267" s="20">
        <v>17376.450511315292</v>
      </c>
      <c r="F267" s="20">
        <v>8953.5145000000011</v>
      </c>
      <c r="G267" s="20">
        <v>9245.4655908811328</v>
      </c>
      <c r="H267" s="21">
        <v>0.20540521786003985</v>
      </c>
      <c r="I267" s="21">
        <v>3.2607429281667155E-2</v>
      </c>
      <c r="J267" s="21">
        <v>0.13919997575400744</v>
      </c>
    </row>
    <row r="268" spans="1:10" ht="11.25" customHeight="1" x14ac:dyDescent="0.2">
      <c r="A268" s="30">
        <v>44621</v>
      </c>
      <c r="B268" s="20">
        <v>0</v>
      </c>
      <c r="C268" s="20">
        <v>0</v>
      </c>
      <c r="D268" s="20">
        <v>14430.24804</v>
      </c>
      <c r="E268" s="20">
        <v>17394.296282430612</v>
      </c>
      <c r="F268" s="20">
        <v>8962.7098399999995</v>
      </c>
      <c r="G268" s="20">
        <v>9254.9607672799029</v>
      </c>
      <c r="H268" s="21">
        <v>0.20540521786003985</v>
      </c>
      <c r="I268" s="21">
        <v>3.2607429281667377E-2</v>
      </c>
      <c r="J268" s="21">
        <v>0.13919997575400722</v>
      </c>
    </row>
    <row r="269" spans="1:10" ht="11.25" customHeight="1" x14ac:dyDescent="0.2">
      <c r="A269" s="30">
        <v>44652</v>
      </c>
      <c r="B269" s="20">
        <v>0</v>
      </c>
      <c r="C269" s="20">
        <v>0</v>
      </c>
      <c r="D269" s="20">
        <v>14050.783968000002</v>
      </c>
      <c r="E269" s="20">
        <v>16936.888310051396</v>
      </c>
      <c r="F269" s="20">
        <v>8727.0225279999995</v>
      </c>
      <c r="G269" s="20">
        <v>9011.5882979212765</v>
      </c>
      <c r="H269" s="21">
        <v>0.20540521786003985</v>
      </c>
      <c r="I269" s="21">
        <v>3.2607429281667155E-2</v>
      </c>
      <c r="J269" s="21">
        <v>0.13919997575400744</v>
      </c>
    </row>
    <row r="270" spans="1:10" ht="11.25" customHeight="1" x14ac:dyDescent="0.2">
      <c r="A270" s="30">
        <v>44682</v>
      </c>
      <c r="B270" s="20">
        <v>0</v>
      </c>
      <c r="C270" s="20">
        <v>0</v>
      </c>
      <c r="D270" s="20">
        <v>17474.65122</v>
      </c>
      <c r="E270" s="20">
        <v>21064.03576087231</v>
      </c>
      <c r="F270" s="20">
        <v>10853.606119999999</v>
      </c>
      <c r="G270" s="20">
        <v>11207.514314008968</v>
      </c>
      <c r="H270" s="21">
        <v>0.20540521786003985</v>
      </c>
      <c r="I270" s="21">
        <v>3.2607429281667155E-2</v>
      </c>
      <c r="J270" s="21">
        <v>0.13919997575400744</v>
      </c>
    </row>
    <row r="271" spans="1:10" ht="11.25" customHeight="1" x14ac:dyDescent="0.2">
      <c r="A271" s="30">
        <v>44713</v>
      </c>
      <c r="B271" s="20">
        <v>0</v>
      </c>
      <c r="C271" s="20">
        <v>0</v>
      </c>
      <c r="D271" s="20">
        <v>17004.358800000002</v>
      </c>
      <c r="E271" s="20">
        <v>20497.142823884285</v>
      </c>
      <c r="F271" s="20">
        <v>10561.504800000001</v>
      </c>
      <c r="G271" s="20">
        <v>10905.888320873986</v>
      </c>
      <c r="H271" s="21">
        <v>0.20540521786003962</v>
      </c>
      <c r="I271" s="21">
        <v>3.2607429281666933E-2</v>
      </c>
      <c r="J271" s="21">
        <v>0.139199975754007</v>
      </c>
    </row>
    <row r="272" spans="1:10" ht="11.25" customHeight="1" x14ac:dyDescent="0.2">
      <c r="A272" s="26" t="s">
        <v>31</v>
      </c>
      <c r="B272" s="20">
        <v>0</v>
      </c>
      <c r="C272" s="20">
        <v>0</v>
      </c>
      <c r="D272" s="20">
        <v>252626.31604000001</v>
      </c>
      <c r="E272" s="20">
        <v>304522.35894569737</v>
      </c>
      <c r="F272" s="20">
        <v>156910.374453</v>
      </c>
      <c r="G272" s="20">
        <v>162026.8183915361</v>
      </c>
      <c r="H272" s="21">
        <v>0.20542611600875449</v>
      </c>
      <c r="I272" s="21">
        <v>3.2607429281667155E-2</v>
      </c>
      <c r="J272" s="21">
        <v>0.13921215892915928</v>
      </c>
    </row>
    <row r="273" spans="1:10" ht="11.25" customHeight="1" x14ac:dyDescent="0.2">
      <c r="A273" s="27" t="s">
        <v>25</v>
      </c>
      <c r="B273" s="20">
        <v>0</v>
      </c>
      <c r="C273" s="20">
        <v>0</v>
      </c>
      <c r="D273" s="20">
        <v>252626.31604000001</v>
      </c>
      <c r="E273" s="20">
        <v>304522.35894569737</v>
      </c>
      <c r="F273" s="20">
        <v>156910.374453</v>
      </c>
      <c r="G273" s="20">
        <v>162026.8183915361</v>
      </c>
      <c r="H273" s="21">
        <v>0.20542611600875449</v>
      </c>
      <c r="I273" s="21">
        <v>3.2607429281667155E-2</v>
      </c>
      <c r="J273" s="21">
        <v>0.13921215892915928</v>
      </c>
    </row>
    <row r="274" spans="1:10" ht="11.25" customHeight="1" x14ac:dyDescent="0.2">
      <c r="A274" s="28" t="s">
        <v>25</v>
      </c>
      <c r="B274" s="20">
        <v>0</v>
      </c>
      <c r="C274" s="20">
        <v>0</v>
      </c>
      <c r="D274" s="20">
        <v>252626.31604000001</v>
      </c>
      <c r="E274" s="20">
        <v>304522.35894569737</v>
      </c>
      <c r="F274" s="20">
        <v>156910.374453</v>
      </c>
      <c r="G274" s="20">
        <v>162026.8183915361</v>
      </c>
      <c r="H274" s="21">
        <v>0.20542611600875449</v>
      </c>
      <c r="I274" s="21">
        <v>3.2607429281667155E-2</v>
      </c>
      <c r="J274" s="21">
        <v>0.13921215892915928</v>
      </c>
    </row>
    <row r="275" spans="1:10" ht="11.25" customHeight="1" x14ac:dyDescent="0.2">
      <c r="A275" s="29" t="s">
        <v>25</v>
      </c>
      <c r="B275" s="20">
        <v>0</v>
      </c>
      <c r="C275" s="20">
        <v>0</v>
      </c>
      <c r="D275" s="20">
        <v>252626.31604000001</v>
      </c>
      <c r="E275" s="20">
        <v>304522.35894569737</v>
      </c>
      <c r="F275" s="20">
        <v>156910.374453</v>
      </c>
      <c r="G275" s="20">
        <v>162026.8183915361</v>
      </c>
      <c r="H275" s="21">
        <v>0.20542611600875449</v>
      </c>
      <c r="I275" s="21">
        <v>3.2607429281667155E-2</v>
      </c>
      <c r="J275" s="21">
        <v>0.13921215892915928</v>
      </c>
    </row>
    <row r="276" spans="1:10" ht="11.25" customHeight="1" x14ac:dyDescent="0.2">
      <c r="A276" s="30">
        <v>44378</v>
      </c>
      <c r="B276" s="20">
        <v>0</v>
      </c>
      <c r="C276" s="20">
        <v>0</v>
      </c>
      <c r="D276" s="20">
        <v>15252.033999999998</v>
      </c>
      <c r="E276" s="20">
        <v>18385.20010585347</v>
      </c>
      <c r="F276" s="20">
        <v>9473.2900499999996</v>
      </c>
      <c r="G276" s="20">
        <v>9782.1896853700964</v>
      </c>
      <c r="H276" s="21">
        <v>0.20542611600875471</v>
      </c>
      <c r="I276" s="21">
        <v>3.2607429281667155E-2</v>
      </c>
      <c r="J276" s="21">
        <v>0.1392121589291595</v>
      </c>
    </row>
    <row r="277" spans="1:10" ht="11.25" customHeight="1" x14ac:dyDescent="0.2">
      <c r="A277" s="30">
        <v>44409</v>
      </c>
      <c r="B277" s="20">
        <v>0</v>
      </c>
      <c r="C277" s="20">
        <v>0</v>
      </c>
      <c r="D277" s="20">
        <v>17752.750400000001</v>
      </c>
      <c r="E277" s="20">
        <v>21399.628963144864</v>
      </c>
      <c r="F277" s="20">
        <v>11026.526279999998</v>
      </c>
      <c r="G277" s="20">
        <v>11386.072955897544</v>
      </c>
      <c r="H277" s="21">
        <v>0.20542611600875449</v>
      </c>
      <c r="I277" s="21">
        <v>3.2607429281667155E-2</v>
      </c>
      <c r="J277" s="21">
        <v>0.13921215892915928</v>
      </c>
    </row>
    <row r="278" spans="1:10" ht="11.25" customHeight="1" x14ac:dyDescent="0.2">
      <c r="A278" s="30">
        <v>44440</v>
      </c>
      <c r="B278" s="20">
        <v>0</v>
      </c>
      <c r="C278" s="20">
        <v>0</v>
      </c>
      <c r="D278" s="20">
        <v>16920.139599999999</v>
      </c>
      <c r="E278" s="20">
        <v>20395.978160353923</v>
      </c>
      <c r="F278" s="20">
        <v>10509.37797</v>
      </c>
      <c r="G278" s="20">
        <v>10852.061768951085</v>
      </c>
      <c r="H278" s="21">
        <v>0.20542611600875471</v>
      </c>
      <c r="I278" s="21">
        <v>3.2607429281667155E-2</v>
      </c>
      <c r="J278" s="21">
        <v>0.1392121589291595</v>
      </c>
    </row>
    <row r="279" spans="1:10" ht="11.25" customHeight="1" x14ac:dyDescent="0.2">
      <c r="A279" s="30">
        <v>44470</v>
      </c>
      <c r="B279" s="20">
        <v>0</v>
      </c>
      <c r="C279" s="20">
        <v>0</v>
      </c>
      <c r="D279" s="20">
        <v>18143.243999999999</v>
      </c>
      <c r="E279" s="20">
        <v>21870.340146719143</v>
      </c>
      <c r="F279" s="20">
        <v>11269.068299999999</v>
      </c>
      <c r="G279" s="20">
        <v>11636.523647662527</v>
      </c>
      <c r="H279" s="21">
        <v>0.20542611600875471</v>
      </c>
      <c r="I279" s="21">
        <v>3.2607429281667155E-2</v>
      </c>
      <c r="J279" s="21">
        <v>0.1392121589291595</v>
      </c>
    </row>
    <row r="280" spans="1:10" ht="11.25" customHeight="1" x14ac:dyDescent="0.2">
      <c r="A280" s="30">
        <v>44501</v>
      </c>
      <c r="B280" s="20">
        <v>0</v>
      </c>
      <c r="C280" s="20">
        <v>0</v>
      </c>
      <c r="D280" s="20">
        <v>20370.268800000002</v>
      </c>
      <c r="E280" s="20">
        <v>24554.854001638319</v>
      </c>
      <c r="F280" s="20">
        <v>12652.310160000001</v>
      </c>
      <c r="G280" s="20">
        <v>13064.86946879192</v>
      </c>
      <c r="H280" s="21">
        <v>0.20542611600875471</v>
      </c>
      <c r="I280" s="21">
        <v>3.2607429281667155E-2</v>
      </c>
      <c r="J280" s="21">
        <v>0.1392121589291595</v>
      </c>
    </row>
    <row r="281" spans="1:10" ht="11.25" customHeight="1" x14ac:dyDescent="0.2">
      <c r="A281" s="30">
        <v>44531</v>
      </c>
      <c r="B281" s="20">
        <v>0</v>
      </c>
      <c r="C281" s="20">
        <v>0</v>
      </c>
      <c r="D281" s="20">
        <v>21906.287199999999</v>
      </c>
      <c r="E281" s="20">
        <v>26406.410695668299</v>
      </c>
      <c r="F281" s="20">
        <v>13606.356539999999</v>
      </c>
      <c r="G281" s="20">
        <v>14050.024848659199</v>
      </c>
      <c r="H281" s="21">
        <v>0.20542611600875471</v>
      </c>
      <c r="I281" s="21">
        <v>3.2607429281667155E-2</v>
      </c>
      <c r="J281" s="21">
        <v>0.1392121589291595</v>
      </c>
    </row>
    <row r="282" spans="1:10" ht="11.25" customHeight="1" x14ac:dyDescent="0.2">
      <c r="A282" s="30">
        <v>44562</v>
      </c>
      <c r="B282" s="20">
        <v>0</v>
      </c>
      <c r="C282" s="20">
        <v>0</v>
      </c>
      <c r="D282" s="20">
        <v>24958.568600000002</v>
      </c>
      <c r="E282" s="20">
        <v>30085.710408636067</v>
      </c>
      <c r="F282" s="20">
        <v>15502.178895000001</v>
      </c>
      <c r="G282" s="20">
        <v>16007.665097030465</v>
      </c>
      <c r="H282" s="21">
        <v>0.20542611600875471</v>
      </c>
      <c r="I282" s="21">
        <v>3.2607429281667155E-2</v>
      </c>
      <c r="J282" s="21">
        <v>0.1392121589291595</v>
      </c>
    </row>
    <row r="283" spans="1:10" ht="11.25" customHeight="1" x14ac:dyDescent="0.2">
      <c r="A283" s="30">
        <v>44593</v>
      </c>
      <c r="B283" s="20">
        <v>0</v>
      </c>
      <c r="C283" s="20">
        <v>0</v>
      </c>
      <c r="D283" s="20">
        <v>27820.2176</v>
      </c>
      <c r="E283" s="20">
        <v>33535.216848086398</v>
      </c>
      <c r="F283" s="20">
        <v>17279.596320000001</v>
      </c>
      <c r="G283" s="20">
        <v>17843.039535020154</v>
      </c>
      <c r="H283" s="21">
        <v>0.20542611600875471</v>
      </c>
      <c r="I283" s="21">
        <v>3.2607429281666933E-2</v>
      </c>
      <c r="J283" s="21">
        <v>0.13921215892915928</v>
      </c>
    </row>
    <row r="284" spans="1:10" ht="11.25" customHeight="1" x14ac:dyDescent="0.2">
      <c r="A284" s="30">
        <v>44621</v>
      </c>
      <c r="B284" s="20">
        <v>0</v>
      </c>
      <c r="C284" s="20">
        <v>0</v>
      </c>
      <c r="D284" s="20">
        <v>25270.040599999997</v>
      </c>
      <c r="E284" s="20">
        <v>30461.166891841542</v>
      </c>
      <c r="F284" s="20">
        <v>15695.639295000001</v>
      </c>
      <c r="G284" s="20">
        <v>16207.43374334227</v>
      </c>
      <c r="H284" s="21">
        <v>0.20542611600875493</v>
      </c>
      <c r="I284" s="21">
        <v>3.2607429281667155E-2</v>
      </c>
      <c r="J284" s="21">
        <v>0.13921215892915972</v>
      </c>
    </row>
    <row r="285" spans="1:10" ht="11.25" customHeight="1" x14ac:dyDescent="0.2">
      <c r="A285" s="30">
        <v>44652</v>
      </c>
      <c r="B285" s="20">
        <v>0</v>
      </c>
      <c r="C285" s="20">
        <v>0</v>
      </c>
      <c r="D285" s="20">
        <v>18888.758000000002</v>
      </c>
      <c r="E285" s="20">
        <v>22769.002192169297</v>
      </c>
      <c r="F285" s="20">
        <v>11732.119350000001</v>
      </c>
      <c r="G285" s="20">
        <v>12114.673602029205</v>
      </c>
      <c r="H285" s="21">
        <v>0.20542611600875471</v>
      </c>
      <c r="I285" s="21">
        <v>3.2607429281667155E-2</v>
      </c>
      <c r="J285" s="21">
        <v>0.13921215892915928</v>
      </c>
    </row>
    <row r="286" spans="1:10" ht="11.25" customHeight="1" x14ac:dyDescent="0.2">
      <c r="A286" s="30">
        <v>44682</v>
      </c>
      <c r="B286" s="20">
        <v>0</v>
      </c>
      <c r="C286" s="20">
        <v>0</v>
      </c>
      <c r="D286" s="20">
        <v>22414.534519999997</v>
      </c>
      <c r="E286" s="20">
        <v>27019.065288587757</v>
      </c>
      <c r="F286" s="20">
        <v>13922.037338999999</v>
      </c>
      <c r="G286" s="20">
        <v>14375.999186988172</v>
      </c>
      <c r="H286" s="21">
        <v>0.20542611600875493</v>
      </c>
      <c r="I286" s="21">
        <v>3.2607429281667377E-2</v>
      </c>
      <c r="J286" s="21">
        <v>0.1392121589291595</v>
      </c>
    </row>
    <row r="287" spans="1:10" ht="11.25" customHeight="1" x14ac:dyDescent="0.2">
      <c r="A287" s="30">
        <v>44713</v>
      </c>
      <c r="B287" s="20">
        <v>0</v>
      </c>
      <c r="C287" s="20">
        <v>0</v>
      </c>
      <c r="D287" s="20">
        <v>22929.472719999998</v>
      </c>
      <c r="E287" s="20">
        <v>27639.785242998296</v>
      </c>
      <c r="F287" s="20">
        <v>14241.873953999999</v>
      </c>
      <c r="G287" s="20">
        <v>14706.264851793472</v>
      </c>
      <c r="H287" s="21">
        <v>0.20542611600875471</v>
      </c>
      <c r="I287" s="21">
        <v>3.2607429281667155E-2</v>
      </c>
      <c r="J287" s="21">
        <v>0.13921215892915928</v>
      </c>
    </row>
    <row r="288" spans="1:10" ht="11.25" customHeight="1" x14ac:dyDescent="0.2">
      <c r="A288" s="26" t="s">
        <v>32</v>
      </c>
      <c r="B288" s="20">
        <v>0</v>
      </c>
      <c r="C288" s="20">
        <v>0</v>
      </c>
      <c r="D288" s="20">
        <v>106203.4292</v>
      </c>
      <c r="E288" s="20">
        <v>128022.16278682288</v>
      </c>
      <c r="F288" s="20">
        <v>65964.512900000002</v>
      </c>
      <c r="G288" s="20">
        <v>68116.586879753988</v>
      </c>
      <c r="H288" s="21">
        <v>0.20544283504946259</v>
      </c>
      <c r="I288" s="21">
        <v>3.2624723281386991E-2</v>
      </c>
      <c r="J288" s="21">
        <v>0.13922921581216285</v>
      </c>
    </row>
    <row r="289" spans="1:10" ht="11.25" customHeight="1" x14ac:dyDescent="0.2">
      <c r="A289" s="27" t="s">
        <v>25</v>
      </c>
      <c r="B289" s="20">
        <v>0</v>
      </c>
      <c r="C289" s="20">
        <v>0</v>
      </c>
      <c r="D289" s="20">
        <v>106203.4292</v>
      </c>
      <c r="E289" s="20">
        <v>128022.16278682288</v>
      </c>
      <c r="F289" s="20">
        <v>65964.512900000002</v>
      </c>
      <c r="G289" s="20">
        <v>68116.586879753988</v>
      </c>
      <c r="H289" s="21">
        <v>0.20544283504946259</v>
      </c>
      <c r="I289" s="21">
        <v>3.2624723281386991E-2</v>
      </c>
      <c r="J289" s="21">
        <v>0.13922921581216285</v>
      </c>
    </row>
    <row r="290" spans="1:10" ht="11.25" customHeight="1" x14ac:dyDescent="0.2">
      <c r="A290" s="28" t="s">
        <v>25</v>
      </c>
      <c r="B290" s="20">
        <v>0</v>
      </c>
      <c r="C290" s="20">
        <v>0</v>
      </c>
      <c r="D290" s="20">
        <v>106203.4292</v>
      </c>
      <c r="E290" s="20">
        <v>128022.16278682288</v>
      </c>
      <c r="F290" s="20">
        <v>65964.512900000002</v>
      </c>
      <c r="G290" s="20">
        <v>68116.586879753988</v>
      </c>
      <c r="H290" s="21">
        <v>0.20544283504946259</v>
      </c>
      <c r="I290" s="21">
        <v>3.2624723281386991E-2</v>
      </c>
      <c r="J290" s="21">
        <v>0.13922921581216285</v>
      </c>
    </row>
    <row r="291" spans="1:10" ht="11.25" customHeight="1" x14ac:dyDescent="0.2">
      <c r="A291" s="29" t="s">
        <v>25</v>
      </c>
      <c r="B291" s="20">
        <v>0</v>
      </c>
      <c r="C291" s="20">
        <v>0</v>
      </c>
      <c r="D291" s="20">
        <v>106203.4292</v>
      </c>
      <c r="E291" s="20">
        <v>128022.16278682288</v>
      </c>
      <c r="F291" s="20">
        <v>65964.512900000002</v>
      </c>
      <c r="G291" s="20">
        <v>68116.586879753988</v>
      </c>
      <c r="H291" s="21">
        <v>0.20544283504946259</v>
      </c>
      <c r="I291" s="21">
        <v>3.2624723281386991E-2</v>
      </c>
      <c r="J291" s="21">
        <v>0.13922921581216285</v>
      </c>
    </row>
    <row r="292" spans="1:10" ht="11.25" customHeight="1" x14ac:dyDescent="0.2">
      <c r="A292" s="30">
        <v>44378</v>
      </c>
      <c r="B292" s="20">
        <v>0</v>
      </c>
      <c r="C292" s="20">
        <v>0</v>
      </c>
      <c r="D292" s="20">
        <v>3930.8374800000006</v>
      </c>
      <c r="E292" s="20">
        <v>4738.3998760098848</v>
      </c>
      <c r="F292" s="20">
        <v>2441.5010100000004</v>
      </c>
      <c r="G292" s="20">
        <v>2521.1543048424774</v>
      </c>
      <c r="H292" s="21">
        <v>0.20544283504946237</v>
      </c>
      <c r="I292" s="21">
        <v>3.2624723281386991E-2</v>
      </c>
      <c r="J292" s="21">
        <v>0.13922921581216263</v>
      </c>
    </row>
    <row r="293" spans="1:10" ht="11.25" customHeight="1" x14ac:dyDescent="0.2">
      <c r="A293" s="30">
        <v>44409</v>
      </c>
      <c r="B293" s="20">
        <v>0</v>
      </c>
      <c r="C293" s="20">
        <v>0</v>
      </c>
      <c r="D293" s="20">
        <v>5297.8345200000003</v>
      </c>
      <c r="E293" s="20">
        <v>6386.2366634117097</v>
      </c>
      <c r="F293" s="20">
        <v>3290.5629900000004</v>
      </c>
      <c r="G293" s="20">
        <v>3397.9166969887242</v>
      </c>
      <c r="H293" s="21">
        <v>0.20544283504946259</v>
      </c>
      <c r="I293" s="21">
        <v>3.2624723281387213E-2</v>
      </c>
      <c r="J293" s="21">
        <v>0.13922921581216308</v>
      </c>
    </row>
    <row r="294" spans="1:10" ht="11.25" customHeight="1" x14ac:dyDescent="0.2">
      <c r="A294" s="30">
        <v>44440</v>
      </c>
      <c r="B294" s="20">
        <v>0</v>
      </c>
      <c r="C294" s="20">
        <v>0</v>
      </c>
      <c r="D294" s="20">
        <v>4568.1926400000002</v>
      </c>
      <c r="E294" s="20">
        <v>5506.6950870136889</v>
      </c>
      <c r="F294" s="20">
        <v>2837.3716800000002</v>
      </c>
      <c r="G294" s="20">
        <v>2929.9401459064443</v>
      </c>
      <c r="H294" s="21">
        <v>0.20544283504946259</v>
      </c>
      <c r="I294" s="21">
        <v>3.2624723281386991E-2</v>
      </c>
      <c r="J294" s="21">
        <v>0.13922921581216263</v>
      </c>
    </row>
    <row r="295" spans="1:10" ht="11.25" customHeight="1" x14ac:dyDescent="0.2">
      <c r="A295" s="30">
        <v>44470</v>
      </c>
      <c r="B295" s="20">
        <v>0</v>
      </c>
      <c r="C295" s="20">
        <v>0</v>
      </c>
      <c r="D295" s="20">
        <v>5126.39912</v>
      </c>
      <c r="E295" s="20">
        <v>6179.5810888078704</v>
      </c>
      <c r="F295" s="20">
        <v>3184.08194</v>
      </c>
      <c r="G295" s="20">
        <v>3287.9617321977621</v>
      </c>
      <c r="H295" s="21">
        <v>0.20544283504946259</v>
      </c>
      <c r="I295" s="21">
        <v>3.2624723281386991E-2</v>
      </c>
      <c r="J295" s="21">
        <v>0.13922921581216285</v>
      </c>
    </row>
    <row r="296" spans="1:10" ht="11.25" customHeight="1" x14ac:dyDescent="0.2">
      <c r="A296" s="30">
        <v>44501</v>
      </c>
      <c r="B296" s="20">
        <v>0</v>
      </c>
      <c r="C296" s="20">
        <v>0</v>
      </c>
      <c r="D296" s="20">
        <v>7053.2048399999994</v>
      </c>
      <c r="E296" s="20">
        <v>8502.2352385141912</v>
      </c>
      <c r="F296" s="20">
        <v>4380.84933</v>
      </c>
      <c r="G296" s="20">
        <v>4523.7733271286997</v>
      </c>
      <c r="H296" s="21">
        <v>0.20544283504946259</v>
      </c>
      <c r="I296" s="21">
        <v>3.2624723281386991E-2</v>
      </c>
      <c r="J296" s="21">
        <v>0.13922921581216285</v>
      </c>
    </row>
    <row r="297" spans="1:10" ht="11.25" customHeight="1" x14ac:dyDescent="0.2">
      <c r="A297" s="30">
        <v>44531</v>
      </c>
      <c r="B297" s="20">
        <v>0</v>
      </c>
      <c r="C297" s="20">
        <v>0</v>
      </c>
      <c r="D297" s="20">
        <v>8222.8108400000001</v>
      </c>
      <c r="E297" s="20">
        <v>9912.1284110450542</v>
      </c>
      <c r="F297" s="20">
        <v>5107.3088299999999</v>
      </c>
      <c r="G297" s="20">
        <v>5273.9333672913353</v>
      </c>
      <c r="H297" s="21">
        <v>0.20544283504946281</v>
      </c>
      <c r="I297" s="21">
        <v>3.2624723281387213E-2</v>
      </c>
      <c r="J297" s="21">
        <v>0.13922921581216308</v>
      </c>
    </row>
    <row r="298" spans="1:10" ht="11.25" customHeight="1" x14ac:dyDescent="0.2">
      <c r="A298" s="30">
        <v>44562</v>
      </c>
      <c r="B298" s="20">
        <v>0</v>
      </c>
      <c r="C298" s="20">
        <v>0</v>
      </c>
      <c r="D298" s="20">
        <v>15170.270479999999</v>
      </c>
      <c r="E298" s="20">
        <v>18286.89385587837</v>
      </c>
      <c r="F298" s="20">
        <v>9422.4782599999999</v>
      </c>
      <c r="G298" s="20">
        <v>9729.884005857386</v>
      </c>
      <c r="H298" s="21">
        <v>0.20544283504946259</v>
      </c>
      <c r="I298" s="21">
        <v>3.2624723281387213E-2</v>
      </c>
      <c r="J298" s="21">
        <v>0.13922921581216285</v>
      </c>
    </row>
    <row r="299" spans="1:10" ht="11.25" customHeight="1" x14ac:dyDescent="0.2">
      <c r="A299" s="30">
        <v>44593</v>
      </c>
      <c r="B299" s="20">
        <v>0</v>
      </c>
      <c r="C299" s="20">
        <v>0</v>
      </c>
      <c r="D299" s="20">
        <v>22349.72868</v>
      </c>
      <c r="E299" s="20">
        <v>26941.320302605483</v>
      </c>
      <c r="F299" s="20">
        <v>13881.74541</v>
      </c>
      <c r="G299" s="20">
        <v>14334.633512663915</v>
      </c>
      <c r="H299" s="21">
        <v>0.20544283504946259</v>
      </c>
      <c r="I299" s="21">
        <v>3.2624723281387213E-2</v>
      </c>
      <c r="J299" s="21">
        <v>0.13922921581216285</v>
      </c>
    </row>
    <row r="300" spans="1:10" ht="11.25" customHeight="1" x14ac:dyDescent="0.2">
      <c r="A300" s="30">
        <v>44621</v>
      </c>
      <c r="B300" s="20">
        <v>0</v>
      </c>
      <c r="C300" s="20">
        <v>0</v>
      </c>
      <c r="D300" s="20">
        <v>13776.036039999999</v>
      </c>
      <c r="E300" s="20">
        <v>16606.223939801173</v>
      </c>
      <c r="F300" s="20">
        <v>8556.4987300000012</v>
      </c>
      <c r="G300" s="20">
        <v>8835.6521333237888</v>
      </c>
      <c r="H300" s="21">
        <v>0.20544283504946281</v>
      </c>
      <c r="I300" s="21">
        <v>3.2624723281386769E-2</v>
      </c>
      <c r="J300" s="21">
        <v>0.13922921581216308</v>
      </c>
    </row>
    <row r="301" spans="1:10" ht="11.25" customHeight="1" x14ac:dyDescent="0.2">
      <c r="A301" s="30">
        <v>44652</v>
      </c>
      <c r="B301" s="20">
        <v>0</v>
      </c>
      <c r="C301" s="20">
        <v>0</v>
      </c>
      <c r="D301" s="20">
        <v>5524.70604</v>
      </c>
      <c r="E301" s="20">
        <v>6659.7173116724898</v>
      </c>
      <c r="F301" s="20">
        <v>3431.4762299999998</v>
      </c>
      <c r="G301" s="20">
        <v>3543.4271924504073</v>
      </c>
      <c r="H301" s="21">
        <v>0.20544283504946259</v>
      </c>
      <c r="I301" s="21">
        <v>3.2624723281387213E-2</v>
      </c>
      <c r="J301" s="21">
        <v>0.13922921581216308</v>
      </c>
    </row>
    <row r="302" spans="1:10" ht="11.25" customHeight="1" x14ac:dyDescent="0.2">
      <c r="A302" s="30">
        <v>44682</v>
      </c>
      <c r="B302" s="20">
        <v>0</v>
      </c>
      <c r="C302" s="20">
        <v>0</v>
      </c>
      <c r="D302" s="20">
        <v>7125.3038400000005</v>
      </c>
      <c r="E302" s="20">
        <v>8589.1464614784236</v>
      </c>
      <c r="F302" s="20">
        <v>4425.6310800000001</v>
      </c>
      <c r="G302" s="20">
        <v>4570.0160693305061</v>
      </c>
      <c r="H302" s="21">
        <v>0.20544283504946259</v>
      </c>
      <c r="I302" s="21">
        <v>3.2624723281386991E-2</v>
      </c>
      <c r="J302" s="21">
        <v>0.13922921581216308</v>
      </c>
    </row>
    <row r="303" spans="1:10" ht="11.25" customHeight="1" x14ac:dyDescent="0.2">
      <c r="A303" s="30">
        <v>44713</v>
      </c>
      <c r="B303" s="20">
        <v>0</v>
      </c>
      <c r="C303" s="20">
        <v>0</v>
      </c>
      <c r="D303" s="20">
        <v>8058.1046799999995</v>
      </c>
      <c r="E303" s="20">
        <v>9713.5845505845427</v>
      </c>
      <c r="F303" s="20">
        <v>5005.0074100000002</v>
      </c>
      <c r="G303" s="20">
        <v>5168.2943917725415</v>
      </c>
      <c r="H303" s="21">
        <v>0.20544283504946259</v>
      </c>
      <c r="I303" s="21">
        <v>3.2624723281386991E-2</v>
      </c>
      <c r="J303" s="21">
        <v>0.13922921581216308</v>
      </c>
    </row>
    <row r="304" spans="1:10" ht="11.25" customHeight="1" x14ac:dyDescent="0.2">
      <c r="A304" s="23" t="s">
        <v>42</v>
      </c>
      <c r="B304" s="20">
        <v>0</v>
      </c>
      <c r="C304" s="20">
        <v>0</v>
      </c>
      <c r="D304" s="20">
        <v>6672341.7710740007</v>
      </c>
      <c r="E304" s="20">
        <v>8879027.5974452458</v>
      </c>
      <c r="F304" s="20">
        <v>3266836.3144799992</v>
      </c>
      <c r="G304" s="20">
        <v>3603347.8345978647</v>
      </c>
      <c r="H304" s="21">
        <v>0.33072134223365013</v>
      </c>
      <c r="I304" s="21">
        <v>0.10300838111364952</v>
      </c>
      <c r="J304" s="21">
        <v>0.25587602159835465</v>
      </c>
    </row>
    <row r="305" spans="1:10" ht="11.25" customHeight="1" x14ac:dyDescent="0.2">
      <c r="A305" s="24" t="s">
        <v>33</v>
      </c>
      <c r="B305" s="20">
        <v>0</v>
      </c>
      <c r="C305" s="20">
        <v>0</v>
      </c>
      <c r="D305" s="20">
        <v>1020.36937</v>
      </c>
      <c r="E305" s="20">
        <v>1476.9913304239976</v>
      </c>
      <c r="F305" s="20">
        <v>548.10654000000011</v>
      </c>
      <c r="G305" s="20">
        <v>604.88682167303409</v>
      </c>
      <c r="H305" s="21">
        <v>0.44750653425043296</v>
      </c>
      <c r="I305" s="21">
        <v>0.10359351244565329</v>
      </c>
      <c r="J305" s="21">
        <v>0.32732555139914865</v>
      </c>
    </row>
    <row r="306" spans="1:10" ht="11.25" customHeight="1" x14ac:dyDescent="0.2">
      <c r="A306" s="25" t="s">
        <v>43</v>
      </c>
      <c r="B306" s="20">
        <v>0</v>
      </c>
      <c r="C306" s="20">
        <v>0</v>
      </c>
      <c r="D306" s="20">
        <v>1020.36937</v>
      </c>
      <c r="E306" s="20">
        <v>1476.9913304239976</v>
      </c>
      <c r="F306" s="20">
        <v>548.10654000000011</v>
      </c>
      <c r="G306" s="20">
        <v>604.88682167303409</v>
      </c>
      <c r="H306" s="21">
        <v>0.44750653425043296</v>
      </c>
      <c r="I306" s="21">
        <v>0.10359351244565329</v>
      </c>
      <c r="J306" s="21">
        <v>0.32732555139914865</v>
      </c>
    </row>
    <row r="307" spans="1:10" ht="11.25" customHeight="1" x14ac:dyDescent="0.2">
      <c r="A307" s="26" t="s">
        <v>25</v>
      </c>
      <c r="B307" s="20">
        <v>0</v>
      </c>
      <c r="C307" s="20">
        <v>0</v>
      </c>
      <c r="D307" s="20">
        <v>1020.36937</v>
      </c>
      <c r="E307" s="20">
        <v>1476.9913304239976</v>
      </c>
      <c r="F307" s="20">
        <v>548.10654000000011</v>
      </c>
      <c r="G307" s="20">
        <v>604.88682167303409</v>
      </c>
      <c r="H307" s="21">
        <v>0.44750653425043296</v>
      </c>
      <c r="I307" s="21">
        <v>0.10359351244565329</v>
      </c>
      <c r="J307" s="21">
        <v>0.32732555139914865</v>
      </c>
    </row>
    <row r="308" spans="1:10" ht="11.25" customHeight="1" x14ac:dyDescent="0.2">
      <c r="A308" s="27" t="s">
        <v>25</v>
      </c>
      <c r="B308" s="20">
        <v>0</v>
      </c>
      <c r="C308" s="20">
        <v>0</v>
      </c>
      <c r="D308" s="20">
        <v>1020.36937</v>
      </c>
      <c r="E308" s="20">
        <v>1476.9913304239976</v>
      </c>
      <c r="F308" s="20">
        <v>548.10654000000011</v>
      </c>
      <c r="G308" s="20">
        <v>604.88682167303409</v>
      </c>
      <c r="H308" s="21">
        <v>0.44750653425043296</v>
      </c>
      <c r="I308" s="21">
        <v>0.10359351244565329</v>
      </c>
      <c r="J308" s="21">
        <v>0.32732555139914865</v>
      </c>
    </row>
    <row r="309" spans="1:10" ht="11.25" customHeight="1" x14ac:dyDescent="0.2">
      <c r="A309" s="28" t="s">
        <v>25</v>
      </c>
      <c r="B309" s="20">
        <v>0</v>
      </c>
      <c r="C309" s="20">
        <v>0</v>
      </c>
      <c r="D309" s="20">
        <v>1020.36937</v>
      </c>
      <c r="E309" s="20">
        <v>1476.9913304239976</v>
      </c>
      <c r="F309" s="20">
        <v>548.10654000000011</v>
      </c>
      <c r="G309" s="20">
        <v>604.88682167303409</v>
      </c>
      <c r="H309" s="21">
        <v>0.44750653425043296</v>
      </c>
      <c r="I309" s="21">
        <v>0.10359351244565329</v>
      </c>
      <c r="J309" s="21">
        <v>0.32732555139914865</v>
      </c>
    </row>
    <row r="310" spans="1:10" ht="11.25" customHeight="1" x14ac:dyDescent="0.2">
      <c r="A310" s="29" t="s">
        <v>35</v>
      </c>
      <c r="B310" s="20">
        <v>0</v>
      </c>
      <c r="C310" s="20">
        <v>0</v>
      </c>
      <c r="D310" s="20">
        <v>608.59381000000008</v>
      </c>
      <c r="E310" s="20">
        <v>873.40408564522045</v>
      </c>
      <c r="F310" s="20">
        <v>417.39852000000008</v>
      </c>
      <c r="G310" s="20">
        <v>459.80569008599747</v>
      </c>
      <c r="H310" s="21">
        <v>0.43511825341309396</v>
      </c>
      <c r="I310" s="21">
        <v>0.1015987552758868</v>
      </c>
      <c r="J310" s="21">
        <v>0.29943444677721698</v>
      </c>
    </row>
    <row r="311" spans="1:10" ht="11.25" customHeight="1" x14ac:dyDescent="0.2">
      <c r="A311" s="30">
        <v>44409</v>
      </c>
      <c r="B311" s="20">
        <v>0</v>
      </c>
      <c r="C311" s="20">
        <v>0</v>
      </c>
      <c r="D311" s="20">
        <v>33.391010000000001</v>
      </c>
      <c r="E311" s="20">
        <v>47.920047950899161</v>
      </c>
      <c r="F311" s="20">
        <v>22.900920000000003</v>
      </c>
      <c r="G311" s="20">
        <v>25.227624966672671</v>
      </c>
      <c r="H311" s="21">
        <v>0.43511825341309418</v>
      </c>
      <c r="I311" s="21">
        <v>0.10159875527588702</v>
      </c>
      <c r="J311" s="21">
        <v>0.29943444677721698</v>
      </c>
    </row>
    <row r="312" spans="1:10" ht="11.25" customHeight="1" x14ac:dyDescent="0.2">
      <c r="A312" s="30">
        <v>44470</v>
      </c>
      <c r="B312" s="20">
        <v>0</v>
      </c>
      <c r="C312" s="20">
        <v>0</v>
      </c>
      <c r="D312" s="20">
        <v>108.45985</v>
      </c>
      <c r="E312" s="20">
        <v>155.65271049744618</v>
      </c>
      <c r="F312" s="20">
        <v>74.386200000000002</v>
      </c>
      <c r="G312" s="20">
        <v>81.943745329703205</v>
      </c>
      <c r="H312" s="21">
        <v>0.43511825341309418</v>
      </c>
      <c r="I312" s="21">
        <v>0.10159875527588724</v>
      </c>
      <c r="J312" s="21">
        <v>0.2994344467772172</v>
      </c>
    </row>
    <row r="313" spans="1:10" ht="11.25" customHeight="1" x14ac:dyDescent="0.2">
      <c r="A313" s="30">
        <v>44501</v>
      </c>
      <c r="B313" s="20">
        <v>0</v>
      </c>
      <c r="C313" s="20">
        <v>0</v>
      </c>
      <c r="D313" s="20">
        <v>64.344719999999995</v>
      </c>
      <c r="E313" s="20">
        <v>92.342282182754587</v>
      </c>
      <c r="F313" s="20">
        <v>44.130240000000001</v>
      </c>
      <c r="G313" s="20">
        <v>48.613817454026169</v>
      </c>
      <c r="H313" s="21">
        <v>0.43511825341309418</v>
      </c>
      <c r="I313" s="21">
        <v>0.10159875527588724</v>
      </c>
      <c r="J313" s="21">
        <v>0.2994344467772172</v>
      </c>
    </row>
    <row r="314" spans="1:10" ht="11.25" customHeight="1" x14ac:dyDescent="0.2">
      <c r="A314" s="30">
        <v>44531</v>
      </c>
      <c r="B314" s="20">
        <v>0</v>
      </c>
      <c r="C314" s="20">
        <v>0</v>
      </c>
      <c r="D314" s="20">
        <v>80.918360000000007</v>
      </c>
      <c r="E314" s="20">
        <v>116.12741547225198</v>
      </c>
      <c r="F314" s="20">
        <v>55.497120000000002</v>
      </c>
      <c r="G314" s="20">
        <v>61.135558313396544</v>
      </c>
      <c r="H314" s="21">
        <v>0.43511825341309396</v>
      </c>
      <c r="I314" s="21">
        <v>0.10159875527588702</v>
      </c>
      <c r="J314" s="21">
        <v>0.29943444677721698</v>
      </c>
    </row>
    <row r="315" spans="1:10" ht="11.25" customHeight="1" x14ac:dyDescent="0.2">
      <c r="A315" s="30">
        <v>44562</v>
      </c>
      <c r="B315" s="20">
        <v>0</v>
      </c>
      <c r="C315" s="20">
        <v>0</v>
      </c>
      <c r="D315" s="20">
        <v>67.269480000000001</v>
      </c>
      <c r="E315" s="20">
        <v>96.539658645607076</v>
      </c>
      <c r="F315" s="20">
        <v>46.136160000000004</v>
      </c>
      <c r="G315" s="20">
        <v>50.823536429209177</v>
      </c>
      <c r="H315" s="21">
        <v>0.43511825341309418</v>
      </c>
      <c r="I315" s="21">
        <v>0.10159875527588724</v>
      </c>
      <c r="J315" s="21">
        <v>0.29943444677721698</v>
      </c>
    </row>
    <row r="316" spans="1:10" ht="11.25" customHeight="1" x14ac:dyDescent="0.2">
      <c r="A316" s="30">
        <v>44593</v>
      </c>
      <c r="B316" s="20">
        <v>0</v>
      </c>
      <c r="C316" s="20">
        <v>0</v>
      </c>
      <c r="D316" s="20">
        <v>68.488129999999998</v>
      </c>
      <c r="E316" s="20">
        <v>98.288565505128943</v>
      </c>
      <c r="F316" s="20">
        <v>46.971960000000003</v>
      </c>
      <c r="G316" s="20">
        <v>51.744252668868768</v>
      </c>
      <c r="H316" s="21">
        <v>0.4351182534130944</v>
      </c>
      <c r="I316" s="21">
        <v>0.10159875527588724</v>
      </c>
      <c r="J316" s="21">
        <v>0.2994344467772172</v>
      </c>
    </row>
    <row r="317" spans="1:10" ht="11.25" customHeight="1" x14ac:dyDescent="0.2">
      <c r="A317" s="30">
        <v>44621</v>
      </c>
      <c r="B317" s="20">
        <v>0</v>
      </c>
      <c r="C317" s="20">
        <v>0</v>
      </c>
      <c r="D317" s="20">
        <v>58.982659999999996</v>
      </c>
      <c r="E317" s="20">
        <v>84.647092000858365</v>
      </c>
      <c r="F317" s="20">
        <v>40.452719999999999</v>
      </c>
      <c r="G317" s="20">
        <v>44.562665999523986</v>
      </c>
      <c r="H317" s="21">
        <v>0.43511825341309418</v>
      </c>
      <c r="I317" s="21">
        <v>0.10159875527588724</v>
      </c>
      <c r="J317" s="21">
        <v>0.2994344467772172</v>
      </c>
    </row>
    <row r="318" spans="1:10" ht="11.25" customHeight="1" x14ac:dyDescent="0.2">
      <c r="A318" s="30">
        <v>44652</v>
      </c>
      <c r="B318" s="20">
        <v>0</v>
      </c>
      <c r="C318" s="20">
        <v>0</v>
      </c>
      <c r="D318" s="20">
        <v>48.746000000000002</v>
      </c>
      <c r="E318" s="20">
        <v>69.956274380874689</v>
      </c>
      <c r="F318" s="20">
        <v>33.432000000000002</v>
      </c>
      <c r="G318" s="20">
        <v>36.828649586383463</v>
      </c>
      <c r="H318" s="21">
        <v>0.43511825341309418</v>
      </c>
      <c r="I318" s="21">
        <v>0.10159875527588724</v>
      </c>
      <c r="J318" s="21">
        <v>0.2994344467772172</v>
      </c>
    </row>
    <row r="319" spans="1:10" ht="11.25" customHeight="1" x14ac:dyDescent="0.2">
      <c r="A319" s="30">
        <v>44682</v>
      </c>
      <c r="B319" s="20">
        <v>0</v>
      </c>
      <c r="C319" s="20">
        <v>0</v>
      </c>
      <c r="D319" s="20">
        <v>38.9968</v>
      </c>
      <c r="E319" s="20">
        <v>55.965019504699747</v>
      </c>
      <c r="F319" s="20">
        <v>26.7456</v>
      </c>
      <c r="G319" s="20">
        <v>29.462919669106768</v>
      </c>
      <c r="H319" s="21">
        <v>0.43511825341309396</v>
      </c>
      <c r="I319" s="21">
        <v>0.10159875527588724</v>
      </c>
      <c r="J319" s="21">
        <v>0.2994344467772172</v>
      </c>
    </row>
    <row r="320" spans="1:10" ht="11.25" customHeight="1" x14ac:dyDescent="0.2">
      <c r="A320" s="30">
        <v>44713</v>
      </c>
      <c r="B320" s="20">
        <v>0</v>
      </c>
      <c r="C320" s="20">
        <v>0</v>
      </c>
      <c r="D320" s="20">
        <v>38.9968</v>
      </c>
      <c r="E320" s="20">
        <v>55.965019504699747</v>
      </c>
      <c r="F320" s="20">
        <v>26.7456</v>
      </c>
      <c r="G320" s="20">
        <v>29.462919669106768</v>
      </c>
      <c r="H320" s="21">
        <v>0.43511825341309396</v>
      </c>
      <c r="I320" s="21">
        <v>0.10159875527588724</v>
      </c>
      <c r="J320" s="21">
        <v>0.2994344467772172</v>
      </c>
    </row>
    <row r="321" spans="1:10" ht="11.25" customHeight="1" x14ac:dyDescent="0.2">
      <c r="A321" s="29" t="s">
        <v>36</v>
      </c>
      <c r="B321" s="20">
        <v>0</v>
      </c>
      <c r="C321" s="20">
        <v>0</v>
      </c>
      <c r="D321" s="20">
        <v>114.26101999999999</v>
      </c>
      <c r="E321" s="20">
        <v>166.86930747837027</v>
      </c>
      <c r="F321" s="20">
        <v>35.772240000000004</v>
      </c>
      <c r="G321" s="20">
        <v>39.406655057430306</v>
      </c>
      <c r="H321" s="21">
        <v>0.46042200111963205</v>
      </c>
      <c r="I321" s="21">
        <v>0.10159875527588724</v>
      </c>
      <c r="J321" s="21">
        <v>0.37486822945659237</v>
      </c>
    </row>
    <row r="322" spans="1:10" ht="11.25" customHeight="1" x14ac:dyDescent="0.2">
      <c r="A322" s="30">
        <v>44409</v>
      </c>
      <c r="B322" s="20">
        <v>0</v>
      </c>
      <c r="C322" s="20">
        <v>0</v>
      </c>
      <c r="D322" s="20">
        <v>9.07681</v>
      </c>
      <c r="E322" s="20">
        <v>13.255973023982689</v>
      </c>
      <c r="F322" s="20">
        <v>2.84172</v>
      </c>
      <c r="G322" s="20">
        <v>3.1304352148425942</v>
      </c>
      <c r="H322" s="21">
        <v>0.46042200111963227</v>
      </c>
      <c r="I322" s="21">
        <v>0.10159875527588724</v>
      </c>
      <c r="J322" s="21">
        <v>0.37486822945659259</v>
      </c>
    </row>
    <row r="323" spans="1:10" ht="11.25" customHeight="1" x14ac:dyDescent="0.2">
      <c r="A323" s="30">
        <v>44470</v>
      </c>
      <c r="B323" s="20">
        <v>0</v>
      </c>
      <c r="C323" s="20">
        <v>0</v>
      </c>
      <c r="D323" s="20">
        <v>8.0089499999999987</v>
      </c>
      <c r="E323" s="20">
        <v>11.696446785867078</v>
      </c>
      <c r="F323" s="20">
        <v>2.5074000000000001</v>
      </c>
      <c r="G323" s="20">
        <v>2.7621487189787595</v>
      </c>
      <c r="H323" s="21">
        <v>0.4604220011196325</v>
      </c>
      <c r="I323" s="21">
        <v>0.10159875527588702</v>
      </c>
      <c r="J323" s="21">
        <v>0.37486822945659259</v>
      </c>
    </row>
    <row r="324" spans="1:10" ht="11.25" customHeight="1" x14ac:dyDescent="0.2">
      <c r="A324" s="30">
        <v>44501</v>
      </c>
      <c r="B324" s="20">
        <v>0</v>
      </c>
      <c r="C324" s="20">
        <v>0</v>
      </c>
      <c r="D324" s="20">
        <v>13.882179999999998</v>
      </c>
      <c r="E324" s="20">
        <v>20.273841095502934</v>
      </c>
      <c r="F324" s="20">
        <v>4.3461599999999994</v>
      </c>
      <c r="G324" s="20">
        <v>4.7877244462298494</v>
      </c>
      <c r="H324" s="21">
        <v>0.46042200111963227</v>
      </c>
      <c r="I324" s="21">
        <v>0.10159875527588724</v>
      </c>
      <c r="J324" s="21">
        <v>0.37486822945659282</v>
      </c>
    </row>
    <row r="325" spans="1:10" ht="11.25" customHeight="1" x14ac:dyDescent="0.2">
      <c r="A325" s="30">
        <v>44531</v>
      </c>
      <c r="B325" s="20">
        <v>0</v>
      </c>
      <c r="C325" s="20">
        <v>0</v>
      </c>
      <c r="D325" s="20">
        <v>17.619689999999999</v>
      </c>
      <c r="E325" s="20">
        <v>25.732182928907573</v>
      </c>
      <c r="F325" s="20">
        <v>5.5162800000000001</v>
      </c>
      <c r="G325" s="20">
        <v>6.0767271817532711</v>
      </c>
      <c r="H325" s="21">
        <v>0.46042200111963227</v>
      </c>
      <c r="I325" s="21">
        <v>0.10159875527588724</v>
      </c>
      <c r="J325" s="21">
        <v>0.37486822945659259</v>
      </c>
    </row>
    <row r="326" spans="1:10" ht="11.25" customHeight="1" x14ac:dyDescent="0.2">
      <c r="A326" s="30">
        <v>44562</v>
      </c>
      <c r="B326" s="20">
        <v>0</v>
      </c>
      <c r="C326" s="20">
        <v>0</v>
      </c>
      <c r="D326" s="20">
        <v>12.814319999999999</v>
      </c>
      <c r="E326" s="20">
        <v>18.714314857387325</v>
      </c>
      <c r="F326" s="20">
        <v>4.0118400000000003</v>
      </c>
      <c r="G326" s="20">
        <v>4.4194379503660155</v>
      </c>
      <c r="H326" s="21">
        <v>0.46042200111963227</v>
      </c>
      <c r="I326" s="21">
        <v>0.10159875527588724</v>
      </c>
      <c r="J326" s="21">
        <v>0.37486822945659282</v>
      </c>
    </row>
    <row r="327" spans="1:10" ht="11.25" customHeight="1" x14ac:dyDescent="0.2">
      <c r="A327" s="30">
        <v>44593</v>
      </c>
      <c r="B327" s="20">
        <v>0</v>
      </c>
      <c r="C327" s="20">
        <v>0</v>
      </c>
      <c r="D327" s="20">
        <v>11.212529999999999</v>
      </c>
      <c r="E327" s="20">
        <v>16.375025500213908</v>
      </c>
      <c r="F327" s="20">
        <v>3.5103599999999999</v>
      </c>
      <c r="G327" s="20">
        <v>3.8670082065702638</v>
      </c>
      <c r="H327" s="21">
        <v>0.46042200111963227</v>
      </c>
      <c r="I327" s="21">
        <v>0.10159875527588724</v>
      </c>
      <c r="J327" s="21">
        <v>0.37486822945659259</v>
      </c>
    </row>
    <row r="328" spans="1:10" ht="11.25" customHeight="1" x14ac:dyDescent="0.2">
      <c r="A328" s="30">
        <v>44621</v>
      </c>
      <c r="B328" s="20">
        <v>0</v>
      </c>
      <c r="C328" s="20">
        <v>0</v>
      </c>
      <c r="D328" s="20">
        <v>8.5428800000000003</v>
      </c>
      <c r="E328" s="20">
        <v>12.476209904924882</v>
      </c>
      <c r="F328" s="20">
        <v>2.67456</v>
      </c>
      <c r="G328" s="20">
        <v>2.9462919669106769</v>
      </c>
      <c r="H328" s="21">
        <v>0.46042200111963205</v>
      </c>
      <c r="I328" s="21">
        <v>0.10159875527588724</v>
      </c>
      <c r="J328" s="21">
        <v>0.37486822945659259</v>
      </c>
    </row>
    <row r="329" spans="1:10" ht="11.25" customHeight="1" x14ac:dyDescent="0.2">
      <c r="A329" s="30">
        <v>44652</v>
      </c>
      <c r="B329" s="20">
        <v>0</v>
      </c>
      <c r="C329" s="20">
        <v>0</v>
      </c>
      <c r="D329" s="20">
        <v>9.6107399999999981</v>
      </c>
      <c r="E329" s="20">
        <v>14.035736143040491</v>
      </c>
      <c r="F329" s="20">
        <v>3.0088799999999996</v>
      </c>
      <c r="G329" s="20">
        <v>3.3145784627745112</v>
      </c>
      <c r="H329" s="21">
        <v>0.46042200111963227</v>
      </c>
      <c r="I329" s="21">
        <v>0.10159875527588724</v>
      </c>
      <c r="J329" s="21">
        <v>0.37486822945659259</v>
      </c>
    </row>
    <row r="330" spans="1:10" ht="11.25" customHeight="1" x14ac:dyDescent="0.2">
      <c r="A330" s="30">
        <v>44682</v>
      </c>
      <c r="B330" s="20">
        <v>0</v>
      </c>
      <c r="C330" s="20">
        <v>0</v>
      </c>
      <c r="D330" s="20">
        <v>11.746459999999999</v>
      </c>
      <c r="E330" s="20">
        <v>17.154788619271713</v>
      </c>
      <c r="F330" s="20">
        <v>3.6775199999999999</v>
      </c>
      <c r="G330" s="20">
        <v>4.0511514545021807</v>
      </c>
      <c r="H330" s="21">
        <v>0.46042200111963205</v>
      </c>
      <c r="I330" s="21">
        <v>0.10159875527588724</v>
      </c>
      <c r="J330" s="21">
        <v>0.37486822945659282</v>
      </c>
    </row>
    <row r="331" spans="1:10" ht="11.25" customHeight="1" x14ac:dyDescent="0.2">
      <c r="A331" s="30">
        <v>44713</v>
      </c>
      <c r="B331" s="20">
        <v>0</v>
      </c>
      <c r="C331" s="20">
        <v>0</v>
      </c>
      <c r="D331" s="20">
        <v>11.746459999999999</v>
      </c>
      <c r="E331" s="20">
        <v>17.154788619271713</v>
      </c>
      <c r="F331" s="20">
        <v>3.6775199999999999</v>
      </c>
      <c r="G331" s="20">
        <v>4.0511514545021807</v>
      </c>
      <c r="H331" s="21">
        <v>0.46042200111963205</v>
      </c>
      <c r="I331" s="21">
        <v>0.10159875527588724</v>
      </c>
      <c r="J331" s="21">
        <v>0.37486822945659282</v>
      </c>
    </row>
    <row r="332" spans="1:10" ht="11.25" customHeight="1" x14ac:dyDescent="0.2">
      <c r="A332" s="29" t="s">
        <v>34</v>
      </c>
      <c r="B332" s="20">
        <v>0</v>
      </c>
      <c r="C332" s="20">
        <v>0</v>
      </c>
      <c r="D332" s="20">
        <v>297.51454000000001</v>
      </c>
      <c r="E332" s="20">
        <v>436.71793730040673</v>
      </c>
      <c r="F332" s="20">
        <v>94.935779999999994</v>
      </c>
      <c r="G332" s="20">
        <v>105.67447652960627</v>
      </c>
      <c r="H332" s="21">
        <v>0.46788771164060328</v>
      </c>
      <c r="I332" s="21">
        <v>0.11311537683269957</v>
      </c>
      <c r="J332" s="21">
        <v>0.38206643284177444</v>
      </c>
    </row>
    <row r="333" spans="1:10" ht="11.25" customHeight="1" x14ac:dyDescent="0.2">
      <c r="A333" s="30">
        <v>44409</v>
      </c>
      <c r="B333" s="20">
        <v>0</v>
      </c>
      <c r="C333" s="20">
        <v>0</v>
      </c>
      <c r="D333" s="20">
        <v>26.372479999999999</v>
      </c>
      <c r="E333" s="20">
        <v>38.711839317487581</v>
      </c>
      <c r="F333" s="20">
        <v>8.4153600000000015</v>
      </c>
      <c r="G333" s="20">
        <v>9.3672666175828265</v>
      </c>
      <c r="H333" s="21">
        <v>0.4678877116406035</v>
      </c>
      <c r="I333" s="21">
        <v>0.11311537683269934</v>
      </c>
      <c r="J333" s="21">
        <v>0.38206643284177466</v>
      </c>
    </row>
    <row r="334" spans="1:10" ht="11.25" customHeight="1" x14ac:dyDescent="0.2">
      <c r="A334" s="30">
        <v>44470</v>
      </c>
      <c r="B334" s="20">
        <v>0</v>
      </c>
      <c r="C334" s="20">
        <v>0</v>
      </c>
      <c r="D334" s="20">
        <v>23.90006</v>
      </c>
      <c r="E334" s="20">
        <v>35.082604381473125</v>
      </c>
      <c r="F334" s="20">
        <v>7.6264200000000013</v>
      </c>
      <c r="G334" s="20">
        <v>8.4890853721844373</v>
      </c>
      <c r="H334" s="21">
        <v>0.46788771164060372</v>
      </c>
      <c r="I334" s="21">
        <v>0.11311537683269957</v>
      </c>
      <c r="J334" s="21">
        <v>0.38206643284177511</v>
      </c>
    </row>
    <row r="335" spans="1:10" ht="11.25" customHeight="1" x14ac:dyDescent="0.2">
      <c r="A335" s="30">
        <v>44501</v>
      </c>
      <c r="B335" s="20">
        <v>0</v>
      </c>
      <c r="C335" s="20">
        <v>0</v>
      </c>
      <c r="D335" s="20">
        <v>28.020760000000003</v>
      </c>
      <c r="E335" s="20">
        <v>41.131329274830556</v>
      </c>
      <c r="F335" s="20">
        <v>8.941320000000001</v>
      </c>
      <c r="G335" s="20">
        <v>9.9527207811817551</v>
      </c>
      <c r="H335" s="21">
        <v>0.46788771164060328</v>
      </c>
      <c r="I335" s="21">
        <v>0.11311537683269957</v>
      </c>
      <c r="J335" s="21">
        <v>0.38206643284177488</v>
      </c>
    </row>
    <row r="336" spans="1:10" ht="11.25" customHeight="1" x14ac:dyDescent="0.2">
      <c r="A336" s="30">
        <v>44531</v>
      </c>
      <c r="B336" s="20">
        <v>0</v>
      </c>
      <c r="C336" s="20">
        <v>0</v>
      </c>
      <c r="D336" s="20">
        <v>41.207000000000001</v>
      </c>
      <c r="E336" s="20">
        <v>60.48724893357435</v>
      </c>
      <c r="F336" s="20">
        <v>13.149000000000001</v>
      </c>
      <c r="G336" s="20">
        <v>14.636354089973167</v>
      </c>
      <c r="H336" s="21">
        <v>0.4678877116406035</v>
      </c>
      <c r="I336" s="21">
        <v>0.11311537683269957</v>
      </c>
      <c r="J336" s="21">
        <v>0.38206643284177488</v>
      </c>
    </row>
    <row r="337" spans="1:10" ht="11.25" customHeight="1" x14ac:dyDescent="0.2">
      <c r="A337" s="30">
        <v>44562</v>
      </c>
      <c r="B337" s="20">
        <v>0</v>
      </c>
      <c r="C337" s="20">
        <v>0</v>
      </c>
      <c r="D337" s="20">
        <v>28.844900000000003</v>
      </c>
      <c r="E337" s="20">
        <v>42.341074253502043</v>
      </c>
      <c r="F337" s="20">
        <v>9.2043000000000017</v>
      </c>
      <c r="G337" s="20">
        <v>10.245447862981218</v>
      </c>
      <c r="H337" s="21">
        <v>0.46788771164060328</v>
      </c>
      <c r="I337" s="21">
        <v>0.11311537683269957</v>
      </c>
      <c r="J337" s="21">
        <v>0.38206643284177466</v>
      </c>
    </row>
    <row r="338" spans="1:10" ht="11.25" customHeight="1" x14ac:dyDescent="0.2">
      <c r="A338" s="30">
        <v>44593</v>
      </c>
      <c r="B338" s="20">
        <v>0</v>
      </c>
      <c r="C338" s="20">
        <v>0</v>
      </c>
      <c r="D338" s="20">
        <v>29.669039999999999</v>
      </c>
      <c r="E338" s="20">
        <v>43.550819232173524</v>
      </c>
      <c r="F338" s="20">
        <v>9.4672800000000006</v>
      </c>
      <c r="G338" s="20">
        <v>10.53817494478068</v>
      </c>
      <c r="H338" s="21">
        <v>0.46788771164060328</v>
      </c>
      <c r="I338" s="21">
        <v>0.11311537683269957</v>
      </c>
      <c r="J338" s="21">
        <v>0.38206643284177466</v>
      </c>
    </row>
    <row r="339" spans="1:10" ht="11.25" customHeight="1" x14ac:dyDescent="0.2">
      <c r="A339" s="30">
        <v>44621</v>
      </c>
      <c r="B339" s="20">
        <v>0</v>
      </c>
      <c r="C339" s="20">
        <v>0</v>
      </c>
      <c r="D339" s="20">
        <v>24.7242</v>
      </c>
      <c r="E339" s="20">
        <v>36.292349360144605</v>
      </c>
      <c r="F339" s="20">
        <v>7.8894000000000002</v>
      </c>
      <c r="G339" s="20">
        <v>8.7818124539838998</v>
      </c>
      <c r="H339" s="21">
        <v>0.46788771164060328</v>
      </c>
      <c r="I339" s="21">
        <v>0.11311537683269957</v>
      </c>
      <c r="J339" s="21">
        <v>0.38206643284177466</v>
      </c>
    </row>
    <row r="340" spans="1:10" ht="11.25" customHeight="1" x14ac:dyDescent="0.2">
      <c r="A340" s="30">
        <v>44652</v>
      </c>
      <c r="B340" s="20">
        <v>0</v>
      </c>
      <c r="C340" s="20">
        <v>0</v>
      </c>
      <c r="D340" s="20">
        <v>25.54834</v>
      </c>
      <c r="E340" s="20">
        <v>37.502094338816093</v>
      </c>
      <c r="F340" s="20">
        <v>8.1523800000000008</v>
      </c>
      <c r="G340" s="20">
        <v>9.074539535783364</v>
      </c>
      <c r="H340" s="21">
        <v>0.4678877116406035</v>
      </c>
      <c r="I340" s="21">
        <v>0.11311537683269957</v>
      </c>
      <c r="J340" s="21">
        <v>0.38206643284177466</v>
      </c>
    </row>
    <row r="341" spans="1:10" ht="11.25" customHeight="1" x14ac:dyDescent="0.2">
      <c r="A341" s="30">
        <v>44682</v>
      </c>
      <c r="B341" s="20">
        <v>0</v>
      </c>
      <c r="C341" s="20">
        <v>0</v>
      </c>
      <c r="D341" s="20">
        <v>34.613880000000002</v>
      </c>
      <c r="E341" s="20">
        <v>50.809289104202456</v>
      </c>
      <c r="F341" s="20">
        <v>11.045160000000001</v>
      </c>
      <c r="G341" s="20">
        <v>12.294537435577462</v>
      </c>
      <c r="H341" s="21">
        <v>0.4678877116406035</v>
      </c>
      <c r="I341" s="21">
        <v>0.11311537683269957</v>
      </c>
      <c r="J341" s="21">
        <v>0.38206643284177488</v>
      </c>
    </row>
    <row r="342" spans="1:10" ht="11.25" customHeight="1" x14ac:dyDescent="0.2">
      <c r="A342" s="30">
        <v>44713</v>
      </c>
      <c r="B342" s="20">
        <v>0</v>
      </c>
      <c r="C342" s="20">
        <v>0</v>
      </c>
      <c r="D342" s="20">
        <v>34.613880000000002</v>
      </c>
      <c r="E342" s="20">
        <v>50.809289104202456</v>
      </c>
      <c r="F342" s="20">
        <v>11.045160000000001</v>
      </c>
      <c r="G342" s="20">
        <v>12.294537435577462</v>
      </c>
      <c r="H342" s="21">
        <v>0.4678877116406035</v>
      </c>
      <c r="I342" s="21">
        <v>0.11311537683269957</v>
      </c>
      <c r="J342" s="21">
        <v>0.38206643284177488</v>
      </c>
    </row>
    <row r="343" spans="1:10" ht="11.25" customHeight="1" x14ac:dyDescent="0.2">
      <c r="A343" s="24" t="s">
        <v>23</v>
      </c>
      <c r="B343" s="20">
        <v>0</v>
      </c>
      <c r="C343" s="20">
        <v>0</v>
      </c>
      <c r="D343" s="20">
        <v>6671321.4017040003</v>
      </c>
      <c r="E343" s="20">
        <v>8877550.6061148215</v>
      </c>
      <c r="F343" s="20">
        <v>3266288.2079399992</v>
      </c>
      <c r="G343" s="20">
        <v>3602742.9477761919</v>
      </c>
      <c r="H343" s="21">
        <v>0.33070348010025419</v>
      </c>
      <c r="I343" s="21">
        <v>0.10300828292442388</v>
      </c>
      <c r="J343" s="21">
        <v>0.25586474455380626</v>
      </c>
    </row>
    <row r="344" spans="1:10" ht="11.25" customHeight="1" x14ac:dyDescent="0.2">
      <c r="A344" s="25" t="s">
        <v>43</v>
      </c>
      <c r="B344" s="20">
        <v>0</v>
      </c>
      <c r="C344" s="20">
        <v>0</v>
      </c>
      <c r="D344" s="20">
        <v>6671321.4017040003</v>
      </c>
      <c r="E344" s="20">
        <v>8877550.6061148215</v>
      </c>
      <c r="F344" s="20">
        <v>3266288.2079399992</v>
      </c>
      <c r="G344" s="20">
        <v>3602742.9477761919</v>
      </c>
      <c r="H344" s="21">
        <v>0.33070348010025419</v>
      </c>
      <c r="I344" s="21">
        <v>0.10300828292442388</v>
      </c>
      <c r="J344" s="21">
        <v>0.25586474455380626</v>
      </c>
    </row>
    <row r="345" spans="1:10" ht="11.25" customHeight="1" x14ac:dyDescent="0.2">
      <c r="A345" s="26" t="s">
        <v>51</v>
      </c>
      <c r="B345" s="20">
        <v>0</v>
      </c>
      <c r="C345" s="20">
        <v>0</v>
      </c>
      <c r="D345" s="20">
        <v>67810.904863999996</v>
      </c>
      <c r="E345" s="20">
        <v>90236.207091272052</v>
      </c>
      <c r="F345" s="20">
        <v>33200.313040000001</v>
      </c>
      <c r="G345" s="20">
        <v>36620.220278803754</v>
      </c>
      <c r="H345" s="21">
        <v>0.33070348010025419</v>
      </c>
      <c r="I345" s="21">
        <v>0.10300828292442366</v>
      </c>
      <c r="J345" s="21">
        <v>0.25586474455380626</v>
      </c>
    </row>
    <row r="346" spans="1:10" ht="11.25" customHeight="1" x14ac:dyDescent="0.2">
      <c r="A346" s="27" t="s">
        <v>52</v>
      </c>
      <c r="B346" s="20">
        <v>0</v>
      </c>
      <c r="C346" s="20">
        <v>0</v>
      </c>
      <c r="D346" s="20">
        <v>57508.135960000007</v>
      </c>
      <c r="E346" s="20">
        <v>76526.27665605057</v>
      </c>
      <c r="F346" s="20">
        <v>28156.063100000003</v>
      </c>
      <c r="G346" s="20">
        <v>31056.370813842725</v>
      </c>
      <c r="H346" s="21">
        <v>0.33070348010025397</v>
      </c>
      <c r="I346" s="21">
        <v>0.10300828292442343</v>
      </c>
      <c r="J346" s="21">
        <v>0.25586474455380603</v>
      </c>
    </row>
    <row r="347" spans="1:10" ht="11.25" customHeight="1" x14ac:dyDescent="0.2">
      <c r="A347" s="28" t="s">
        <v>25</v>
      </c>
      <c r="B347" s="20">
        <v>0</v>
      </c>
      <c r="C347" s="20">
        <v>0</v>
      </c>
      <c r="D347" s="20">
        <v>57508.135960000007</v>
      </c>
      <c r="E347" s="20">
        <v>76526.27665605057</v>
      </c>
      <c r="F347" s="20">
        <v>28156.063100000003</v>
      </c>
      <c r="G347" s="20">
        <v>31056.370813842725</v>
      </c>
      <c r="H347" s="21">
        <v>0.33070348010025397</v>
      </c>
      <c r="I347" s="21">
        <v>0.10300828292442343</v>
      </c>
      <c r="J347" s="21">
        <v>0.25586474455380603</v>
      </c>
    </row>
    <row r="348" spans="1:10" ht="11.25" customHeight="1" x14ac:dyDescent="0.2">
      <c r="A348" s="29" t="s">
        <v>25</v>
      </c>
      <c r="B348" s="20">
        <v>0</v>
      </c>
      <c r="C348" s="20">
        <v>0</v>
      </c>
      <c r="D348" s="20">
        <v>57508.135960000007</v>
      </c>
      <c r="E348" s="20">
        <v>76526.27665605057</v>
      </c>
      <c r="F348" s="20">
        <v>28156.063100000003</v>
      </c>
      <c r="G348" s="20">
        <v>31056.370813842725</v>
      </c>
      <c r="H348" s="21">
        <v>0.33070348010025397</v>
      </c>
      <c r="I348" s="21">
        <v>0.10300828292442343</v>
      </c>
      <c r="J348" s="21">
        <v>0.25586474455380603</v>
      </c>
    </row>
    <row r="349" spans="1:10" ht="11.25" customHeight="1" x14ac:dyDescent="0.2">
      <c r="A349" s="30">
        <v>44378</v>
      </c>
      <c r="B349" s="20">
        <v>0</v>
      </c>
      <c r="C349" s="20">
        <v>0</v>
      </c>
      <c r="D349" s="20">
        <v>1515.3866399999999</v>
      </c>
      <c r="E349" s="20">
        <v>2016.5302755454313</v>
      </c>
      <c r="F349" s="20">
        <v>741.93539999999996</v>
      </c>
      <c r="G349" s="20">
        <v>818.36089159484527</v>
      </c>
      <c r="H349" s="21">
        <v>0.33070348010025441</v>
      </c>
      <c r="I349" s="21">
        <v>0.10300828292442343</v>
      </c>
      <c r="J349" s="21">
        <v>0.25586474455380603</v>
      </c>
    </row>
    <row r="350" spans="1:10" ht="11.25" customHeight="1" x14ac:dyDescent="0.2">
      <c r="A350" s="30">
        <v>44409</v>
      </c>
      <c r="B350" s="20">
        <v>0</v>
      </c>
      <c r="C350" s="20">
        <v>0</v>
      </c>
      <c r="D350" s="20">
        <v>1812.66858</v>
      </c>
      <c r="E350" s="20">
        <v>2412.1243876743865</v>
      </c>
      <c r="F350" s="20">
        <v>887.48505000000011</v>
      </c>
      <c r="G350" s="20">
        <v>978.90336112159616</v>
      </c>
      <c r="H350" s="21">
        <v>0.33070348010025441</v>
      </c>
      <c r="I350" s="21">
        <v>0.10300828292442343</v>
      </c>
      <c r="J350" s="21">
        <v>0.25586474455380626</v>
      </c>
    </row>
    <row r="351" spans="1:10" ht="11.25" customHeight="1" x14ac:dyDescent="0.2">
      <c r="A351" s="30">
        <v>44440</v>
      </c>
      <c r="B351" s="20">
        <v>0</v>
      </c>
      <c r="C351" s="20">
        <v>0</v>
      </c>
      <c r="D351" s="20">
        <v>1015.26612</v>
      </c>
      <c r="E351" s="20">
        <v>1351.0181591118826</v>
      </c>
      <c r="F351" s="20">
        <v>497.07570000000004</v>
      </c>
      <c r="G351" s="20">
        <v>548.27861434045587</v>
      </c>
      <c r="H351" s="21">
        <v>0.33070348010025441</v>
      </c>
      <c r="I351" s="21">
        <v>0.10300828292442343</v>
      </c>
      <c r="J351" s="21">
        <v>0.25586474455380626</v>
      </c>
    </row>
    <row r="352" spans="1:10" ht="11.25" customHeight="1" x14ac:dyDescent="0.2">
      <c r="A352" s="30">
        <v>44470</v>
      </c>
      <c r="B352" s="20">
        <v>0</v>
      </c>
      <c r="C352" s="20">
        <v>0</v>
      </c>
      <c r="D352" s="20">
        <v>2005.8481800000002</v>
      </c>
      <c r="E352" s="20">
        <v>2669.1891536787616</v>
      </c>
      <c r="F352" s="20">
        <v>982.06605000000002</v>
      </c>
      <c r="G352" s="20">
        <v>1083.2269875288712</v>
      </c>
      <c r="H352" s="21">
        <v>0.33070348010025441</v>
      </c>
      <c r="I352" s="21">
        <v>0.10300828292442366</v>
      </c>
      <c r="J352" s="21">
        <v>0.25586474455380626</v>
      </c>
    </row>
    <row r="353" spans="1:10" ht="11.25" customHeight="1" x14ac:dyDescent="0.2">
      <c r="A353" s="30">
        <v>44501</v>
      </c>
      <c r="B353" s="20">
        <v>0</v>
      </c>
      <c r="C353" s="20">
        <v>0</v>
      </c>
      <c r="D353" s="20">
        <v>10525.42628</v>
      </c>
      <c r="E353" s="20">
        <v>14006.221380334677</v>
      </c>
      <c r="F353" s="20">
        <v>5153.2633000000005</v>
      </c>
      <c r="G353" s="20">
        <v>5684.0921039904488</v>
      </c>
      <c r="H353" s="21">
        <v>0.33070348010025463</v>
      </c>
      <c r="I353" s="21">
        <v>0.10300828292442343</v>
      </c>
      <c r="J353" s="21">
        <v>0.25586474455380626</v>
      </c>
    </row>
    <row r="354" spans="1:10" ht="11.25" customHeight="1" x14ac:dyDescent="0.2">
      <c r="A354" s="30">
        <v>44531</v>
      </c>
      <c r="B354" s="20">
        <v>0</v>
      </c>
      <c r="C354" s="20">
        <v>0</v>
      </c>
      <c r="D354" s="20">
        <v>14512.796319999999</v>
      </c>
      <c r="E354" s="20">
        <v>19312.228569010167</v>
      </c>
      <c r="F354" s="20">
        <v>7105.4852000000001</v>
      </c>
      <c r="G354" s="20">
        <v>7837.4090297969033</v>
      </c>
      <c r="H354" s="21">
        <v>0.33070348010025463</v>
      </c>
      <c r="I354" s="21">
        <v>0.10300828292442343</v>
      </c>
      <c r="J354" s="21">
        <v>0.25586474455380626</v>
      </c>
    </row>
    <row r="355" spans="1:10" ht="11.25" customHeight="1" x14ac:dyDescent="0.2">
      <c r="A355" s="30">
        <v>44562</v>
      </c>
      <c r="B355" s="20">
        <v>0</v>
      </c>
      <c r="C355" s="20">
        <v>0</v>
      </c>
      <c r="D355" s="20">
        <v>13627.747560000002</v>
      </c>
      <c r="E355" s="20">
        <v>18134.491104019751</v>
      </c>
      <c r="F355" s="20">
        <v>6672.1641000000009</v>
      </c>
      <c r="G355" s="20">
        <v>7359.4522673309821</v>
      </c>
      <c r="H355" s="21">
        <v>0.33070348010025419</v>
      </c>
      <c r="I355" s="21">
        <v>0.10300828292442343</v>
      </c>
      <c r="J355" s="21">
        <v>0.25586474455380603</v>
      </c>
    </row>
    <row r="356" spans="1:10" ht="11.25" customHeight="1" x14ac:dyDescent="0.2">
      <c r="A356" s="30">
        <v>44593</v>
      </c>
      <c r="B356" s="20">
        <v>0</v>
      </c>
      <c r="C356" s="20">
        <v>0</v>
      </c>
      <c r="D356" s="20">
        <v>9762.7245999999996</v>
      </c>
      <c r="E356" s="20">
        <v>12991.291600480365</v>
      </c>
      <c r="F356" s="20">
        <v>4779.8434999999999</v>
      </c>
      <c r="G356" s="20">
        <v>5272.2069715824664</v>
      </c>
      <c r="H356" s="21">
        <v>0.33070348010025441</v>
      </c>
      <c r="I356" s="21">
        <v>0.10300828292442343</v>
      </c>
      <c r="J356" s="21">
        <v>0.25586474455380626</v>
      </c>
    </row>
    <row r="357" spans="1:10" ht="11.25" customHeight="1" x14ac:dyDescent="0.2">
      <c r="A357" s="30">
        <v>44621</v>
      </c>
      <c r="B357" s="20">
        <v>0</v>
      </c>
      <c r="C357" s="20">
        <v>0</v>
      </c>
      <c r="D357" s="20">
        <v>1356.1923400000001</v>
      </c>
      <c r="E357" s="20">
        <v>1804.6898665233075</v>
      </c>
      <c r="F357" s="20">
        <v>663.99365</v>
      </c>
      <c r="G357" s="20">
        <v>732.39049575922058</v>
      </c>
      <c r="H357" s="21">
        <v>0.33070348010025441</v>
      </c>
      <c r="I357" s="21">
        <v>0.10300828292442343</v>
      </c>
      <c r="J357" s="21">
        <v>0.25586474455380603</v>
      </c>
    </row>
    <row r="358" spans="1:10" ht="11.25" customHeight="1" x14ac:dyDescent="0.2">
      <c r="A358" s="30">
        <v>44652</v>
      </c>
      <c r="B358" s="20">
        <v>0</v>
      </c>
      <c r="C358" s="20">
        <v>0</v>
      </c>
      <c r="D358" s="20">
        <v>672.19346000000007</v>
      </c>
      <c r="E358" s="20">
        <v>894.49017652263126</v>
      </c>
      <c r="F358" s="20">
        <v>329.10685000000001</v>
      </c>
      <c r="G358" s="20">
        <v>363.00758151716582</v>
      </c>
      <c r="H358" s="21">
        <v>0.33070348010025441</v>
      </c>
      <c r="I358" s="21">
        <v>0.10300828292442343</v>
      </c>
      <c r="J358" s="21">
        <v>0.25586474455380626</v>
      </c>
    </row>
    <row r="359" spans="1:10" ht="11.25" customHeight="1" x14ac:dyDescent="0.2">
      <c r="A359" s="30">
        <v>44682</v>
      </c>
      <c r="B359" s="20">
        <v>0</v>
      </c>
      <c r="C359" s="20">
        <v>0</v>
      </c>
      <c r="D359" s="20">
        <v>415.69387999999998</v>
      </c>
      <c r="E359" s="20">
        <v>553.1652927723776</v>
      </c>
      <c r="F359" s="20">
        <v>203.52429999999998</v>
      </c>
      <c r="G359" s="20">
        <v>224.48898867639522</v>
      </c>
      <c r="H359" s="21">
        <v>0.33070348010025463</v>
      </c>
      <c r="I359" s="21">
        <v>0.10300828292442343</v>
      </c>
      <c r="J359" s="21">
        <v>0.25586474455380648</v>
      </c>
    </row>
    <row r="360" spans="1:10" ht="11.25" customHeight="1" x14ac:dyDescent="0.2">
      <c r="A360" s="30">
        <v>44713</v>
      </c>
      <c r="B360" s="20">
        <v>0</v>
      </c>
      <c r="C360" s="20">
        <v>0</v>
      </c>
      <c r="D360" s="20">
        <v>286.19200000000001</v>
      </c>
      <c r="E360" s="20">
        <v>380.83669037685206</v>
      </c>
      <c r="F360" s="20">
        <v>140.12</v>
      </c>
      <c r="G360" s="20">
        <v>154.55352060337023</v>
      </c>
      <c r="H360" s="21">
        <v>0.33070348010025463</v>
      </c>
      <c r="I360" s="21">
        <v>0.10300828292442343</v>
      </c>
      <c r="J360" s="21">
        <v>0.25586474455380626</v>
      </c>
    </row>
    <row r="361" spans="1:10" ht="11.25" customHeight="1" x14ac:dyDescent="0.2">
      <c r="A361" s="27" t="s">
        <v>53</v>
      </c>
      <c r="B361" s="20">
        <v>0</v>
      </c>
      <c r="C361" s="20">
        <v>0</v>
      </c>
      <c r="D361" s="20">
        <v>10302.768904000002</v>
      </c>
      <c r="E361" s="20">
        <v>13709.930435221486</v>
      </c>
      <c r="F361" s="20">
        <v>5044.2499400000006</v>
      </c>
      <c r="G361" s="20">
        <v>5563.8494649610266</v>
      </c>
      <c r="H361" s="21">
        <v>0.33070348010025419</v>
      </c>
      <c r="I361" s="21">
        <v>0.10300828292442343</v>
      </c>
      <c r="J361" s="21">
        <v>0.25586474455380603</v>
      </c>
    </row>
    <row r="362" spans="1:10" ht="11.25" customHeight="1" x14ac:dyDescent="0.2">
      <c r="A362" s="28" t="s">
        <v>25</v>
      </c>
      <c r="B362" s="20">
        <v>0</v>
      </c>
      <c r="C362" s="20">
        <v>0</v>
      </c>
      <c r="D362" s="20">
        <v>10302.768904000002</v>
      </c>
      <c r="E362" s="20">
        <v>13709.930435221486</v>
      </c>
      <c r="F362" s="20">
        <v>5044.2499400000006</v>
      </c>
      <c r="G362" s="20">
        <v>5563.8494649610266</v>
      </c>
      <c r="H362" s="21">
        <v>0.33070348010025419</v>
      </c>
      <c r="I362" s="21">
        <v>0.10300828292442343</v>
      </c>
      <c r="J362" s="21">
        <v>0.25586474455380603</v>
      </c>
    </row>
    <row r="363" spans="1:10" ht="11.25" customHeight="1" x14ac:dyDescent="0.2">
      <c r="A363" s="29" t="s">
        <v>25</v>
      </c>
      <c r="B363" s="20">
        <v>0</v>
      </c>
      <c r="C363" s="20">
        <v>0</v>
      </c>
      <c r="D363" s="20">
        <v>10302.768904000002</v>
      </c>
      <c r="E363" s="20">
        <v>13709.930435221486</v>
      </c>
      <c r="F363" s="20">
        <v>5044.2499400000006</v>
      </c>
      <c r="G363" s="20">
        <v>5563.8494649610266</v>
      </c>
      <c r="H363" s="21">
        <v>0.33070348010025419</v>
      </c>
      <c r="I363" s="21">
        <v>0.10300828292442343</v>
      </c>
      <c r="J363" s="21">
        <v>0.25586474455380603</v>
      </c>
    </row>
    <row r="364" spans="1:10" ht="11.25" customHeight="1" x14ac:dyDescent="0.2">
      <c r="A364" s="30">
        <v>44378</v>
      </c>
      <c r="B364" s="20">
        <v>0</v>
      </c>
      <c r="C364" s="20">
        <v>0</v>
      </c>
      <c r="D364" s="20">
        <v>117.76800799999999</v>
      </c>
      <c r="E364" s="20">
        <v>156.71429809007461</v>
      </c>
      <c r="F364" s="20">
        <v>57.659379999999999</v>
      </c>
      <c r="G364" s="20">
        <v>63.598773728286844</v>
      </c>
      <c r="H364" s="21">
        <v>0.33070348010025441</v>
      </c>
      <c r="I364" s="21">
        <v>0.10300828292442343</v>
      </c>
      <c r="J364" s="21">
        <v>0.25586474455380603</v>
      </c>
    </row>
    <row r="365" spans="1:10" ht="11.25" customHeight="1" x14ac:dyDescent="0.2">
      <c r="A365" s="30">
        <v>44409</v>
      </c>
      <c r="B365" s="20">
        <v>0</v>
      </c>
      <c r="C365" s="20">
        <v>0</v>
      </c>
      <c r="D365" s="20">
        <v>243.54939199999998</v>
      </c>
      <c r="E365" s="20">
        <v>324.09202351070104</v>
      </c>
      <c r="F365" s="20">
        <v>119.24212</v>
      </c>
      <c r="G365" s="20">
        <v>131.52504603346804</v>
      </c>
      <c r="H365" s="21">
        <v>0.33070348010025441</v>
      </c>
      <c r="I365" s="21">
        <v>0.10300828292442343</v>
      </c>
      <c r="J365" s="21">
        <v>0.25586474455380626</v>
      </c>
    </row>
    <row r="366" spans="1:10" ht="11.25" customHeight="1" x14ac:dyDescent="0.2">
      <c r="A366" s="30">
        <v>44440</v>
      </c>
      <c r="B366" s="20">
        <v>0</v>
      </c>
      <c r="C366" s="20">
        <v>0</v>
      </c>
      <c r="D366" s="20">
        <v>176.58046400000001</v>
      </c>
      <c r="E366" s="20">
        <v>234.9762379625177</v>
      </c>
      <c r="F366" s="20">
        <v>86.454040000000006</v>
      </c>
      <c r="G366" s="20">
        <v>95.35952221227943</v>
      </c>
      <c r="H366" s="21">
        <v>0.33070348010025441</v>
      </c>
      <c r="I366" s="21">
        <v>0.10300828292442343</v>
      </c>
      <c r="J366" s="21">
        <v>0.25586474455380626</v>
      </c>
    </row>
    <row r="367" spans="1:10" ht="11.25" customHeight="1" x14ac:dyDescent="0.2">
      <c r="A367" s="30">
        <v>44470</v>
      </c>
      <c r="B367" s="20">
        <v>0</v>
      </c>
      <c r="C367" s="20">
        <v>0</v>
      </c>
      <c r="D367" s="20">
        <v>355.59356000000002</v>
      </c>
      <c r="E367" s="20">
        <v>473.18958779323867</v>
      </c>
      <c r="F367" s="20">
        <v>174.09909999999999</v>
      </c>
      <c r="G367" s="20">
        <v>192.03274934968749</v>
      </c>
      <c r="H367" s="21">
        <v>0.33070348010025441</v>
      </c>
      <c r="I367" s="21">
        <v>0.10300828292442343</v>
      </c>
      <c r="J367" s="21">
        <v>0.25586474455380603</v>
      </c>
    </row>
    <row r="368" spans="1:10" ht="11.25" customHeight="1" x14ac:dyDescent="0.2">
      <c r="A368" s="30">
        <v>44501</v>
      </c>
      <c r="B368" s="20">
        <v>0</v>
      </c>
      <c r="C368" s="20">
        <v>0</v>
      </c>
      <c r="D368" s="20">
        <v>1781.8313920000003</v>
      </c>
      <c r="E368" s="20">
        <v>2371.0892342862808</v>
      </c>
      <c r="F368" s="20">
        <v>872.3871200000001</v>
      </c>
      <c r="G368" s="20">
        <v>962.25021927658304</v>
      </c>
      <c r="H368" s="21">
        <v>0.33070348010025419</v>
      </c>
      <c r="I368" s="21">
        <v>0.10300828292442343</v>
      </c>
      <c r="J368" s="21">
        <v>0.25586474455380626</v>
      </c>
    </row>
    <row r="369" spans="1:10" ht="11.25" customHeight="1" x14ac:dyDescent="0.2">
      <c r="A369" s="30">
        <v>44531</v>
      </c>
      <c r="B369" s="20">
        <v>0</v>
      </c>
      <c r="C369" s="20">
        <v>0</v>
      </c>
      <c r="D369" s="20">
        <v>2520.6360400000003</v>
      </c>
      <c r="E369" s="20">
        <v>3354.2191504941243</v>
      </c>
      <c r="F369" s="20">
        <v>1234.1069</v>
      </c>
      <c r="G369" s="20">
        <v>1361.2301327141834</v>
      </c>
      <c r="H369" s="21">
        <v>0.33070348010025441</v>
      </c>
      <c r="I369" s="21">
        <v>0.10300828292442366</v>
      </c>
      <c r="J369" s="21">
        <v>0.25586474455380626</v>
      </c>
    </row>
    <row r="370" spans="1:10" ht="11.25" customHeight="1" x14ac:dyDescent="0.2">
      <c r="A370" s="30">
        <v>44562</v>
      </c>
      <c r="B370" s="20">
        <v>0</v>
      </c>
      <c r="C370" s="20">
        <v>0</v>
      </c>
      <c r="D370" s="20">
        <v>2854.9082960000001</v>
      </c>
      <c r="E370" s="20">
        <v>3799.0364048542879</v>
      </c>
      <c r="F370" s="20">
        <v>1397.7670600000001</v>
      </c>
      <c r="G370" s="20">
        <v>1541.7486447789197</v>
      </c>
      <c r="H370" s="21">
        <v>0.33070348010025463</v>
      </c>
      <c r="I370" s="21">
        <v>0.10300828292442343</v>
      </c>
      <c r="J370" s="21">
        <v>0.25586474455380648</v>
      </c>
    </row>
    <row r="371" spans="1:10" ht="11.25" customHeight="1" x14ac:dyDescent="0.2">
      <c r="A371" s="30">
        <v>44593</v>
      </c>
      <c r="B371" s="20">
        <v>0</v>
      </c>
      <c r="C371" s="20">
        <v>0</v>
      </c>
      <c r="D371" s="20">
        <v>1960.8444880000002</v>
      </c>
      <c r="E371" s="20">
        <v>2609.302584117002</v>
      </c>
      <c r="F371" s="20">
        <v>960.03218000000004</v>
      </c>
      <c r="G371" s="20">
        <v>1058.9234464139911</v>
      </c>
      <c r="H371" s="21">
        <v>0.33070348010025441</v>
      </c>
      <c r="I371" s="21">
        <v>0.10300828292442343</v>
      </c>
      <c r="J371" s="21">
        <v>0.25586474455380603</v>
      </c>
    </row>
    <row r="372" spans="1:10" ht="11.25" customHeight="1" x14ac:dyDescent="0.2">
      <c r="A372" s="30">
        <v>44621</v>
      </c>
      <c r="B372" s="20">
        <v>0</v>
      </c>
      <c r="C372" s="20">
        <v>0</v>
      </c>
      <c r="D372" s="20">
        <v>216.07496</v>
      </c>
      <c r="E372" s="20">
        <v>287.53170123452327</v>
      </c>
      <c r="F372" s="20">
        <v>105.7906</v>
      </c>
      <c r="G372" s="20">
        <v>116.68790805554451</v>
      </c>
      <c r="H372" s="21">
        <v>0.33070348010025441</v>
      </c>
      <c r="I372" s="21">
        <v>0.10300828292442343</v>
      </c>
      <c r="J372" s="21">
        <v>0.25586474455380603</v>
      </c>
    </row>
    <row r="373" spans="1:10" ht="11.25" customHeight="1" x14ac:dyDescent="0.2">
      <c r="A373" s="30">
        <v>44652</v>
      </c>
      <c r="B373" s="20">
        <v>0</v>
      </c>
      <c r="C373" s="20">
        <v>0</v>
      </c>
      <c r="D373" s="20">
        <v>53.231711999999995</v>
      </c>
      <c r="E373" s="20">
        <v>70.835624410094468</v>
      </c>
      <c r="F373" s="20">
        <v>26.06232</v>
      </c>
      <c r="G373" s="20">
        <v>28.746954832226859</v>
      </c>
      <c r="H373" s="21">
        <v>0.33070348010025441</v>
      </c>
      <c r="I373" s="21">
        <v>0.10300828292442343</v>
      </c>
      <c r="J373" s="21">
        <v>0.25586474455380626</v>
      </c>
    </row>
    <row r="374" spans="1:10" ht="11.25" customHeight="1" x14ac:dyDescent="0.2">
      <c r="A374" s="30">
        <v>44682</v>
      </c>
      <c r="B374" s="20">
        <v>0</v>
      </c>
      <c r="C374" s="20">
        <v>0</v>
      </c>
      <c r="D374" s="20">
        <v>21.750592000000001</v>
      </c>
      <c r="E374" s="20">
        <v>28.943588468640755</v>
      </c>
      <c r="F374" s="20">
        <v>10.64912</v>
      </c>
      <c r="G374" s="20">
        <v>11.746067565856137</v>
      </c>
      <c r="H374" s="21">
        <v>0.33070348010025441</v>
      </c>
      <c r="I374" s="21">
        <v>0.10300828292442343</v>
      </c>
      <c r="J374" s="21">
        <v>0.25586474455380626</v>
      </c>
    </row>
    <row r="375" spans="1:10" ht="11.25" customHeight="1" x14ac:dyDescent="0.2">
      <c r="A375" s="26" t="s">
        <v>25</v>
      </c>
      <c r="B375" s="20">
        <v>0</v>
      </c>
      <c r="C375" s="20">
        <v>0</v>
      </c>
      <c r="D375" s="20">
        <v>6603510.4968400002</v>
      </c>
      <c r="E375" s="20">
        <v>8787314.3990235496</v>
      </c>
      <c r="F375" s="20">
        <v>3233087.8948999997</v>
      </c>
      <c r="G375" s="20">
        <v>3566122.7274973881</v>
      </c>
      <c r="H375" s="21">
        <v>0.33070348010025441</v>
      </c>
      <c r="I375" s="21">
        <v>0.10300828292442388</v>
      </c>
      <c r="J375" s="21">
        <v>0.25586474455380626</v>
      </c>
    </row>
    <row r="376" spans="1:10" ht="11.25" customHeight="1" x14ac:dyDescent="0.2">
      <c r="A376" s="27" t="s">
        <v>25</v>
      </c>
      <c r="B376" s="20">
        <v>0</v>
      </c>
      <c r="C376" s="20">
        <v>0</v>
      </c>
      <c r="D376" s="20">
        <v>6603510.4968400002</v>
      </c>
      <c r="E376" s="20">
        <v>8787314.3990235496</v>
      </c>
      <c r="F376" s="20">
        <v>3233087.8948999997</v>
      </c>
      <c r="G376" s="20">
        <v>3566122.7274973881</v>
      </c>
      <c r="H376" s="21">
        <v>0.33070348010025441</v>
      </c>
      <c r="I376" s="21">
        <v>0.10300828292442388</v>
      </c>
      <c r="J376" s="21">
        <v>0.25586474455380626</v>
      </c>
    </row>
    <row r="377" spans="1:10" ht="11.25" customHeight="1" x14ac:dyDescent="0.2">
      <c r="A377" s="28" t="s">
        <v>25</v>
      </c>
      <c r="B377" s="20">
        <v>0</v>
      </c>
      <c r="C377" s="20">
        <v>0</v>
      </c>
      <c r="D377" s="20">
        <v>6603510.4968400002</v>
      </c>
      <c r="E377" s="20">
        <v>8787314.3990235496</v>
      </c>
      <c r="F377" s="20">
        <v>3233087.8948999997</v>
      </c>
      <c r="G377" s="20">
        <v>3566122.7274973881</v>
      </c>
      <c r="H377" s="21">
        <v>0.33070348010025441</v>
      </c>
      <c r="I377" s="21">
        <v>0.10300828292442388</v>
      </c>
      <c r="J377" s="21">
        <v>0.25586474455380626</v>
      </c>
    </row>
    <row r="378" spans="1:10" ht="11.25" customHeight="1" x14ac:dyDescent="0.2">
      <c r="A378" s="29" t="s">
        <v>25</v>
      </c>
      <c r="B378" s="20">
        <v>0</v>
      </c>
      <c r="C378" s="20">
        <v>0</v>
      </c>
      <c r="D378" s="20">
        <v>6603510.4968400002</v>
      </c>
      <c r="E378" s="20">
        <v>8787314.3990235496</v>
      </c>
      <c r="F378" s="20">
        <v>3233087.8948999997</v>
      </c>
      <c r="G378" s="20">
        <v>3566122.7274973881</v>
      </c>
      <c r="H378" s="21">
        <v>0.33070348010025441</v>
      </c>
      <c r="I378" s="21">
        <v>0.10300828292442388</v>
      </c>
      <c r="J378" s="21">
        <v>0.25586474455380626</v>
      </c>
    </row>
    <row r="379" spans="1:10" ht="11.25" customHeight="1" x14ac:dyDescent="0.2">
      <c r="A379" s="30">
        <v>44378</v>
      </c>
      <c r="B379" s="20">
        <v>0</v>
      </c>
      <c r="C379" s="20">
        <v>0</v>
      </c>
      <c r="D379" s="20">
        <v>407073.41921999998</v>
      </c>
      <c r="E379" s="20">
        <v>541694.01561236393</v>
      </c>
      <c r="F379" s="20">
        <v>199303.71045000001</v>
      </c>
      <c r="G379" s="20">
        <v>219833.643443921</v>
      </c>
      <c r="H379" s="21">
        <v>0.33070348010025485</v>
      </c>
      <c r="I379" s="21">
        <v>0.10300828292442343</v>
      </c>
      <c r="J379" s="21">
        <v>0.2558647445538067</v>
      </c>
    </row>
    <row r="380" spans="1:10" ht="11.25" customHeight="1" x14ac:dyDescent="0.2">
      <c r="A380" s="30">
        <v>44409</v>
      </c>
      <c r="B380" s="20">
        <v>0</v>
      </c>
      <c r="C380" s="20">
        <v>0</v>
      </c>
      <c r="D380" s="20">
        <v>406442.72360000003</v>
      </c>
      <c r="E380" s="20">
        <v>540854.74675594596</v>
      </c>
      <c r="F380" s="20">
        <v>198994.92100000003</v>
      </c>
      <c r="G380" s="20">
        <v>219493.04612289133</v>
      </c>
      <c r="H380" s="21">
        <v>0.33070348010025463</v>
      </c>
      <c r="I380" s="21">
        <v>0.10300828292442343</v>
      </c>
      <c r="J380" s="21">
        <v>0.25586474455380648</v>
      </c>
    </row>
    <row r="381" spans="1:10" ht="11.25" customHeight="1" x14ac:dyDescent="0.2">
      <c r="A381" s="30">
        <v>44440</v>
      </c>
      <c r="B381" s="20">
        <v>0</v>
      </c>
      <c r="C381" s="20">
        <v>0</v>
      </c>
      <c r="D381" s="20">
        <v>394886.29064000002</v>
      </c>
      <c r="E381" s="20">
        <v>525476.56119852851</v>
      </c>
      <c r="F381" s="20">
        <v>193336.87539999999</v>
      </c>
      <c r="G381" s="20">
        <v>213252.17496092722</v>
      </c>
      <c r="H381" s="21">
        <v>0.33070348010025441</v>
      </c>
      <c r="I381" s="21">
        <v>0.10300828292442366</v>
      </c>
      <c r="J381" s="21">
        <v>0.25586474455380603</v>
      </c>
    </row>
    <row r="382" spans="1:10" ht="11.25" customHeight="1" x14ac:dyDescent="0.2">
      <c r="A382" s="30">
        <v>44470</v>
      </c>
      <c r="B382" s="20">
        <v>0</v>
      </c>
      <c r="C382" s="20">
        <v>0</v>
      </c>
      <c r="D382" s="20">
        <v>418045.30502000003</v>
      </c>
      <c r="E382" s="20">
        <v>556294.34222968644</v>
      </c>
      <c r="F382" s="20">
        <v>204675.56095000001</v>
      </c>
      <c r="G382" s="20">
        <v>225758.8390400527</v>
      </c>
      <c r="H382" s="21">
        <v>0.33070348010025463</v>
      </c>
      <c r="I382" s="21">
        <v>0.10300828292442343</v>
      </c>
      <c r="J382" s="21">
        <v>0.25586474455380626</v>
      </c>
    </row>
    <row r="383" spans="1:10" ht="11.25" customHeight="1" x14ac:dyDescent="0.2">
      <c r="A383" s="30">
        <v>44501</v>
      </c>
      <c r="B383" s="20">
        <v>0</v>
      </c>
      <c r="C383" s="20">
        <v>0</v>
      </c>
      <c r="D383" s="20">
        <v>497448.2022</v>
      </c>
      <c r="E383" s="20">
        <v>661956.05383715499</v>
      </c>
      <c r="F383" s="20">
        <v>243551.32949999999</v>
      </c>
      <c r="G383" s="20">
        <v>268639.13375575544</v>
      </c>
      <c r="H383" s="21">
        <v>0.33070348010025441</v>
      </c>
      <c r="I383" s="21">
        <v>0.10300828292442321</v>
      </c>
      <c r="J383" s="21">
        <v>0.25586474455380603</v>
      </c>
    </row>
    <row r="384" spans="1:10" ht="11.25" customHeight="1" x14ac:dyDescent="0.2">
      <c r="A384" s="30">
        <v>44531</v>
      </c>
      <c r="B384" s="20">
        <v>0</v>
      </c>
      <c r="C384" s="20">
        <v>0</v>
      </c>
      <c r="D384" s="20">
        <v>636403.36169999989</v>
      </c>
      <c r="E384" s="20">
        <v>846864.16816169105</v>
      </c>
      <c r="F384" s="20">
        <v>311583.96824999998</v>
      </c>
      <c r="G384" s="20">
        <v>343679.69780621061</v>
      </c>
      <c r="H384" s="21">
        <v>0.33070348010025485</v>
      </c>
      <c r="I384" s="21">
        <v>0.10300828292442366</v>
      </c>
      <c r="J384" s="21">
        <v>0.25586474455380648</v>
      </c>
    </row>
    <row r="385" spans="1:10" ht="11.25" customHeight="1" x14ac:dyDescent="0.2">
      <c r="A385" s="30">
        <v>44562</v>
      </c>
      <c r="B385" s="20">
        <v>0</v>
      </c>
      <c r="C385" s="20">
        <v>0</v>
      </c>
      <c r="D385" s="20">
        <v>763809.24303999997</v>
      </c>
      <c r="E385" s="20">
        <v>1016403.6178460692</v>
      </c>
      <c r="F385" s="20">
        <v>373962.06439999997</v>
      </c>
      <c r="G385" s="20">
        <v>412483.2545327167</v>
      </c>
      <c r="H385" s="21">
        <v>0.33070348010025463</v>
      </c>
      <c r="I385" s="21">
        <v>0.10300828292442366</v>
      </c>
      <c r="J385" s="21">
        <v>0.25586474455380648</v>
      </c>
    </row>
    <row r="386" spans="1:10" ht="11.25" customHeight="1" x14ac:dyDescent="0.2">
      <c r="A386" s="30">
        <v>44593</v>
      </c>
      <c r="B386" s="20">
        <v>0</v>
      </c>
      <c r="C386" s="20">
        <v>0</v>
      </c>
      <c r="D386" s="20">
        <v>764379.48060000001</v>
      </c>
      <c r="E386" s="20">
        <v>1017162.434951645</v>
      </c>
      <c r="F386" s="20">
        <v>374241.25350000005</v>
      </c>
      <c r="G386" s="20">
        <v>412791.20242251892</v>
      </c>
      <c r="H386" s="21">
        <v>0.33070348010025441</v>
      </c>
      <c r="I386" s="21">
        <v>0.10300828292442343</v>
      </c>
      <c r="J386" s="21">
        <v>0.25586474455380626</v>
      </c>
    </row>
    <row r="387" spans="1:10" ht="11.25" customHeight="1" x14ac:dyDescent="0.2">
      <c r="A387" s="30">
        <v>44621</v>
      </c>
      <c r="B387" s="20">
        <v>0</v>
      </c>
      <c r="C387" s="20">
        <v>0</v>
      </c>
      <c r="D387" s="20">
        <v>661429.42113999999</v>
      </c>
      <c r="E387" s="20">
        <v>880166.43255169492</v>
      </c>
      <c r="F387" s="20">
        <v>323836.76165</v>
      </c>
      <c r="G387" s="20">
        <v>357194.63041537238</v>
      </c>
      <c r="H387" s="21">
        <v>0.33070348010025463</v>
      </c>
      <c r="I387" s="21">
        <v>0.10300828292442366</v>
      </c>
      <c r="J387" s="21">
        <v>0.25586474455380648</v>
      </c>
    </row>
    <row r="388" spans="1:10" ht="11.25" customHeight="1" x14ac:dyDescent="0.2">
      <c r="A388" s="30">
        <v>44652</v>
      </c>
      <c r="B388" s="20">
        <v>0</v>
      </c>
      <c r="C388" s="20">
        <v>0</v>
      </c>
      <c r="D388" s="20">
        <v>638982.30935999996</v>
      </c>
      <c r="E388" s="20">
        <v>850295.98278784927</v>
      </c>
      <c r="F388" s="20">
        <v>312846.62459999992</v>
      </c>
      <c r="G388" s="20">
        <v>345072.41821874765</v>
      </c>
      <c r="H388" s="21">
        <v>0.33070348010025441</v>
      </c>
      <c r="I388" s="21">
        <v>0.10300828292442366</v>
      </c>
      <c r="J388" s="21">
        <v>0.25586474455380626</v>
      </c>
    </row>
    <row r="389" spans="1:10" ht="11.25" customHeight="1" x14ac:dyDescent="0.2">
      <c r="A389" s="30">
        <v>44682</v>
      </c>
      <c r="B389" s="20">
        <v>0</v>
      </c>
      <c r="C389" s="20">
        <v>0</v>
      </c>
      <c r="D389" s="20">
        <v>529757.49029999995</v>
      </c>
      <c r="E389" s="20">
        <v>704950.13595138676</v>
      </c>
      <c r="F389" s="20">
        <v>259370.00174999997</v>
      </c>
      <c r="G389" s="20">
        <v>286087.26027237222</v>
      </c>
      <c r="H389" s="21">
        <v>0.33070348010025463</v>
      </c>
      <c r="I389" s="21">
        <v>0.10300828292442366</v>
      </c>
      <c r="J389" s="21">
        <v>0.25586474455380648</v>
      </c>
    </row>
    <row r="390" spans="1:10" ht="11.25" customHeight="1" x14ac:dyDescent="0.2">
      <c r="A390" s="30">
        <v>44713</v>
      </c>
      <c r="B390" s="20">
        <v>0</v>
      </c>
      <c r="C390" s="20">
        <v>0</v>
      </c>
      <c r="D390" s="20">
        <v>484853.25001999998</v>
      </c>
      <c r="E390" s="20">
        <v>645195.90713953285</v>
      </c>
      <c r="F390" s="20">
        <v>237384.82345000003</v>
      </c>
      <c r="G390" s="20">
        <v>261837.42650590194</v>
      </c>
      <c r="H390" s="21">
        <v>0.33070348010025463</v>
      </c>
      <c r="I390" s="21">
        <v>0.10300828292442343</v>
      </c>
      <c r="J390" s="21">
        <v>0.25586474455380648</v>
      </c>
    </row>
    <row r="391" spans="1:10" ht="11.25" customHeight="1" x14ac:dyDescent="0.2">
      <c r="A391" s="23" t="s">
        <v>37</v>
      </c>
      <c r="B391" s="20">
        <v>0</v>
      </c>
      <c r="C391" s="20">
        <v>0</v>
      </c>
      <c r="D391" s="20">
        <v>4791242.2508451995</v>
      </c>
      <c r="E391" s="20">
        <v>5969319.8758090455</v>
      </c>
      <c r="F391" s="20">
        <v>2343633.327873799</v>
      </c>
      <c r="G391" s="20">
        <v>2420117.1924457443</v>
      </c>
      <c r="H391" s="21">
        <v>0.24588145689273455</v>
      </c>
      <c r="I391" s="21">
        <v>3.2634740111557203E-2</v>
      </c>
      <c r="J391" s="21">
        <v>0.17583509000181197</v>
      </c>
    </row>
    <row r="392" spans="1:10" ht="11.25" customHeight="1" x14ac:dyDescent="0.2">
      <c r="A392" s="24" t="s">
        <v>33</v>
      </c>
      <c r="B392" s="20">
        <v>0</v>
      </c>
      <c r="C392" s="20">
        <v>0</v>
      </c>
      <c r="D392" s="20">
        <v>13037.7249276</v>
      </c>
      <c r="E392" s="20">
        <v>16760.170828177434</v>
      </c>
      <c r="F392" s="20">
        <v>4250.1565823999999</v>
      </c>
      <c r="G392" s="20">
        <v>4412.2925418288987</v>
      </c>
      <c r="H392" s="21">
        <v>0.28551345585588028</v>
      </c>
      <c r="I392" s="21">
        <v>3.8148232020511319E-2</v>
      </c>
      <c r="J392" s="21">
        <v>0.22469970411119111</v>
      </c>
    </row>
    <row r="393" spans="1:10" ht="11.25" customHeight="1" x14ac:dyDescent="0.2">
      <c r="A393" s="25" t="s">
        <v>41</v>
      </c>
      <c r="B393" s="20">
        <v>0</v>
      </c>
      <c r="C393" s="20">
        <v>0</v>
      </c>
      <c r="D393" s="20">
        <v>1835.8283899999997</v>
      </c>
      <c r="E393" s="20">
        <v>2358.1784757002724</v>
      </c>
      <c r="F393" s="20">
        <v>915.24824000000001</v>
      </c>
      <c r="G393" s="20">
        <v>944.58731552421443</v>
      </c>
      <c r="H393" s="21">
        <v>0.28453099894607958</v>
      </c>
      <c r="I393" s="21">
        <v>3.2055866640305686E-2</v>
      </c>
      <c r="J393" s="21">
        <v>0.2005357303422286</v>
      </c>
    </row>
    <row r="394" spans="1:10" ht="11.25" customHeight="1" x14ac:dyDescent="0.2">
      <c r="A394" s="26" t="s">
        <v>25</v>
      </c>
      <c r="B394" s="20">
        <v>0</v>
      </c>
      <c r="C394" s="20">
        <v>0</v>
      </c>
      <c r="D394" s="20">
        <v>1835.8283899999997</v>
      </c>
      <c r="E394" s="20">
        <v>2358.1784757002724</v>
      </c>
      <c r="F394" s="20">
        <v>915.24824000000001</v>
      </c>
      <c r="G394" s="20">
        <v>944.58731552421443</v>
      </c>
      <c r="H394" s="21">
        <v>0.28453099894607958</v>
      </c>
      <c r="I394" s="21">
        <v>3.2055866640305686E-2</v>
      </c>
      <c r="J394" s="21">
        <v>0.2005357303422286</v>
      </c>
    </row>
    <row r="395" spans="1:10" ht="11.25" customHeight="1" x14ac:dyDescent="0.2">
      <c r="A395" s="27" t="s">
        <v>25</v>
      </c>
      <c r="B395" s="20">
        <v>0</v>
      </c>
      <c r="C395" s="20">
        <v>0</v>
      </c>
      <c r="D395" s="20">
        <v>1835.8283899999997</v>
      </c>
      <c r="E395" s="20">
        <v>2358.1784757002724</v>
      </c>
      <c r="F395" s="20">
        <v>915.24824000000001</v>
      </c>
      <c r="G395" s="20">
        <v>944.58731552421443</v>
      </c>
      <c r="H395" s="21">
        <v>0.28453099894607958</v>
      </c>
      <c r="I395" s="21">
        <v>3.2055866640305686E-2</v>
      </c>
      <c r="J395" s="21">
        <v>0.2005357303422286</v>
      </c>
    </row>
    <row r="396" spans="1:10" ht="11.25" customHeight="1" x14ac:dyDescent="0.2">
      <c r="A396" s="28" t="s">
        <v>25</v>
      </c>
      <c r="B396" s="20">
        <v>0</v>
      </c>
      <c r="C396" s="20">
        <v>0</v>
      </c>
      <c r="D396" s="20">
        <v>1835.8283899999997</v>
      </c>
      <c r="E396" s="20">
        <v>2358.1784757002724</v>
      </c>
      <c r="F396" s="20">
        <v>915.24824000000001</v>
      </c>
      <c r="G396" s="20">
        <v>944.58731552421443</v>
      </c>
      <c r="H396" s="21">
        <v>0.28453099894607958</v>
      </c>
      <c r="I396" s="21">
        <v>3.2055866640305686E-2</v>
      </c>
      <c r="J396" s="21">
        <v>0.2005357303422286</v>
      </c>
    </row>
    <row r="397" spans="1:10" ht="11.25" customHeight="1" x14ac:dyDescent="0.2">
      <c r="A397" s="29" t="s">
        <v>35</v>
      </c>
      <c r="B397" s="20">
        <v>0</v>
      </c>
      <c r="C397" s="20">
        <v>0</v>
      </c>
      <c r="D397" s="20">
        <v>1271.6781600000002</v>
      </c>
      <c r="E397" s="20">
        <v>1632.8874473239373</v>
      </c>
      <c r="F397" s="20">
        <v>766.29863999999998</v>
      </c>
      <c r="G397" s="20">
        <v>790.24878952910058</v>
      </c>
      <c r="H397" s="21">
        <v>0.28404143334814935</v>
      </c>
      <c r="I397" s="21">
        <v>3.1254328637593032E-2</v>
      </c>
      <c r="J397" s="21">
        <v>0.18899108019926336</v>
      </c>
    </row>
    <row r="398" spans="1:10" ht="11.25" customHeight="1" x14ac:dyDescent="0.2">
      <c r="A398" s="30">
        <v>44378</v>
      </c>
      <c r="B398" s="20">
        <v>0</v>
      </c>
      <c r="C398" s="20">
        <v>0</v>
      </c>
      <c r="D398" s="20">
        <v>135.23796000000002</v>
      </c>
      <c r="E398" s="20">
        <v>173.65114400147974</v>
      </c>
      <c r="F398" s="20">
        <v>81.492840000000001</v>
      </c>
      <c r="G398" s="20">
        <v>84.039844002970767</v>
      </c>
      <c r="H398" s="21">
        <v>0.28404143334814957</v>
      </c>
      <c r="I398" s="21">
        <v>3.125432863759281E-2</v>
      </c>
      <c r="J398" s="21">
        <v>0.18899108019926314</v>
      </c>
    </row>
    <row r="399" spans="1:10" ht="11.25" customHeight="1" x14ac:dyDescent="0.2">
      <c r="A399" s="30">
        <v>44409</v>
      </c>
      <c r="B399" s="20">
        <v>0</v>
      </c>
      <c r="C399" s="20">
        <v>0</v>
      </c>
      <c r="D399" s="20">
        <v>108.75779999999999</v>
      </c>
      <c r="E399" s="20">
        <v>139.64952139979138</v>
      </c>
      <c r="F399" s="20">
        <v>65.536199999999994</v>
      </c>
      <c r="G399" s="20">
        <v>67.584489932459007</v>
      </c>
      <c r="H399" s="21">
        <v>0.2840414333481498</v>
      </c>
      <c r="I399" s="21">
        <v>3.125432863759281E-2</v>
      </c>
      <c r="J399" s="21">
        <v>0.18899108019926336</v>
      </c>
    </row>
    <row r="400" spans="1:10" ht="11.25" customHeight="1" x14ac:dyDescent="0.2">
      <c r="A400" s="30">
        <v>44440</v>
      </c>
      <c r="B400" s="20">
        <v>0</v>
      </c>
      <c r="C400" s="20">
        <v>0</v>
      </c>
      <c r="D400" s="20">
        <v>61.787040000000005</v>
      </c>
      <c r="E400" s="20">
        <v>79.337119403939454</v>
      </c>
      <c r="F400" s="20">
        <v>37.23216</v>
      </c>
      <c r="G400" s="20">
        <v>38.395826164527442</v>
      </c>
      <c r="H400" s="21">
        <v>0.28404143334814957</v>
      </c>
      <c r="I400" s="21">
        <v>3.125432863759281E-2</v>
      </c>
      <c r="J400" s="21">
        <v>0.18899108019926336</v>
      </c>
    </row>
    <row r="401" spans="1:10" ht="11.25" customHeight="1" x14ac:dyDescent="0.2">
      <c r="A401" s="30">
        <v>44470</v>
      </c>
      <c r="B401" s="20">
        <v>0</v>
      </c>
      <c r="C401" s="20">
        <v>0</v>
      </c>
      <c r="D401" s="20">
        <v>60.52608</v>
      </c>
      <c r="E401" s="20">
        <v>77.717994518144778</v>
      </c>
      <c r="F401" s="20">
        <v>36.472320000000003</v>
      </c>
      <c r="G401" s="20">
        <v>37.612237875455456</v>
      </c>
      <c r="H401" s="21">
        <v>0.2840414333481498</v>
      </c>
      <c r="I401" s="21">
        <v>3.125432863759281E-2</v>
      </c>
      <c r="J401" s="21">
        <v>0.18899108019926336</v>
      </c>
    </row>
    <row r="402" spans="1:10" ht="11.25" customHeight="1" x14ac:dyDescent="0.2">
      <c r="A402" s="30">
        <v>44501</v>
      </c>
      <c r="B402" s="20">
        <v>0</v>
      </c>
      <c r="C402" s="20">
        <v>0</v>
      </c>
      <c r="D402" s="20">
        <v>90.158639999999991</v>
      </c>
      <c r="E402" s="20">
        <v>115.76742933431981</v>
      </c>
      <c r="F402" s="20">
        <v>54.328559999999996</v>
      </c>
      <c r="G402" s="20">
        <v>56.02656266864718</v>
      </c>
      <c r="H402" s="21">
        <v>0.2840414333481498</v>
      </c>
      <c r="I402" s="21">
        <v>3.125432863759281E-2</v>
      </c>
      <c r="J402" s="21">
        <v>0.18899108019926358</v>
      </c>
    </row>
    <row r="403" spans="1:10" ht="11.25" customHeight="1" x14ac:dyDescent="0.2">
      <c r="A403" s="30">
        <v>44531</v>
      </c>
      <c r="B403" s="20">
        <v>0</v>
      </c>
      <c r="C403" s="20">
        <v>0</v>
      </c>
      <c r="D403" s="20">
        <v>124.20456000000001</v>
      </c>
      <c r="E403" s="20">
        <v>159.48380125077625</v>
      </c>
      <c r="F403" s="20">
        <v>74.844240000000013</v>
      </c>
      <c r="G403" s="20">
        <v>77.183446473590877</v>
      </c>
      <c r="H403" s="21">
        <v>0.28404143334814957</v>
      </c>
      <c r="I403" s="21">
        <v>3.125432863759281E-2</v>
      </c>
      <c r="J403" s="21">
        <v>0.18899108019926314</v>
      </c>
    </row>
    <row r="404" spans="1:10" ht="11.25" customHeight="1" x14ac:dyDescent="0.2">
      <c r="A404" s="30">
        <v>44562</v>
      </c>
      <c r="B404" s="20">
        <v>0</v>
      </c>
      <c r="C404" s="20">
        <v>0</v>
      </c>
      <c r="D404" s="20">
        <v>149.42375999999999</v>
      </c>
      <c r="E404" s="20">
        <v>191.86629896666989</v>
      </c>
      <c r="F404" s="20">
        <v>90.041039999999995</v>
      </c>
      <c r="G404" s="20">
        <v>92.855212255030636</v>
      </c>
      <c r="H404" s="21">
        <v>0.28404143334814957</v>
      </c>
      <c r="I404" s="21">
        <v>3.125432863759281E-2</v>
      </c>
      <c r="J404" s="21">
        <v>0.18899108019926358</v>
      </c>
    </row>
    <row r="405" spans="1:10" ht="11.25" customHeight="1" x14ac:dyDescent="0.2">
      <c r="A405" s="30">
        <v>44593</v>
      </c>
      <c r="B405" s="20">
        <v>0</v>
      </c>
      <c r="C405" s="20">
        <v>0</v>
      </c>
      <c r="D405" s="20">
        <v>186.93732</v>
      </c>
      <c r="E405" s="20">
        <v>240.0352643190617</v>
      </c>
      <c r="F405" s="20">
        <v>112.64628</v>
      </c>
      <c r="G405" s="20">
        <v>116.1669638549223</v>
      </c>
      <c r="H405" s="21">
        <v>0.28404143334814957</v>
      </c>
      <c r="I405" s="21">
        <v>3.125432863759281E-2</v>
      </c>
      <c r="J405" s="21">
        <v>0.18899108019926336</v>
      </c>
    </row>
    <row r="406" spans="1:10" ht="11.25" customHeight="1" x14ac:dyDescent="0.2">
      <c r="A406" s="30">
        <v>44621</v>
      </c>
      <c r="B406" s="20">
        <v>0</v>
      </c>
      <c r="C406" s="20">
        <v>0</v>
      </c>
      <c r="D406" s="20">
        <v>145.0104</v>
      </c>
      <c r="E406" s="20">
        <v>186.19936186638853</v>
      </c>
      <c r="F406" s="20">
        <v>87.381600000000006</v>
      </c>
      <c r="G406" s="20">
        <v>90.112653243278686</v>
      </c>
      <c r="H406" s="21">
        <v>0.28404143334814957</v>
      </c>
      <c r="I406" s="21">
        <v>3.125432863759281E-2</v>
      </c>
      <c r="J406" s="21">
        <v>0.18899108019926336</v>
      </c>
    </row>
    <row r="407" spans="1:10" ht="11.25" customHeight="1" x14ac:dyDescent="0.2">
      <c r="A407" s="30">
        <v>44652</v>
      </c>
      <c r="B407" s="20">
        <v>0</v>
      </c>
      <c r="C407" s="20">
        <v>0</v>
      </c>
      <c r="D407" s="20">
        <v>57.058439999999997</v>
      </c>
      <c r="E407" s="20">
        <v>73.265401082209394</v>
      </c>
      <c r="F407" s="20">
        <v>34.382759999999998</v>
      </c>
      <c r="G407" s="20">
        <v>35.457370080507481</v>
      </c>
      <c r="H407" s="21">
        <v>0.28404143334814957</v>
      </c>
      <c r="I407" s="21">
        <v>3.125432863759281E-2</v>
      </c>
      <c r="J407" s="21">
        <v>0.18899108019926336</v>
      </c>
    </row>
    <row r="408" spans="1:10" ht="11.25" customHeight="1" x14ac:dyDescent="0.2">
      <c r="A408" s="30">
        <v>44682</v>
      </c>
      <c r="B408" s="20">
        <v>0</v>
      </c>
      <c r="C408" s="20">
        <v>0</v>
      </c>
      <c r="D408" s="20">
        <v>44.133600000000008</v>
      </c>
      <c r="E408" s="20">
        <v>56.669371002813904</v>
      </c>
      <c r="F408" s="20">
        <v>26.594400000000004</v>
      </c>
      <c r="G408" s="20">
        <v>27.425590117519604</v>
      </c>
      <c r="H408" s="21">
        <v>0.28404143334814957</v>
      </c>
      <c r="I408" s="21">
        <v>3.125432863759281E-2</v>
      </c>
      <c r="J408" s="21">
        <v>0.18899108019926336</v>
      </c>
    </row>
    <row r="409" spans="1:10" ht="11.25" customHeight="1" x14ac:dyDescent="0.2">
      <c r="A409" s="30">
        <v>44713</v>
      </c>
      <c r="B409" s="20">
        <v>0</v>
      </c>
      <c r="C409" s="20">
        <v>0</v>
      </c>
      <c r="D409" s="20">
        <v>108.44256</v>
      </c>
      <c r="E409" s="20">
        <v>139.24474017834271</v>
      </c>
      <c r="F409" s="20">
        <v>65.346239999999995</v>
      </c>
      <c r="G409" s="20">
        <v>67.388592860191011</v>
      </c>
      <c r="H409" s="21">
        <v>0.28404143334814957</v>
      </c>
      <c r="I409" s="21">
        <v>3.125432863759281E-2</v>
      </c>
      <c r="J409" s="21">
        <v>0.18899108019926336</v>
      </c>
    </row>
    <row r="410" spans="1:10" ht="11.25" customHeight="1" x14ac:dyDescent="0.2">
      <c r="A410" s="29" t="s">
        <v>36</v>
      </c>
      <c r="B410" s="20">
        <v>0</v>
      </c>
      <c r="C410" s="20">
        <v>0</v>
      </c>
      <c r="D410" s="20">
        <v>308.11466000000001</v>
      </c>
      <c r="E410" s="20">
        <v>396.06619408926571</v>
      </c>
      <c r="F410" s="20">
        <v>81.112920000000017</v>
      </c>
      <c r="G410" s="20">
        <v>83.648049858434788</v>
      </c>
      <c r="H410" s="21">
        <v>0.28545066336429969</v>
      </c>
      <c r="I410" s="21">
        <v>3.125432863759281E-2</v>
      </c>
      <c r="J410" s="21">
        <v>0.23247752368344621</v>
      </c>
    </row>
    <row r="411" spans="1:10" ht="11.25" customHeight="1" x14ac:dyDescent="0.2">
      <c r="A411" s="30">
        <v>44378</v>
      </c>
      <c r="B411" s="20">
        <v>0</v>
      </c>
      <c r="C411" s="20">
        <v>0</v>
      </c>
      <c r="D411" s="20">
        <v>23.090560000000004</v>
      </c>
      <c r="E411" s="20">
        <v>29.681775669453167</v>
      </c>
      <c r="F411" s="20">
        <v>6.0787200000000006</v>
      </c>
      <c r="G411" s="20">
        <v>6.268706312575909</v>
      </c>
      <c r="H411" s="21">
        <v>0.28545066336429969</v>
      </c>
      <c r="I411" s="21">
        <v>3.125432863759281E-2</v>
      </c>
      <c r="J411" s="21">
        <v>0.23247752368344599</v>
      </c>
    </row>
    <row r="412" spans="1:10" ht="11.25" customHeight="1" x14ac:dyDescent="0.2">
      <c r="A412" s="30">
        <v>44409</v>
      </c>
      <c r="B412" s="20">
        <v>0</v>
      </c>
      <c r="C412" s="20">
        <v>0</v>
      </c>
      <c r="D412" s="20">
        <v>17.317920000000001</v>
      </c>
      <c r="E412" s="20">
        <v>22.261331752089877</v>
      </c>
      <c r="F412" s="20">
        <v>4.5590400000000004</v>
      </c>
      <c r="G412" s="20">
        <v>4.701529734431932</v>
      </c>
      <c r="H412" s="21">
        <v>0.28545066336429992</v>
      </c>
      <c r="I412" s="21">
        <v>3.125432863759281E-2</v>
      </c>
      <c r="J412" s="21">
        <v>0.23247752368344643</v>
      </c>
    </row>
    <row r="413" spans="1:10" ht="11.25" customHeight="1" x14ac:dyDescent="0.2">
      <c r="A413" s="30">
        <v>44440</v>
      </c>
      <c r="B413" s="20">
        <v>0</v>
      </c>
      <c r="C413" s="20">
        <v>0</v>
      </c>
      <c r="D413" s="20">
        <v>9.3805399999999999</v>
      </c>
      <c r="E413" s="20">
        <v>12.058221365715349</v>
      </c>
      <c r="F413" s="20">
        <v>2.4694799999999999</v>
      </c>
      <c r="G413" s="20">
        <v>2.5466619394839629</v>
      </c>
      <c r="H413" s="21">
        <v>0.28545066336429992</v>
      </c>
      <c r="I413" s="21">
        <v>3.1254328637593032E-2</v>
      </c>
      <c r="J413" s="21">
        <v>0.23247752368344621</v>
      </c>
    </row>
    <row r="414" spans="1:10" ht="11.25" customHeight="1" x14ac:dyDescent="0.2">
      <c r="A414" s="30">
        <v>44470</v>
      </c>
      <c r="B414" s="20">
        <v>0</v>
      </c>
      <c r="C414" s="20">
        <v>0</v>
      </c>
      <c r="D414" s="20">
        <v>12.266860000000001</v>
      </c>
      <c r="E414" s="20">
        <v>15.768443324396996</v>
      </c>
      <c r="F414" s="20">
        <v>3.2293200000000004</v>
      </c>
      <c r="G414" s="20">
        <v>3.3302502285559519</v>
      </c>
      <c r="H414" s="21">
        <v>0.28545066336429969</v>
      </c>
      <c r="I414" s="21">
        <v>3.125432863759281E-2</v>
      </c>
      <c r="J414" s="21">
        <v>0.23247752368344621</v>
      </c>
    </row>
    <row r="415" spans="1:10" ht="11.25" customHeight="1" x14ac:dyDescent="0.2">
      <c r="A415" s="30">
        <v>44501</v>
      </c>
      <c r="B415" s="20">
        <v>0</v>
      </c>
      <c r="C415" s="20">
        <v>0</v>
      </c>
      <c r="D415" s="20">
        <v>28.863200000000003</v>
      </c>
      <c r="E415" s="20">
        <v>37.10221958681646</v>
      </c>
      <c r="F415" s="20">
        <v>7.5984000000000007</v>
      </c>
      <c r="G415" s="20">
        <v>7.8358828907198861</v>
      </c>
      <c r="H415" s="21">
        <v>0.28545066336429969</v>
      </c>
      <c r="I415" s="21">
        <v>3.125432863759281E-2</v>
      </c>
      <c r="J415" s="21">
        <v>0.23247752368344621</v>
      </c>
    </row>
    <row r="416" spans="1:10" ht="11.25" customHeight="1" x14ac:dyDescent="0.2">
      <c r="A416" s="30">
        <v>44531</v>
      </c>
      <c r="B416" s="20">
        <v>0</v>
      </c>
      <c r="C416" s="20">
        <v>0</v>
      </c>
      <c r="D416" s="20">
        <v>37.52216</v>
      </c>
      <c r="E416" s="20">
        <v>48.232885462861397</v>
      </c>
      <c r="F416" s="20">
        <v>9.8779199999999996</v>
      </c>
      <c r="G416" s="20">
        <v>10.186647757935852</v>
      </c>
      <c r="H416" s="21">
        <v>0.28545066336429992</v>
      </c>
      <c r="I416" s="21">
        <v>3.1254328637593032E-2</v>
      </c>
      <c r="J416" s="21">
        <v>0.23247752368344621</v>
      </c>
    </row>
    <row r="417" spans="1:10" ht="11.25" customHeight="1" x14ac:dyDescent="0.2">
      <c r="A417" s="30">
        <v>44562</v>
      </c>
      <c r="B417" s="20">
        <v>0</v>
      </c>
      <c r="C417" s="20">
        <v>0</v>
      </c>
      <c r="D417" s="20">
        <v>44.016379999999998</v>
      </c>
      <c r="E417" s="20">
        <v>56.580884869895101</v>
      </c>
      <c r="F417" s="20">
        <v>11.58756</v>
      </c>
      <c r="G417" s="20">
        <v>11.949721408347825</v>
      </c>
      <c r="H417" s="21">
        <v>0.28545066336429992</v>
      </c>
      <c r="I417" s="21">
        <v>3.125432863759281E-2</v>
      </c>
      <c r="J417" s="21">
        <v>0.23247752368344643</v>
      </c>
    </row>
    <row r="418" spans="1:10" ht="11.25" customHeight="1" x14ac:dyDescent="0.2">
      <c r="A418" s="30">
        <v>44593</v>
      </c>
      <c r="B418" s="20">
        <v>0</v>
      </c>
      <c r="C418" s="20">
        <v>0</v>
      </c>
      <c r="D418" s="20">
        <v>49.789020000000008</v>
      </c>
      <c r="E418" s="20">
        <v>64.001328787258402</v>
      </c>
      <c r="F418" s="20">
        <v>13.107240000000001</v>
      </c>
      <c r="G418" s="20">
        <v>13.516897986491804</v>
      </c>
      <c r="H418" s="21">
        <v>0.28545066336429992</v>
      </c>
      <c r="I418" s="21">
        <v>3.125432863759281E-2</v>
      </c>
      <c r="J418" s="21">
        <v>0.23247752368344621</v>
      </c>
    </row>
    <row r="419" spans="1:10" ht="11.25" customHeight="1" x14ac:dyDescent="0.2">
      <c r="A419" s="30">
        <v>44621</v>
      </c>
      <c r="B419" s="20">
        <v>0</v>
      </c>
      <c r="C419" s="20">
        <v>0</v>
      </c>
      <c r="D419" s="20">
        <v>38.243740000000003</v>
      </c>
      <c r="E419" s="20">
        <v>49.160440952531808</v>
      </c>
      <c r="F419" s="20">
        <v>10.067880000000001</v>
      </c>
      <c r="G419" s="20">
        <v>10.382544830203848</v>
      </c>
      <c r="H419" s="21">
        <v>0.28545066336429969</v>
      </c>
      <c r="I419" s="21">
        <v>3.125432863759281E-2</v>
      </c>
      <c r="J419" s="21">
        <v>0.23247752368344621</v>
      </c>
    </row>
    <row r="420" spans="1:10" ht="11.25" customHeight="1" x14ac:dyDescent="0.2">
      <c r="A420" s="30">
        <v>44652</v>
      </c>
      <c r="B420" s="20">
        <v>0</v>
      </c>
      <c r="C420" s="20">
        <v>0</v>
      </c>
      <c r="D420" s="20">
        <v>17.317920000000001</v>
      </c>
      <c r="E420" s="20">
        <v>22.261331752089877</v>
      </c>
      <c r="F420" s="20">
        <v>4.5590400000000004</v>
      </c>
      <c r="G420" s="20">
        <v>4.701529734431932</v>
      </c>
      <c r="H420" s="21">
        <v>0.28545066336429992</v>
      </c>
      <c r="I420" s="21">
        <v>3.125432863759281E-2</v>
      </c>
      <c r="J420" s="21">
        <v>0.23247752368344643</v>
      </c>
    </row>
    <row r="421" spans="1:10" ht="11.25" customHeight="1" x14ac:dyDescent="0.2">
      <c r="A421" s="30">
        <v>44682</v>
      </c>
      <c r="B421" s="20">
        <v>0</v>
      </c>
      <c r="C421" s="20">
        <v>0</v>
      </c>
      <c r="D421" s="20">
        <v>9.3805399999999999</v>
      </c>
      <c r="E421" s="20">
        <v>12.058221365715349</v>
      </c>
      <c r="F421" s="20">
        <v>2.4694799999999999</v>
      </c>
      <c r="G421" s="20">
        <v>2.5466619394839629</v>
      </c>
      <c r="H421" s="21">
        <v>0.28545066336429992</v>
      </c>
      <c r="I421" s="21">
        <v>3.1254328637593032E-2</v>
      </c>
      <c r="J421" s="21">
        <v>0.23247752368344621</v>
      </c>
    </row>
    <row r="422" spans="1:10" ht="11.25" customHeight="1" x14ac:dyDescent="0.2">
      <c r="A422" s="30">
        <v>44713</v>
      </c>
      <c r="B422" s="20">
        <v>0</v>
      </c>
      <c r="C422" s="20">
        <v>0</v>
      </c>
      <c r="D422" s="20">
        <v>20.925820000000002</v>
      </c>
      <c r="E422" s="20">
        <v>26.899109200441934</v>
      </c>
      <c r="F422" s="20">
        <v>5.5088400000000002</v>
      </c>
      <c r="G422" s="20">
        <v>5.6810150957719179</v>
      </c>
      <c r="H422" s="21">
        <v>0.28545066336429992</v>
      </c>
      <c r="I422" s="21">
        <v>3.1254328637593032E-2</v>
      </c>
      <c r="J422" s="21">
        <v>0.23247752368344643</v>
      </c>
    </row>
    <row r="423" spans="1:10" ht="11.25" customHeight="1" x14ac:dyDescent="0.2">
      <c r="A423" s="29" t="s">
        <v>34</v>
      </c>
      <c r="B423" s="20">
        <v>0</v>
      </c>
      <c r="C423" s="20">
        <v>0</v>
      </c>
      <c r="D423" s="20">
        <v>256.03557000000001</v>
      </c>
      <c r="E423" s="20">
        <v>329.22483428706965</v>
      </c>
      <c r="F423" s="20">
        <v>67.836680000000001</v>
      </c>
      <c r="G423" s="20">
        <v>70.690476136678924</v>
      </c>
      <c r="H423" s="21">
        <v>0.28585584529161179</v>
      </c>
      <c r="I423" s="21">
        <v>4.2068629194101481E-2</v>
      </c>
      <c r="J423" s="21">
        <v>0.23479338048798115</v>
      </c>
    </row>
    <row r="424" spans="1:10" ht="11.25" customHeight="1" x14ac:dyDescent="0.2">
      <c r="A424" s="30">
        <v>44378</v>
      </c>
      <c r="B424" s="20">
        <v>0</v>
      </c>
      <c r="C424" s="20">
        <v>0</v>
      </c>
      <c r="D424" s="20">
        <v>21.430289999999999</v>
      </c>
      <c r="E424" s="20">
        <v>27.556263662794375</v>
      </c>
      <c r="F424" s="20">
        <v>5.6779599999999997</v>
      </c>
      <c r="G424" s="20">
        <v>5.9168239938189409</v>
      </c>
      <c r="H424" s="21">
        <v>0.28585584529161179</v>
      </c>
      <c r="I424" s="21">
        <v>4.2068629194101703E-2</v>
      </c>
      <c r="J424" s="21">
        <v>0.23479338048798137</v>
      </c>
    </row>
    <row r="425" spans="1:10" ht="11.25" customHeight="1" x14ac:dyDescent="0.2">
      <c r="A425" s="30">
        <v>44409</v>
      </c>
      <c r="B425" s="20">
        <v>0</v>
      </c>
      <c r="C425" s="20">
        <v>0</v>
      </c>
      <c r="D425" s="20">
        <v>22.558200000000003</v>
      </c>
      <c r="E425" s="20">
        <v>29.006593329257239</v>
      </c>
      <c r="F425" s="20">
        <v>5.9767999999999999</v>
      </c>
      <c r="G425" s="20">
        <v>6.2282357829673058</v>
      </c>
      <c r="H425" s="21">
        <v>0.28585584529161179</v>
      </c>
      <c r="I425" s="21">
        <v>4.2068629194101481E-2</v>
      </c>
      <c r="J425" s="21">
        <v>0.23479338048798115</v>
      </c>
    </row>
    <row r="426" spans="1:10" ht="11.25" customHeight="1" x14ac:dyDescent="0.2">
      <c r="A426" s="30">
        <v>44440</v>
      </c>
      <c r="B426" s="20">
        <v>0</v>
      </c>
      <c r="C426" s="20">
        <v>0</v>
      </c>
      <c r="D426" s="20">
        <v>15.790740000000001</v>
      </c>
      <c r="E426" s="20">
        <v>20.304615330480068</v>
      </c>
      <c r="F426" s="20">
        <v>4.1837599999999995</v>
      </c>
      <c r="G426" s="20">
        <v>4.3597650480771142</v>
      </c>
      <c r="H426" s="21">
        <v>0.28585584529161179</v>
      </c>
      <c r="I426" s="21">
        <v>4.2068629194101703E-2</v>
      </c>
      <c r="J426" s="21">
        <v>0.23479338048798137</v>
      </c>
    </row>
    <row r="427" spans="1:10" ht="11.25" customHeight="1" x14ac:dyDescent="0.2">
      <c r="A427" s="30">
        <v>44470</v>
      </c>
      <c r="B427" s="20">
        <v>0</v>
      </c>
      <c r="C427" s="20">
        <v>0</v>
      </c>
      <c r="D427" s="20">
        <v>16.91865</v>
      </c>
      <c r="E427" s="20">
        <v>21.754944996942928</v>
      </c>
      <c r="F427" s="20">
        <v>4.4825999999999997</v>
      </c>
      <c r="G427" s="20">
        <v>4.6711768372254792</v>
      </c>
      <c r="H427" s="21">
        <v>0.28585584529161179</v>
      </c>
      <c r="I427" s="21">
        <v>4.2068629194101481E-2</v>
      </c>
      <c r="J427" s="21">
        <v>0.23479338048798115</v>
      </c>
    </row>
    <row r="428" spans="1:10" ht="11.25" customHeight="1" x14ac:dyDescent="0.2">
      <c r="A428" s="30">
        <v>44501</v>
      </c>
      <c r="B428" s="20">
        <v>0</v>
      </c>
      <c r="C428" s="20">
        <v>0</v>
      </c>
      <c r="D428" s="20">
        <v>15.790740000000001</v>
      </c>
      <c r="E428" s="20">
        <v>20.304615330480068</v>
      </c>
      <c r="F428" s="20">
        <v>4.1837599999999995</v>
      </c>
      <c r="G428" s="20">
        <v>4.3597650480771142</v>
      </c>
      <c r="H428" s="21">
        <v>0.28585584529161179</v>
      </c>
      <c r="I428" s="21">
        <v>4.2068629194101703E-2</v>
      </c>
      <c r="J428" s="21">
        <v>0.23479338048798137</v>
      </c>
    </row>
    <row r="429" spans="1:10" ht="11.25" customHeight="1" x14ac:dyDescent="0.2">
      <c r="A429" s="30">
        <v>44531</v>
      </c>
      <c r="B429" s="20">
        <v>0</v>
      </c>
      <c r="C429" s="20">
        <v>0</v>
      </c>
      <c r="D429" s="20">
        <v>22.558200000000003</v>
      </c>
      <c r="E429" s="20">
        <v>29.006593329257239</v>
      </c>
      <c r="F429" s="20">
        <v>5.9767999999999999</v>
      </c>
      <c r="G429" s="20">
        <v>6.2282357829673058</v>
      </c>
      <c r="H429" s="21">
        <v>0.28585584529161179</v>
      </c>
      <c r="I429" s="21">
        <v>4.2068629194101481E-2</v>
      </c>
      <c r="J429" s="21">
        <v>0.23479338048798115</v>
      </c>
    </row>
    <row r="430" spans="1:10" ht="11.25" customHeight="1" x14ac:dyDescent="0.2">
      <c r="A430" s="30">
        <v>44562</v>
      </c>
      <c r="B430" s="20">
        <v>0</v>
      </c>
      <c r="C430" s="20">
        <v>0</v>
      </c>
      <c r="D430" s="20">
        <v>22.558200000000003</v>
      </c>
      <c r="E430" s="20">
        <v>29.006593329257239</v>
      </c>
      <c r="F430" s="20">
        <v>5.9767999999999999</v>
      </c>
      <c r="G430" s="20">
        <v>6.2282357829673058</v>
      </c>
      <c r="H430" s="21">
        <v>0.28585584529161179</v>
      </c>
      <c r="I430" s="21">
        <v>4.2068629194101481E-2</v>
      </c>
      <c r="J430" s="21">
        <v>0.23479338048798115</v>
      </c>
    </row>
    <row r="431" spans="1:10" ht="11.25" customHeight="1" x14ac:dyDescent="0.2">
      <c r="A431" s="30">
        <v>44593</v>
      </c>
      <c r="B431" s="20">
        <v>0</v>
      </c>
      <c r="C431" s="20">
        <v>0</v>
      </c>
      <c r="D431" s="20">
        <v>30.453570000000003</v>
      </c>
      <c r="E431" s="20">
        <v>39.158900994497273</v>
      </c>
      <c r="F431" s="20">
        <v>8.0686799999999987</v>
      </c>
      <c r="G431" s="20">
        <v>8.4081183070058625</v>
      </c>
      <c r="H431" s="21">
        <v>0.28585584529161179</v>
      </c>
      <c r="I431" s="21">
        <v>4.2068629194101703E-2</v>
      </c>
      <c r="J431" s="21">
        <v>0.23479338048798137</v>
      </c>
    </row>
    <row r="432" spans="1:10" ht="11.25" customHeight="1" x14ac:dyDescent="0.2">
      <c r="A432" s="30">
        <v>44621</v>
      </c>
      <c r="B432" s="20">
        <v>0</v>
      </c>
      <c r="C432" s="20">
        <v>0</v>
      </c>
      <c r="D432" s="20">
        <v>33.837299999999999</v>
      </c>
      <c r="E432" s="20">
        <v>43.509889993885857</v>
      </c>
      <c r="F432" s="20">
        <v>8.9651999999999994</v>
      </c>
      <c r="G432" s="20">
        <v>9.3423536744509583</v>
      </c>
      <c r="H432" s="21">
        <v>0.28585584529161179</v>
      </c>
      <c r="I432" s="21">
        <v>4.2068629194101481E-2</v>
      </c>
      <c r="J432" s="21">
        <v>0.23479338048798115</v>
      </c>
    </row>
    <row r="433" spans="1:10" ht="11.25" customHeight="1" x14ac:dyDescent="0.2">
      <c r="A433" s="30">
        <v>44652</v>
      </c>
      <c r="B433" s="20">
        <v>0</v>
      </c>
      <c r="C433" s="20">
        <v>0</v>
      </c>
      <c r="D433" s="20">
        <v>25.941930000000003</v>
      </c>
      <c r="E433" s="20">
        <v>33.357582328645826</v>
      </c>
      <c r="F433" s="20">
        <v>6.8733199999999997</v>
      </c>
      <c r="G433" s="20">
        <v>7.1624711504124017</v>
      </c>
      <c r="H433" s="21">
        <v>0.28585584529161179</v>
      </c>
      <c r="I433" s="21">
        <v>4.2068629194101481E-2</v>
      </c>
      <c r="J433" s="21">
        <v>0.23479338048798093</v>
      </c>
    </row>
    <row r="434" spans="1:10" ht="11.25" customHeight="1" x14ac:dyDescent="0.2">
      <c r="A434" s="30">
        <v>44682</v>
      </c>
      <c r="B434" s="20">
        <v>0</v>
      </c>
      <c r="C434" s="20">
        <v>0</v>
      </c>
      <c r="D434" s="20">
        <v>14.66283</v>
      </c>
      <c r="E434" s="20">
        <v>18.854285664017205</v>
      </c>
      <c r="F434" s="20">
        <v>3.8849199999999997</v>
      </c>
      <c r="G434" s="20">
        <v>4.0483532589287483</v>
      </c>
      <c r="H434" s="21">
        <v>0.28585584529161179</v>
      </c>
      <c r="I434" s="21">
        <v>4.2068629194101481E-2</v>
      </c>
      <c r="J434" s="21">
        <v>0.23479338048798115</v>
      </c>
    </row>
    <row r="435" spans="1:10" ht="11.25" customHeight="1" x14ac:dyDescent="0.2">
      <c r="A435" s="30">
        <v>44713</v>
      </c>
      <c r="B435" s="20">
        <v>0</v>
      </c>
      <c r="C435" s="20">
        <v>0</v>
      </c>
      <c r="D435" s="20">
        <v>13.534920000000001</v>
      </c>
      <c r="E435" s="20">
        <v>17.403955997554345</v>
      </c>
      <c r="F435" s="20">
        <v>3.5860799999999999</v>
      </c>
      <c r="G435" s="20">
        <v>3.7369414697803838</v>
      </c>
      <c r="H435" s="21">
        <v>0.28585584529161179</v>
      </c>
      <c r="I435" s="21">
        <v>4.2068629194101703E-2</v>
      </c>
      <c r="J435" s="21">
        <v>0.23479338048798115</v>
      </c>
    </row>
    <row r="436" spans="1:10" ht="11.25" customHeight="1" x14ac:dyDescent="0.2">
      <c r="A436" s="25" t="s">
        <v>38</v>
      </c>
      <c r="B436" s="20">
        <v>0</v>
      </c>
      <c r="C436" s="20">
        <v>0</v>
      </c>
      <c r="D436" s="20">
        <v>6024.1673100000007</v>
      </c>
      <c r="E436" s="20">
        <v>7746.2107485781462</v>
      </c>
      <c r="F436" s="20">
        <v>1596.1044399999998</v>
      </c>
      <c r="G436" s="20">
        <v>1663.2503658414191</v>
      </c>
      <c r="H436" s="21">
        <v>0.28585584529161179</v>
      </c>
      <c r="I436" s="21">
        <v>4.2068629194101703E-2</v>
      </c>
      <c r="J436" s="21">
        <v>0.23479338048798137</v>
      </c>
    </row>
    <row r="437" spans="1:10" ht="11.25" customHeight="1" x14ac:dyDescent="0.2">
      <c r="A437" s="26" t="s">
        <v>25</v>
      </c>
      <c r="B437" s="20">
        <v>0</v>
      </c>
      <c r="C437" s="20">
        <v>0</v>
      </c>
      <c r="D437" s="20">
        <v>6024.1673100000007</v>
      </c>
      <c r="E437" s="20">
        <v>7746.2107485781462</v>
      </c>
      <c r="F437" s="20">
        <v>1596.1044399999998</v>
      </c>
      <c r="G437" s="20">
        <v>1663.2503658414191</v>
      </c>
      <c r="H437" s="21">
        <v>0.28585584529161179</v>
      </c>
      <c r="I437" s="21">
        <v>4.2068629194101703E-2</v>
      </c>
      <c r="J437" s="21">
        <v>0.23479338048798137</v>
      </c>
    </row>
    <row r="438" spans="1:10" ht="11.25" customHeight="1" x14ac:dyDescent="0.2">
      <c r="A438" s="27" t="s">
        <v>25</v>
      </c>
      <c r="B438" s="20">
        <v>0</v>
      </c>
      <c r="C438" s="20">
        <v>0</v>
      </c>
      <c r="D438" s="20">
        <v>6024.1673100000007</v>
      </c>
      <c r="E438" s="20">
        <v>7746.2107485781462</v>
      </c>
      <c r="F438" s="20">
        <v>1596.1044399999998</v>
      </c>
      <c r="G438" s="20">
        <v>1663.2503658414191</v>
      </c>
      <c r="H438" s="21">
        <v>0.28585584529161179</v>
      </c>
      <c r="I438" s="21">
        <v>4.2068629194101703E-2</v>
      </c>
      <c r="J438" s="21">
        <v>0.23479338048798137</v>
      </c>
    </row>
    <row r="439" spans="1:10" ht="11.25" customHeight="1" x14ac:dyDescent="0.2">
      <c r="A439" s="28" t="s">
        <v>25</v>
      </c>
      <c r="B439" s="20">
        <v>0</v>
      </c>
      <c r="C439" s="20">
        <v>0</v>
      </c>
      <c r="D439" s="20">
        <v>6024.1673100000007</v>
      </c>
      <c r="E439" s="20">
        <v>7746.2107485781462</v>
      </c>
      <c r="F439" s="20">
        <v>1596.1044399999998</v>
      </c>
      <c r="G439" s="20">
        <v>1663.2503658414191</v>
      </c>
      <c r="H439" s="21">
        <v>0.28585584529161179</v>
      </c>
      <c r="I439" s="21">
        <v>4.2068629194101703E-2</v>
      </c>
      <c r="J439" s="21">
        <v>0.23479338048798137</v>
      </c>
    </row>
    <row r="440" spans="1:10" ht="11.25" customHeight="1" x14ac:dyDescent="0.2">
      <c r="A440" s="29" t="s">
        <v>34</v>
      </c>
      <c r="B440" s="20">
        <v>0</v>
      </c>
      <c r="C440" s="20">
        <v>0</v>
      </c>
      <c r="D440" s="20">
        <v>6024.1673100000007</v>
      </c>
      <c r="E440" s="20">
        <v>7746.2107485781462</v>
      </c>
      <c r="F440" s="20">
        <v>1596.1044399999998</v>
      </c>
      <c r="G440" s="20">
        <v>1663.2503658414191</v>
      </c>
      <c r="H440" s="21">
        <v>0.28585584529161179</v>
      </c>
      <c r="I440" s="21">
        <v>4.2068629194101703E-2</v>
      </c>
      <c r="J440" s="21">
        <v>0.23479338048798137</v>
      </c>
    </row>
    <row r="441" spans="1:10" ht="11.25" customHeight="1" x14ac:dyDescent="0.2">
      <c r="A441" s="30">
        <v>44562</v>
      </c>
      <c r="B441" s="20">
        <v>0</v>
      </c>
      <c r="C441" s="20">
        <v>0</v>
      </c>
      <c r="D441" s="20">
        <v>6024.1673100000007</v>
      </c>
      <c r="E441" s="20">
        <v>7746.2107485781462</v>
      </c>
      <c r="F441" s="20">
        <v>1596.1044399999998</v>
      </c>
      <c r="G441" s="20">
        <v>1663.2503658414191</v>
      </c>
      <c r="H441" s="21">
        <v>0.28585584529161179</v>
      </c>
      <c r="I441" s="21">
        <v>4.2068629194101703E-2</v>
      </c>
      <c r="J441" s="21">
        <v>0.23479338048798137</v>
      </c>
    </row>
    <row r="442" spans="1:10" ht="11.25" customHeight="1" x14ac:dyDescent="0.2">
      <c r="A442" s="25" t="s">
        <v>44</v>
      </c>
      <c r="B442" s="20">
        <v>0</v>
      </c>
      <c r="C442" s="20">
        <v>0</v>
      </c>
      <c r="D442" s="20">
        <v>4441.9258600000012</v>
      </c>
      <c r="E442" s="20">
        <v>5709.6445426853015</v>
      </c>
      <c r="F442" s="20">
        <v>1543.8526399999998</v>
      </c>
      <c r="G442" s="20">
        <v>1601.3022656944374</v>
      </c>
      <c r="H442" s="21">
        <v>0.28539843361665196</v>
      </c>
      <c r="I442" s="21">
        <v>3.7211858312097501E-2</v>
      </c>
      <c r="J442" s="21">
        <v>0.22138612519319545</v>
      </c>
    </row>
    <row r="443" spans="1:10" ht="11.25" customHeight="1" x14ac:dyDescent="0.2">
      <c r="A443" s="26" t="s">
        <v>25</v>
      </c>
      <c r="B443" s="20">
        <v>0</v>
      </c>
      <c r="C443" s="20">
        <v>0</v>
      </c>
      <c r="D443" s="20">
        <v>4441.9258600000012</v>
      </c>
      <c r="E443" s="20">
        <v>5709.6445426853015</v>
      </c>
      <c r="F443" s="20">
        <v>1543.8526399999998</v>
      </c>
      <c r="G443" s="20">
        <v>1601.3022656944374</v>
      </c>
      <c r="H443" s="21">
        <v>0.28539843361665196</v>
      </c>
      <c r="I443" s="21">
        <v>3.7211858312097501E-2</v>
      </c>
      <c r="J443" s="21">
        <v>0.22138612519319545</v>
      </c>
    </row>
    <row r="444" spans="1:10" ht="11.25" customHeight="1" x14ac:dyDescent="0.2">
      <c r="A444" s="27" t="s">
        <v>25</v>
      </c>
      <c r="B444" s="20">
        <v>0</v>
      </c>
      <c r="C444" s="20">
        <v>0</v>
      </c>
      <c r="D444" s="20">
        <v>4441.9258600000012</v>
      </c>
      <c r="E444" s="20">
        <v>5709.6445426853015</v>
      </c>
      <c r="F444" s="20">
        <v>1543.8526399999998</v>
      </c>
      <c r="G444" s="20">
        <v>1601.3022656944374</v>
      </c>
      <c r="H444" s="21">
        <v>0.28539843361665196</v>
      </c>
      <c r="I444" s="21">
        <v>3.7211858312097501E-2</v>
      </c>
      <c r="J444" s="21">
        <v>0.22138612519319545</v>
      </c>
    </row>
    <row r="445" spans="1:10" ht="11.25" customHeight="1" x14ac:dyDescent="0.2">
      <c r="A445" s="28" t="s">
        <v>25</v>
      </c>
      <c r="B445" s="20">
        <v>0</v>
      </c>
      <c r="C445" s="20">
        <v>0</v>
      </c>
      <c r="D445" s="20">
        <v>4441.9258600000012</v>
      </c>
      <c r="E445" s="20">
        <v>5709.6445426853015</v>
      </c>
      <c r="F445" s="20">
        <v>1543.8526399999998</v>
      </c>
      <c r="G445" s="20">
        <v>1601.3022656944374</v>
      </c>
      <c r="H445" s="21">
        <v>0.28539843361665196</v>
      </c>
      <c r="I445" s="21">
        <v>3.7211858312097501E-2</v>
      </c>
      <c r="J445" s="21">
        <v>0.22138612519319545</v>
      </c>
    </row>
    <row r="446" spans="1:10" ht="11.25" customHeight="1" x14ac:dyDescent="0.2">
      <c r="A446" s="29" t="s">
        <v>35</v>
      </c>
      <c r="B446" s="20">
        <v>0</v>
      </c>
      <c r="C446" s="20">
        <v>0</v>
      </c>
      <c r="D446" s="20">
        <v>1087.5780000000002</v>
      </c>
      <c r="E446" s="20">
        <v>1396.4952139979139</v>
      </c>
      <c r="F446" s="20">
        <v>655.36200000000008</v>
      </c>
      <c r="G446" s="20">
        <v>675.84489932459019</v>
      </c>
      <c r="H446" s="21">
        <v>0.28404143334814935</v>
      </c>
      <c r="I446" s="21">
        <v>3.125432863759281E-2</v>
      </c>
      <c r="J446" s="21">
        <v>0.18899108019926336</v>
      </c>
    </row>
    <row r="447" spans="1:10" ht="11.25" customHeight="1" x14ac:dyDescent="0.2">
      <c r="A447" s="30">
        <v>44652</v>
      </c>
      <c r="B447" s="20">
        <v>0</v>
      </c>
      <c r="C447" s="20">
        <v>0</v>
      </c>
      <c r="D447" s="20">
        <v>136.49892</v>
      </c>
      <c r="E447" s="20">
        <v>175.2702688872744</v>
      </c>
      <c r="F447" s="20">
        <v>82.252679999999998</v>
      </c>
      <c r="G447" s="20">
        <v>84.823432292042767</v>
      </c>
      <c r="H447" s="21">
        <v>0.28404143334814957</v>
      </c>
      <c r="I447" s="21">
        <v>3.1254328637593032E-2</v>
      </c>
      <c r="J447" s="21">
        <v>0.18899108019926336</v>
      </c>
    </row>
    <row r="448" spans="1:10" ht="11.25" customHeight="1" x14ac:dyDescent="0.2">
      <c r="A448" s="30">
        <v>44682</v>
      </c>
      <c r="B448" s="20">
        <v>0</v>
      </c>
      <c r="C448" s="20">
        <v>0</v>
      </c>
      <c r="D448" s="20">
        <v>400.98528000000005</v>
      </c>
      <c r="E448" s="20">
        <v>514.88171368270912</v>
      </c>
      <c r="F448" s="20">
        <v>241.62912</v>
      </c>
      <c r="G448" s="20">
        <v>249.18107592489238</v>
      </c>
      <c r="H448" s="21">
        <v>0.28404143334814957</v>
      </c>
      <c r="I448" s="21">
        <v>3.1254328637593032E-2</v>
      </c>
      <c r="J448" s="21">
        <v>0.18899108019926336</v>
      </c>
    </row>
    <row r="449" spans="1:10" ht="11.25" customHeight="1" x14ac:dyDescent="0.2">
      <c r="A449" s="30">
        <v>44713</v>
      </c>
      <c r="B449" s="20">
        <v>0</v>
      </c>
      <c r="C449" s="20">
        <v>0</v>
      </c>
      <c r="D449" s="20">
        <v>550.0938000000001</v>
      </c>
      <c r="E449" s="20">
        <v>706.34323142793039</v>
      </c>
      <c r="F449" s="20">
        <v>331.48020000000002</v>
      </c>
      <c r="G449" s="20">
        <v>341.84039110765502</v>
      </c>
      <c r="H449" s="21">
        <v>0.28404143334814935</v>
      </c>
      <c r="I449" s="21">
        <v>3.125432863759281E-2</v>
      </c>
      <c r="J449" s="21">
        <v>0.18899108019926336</v>
      </c>
    </row>
    <row r="450" spans="1:10" ht="11.25" customHeight="1" x14ac:dyDescent="0.2">
      <c r="A450" s="29" t="s">
        <v>36</v>
      </c>
      <c r="B450" s="20">
        <v>0</v>
      </c>
      <c r="C450" s="20">
        <v>0</v>
      </c>
      <c r="D450" s="20">
        <v>144.316</v>
      </c>
      <c r="E450" s="20">
        <v>185.51109793408233</v>
      </c>
      <c r="F450" s="20">
        <v>37.992000000000004</v>
      </c>
      <c r="G450" s="20">
        <v>39.179414453599435</v>
      </c>
      <c r="H450" s="21">
        <v>0.28545066336430014</v>
      </c>
      <c r="I450" s="21">
        <v>3.1254328637593032E-2</v>
      </c>
      <c r="J450" s="21">
        <v>0.23247752368344665</v>
      </c>
    </row>
    <row r="451" spans="1:10" ht="11.25" customHeight="1" x14ac:dyDescent="0.2">
      <c r="A451" s="30">
        <v>44652</v>
      </c>
      <c r="B451" s="20">
        <v>0</v>
      </c>
      <c r="C451" s="20">
        <v>0</v>
      </c>
      <c r="D451" s="20">
        <v>7.9373800000000001</v>
      </c>
      <c r="E451" s="20">
        <v>10.203110386374526</v>
      </c>
      <c r="F451" s="20">
        <v>2.0895600000000001</v>
      </c>
      <c r="G451" s="20">
        <v>2.1548677949479687</v>
      </c>
      <c r="H451" s="21">
        <v>0.28545066336429969</v>
      </c>
      <c r="I451" s="21">
        <v>3.125432863759281E-2</v>
      </c>
      <c r="J451" s="21">
        <v>0.23247752368344621</v>
      </c>
    </row>
    <row r="452" spans="1:10" ht="11.25" customHeight="1" x14ac:dyDescent="0.2">
      <c r="A452" s="30">
        <v>44682</v>
      </c>
      <c r="B452" s="20">
        <v>0</v>
      </c>
      <c r="C452" s="20">
        <v>0</v>
      </c>
      <c r="D452" s="20">
        <v>54.84008</v>
      </c>
      <c r="E452" s="20">
        <v>70.494217214951277</v>
      </c>
      <c r="F452" s="20">
        <v>14.436960000000001</v>
      </c>
      <c r="G452" s="20">
        <v>14.888177492367783</v>
      </c>
      <c r="H452" s="21">
        <v>0.28545066336429992</v>
      </c>
      <c r="I452" s="21">
        <v>3.125432863759281E-2</v>
      </c>
      <c r="J452" s="21">
        <v>0.23247752368344643</v>
      </c>
    </row>
    <row r="453" spans="1:10" ht="11.25" customHeight="1" x14ac:dyDescent="0.2">
      <c r="A453" s="30">
        <v>44713</v>
      </c>
      <c r="B453" s="20">
        <v>0</v>
      </c>
      <c r="C453" s="20">
        <v>0</v>
      </c>
      <c r="D453" s="20">
        <v>81.538540000000012</v>
      </c>
      <c r="E453" s="20">
        <v>104.8137703327565</v>
      </c>
      <c r="F453" s="20">
        <v>21.465480000000003</v>
      </c>
      <c r="G453" s="20">
        <v>22.136369166283679</v>
      </c>
      <c r="H453" s="21">
        <v>0.28545066336429969</v>
      </c>
      <c r="I453" s="21">
        <v>3.125432863759281E-2</v>
      </c>
      <c r="J453" s="21">
        <v>0.23247752368344621</v>
      </c>
    </row>
    <row r="454" spans="1:10" ht="11.25" customHeight="1" x14ac:dyDescent="0.2">
      <c r="A454" s="29" t="s">
        <v>34</v>
      </c>
      <c r="B454" s="20">
        <v>0</v>
      </c>
      <c r="C454" s="20">
        <v>0</v>
      </c>
      <c r="D454" s="20">
        <v>3210.0318600000001</v>
      </c>
      <c r="E454" s="20">
        <v>4127.6382307533049</v>
      </c>
      <c r="F454" s="20">
        <v>850.49863999999991</v>
      </c>
      <c r="G454" s="20">
        <v>886.27795191624762</v>
      </c>
      <c r="H454" s="21">
        <v>0.28585584529161179</v>
      </c>
      <c r="I454" s="21">
        <v>4.2068629194101703E-2</v>
      </c>
      <c r="J454" s="21">
        <v>0.23479338048798137</v>
      </c>
    </row>
    <row r="455" spans="1:10" ht="11.25" customHeight="1" x14ac:dyDescent="0.2">
      <c r="A455" s="30">
        <v>44562</v>
      </c>
      <c r="B455" s="20">
        <v>0</v>
      </c>
      <c r="C455" s="20">
        <v>0</v>
      </c>
      <c r="D455" s="20">
        <v>3010.3917900000001</v>
      </c>
      <c r="E455" s="20">
        <v>3870.9298797893784</v>
      </c>
      <c r="F455" s="20">
        <v>797.60395999999992</v>
      </c>
      <c r="G455" s="20">
        <v>831.158065236987</v>
      </c>
      <c r="H455" s="21">
        <v>0.28585584529161179</v>
      </c>
      <c r="I455" s="21">
        <v>4.2068629194101703E-2</v>
      </c>
      <c r="J455" s="21">
        <v>0.23479338048798115</v>
      </c>
    </row>
    <row r="456" spans="1:10" ht="11.25" customHeight="1" x14ac:dyDescent="0.2">
      <c r="A456" s="30">
        <v>44652</v>
      </c>
      <c r="B456" s="20">
        <v>0</v>
      </c>
      <c r="C456" s="20">
        <v>0</v>
      </c>
      <c r="D456" s="20">
        <v>15.790740000000001</v>
      </c>
      <c r="E456" s="20">
        <v>20.304615330480068</v>
      </c>
      <c r="F456" s="20">
        <v>4.1837599999999995</v>
      </c>
      <c r="G456" s="20">
        <v>4.3597650480771142</v>
      </c>
      <c r="H456" s="21">
        <v>0.28585584529161179</v>
      </c>
      <c r="I456" s="21">
        <v>4.2068629194101703E-2</v>
      </c>
      <c r="J456" s="21">
        <v>0.23479338048798137</v>
      </c>
    </row>
    <row r="457" spans="1:10" ht="11.25" customHeight="1" x14ac:dyDescent="0.2">
      <c r="A457" s="30">
        <v>44682</v>
      </c>
      <c r="B457" s="20">
        <v>0</v>
      </c>
      <c r="C457" s="20">
        <v>0</v>
      </c>
      <c r="D457" s="20">
        <v>75.569970000000012</v>
      </c>
      <c r="E457" s="20">
        <v>97.172087653011758</v>
      </c>
      <c r="F457" s="20">
        <v>20.022279999999999</v>
      </c>
      <c r="G457" s="20">
        <v>20.864589872940478</v>
      </c>
      <c r="H457" s="21">
        <v>0.28585584529161179</v>
      </c>
      <c r="I457" s="21">
        <v>4.2068629194101703E-2</v>
      </c>
      <c r="J457" s="21">
        <v>0.23479338048798115</v>
      </c>
    </row>
    <row r="458" spans="1:10" ht="11.25" customHeight="1" x14ac:dyDescent="0.2">
      <c r="A458" s="30">
        <v>44713</v>
      </c>
      <c r="B458" s="20">
        <v>0</v>
      </c>
      <c r="C458" s="20">
        <v>0</v>
      </c>
      <c r="D458" s="20">
        <v>108.27936000000001</v>
      </c>
      <c r="E458" s="20">
        <v>139.23164798043476</v>
      </c>
      <c r="F458" s="20">
        <v>28.688639999999999</v>
      </c>
      <c r="G458" s="20">
        <v>29.89553175824307</v>
      </c>
      <c r="H458" s="21">
        <v>0.28585584529161179</v>
      </c>
      <c r="I458" s="21">
        <v>4.2068629194101703E-2</v>
      </c>
      <c r="J458" s="21">
        <v>0.23479338048798115</v>
      </c>
    </row>
    <row r="459" spans="1:10" ht="11.25" customHeight="1" x14ac:dyDescent="0.2">
      <c r="A459" s="25" t="s">
        <v>48</v>
      </c>
      <c r="B459" s="20">
        <v>0</v>
      </c>
      <c r="C459" s="20">
        <v>0</v>
      </c>
      <c r="D459" s="20">
        <v>735.8033676</v>
      </c>
      <c r="E459" s="20">
        <v>946.13706121371251</v>
      </c>
      <c r="F459" s="20">
        <v>194.95126239999996</v>
      </c>
      <c r="G459" s="20">
        <v>203.15259476882756</v>
      </c>
      <c r="H459" s="21">
        <v>0.28585584529161179</v>
      </c>
      <c r="I459" s="21">
        <v>4.2068629194101481E-2</v>
      </c>
      <c r="J459" s="21">
        <v>0.23479338048798137</v>
      </c>
    </row>
    <row r="460" spans="1:10" ht="11.25" customHeight="1" x14ac:dyDescent="0.2">
      <c r="A460" s="26" t="s">
        <v>49</v>
      </c>
      <c r="B460" s="20">
        <v>0</v>
      </c>
      <c r="C460" s="20">
        <v>0</v>
      </c>
      <c r="D460" s="20">
        <v>735.8033676</v>
      </c>
      <c r="E460" s="20">
        <v>946.13706121371251</v>
      </c>
      <c r="F460" s="20">
        <v>194.95126239999996</v>
      </c>
      <c r="G460" s="20">
        <v>203.15259476882756</v>
      </c>
      <c r="H460" s="21">
        <v>0.28585584529161179</v>
      </c>
      <c r="I460" s="21">
        <v>4.2068629194101481E-2</v>
      </c>
      <c r="J460" s="21">
        <v>0.23479338048798137</v>
      </c>
    </row>
    <row r="461" spans="1:10" ht="11.25" customHeight="1" x14ac:dyDescent="0.2">
      <c r="A461" s="27" t="s">
        <v>25</v>
      </c>
      <c r="B461" s="20">
        <v>0</v>
      </c>
      <c r="C461" s="20">
        <v>0</v>
      </c>
      <c r="D461" s="20">
        <v>735.8033676</v>
      </c>
      <c r="E461" s="20">
        <v>946.13706121371251</v>
      </c>
      <c r="F461" s="20">
        <v>194.95126239999996</v>
      </c>
      <c r="G461" s="20">
        <v>203.15259476882756</v>
      </c>
      <c r="H461" s="21">
        <v>0.28585584529161179</v>
      </c>
      <c r="I461" s="21">
        <v>4.2068629194101481E-2</v>
      </c>
      <c r="J461" s="21">
        <v>0.23479338048798137</v>
      </c>
    </row>
    <row r="462" spans="1:10" ht="11.25" customHeight="1" x14ac:dyDescent="0.2">
      <c r="A462" s="28" t="s">
        <v>25</v>
      </c>
      <c r="B462" s="20">
        <v>0</v>
      </c>
      <c r="C462" s="20">
        <v>0</v>
      </c>
      <c r="D462" s="20">
        <v>735.8033676</v>
      </c>
      <c r="E462" s="20">
        <v>946.13706121371251</v>
      </c>
      <c r="F462" s="20">
        <v>194.95126239999996</v>
      </c>
      <c r="G462" s="20">
        <v>203.15259476882756</v>
      </c>
      <c r="H462" s="21">
        <v>0.28585584529161179</v>
      </c>
      <c r="I462" s="21">
        <v>4.2068629194101481E-2</v>
      </c>
      <c r="J462" s="21">
        <v>0.23479338048798137</v>
      </c>
    </row>
    <row r="463" spans="1:10" ht="11.25" customHeight="1" x14ac:dyDescent="0.2">
      <c r="A463" s="29" t="s">
        <v>34</v>
      </c>
      <c r="B463" s="20">
        <v>0</v>
      </c>
      <c r="C463" s="20">
        <v>0</v>
      </c>
      <c r="D463" s="20">
        <v>735.8033676</v>
      </c>
      <c r="E463" s="20">
        <v>946.13706121371251</v>
      </c>
      <c r="F463" s="20">
        <v>194.95126239999996</v>
      </c>
      <c r="G463" s="20">
        <v>203.15259476882756</v>
      </c>
      <c r="H463" s="21">
        <v>0.28585584529161179</v>
      </c>
      <c r="I463" s="21">
        <v>4.2068629194101481E-2</v>
      </c>
      <c r="J463" s="21">
        <v>0.23479338048798137</v>
      </c>
    </row>
    <row r="464" spans="1:10" ht="11.25" customHeight="1" x14ac:dyDescent="0.2">
      <c r="A464" s="30">
        <v>44562</v>
      </c>
      <c r="B464" s="20">
        <v>0</v>
      </c>
      <c r="C464" s="20">
        <v>0</v>
      </c>
      <c r="D464" s="20">
        <v>735.8033676</v>
      </c>
      <c r="E464" s="20">
        <v>946.13706121371251</v>
      </c>
      <c r="F464" s="20">
        <v>194.95126239999996</v>
      </c>
      <c r="G464" s="20">
        <v>203.15259476882756</v>
      </c>
      <c r="H464" s="21">
        <v>0.28585584529161179</v>
      </c>
      <c r="I464" s="21">
        <v>4.2068629194101481E-2</v>
      </c>
      <c r="J464" s="21">
        <v>0.23479338048798137</v>
      </c>
    </row>
    <row r="465" spans="1:10" ht="11.25" customHeight="1" x14ac:dyDescent="0.2">
      <c r="A465" s="24" t="s">
        <v>23</v>
      </c>
      <c r="B465" s="20">
        <v>0</v>
      </c>
      <c r="C465" s="20">
        <v>0</v>
      </c>
      <c r="D465" s="20">
        <v>4778204.5259175999</v>
      </c>
      <c r="E465" s="20">
        <v>5952559.704980867</v>
      </c>
      <c r="F465" s="20">
        <v>2339383.1712913993</v>
      </c>
      <c r="G465" s="20">
        <v>2415704.8999039154</v>
      </c>
      <c r="H465" s="21">
        <v>0.2457733177166046</v>
      </c>
      <c r="I465" s="21">
        <v>3.2624723281387213E-2</v>
      </c>
      <c r="J465" s="21">
        <v>0.17571640292766677</v>
      </c>
    </row>
    <row r="466" spans="1:10" ht="11.25" customHeight="1" x14ac:dyDescent="0.2">
      <c r="A466" s="25" t="s">
        <v>41</v>
      </c>
      <c r="B466" s="20">
        <v>0</v>
      </c>
      <c r="C466" s="20">
        <v>0</v>
      </c>
      <c r="D466" s="20">
        <v>3244209.6883599996</v>
      </c>
      <c r="E466" s="20">
        <v>4041549.8668365916</v>
      </c>
      <c r="F466" s="20">
        <v>1588347.5702899999</v>
      </c>
      <c r="G466" s="20">
        <v>1640166.9702453746</v>
      </c>
      <c r="H466" s="21">
        <v>0.24577331771660482</v>
      </c>
      <c r="I466" s="21">
        <v>3.2624723281386769E-2</v>
      </c>
      <c r="J466" s="21">
        <v>0.17571640292766677</v>
      </c>
    </row>
    <row r="467" spans="1:10" ht="11.25" customHeight="1" x14ac:dyDescent="0.2">
      <c r="A467" s="26" t="s">
        <v>25</v>
      </c>
      <c r="B467" s="20">
        <v>0</v>
      </c>
      <c r="C467" s="20">
        <v>0</v>
      </c>
      <c r="D467" s="20">
        <v>3244209.6883599996</v>
      </c>
      <c r="E467" s="20">
        <v>4041549.8668365916</v>
      </c>
      <c r="F467" s="20">
        <v>1588347.5702899999</v>
      </c>
      <c r="G467" s="20">
        <v>1640166.9702453746</v>
      </c>
      <c r="H467" s="21">
        <v>0.24577331771660482</v>
      </c>
      <c r="I467" s="21">
        <v>3.2624723281386769E-2</v>
      </c>
      <c r="J467" s="21">
        <v>0.17571640292766677</v>
      </c>
    </row>
    <row r="468" spans="1:10" ht="11.25" customHeight="1" x14ac:dyDescent="0.2">
      <c r="A468" s="27" t="s">
        <v>25</v>
      </c>
      <c r="B468" s="20">
        <v>0</v>
      </c>
      <c r="C468" s="20">
        <v>0</v>
      </c>
      <c r="D468" s="20">
        <v>3244209.6883599996</v>
      </c>
      <c r="E468" s="20">
        <v>4041549.8668365916</v>
      </c>
      <c r="F468" s="20">
        <v>1588347.5702899999</v>
      </c>
      <c r="G468" s="20">
        <v>1640166.9702453746</v>
      </c>
      <c r="H468" s="21">
        <v>0.24577331771660482</v>
      </c>
      <c r="I468" s="21">
        <v>3.2624723281386769E-2</v>
      </c>
      <c r="J468" s="21">
        <v>0.17571640292766677</v>
      </c>
    </row>
    <row r="469" spans="1:10" ht="11.25" customHeight="1" x14ac:dyDescent="0.2">
      <c r="A469" s="28" t="s">
        <v>25</v>
      </c>
      <c r="B469" s="20">
        <v>0</v>
      </c>
      <c r="C469" s="20">
        <v>0</v>
      </c>
      <c r="D469" s="20">
        <v>3244209.6883599996</v>
      </c>
      <c r="E469" s="20">
        <v>4041549.8668365916</v>
      </c>
      <c r="F469" s="20">
        <v>1588347.5702899999</v>
      </c>
      <c r="G469" s="20">
        <v>1640166.9702453746</v>
      </c>
      <c r="H469" s="21">
        <v>0.24577331771660482</v>
      </c>
      <c r="I469" s="21">
        <v>3.2624723281386769E-2</v>
      </c>
      <c r="J469" s="21">
        <v>0.17571640292766677</v>
      </c>
    </row>
    <row r="470" spans="1:10" ht="11.25" customHeight="1" x14ac:dyDescent="0.2">
      <c r="A470" s="29" t="s">
        <v>25</v>
      </c>
      <c r="B470" s="20">
        <v>0</v>
      </c>
      <c r="C470" s="20">
        <v>0</v>
      </c>
      <c r="D470" s="20">
        <v>3244209.6883599996</v>
      </c>
      <c r="E470" s="20">
        <v>4041549.8668365916</v>
      </c>
      <c r="F470" s="20">
        <v>1588347.5702899999</v>
      </c>
      <c r="G470" s="20">
        <v>1640166.9702453746</v>
      </c>
      <c r="H470" s="21">
        <v>0.24577331771660482</v>
      </c>
      <c r="I470" s="21">
        <v>3.2624723281386769E-2</v>
      </c>
      <c r="J470" s="21">
        <v>0.17571640292766677</v>
      </c>
    </row>
    <row r="471" spans="1:10" ht="11.25" customHeight="1" x14ac:dyDescent="0.2">
      <c r="A471" s="30">
        <v>44378</v>
      </c>
      <c r="B471" s="20">
        <v>0</v>
      </c>
      <c r="C471" s="20">
        <v>0</v>
      </c>
      <c r="D471" s="20">
        <v>224216.91904000001</v>
      </c>
      <c r="E471" s="20">
        <v>279323.45512065629</v>
      </c>
      <c r="F471" s="20">
        <v>109775.39456</v>
      </c>
      <c r="G471" s="20">
        <v>113356.78643062508</v>
      </c>
      <c r="H471" s="21">
        <v>0.24577331771660527</v>
      </c>
      <c r="I471" s="21">
        <v>3.2624723281386991E-2</v>
      </c>
      <c r="J471" s="21">
        <v>0.17571640292766721</v>
      </c>
    </row>
    <row r="472" spans="1:10" ht="11.25" customHeight="1" x14ac:dyDescent="0.2">
      <c r="A472" s="30">
        <v>44409</v>
      </c>
      <c r="B472" s="20">
        <v>0</v>
      </c>
      <c r="C472" s="20">
        <v>0</v>
      </c>
      <c r="D472" s="20">
        <v>241295.23076000003</v>
      </c>
      <c r="E472" s="20">
        <v>300599.16017307906</v>
      </c>
      <c r="F472" s="20">
        <v>118136.84389</v>
      </c>
      <c r="G472" s="20">
        <v>121991.02573124768</v>
      </c>
      <c r="H472" s="21">
        <v>0.24577331771660504</v>
      </c>
      <c r="I472" s="21">
        <v>3.2624723281386991E-2</v>
      </c>
      <c r="J472" s="21">
        <v>0.17571640292766699</v>
      </c>
    </row>
    <row r="473" spans="1:10" ht="11.25" customHeight="1" x14ac:dyDescent="0.2">
      <c r="A473" s="30">
        <v>44440</v>
      </c>
      <c r="B473" s="20">
        <v>0</v>
      </c>
      <c r="C473" s="20">
        <v>0</v>
      </c>
      <c r="D473" s="20">
        <v>225284.84707999998</v>
      </c>
      <c r="E473" s="20">
        <v>280653.85137812968</v>
      </c>
      <c r="F473" s="20">
        <v>110298.24637000001</v>
      </c>
      <c r="G473" s="20">
        <v>113896.69613624351</v>
      </c>
      <c r="H473" s="21">
        <v>0.24577331771660549</v>
      </c>
      <c r="I473" s="21">
        <v>3.2624723281386991E-2</v>
      </c>
      <c r="J473" s="21">
        <v>0.17571640292766721</v>
      </c>
    </row>
    <row r="474" spans="1:10" ht="11.25" customHeight="1" x14ac:dyDescent="0.2">
      <c r="A474" s="30">
        <v>44470</v>
      </c>
      <c r="B474" s="20">
        <v>0</v>
      </c>
      <c r="C474" s="20">
        <v>0</v>
      </c>
      <c r="D474" s="20">
        <v>239452.06908000002</v>
      </c>
      <c r="E474" s="20">
        <v>298302.99853189738</v>
      </c>
      <c r="F474" s="20">
        <v>117234.44187000001</v>
      </c>
      <c r="G474" s="20">
        <v>121059.18309505662</v>
      </c>
      <c r="H474" s="21">
        <v>0.24577331771660527</v>
      </c>
      <c r="I474" s="21">
        <v>3.2624723281386991E-2</v>
      </c>
      <c r="J474" s="21">
        <v>0.17571640292766721</v>
      </c>
    </row>
    <row r="475" spans="1:10" ht="11.25" customHeight="1" x14ac:dyDescent="0.2">
      <c r="A475" s="30">
        <v>44501</v>
      </c>
      <c r="B475" s="20">
        <v>0</v>
      </c>
      <c r="C475" s="20">
        <v>0</v>
      </c>
      <c r="D475" s="20">
        <v>258539.40263999999</v>
      </c>
      <c r="E475" s="20">
        <v>322081.48938730208</v>
      </c>
      <c r="F475" s="20">
        <v>126579.49746000001</v>
      </c>
      <c r="G475" s="20">
        <v>130709.11853772955</v>
      </c>
      <c r="H475" s="21">
        <v>0.24577331771660549</v>
      </c>
      <c r="I475" s="21">
        <v>3.2624723281386991E-2</v>
      </c>
      <c r="J475" s="21">
        <v>0.17571640292766744</v>
      </c>
    </row>
    <row r="476" spans="1:10" ht="11.25" customHeight="1" x14ac:dyDescent="0.2">
      <c r="A476" s="30">
        <v>44531</v>
      </c>
      <c r="B476" s="20">
        <v>0</v>
      </c>
      <c r="C476" s="20">
        <v>0</v>
      </c>
      <c r="D476" s="20">
        <v>282057.80420000001</v>
      </c>
      <c r="E476" s="20">
        <v>351380.08652609464</v>
      </c>
      <c r="F476" s="20">
        <v>138093.98005000001</v>
      </c>
      <c r="G476" s="20">
        <v>142599.25793595664</v>
      </c>
      <c r="H476" s="21">
        <v>0.24577331771660527</v>
      </c>
      <c r="I476" s="21">
        <v>3.2624723281386991E-2</v>
      </c>
      <c r="J476" s="21">
        <v>0.17571640292766721</v>
      </c>
    </row>
    <row r="477" spans="1:10" ht="11.25" customHeight="1" x14ac:dyDescent="0.2">
      <c r="A477" s="30">
        <v>44562</v>
      </c>
      <c r="B477" s="20">
        <v>0</v>
      </c>
      <c r="C477" s="20">
        <v>0</v>
      </c>
      <c r="D477" s="20">
        <v>311613.43427999993</v>
      </c>
      <c r="E477" s="20">
        <v>388199.70186806086</v>
      </c>
      <c r="F477" s="20">
        <v>152564.25717</v>
      </c>
      <c r="G477" s="20">
        <v>157541.62384280164</v>
      </c>
      <c r="H477" s="21">
        <v>0.24577331771660527</v>
      </c>
      <c r="I477" s="21">
        <v>3.2624723281387213E-2</v>
      </c>
      <c r="J477" s="21">
        <v>0.17571640292766721</v>
      </c>
    </row>
    <row r="478" spans="1:10" ht="11.25" customHeight="1" x14ac:dyDescent="0.2">
      <c r="A478" s="30">
        <v>44593</v>
      </c>
      <c r="B478" s="20">
        <v>0</v>
      </c>
      <c r="C478" s="20">
        <v>0</v>
      </c>
      <c r="D478" s="20">
        <v>388756.29555999994</v>
      </c>
      <c r="E478" s="20">
        <v>484302.22010299843</v>
      </c>
      <c r="F478" s="20">
        <v>190332.98609000002</v>
      </c>
      <c r="G478" s="20">
        <v>196542.54709250634</v>
      </c>
      <c r="H478" s="21">
        <v>0.24577331771660549</v>
      </c>
      <c r="I478" s="21">
        <v>3.2624723281386991E-2</v>
      </c>
      <c r="J478" s="21">
        <v>0.17571640292766721</v>
      </c>
    </row>
    <row r="479" spans="1:10" ht="11.25" customHeight="1" x14ac:dyDescent="0.2">
      <c r="A479" s="30">
        <v>44621</v>
      </c>
      <c r="B479" s="20">
        <v>0</v>
      </c>
      <c r="C479" s="20">
        <v>0</v>
      </c>
      <c r="D479" s="20">
        <v>325051.76592000003</v>
      </c>
      <c r="E479" s="20">
        <v>404940.81685979973</v>
      </c>
      <c r="F479" s="20">
        <v>159143.59187999999</v>
      </c>
      <c r="G479" s="20">
        <v>164335.60752709099</v>
      </c>
      <c r="H479" s="21">
        <v>0.24577331771660504</v>
      </c>
      <c r="I479" s="21">
        <v>3.2624723281386991E-2</v>
      </c>
      <c r="J479" s="21">
        <v>0.17571640292766699</v>
      </c>
    </row>
    <row r="480" spans="1:10" ht="11.25" customHeight="1" x14ac:dyDescent="0.2">
      <c r="A480" s="30">
        <v>44652</v>
      </c>
      <c r="B480" s="20">
        <v>0</v>
      </c>
      <c r="C480" s="20">
        <v>0</v>
      </c>
      <c r="D480" s="20">
        <v>241062.70131999999</v>
      </c>
      <c r="E480" s="20">
        <v>300309.48120114353</v>
      </c>
      <c r="F480" s="20">
        <v>118022.99872999999</v>
      </c>
      <c r="G480" s="20">
        <v>121873.46640440576</v>
      </c>
      <c r="H480" s="21">
        <v>0.24577331771660549</v>
      </c>
      <c r="I480" s="21">
        <v>3.2624723281387213E-2</v>
      </c>
      <c r="J480" s="21">
        <v>0.17571640292766744</v>
      </c>
    </row>
    <row r="481" spans="1:10" ht="11.25" customHeight="1" x14ac:dyDescent="0.2">
      <c r="A481" s="30">
        <v>44682</v>
      </c>
      <c r="B481" s="20">
        <v>0</v>
      </c>
      <c r="C481" s="20">
        <v>0</v>
      </c>
      <c r="D481" s="20">
        <v>246512.50844000001</v>
      </c>
      <c r="E481" s="20">
        <v>307098.70549794147</v>
      </c>
      <c r="F481" s="20">
        <v>120691.19490999999</v>
      </c>
      <c r="G481" s="20">
        <v>124628.71174643871</v>
      </c>
      <c r="H481" s="21">
        <v>0.24577331771660527</v>
      </c>
      <c r="I481" s="21">
        <v>3.2624723281387213E-2</v>
      </c>
      <c r="J481" s="21">
        <v>0.17571640292766721</v>
      </c>
    </row>
    <row r="482" spans="1:10" ht="11.25" customHeight="1" x14ac:dyDescent="0.2">
      <c r="A482" s="30">
        <v>44713</v>
      </c>
      <c r="B482" s="20">
        <v>0</v>
      </c>
      <c r="C482" s="20">
        <v>0</v>
      </c>
      <c r="D482" s="20">
        <v>260366.71003999998</v>
      </c>
      <c r="E482" s="20">
        <v>324357.90018948819</v>
      </c>
      <c r="F482" s="20">
        <v>127474.13731000001</v>
      </c>
      <c r="G482" s="20">
        <v>131632.94576527228</v>
      </c>
      <c r="H482" s="21">
        <v>0.24577331771660549</v>
      </c>
      <c r="I482" s="21">
        <v>3.2624723281386991E-2</v>
      </c>
      <c r="J482" s="21">
        <v>0.17571640292766721</v>
      </c>
    </row>
    <row r="483" spans="1:10" ht="11.25" customHeight="1" x14ac:dyDescent="0.2">
      <c r="A483" s="25" t="s">
        <v>50</v>
      </c>
      <c r="B483" s="20">
        <v>0</v>
      </c>
      <c r="C483" s="20">
        <v>0</v>
      </c>
      <c r="D483" s="20">
        <v>32431.75908</v>
      </c>
      <c r="E483" s="20">
        <v>40402.62010847724</v>
      </c>
      <c r="F483" s="20">
        <v>15878.41437</v>
      </c>
      <c r="G483" s="20">
        <v>16396.44324496845</v>
      </c>
      <c r="H483" s="21">
        <v>0.24577331771660527</v>
      </c>
      <c r="I483" s="21">
        <v>3.2624723281386991E-2</v>
      </c>
      <c r="J483" s="21">
        <v>0.17571640292766699</v>
      </c>
    </row>
    <row r="484" spans="1:10" ht="11.25" customHeight="1" x14ac:dyDescent="0.2">
      <c r="A484" s="26" t="s">
        <v>25</v>
      </c>
      <c r="B484" s="20">
        <v>0</v>
      </c>
      <c r="C484" s="20">
        <v>0</v>
      </c>
      <c r="D484" s="20">
        <v>32431.75908</v>
      </c>
      <c r="E484" s="20">
        <v>40402.62010847724</v>
      </c>
      <c r="F484" s="20">
        <v>15878.41437</v>
      </c>
      <c r="G484" s="20">
        <v>16396.44324496845</v>
      </c>
      <c r="H484" s="21">
        <v>0.24577331771660527</v>
      </c>
      <c r="I484" s="21">
        <v>3.2624723281386991E-2</v>
      </c>
      <c r="J484" s="21">
        <v>0.17571640292766699</v>
      </c>
    </row>
    <row r="485" spans="1:10" ht="11.25" customHeight="1" x14ac:dyDescent="0.2">
      <c r="A485" s="27" t="s">
        <v>25</v>
      </c>
      <c r="B485" s="20">
        <v>0</v>
      </c>
      <c r="C485" s="20">
        <v>0</v>
      </c>
      <c r="D485" s="20">
        <v>32431.75908</v>
      </c>
      <c r="E485" s="20">
        <v>40402.62010847724</v>
      </c>
      <c r="F485" s="20">
        <v>15878.41437</v>
      </c>
      <c r="G485" s="20">
        <v>16396.44324496845</v>
      </c>
      <c r="H485" s="21">
        <v>0.24577331771660527</v>
      </c>
      <c r="I485" s="21">
        <v>3.2624723281386991E-2</v>
      </c>
      <c r="J485" s="21">
        <v>0.17571640292766699</v>
      </c>
    </row>
    <row r="486" spans="1:10" ht="11.25" customHeight="1" x14ac:dyDescent="0.2">
      <c r="A486" s="28" t="s">
        <v>25</v>
      </c>
      <c r="B486" s="20">
        <v>0</v>
      </c>
      <c r="C486" s="20">
        <v>0</v>
      </c>
      <c r="D486" s="20">
        <v>32431.75908</v>
      </c>
      <c r="E486" s="20">
        <v>40402.62010847724</v>
      </c>
      <c r="F486" s="20">
        <v>15878.41437</v>
      </c>
      <c r="G486" s="20">
        <v>16396.44324496845</v>
      </c>
      <c r="H486" s="21">
        <v>0.24577331771660527</v>
      </c>
      <c r="I486" s="21">
        <v>3.2624723281386991E-2</v>
      </c>
      <c r="J486" s="21">
        <v>0.17571640292766699</v>
      </c>
    </row>
    <row r="487" spans="1:10" ht="11.25" customHeight="1" x14ac:dyDescent="0.2">
      <c r="A487" s="29" t="s">
        <v>25</v>
      </c>
      <c r="B487" s="20">
        <v>0</v>
      </c>
      <c r="C487" s="20">
        <v>0</v>
      </c>
      <c r="D487" s="20">
        <v>32431.75908</v>
      </c>
      <c r="E487" s="20">
        <v>40402.62010847724</v>
      </c>
      <c r="F487" s="20">
        <v>15878.41437</v>
      </c>
      <c r="G487" s="20">
        <v>16396.44324496845</v>
      </c>
      <c r="H487" s="21">
        <v>0.24577331771660527</v>
      </c>
      <c r="I487" s="21">
        <v>3.2624723281386991E-2</v>
      </c>
      <c r="J487" s="21">
        <v>0.17571640292766699</v>
      </c>
    </row>
    <row r="488" spans="1:10" ht="11.25" customHeight="1" x14ac:dyDescent="0.2">
      <c r="A488" s="30">
        <v>44378</v>
      </c>
      <c r="B488" s="20">
        <v>0</v>
      </c>
      <c r="C488" s="20">
        <v>0</v>
      </c>
      <c r="D488" s="20">
        <v>2620.0214000000001</v>
      </c>
      <c r="E488" s="20">
        <v>3263.9527519665048</v>
      </c>
      <c r="F488" s="20">
        <v>1282.7483500000001</v>
      </c>
      <c r="G488" s="20">
        <v>1324.597659958406</v>
      </c>
      <c r="H488" s="21">
        <v>0.24577331771660527</v>
      </c>
      <c r="I488" s="21">
        <v>3.2624723281387213E-2</v>
      </c>
      <c r="J488" s="21">
        <v>0.17571640292766699</v>
      </c>
    </row>
    <row r="489" spans="1:10" ht="11.25" customHeight="1" x14ac:dyDescent="0.2">
      <c r="A489" s="30">
        <v>44409</v>
      </c>
      <c r="B489" s="20">
        <v>0</v>
      </c>
      <c r="C489" s="20">
        <v>0</v>
      </c>
      <c r="D489" s="20">
        <v>2638.7213199999997</v>
      </c>
      <c r="E489" s="20">
        <v>3287.2486133459397</v>
      </c>
      <c r="F489" s="20">
        <v>1291.90373</v>
      </c>
      <c r="G489" s="20">
        <v>1334.0517316974417</v>
      </c>
      <c r="H489" s="21">
        <v>0.24577331771660527</v>
      </c>
      <c r="I489" s="21">
        <v>3.2624723281386991E-2</v>
      </c>
      <c r="J489" s="21">
        <v>0.17571640292766721</v>
      </c>
    </row>
    <row r="490" spans="1:10" ht="11.25" customHeight="1" x14ac:dyDescent="0.2">
      <c r="A490" s="30">
        <v>44440</v>
      </c>
      <c r="B490" s="20">
        <v>0</v>
      </c>
      <c r="C490" s="20">
        <v>0</v>
      </c>
      <c r="D490" s="20">
        <v>2089.91932</v>
      </c>
      <c r="E490" s="20">
        <v>2603.5657250364316</v>
      </c>
      <c r="F490" s="20">
        <v>1023.21323</v>
      </c>
      <c r="G490" s="20">
        <v>1056.5952784866042</v>
      </c>
      <c r="H490" s="21">
        <v>0.24577331771660527</v>
      </c>
      <c r="I490" s="21">
        <v>3.2624723281386991E-2</v>
      </c>
      <c r="J490" s="21">
        <v>0.17571640292766721</v>
      </c>
    </row>
    <row r="491" spans="1:10" ht="11.25" customHeight="1" x14ac:dyDescent="0.2">
      <c r="A491" s="30">
        <v>44470</v>
      </c>
      <c r="B491" s="20">
        <v>0</v>
      </c>
      <c r="C491" s="20">
        <v>0</v>
      </c>
      <c r="D491" s="20">
        <v>2230.1687199999997</v>
      </c>
      <c r="E491" s="20">
        <v>2778.2846853821948</v>
      </c>
      <c r="F491" s="20">
        <v>1091.8785800000001</v>
      </c>
      <c r="G491" s="20">
        <v>1127.5008165293739</v>
      </c>
      <c r="H491" s="21">
        <v>0.24577331771660549</v>
      </c>
      <c r="I491" s="21">
        <v>3.2624723281386991E-2</v>
      </c>
      <c r="J491" s="21">
        <v>0.17571640292766721</v>
      </c>
    </row>
    <row r="492" spans="1:10" ht="11.25" customHeight="1" x14ac:dyDescent="0.2">
      <c r="A492" s="30">
        <v>44501</v>
      </c>
      <c r="B492" s="20">
        <v>0</v>
      </c>
      <c r="C492" s="20">
        <v>0</v>
      </c>
      <c r="D492" s="20">
        <v>2355.7833999999998</v>
      </c>
      <c r="E492" s="20">
        <v>2934.7721020397044</v>
      </c>
      <c r="F492" s="20">
        <v>1153.3788500000001</v>
      </c>
      <c r="G492" s="20">
        <v>1191.0075158198545</v>
      </c>
      <c r="H492" s="21">
        <v>0.24577331771660527</v>
      </c>
      <c r="I492" s="21">
        <v>3.2624723281386991E-2</v>
      </c>
      <c r="J492" s="21">
        <v>0.17571640292766721</v>
      </c>
    </row>
    <row r="493" spans="1:10" ht="11.25" customHeight="1" x14ac:dyDescent="0.2">
      <c r="A493" s="30">
        <v>44531</v>
      </c>
      <c r="B493" s="20">
        <v>0</v>
      </c>
      <c r="C493" s="20">
        <v>0</v>
      </c>
      <c r="D493" s="20">
        <v>3020.0370800000001</v>
      </c>
      <c r="E493" s="20">
        <v>3762.2816127787687</v>
      </c>
      <c r="F493" s="20">
        <v>1478.5938700000002</v>
      </c>
      <c r="G493" s="20">
        <v>1526.8325858543053</v>
      </c>
      <c r="H493" s="21">
        <v>0.24577331771660527</v>
      </c>
      <c r="I493" s="21">
        <v>3.2624723281386991E-2</v>
      </c>
      <c r="J493" s="21">
        <v>0.17571640292766699</v>
      </c>
    </row>
    <row r="494" spans="1:10" ht="11.25" customHeight="1" x14ac:dyDescent="0.2">
      <c r="A494" s="30">
        <v>44562</v>
      </c>
      <c r="B494" s="20">
        <v>0</v>
      </c>
      <c r="C494" s="20">
        <v>0</v>
      </c>
      <c r="D494" s="20">
        <v>3587.1324799999998</v>
      </c>
      <c r="E494" s="20">
        <v>4468.7539306985936</v>
      </c>
      <c r="F494" s="20">
        <v>1756.24072</v>
      </c>
      <c r="G494" s="20">
        <v>1813.537587505504</v>
      </c>
      <c r="H494" s="21">
        <v>0.24577331771660527</v>
      </c>
      <c r="I494" s="21">
        <v>3.2624723281386991E-2</v>
      </c>
      <c r="J494" s="21">
        <v>0.17571640292766699</v>
      </c>
    </row>
    <row r="495" spans="1:10" ht="11.25" customHeight="1" x14ac:dyDescent="0.2">
      <c r="A495" s="30">
        <v>44593</v>
      </c>
      <c r="B495" s="20">
        <v>0</v>
      </c>
      <c r="C495" s="20">
        <v>0</v>
      </c>
      <c r="D495" s="20">
        <v>3771.69256</v>
      </c>
      <c r="E495" s="20">
        <v>4698.6739538782367</v>
      </c>
      <c r="F495" s="20">
        <v>1846.6003400000002</v>
      </c>
      <c r="G495" s="20">
        <v>1906.8451651038154</v>
      </c>
      <c r="H495" s="21">
        <v>0.24577331771660549</v>
      </c>
      <c r="I495" s="21">
        <v>3.2624723281386991E-2</v>
      </c>
      <c r="J495" s="21">
        <v>0.17571640292766721</v>
      </c>
    </row>
    <row r="496" spans="1:10" ht="11.25" customHeight="1" x14ac:dyDescent="0.2">
      <c r="A496" s="30">
        <v>44621</v>
      </c>
      <c r="B496" s="20">
        <v>0</v>
      </c>
      <c r="C496" s="20">
        <v>0</v>
      </c>
      <c r="D496" s="20">
        <v>3204.5971599999998</v>
      </c>
      <c r="E496" s="20">
        <v>3992.2016359584109</v>
      </c>
      <c r="F496" s="20">
        <v>1568.9534900000001</v>
      </c>
      <c r="G496" s="20">
        <v>1620.1401634526164</v>
      </c>
      <c r="H496" s="21">
        <v>0.24577331771660527</v>
      </c>
      <c r="I496" s="21">
        <v>3.2624723281386991E-2</v>
      </c>
      <c r="J496" s="21">
        <v>0.17571640292766721</v>
      </c>
    </row>
    <row r="497" spans="1:10" ht="11.25" customHeight="1" x14ac:dyDescent="0.2">
      <c r="A497" s="30">
        <v>44652</v>
      </c>
      <c r="B497" s="20">
        <v>0</v>
      </c>
      <c r="C497" s="20">
        <v>0</v>
      </c>
      <c r="D497" s="20">
        <v>2124.88004</v>
      </c>
      <c r="E497" s="20">
        <v>2647.1188571805928</v>
      </c>
      <c r="F497" s="20">
        <v>1040.3298100000002</v>
      </c>
      <c r="G497" s="20">
        <v>1074.2702821726282</v>
      </c>
      <c r="H497" s="21">
        <v>0.24577331771660527</v>
      </c>
      <c r="I497" s="21">
        <v>3.2624723281386991E-2</v>
      </c>
      <c r="J497" s="21">
        <v>0.17571640292766721</v>
      </c>
    </row>
    <row r="498" spans="1:10" ht="11.25" customHeight="1" x14ac:dyDescent="0.2">
      <c r="A498" s="30">
        <v>44682</v>
      </c>
      <c r="B498" s="20">
        <v>0</v>
      </c>
      <c r="C498" s="20">
        <v>0</v>
      </c>
      <c r="D498" s="20">
        <v>2313.9118399999998</v>
      </c>
      <c r="E498" s="20">
        <v>2882.6096298205348</v>
      </c>
      <c r="F498" s="20">
        <v>1132.8787600000001</v>
      </c>
      <c r="G498" s="20">
        <v>1169.8386160563609</v>
      </c>
      <c r="H498" s="21">
        <v>0.24577331771660549</v>
      </c>
      <c r="I498" s="21">
        <v>3.2624723281386991E-2</v>
      </c>
      <c r="J498" s="21">
        <v>0.17571640292766721</v>
      </c>
    </row>
    <row r="499" spans="1:10" ht="11.25" customHeight="1" x14ac:dyDescent="0.2">
      <c r="A499" s="30">
        <v>44713</v>
      </c>
      <c r="B499" s="20">
        <v>0</v>
      </c>
      <c r="C499" s="20">
        <v>0</v>
      </c>
      <c r="D499" s="20">
        <v>2474.8937599999999</v>
      </c>
      <c r="E499" s="20">
        <v>3083.1566103913237</v>
      </c>
      <c r="F499" s="20">
        <v>1211.6946399999999</v>
      </c>
      <c r="G499" s="20">
        <v>1251.22584233154</v>
      </c>
      <c r="H499" s="21">
        <v>0.24577331771660527</v>
      </c>
      <c r="I499" s="21">
        <v>3.2624723281387213E-2</v>
      </c>
      <c r="J499" s="21">
        <v>0.17571640292766721</v>
      </c>
    </row>
    <row r="500" spans="1:10" ht="11.25" customHeight="1" x14ac:dyDescent="0.2">
      <c r="A500" s="25" t="s">
        <v>38</v>
      </c>
      <c r="B500" s="20">
        <v>0</v>
      </c>
      <c r="C500" s="20">
        <v>0</v>
      </c>
      <c r="D500" s="20">
        <v>327693.73940000002</v>
      </c>
      <c r="E500" s="20">
        <v>408232.1169272986</v>
      </c>
      <c r="F500" s="20">
        <v>160437.08784999998</v>
      </c>
      <c r="G500" s="20">
        <v>165671.30344517785</v>
      </c>
      <c r="H500" s="21">
        <v>0.24577331771660549</v>
      </c>
      <c r="I500" s="21">
        <v>3.2624723281386991E-2</v>
      </c>
      <c r="J500" s="21">
        <v>0.17571640292766721</v>
      </c>
    </row>
    <row r="501" spans="1:10" ht="11.25" customHeight="1" x14ac:dyDescent="0.2">
      <c r="A501" s="26" t="s">
        <v>25</v>
      </c>
      <c r="B501" s="20">
        <v>0</v>
      </c>
      <c r="C501" s="20">
        <v>0</v>
      </c>
      <c r="D501" s="20">
        <v>327693.73940000002</v>
      </c>
      <c r="E501" s="20">
        <v>408232.1169272986</v>
      </c>
      <c r="F501" s="20">
        <v>160437.08784999998</v>
      </c>
      <c r="G501" s="20">
        <v>165671.30344517785</v>
      </c>
      <c r="H501" s="21">
        <v>0.24577331771660549</v>
      </c>
      <c r="I501" s="21">
        <v>3.2624723281386991E-2</v>
      </c>
      <c r="J501" s="21">
        <v>0.17571640292766721</v>
      </c>
    </row>
    <row r="502" spans="1:10" ht="11.25" customHeight="1" x14ac:dyDescent="0.2">
      <c r="A502" s="27" t="s">
        <v>25</v>
      </c>
      <c r="B502" s="20">
        <v>0</v>
      </c>
      <c r="C502" s="20">
        <v>0</v>
      </c>
      <c r="D502" s="20">
        <v>327693.73940000002</v>
      </c>
      <c r="E502" s="20">
        <v>408232.1169272986</v>
      </c>
      <c r="F502" s="20">
        <v>160437.08784999998</v>
      </c>
      <c r="G502" s="20">
        <v>165671.30344517785</v>
      </c>
      <c r="H502" s="21">
        <v>0.24577331771660549</v>
      </c>
      <c r="I502" s="21">
        <v>3.2624723281386991E-2</v>
      </c>
      <c r="J502" s="21">
        <v>0.17571640292766721</v>
      </c>
    </row>
    <row r="503" spans="1:10" ht="11.25" customHeight="1" x14ac:dyDescent="0.2">
      <c r="A503" s="28" t="s">
        <v>25</v>
      </c>
      <c r="B503" s="20">
        <v>0</v>
      </c>
      <c r="C503" s="20">
        <v>0</v>
      </c>
      <c r="D503" s="20">
        <v>327693.73940000002</v>
      </c>
      <c r="E503" s="20">
        <v>408232.1169272986</v>
      </c>
      <c r="F503" s="20">
        <v>160437.08784999998</v>
      </c>
      <c r="G503" s="20">
        <v>165671.30344517785</v>
      </c>
      <c r="H503" s="21">
        <v>0.24577331771660549</v>
      </c>
      <c r="I503" s="21">
        <v>3.2624723281386991E-2</v>
      </c>
      <c r="J503" s="21">
        <v>0.17571640292766721</v>
      </c>
    </row>
    <row r="504" spans="1:10" ht="11.25" customHeight="1" x14ac:dyDescent="0.2">
      <c r="A504" s="29" t="s">
        <v>25</v>
      </c>
      <c r="B504" s="20">
        <v>0</v>
      </c>
      <c r="C504" s="20">
        <v>0</v>
      </c>
      <c r="D504" s="20">
        <v>327693.73940000002</v>
      </c>
      <c r="E504" s="20">
        <v>408232.1169272986</v>
      </c>
      <c r="F504" s="20">
        <v>160437.08784999998</v>
      </c>
      <c r="G504" s="20">
        <v>165671.30344517785</v>
      </c>
      <c r="H504" s="21">
        <v>0.24577331771660549</v>
      </c>
      <c r="I504" s="21">
        <v>3.2624723281386991E-2</v>
      </c>
      <c r="J504" s="21">
        <v>0.17571640292766721</v>
      </c>
    </row>
    <row r="505" spans="1:10" ht="11.25" customHeight="1" x14ac:dyDescent="0.2">
      <c r="A505" s="30">
        <v>44378</v>
      </c>
      <c r="B505" s="20">
        <v>0</v>
      </c>
      <c r="C505" s="20">
        <v>0</v>
      </c>
      <c r="D505" s="20">
        <v>27117.323119999997</v>
      </c>
      <c r="E505" s="20">
        <v>33782.037590795604</v>
      </c>
      <c r="F505" s="20">
        <v>13276.49518</v>
      </c>
      <c r="G505" s="20">
        <v>13709.63716139417</v>
      </c>
      <c r="H505" s="21">
        <v>0.24577331771660527</v>
      </c>
      <c r="I505" s="21">
        <v>3.2624723281387213E-2</v>
      </c>
      <c r="J505" s="21">
        <v>0.17571640292766721</v>
      </c>
    </row>
    <row r="506" spans="1:10" ht="11.25" customHeight="1" x14ac:dyDescent="0.2">
      <c r="A506" s="30">
        <v>44409</v>
      </c>
      <c r="B506" s="20">
        <v>0</v>
      </c>
      <c r="C506" s="20">
        <v>0</v>
      </c>
      <c r="D506" s="20">
        <v>29112.116759999997</v>
      </c>
      <c r="E506" s="20">
        <v>36267.098281858387</v>
      </c>
      <c r="F506" s="20">
        <v>14253.135389999999</v>
      </c>
      <c r="G506" s="20">
        <v>14718.139987990895</v>
      </c>
      <c r="H506" s="21">
        <v>0.24577331771660527</v>
      </c>
      <c r="I506" s="21">
        <v>3.2624723281387213E-2</v>
      </c>
      <c r="J506" s="21">
        <v>0.17571640292766699</v>
      </c>
    </row>
    <row r="507" spans="1:10" ht="11.25" customHeight="1" x14ac:dyDescent="0.2">
      <c r="A507" s="30">
        <v>44440</v>
      </c>
      <c r="B507" s="20">
        <v>0</v>
      </c>
      <c r="C507" s="20">
        <v>0</v>
      </c>
      <c r="D507" s="20">
        <v>30087.358239999998</v>
      </c>
      <c r="E507" s="20">
        <v>37482.028095972841</v>
      </c>
      <c r="F507" s="20">
        <v>14730.608360000002</v>
      </c>
      <c r="G507" s="20">
        <v>15211.190381511487</v>
      </c>
      <c r="H507" s="21">
        <v>0.24577331771660527</v>
      </c>
      <c r="I507" s="21">
        <v>3.2624723281386991E-2</v>
      </c>
      <c r="J507" s="21">
        <v>0.17571640292766721</v>
      </c>
    </row>
    <row r="508" spans="1:10" ht="11.25" customHeight="1" x14ac:dyDescent="0.2">
      <c r="A508" s="30">
        <v>44470</v>
      </c>
      <c r="B508" s="20">
        <v>0</v>
      </c>
      <c r="C508" s="20">
        <v>0</v>
      </c>
      <c r="D508" s="20">
        <v>26703.892280000004</v>
      </c>
      <c r="E508" s="20">
        <v>33266.996481602444</v>
      </c>
      <c r="F508" s="20">
        <v>13074.08167</v>
      </c>
      <c r="G508" s="20">
        <v>13500.619966642005</v>
      </c>
      <c r="H508" s="21">
        <v>0.24577331771660504</v>
      </c>
      <c r="I508" s="21">
        <v>3.2624723281387213E-2</v>
      </c>
      <c r="J508" s="21">
        <v>0.17571640292766721</v>
      </c>
    </row>
    <row r="509" spans="1:10" ht="11.25" customHeight="1" x14ac:dyDescent="0.2">
      <c r="A509" s="30">
        <v>44501</v>
      </c>
      <c r="B509" s="20">
        <v>0</v>
      </c>
      <c r="C509" s="20">
        <v>0</v>
      </c>
      <c r="D509" s="20">
        <v>26745.357319999996</v>
      </c>
      <c r="E509" s="20">
        <v>33318.652522052493</v>
      </c>
      <c r="F509" s="20">
        <v>13094.382729999999</v>
      </c>
      <c r="G509" s="20">
        <v>13521.583343106824</v>
      </c>
      <c r="H509" s="21">
        <v>0.24577331771660549</v>
      </c>
      <c r="I509" s="21">
        <v>3.2624723281387213E-2</v>
      </c>
      <c r="J509" s="21">
        <v>0.17571640292766721</v>
      </c>
    </row>
    <row r="510" spans="1:10" ht="11.25" customHeight="1" x14ac:dyDescent="0.2">
      <c r="A510" s="30">
        <v>44531</v>
      </c>
      <c r="B510" s="20">
        <v>0</v>
      </c>
      <c r="C510" s="20">
        <v>0</v>
      </c>
      <c r="D510" s="20">
        <v>28438.91964</v>
      </c>
      <c r="E510" s="20">
        <v>35428.447272198726</v>
      </c>
      <c r="F510" s="20">
        <v>13923.54171</v>
      </c>
      <c r="G510" s="20">
        <v>14377.793405385602</v>
      </c>
      <c r="H510" s="21">
        <v>0.24577331771660527</v>
      </c>
      <c r="I510" s="21">
        <v>3.2624723281387213E-2</v>
      </c>
      <c r="J510" s="21">
        <v>0.17571640292766721</v>
      </c>
    </row>
    <row r="511" spans="1:10" ht="11.25" customHeight="1" x14ac:dyDescent="0.2">
      <c r="A511" s="30">
        <v>44562</v>
      </c>
      <c r="B511" s="20">
        <v>0</v>
      </c>
      <c r="C511" s="20">
        <v>0</v>
      </c>
      <c r="D511" s="20">
        <v>22390.715080000002</v>
      </c>
      <c r="E511" s="20">
        <v>27893.755411258822</v>
      </c>
      <c r="F511" s="20">
        <v>10962.373370000001</v>
      </c>
      <c r="G511" s="20">
        <v>11320.017767703497</v>
      </c>
      <c r="H511" s="21">
        <v>0.24577331771660504</v>
      </c>
      <c r="I511" s="21">
        <v>3.2624723281386991E-2</v>
      </c>
      <c r="J511" s="21">
        <v>0.17571640292766699</v>
      </c>
    </row>
    <row r="512" spans="1:10" ht="11.25" customHeight="1" x14ac:dyDescent="0.2">
      <c r="A512" s="30">
        <v>44593</v>
      </c>
      <c r="B512" s="20">
        <v>0</v>
      </c>
      <c r="C512" s="20">
        <v>0</v>
      </c>
      <c r="D512" s="20">
        <v>33139.916919999996</v>
      </c>
      <c r="E512" s="20">
        <v>41284.824250281061</v>
      </c>
      <c r="F512" s="20">
        <v>16225.124629999998</v>
      </c>
      <c r="G512" s="20">
        <v>16754.464831259767</v>
      </c>
      <c r="H512" s="21">
        <v>0.24577331771660527</v>
      </c>
      <c r="I512" s="21">
        <v>3.2624723281387213E-2</v>
      </c>
      <c r="J512" s="21">
        <v>0.17571640292766721</v>
      </c>
    </row>
    <row r="513" spans="1:10" ht="11.25" customHeight="1" x14ac:dyDescent="0.2">
      <c r="A513" s="30">
        <v>44621</v>
      </c>
      <c r="B513" s="20">
        <v>0</v>
      </c>
      <c r="C513" s="20">
        <v>0</v>
      </c>
      <c r="D513" s="20">
        <v>25169.279279999999</v>
      </c>
      <c r="E513" s="20">
        <v>31355.21655318141</v>
      </c>
      <c r="F513" s="20">
        <v>12322.743420000001</v>
      </c>
      <c r="G513" s="20">
        <v>12724.769514145035</v>
      </c>
      <c r="H513" s="21">
        <v>0.24577331771660527</v>
      </c>
      <c r="I513" s="21">
        <v>3.2624723281387213E-2</v>
      </c>
      <c r="J513" s="21">
        <v>0.17571640292766721</v>
      </c>
    </row>
    <row r="514" spans="1:10" ht="11.25" customHeight="1" x14ac:dyDescent="0.2">
      <c r="A514" s="30">
        <v>44652</v>
      </c>
      <c r="B514" s="20">
        <v>0</v>
      </c>
      <c r="C514" s="20">
        <v>0</v>
      </c>
      <c r="D514" s="20">
        <v>27858.815600000002</v>
      </c>
      <c r="E514" s="20">
        <v>34705.769137667114</v>
      </c>
      <c r="F514" s="20">
        <v>13639.525900000001</v>
      </c>
      <c r="G514" s="20">
        <v>14084.511658176812</v>
      </c>
      <c r="H514" s="21">
        <v>0.24577331771660504</v>
      </c>
      <c r="I514" s="21">
        <v>3.2624723281386991E-2</v>
      </c>
      <c r="J514" s="21">
        <v>0.17571640292766677</v>
      </c>
    </row>
    <row r="515" spans="1:10" ht="11.25" customHeight="1" x14ac:dyDescent="0.2">
      <c r="A515" s="30">
        <v>44682</v>
      </c>
      <c r="B515" s="20">
        <v>0</v>
      </c>
      <c r="C515" s="20">
        <v>0</v>
      </c>
      <c r="D515" s="20">
        <v>24039.96672</v>
      </c>
      <c r="E515" s="20">
        <v>29948.349098571176</v>
      </c>
      <c r="F515" s="20">
        <v>11769.83808</v>
      </c>
      <c r="G515" s="20">
        <v>12153.825790426732</v>
      </c>
      <c r="H515" s="21">
        <v>0.24577331771660527</v>
      </c>
      <c r="I515" s="21">
        <v>3.2624723281387213E-2</v>
      </c>
      <c r="J515" s="21">
        <v>0.17571640292766721</v>
      </c>
    </row>
    <row r="516" spans="1:10" ht="11.25" customHeight="1" x14ac:dyDescent="0.2">
      <c r="A516" s="30">
        <v>44713</v>
      </c>
      <c r="B516" s="20">
        <v>0</v>
      </c>
      <c r="C516" s="20">
        <v>0</v>
      </c>
      <c r="D516" s="20">
        <v>26890.078439999997</v>
      </c>
      <c r="E516" s="20">
        <v>33498.942231858557</v>
      </c>
      <c r="F516" s="20">
        <v>13165.23741</v>
      </c>
      <c r="G516" s="20">
        <v>13594.749637435014</v>
      </c>
      <c r="H516" s="21">
        <v>0.24577331771660527</v>
      </c>
      <c r="I516" s="21">
        <v>3.2624723281386991E-2</v>
      </c>
      <c r="J516" s="21">
        <v>0.17571640292766721</v>
      </c>
    </row>
    <row r="517" spans="1:10" ht="11.25" customHeight="1" x14ac:dyDescent="0.2">
      <c r="A517" s="25" t="s">
        <v>44</v>
      </c>
      <c r="B517" s="20">
        <v>0</v>
      </c>
      <c r="C517" s="20">
        <v>0</v>
      </c>
      <c r="D517" s="20">
        <v>803729.06591999996</v>
      </c>
      <c r="E517" s="20">
        <v>1001264.2249964266</v>
      </c>
      <c r="F517" s="20">
        <v>393501.41688000003</v>
      </c>
      <c r="G517" s="20">
        <v>406339.29171654372</v>
      </c>
      <c r="H517" s="21">
        <v>0.24577331771660504</v>
      </c>
      <c r="I517" s="21">
        <v>3.2624723281386991E-2</v>
      </c>
      <c r="J517" s="21">
        <v>0.17571640292766721</v>
      </c>
    </row>
    <row r="518" spans="1:10" ht="11.25" customHeight="1" x14ac:dyDescent="0.2">
      <c r="A518" s="26" t="s">
        <v>25</v>
      </c>
      <c r="B518" s="20">
        <v>0</v>
      </c>
      <c r="C518" s="20">
        <v>0</v>
      </c>
      <c r="D518" s="20">
        <v>803729.06591999996</v>
      </c>
      <c r="E518" s="20">
        <v>1001264.2249964266</v>
      </c>
      <c r="F518" s="20">
        <v>393501.41688000003</v>
      </c>
      <c r="G518" s="20">
        <v>406339.29171654372</v>
      </c>
      <c r="H518" s="21">
        <v>0.24577331771660504</v>
      </c>
      <c r="I518" s="21">
        <v>3.2624723281386991E-2</v>
      </c>
      <c r="J518" s="21">
        <v>0.17571640292766721</v>
      </c>
    </row>
    <row r="519" spans="1:10" ht="11.25" customHeight="1" x14ac:dyDescent="0.2">
      <c r="A519" s="27" t="s">
        <v>25</v>
      </c>
      <c r="B519" s="20">
        <v>0</v>
      </c>
      <c r="C519" s="20">
        <v>0</v>
      </c>
      <c r="D519" s="20">
        <v>803729.06591999996</v>
      </c>
      <c r="E519" s="20">
        <v>1001264.2249964266</v>
      </c>
      <c r="F519" s="20">
        <v>393501.41688000003</v>
      </c>
      <c r="G519" s="20">
        <v>406339.29171654372</v>
      </c>
      <c r="H519" s="21">
        <v>0.24577331771660504</v>
      </c>
      <c r="I519" s="21">
        <v>3.2624723281386991E-2</v>
      </c>
      <c r="J519" s="21">
        <v>0.17571640292766721</v>
      </c>
    </row>
    <row r="520" spans="1:10" ht="11.25" customHeight="1" x14ac:dyDescent="0.2">
      <c r="A520" s="28" t="s">
        <v>25</v>
      </c>
      <c r="B520" s="20">
        <v>0</v>
      </c>
      <c r="C520" s="20">
        <v>0</v>
      </c>
      <c r="D520" s="20">
        <v>803729.06591999996</v>
      </c>
      <c r="E520" s="20">
        <v>1001264.2249964266</v>
      </c>
      <c r="F520" s="20">
        <v>393501.41688000003</v>
      </c>
      <c r="G520" s="20">
        <v>406339.29171654372</v>
      </c>
      <c r="H520" s="21">
        <v>0.24577331771660504</v>
      </c>
      <c r="I520" s="21">
        <v>3.2624723281386991E-2</v>
      </c>
      <c r="J520" s="21">
        <v>0.17571640292766721</v>
      </c>
    </row>
    <row r="521" spans="1:10" ht="11.25" customHeight="1" x14ac:dyDescent="0.2">
      <c r="A521" s="29" t="s">
        <v>25</v>
      </c>
      <c r="B521" s="20">
        <v>0</v>
      </c>
      <c r="C521" s="20">
        <v>0</v>
      </c>
      <c r="D521" s="20">
        <v>803729.06591999996</v>
      </c>
      <c r="E521" s="20">
        <v>1001264.2249964266</v>
      </c>
      <c r="F521" s="20">
        <v>393501.41688000003</v>
      </c>
      <c r="G521" s="20">
        <v>406339.29171654372</v>
      </c>
      <c r="H521" s="21">
        <v>0.24577331771660504</v>
      </c>
      <c r="I521" s="21">
        <v>3.2624723281386991E-2</v>
      </c>
      <c r="J521" s="21">
        <v>0.17571640292766721</v>
      </c>
    </row>
    <row r="522" spans="1:10" ht="11.25" customHeight="1" x14ac:dyDescent="0.2">
      <c r="A522" s="30">
        <v>44378</v>
      </c>
      <c r="B522" s="20">
        <v>0</v>
      </c>
      <c r="C522" s="20">
        <v>0</v>
      </c>
      <c r="D522" s="20">
        <v>58198.216240000002</v>
      </c>
      <c r="E522" s="20">
        <v>72501.784930493217</v>
      </c>
      <c r="F522" s="20">
        <v>28493.532860000003</v>
      </c>
      <c r="G522" s="20">
        <v>29423.126484866611</v>
      </c>
      <c r="H522" s="21">
        <v>0.24577331771660527</v>
      </c>
      <c r="I522" s="21">
        <v>3.2624723281386991E-2</v>
      </c>
      <c r="J522" s="21">
        <v>0.17571640292766699</v>
      </c>
    </row>
    <row r="523" spans="1:10" ht="11.25" customHeight="1" x14ac:dyDescent="0.2">
      <c r="A523" s="30">
        <v>44409</v>
      </c>
      <c r="B523" s="20">
        <v>0</v>
      </c>
      <c r="C523" s="20">
        <v>0</v>
      </c>
      <c r="D523" s="20">
        <v>62728.068599999999</v>
      </c>
      <c r="E523" s="20">
        <v>78144.954133776817</v>
      </c>
      <c r="F523" s="20">
        <v>30711.32415</v>
      </c>
      <c r="G523" s="20">
        <v>31713.272601998731</v>
      </c>
      <c r="H523" s="21">
        <v>0.24577331771660549</v>
      </c>
      <c r="I523" s="21">
        <v>3.2624723281386991E-2</v>
      </c>
      <c r="J523" s="21">
        <v>0.17571640292766721</v>
      </c>
    </row>
    <row r="524" spans="1:10" ht="11.25" customHeight="1" x14ac:dyDescent="0.2">
      <c r="A524" s="30">
        <v>44440</v>
      </c>
      <c r="B524" s="20">
        <v>0</v>
      </c>
      <c r="C524" s="20">
        <v>0</v>
      </c>
      <c r="D524" s="20">
        <v>53265.096039999989</v>
      </c>
      <c r="E524" s="20">
        <v>66356.235412244409</v>
      </c>
      <c r="F524" s="20">
        <v>26078.303809999998</v>
      </c>
      <c r="G524" s="20">
        <v>26929.10125544919</v>
      </c>
      <c r="H524" s="21">
        <v>0.24577331771660549</v>
      </c>
      <c r="I524" s="21">
        <v>3.2624723281386991E-2</v>
      </c>
      <c r="J524" s="21">
        <v>0.17571640292766721</v>
      </c>
    </row>
    <row r="525" spans="1:10" ht="11.25" customHeight="1" x14ac:dyDescent="0.2">
      <c r="A525" s="30">
        <v>44470</v>
      </c>
      <c r="B525" s="20">
        <v>0</v>
      </c>
      <c r="C525" s="20">
        <v>0</v>
      </c>
      <c r="D525" s="20">
        <v>52271.967680000002</v>
      </c>
      <c r="E525" s="20">
        <v>65119.022600288765</v>
      </c>
      <c r="F525" s="20">
        <v>25592.073520000002</v>
      </c>
      <c r="G525" s="20">
        <v>26427.007836786914</v>
      </c>
      <c r="H525" s="21">
        <v>0.24577331771660527</v>
      </c>
      <c r="I525" s="21">
        <v>3.2624723281386991E-2</v>
      </c>
      <c r="J525" s="21">
        <v>0.17571640292766699</v>
      </c>
    </row>
    <row r="526" spans="1:10" ht="11.25" customHeight="1" x14ac:dyDescent="0.2">
      <c r="A526" s="30">
        <v>44501</v>
      </c>
      <c r="B526" s="20">
        <v>0</v>
      </c>
      <c r="C526" s="20">
        <v>0</v>
      </c>
      <c r="D526" s="20">
        <v>63128.897319999996</v>
      </c>
      <c r="E526" s="20">
        <v>78644.295858127312</v>
      </c>
      <c r="F526" s="20">
        <v>30907.567729999999</v>
      </c>
      <c r="G526" s="20">
        <v>31915.918574491978</v>
      </c>
      <c r="H526" s="21">
        <v>0.24577331771660527</v>
      </c>
      <c r="I526" s="21">
        <v>3.2624723281386991E-2</v>
      </c>
      <c r="J526" s="21">
        <v>0.17571640292766721</v>
      </c>
    </row>
    <row r="527" spans="1:10" ht="11.25" customHeight="1" x14ac:dyDescent="0.2">
      <c r="A527" s="30">
        <v>44531</v>
      </c>
      <c r="B527" s="20">
        <v>0</v>
      </c>
      <c r="C527" s="20">
        <v>0</v>
      </c>
      <c r="D527" s="20">
        <v>69731.595159999997</v>
      </c>
      <c r="E527" s="20">
        <v>86869.760652144367</v>
      </c>
      <c r="F527" s="20">
        <v>34140.21299</v>
      </c>
      <c r="G527" s="20">
        <v>35254.027991566363</v>
      </c>
      <c r="H527" s="21">
        <v>0.24577331771660527</v>
      </c>
      <c r="I527" s="21">
        <v>3.2624723281386991E-2</v>
      </c>
      <c r="J527" s="21">
        <v>0.17571640292766699</v>
      </c>
    </row>
    <row r="528" spans="1:10" ht="11.25" customHeight="1" x14ac:dyDescent="0.2">
      <c r="A528" s="30">
        <v>44562</v>
      </c>
      <c r="B528" s="20">
        <v>0</v>
      </c>
      <c r="C528" s="20">
        <v>0</v>
      </c>
      <c r="D528" s="20">
        <v>79135.215799999991</v>
      </c>
      <c r="E528" s="20">
        <v>98584.540335385522</v>
      </c>
      <c r="F528" s="20">
        <v>38744.174950000001</v>
      </c>
      <c r="G528" s="20">
        <v>40008.192936509397</v>
      </c>
      <c r="H528" s="21">
        <v>0.24577331771660549</v>
      </c>
      <c r="I528" s="21">
        <v>3.2624723281386991E-2</v>
      </c>
      <c r="J528" s="21">
        <v>0.17571640292766721</v>
      </c>
    </row>
    <row r="529" spans="1:10" ht="11.25" customHeight="1" x14ac:dyDescent="0.2">
      <c r="A529" s="30">
        <v>44593</v>
      </c>
      <c r="B529" s="20">
        <v>0</v>
      </c>
      <c r="C529" s="20">
        <v>0</v>
      </c>
      <c r="D529" s="20">
        <v>94861.035480000006</v>
      </c>
      <c r="E529" s="20">
        <v>118175.34689195221</v>
      </c>
      <c r="F529" s="20">
        <v>46443.45147</v>
      </c>
      <c r="G529" s="20">
        <v>47958.656222441285</v>
      </c>
      <c r="H529" s="21">
        <v>0.24577331771660527</v>
      </c>
      <c r="I529" s="21">
        <v>3.2624723281387213E-2</v>
      </c>
      <c r="J529" s="21">
        <v>0.17571640292766744</v>
      </c>
    </row>
    <row r="530" spans="1:10" ht="11.25" customHeight="1" x14ac:dyDescent="0.2">
      <c r="A530" s="30">
        <v>44621</v>
      </c>
      <c r="B530" s="20">
        <v>0</v>
      </c>
      <c r="C530" s="20">
        <v>0</v>
      </c>
      <c r="D530" s="20">
        <v>86802.589519999994</v>
      </c>
      <c r="E530" s="20">
        <v>108136.34993272304</v>
      </c>
      <c r="F530" s="20">
        <v>42498.07978</v>
      </c>
      <c r="G530" s="20">
        <v>43884.567872812811</v>
      </c>
      <c r="H530" s="21">
        <v>0.24577331771660549</v>
      </c>
      <c r="I530" s="21">
        <v>3.2624723281386991E-2</v>
      </c>
      <c r="J530" s="21">
        <v>0.17571640292766721</v>
      </c>
    </row>
    <row r="531" spans="1:10" ht="11.25" customHeight="1" x14ac:dyDescent="0.2">
      <c r="A531" s="30">
        <v>44652</v>
      </c>
      <c r="B531" s="20">
        <v>0</v>
      </c>
      <c r="C531" s="20">
        <v>0</v>
      </c>
      <c r="D531" s="20">
        <v>58562.458159999995</v>
      </c>
      <c r="E531" s="20">
        <v>72955.547795623075</v>
      </c>
      <c r="F531" s="20">
        <v>28671.863739999997</v>
      </c>
      <c r="G531" s="20">
        <v>29607.275360479136</v>
      </c>
      <c r="H531" s="21">
        <v>0.24577331771660527</v>
      </c>
      <c r="I531" s="21">
        <v>3.2624723281387213E-2</v>
      </c>
      <c r="J531" s="21">
        <v>0.17571640292766721</v>
      </c>
    </row>
    <row r="532" spans="1:10" ht="11.25" customHeight="1" x14ac:dyDescent="0.2">
      <c r="A532" s="30">
        <v>44682</v>
      </c>
      <c r="B532" s="20">
        <v>0</v>
      </c>
      <c r="C532" s="20">
        <v>0</v>
      </c>
      <c r="D532" s="20">
        <v>56466.034520000001</v>
      </c>
      <c r="E532" s="20">
        <v>70343.879162280762</v>
      </c>
      <c r="F532" s="20">
        <v>27645.466030000003</v>
      </c>
      <c r="G532" s="20">
        <v>28547.391709213738</v>
      </c>
      <c r="H532" s="21">
        <v>0.24577331771660527</v>
      </c>
      <c r="I532" s="21">
        <v>3.2624723281386991E-2</v>
      </c>
      <c r="J532" s="21">
        <v>0.17571640292766721</v>
      </c>
    </row>
    <row r="533" spans="1:10" ht="11.25" customHeight="1" x14ac:dyDescent="0.2">
      <c r="A533" s="30">
        <v>44713</v>
      </c>
      <c r="B533" s="20">
        <v>0</v>
      </c>
      <c r="C533" s="20">
        <v>0</v>
      </c>
      <c r="D533" s="20">
        <v>68577.891399999993</v>
      </c>
      <c r="E533" s="20">
        <v>85432.507291387054</v>
      </c>
      <c r="F533" s="20">
        <v>33575.365850000002</v>
      </c>
      <c r="G533" s="20">
        <v>34670.752869927586</v>
      </c>
      <c r="H533" s="21">
        <v>0.24577331771660549</v>
      </c>
      <c r="I533" s="21">
        <v>3.2624723281386991E-2</v>
      </c>
      <c r="J533" s="21">
        <v>0.17571640292766721</v>
      </c>
    </row>
    <row r="534" spans="1:10" ht="11.25" customHeight="1" x14ac:dyDescent="0.2">
      <c r="A534" s="25" t="s">
        <v>48</v>
      </c>
      <c r="B534" s="20">
        <v>0</v>
      </c>
      <c r="C534" s="20">
        <v>0</v>
      </c>
      <c r="D534" s="20">
        <v>370140.27315759996</v>
      </c>
      <c r="E534" s="20">
        <v>461110.87611207383</v>
      </c>
      <c r="F534" s="20">
        <v>181218.68190139998</v>
      </c>
      <c r="G534" s="20">
        <v>187130.89125185087</v>
      </c>
      <c r="H534" s="21">
        <v>0.24577331771660549</v>
      </c>
      <c r="I534" s="21">
        <v>3.2624723281387213E-2</v>
      </c>
      <c r="J534" s="21">
        <v>0.17571640292766721</v>
      </c>
    </row>
    <row r="535" spans="1:10" ht="11.25" customHeight="1" x14ac:dyDescent="0.2">
      <c r="A535" s="26" t="s">
        <v>49</v>
      </c>
      <c r="B535" s="20">
        <v>0</v>
      </c>
      <c r="C535" s="20">
        <v>0</v>
      </c>
      <c r="D535" s="20">
        <v>370140.27315759996</v>
      </c>
      <c r="E535" s="20">
        <v>461110.87611207383</v>
      </c>
      <c r="F535" s="20">
        <v>181218.68190139998</v>
      </c>
      <c r="G535" s="20">
        <v>187130.89125185087</v>
      </c>
      <c r="H535" s="21">
        <v>0.24577331771660549</v>
      </c>
      <c r="I535" s="21">
        <v>3.2624723281387213E-2</v>
      </c>
      <c r="J535" s="21">
        <v>0.17571640292766721</v>
      </c>
    </row>
    <row r="536" spans="1:10" ht="11.25" customHeight="1" x14ac:dyDescent="0.2">
      <c r="A536" s="27" t="s">
        <v>25</v>
      </c>
      <c r="B536" s="20">
        <v>0</v>
      </c>
      <c r="C536" s="20">
        <v>0</v>
      </c>
      <c r="D536" s="20">
        <v>370140.27315759996</v>
      </c>
      <c r="E536" s="20">
        <v>461110.87611207383</v>
      </c>
      <c r="F536" s="20">
        <v>181218.68190139998</v>
      </c>
      <c r="G536" s="20">
        <v>187130.89125185087</v>
      </c>
      <c r="H536" s="21">
        <v>0.24577331771660549</v>
      </c>
      <c r="I536" s="21">
        <v>3.2624723281387213E-2</v>
      </c>
      <c r="J536" s="21">
        <v>0.17571640292766721</v>
      </c>
    </row>
    <row r="537" spans="1:10" ht="11.25" customHeight="1" x14ac:dyDescent="0.2">
      <c r="A537" s="28" t="s">
        <v>25</v>
      </c>
      <c r="B537" s="20">
        <v>0</v>
      </c>
      <c r="C537" s="20">
        <v>0</v>
      </c>
      <c r="D537" s="20">
        <v>370140.27315759996</v>
      </c>
      <c r="E537" s="20">
        <v>461110.87611207383</v>
      </c>
      <c r="F537" s="20">
        <v>181218.68190139998</v>
      </c>
      <c r="G537" s="20">
        <v>187130.89125185087</v>
      </c>
      <c r="H537" s="21">
        <v>0.24577331771660549</v>
      </c>
      <c r="I537" s="21">
        <v>3.2624723281387213E-2</v>
      </c>
      <c r="J537" s="21">
        <v>0.17571640292766721</v>
      </c>
    </row>
    <row r="538" spans="1:10" ht="11.25" customHeight="1" x14ac:dyDescent="0.2">
      <c r="A538" s="29" t="s">
        <v>25</v>
      </c>
      <c r="B538" s="20">
        <v>0</v>
      </c>
      <c r="C538" s="20">
        <v>0</v>
      </c>
      <c r="D538" s="20">
        <v>370140.27315759996</v>
      </c>
      <c r="E538" s="20">
        <v>461110.87611207383</v>
      </c>
      <c r="F538" s="20">
        <v>181218.68190139998</v>
      </c>
      <c r="G538" s="20">
        <v>187130.89125185087</v>
      </c>
      <c r="H538" s="21">
        <v>0.24577331771660549</v>
      </c>
      <c r="I538" s="21">
        <v>3.2624723281387213E-2</v>
      </c>
      <c r="J538" s="21">
        <v>0.17571640292766721</v>
      </c>
    </row>
    <row r="539" spans="1:10" ht="11.25" customHeight="1" x14ac:dyDescent="0.2">
      <c r="A539" s="30">
        <v>44378</v>
      </c>
      <c r="B539" s="20">
        <v>0</v>
      </c>
      <c r="C539" s="20">
        <v>0</v>
      </c>
      <c r="D539" s="20">
        <v>28494.198229599991</v>
      </c>
      <c r="E539" s="20">
        <v>35497.311864163406</v>
      </c>
      <c r="F539" s="20">
        <v>13950.605809399996</v>
      </c>
      <c r="G539" s="20">
        <v>14405.740463539383</v>
      </c>
      <c r="H539" s="21">
        <v>0.24577331771660549</v>
      </c>
      <c r="I539" s="21">
        <v>3.2624723281387213E-2</v>
      </c>
      <c r="J539" s="21">
        <v>0.17571640292766721</v>
      </c>
    </row>
    <row r="540" spans="1:10" ht="11.25" customHeight="1" x14ac:dyDescent="0.2">
      <c r="A540" s="30">
        <v>44409</v>
      </c>
      <c r="B540" s="20">
        <v>0</v>
      </c>
      <c r="C540" s="20">
        <v>0</v>
      </c>
      <c r="D540" s="20">
        <v>27840.7579816</v>
      </c>
      <c r="E540" s="20">
        <v>34683.273438482887</v>
      </c>
      <c r="F540" s="20">
        <v>13630.6849874</v>
      </c>
      <c r="G540" s="20">
        <v>14075.382313249682</v>
      </c>
      <c r="H540" s="21">
        <v>0.24577331771660504</v>
      </c>
      <c r="I540" s="21">
        <v>3.2624723281386991E-2</v>
      </c>
      <c r="J540" s="21">
        <v>0.17571640292766721</v>
      </c>
    </row>
    <row r="541" spans="1:10" ht="11.25" customHeight="1" x14ac:dyDescent="0.2">
      <c r="A541" s="30">
        <v>44440</v>
      </c>
      <c r="B541" s="20">
        <v>0</v>
      </c>
      <c r="C541" s="20">
        <v>0</v>
      </c>
      <c r="D541" s="20">
        <v>28149.135923199996</v>
      </c>
      <c r="E541" s="20">
        <v>35067.44244990054</v>
      </c>
      <c r="F541" s="20">
        <v>13781.665164799999</v>
      </c>
      <c r="G541" s="20">
        <v>14231.288177158331</v>
      </c>
      <c r="H541" s="21">
        <v>0.24577331771660549</v>
      </c>
      <c r="I541" s="21">
        <v>3.2624723281386991E-2</v>
      </c>
      <c r="J541" s="21">
        <v>0.17571640292766744</v>
      </c>
    </row>
    <row r="542" spans="1:10" ht="11.25" customHeight="1" x14ac:dyDescent="0.2">
      <c r="A542" s="30">
        <v>44470</v>
      </c>
      <c r="B542" s="20">
        <v>0</v>
      </c>
      <c r="C542" s="20">
        <v>0</v>
      </c>
      <c r="D542" s="20">
        <v>29254.634541599997</v>
      </c>
      <c r="E542" s="20">
        <v>36444.64313147583</v>
      </c>
      <c r="F542" s="20">
        <v>14322.911327399999</v>
      </c>
      <c r="G542" s="20">
        <v>14790.192346040269</v>
      </c>
      <c r="H542" s="21">
        <v>0.24577331771660527</v>
      </c>
      <c r="I542" s="21">
        <v>3.2624723281386991E-2</v>
      </c>
      <c r="J542" s="21">
        <v>0.17571640292766721</v>
      </c>
    </row>
    <row r="543" spans="1:10" ht="11.25" customHeight="1" x14ac:dyDescent="0.2">
      <c r="A543" s="30">
        <v>44501</v>
      </c>
      <c r="B543" s="20">
        <v>0</v>
      </c>
      <c r="C543" s="20">
        <v>0</v>
      </c>
      <c r="D543" s="20">
        <v>27385.642580799999</v>
      </c>
      <c r="E543" s="20">
        <v>34116.30281568435</v>
      </c>
      <c r="F543" s="20">
        <v>13407.862941199999</v>
      </c>
      <c r="G543" s="20">
        <v>13845.290759451414</v>
      </c>
      <c r="H543" s="21">
        <v>0.24577331771660527</v>
      </c>
      <c r="I543" s="21">
        <v>3.2624723281387213E-2</v>
      </c>
      <c r="J543" s="21">
        <v>0.17571640292766699</v>
      </c>
    </row>
    <row r="544" spans="1:10" ht="11.25" customHeight="1" x14ac:dyDescent="0.2">
      <c r="A544" s="30">
        <v>44531</v>
      </c>
      <c r="B544" s="20">
        <v>0</v>
      </c>
      <c r="C544" s="20">
        <v>0</v>
      </c>
      <c r="D544" s="20">
        <v>30202.313965599998</v>
      </c>
      <c r="E544" s="20">
        <v>37625.236871644076</v>
      </c>
      <c r="F544" s="20">
        <v>14786.8900634</v>
      </c>
      <c r="G544" s="20">
        <v>15269.308259910718</v>
      </c>
      <c r="H544" s="21">
        <v>0.24577331771660549</v>
      </c>
      <c r="I544" s="21">
        <v>3.2624723281387213E-2</v>
      </c>
      <c r="J544" s="21">
        <v>0.17571640292766721</v>
      </c>
    </row>
    <row r="545" spans="1:10" ht="11.25" customHeight="1" x14ac:dyDescent="0.2">
      <c r="A545" s="30">
        <v>44562</v>
      </c>
      <c r="B545" s="20">
        <v>0</v>
      </c>
      <c r="C545" s="20">
        <v>0</v>
      </c>
      <c r="D545" s="20">
        <v>31691.087770399998</v>
      </c>
      <c r="E545" s="20">
        <v>39479.91155377934</v>
      </c>
      <c r="F545" s="20">
        <v>15515.7856906</v>
      </c>
      <c r="G545" s="20">
        <v>16021.98390524913</v>
      </c>
      <c r="H545" s="21">
        <v>0.24577331771660527</v>
      </c>
      <c r="I545" s="21">
        <v>3.2624723281386991E-2</v>
      </c>
      <c r="J545" s="21">
        <v>0.17571640292766721</v>
      </c>
    </row>
    <row r="546" spans="1:10" ht="11.25" customHeight="1" x14ac:dyDescent="0.2">
      <c r="A546" s="30">
        <v>44593</v>
      </c>
      <c r="B546" s="20">
        <v>0</v>
      </c>
      <c r="C546" s="20">
        <v>0</v>
      </c>
      <c r="D546" s="20">
        <v>39292.7759888</v>
      </c>
      <c r="E546" s="20">
        <v>48949.891905862736</v>
      </c>
      <c r="F546" s="20">
        <v>19237.531253200003</v>
      </c>
      <c r="G546" s="20">
        <v>19865.150386952686</v>
      </c>
      <c r="H546" s="21">
        <v>0.24577331771660504</v>
      </c>
      <c r="I546" s="21">
        <v>3.2624723281386991E-2</v>
      </c>
      <c r="J546" s="21">
        <v>0.17571640292766721</v>
      </c>
    </row>
    <row r="547" spans="1:10" ht="11.25" customHeight="1" x14ac:dyDescent="0.2">
      <c r="A547" s="30">
        <v>44621</v>
      </c>
      <c r="B547" s="20">
        <v>0</v>
      </c>
      <c r="C547" s="20">
        <v>0</v>
      </c>
      <c r="D547" s="20">
        <v>36089.772387199999</v>
      </c>
      <c r="E547" s="20">
        <v>44959.67548243927</v>
      </c>
      <c r="F547" s="20">
        <v>17669.3579608</v>
      </c>
      <c r="G547" s="20">
        <v>18245.815874830874</v>
      </c>
      <c r="H547" s="21">
        <v>0.24577331771660527</v>
      </c>
      <c r="I547" s="21">
        <v>3.2624723281386991E-2</v>
      </c>
      <c r="J547" s="21">
        <v>0.17571640292766721</v>
      </c>
    </row>
    <row r="548" spans="1:10" ht="11.25" customHeight="1" x14ac:dyDescent="0.2">
      <c r="A548" s="30">
        <v>44652</v>
      </c>
      <c r="B548" s="20">
        <v>0</v>
      </c>
      <c r="C548" s="20">
        <v>0</v>
      </c>
      <c r="D548" s="20">
        <v>31241.322172799999</v>
      </c>
      <c r="E548" s="20">
        <v>38919.605573062399</v>
      </c>
      <c r="F548" s="20">
        <v>15295.582879199999</v>
      </c>
      <c r="G548" s="20">
        <v>15794.597038061422</v>
      </c>
      <c r="H548" s="21">
        <v>0.24577331771660527</v>
      </c>
      <c r="I548" s="21">
        <v>3.2624723281387213E-2</v>
      </c>
      <c r="J548" s="21">
        <v>0.17571640292766721</v>
      </c>
    </row>
    <row r="549" spans="1:10" ht="11.25" customHeight="1" x14ac:dyDescent="0.2">
      <c r="A549" s="30">
        <v>44682</v>
      </c>
      <c r="B549" s="20">
        <v>0</v>
      </c>
      <c r="C549" s="20">
        <v>0</v>
      </c>
      <c r="D549" s="20">
        <v>30825.948167199997</v>
      </c>
      <c r="E549" s="20">
        <v>38402.143720012849</v>
      </c>
      <c r="F549" s="20">
        <v>15092.218005799998</v>
      </c>
      <c r="G549" s="20">
        <v>15584.597441941591</v>
      </c>
      <c r="H549" s="21">
        <v>0.24577331771660527</v>
      </c>
      <c r="I549" s="21">
        <v>3.2624723281387213E-2</v>
      </c>
      <c r="J549" s="21">
        <v>0.17571640292766744</v>
      </c>
    </row>
    <row r="550" spans="1:10" ht="11.25" customHeight="1" x14ac:dyDescent="0.2">
      <c r="A550" s="30">
        <v>44713</v>
      </c>
      <c r="B550" s="20">
        <v>0</v>
      </c>
      <c r="C550" s="20">
        <v>0</v>
      </c>
      <c r="D550" s="20">
        <v>29672.683448799991</v>
      </c>
      <c r="E550" s="20">
        <v>36965.437305566171</v>
      </c>
      <c r="F550" s="20">
        <v>14527.585818199997</v>
      </c>
      <c r="G550" s="20">
        <v>15001.544285465376</v>
      </c>
      <c r="H550" s="21">
        <v>0.24577331771660549</v>
      </c>
      <c r="I550" s="21">
        <v>3.2624723281386991E-2</v>
      </c>
      <c r="J550" s="21">
        <v>0.17571640292766721</v>
      </c>
    </row>
    <row r="551" spans="1:10" ht="11.25" customHeight="1" x14ac:dyDescent="0.2">
      <c r="A551" s="23" t="s">
        <v>45</v>
      </c>
      <c r="B551" s="20">
        <v>0</v>
      </c>
      <c r="C551" s="20">
        <v>0</v>
      </c>
      <c r="D551" s="20">
        <v>976066.27010999992</v>
      </c>
      <c r="E551" s="20">
        <v>1215935.5622863327</v>
      </c>
      <c r="F551" s="20">
        <v>477883.51262999995</v>
      </c>
      <c r="G551" s="20">
        <v>493458.55251559499</v>
      </c>
      <c r="H551" s="21">
        <v>0.24575103097180051</v>
      </c>
      <c r="I551" s="21">
        <v>3.2591707966401318E-2</v>
      </c>
      <c r="J551" s="21">
        <v>0.17568992759883151</v>
      </c>
    </row>
    <row r="552" spans="1:10" ht="11.25" customHeight="1" x14ac:dyDescent="0.2">
      <c r="A552" s="24" t="s">
        <v>23</v>
      </c>
      <c r="B552" s="20">
        <v>0</v>
      </c>
      <c r="C552" s="20">
        <v>0</v>
      </c>
      <c r="D552" s="20">
        <v>976066.27010999992</v>
      </c>
      <c r="E552" s="20">
        <v>1215935.5622863327</v>
      </c>
      <c r="F552" s="20">
        <v>477883.51262999995</v>
      </c>
      <c r="G552" s="20">
        <v>493458.55251559499</v>
      </c>
      <c r="H552" s="21">
        <v>0.24575103097180051</v>
      </c>
      <c r="I552" s="21">
        <v>3.2591707966401318E-2</v>
      </c>
      <c r="J552" s="21">
        <v>0.17568992759883151</v>
      </c>
    </row>
    <row r="553" spans="1:10" ht="11.25" customHeight="1" x14ac:dyDescent="0.2">
      <c r="A553" s="25" t="s">
        <v>46</v>
      </c>
      <c r="B553" s="20">
        <v>0</v>
      </c>
      <c r="C553" s="20">
        <v>0</v>
      </c>
      <c r="D553" s="20">
        <v>976066.27010999992</v>
      </c>
      <c r="E553" s="20">
        <v>1215935.5622863327</v>
      </c>
      <c r="F553" s="20">
        <v>477883.51262999995</v>
      </c>
      <c r="G553" s="20">
        <v>493458.55251559499</v>
      </c>
      <c r="H553" s="21">
        <v>0.24575103097180051</v>
      </c>
      <c r="I553" s="21">
        <v>3.2591707966401318E-2</v>
      </c>
      <c r="J553" s="21">
        <v>0.17568992759883151</v>
      </c>
    </row>
    <row r="554" spans="1:10" ht="11.25" customHeight="1" x14ac:dyDescent="0.2">
      <c r="A554" s="26" t="s">
        <v>47</v>
      </c>
      <c r="B554" s="20">
        <v>0</v>
      </c>
      <c r="C554" s="20">
        <v>0</v>
      </c>
      <c r="D554" s="20">
        <v>976066.27010999992</v>
      </c>
      <c r="E554" s="20">
        <v>1215935.5622863327</v>
      </c>
      <c r="F554" s="20">
        <v>477883.51262999995</v>
      </c>
      <c r="G554" s="20">
        <v>493458.55251559499</v>
      </c>
      <c r="H554" s="21">
        <v>0.24575103097180051</v>
      </c>
      <c r="I554" s="21">
        <v>3.2591707966401318E-2</v>
      </c>
      <c r="J554" s="21">
        <v>0.17568992759883151</v>
      </c>
    </row>
    <row r="555" spans="1:10" ht="11.25" customHeight="1" x14ac:dyDescent="0.2">
      <c r="A555" s="27" t="s">
        <v>25</v>
      </c>
      <c r="B555" s="20">
        <v>0</v>
      </c>
      <c r="C555" s="20">
        <v>0</v>
      </c>
      <c r="D555" s="20">
        <v>976066.27010999992</v>
      </c>
      <c r="E555" s="20">
        <v>1215935.5622863327</v>
      </c>
      <c r="F555" s="20">
        <v>477883.51262999995</v>
      </c>
      <c r="G555" s="20">
        <v>493458.55251559499</v>
      </c>
      <c r="H555" s="21">
        <v>0.24575103097180051</v>
      </c>
      <c r="I555" s="21">
        <v>3.2591707966401318E-2</v>
      </c>
      <c r="J555" s="21">
        <v>0.17568992759883151</v>
      </c>
    </row>
    <row r="556" spans="1:10" ht="11.25" customHeight="1" x14ac:dyDescent="0.2">
      <c r="A556" s="28" t="s">
        <v>25</v>
      </c>
      <c r="B556" s="20">
        <v>0</v>
      </c>
      <c r="C556" s="20">
        <v>0</v>
      </c>
      <c r="D556" s="20">
        <v>976066.27010999992</v>
      </c>
      <c r="E556" s="20">
        <v>1215935.5622863327</v>
      </c>
      <c r="F556" s="20">
        <v>477883.51262999995</v>
      </c>
      <c r="G556" s="20">
        <v>493458.55251559499</v>
      </c>
      <c r="H556" s="21">
        <v>0.24575103097180051</v>
      </c>
      <c r="I556" s="21">
        <v>3.2591707966401318E-2</v>
      </c>
      <c r="J556" s="21">
        <v>0.17568992759883151</v>
      </c>
    </row>
    <row r="557" spans="1:10" ht="11.25" customHeight="1" x14ac:dyDescent="0.2">
      <c r="A557" s="29" t="s">
        <v>25</v>
      </c>
      <c r="B557" s="20">
        <v>0</v>
      </c>
      <c r="C557" s="20">
        <v>0</v>
      </c>
      <c r="D557" s="20">
        <v>976066.27010999992</v>
      </c>
      <c r="E557" s="20">
        <v>1215935.5622863327</v>
      </c>
      <c r="F557" s="20">
        <v>477883.51262999995</v>
      </c>
      <c r="G557" s="20">
        <v>493458.55251559499</v>
      </c>
      <c r="H557" s="21">
        <v>0.24575103097180051</v>
      </c>
      <c r="I557" s="21">
        <v>3.2591707966401318E-2</v>
      </c>
      <c r="J557" s="21">
        <v>0.17568992759883151</v>
      </c>
    </row>
    <row r="558" spans="1:10" ht="11.25" customHeight="1" x14ac:dyDescent="0.2">
      <c r="A558" s="30">
        <v>44378</v>
      </c>
      <c r="B558" s="20">
        <v>0</v>
      </c>
      <c r="C558" s="20">
        <v>0</v>
      </c>
      <c r="D558" s="20">
        <v>81583.519199999995</v>
      </c>
      <c r="E558" s="20">
        <v>101632.7531537077</v>
      </c>
      <c r="F558" s="20">
        <v>39943.4136</v>
      </c>
      <c r="G558" s="20">
        <v>41245.237671232389</v>
      </c>
      <c r="H558" s="21">
        <v>0.24575103097180073</v>
      </c>
      <c r="I558" s="21">
        <v>3.259170796640154E-2</v>
      </c>
      <c r="J558" s="21">
        <v>0.17568992759883173</v>
      </c>
    </row>
    <row r="559" spans="1:10" ht="11.25" customHeight="1" x14ac:dyDescent="0.2">
      <c r="A559" s="30">
        <v>44409</v>
      </c>
      <c r="B559" s="20">
        <v>0</v>
      </c>
      <c r="C559" s="20">
        <v>0</v>
      </c>
      <c r="D559" s="20">
        <v>82413.932459999996</v>
      </c>
      <c r="E559" s="20">
        <v>102667.24132848535</v>
      </c>
      <c r="F559" s="20">
        <v>40349.985179999996</v>
      </c>
      <c r="G559" s="20">
        <v>41665.060113435189</v>
      </c>
      <c r="H559" s="21">
        <v>0.24575103097180073</v>
      </c>
      <c r="I559" s="21">
        <v>3.259170796640154E-2</v>
      </c>
      <c r="J559" s="21">
        <v>0.17568992759883173</v>
      </c>
    </row>
    <row r="560" spans="1:10" ht="11.25" customHeight="1" x14ac:dyDescent="0.2">
      <c r="A560" s="30">
        <v>44440</v>
      </c>
      <c r="B560" s="20">
        <v>0</v>
      </c>
      <c r="C560" s="20">
        <v>0</v>
      </c>
      <c r="D560" s="20">
        <v>79737.336569999999</v>
      </c>
      <c r="E560" s="20">
        <v>99332.86923902297</v>
      </c>
      <c r="F560" s="20">
        <v>39039.519809999998</v>
      </c>
      <c r="G560" s="20">
        <v>40311.884438796063</v>
      </c>
      <c r="H560" s="21">
        <v>0.24575103097180073</v>
      </c>
      <c r="I560" s="21">
        <v>3.259170796640154E-2</v>
      </c>
      <c r="J560" s="21">
        <v>0.17568992759883173</v>
      </c>
    </row>
    <row r="561" spans="1:10" ht="11.25" customHeight="1" x14ac:dyDescent="0.2">
      <c r="A561" s="30">
        <v>44470</v>
      </c>
      <c r="B561" s="20">
        <v>0</v>
      </c>
      <c r="C561" s="20">
        <v>0</v>
      </c>
      <c r="D561" s="20">
        <v>81403.305659999998</v>
      </c>
      <c r="E561" s="20">
        <v>101408.25195045762</v>
      </c>
      <c r="F561" s="20">
        <v>39855.180780000002</v>
      </c>
      <c r="G561" s="20">
        <v>41154.129192929897</v>
      </c>
      <c r="H561" s="21">
        <v>0.24575103097180073</v>
      </c>
      <c r="I561" s="21">
        <v>3.2591707966401318E-2</v>
      </c>
      <c r="J561" s="21">
        <v>0.17568992759883173</v>
      </c>
    </row>
    <row r="562" spans="1:10" ht="11.25" customHeight="1" x14ac:dyDescent="0.2">
      <c r="A562" s="30">
        <v>44501</v>
      </c>
      <c r="B562" s="20">
        <v>0</v>
      </c>
      <c r="C562" s="20">
        <v>0</v>
      </c>
      <c r="D562" s="20">
        <v>78617.82144</v>
      </c>
      <c r="E562" s="20">
        <v>97938.232111636942</v>
      </c>
      <c r="F562" s="20">
        <v>38491.40352</v>
      </c>
      <c r="G562" s="20">
        <v>39745.904102740758</v>
      </c>
      <c r="H562" s="21">
        <v>0.24575103097180073</v>
      </c>
      <c r="I562" s="21">
        <v>3.259170796640154E-2</v>
      </c>
      <c r="J562" s="21">
        <v>0.17568992759883195</v>
      </c>
    </row>
    <row r="563" spans="1:10" ht="11.25" customHeight="1" x14ac:dyDescent="0.2">
      <c r="A563" s="30">
        <v>44531</v>
      </c>
      <c r="B563" s="20">
        <v>0</v>
      </c>
      <c r="C563" s="20">
        <v>0</v>
      </c>
      <c r="D563" s="20">
        <v>81028.792409999995</v>
      </c>
      <c r="E563" s="20">
        <v>100941.70168315752</v>
      </c>
      <c r="F563" s="20">
        <v>39671.818529999997</v>
      </c>
      <c r="G563" s="20">
        <v>40964.790854025836</v>
      </c>
      <c r="H563" s="21">
        <v>0.24575103097180073</v>
      </c>
      <c r="I563" s="21">
        <v>3.259170796640154E-2</v>
      </c>
      <c r="J563" s="21">
        <v>0.17568992759883173</v>
      </c>
    </row>
    <row r="564" spans="1:10" ht="11.25" customHeight="1" x14ac:dyDescent="0.2">
      <c r="A564" s="30">
        <v>44562</v>
      </c>
      <c r="B564" s="20">
        <v>0</v>
      </c>
      <c r="C564" s="20">
        <v>0</v>
      </c>
      <c r="D564" s="20">
        <v>81036.618060000008</v>
      </c>
      <c r="E564" s="20">
        <v>100951.45049471305</v>
      </c>
      <c r="F564" s="20">
        <v>39675.649980000002</v>
      </c>
      <c r="G564" s="20">
        <v>40968.747177525329</v>
      </c>
      <c r="H564" s="21">
        <v>0.24575103097180073</v>
      </c>
      <c r="I564" s="21">
        <v>3.259170796640154E-2</v>
      </c>
      <c r="J564" s="21">
        <v>0.17568992759883173</v>
      </c>
    </row>
    <row r="565" spans="1:10" ht="11.25" customHeight="1" x14ac:dyDescent="0.2">
      <c r="A565" s="30">
        <v>44593</v>
      </c>
      <c r="B565" s="20">
        <v>0</v>
      </c>
      <c r="C565" s="20">
        <v>0</v>
      </c>
      <c r="D565" s="20">
        <v>73692.580920000008</v>
      </c>
      <c r="E565" s="20">
        <v>91802.608656062861</v>
      </c>
      <c r="F565" s="20">
        <v>36079.998360000005</v>
      </c>
      <c r="G565" s="20">
        <v>37255.907129977364</v>
      </c>
      <c r="H565" s="21">
        <v>0.24575103097180073</v>
      </c>
      <c r="I565" s="21">
        <v>3.2591707966401318E-2</v>
      </c>
      <c r="J565" s="21">
        <v>0.17568992759883173</v>
      </c>
    </row>
    <row r="566" spans="1:10" ht="11.25" customHeight="1" x14ac:dyDescent="0.2">
      <c r="A566" s="30">
        <v>44621</v>
      </c>
      <c r="B566" s="20">
        <v>0</v>
      </c>
      <c r="C566" s="20">
        <v>0</v>
      </c>
      <c r="D566" s="20">
        <v>85722.84087</v>
      </c>
      <c r="E566" s="20">
        <v>106789.31739163412</v>
      </c>
      <c r="F566" s="20">
        <v>41970.031709999996</v>
      </c>
      <c r="G566" s="20">
        <v>43337.906726832931</v>
      </c>
      <c r="H566" s="21">
        <v>0.24575103097180073</v>
      </c>
      <c r="I566" s="21">
        <v>3.259170796640154E-2</v>
      </c>
      <c r="J566" s="21">
        <v>0.17568992759883173</v>
      </c>
    </row>
    <row r="567" spans="1:10" ht="11.25" customHeight="1" x14ac:dyDescent="0.2">
      <c r="A567" s="30">
        <v>44652</v>
      </c>
      <c r="B567" s="20">
        <v>0</v>
      </c>
      <c r="C567" s="20">
        <v>0</v>
      </c>
      <c r="D567" s="20">
        <v>82358.705730000001</v>
      </c>
      <c r="E567" s="20">
        <v>102598.44257265065</v>
      </c>
      <c r="F567" s="20">
        <v>40322.946089999998</v>
      </c>
      <c r="G567" s="20">
        <v>41637.139773310228</v>
      </c>
      <c r="H567" s="21">
        <v>0.24575103097180051</v>
      </c>
      <c r="I567" s="21">
        <v>3.259170796640154E-2</v>
      </c>
      <c r="J567" s="21">
        <v>0.17568992759883151</v>
      </c>
    </row>
    <row r="568" spans="1:10" ht="11.25" customHeight="1" x14ac:dyDescent="0.2">
      <c r="A568" s="30">
        <v>44682</v>
      </c>
      <c r="B568" s="20">
        <v>0</v>
      </c>
      <c r="C568" s="20">
        <v>0</v>
      </c>
      <c r="D568" s="20">
        <v>85451.626199999999</v>
      </c>
      <c r="E568" s="20">
        <v>106451.45143686695</v>
      </c>
      <c r="F568" s="20">
        <v>41837.244599999998</v>
      </c>
      <c r="G568" s="20">
        <v>43200.791858122109</v>
      </c>
      <c r="H568" s="21">
        <v>0.24575103097180095</v>
      </c>
      <c r="I568" s="21">
        <v>3.259170796640154E-2</v>
      </c>
      <c r="J568" s="21">
        <v>0.17568992759883173</v>
      </c>
    </row>
    <row r="569" spans="1:10" ht="11.25" customHeight="1" x14ac:dyDescent="0.2">
      <c r="A569" s="30">
        <v>44713</v>
      </c>
      <c r="B569" s="20">
        <v>0</v>
      </c>
      <c r="C569" s="20">
        <v>0</v>
      </c>
      <c r="D569" s="20">
        <v>83019.190589999998</v>
      </c>
      <c r="E569" s="20">
        <v>103421.24226793692</v>
      </c>
      <c r="F569" s="20">
        <v>40646.320469999999</v>
      </c>
      <c r="G569" s="20">
        <v>41971.053476667003</v>
      </c>
      <c r="H569" s="21">
        <v>0.24575103097180073</v>
      </c>
      <c r="I569" s="21">
        <v>3.2591707966401318E-2</v>
      </c>
      <c r="J569" s="21">
        <v>0.17568992759883173</v>
      </c>
    </row>
    <row r="570" spans="1:10" ht="11.25" customHeight="1" x14ac:dyDescent="0.2">
      <c r="A570" s="22" t="s">
        <v>55</v>
      </c>
      <c r="B570" s="20">
        <v>371585.92507694056</v>
      </c>
      <c r="C570" s="20">
        <v>490442.01554831839</v>
      </c>
      <c r="D570" s="20">
        <v>959105.22829062585</v>
      </c>
      <c r="E570" s="20">
        <v>1216721.7360327733</v>
      </c>
      <c r="F570" s="20">
        <v>0</v>
      </c>
      <c r="G570" s="20">
        <v>0</v>
      </c>
      <c r="H570" s="21">
        <v>0.28291508308354651</v>
      </c>
      <c r="I570" s="21">
        <v>0</v>
      </c>
      <c r="J570" s="21">
        <v>0.28291508308354651</v>
      </c>
    </row>
    <row r="571" spans="1:10" ht="11.25" customHeight="1" x14ac:dyDescent="0.2">
      <c r="A571" s="23" t="s">
        <v>39</v>
      </c>
      <c r="B571" s="20">
        <v>371585.92507694056</v>
      </c>
      <c r="C571" s="20">
        <v>490442.01554831839</v>
      </c>
      <c r="D571" s="20">
        <v>959105.22829062585</v>
      </c>
      <c r="E571" s="20">
        <v>1216721.7360327733</v>
      </c>
      <c r="F571" s="20">
        <v>0</v>
      </c>
      <c r="G571" s="20">
        <v>0</v>
      </c>
      <c r="H571" s="21">
        <v>0.28291508308354651</v>
      </c>
      <c r="I571" s="21">
        <v>0</v>
      </c>
      <c r="J571" s="21">
        <v>0.28291508308354651</v>
      </c>
    </row>
    <row r="572" spans="1:10" ht="11.25" customHeight="1" x14ac:dyDescent="0.2">
      <c r="A572" s="24" t="s">
        <v>40</v>
      </c>
      <c r="B572" s="20">
        <v>371585.92507694056</v>
      </c>
      <c r="C572" s="20">
        <v>490442.01554831839</v>
      </c>
      <c r="D572" s="20">
        <v>959105.22829062585</v>
      </c>
      <c r="E572" s="20">
        <v>1216721.7360327733</v>
      </c>
      <c r="F572" s="20">
        <v>0</v>
      </c>
      <c r="G572" s="20">
        <v>0</v>
      </c>
      <c r="H572" s="21">
        <v>0.28291508308354651</v>
      </c>
      <c r="I572" s="21">
        <v>0</v>
      </c>
      <c r="J572" s="21">
        <v>0.28291508308354651</v>
      </c>
    </row>
    <row r="573" spans="1:10" ht="11.25" customHeight="1" x14ac:dyDescent="0.2">
      <c r="A573" s="25" t="s">
        <v>38</v>
      </c>
      <c r="B573" s="20">
        <v>371585.92507694056</v>
      </c>
      <c r="C573" s="20">
        <v>490442.01554831839</v>
      </c>
      <c r="D573" s="20">
        <v>959105.22829062585</v>
      </c>
      <c r="E573" s="20">
        <v>1216721.7360327733</v>
      </c>
      <c r="F573" s="20">
        <v>0</v>
      </c>
      <c r="G573" s="20">
        <v>0</v>
      </c>
      <c r="H573" s="21">
        <v>0.28291508308354651</v>
      </c>
      <c r="I573" s="21">
        <v>0</v>
      </c>
      <c r="J573" s="21">
        <v>0.28291508308354651</v>
      </c>
    </row>
    <row r="574" spans="1:10" ht="11.25" customHeight="1" x14ac:dyDescent="0.2">
      <c r="A574" s="26" t="s">
        <v>25</v>
      </c>
      <c r="B574" s="20">
        <v>371585.92507694056</v>
      </c>
      <c r="C574" s="20">
        <v>490442.01554831839</v>
      </c>
      <c r="D574" s="20">
        <v>959105.22829062585</v>
      </c>
      <c r="E574" s="20">
        <v>1216721.7360327733</v>
      </c>
      <c r="F574" s="20">
        <v>0</v>
      </c>
      <c r="G574" s="20">
        <v>0</v>
      </c>
      <c r="H574" s="21">
        <v>0.28291508308354651</v>
      </c>
      <c r="I574" s="21">
        <v>0</v>
      </c>
      <c r="J574" s="21">
        <v>0.28291508308354651</v>
      </c>
    </row>
    <row r="575" spans="1:10" ht="11.25" customHeight="1" x14ac:dyDescent="0.2">
      <c r="A575" s="27" t="s">
        <v>54</v>
      </c>
      <c r="B575" s="20">
        <v>371585.92507694056</v>
      </c>
      <c r="C575" s="20">
        <v>490442.01554831839</v>
      </c>
      <c r="D575" s="20">
        <v>959105.22829062585</v>
      </c>
      <c r="E575" s="20">
        <v>1216721.7360327733</v>
      </c>
      <c r="F575" s="20">
        <v>0</v>
      </c>
      <c r="G575" s="20">
        <v>0</v>
      </c>
      <c r="H575" s="21">
        <v>0.28291508308354651</v>
      </c>
      <c r="I575" s="21">
        <v>0</v>
      </c>
      <c r="J575" s="21">
        <v>0.28291508308354651</v>
      </c>
    </row>
    <row r="576" spans="1:10" ht="11.25" customHeight="1" x14ac:dyDescent="0.2">
      <c r="A576" s="28" t="s">
        <v>25</v>
      </c>
      <c r="B576" s="20">
        <v>371585.92507694056</v>
      </c>
      <c r="C576" s="20">
        <v>490442.01554831839</v>
      </c>
      <c r="D576" s="20">
        <v>959105.22829062585</v>
      </c>
      <c r="E576" s="20">
        <v>1216721.7360327733</v>
      </c>
      <c r="F576" s="20">
        <v>0</v>
      </c>
      <c r="G576" s="20">
        <v>0</v>
      </c>
      <c r="H576" s="21">
        <v>0.28291508308354651</v>
      </c>
      <c r="I576" s="21">
        <v>0</v>
      </c>
      <c r="J576" s="21">
        <v>0.28291508308354651</v>
      </c>
    </row>
    <row r="577" spans="1:10" ht="11.25" customHeight="1" x14ac:dyDescent="0.2">
      <c r="A577" s="29" t="s">
        <v>35</v>
      </c>
      <c r="B577" s="20">
        <v>0</v>
      </c>
      <c r="C577" s="20">
        <v>0</v>
      </c>
      <c r="D577" s="20">
        <v>715571.0292600001</v>
      </c>
      <c r="E577" s="20">
        <v>916872.22230816167</v>
      </c>
      <c r="F577" s="20">
        <v>0</v>
      </c>
      <c r="G577" s="20">
        <v>0</v>
      </c>
      <c r="H577" s="21">
        <v>0.28131545970542571</v>
      </c>
      <c r="I577" s="21">
        <v>0</v>
      </c>
      <c r="J577" s="21">
        <v>0.28131545970542571</v>
      </c>
    </row>
    <row r="578" spans="1:10" ht="11.25" customHeight="1" x14ac:dyDescent="0.2">
      <c r="A578" s="30">
        <v>44378</v>
      </c>
      <c r="B578" s="20">
        <v>0</v>
      </c>
      <c r="C578" s="20">
        <v>0</v>
      </c>
      <c r="D578" s="20">
        <v>52226.731440000003</v>
      </c>
      <c r="E578" s="20">
        <v>66918.918403955424</v>
      </c>
      <c r="F578" s="20">
        <v>0</v>
      </c>
      <c r="G578" s="20">
        <v>0</v>
      </c>
      <c r="H578" s="21">
        <v>0.28131545970542593</v>
      </c>
      <c r="I578" s="21">
        <v>0</v>
      </c>
      <c r="J578" s="21">
        <v>0.28131545970542593</v>
      </c>
    </row>
    <row r="579" spans="1:10" ht="11.25" customHeight="1" x14ac:dyDescent="0.2">
      <c r="A579" s="30">
        <v>44409</v>
      </c>
      <c r="B579" s="20">
        <v>0</v>
      </c>
      <c r="C579" s="20">
        <v>0</v>
      </c>
      <c r="D579" s="20">
        <v>59716.471859999998</v>
      </c>
      <c r="E579" s="20">
        <v>76515.638593282027</v>
      </c>
      <c r="F579" s="20">
        <v>0</v>
      </c>
      <c r="G579" s="20">
        <v>0</v>
      </c>
      <c r="H579" s="21">
        <v>0.28131545970542593</v>
      </c>
      <c r="I579" s="21">
        <v>0</v>
      </c>
      <c r="J579" s="21">
        <v>0.28131545970542593</v>
      </c>
    </row>
    <row r="580" spans="1:10" ht="11.25" customHeight="1" x14ac:dyDescent="0.2">
      <c r="A580" s="30">
        <v>44440</v>
      </c>
      <c r="B580" s="20">
        <v>0</v>
      </c>
      <c r="C580" s="20">
        <v>0</v>
      </c>
      <c r="D580" s="20">
        <v>51249.171060000001</v>
      </c>
      <c r="E580" s="20">
        <v>65666.355176265904</v>
      </c>
      <c r="F580" s="20">
        <v>0</v>
      </c>
      <c r="G580" s="20">
        <v>0</v>
      </c>
      <c r="H580" s="21">
        <v>0.28131545970542571</v>
      </c>
      <c r="I580" s="21">
        <v>0</v>
      </c>
      <c r="J580" s="21">
        <v>0.28131545970542571</v>
      </c>
    </row>
    <row r="581" spans="1:10" ht="11.25" customHeight="1" x14ac:dyDescent="0.2">
      <c r="A581" s="30">
        <v>44470</v>
      </c>
      <c r="B581" s="20">
        <v>0</v>
      </c>
      <c r="C581" s="20">
        <v>0</v>
      </c>
      <c r="D581" s="20">
        <v>43535.434679999998</v>
      </c>
      <c r="E581" s="20">
        <v>55782.625500479742</v>
      </c>
      <c r="F581" s="20">
        <v>0</v>
      </c>
      <c r="G581" s="20">
        <v>0</v>
      </c>
      <c r="H581" s="21">
        <v>0.28131545970542593</v>
      </c>
      <c r="I581" s="21">
        <v>0</v>
      </c>
      <c r="J581" s="21">
        <v>0.28131545970542593</v>
      </c>
    </row>
    <row r="582" spans="1:10" ht="11.25" customHeight="1" x14ac:dyDescent="0.2">
      <c r="A582" s="30">
        <v>44501</v>
      </c>
      <c r="B582" s="20">
        <v>0</v>
      </c>
      <c r="C582" s="20">
        <v>0</v>
      </c>
      <c r="D582" s="20">
        <v>52946.071739999999</v>
      </c>
      <c r="E582" s="20">
        <v>67840.620251134547</v>
      </c>
      <c r="F582" s="20">
        <v>0</v>
      </c>
      <c r="G582" s="20">
        <v>0</v>
      </c>
      <c r="H582" s="21">
        <v>0.28131545970542571</v>
      </c>
      <c r="I582" s="21">
        <v>0</v>
      </c>
      <c r="J582" s="21">
        <v>0.28131545970542571</v>
      </c>
    </row>
    <row r="583" spans="1:10" ht="11.25" customHeight="1" x14ac:dyDescent="0.2">
      <c r="A583" s="30">
        <v>44531</v>
      </c>
      <c r="B583" s="20">
        <v>0</v>
      </c>
      <c r="C583" s="20">
        <v>0</v>
      </c>
      <c r="D583" s="20">
        <v>56612.941740000002</v>
      </c>
      <c r="E583" s="20">
        <v>72539.037470864583</v>
      </c>
      <c r="F583" s="20">
        <v>0</v>
      </c>
      <c r="G583" s="20">
        <v>0</v>
      </c>
      <c r="H583" s="21">
        <v>0.28131545970542571</v>
      </c>
      <c r="I583" s="21">
        <v>0</v>
      </c>
      <c r="J583" s="21">
        <v>0.28131545970542571</v>
      </c>
    </row>
    <row r="584" spans="1:10" ht="11.25" customHeight="1" x14ac:dyDescent="0.2">
      <c r="A584" s="30">
        <v>44562</v>
      </c>
      <c r="B584" s="20">
        <v>0</v>
      </c>
      <c r="C584" s="20">
        <v>0</v>
      </c>
      <c r="D584" s="20">
        <v>55084.988700000002</v>
      </c>
      <c r="E584" s="20">
        <v>70581.247619008689</v>
      </c>
      <c r="F584" s="20">
        <v>0</v>
      </c>
      <c r="G584" s="20">
        <v>0</v>
      </c>
      <c r="H584" s="21">
        <v>0.28131545970542593</v>
      </c>
      <c r="I584" s="21">
        <v>0</v>
      </c>
      <c r="J584" s="21">
        <v>0.28131545970542593</v>
      </c>
    </row>
    <row r="585" spans="1:10" ht="11.25" customHeight="1" x14ac:dyDescent="0.2">
      <c r="A585" s="30">
        <v>44593</v>
      </c>
      <c r="B585" s="20">
        <v>0</v>
      </c>
      <c r="C585" s="20">
        <v>0</v>
      </c>
      <c r="D585" s="20">
        <v>47697.739560000002</v>
      </c>
      <c r="E585" s="20">
        <v>61115.851091231074</v>
      </c>
      <c r="F585" s="20">
        <v>0</v>
      </c>
      <c r="G585" s="20">
        <v>0</v>
      </c>
      <c r="H585" s="21">
        <v>0.28131545970542571</v>
      </c>
      <c r="I585" s="21">
        <v>0</v>
      </c>
      <c r="J585" s="21">
        <v>0.28131545970542571</v>
      </c>
    </row>
    <row r="586" spans="1:10" ht="11.25" customHeight="1" x14ac:dyDescent="0.2">
      <c r="A586" s="30">
        <v>44621</v>
      </c>
      <c r="B586" s="20">
        <v>0</v>
      </c>
      <c r="C586" s="20">
        <v>0</v>
      </c>
      <c r="D586" s="20">
        <v>92582.129700000005</v>
      </c>
      <c r="E586" s="20">
        <v>118626.91407706286</v>
      </c>
      <c r="F586" s="20">
        <v>0</v>
      </c>
      <c r="G586" s="20">
        <v>0</v>
      </c>
      <c r="H586" s="21">
        <v>0.28131545970542571</v>
      </c>
      <c r="I586" s="21">
        <v>0</v>
      </c>
      <c r="J586" s="21">
        <v>0.28131545970542571</v>
      </c>
    </row>
    <row r="587" spans="1:10" ht="11.25" customHeight="1" x14ac:dyDescent="0.2">
      <c r="A587" s="30">
        <v>44652</v>
      </c>
      <c r="B587" s="20">
        <v>0</v>
      </c>
      <c r="C587" s="20">
        <v>0</v>
      </c>
      <c r="D587" s="20">
        <v>61317.490680000003</v>
      </c>
      <c r="E587" s="20">
        <v>78567.048758627367</v>
      </c>
      <c r="F587" s="20">
        <v>0</v>
      </c>
      <c r="G587" s="20">
        <v>0</v>
      </c>
      <c r="H587" s="21">
        <v>0.28131545970542593</v>
      </c>
      <c r="I587" s="21">
        <v>0</v>
      </c>
      <c r="J587" s="21">
        <v>0.28131545970542593</v>
      </c>
    </row>
    <row r="588" spans="1:10" ht="11.25" customHeight="1" x14ac:dyDescent="0.2">
      <c r="A588" s="30">
        <v>44682</v>
      </c>
      <c r="B588" s="20">
        <v>0</v>
      </c>
      <c r="C588" s="20">
        <v>0</v>
      </c>
      <c r="D588" s="20">
        <v>71588.619900000005</v>
      </c>
      <c r="E588" s="20">
        <v>91727.605416845501</v>
      </c>
      <c r="F588" s="20">
        <v>0</v>
      </c>
      <c r="G588" s="20">
        <v>0</v>
      </c>
      <c r="H588" s="21">
        <v>0.28131545970542571</v>
      </c>
      <c r="I588" s="21">
        <v>0</v>
      </c>
      <c r="J588" s="21">
        <v>0.28131545970542571</v>
      </c>
    </row>
    <row r="589" spans="1:10" ht="11.25" customHeight="1" x14ac:dyDescent="0.2">
      <c r="A589" s="30">
        <v>44713</v>
      </c>
      <c r="B589" s="20">
        <v>0</v>
      </c>
      <c r="C589" s="20">
        <v>0</v>
      </c>
      <c r="D589" s="20">
        <v>71013.238200000007</v>
      </c>
      <c r="E589" s="20">
        <v>90990.359949403923</v>
      </c>
      <c r="F589" s="20">
        <v>0</v>
      </c>
      <c r="G589" s="20">
        <v>0</v>
      </c>
      <c r="H589" s="21">
        <v>0.28131545970542593</v>
      </c>
      <c r="I589" s="21">
        <v>0</v>
      </c>
      <c r="J589" s="21">
        <v>0.28131545970542593</v>
      </c>
    </row>
    <row r="590" spans="1:10" ht="11.25" customHeight="1" x14ac:dyDescent="0.2">
      <c r="A590" s="29" t="s">
        <v>25</v>
      </c>
      <c r="B590" s="20">
        <v>371585.92507694056</v>
      </c>
      <c r="C590" s="20">
        <v>490442.01554831839</v>
      </c>
      <c r="D590" s="20">
        <v>0</v>
      </c>
      <c r="E590" s="20">
        <v>0</v>
      </c>
      <c r="F590" s="20">
        <v>0</v>
      </c>
      <c r="G590" s="20">
        <v>0</v>
      </c>
      <c r="H590" s="21">
        <v>0.31986165904095398</v>
      </c>
      <c r="I590" s="21">
        <v>0</v>
      </c>
      <c r="J590" s="21">
        <v>0.31986165904095398</v>
      </c>
    </row>
    <row r="591" spans="1:10" ht="11.25" customHeight="1" x14ac:dyDescent="0.2">
      <c r="A591" s="30">
        <v>44378</v>
      </c>
      <c r="B591" s="20">
        <v>27750.5305125386</v>
      </c>
      <c r="C591" s="20">
        <v>36626.861241545812</v>
      </c>
      <c r="D591" s="20">
        <v>0</v>
      </c>
      <c r="E591" s="20">
        <v>0</v>
      </c>
      <c r="F591" s="20">
        <v>0</v>
      </c>
      <c r="G591" s="20">
        <v>0</v>
      </c>
      <c r="H591" s="21">
        <v>0.31986165904095398</v>
      </c>
      <c r="I591" s="21">
        <v>0</v>
      </c>
      <c r="J591" s="21">
        <v>0.31986165904095398</v>
      </c>
    </row>
    <row r="592" spans="1:10" ht="11.25" customHeight="1" x14ac:dyDescent="0.2">
      <c r="A592" s="30">
        <v>44409</v>
      </c>
      <c r="B592" s="20">
        <v>31112.843057306396</v>
      </c>
      <c r="C592" s="20">
        <v>41064.648655097255</v>
      </c>
      <c r="D592" s="20">
        <v>0</v>
      </c>
      <c r="E592" s="20">
        <v>0</v>
      </c>
      <c r="F592" s="20">
        <v>0</v>
      </c>
      <c r="G592" s="20">
        <v>0</v>
      </c>
      <c r="H592" s="21">
        <v>0.3198616590409542</v>
      </c>
      <c r="I592" s="21">
        <v>0</v>
      </c>
      <c r="J592" s="21">
        <v>0.3198616590409542</v>
      </c>
    </row>
    <row r="593" spans="1:10" ht="11.25" customHeight="1" x14ac:dyDescent="0.2">
      <c r="A593" s="30">
        <v>44440</v>
      </c>
      <c r="B593" s="20">
        <v>30856.317849531199</v>
      </c>
      <c r="C593" s="20">
        <v>40726.070868777249</v>
      </c>
      <c r="D593" s="20">
        <v>0</v>
      </c>
      <c r="E593" s="20">
        <v>0</v>
      </c>
      <c r="F593" s="20">
        <v>0</v>
      </c>
      <c r="G593" s="20">
        <v>0</v>
      </c>
      <c r="H593" s="21">
        <v>0.31986165904095398</v>
      </c>
      <c r="I593" s="21">
        <v>0</v>
      </c>
      <c r="J593" s="21">
        <v>0.31986165904095398</v>
      </c>
    </row>
    <row r="594" spans="1:10" ht="11.25" customHeight="1" x14ac:dyDescent="0.2">
      <c r="A594" s="30">
        <v>44470</v>
      </c>
      <c r="B594" s="20">
        <v>30856.317849531199</v>
      </c>
      <c r="C594" s="20">
        <v>40726.070868777249</v>
      </c>
      <c r="D594" s="20">
        <v>0</v>
      </c>
      <c r="E594" s="20">
        <v>0</v>
      </c>
      <c r="F594" s="20">
        <v>0</v>
      </c>
      <c r="G594" s="20">
        <v>0</v>
      </c>
      <c r="H594" s="21">
        <v>0.31986165904095398</v>
      </c>
      <c r="I594" s="21">
        <v>0</v>
      </c>
      <c r="J594" s="21">
        <v>0.31986165904095398</v>
      </c>
    </row>
    <row r="595" spans="1:10" ht="11.25" customHeight="1" x14ac:dyDescent="0.2">
      <c r="A595" s="30">
        <v>44501</v>
      </c>
      <c r="B595" s="20">
        <v>30856.317849531199</v>
      </c>
      <c r="C595" s="20">
        <v>40726.070868777249</v>
      </c>
      <c r="D595" s="20">
        <v>0</v>
      </c>
      <c r="E595" s="20">
        <v>0</v>
      </c>
      <c r="F595" s="20">
        <v>0</v>
      </c>
      <c r="G595" s="20">
        <v>0</v>
      </c>
      <c r="H595" s="21">
        <v>0.31986165904095398</v>
      </c>
      <c r="I595" s="21">
        <v>0</v>
      </c>
      <c r="J595" s="21">
        <v>0.31986165904095398</v>
      </c>
    </row>
    <row r="596" spans="1:10" ht="11.25" customHeight="1" x14ac:dyDescent="0.2">
      <c r="A596" s="30">
        <v>44531</v>
      </c>
      <c r="B596" s="20">
        <v>30856.317849531199</v>
      </c>
      <c r="C596" s="20">
        <v>40726.070868777249</v>
      </c>
      <c r="D596" s="20">
        <v>0</v>
      </c>
      <c r="E596" s="20">
        <v>0</v>
      </c>
      <c r="F596" s="20">
        <v>0</v>
      </c>
      <c r="G596" s="20">
        <v>0</v>
      </c>
      <c r="H596" s="21">
        <v>0.31986165904095398</v>
      </c>
      <c r="I596" s="21">
        <v>0</v>
      </c>
      <c r="J596" s="21">
        <v>0.31986165904095398</v>
      </c>
    </row>
    <row r="597" spans="1:10" ht="11.25" customHeight="1" x14ac:dyDescent="0.2">
      <c r="A597" s="30">
        <v>44562</v>
      </c>
      <c r="B597" s="20">
        <v>30856.317849531199</v>
      </c>
      <c r="C597" s="20">
        <v>40726.070868777249</v>
      </c>
      <c r="D597" s="20">
        <v>0</v>
      </c>
      <c r="E597" s="20">
        <v>0</v>
      </c>
      <c r="F597" s="20">
        <v>0</v>
      </c>
      <c r="G597" s="20">
        <v>0</v>
      </c>
      <c r="H597" s="21">
        <v>0.31986165904095398</v>
      </c>
      <c r="I597" s="21">
        <v>0</v>
      </c>
      <c r="J597" s="21">
        <v>0.31986165904095398</v>
      </c>
    </row>
    <row r="598" spans="1:10" ht="11.25" customHeight="1" x14ac:dyDescent="0.2">
      <c r="A598" s="30">
        <v>44593</v>
      </c>
      <c r="B598" s="20">
        <v>29023.994936851199</v>
      </c>
      <c r="C598" s="20">
        <v>38307.658109348675</v>
      </c>
      <c r="D598" s="20">
        <v>0</v>
      </c>
      <c r="E598" s="20">
        <v>0</v>
      </c>
      <c r="F598" s="20">
        <v>0</v>
      </c>
      <c r="G598" s="20">
        <v>0</v>
      </c>
      <c r="H598" s="21">
        <v>0.31986165904095398</v>
      </c>
      <c r="I598" s="21">
        <v>0</v>
      </c>
      <c r="J598" s="21">
        <v>0.31986165904095398</v>
      </c>
    </row>
    <row r="599" spans="1:10" ht="11.25" customHeight="1" x14ac:dyDescent="0.2">
      <c r="A599" s="30">
        <v>44621</v>
      </c>
      <c r="B599" s="20">
        <v>31671.701545673797</v>
      </c>
      <c r="C599" s="20">
        <v>41802.264546722967</v>
      </c>
      <c r="D599" s="20">
        <v>0</v>
      </c>
      <c r="E599" s="20">
        <v>0</v>
      </c>
      <c r="F599" s="20">
        <v>0</v>
      </c>
      <c r="G599" s="20">
        <v>0</v>
      </c>
      <c r="H599" s="21">
        <v>0.31986165904095398</v>
      </c>
      <c r="I599" s="21">
        <v>0</v>
      </c>
      <c r="J599" s="21">
        <v>0.31986165904095398</v>
      </c>
    </row>
    <row r="600" spans="1:10" ht="11.25" customHeight="1" x14ac:dyDescent="0.2">
      <c r="A600" s="30">
        <v>44652</v>
      </c>
      <c r="B600" s="20">
        <v>32129.782273843801</v>
      </c>
      <c r="C600" s="20">
        <v>42406.867736580112</v>
      </c>
      <c r="D600" s="20">
        <v>0</v>
      </c>
      <c r="E600" s="20">
        <v>0</v>
      </c>
      <c r="F600" s="20">
        <v>0</v>
      </c>
      <c r="G600" s="20">
        <v>0</v>
      </c>
      <c r="H600" s="21">
        <v>0.31986165904095398</v>
      </c>
      <c r="I600" s="21">
        <v>0</v>
      </c>
      <c r="J600" s="21">
        <v>0.31986165904095398</v>
      </c>
    </row>
    <row r="601" spans="1:10" ht="11.25" customHeight="1" x14ac:dyDescent="0.2">
      <c r="A601" s="30">
        <v>44682</v>
      </c>
      <c r="B601" s="20">
        <v>32844.388209789002</v>
      </c>
      <c r="C601" s="20">
        <v>43350.048712757263</v>
      </c>
      <c r="D601" s="20">
        <v>0</v>
      </c>
      <c r="E601" s="20">
        <v>0</v>
      </c>
      <c r="F601" s="20">
        <v>0</v>
      </c>
      <c r="G601" s="20">
        <v>0</v>
      </c>
      <c r="H601" s="21">
        <v>0.31986165904095398</v>
      </c>
      <c r="I601" s="21">
        <v>0</v>
      </c>
      <c r="J601" s="21">
        <v>0.31986165904095398</v>
      </c>
    </row>
    <row r="602" spans="1:10" ht="11.25" customHeight="1" x14ac:dyDescent="0.2">
      <c r="A602" s="30">
        <v>44713</v>
      </c>
      <c r="B602" s="20">
        <v>32771.095293281796</v>
      </c>
      <c r="C602" s="20">
        <v>43253.312202380112</v>
      </c>
      <c r="D602" s="20">
        <v>0</v>
      </c>
      <c r="E602" s="20">
        <v>0</v>
      </c>
      <c r="F602" s="20">
        <v>0</v>
      </c>
      <c r="G602" s="20">
        <v>0</v>
      </c>
      <c r="H602" s="21">
        <v>0.31986165904095398</v>
      </c>
      <c r="I602" s="21">
        <v>0</v>
      </c>
      <c r="J602" s="21">
        <v>0.31986165904095398</v>
      </c>
    </row>
    <row r="603" spans="1:10" ht="11.25" customHeight="1" x14ac:dyDescent="0.2">
      <c r="A603" s="29" t="s">
        <v>34</v>
      </c>
      <c r="B603" s="20">
        <v>0</v>
      </c>
      <c r="C603" s="20">
        <v>0</v>
      </c>
      <c r="D603" s="20">
        <v>243534.19903062578</v>
      </c>
      <c r="E603" s="20">
        <v>299849.51372461172</v>
      </c>
      <c r="F603" s="20">
        <v>0</v>
      </c>
      <c r="G603" s="20">
        <v>0</v>
      </c>
      <c r="H603" s="21">
        <v>0.23124191558370821</v>
      </c>
      <c r="I603" s="21">
        <v>0</v>
      </c>
      <c r="J603" s="21">
        <v>0.23124191558370821</v>
      </c>
    </row>
    <row r="604" spans="1:10" ht="11.25" customHeight="1" x14ac:dyDescent="0.2">
      <c r="A604" s="30">
        <v>44378</v>
      </c>
      <c r="B604" s="20">
        <v>0</v>
      </c>
      <c r="C604" s="20">
        <v>0</v>
      </c>
      <c r="D604" s="20">
        <v>17376.283948721204</v>
      </c>
      <c r="E604" s="20">
        <v>21394.409134749934</v>
      </c>
      <c r="F604" s="20">
        <v>0</v>
      </c>
      <c r="G604" s="20">
        <v>0</v>
      </c>
      <c r="H604" s="21">
        <v>0.23124191558370799</v>
      </c>
      <c r="I604" s="21">
        <v>0</v>
      </c>
      <c r="J604" s="21">
        <v>0.23124191558370799</v>
      </c>
    </row>
    <row r="605" spans="1:10" ht="11.25" customHeight="1" x14ac:dyDescent="0.2">
      <c r="A605" s="30">
        <v>44409</v>
      </c>
      <c r="B605" s="20">
        <v>0</v>
      </c>
      <c r="C605" s="20">
        <v>0</v>
      </c>
      <c r="D605" s="20">
        <v>18737.107656991211</v>
      </c>
      <c r="E605" s="20">
        <v>23069.912324092023</v>
      </c>
      <c r="F605" s="20">
        <v>0</v>
      </c>
      <c r="G605" s="20">
        <v>0</v>
      </c>
      <c r="H605" s="21">
        <v>0.23124191558370821</v>
      </c>
      <c r="I605" s="21">
        <v>0</v>
      </c>
      <c r="J605" s="21">
        <v>0.23124191558370821</v>
      </c>
    </row>
    <row r="606" spans="1:10" ht="11.25" customHeight="1" x14ac:dyDescent="0.2">
      <c r="A606" s="30">
        <v>44440</v>
      </c>
      <c r="B606" s="20">
        <v>0</v>
      </c>
      <c r="C606" s="20">
        <v>0</v>
      </c>
      <c r="D606" s="20">
        <v>11152.252943639471</v>
      </c>
      <c r="E606" s="20">
        <v>13731.121277400709</v>
      </c>
      <c r="F606" s="20">
        <v>0</v>
      </c>
      <c r="G606" s="20">
        <v>0</v>
      </c>
      <c r="H606" s="21">
        <v>0.23124191558370799</v>
      </c>
      <c r="I606" s="21">
        <v>0</v>
      </c>
      <c r="J606" s="21">
        <v>0.23124191558370799</v>
      </c>
    </row>
    <row r="607" spans="1:10" ht="11.25" customHeight="1" x14ac:dyDescent="0.2">
      <c r="A607" s="30">
        <v>44470</v>
      </c>
      <c r="B607" s="20">
        <v>0</v>
      </c>
      <c r="C607" s="20">
        <v>0</v>
      </c>
      <c r="D607" s="20">
        <v>11624.169567347604</v>
      </c>
      <c r="E607" s="20">
        <v>14312.164805170909</v>
      </c>
      <c r="F607" s="20">
        <v>0</v>
      </c>
      <c r="G607" s="20">
        <v>0</v>
      </c>
      <c r="H607" s="21">
        <v>0.23124191558370821</v>
      </c>
      <c r="I607" s="21">
        <v>0</v>
      </c>
      <c r="J607" s="21">
        <v>0.23124191558370821</v>
      </c>
    </row>
    <row r="608" spans="1:10" ht="11.25" customHeight="1" x14ac:dyDescent="0.2">
      <c r="A608" s="30">
        <v>44501</v>
      </c>
      <c r="B608" s="20">
        <v>0</v>
      </c>
      <c r="C608" s="20">
        <v>0</v>
      </c>
      <c r="D608" s="20">
        <v>13292.691881812107</v>
      </c>
      <c r="E608" s="20">
        <v>16366.519415826346</v>
      </c>
      <c r="F608" s="20">
        <v>0</v>
      </c>
      <c r="G608" s="20">
        <v>0</v>
      </c>
      <c r="H608" s="21">
        <v>0.23124191558370821</v>
      </c>
      <c r="I608" s="21">
        <v>0</v>
      </c>
      <c r="J608" s="21">
        <v>0.23124191558370821</v>
      </c>
    </row>
    <row r="609" spans="1:10" ht="11.25" customHeight="1" x14ac:dyDescent="0.2">
      <c r="A609" s="30">
        <v>44531</v>
      </c>
      <c r="B609" s="20">
        <v>0</v>
      </c>
      <c r="C609" s="20">
        <v>0</v>
      </c>
      <c r="D609" s="20">
        <v>16051.33038762141</v>
      </c>
      <c r="E609" s="20">
        <v>19763.07077412197</v>
      </c>
      <c r="F609" s="20">
        <v>0</v>
      </c>
      <c r="G609" s="20">
        <v>0</v>
      </c>
      <c r="H609" s="21">
        <v>0.23124191558370821</v>
      </c>
      <c r="I609" s="21">
        <v>0</v>
      </c>
      <c r="J609" s="21">
        <v>0.23124191558370821</v>
      </c>
    </row>
    <row r="610" spans="1:10" ht="11.25" customHeight="1" x14ac:dyDescent="0.2">
      <c r="A610" s="30">
        <v>44562</v>
      </c>
      <c r="B610" s="20">
        <v>0</v>
      </c>
      <c r="C610" s="20">
        <v>0</v>
      </c>
      <c r="D610" s="20">
        <v>16430.208817106799</v>
      </c>
      <c r="E610" s="20">
        <v>20229.561777414907</v>
      </c>
      <c r="F610" s="20">
        <v>0</v>
      </c>
      <c r="G610" s="20">
        <v>0</v>
      </c>
      <c r="H610" s="21">
        <v>0.23124191558370821</v>
      </c>
      <c r="I610" s="21">
        <v>0</v>
      </c>
      <c r="J610" s="21">
        <v>0.23124191558370821</v>
      </c>
    </row>
    <row r="611" spans="1:10" ht="11.25" customHeight="1" x14ac:dyDescent="0.2">
      <c r="A611" s="30">
        <v>44593</v>
      </c>
      <c r="B611" s="20">
        <v>0</v>
      </c>
      <c r="C611" s="20">
        <v>0</v>
      </c>
      <c r="D611" s="20">
        <v>16253.6604365034</v>
      </c>
      <c r="E611" s="20">
        <v>20012.188011087575</v>
      </c>
      <c r="F611" s="20">
        <v>0</v>
      </c>
      <c r="G611" s="20">
        <v>0</v>
      </c>
      <c r="H611" s="21">
        <v>0.23124191558370821</v>
      </c>
      <c r="I611" s="21">
        <v>0</v>
      </c>
      <c r="J611" s="21">
        <v>0.23124191558370821</v>
      </c>
    </row>
    <row r="612" spans="1:10" ht="11.25" customHeight="1" x14ac:dyDescent="0.2">
      <c r="A612" s="30">
        <v>44621</v>
      </c>
      <c r="B612" s="20">
        <v>0</v>
      </c>
      <c r="C612" s="20">
        <v>0</v>
      </c>
      <c r="D612" s="20">
        <v>40481.142494735555</v>
      </c>
      <c r="E612" s="20">
        <v>49842.079430235251</v>
      </c>
      <c r="F612" s="20">
        <v>0</v>
      </c>
      <c r="G612" s="20">
        <v>0</v>
      </c>
      <c r="H612" s="21">
        <v>0.23124191558370799</v>
      </c>
      <c r="I612" s="21">
        <v>0</v>
      </c>
      <c r="J612" s="21">
        <v>0.23124191558370799</v>
      </c>
    </row>
    <row r="613" spans="1:10" ht="11.25" customHeight="1" x14ac:dyDescent="0.2">
      <c r="A613" s="30">
        <v>44652</v>
      </c>
      <c r="B613" s="20">
        <v>0</v>
      </c>
      <c r="C613" s="20">
        <v>0</v>
      </c>
      <c r="D613" s="20">
        <v>23694.47409012475</v>
      </c>
      <c r="E613" s="20">
        <v>29173.629667473735</v>
      </c>
      <c r="F613" s="20">
        <v>0</v>
      </c>
      <c r="G613" s="20">
        <v>0</v>
      </c>
      <c r="H613" s="21">
        <v>0.23124191558370799</v>
      </c>
      <c r="I613" s="21">
        <v>0</v>
      </c>
      <c r="J613" s="21">
        <v>0.23124191558370799</v>
      </c>
    </row>
    <row r="614" spans="1:10" ht="11.25" customHeight="1" x14ac:dyDescent="0.2">
      <c r="A614" s="30">
        <v>44682</v>
      </c>
      <c r="B614" s="20">
        <v>0</v>
      </c>
      <c r="C614" s="20">
        <v>0</v>
      </c>
      <c r="D614" s="20">
        <v>29907.856145265323</v>
      </c>
      <c r="E614" s="20">
        <v>36823.806091298458</v>
      </c>
      <c r="F614" s="20">
        <v>0</v>
      </c>
      <c r="G614" s="20">
        <v>0</v>
      </c>
      <c r="H614" s="21">
        <v>0.23124191558370821</v>
      </c>
      <c r="I614" s="21">
        <v>0</v>
      </c>
      <c r="J614" s="21">
        <v>0.23124191558370821</v>
      </c>
    </row>
    <row r="615" spans="1:10" ht="11.25" customHeight="1" x14ac:dyDescent="0.2">
      <c r="A615" s="30">
        <v>44713</v>
      </c>
      <c r="B615" s="20">
        <v>0</v>
      </c>
      <c r="C615" s="20">
        <v>0</v>
      </c>
      <c r="D615" s="20">
        <v>28533.020660756949</v>
      </c>
      <c r="E615" s="20">
        <v>35131.051015739911</v>
      </c>
      <c r="F615" s="20">
        <v>0</v>
      </c>
      <c r="G615" s="20">
        <v>0</v>
      </c>
      <c r="H615" s="21">
        <v>0.23124191558370821</v>
      </c>
      <c r="I615" s="21">
        <v>0</v>
      </c>
      <c r="J615" s="21">
        <v>0.23124191558370821</v>
      </c>
    </row>
    <row r="616" spans="1:10" ht="11.25" customHeight="1" x14ac:dyDescent="0.2">
      <c r="A616" s="22" t="s">
        <v>59</v>
      </c>
      <c r="B616" s="20">
        <v>768754.18000000017</v>
      </c>
      <c r="C616" s="20">
        <v>1090208.7134468805</v>
      </c>
      <c r="D616" s="20">
        <v>71138.593440000011</v>
      </c>
      <c r="E616" s="20">
        <v>60950.444458814884</v>
      </c>
      <c r="F616" s="20">
        <v>1016382.2464612559</v>
      </c>
      <c r="G616" s="20">
        <v>1099876.5909825827</v>
      </c>
      <c r="H616" s="21">
        <v>0.37060252726169129</v>
      </c>
      <c r="I616" s="21">
        <v>8.2148566459153916E-2</v>
      </c>
      <c r="J616" s="21">
        <v>0.21266284615952058</v>
      </c>
    </row>
    <row r="617" spans="1:10" ht="11.25" customHeight="1" x14ac:dyDescent="0.2">
      <c r="A617" s="23" t="s">
        <v>39</v>
      </c>
      <c r="B617" s="20">
        <v>768754.18000000017</v>
      </c>
      <c r="C617" s="20">
        <v>1090208.7134468805</v>
      </c>
      <c r="D617" s="20">
        <v>71138.593440000011</v>
      </c>
      <c r="E617" s="20">
        <v>60950.444458814884</v>
      </c>
      <c r="F617" s="20">
        <v>1016382.2464612559</v>
      </c>
      <c r="G617" s="20">
        <v>1099876.5909825827</v>
      </c>
      <c r="H617" s="21">
        <v>0.37060252726169129</v>
      </c>
      <c r="I617" s="21">
        <v>8.2148566459153916E-2</v>
      </c>
      <c r="J617" s="21">
        <v>0.21266284615952058</v>
      </c>
    </row>
    <row r="618" spans="1:10" ht="11.25" customHeight="1" x14ac:dyDescent="0.2">
      <c r="A618" s="24" t="s">
        <v>56</v>
      </c>
      <c r="B618" s="20">
        <v>768754.18000000017</v>
      </c>
      <c r="C618" s="20">
        <v>1090208.7134468805</v>
      </c>
      <c r="D618" s="20">
        <v>71138.593440000011</v>
      </c>
      <c r="E618" s="20">
        <v>60950.444458814884</v>
      </c>
      <c r="F618" s="20">
        <v>1016382.2464612559</v>
      </c>
      <c r="G618" s="20">
        <v>1099876.5909825827</v>
      </c>
      <c r="H618" s="21">
        <v>0.37060252726169129</v>
      </c>
      <c r="I618" s="21">
        <v>8.2148566459153916E-2</v>
      </c>
      <c r="J618" s="21">
        <v>0.21266284615952058</v>
      </c>
    </row>
    <row r="619" spans="1:10" ht="11.25" customHeight="1" x14ac:dyDescent="0.2">
      <c r="A619" s="25" t="s">
        <v>25</v>
      </c>
      <c r="B619" s="20">
        <v>768754.18000000017</v>
      </c>
      <c r="C619" s="20">
        <v>1090208.7134468805</v>
      </c>
      <c r="D619" s="20">
        <v>71138.593440000011</v>
      </c>
      <c r="E619" s="20">
        <v>60950.444458814884</v>
      </c>
      <c r="F619" s="20">
        <v>1016382.2464612559</v>
      </c>
      <c r="G619" s="20">
        <v>1099876.5909825827</v>
      </c>
      <c r="H619" s="21">
        <v>0.37060252726169129</v>
      </c>
      <c r="I619" s="21">
        <v>8.2148566459153916E-2</v>
      </c>
      <c r="J619" s="21">
        <v>0.21266284615952058</v>
      </c>
    </row>
    <row r="620" spans="1:10" ht="11.25" customHeight="1" x14ac:dyDescent="0.2">
      <c r="A620" s="26" t="s">
        <v>25</v>
      </c>
      <c r="B620" s="20">
        <v>768754.18000000017</v>
      </c>
      <c r="C620" s="20">
        <v>1090208.7134468805</v>
      </c>
      <c r="D620" s="20">
        <v>71138.593440000011</v>
      </c>
      <c r="E620" s="20">
        <v>60950.444458814884</v>
      </c>
      <c r="F620" s="20">
        <v>1016382.2464612559</v>
      </c>
      <c r="G620" s="20">
        <v>1099876.5909825827</v>
      </c>
      <c r="H620" s="21">
        <v>0.37060252726169129</v>
      </c>
      <c r="I620" s="21">
        <v>8.2148566459153916E-2</v>
      </c>
      <c r="J620" s="21">
        <v>0.21266284615952058</v>
      </c>
    </row>
    <row r="621" spans="1:10" ht="11.25" customHeight="1" x14ac:dyDescent="0.2">
      <c r="A621" s="27" t="s">
        <v>57</v>
      </c>
      <c r="B621" s="20">
        <v>768754.18000000017</v>
      </c>
      <c r="C621" s="20">
        <v>1090208.7134468805</v>
      </c>
      <c r="D621" s="20">
        <v>71138.593440000011</v>
      </c>
      <c r="E621" s="20">
        <v>60950.444458814884</v>
      </c>
      <c r="F621" s="20">
        <v>1016382.2464612559</v>
      </c>
      <c r="G621" s="20">
        <v>1099876.5909825827</v>
      </c>
      <c r="H621" s="21">
        <v>0.37060252726169129</v>
      </c>
      <c r="I621" s="21">
        <v>8.2148566459153916E-2</v>
      </c>
      <c r="J621" s="21">
        <v>0.21266284615952058</v>
      </c>
    </row>
    <row r="622" spans="1:10" ht="11.25" customHeight="1" x14ac:dyDescent="0.2">
      <c r="A622" s="28" t="s">
        <v>58</v>
      </c>
      <c r="B622" s="20">
        <v>768754.18000000017</v>
      </c>
      <c r="C622" s="20">
        <v>1090208.7134468805</v>
      </c>
      <c r="D622" s="20">
        <v>71138.593440000011</v>
      </c>
      <c r="E622" s="20">
        <v>60950.444458814884</v>
      </c>
      <c r="F622" s="20">
        <v>1016382.2464612559</v>
      </c>
      <c r="G622" s="20">
        <v>1099876.5909825827</v>
      </c>
      <c r="H622" s="21">
        <v>0.37060252726169129</v>
      </c>
      <c r="I622" s="21">
        <v>8.2148566459153916E-2</v>
      </c>
      <c r="J622" s="21">
        <v>0.21266284615952058</v>
      </c>
    </row>
    <row r="623" spans="1:10" ht="11.25" customHeight="1" x14ac:dyDescent="0.2">
      <c r="A623" s="29" t="s">
        <v>35</v>
      </c>
      <c r="B623" s="20">
        <v>384529.98000000004</v>
      </c>
      <c r="C623" s="20">
        <v>391929.53244594386</v>
      </c>
      <c r="D623" s="20">
        <v>62311.56336</v>
      </c>
      <c r="E623" s="20">
        <v>53387.581874511743</v>
      </c>
      <c r="F623" s="20">
        <v>0</v>
      </c>
      <c r="G623" s="20">
        <v>0</v>
      </c>
      <c r="H623" s="21">
        <v>-3.4115651559198934E-3</v>
      </c>
      <c r="I623" s="21">
        <v>0</v>
      </c>
      <c r="J623" s="21">
        <v>-3.4115651559198934E-3</v>
      </c>
    </row>
    <row r="624" spans="1:10" ht="11.25" customHeight="1" x14ac:dyDescent="0.2">
      <c r="A624" s="30">
        <v>44378</v>
      </c>
      <c r="B624" s="20">
        <v>25309.710000000003</v>
      </c>
      <c r="C624" s="20">
        <v>25796.747516649884</v>
      </c>
      <c r="D624" s="20">
        <v>3785.2142400000002</v>
      </c>
      <c r="E624" s="20">
        <v>3243.1129031869591</v>
      </c>
      <c r="F624" s="20">
        <v>0</v>
      </c>
      <c r="G624" s="20">
        <v>0</v>
      </c>
      <c r="H624" s="21">
        <v>-1.8925576058883564E-3</v>
      </c>
      <c r="I624" s="21">
        <v>0</v>
      </c>
      <c r="J624" s="21">
        <v>-1.8925576058883564E-3</v>
      </c>
    </row>
    <row r="625" spans="1:10" ht="11.25" customHeight="1" x14ac:dyDescent="0.2">
      <c r="A625" s="30">
        <v>44409</v>
      </c>
      <c r="B625" s="20">
        <v>24725.460000000003</v>
      </c>
      <c r="C625" s="20">
        <v>25201.254730023615</v>
      </c>
      <c r="D625" s="20">
        <v>4091.0313600000004</v>
      </c>
      <c r="E625" s="20">
        <v>3505.1322725020959</v>
      </c>
      <c r="F625" s="20">
        <v>0</v>
      </c>
      <c r="G625" s="20">
        <v>0</v>
      </c>
      <c r="H625" s="21">
        <v>-3.8208800682489885E-3</v>
      </c>
      <c r="I625" s="21">
        <v>0</v>
      </c>
      <c r="J625" s="21">
        <v>-3.8208800682489885E-3</v>
      </c>
    </row>
    <row r="626" spans="1:10" ht="11.25" customHeight="1" x14ac:dyDescent="0.2">
      <c r="A626" s="30">
        <v>44440</v>
      </c>
      <c r="B626" s="20">
        <v>24935.79</v>
      </c>
      <c r="C626" s="20">
        <v>25415.632133209074</v>
      </c>
      <c r="D626" s="20">
        <v>3760.2921600000004</v>
      </c>
      <c r="E626" s="20">
        <v>3221.7600512484496</v>
      </c>
      <c r="F626" s="20">
        <v>0</v>
      </c>
      <c r="G626" s="20">
        <v>0</v>
      </c>
      <c r="H626" s="21">
        <v>-2.0452260770387198E-3</v>
      </c>
      <c r="I626" s="21">
        <v>0</v>
      </c>
      <c r="J626" s="21">
        <v>-2.0452260770387198E-3</v>
      </c>
    </row>
    <row r="627" spans="1:10" ht="11.25" customHeight="1" x14ac:dyDescent="0.2">
      <c r="A627" s="30">
        <v>44470</v>
      </c>
      <c r="B627" s="20">
        <v>26968.98</v>
      </c>
      <c r="C627" s="20">
        <v>27487.947030668482</v>
      </c>
      <c r="D627" s="20">
        <v>3841.90128</v>
      </c>
      <c r="E627" s="20">
        <v>3291.6814806071566</v>
      </c>
      <c r="F627" s="20">
        <v>0</v>
      </c>
      <c r="G627" s="20">
        <v>0</v>
      </c>
      <c r="H627" s="21">
        <v>-1.0143419281113397E-3</v>
      </c>
      <c r="I627" s="21">
        <v>0</v>
      </c>
      <c r="J627" s="21">
        <v>-1.0143419281113397E-3</v>
      </c>
    </row>
    <row r="628" spans="1:10" ht="11.25" customHeight="1" x14ac:dyDescent="0.2">
      <c r="A628" s="30">
        <v>44501</v>
      </c>
      <c r="B628" s="20">
        <v>35312.07</v>
      </c>
      <c r="C628" s="20">
        <v>35991.584023691576</v>
      </c>
      <c r="D628" s="20">
        <v>5595.5448000000006</v>
      </c>
      <c r="E628" s="20">
        <v>4794.1760731727281</v>
      </c>
      <c r="F628" s="20">
        <v>0</v>
      </c>
      <c r="G628" s="20">
        <v>0</v>
      </c>
      <c r="H628" s="21">
        <v>-2.9787780033486699E-3</v>
      </c>
      <c r="I628" s="21">
        <v>0</v>
      </c>
      <c r="J628" s="21">
        <v>-2.9787780033486699E-3</v>
      </c>
    </row>
    <row r="629" spans="1:10" ht="11.25" customHeight="1" x14ac:dyDescent="0.2">
      <c r="A629" s="30">
        <v>44531</v>
      </c>
      <c r="B629" s="20">
        <v>42369.810000000005</v>
      </c>
      <c r="C629" s="20">
        <v>43185.136886136876</v>
      </c>
      <c r="D629" s="20">
        <v>7819.7400000000007</v>
      </c>
      <c r="E629" s="20">
        <v>6699.8320532491689</v>
      </c>
      <c r="F629" s="20">
        <v>0</v>
      </c>
      <c r="G629" s="20">
        <v>0</v>
      </c>
      <c r="H629" s="21">
        <v>-6.0686150924635918E-3</v>
      </c>
      <c r="I629" s="21">
        <v>0</v>
      </c>
      <c r="J629" s="21">
        <v>-6.0686150924635918E-3</v>
      </c>
    </row>
    <row r="630" spans="1:10" ht="11.25" customHeight="1" x14ac:dyDescent="0.2">
      <c r="A630" s="30">
        <v>44562</v>
      </c>
      <c r="B630" s="20">
        <v>48749.82</v>
      </c>
      <c r="C630" s="20">
        <v>49687.918116095709</v>
      </c>
      <c r="D630" s="20">
        <v>8196.3187200000011</v>
      </c>
      <c r="E630" s="20">
        <v>7022.4788648858148</v>
      </c>
      <c r="F630" s="20">
        <v>0</v>
      </c>
      <c r="G630" s="20">
        <v>0</v>
      </c>
      <c r="H630" s="21">
        <v>-4.1397317591207461E-3</v>
      </c>
      <c r="I630" s="21">
        <v>0</v>
      </c>
      <c r="J630" s="21">
        <v>-4.1397317591207461E-3</v>
      </c>
    </row>
    <row r="631" spans="1:10" ht="11.25" customHeight="1" x14ac:dyDescent="0.2">
      <c r="A631" s="30">
        <v>44593</v>
      </c>
      <c r="B631" s="20">
        <v>36200.130000000005</v>
      </c>
      <c r="C631" s="20">
        <v>36896.733059363498</v>
      </c>
      <c r="D631" s="20">
        <v>5677.5686400000004</v>
      </c>
      <c r="E631" s="20">
        <v>4864.4528282007186</v>
      </c>
      <c r="F631" s="20">
        <v>0</v>
      </c>
      <c r="G631" s="20">
        <v>0</v>
      </c>
      <c r="H631" s="21">
        <v>-2.7822147878131531E-3</v>
      </c>
      <c r="I631" s="21">
        <v>0</v>
      </c>
      <c r="J631" s="21">
        <v>-2.7822147878131531E-3</v>
      </c>
    </row>
    <row r="632" spans="1:10" ht="11.25" customHeight="1" x14ac:dyDescent="0.2">
      <c r="A632" s="30">
        <v>44621</v>
      </c>
      <c r="B632" s="20">
        <v>28394.550000000003</v>
      </c>
      <c r="C632" s="20">
        <v>28940.949430036573</v>
      </c>
      <c r="D632" s="20">
        <v>5317.8638400000009</v>
      </c>
      <c r="E632" s="20">
        <v>4556.2633297330485</v>
      </c>
      <c r="F632" s="20">
        <v>0</v>
      </c>
      <c r="G632" s="20">
        <v>0</v>
      </c>
      <c r="H632" s="21">
        <v>-6.3834373074478368E-3</v>
      </c>
      <c r="I632" s="21">
        <v>0</v>
      </c>
      <c r="J632" s="21">
        <v>-6.3834373074478368E-3</v>
      </c>
    </row>
    <row r="633" spans="1:10" ht="11.25" customHeight="1" x14ac:dyDescent="0.2">
      <c r="A633" s="30">
        <v>44652</v>
      </c>
      <c r="B633" s="20">
        <v>30895.140000000003</v>
      </c>
      <c r="C633" s="20">
        <v>31489.658556796996</v>
      </c>
      <c r="D633" s="20">
        <v>5125.9391999999998</v>
      </c>
      <c r="E633" s="20">
        <v>4391.8252723449114</v>
      </c>
      <c r="F633" s="20">
        <v>0</v>
      </c>
      <c r="G633" s="20">
        <v>0</v>
      </c>
      <c r="H633" s="21">
        <v>-3.8753800263178206E-3</v>
      </c>
      <c r="I633" s="21">
        <v>0</v>
      </c>
      <c r="J633" s="21">
        <v>-3.8753800263178206E-3</v>
      </c>
    </row>
    <row r="634" spans="1:10" ht="11.25" customHeight="1" x14ac:dyDescent="0.2">
      <c r="A634" s="30">
        <v>44682</v>
      </c>
      <c r="B634" s="20">
        <v>29235.870000000003</v>
      </c>
      <c r="C634" s="20">
        <v>29798.459042778395</v>
      </c>
      <c r="D634" s="20">
        <v>4511.9462400000002</v>
      </c>
      <c r="E634" s="20">
        <v>3865.7656189705881</v>
      </c>
      <c r="F634" s="20">
        <v>0</v>
      </c>
      <c r="G634" s="20">
        <v>0</v>
      </c>
      <c r="H634" s="21">
        <v>-2.4769477721625632E-3</v>
      </c>
      <c r="I634" s="21">
        <v>0</v>
      </c>
      <c r="J634" s="21">
        <v>-2.4769477721625632E-3</v>
      </c>
    </row>
    <row r="635" spans="1:10" ht="11.25" customHeight="1" x14ac:dyDescent="0.2">
      <c r="A635" s="30">
        <v>44713</v>
      </c>
      <c r="B635" s="20">
        <v>31432.65</v>
      </c>
      <c r="C635" s="20">
        <v>32037.511920493162</v>
      </c>
      <c r="D635" s="20">
        <v>4588.2028800000007</v>
      </c>
      <c r="E635" s="20">
        <v>3931.1011264101044</v>
      </c>
      <c r="F635" s="20">
        <v>0</v>
      </c>
      <c r="G635" s="20">
        <v>0</v>
      </c>
      <c r="H635" s="21">
        <v>-1.4502664129240062E-3</v>
      </c>
      <c r="I635" s="21">
        <v>0</v>
      </c>
      <c r="J635" s="21">
        <v>-1.4502664129240062E-3</v>
      </c>
    </row>
    <row r="636" spans="1:10" ht="11.25" customHeight="1" x14ac:dyDescent="0.2">
      <c r="A636" s="29" t="s">
        <v>25</v>
      </c>
      <c r="B636" s="20">
        <v>0</v>
      </c>
      <c r="C636" s="20">
        <v>0</v>
      </c>
      <c r="D636" s="20">
        <v>0</v>
      </c>
      <c r="E636" s="20">
        <v>0</v>
      </c>
      <c r="F636" s="20">
        <v>1016382.2464612559</v>
      </c>
      <c r="G636" s="20">
        <v>1099876.5909825827</v>
      </c>
      <c r="H636" s="21">
        <v>0</v>
      </c>
      <c r="I636" s="21">
        <v>8.2148566459153916E-2</v>
      </c>
      <c r="J636" s="21">
        <v>8.2148566459153916E-2</v>
      </c>
    </row>
    <row r="637" spans="1:10" ht="11.25" customHeight="1" x14ac:dyDescent="0.2">
      <c r="A637" s="30">
        <v>44378</v>
      </c>
      <c r="B637" s="20">
        <v>0</v>
      </c>
      <c r="C637" s="20">
        <v>0</v>
      </c>
      <c r="D637" s="20">
        <v>0</v>
      </c>
      <c r="E637" s="20">
        <v>0</v>
      </c>
      <c r="F637" s="20">
        <v>63366.489342672001</v>
      </c>
      <c r="G637" s="20">
        <v>68571.955603721755</v>
      </c>
      <c r="H637" s="21">
        <v>0</v>
      </c>
      <c r="I637" s="21">
        <v>8.2148566459153916E-2</v>
      </c>
      <c r="J637" s="21">
        <v>8.2148566459153916E-2</v>
      </c>
    </row>
    <row r="638" spans="1:10" ht="11.25" customHeight="1" x14ac:dyDescent="0.2">
      <c r="A638" s="30">
        <v>44409</v>
      </c>
      <c r="B638" s="20">
        <v>0</v>
      </c>
      <c r="C638" s="20">
        <v>0</v>
      </c>
      <c r="D638" s="20">
        <v>0</v>
      </c>
      <c r="E638" s="20">
        <v>0</v>
      </c>
      <c r="F638" s="20">
        <v>68369.80859685599</v>
      </c>
      <c r="G638" s="20">
        <v>73986.290362174448</v>
      </c>
      <c r="H638" s="21">
        <v>0</v>
      </c>
      <c r="I638" s="21">
        <v>8.2148566459153916E-2</v>
      </c>
      <c r="J638" s="21">
        <v>8.2148566459153916E-2</v>
      </c>
    </row>
    <row r="639" spans="1:10" ht="11.25" customHeight="1" x14ac:dyDescent="0.2">
      <c r="A639" s="30">
        <v>44440</v>
      </c>
      <c r="B639" s="20">
        <v>0</v>
      </c>
      <c r="C639" s="20">
        <v>0</v>
      </c>
      <c r="D639" s="20">
        <v>0</v>
      </c>
      <c r="E639" s="20">
        <v>0</v>
      </c>
      <c r="F639" s="20">
        <v>62277.724411152005</v>
      </c>
      <c r="G639" s="20">
        <v>67393.750193866406</v>
      </c>
      <c r="H639" s="21">
        <v>0</v>
      </c>
      <c r="I639" s="21">
        <v>8.2148566459154138E-2</v>
      </c>
      <c r="J639" s="21">
        <v>8.2148566459154138E-2</v>
      </c>
    </row>
    <row r="640" spans="1:10" ht="11.25" customHeight="1" x14ac:dyDescent="0.2">
      <c r="A640" s="30">
        <v>44470</v>
      </c>
      <c r="B640" s="20">
        <v>0</v>
      </c>
      <c r="C640" s="20">
        <v>0</v>
      </c>
      <c r="D640" s="20">
        <v>0</v>
      </c>
      <c r="E640" s="20">
        <v>0</v>
      </c>
      <c r="F640" s="20">
        <v>63659.974447511995</v>
      </c>
      <c r="G640" s="20">
        <v>68889.550089201468</v>
      </c>
      <c r="H640" s="21">
        <v>0</v>
      </c>
      <c r="I640" s="21">
        <v>8.2148566459153916E-2</v>
      </c>
      <c r="J640" s="21">
        <v>8.2148566459153916E-2</v>
      </c>
    </row>
    <row r="641" spans="1:10" ht="11.25" customHeight="1" x14ac:dyDescent="0.2">
      <c r="A641" s="30">
        <v>44501</v>
      </c>
      <c r="B641" s="20">
        <v>0</v>
      </c>
      <c r="C641" s="20">
        <v>0</v>
      </c>
      <c r="D641" s="20">
        <v>0</v>
      </c>
      <c r="E641" s="20">
        <v>0</v>
      </c>
      <c r="F641" s="20">
        <v>90901.872920303984</v>
      </c>
      <c r="G641" s="20">
        <v>98369.331469159151</v>
      </c>
      <c r="H641" s="21">
        <v>0</v>
      </c>
      <c r="I641" s="21">
        <v>8.2148566459154138E-2</v>
      </c>
      <c r="J641" s="21">
        <v>8.2148566459154138E-2</v>
      </c>
    </row>
    <row r="642" spans="1:10" ht="11.25" customHeight="1" x14ac:dyDescent="0.2">
      <c r="A642" s="30">
        <v>44531</v>
      </c>
      <c r="B642" s="20">
        <v>0</v>
      </c>
      <c r="C642" s="20">
        <v>0</v>
      </c>
      <c r="D642" s="20">
        <v>0</v>
      </c>
      <c r="E642" s="20">
        <v>0</v>
      </c>
      <c r="F642" s="20">
        <v>126243.589958472</v>
      </c>
      <c r="G642" s="20">
        <v>136614.31989821771</v>
      </c>
      <c r="H642" s="21">
        <v>0</v>
      </c>
      <c r="I642" s="21">
        <v>8.2148566459153916E-2</v>
      </c>
      <c r="J642" s="21">
        <v>8.2148566459153916E-2</v>
      </c>
    </row>
    <row r="643" spans="1:10" ht="11.25" customHeight="1" x14ac:dyDescent="0.2">
      <c r="A643" s="30">
        <v>44562</v>
      </c>
      <c r="B643" s="20">
        <v>0</v>
      </c>
      <c r="C643" s="20">
        <v>0</v>
      </c>
      <c r="D643" s="20">
        <v>0</v>
      </c>
      <c r="E643" s="20">
        <v>0</v>
      </c>
      <c r="F643" s="20">
        <v>131318.3825568</v>
      </c>
      <c r="G643" s="20">
        <v>142105.9994335759</v>
      </c>
      <c r="H643" s="21">
        <v>0</v>
      </c>
      <c r="I643" s="21">
        <v>8.2148566459153916E-2</v>
      </c>
      <c r="J643" s="21">
        <v>8.2148566459153916E-2</v>
      </c>
    </row>
    <row r="644" spans="1:10" ht="11.25" customHeight="1" x14ac:dyDescent="0.2">
      <c r="A644" s="30">
        <v>44593</v>
      </c>
      <c r="B644" s="20">
        <v>0</v>
      </c>
      <c r="C644" s="20">
        <v>0</v>
      </c>
      <c r="D644" s="20">
        <v>0</v>
      </c>
      <c r="E644" s="20">
        <v>0</v>
      </c>
      <c r="F644" s="20">
        <v>92361.336388031996</v>
      </c>
      <c r="G644" s="20">
        <v>99948.687768560514</v>
      </c>
      <c r="H644" s="21">
        <v>0</v>
      </c>
      <c r="I644" s="21">
        <v>8.2148566459153916E-2</v>
      </c>
      <c r="J644" s="21">
        <v>8.2148566459153916E-2</v>
      </c>
    </row>
    <row r="645" spans="1:10" ht="11.25" customHeight="1" x14ac:dyDescent="0.2">
      <c r="A645" s="30">
        <v>44621</v>
      </c>
      <c r="B645" s="20">
        <v>0</v>
      </c>
      <c r="C645" s="20">
        <v>0</v>
      </c>
      <c r="D645" s="20">
        <v>0</v>
      </c>
      <c r="E645" s="20">
        <v>0</v>
      </c>
      <c r="F645" s="20">
        <v>86861.592171023993</v>
      </c>
      <c r="G645" s="20">
        <v>93997.147448233285</v>
      </c>
      <c r="H645" s="21">
        <v>0</v>
      </c>
      <c r="I645" s="21">
        <v>8.2148566459153916E-2</v>
      </c>
      <c r="J645" s="21">
        <v>8.2148566459153916E-2</v>
      </c>
    </row>
    <row r="646" spans="1:10" ht="11.25" customHeight="1" x14ac:dyDescent="0.2">
      <c r="A646" s="30">
        <v>44652</v>
      </c>
      <c r="B646" s="20">
        <v>0</v>
      </c>
      <c r="C646" s="20">
        <v>0</v>
      </c>
      <c r="D646" s="20">
        <v>0</v>
      </c>
      <c r="E646" s="20">
        <v>0</v>
      </c>
      <c r="F646" s="20">
        <v>82373.029125959991</v>
      </c>
      <c r="G646" s="20">
        <v>89139.85538355574</v>
      </c>
      <c r="H646" s="21">
        <v>0</v>
      </c>
      <c r="I646" s="21">
        <v>8.2148566459153916E-2</v>
      </c>
      <c r="J646" s="21">
        <v>8.2148566459153916E-2</v>
      </c>
    </row>
    <row r="647" spans="1:10" ht="11.25" customHeight="1" x14ac:dyDescent="0.2">
      <c r="A647" s="30">
        <v>44682</v>
      </c>
      <c r="B647" s="20">
        <v>0</v>
      </c>
      <c r="C647" s="20">
        <v>0</v>
      </c>
      <c r="D647" s="20">
        <v>0</v>
      </c>
      <c r="E647" s="20">
        <v>0</v>
      </c>
      <c r="F647" s="20">
        <v>73774.933956720008</v>
      </c>
      <c r="G647" s="20">
        <v>79835.4390218833</v>
      </c>
      <c r="H647" s="21">
        <v>0</v>
      </c>
      <c r="I647" s="21">
        <v>8.2148566459153693E-2</v>
      </c>
      <c r="J647" s="21">
        <v>8.2148566459153693E-2</v>
      </c>
    </row>
    <row r="648" spans="1:10" ht="11.25" customHeight="1" x14ac:dyDescent="0.2">
      <c r="A648" s="30">
        <v>44713</v>
      </c>
      <c r="B648" s="20">
        <v>0</v>
      </c>
      <c r="C648" s="20">
        <v>0</v>
      </c>
      <c r="D648" s="20">
        <v>0</v>
      </c>
      <c r="E648" s="20">
        <v>0</v>
      </c>
      <c r="F648" s="20">
        <v>74873.512585752003</v>
      </c>
      <c r="G648" s="20">
        <v>81024.264310432947</v>
      </c>
      <c r="H648" s="21">
        <v>0</v>
      </c>
      <c r="I648" s="21">
        <v>8.2148566459153916E-2</v>
      </c>
      <c r="J648" s="21">
        <v>8.2148566459153916E-2</v>
      </c>
    </row>
    <row r="649" spans="1:10" ht="11.25" customHeight="1" x14ac:dyDescent="0.2">
      <c r="A649" s="29" t="s">
        <v>34</v>
      </c>
      <c r="B649" s="20">
        <v>384224.20000000007</v>
      </c>
      <c r="C649" s="20">
        <v>698279.18100093666</v>
      </c>
      <c r="D649" s="20">
        <v>8827.0300800000005</v>
      </c>
      <c r="E649" s="20">
        <v>7562.8625843031314</v>
      </c>
      <c r="F649" s="20">
        <v>0</v>
      </c>
      <c r="G649" s="20">
        <v>0</v>
      </c>
      <c r="H649" s="21">
        <v>0.79580164000905307</v>
      </c>
      <c r="I649" s="21">
        <v>0</v>
      </c>
      <c r="J649" s="21">
        <v>0.79580164000905307</v>
      </c>
    </row>
    <row r="650" spans="1:10" ht="11.25" customHeight="1" x14ac:dyDescent="0.2">
      <c r="A650" s="30">
        <v>44378</v>
      </c>
      <c r="B650" s="20">
        <v>24949.02</v>
      </c>
      <c r="C650" s="20">
        <v>45341.7073999399</v>
      </c>
      <c r="D650" s="20">
        <v>649.93104000000005</v>
      </c>
      <c r="E650" s="20">
        <v>556.85084340317803</v>
      </c>
      <c r="F650" s="20">
        <v>0</v>
      </c>
      <c r="G650" s="20">
        <v>0</v>
      </c>
      <c r="H650" s="21">
        <v>0.79298589897779959</v>
      </c>
      <c r="I650" s="21">
        <v>0</v>
      </c>
      <c r="J650" s="21">
        <v>0.79298589897779959</v>
      </c>
    </row>
    <row r="651" spans="1:10" ht="11.25" customHeight="1" x14ac:dyDescent="0.2">
      <c r="A651" s="30">
        <v>44409</v>
      </c>
      <c r="B651" s="20">
        <v>28015.38</v>
      </c>
      <c r="C651" s="20">
        <v>50914.431214457654</v>
      </c>
      <c r="D651" s="20">
        <v>694.30608000000007</v>
      </c>
      <c r="E651" s="20">
        <v>594.87069001651992</v>
      </c>
      <c r="F651" s="20">
        <v>0</v>
      </c>
      <c r="G651" s="20">
        <v>0</v>
      </c>
      <c r="H651" s="21">
        <v>0.79414368241236355</v>
      </c>
      <c r="I651" s="21">
        <v>0</v>
      </c>
      <c r="J651" s="21">
        <v>0.79414368241236355</v>
      </c>
    </row>
    <row r="652" spans="1:10" ht="11.25" customHeight="1" x14ac:dyDescent="0.2">
      <c r="A652" s="30">
        <v>44440</v>
      </c>
      <c r="B652" s="20">
        <v>23741.06</v>
      </c>
      <c r="C652" s="20">
        <v>43146.391957857151</v>
      </c>
      <c r="D652" s="20">
        <v>598.64832000000001</v>
      </c>
      <c r="E652" s="20">
        <v>512.91260361083175</v>
      </c>
      <c r="F652" s="20">
        <v>0</v>
      </c>
      <c r="G652" s="20">
        <v>0</v>
      </c>
      <c r="H652" s="21">
        <v>0.79374805924001213</v>
      </c>
      <c r="I652" s="21">
        <v>0</v>
      </c>
      <c r="J652" s="21">
        <v>0.79374805924001213</v>
      </c>
    </row>
    <row r="653" spans="1:10" ht="11.25" customHeight="1" x14ac:dyDescent="0.2">
      <c r="A653" s="30">
        <v>44470</v>
      </c>
      <c r="B653" s="20">
        <v>30826.21</v>
      </c>
      <c r="C653" s="20">
        <v>56022.761377765601</v>
      </c>
      <c r="D653" s="20">
        <v>613.78560000000004</v>
      </c>
      <c r="E653" s="20">
        <v>525.88199053968196</v>
      </c>
      <c r="F653" s="20">
        <v>0</v>
      </c>
      <c r="G653" s="20">
        <v>0</v>
      </c>
      <c r="H653" s="21">
        <v>0.79862122398977964</v>
      </c>
      <c r="I653" s="21">
        <v>0</v>
      </c>
      <c r="J653" s="21">
        <v>0.79862122398977964</v>
      </c>
    </row>
    <row r="654" spans="1:10" ht="11.25" customHeight="1" x14ac:dyDescent="0.2">
      <c r="A654" s="30">
        <v>44501</v>
      </c>
      <c r="B654" s="20">
        <v>34357.17</v>
      </c>
      <c r="C654" s="20">
        <v>62439.837285392103</v>
      </c>
      <c r="D654" s="20">
        <v>766.85616000000005</v>
      </c>
      <c r="E654" s="20">
        <v>657.0304742868143</v>
      </c>
      <c r="F654" s="20">
        <v>0</v>
      </c>
      <c r="G654" s="20">
        <v>0</v>
      </c>
      <c r="H654" s="21">
        <v>0.79640191224817491</v>
      </c>
      <c r="I654" s="21">
        <v>0</v>
      </c>
      <c r="J654" s="21">
        <v>0.79640191224817491</v>
      </c>
    </row>
    <row r="655" spans="1:10" ht="11.25" customHeight="1" x14ac:dyDescent="0.2">
      <c r="A655" s="30">
        <v>44531</v>
      </c>
      <c r="B655" s="20">
        <v>40768.65</v>
      </c>
      <c r="C655" s="20">
        <v>74091.896170292865</v>
      </c>
      <c r="D655" s="20">
        <v>1016.2972800000001</v>
      </c>
      <c r="E655" s="20">
        <v>870.74776043371594</v>
      </c>
      <c r="F655" s="20">
        <v>0</v>
      </c>
      <c r="G655" s="20">
        <v>0</v>
      </c>
      <c r="H655" s="21">
        <v>0.79401073377940579</v>
      </c>
      <c r="I655" s="21">
        <v>0</v>
      </c>
      <c r="J655" s="21">
        <v>0.79401073377940579</v>
      </c>
    </row>
    <row r="656" spans="1:10" ht="11.25" customHeight="1" x14ac:dyDescent="0.2">
      <c r="A656" s="30">
        <v>44562</v>
      </c>
      <c r="B656" s="20">
        <v>49038.53</v>
      </c>
      <c r="C656" s="20">
        <v>89121.363427628618</v>
      </c>
      <c r="D656" s="20">
        <v>994.9132800000001</v>
      </c>
      <c r="E656" s="20">
        <v>852.42628061128187</v>
      </c>
      <c r="F656" s="20">
        <v>0</v>
      </c>
      <c r="G656" s="20">
        <v>0</v>
      </c>
      <c r="H656" s="21">
        <v>0.7982729912215607</v>
      </c>
      <c r="I656" s="21">
        <v>0</v>
      </c>
      <c r="J656" s="21">
        <v>0.7982729912215607</v>
      </c>
    </row>
    <row r="657" spans="1:10" ht="11.25" customHeight="1" x14ac:dyDescent="0.2">
      <c r="A657" s="30">
        <v>44593</v>
      </c>
      <c r="B657" s="20">
        <v>35518.67</v>
      </c>
      <c r="C657" s="20">
        <v>64550.717518163976</v>
      </c>
      <c r="D657" s="20">
        <v>786.98303999999996</v>
      </c>
      <c r="E657" s="20">
        <v>674.27487317423243</v>
      </c>
      <c r="F657" s="20">
        <v>0</v>
      </c>
      <c r="G657" s="20">
        <v>0</v>
      </c>
      <c r="H657" s="21">
        <v>0.79655196725083366</v>
      </c>
      <c r="I657" s="21">
        <v>0</v>
      </c>
      <c r="J657" s="21">
        <v>0.79655196725083366</v>
      </c>
    </row>
    <row r="658" spans="1:10" ht="11.25" customHeight="1" x14ac:dyDescent="0.2">
      <c r="A658" s="30">
        <v>44621</v>
      </c>
      <c r="B658" s="20">
        <v>29362.720000000001</v>
      </c>
      <c r="C658" s="20">
        <v>53363.052284473029</v>
      </c>
      <c r="D658" s="20">
        <v>761.74992000000009</v>
      </c>
      <c r="E658" s="20">
        <v>652.6555269837603</v>
      </c>
      <c r="F658" s="20">
        <v>0</v>
      </c>
      <c r="G658" s="20">
        <v>0</v>
      </c>
      <c r="H658" s="21">
        <v>0.79308409259660073</v>
      </c>
      <c r="I658" s="21">
        <v>0</v>
      </c>
      <c r="J658" s="21">
        <v>0.79308409259660073</v>
      </c>
    </row>
    <row r="659" spans="1:10" ht="11.25" customHeight="1" x14ac:dyDescent="0.2">
      <c r="A659" s="30">
        <v>44652</v>
      </c>
      <c r="B659" s="20">
        <v>31616.03</v>
      </c>
      <c r="C659" s="20">
        <v>57458.15993605047</v>
      </c>
      <c r="D659" s="20">
        <v>639.51120000000003</v>
      </c>
      <c r="E659" s="20">
        <v>547.92328596242839</v>
      </c>
      <c r="F659" s="20">
        <v>0</v>
      </c>
      <c r="G659" s="20">
        <v>0</v>
      </c>
      <c r="H659" s="21">
        <v>0.798329250231675</v>
      </c>
      <c r="I659" s="21">
        <v>0</v>
      </c>
      <c r="J659" s="21">
        <v>0.798329250231675</v>
      </c>
    </row>
    <row r="660" spans="1:10" ht="11.25" customHeight="1" x14ac:dyDescent="0.2">
      <c r="A660" s="30">
        <v>44682</v>
      </c>
      <c r="B660" s="20">
        <v>29060.73</v>
      </c>
      <c r="C660" s="20">
        <v>52814.223423952346</v>
      </c>
      <c r="D660" s="20">
        <v>651.70656000000008</v>
      </c>
      <c r="E660" s="20">
        <v>558.37208142479835</v>
      </c>
      <c r="F660" s="20">
        <v>0</v>
      </c>
      <c r="G660" s="20">
        <v>0</v>
      </c>
      <c r="H660" s="21">
        <v>0.79630490409626464</v>
      </c>
      <c r="I660" s="21">
        <v>0</v>
      </c>
      <c r="J660" s="21">
        <v>0.79630490409626464</v>
      </c>
    </row>
    <row r="661" spans="1:10" ht="11.25" customHeight="1" x14ac:dyDescent="0.2">
      <c r="A661" s="30">
        <v>44713</v>
      </c>
      <c r="B661" s="20">
        <v>26970.03</v>
      </c>
      <c r="C661" s="20">
        <v>49014.63900496297</v>
      </c>
      <c r="D661" s="20">
        <v>652.34160000000008</v>
      </c>
      <c r="E661" s="20">
        <v>558.91617385588881</v>
      </c>
      <c r="F661" s="20">
        <v>0</v>
      </c>
      <c r="G661" s="20">
        <v>0</v>
      </c>
      <c r="H661" s="21">
        <v>0.79468859143212978</v>
      </c>
      <c r="I661" s="21">
        <v>0</v>
      </c>
      <c r="J661" s="21">
        <v>0.79468859143212978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6EE85-4A97-4E7A-B6AE-7C2446B8C842}">
  <sheetPr codeName="Planilha30"/>
  <dimension ref="A1:G335"/>
  <sheetViews>
    <sheetView showGridLines="0" workbookViewId="0"/>
  </sheetViews>
  <sheetFormatPr defaultColWidth="9.109375" defaultRowHeight="11.25" customHeight="1" x14ac:dyDescent="0.2"/>
  <cols>
    <col min="1" max="1" width="34.6640625" style="14" bestFit="1" customWidth="1"/>
    <col min="2" max="2" width="20.44140625" style="20" bestFit="1" customWidth="1"/>
    <col min="3" max="3" width="21.88671875" style="20" bestFit="1" customWidth="1"/>
    <col min="4" max="4" width="20.33203125" style="20" bestFit="1" customWidth="1"/>
    <col min="5" max="5" width="21.6640625" style="20" bestFit="1" customWidth="1"/>
    <col min="6" max="6" width="14.88671875" style="20" bestFit="1" customWidth="1"/>
    <col min="7" max="7" width="14.6640625" style="20" bestFit="1" customWidth="1"/>
    <col min="8" max="16384" width="9.109375" style="14"/>
  </cols>
  <sheetData>
    <row r="1" spans="1:7" ht="11.25" customHeight="1" x14ac:dyDescent="0.2">
      <c r="A1" s="19" t="s">
        <v>760</v>
      </c>
      <c r="B1" s="20" t="s">
        <v>786</v>
      </c>
      <c r="C1" s="20" t="s">
        <v>787</v>
      </c>
      <c r="D1" s="20" t="s">
        <v>788</v>
      </c>
      <c r="E1" s="20" t="s">
        <v>789</v>
      </c>
      <c r="F1" s="20" t="s">
        <v>790</v>
      </c>
      <c r="G1" s="20" t="s">
        <v>791</v>
      </c>
    </row>
    <row r="2" spans="1:7" ht="11.25" customHeight="1" x14ac:dyDescent="0.2">
      <c r="A2" s="22" t="s">
        <v>780</v>
      </c>
      <c r="B2" s="20">
        <v>0</v>
      </c>
      <c r="C2" s="20">
        <v>35252.534661000042</v>
      </c>
      <c r="D2" s="20">
        <v>0</v>
      </c>
      <c r="E2" s="20">
        <v>41450.493001270719</v>
      </c>
      <c r="F2" s="20">
        <v>35252.534661000034</v>
      </c>
      <c r="G2" s="20">
        <v>41450.493001270726</v>
      </c>
    </row>
    <row r="3" spans="1:7" ht="11.25" customHeight="1" x14ac:dyDescent="0.2">
      <c r="A3" s="23" t="s">
        <v>37</v>
      </c>
      <c r="B3" s="20">
        <v>0</v>
      </c>
      <c r="C3" s="20">
        <v>35252.534661000042</v>
      </c>
      <c r="D3" s="20">
        <v>0</v>
      </c>
      <c r="E3" s="20">
        <v>41450.493001270719</v>
      </c>
      <c r="F3" s="20">
        <v>35252.534661000034</v>
      </c>
      <c r="G3" s="20">
        <v>41450.493001270726</v>
      </c>
    </row>
    <row r="4" spans="1:7" ht="11.25" customHeight="1" x14ac:dyDescent="0.2">
      <c r="A4" s="24" t="s">
        <v>33</v>
      </c>
      <c r="B4" s="20">
        <v>0</v>
      </c>
      <c r="C4" s="20">
        <v>59.409870000000012</v>
      </c>
      <c r="D4" s="20">
        <v>0</v>
      </c>
      <c r="E4" s="20">
        <v>73.358914211651523</v>
      </c>
      <c r="F4" s="20">
        <v>59.409870000000012</v>
      </c>
      <c r="G4" s="20">
        <v>73.358914211651523</v>
      </c>
    </row>
    <row r="5" spans="1:7" ht="11.25" customHeight="1" x14ac:dyDescent="0.2">
      <c r="A5" s="25" t="s">
        <v>48</v>
      </c>
      <c r="B5" s="20">
        <v>0</v>
      </c>
      <c r="C5" s="20">
        <v>59.409870000000012</v>
      </c>
      <c r="D5" s="20">
        <v>0</v>
      </c>
      <c r="E5" s="20">
        <v>73.358914211651523</v>
      </c>
      <c r="F5" s="20">
        <v>59.409870000000012</v>
      </c>
      <c r="G5" s="20">
        <v>73.358914211651523</v>
      </c>
    </row>
    <row r="6" spans="1:7" ht="11.25" customHeight="1" x14ac:dyDescent="0.2">
      <c r="A6" s="26" t="s">
        <v>49</v>
      </c>
      <c r="B6" s="20">
        <v>0</v>
      </c>
      <c r="C6" s="20">
        <v>59.409870000000012</v>
      </c>
      <c r="D6" s="20">
        <v>0</v>
      </c>
      <c r="E6" s="20">
        <v>73.358914211651523</v>
      </c>
      <c r="F6" s="20">
        <v>59.409870000000012</v>
      </c>
      <c r="G6" s="20">
        <v>73.358914211651523</v>
      </c>
    </row>
    <row r="7" spans="1:7" ht="11.25" customHeight="1" x14ac:dyDescent="0.2">
      <c r="A7" s="27" t="s">
        <v>25</v>
      </c>
      <c r="B7" s="20">
        <v>0</v>
      </c>
      <c r="C7" s="20">
        <v>59.409870000000012</v>
      </c>
      <c r="D7" s="20">
        <v>0</v>
      </c>
      <c r="E7" s="20">
        <v>73.358914211651523</v>
      </c>
      <c r="F7" s="20">
        <v>59.409870000000012</v>
      </c>
      <c r="G7" s="20">
        <v>73.358914211651523</v>
      </c>
    </row>
    <row r="8" spans="1:7" ht="11.25" customHeight="1" x14ac:dyDescent="0.2">
      <c r="A8" s="28" t="s">
        <v>25</v>
      </c>
      <c r="B8" s="20">
        <v>0</v>
      </c>
      <c r="C8" s="20">
        <v>59.409870000000012</v>
      </c>
      <c r="D8" s="20">
        <v>0</v>
      </c>
      <c r="E8" s="20">
        <v>73.358914211651523</v>
      </c>
      <c r="F8" s="20">
        <v>59.409870000000012</v>
      </c>
      <c r="G8" s="20">
        <v>73.358914211651523</v>
      </c>
    </row>
    <row r="9" spans="1:7" ht="11.25" customHeight="1" x14ac:dyDescent="0.2">
      <c r="A9" s="29" t="s">
        <v>34</v>
      </c>
      <c r="B9" s="20">
        <v>0</v>
      </c>
      <c r="C9" s="20">
        <v>59.409870000000012</v>
      </c>
      <c r="D9" s="20">
        <v>0</v>
      </c>
      <c r="E9" s="20">
        <v>73.358914211651523</v>
      </c>
      <c r="F9" s="20">
        <v>59.409870000000012</v>
      </c>
      <c r="G9" s="20">
        <v>73.358914211651523</v>
      </c>
    </row>
    <row r="10" spans="1:7" ht="11.25" customHeight="1" x14ac:dyDescent="0.2">
      <c r="A10" s="30">
        <v>44562</v>
      </c>
      <c r="B10" s="20">
        <v>0</v>
      </c>
      <c r="C10" s="20">
        <v>59.409870000000012</v>
      </c>
      <c r="D10" s="20">
        <v>0</v>
      </c>
      <c r="E10" s="20">
        <v>73.358914211651523</v>
      </c>
      <c r="F10" s="20">
        <v>59.409870000000012</v>
      </c>
      <c r="G10" s="20">
        <v>73.358914211651523</v>
      </c>
    </row>
    <row r="11" spans="1:7" ht="11.25" customHeight="1" x14ac:dyDescent="0.2">
      <c r="A11" s="24" t="s">
        <v>23</v>
      </c>
      <c r="B11" s="20">
        <v>0</v>
      </c>
      <c r="C11" s="20">
        <v>35193.124791000038</v>
      </c>
      <c r="D11" s="20">
        <v>0</v>
      </c>
      <c r="E11" s="20">
        <v>41377.134087059072</v>
      </c>
      <c r="F11" s="20">
        <v>35193.124791000038</v>
      </c>
      <c r="G11" s="20">
        <v>41377.134087059072</v>
      </c>
    </row>
    <row r="12" spans="1:7" ht="11.25" customHeight="1" x14ac:dyDescent="0.2">
      <c r="A12" s="25" t="s">
        <v>48</v>
      </c>
      <c r="B12" s="20">
        <v>0</v>
      </c>
      <c r="C12" s="20">
        <v>35193.124791000038</v>
      </c>
      <c r="D12" s="20">
        <v>0</v>
      </c>
      <c r="E12" s="20">
        <v>41377.134087059072</v>
      </c>
      <c r="F12" s="20">
        <v>35193.124791000038</v>
      </c>
      <c r="G12" s="20">
        <v>41377.134087059072</v>
      </c>
    </row>
    <row r="13" spans="1:7" ht="11.25" customHeight="1" x14ac:dyDescent="0.2">
      <c r="A13" s="26" t="s">
        <v>49</v>
      </c>
      <c r="B13" s="20">
        <v>0</v>
      </c>
      <c r="C13" s="20">
        <v>35193.124791000038</v>
      </c>
      <c r="D13" s="20">
        <v>0</v>
      </c>
      <c r="E13" s="20">
        <v>41377.134087059072</v>
      </c>
      <c r="F13" s="20">
        <v>35193.124791000038</v>
      </c>
      <c r="G13" s="20">
        <v>41377.134087059072</v>
      </c>
    </row>
    <row r="14" spans="1:7" ht="11.25" customHeight="1" x14ac:dyDescent="0.2">
      <c r="A14" s="27" t="s">
        <v>25</v>
      </c>
      <c r="B14" s="20">
        <v>0</v>
      </c>
      <c r="C14" s="20">
        <v>35193.124791000038</v>
      </c>
      <c r="D14" s="20">
        <v>0</v>
      </c>
      <c r="E14" s="20">
        <v>41377.134087059072</v>
      </c>
      <c r="F14" s="20">
        <v>35193.124791000038</v>
      </c>
      <c r="G14" s="20">
        <v>41377.134087059072</v>
      </c>
    </row>
    <row r="15" spans="1:7" ht="11.25" customHeight="1" x14ac:dyDescent="0.2">
      <c r="A15" s="28" t="s">
        <v>25</v>
      </c>
      <c r="B15" s="20">
        <v>0</v>
      </c>
      <c r="C15" s="20">
        <v>35193.124791000038</v>
      </c>
      <c r="D15" s="20">
        <v>0</v>
      </c>
      <c r="E15" s="20">
        <v>41377.134087059072</v>
      </c>
      <c r="F15" s="20">
        <v>35193.124791000038</v>
      </c>
      <c r="G15" s="20">
        <v>41377.134087059072</v>
      </c>
    </row>
    <row r="16" spans="1:7" ht="11.25" customHeight="1" x14ac:dyDescent="0.2">
      <c r="A16" s="29" t="s">
        <v>25</v>
      </c>
      <c r="B16" s="20">
        <v>0</v>
      </c>
      <c r="C16" s="20">
        <v>35193.124791000038</v>
      </c>
      <c r="D16" s="20">
        <v>0</v>
      </c>
      <c r="E16" s="20">
        <v>41377.134087059072</v>
      </c>
      <c r="F16" s="20">
        <v>35193.124791000038</v>
      </c>
      <c r="G16" s="20">
        <v>41377.134087059072</v>
      </c>
    </row>
    <row r="17" spans="1:7" ht="11.25" customHeight="1" x14ac:dyDescent="0.2">
      <c r="A17" s="30">
        <v>44378</v>
      </c>
      <c r="B17" s="20">
        <v>0</v>
      </c>
      <c r="C17" s="20">
        <v>2709.242811000006</v>
      </c>
      <c r="D17" s="20">
        <v>0</v>
      </c>
      <c r="E17" s="20">
        <v>3185.301212406569</v>
      </c>
      <c r="F17" s="20">
        <v>2709.242811000006</v>
      </c>
      <c r="G17" s="20">
        <v>3185.301212406569</v>
      </c>
    </row>
    <row r="18" spans="1:7" ht="11.25" customHeight="1" x14ac:dyDescent="0.2">
      <c r="A18" s="30">
        <v>44409</v>
      </c>
      <c r="B18" s="20">
        <v>0</v>
      </c>
      <c r="C18" s="20">
        <v>2647.1133810000001</v>
      </c>
      <c r="D18" s="20">
        <v>0</v>
      </c>
      <c r="E18" s="20">
        <v>3112.2546224510156</v>
      </c>
      <c r="F18" s="20">
        <v>2647.1133810000001</v>
      </c>
      <c r="G18" s="20">
        <v>3112.2546224510156</v>
      </c>
    </row>
    <row r="19" spans="1:7" ht="11.25" customHeight="1" x14ac:dyDescent="0.2">
      <c r="A19" s="30">
        <v>44440</v>
      </c>
      <c r="B19" s="20">
        <v>0</v>
      </c>
      <c r="C19" s="20">
        <v>2676.4341120000045</v>
      </c>
      <c r="D19" s="20">
        <v>0</v>
      </c>
      <c r="E19" s="20">
        <v>3146.7274868335508</v>
      </c>
      <c r="F19" s="20">
        <v>2676.4341120000045</v>
      </c>
      <c r="G19" s="20">
        <v>3146.7274868335508</v>
      </c>
    </row>
    <row r="20" spans="1:7" ht="11.25" customHeight="1" x14ac:dyDescent="0.2">
      <c r="A20" s="30">
        <v>44470</v>
      </c>
      <c r="B20" s="20">
        <v>0</v>
      </c>
      <c r="C20" s="20">
        <v>2781.5454810000051</v>
      </c>
      <c r="D20" s="20">
        <v>0</v>
      </c>
      <c r="E20" s="20">
        <v>3270.3086475010341</v>
      </c>
      <c r="F20" s="20">
        <v>2781.5454810000051</v>
      </c>
      <c r="G20" s="20">
        <v>3270.3086475010341</v>
      </c>
    </row>
    <row r="21" spans="1:7" ht="11.25" customHeight="1" x14ac:dyDescent="0.2">
      <c r="A21" s="30">
        <v>44501</v>
      </c>
      <c r="B21" s="20">
        <v>0</v>
      </c>
      <c r="C21" s="20">
        <v>2603.8407779999989</v>
      </c>
      <c r="D21" s="20">
        <v>0</v>
      </c>
      <c r="E21" s="20">
        <v>3061.3783133065372</v>
      </c>
      <c r="F21" s="20">
        <v>2603.8407779999989</v>
      </c>
      <c r="G21" s="20">
        <v>3061.3783133065372</v>
      </c>
    </row>
    <row r="22" spans="1:7" ht="11.25" customHeight="1" x14ac:dyDescent="0.2">
      <c r="A22" s="30">
        <v>44531</v>
      </c>
      <c r="B22" s="20">
        <v>0</v>
      </c>
      <c r="C22" s="20">
        <v>2871.6513210000021</v>
      </c>
      <c r="D22" s="20">
        <v>0</v>
      </c>
      <c r="E22" s="20">
        <v>3376.247561588606</v>
      </c>
      <c r="F22" s="20">
        <v>2871.6513210000021</v>
      </c>
      <c r="G22" s="20">
        <v>3376.247561588606</v>
      </c>
    </row>
    <row r="23" spans="1:7" ht="11.25" customHeight="1" x14ac:dyDescent="0.2">
      <c r="A23" s="30">
        <v>44562</v>
      </c>
      <c r="B23" s="20">
        <v>0</v>
      </c>
      <c r="C23" s="20">
        <v>3013.2046890000042</v>
      </c>
      <c r="D23" s="20">
        <v>0</v>
      </c>
      <c r="E23" s="20">
        <v>3542.6741782358649</v>
      </c>
      <c r="F23" s="20">
        <v>3013.2046890000042</v>
      </c>
      <c r="G23" s="20">
        <v>3542.6741782358649</v>
      </c>
    </row>
    <row r="24" spans="1:7" ht="11.25" customHeight="1" x14ac:dyDescent="0.2">
      <c r="A24" s="30">
        <v>44593</v>
      </c>
      <c r="B24" s="20">
        <v>0</v>
      </c>
      <c r="C24" s="20">
        <v>3735.9770580000022</v>
      </c>
      <c r="D24" s="20">
        <v>0</v>
      </c>
      <c r="E24" s="20">
        <v>4392.449508052051</v>
      </c>
      <c r="F24" s="20">
        <v>3735.9770580000022</v>
      </c>
      <c r="G24" s="20">
        <v>4392.449508052051</v>
      </c>
    </row>
    <row r="25" spans="1:7" ht="11.25" customHeight="1" x14ac:dyDescent="0.2">
      <c r="A25" s="30">
        <v>44621</v>
      </c>
      <c r="B25" s="20">
        <v>0</v>
      </c>
      <c r="C25" s="20">
        <v>3431.4338520000001</v>
      </c>
      <c r="D25" s="20">
        <v>0</v>
      </c>
      <c r="E25" s="20">
        <v>4034.3930653576699</v>
      </c>
      <c r="F25" s="20">
        <v>3431.4338520000001</v>
      </c>
      <c r="G25" s="20">
        <v>4034.3930653576699</v>
      </c>
    </row>
    <row r="26" spans="1:7" ht="11.25" customHeight="1" x14ac:dyDescent="0.2">
      <c r="A26" s="30">
        <v>44652</v>
      </c>
      <c r="B26" s="20">
        <v>0</v>
      </c>
      <c r="C26" s="20">
        <v>2970.4407480000009</v>
      </c>
      <c r="D26" s="20">
        <v>0</v>
      </c>
      <c r="E26" s="20">
        <v>3492.3959113483302</v>
      </c>
      <c r="F26" s="20">
        <v>2970.4407480000009</v>
      </c>
      <c r="G26" s="20">
        <v>3492.3959113483302</v>
      </c>
    </row>
    <row r="27" spans="1:7" ht="11.25" customHeight="1" x14ac:dyDescent="0.2">
      <c r="A27" s="30">
        <v>44682</v>
      </c>
      <c r="B27" s="20">
        <v>0</v>
      </c>
      <c r="C27" s="20">
        <v>2930.9467770000028</v>
      </c>
      <c r="D27" s="20">
        <v>0</v>
      </c>
      <c r="E27" s="20">
        <v>3445.9622018268833</v>
      </c>
      <c r="F27" s="20">
        <v>2930.9467770000028</v>
      </c>
      <c r="G27" s="20">
        <v>3445.9622018268833</v>
      </c>
    </row>
    <row r="28" spans="1:7" ht="11.25" customHeight="1" x14ac:dyDescent="0.2">
      <c r="A28" s="30">
        <v>44713</v>
      </c>
      <c r="B28" s="20">
        <v>0</v>
      </c>
      <c r="C28" s="20">
        <v>2821.2937830000064</v>
      </c>
      <c r="D28" s="20">
        <v>0</v>
      </c>
      <c r="E28" s="20">
        <v>3317.0413781509578</v>
      </c>
      <c r="F28" s="20">
        <v>2821.2937830000064</v>
      </c>
      <c r="G28" s="20">
        <v>3317.0413781509578</v>
      </c>
    </row>
    <row r="29" spans="1:7" ht="11.25" customHeight="1" x14ac:dyDescent="0.2">
      <c r="A29" s="22" t="s">
        <v>778</v>
      </c>
      <c r="B29" s="20">
        <v>0</v>
      </c>
      <c r="C29" s="20">
        <v>371350.49917700014</v>
      </c>
      <c r="D29" s="20">
        <v>0</v>
      </c>
      <c r="E29" s="20">
        <v>423066.13441081991</v>
      </c>
      <c r="F29" s="20">
        <v>371350.49917700008</v>
      </c>
      <c r="G29" s="20">
        <v>423066.13441082003</v>
      </c>
    </row>
    <row r="30" spans="1:7" ht="11.25" customHeight="1" x14ac:dyDescent="0.2">
      <c r="A30" s="23" t="s">
        <v>22</v>
      </c>
      <c r="B30" s="20">
        <v>0</v>
      </c>
      <c r="C30" s="20">
        <v>371350.49917700014</v>
      </c>
      <c r="D30" s="20">
        <v>0</v>
      </c>
      <c r="E30" s="20">
        <v>423066.13441081991</v>
      </c>
      <c r="F30" s="20">
        <v>371350.49917700008</v>
      </c>
      <c r="G30" s="20">
        <v>423066.13441082003</v>
      </c>
    </row>
    <row r="31" spans="1:7" ht="11.25" customHeight="1" x14ac:dyDescent="0.2">
      <c r="A31" s="24" t="s">
        <v>23</v>
      </c>
      <c r="B31" s="20">
        <v>0</v>
      </c>
      <c r="C31" s="20">
        <v>371350.49917700014</v>
      </c>
      <c r="D31" s="20">
        <v>0</v>
      </c>
      <c r="E31" s="20">
        <v>423066.13441081991</v>
      </c>
      <c r="F31" s="20">
        <v>371350.49917700008</v>
      </c>
      <c r="G31" s="20">
        <v>423066.13441082003</v>
      </c>
    </row>
    <row r="32" spans="1:7" ht="11.25" customHeight="1" x14ac:dyDescent="0.2">
      <c r="A32" s="25" t="s">
        <v>24</v>
      </c>
      <c r="B32" s="20">
        <v>0</v>
      </c>
      <c r="C32" s="20">
        <v>371350.49917700014</v>
      </c>
      <c r="D32" s="20">
        <v>0</v>
      </c>
      <c r="E32" s="20">
        <v>423066.13441081991</v>
      </c>
      <c r="F32" s="20">
        <v>371350.49917700008</v>
      </c>
      <c r="G32" s="20">
        <v>423066.13441082003</v>
      </c>
    </row>
    <row r="33" spans="1:7" ht="11.25" customHeight="1" x14ac:dyDescent="0.2">
      <c r="A33" s="26" t="s">
        <v>29</v>
      </c>
      <c r="B33" s="20">
        <v>0</v>
      </c>
      <c r="C33" s="20">
        <v>143575.05688000005</v>
      </c>
      <c r="D33" s="20">
        <v>0</v>
      </c>
      <c r="E33" s="20">
        <v>163562.72085801593</v>
      </c>
      <c r="F33" s="20">
        <v>143575.05688000005</v>
      </c>
      <c r="G33" s="20">
        <v>163562.72085801591</v>
      </c>
    </row>
    <row r="34" spans="1:7" ht="11.25" customHeight="1" x14ac:dyDescent="0.2">
      <c r="A34" s="27" t="s">
        <v>25</v>
      </c>
      <c r="B34" s="20">
        <v>0</v>
      </c>
      <c r="C34" s="20">
        <v>143575.05688000005</v>
      </c>
      <c r="D34" s="20">
        <v>0</v>
      </c>
      <c r="E34" s="20">
        <v>163562.72085801593</v>
      </c>
      <c r="F34" s="20">
        <v>143575.05688000005</v>
      </c>
      <c r="G34" s="20">
        <v>163562.72085801591</v>
      </c>
    </row>
    <row r="35" spans="1:7" ht="11.25" customHeight="1" x14ac:dyDescent="0.2">
      <c r="A35" s="28" t="s">
        <v>25</v>
      </c>
      <c r="B35" s="20">
        <v>0</v>
      </c>
      <c r="C35" s="20">
        <v>143575.05688000005</v>
      </c>
      <c r="D35" s="20">
        <v>0</v>
      </c>
      <c r="E35" s="20">
        <v>163562.72085801593</v>
      </c>
      <c r="F35" s="20">
        <v>143575.05688000005</v>
      </c>
      <c r="G35" s="20">
        <v>163562.72085801591</v>
      </c>
    </row>
    <row r="36" spans="1:7" ht="11.25" customHeight="1" x14ac:dyDescent="0.2">
      <c r="A36" s="29" t="s">
        <v>25</v>
      </c>
      <c r="B36" s="20">
        <v>0</v>
      </c>
      <c r="C36" s="20">
        <v>143575.05688000005</v>
      </c>
      <c r="D36" s="20">
        <v>0</v>
      </c>
      <c r="E36" s="20">
        <v>163562.72085801593</v>
      </c>
      <c r="F36" s="20">
        <v>143575.05688000005</v>
      </c>
      <c r="G36" s="20">
        <v>163562.72085801591</v>
      </c>
    </row>
    <row r="37" spans="1:7" ht="11.25" customHeight="1" x14ac:dyDescent="0.2">
      <c r="A37" s="30">
        <v>44378</v>
      </c>
      <c r="B37" s="20">
        <v>0</v>
      </c>
      <c r="C37" s="20">
        <v>10889.535000000002</v>
      </c>
      <c r="D37" s="20">
        <v>0</v>
      </c>
      <c r="E37" s="20">
        <v>12405.511087969157</v>
      </c>
      <c r="F37" s="20">
        <v>10889.535000000002</v>
      </c>
      <c r="G37" s="20">
        <v>12405.511087969157</v>
      </c>
    </row>
    <row r="38" spans="1:7" ht="11.25" customHeight="1" x14ac:dyDescent="0.2">
      <c r="A38" s="30">
        <v>44409</v>
      </c>
      <c r="B38" s="20">
        <v>0</v>
      </c>
      <c r="C38" s="20">
        <v>10919.924400000004</v>
      </c>
      <c r="D38" s="20">
        <v>0</v>
      </c>
      <c r="E38" s="20">
        <v>12440.131118912326</v>
      </c>
      <c r="F38" s="20">
        <v>10919.924400000004</v>
      </c>
      <c r="G38" s="20">
        <v>12440.131118912326</v>
      </c>
    </row>
    <row r="39" spans="1:7" ht="11.25" customHeight="1" x14ac:dyDescent="0.2">
      <c r="A39" s="30">
        <v>44440</v>
      </c>
      <c r="B39" s="20">
        <v>0</v>
      </c>
      <c r="C39" s="20">
        <v>11011.092600000004</v>
      </c>
      <c r="D39" s="20">
        <v>0</v>
      </c>
      <c r="E39" s="20">
        <v>12543.991211741833</v>
      </c>
      <c r="F39" s="20">
        <v>11011.092600000004</v>
      </c>
      <c r="G39" s="20">
        <v>12543.991211741833</v>
      </c>
    </row>
    <row r="40" spans="1:7" ht="11.25" customHeight="1" x14ac:dyDescent="0.2">
      <c r="A40" s="30">
        <v>44470</v>
      </c>
      <c r="B40" s="20">
        <v>0</v>
      </c>
      <c r="C40" s="20">
        <v>11051.611800000004</v>
      </c>
      <c r="D40" s="20">
        <v>0</v>
      </c>
      <c r="E40" s="20">
        <v>12590.151252999396</v>
      </c>
      <c r="F40" s="20">
        <v>11051.611800000004</v>
      </c>
      <c r="G40" s="20">
        <v>12590.151252999396</v>
      </c>
    </row>
    <row r="41" spans="1:7" ht="11.25" customHeight="1" x14ac:dyDescent="0.2">
      <c r="A41" s="30">
        <v>44501</v>
      </c>
      <c r="B41" s="20">
        <v>0</v>
      </c>
      <c r="C41" s="20">
        <v>11112.390600000004</v>
      </c>
      <c r="D41" s="20">
        <v>0</v>
      </c>
      <c r="E41" s="20">
        <v>12659.391314885735</v>
      </c>
      <c r="F41" s="20">
        <v>11112.390600000004</v>
      </c>
      <c r="G41" s="20">
        <v>12659.391314885735</v>
      </c>
    </row>
    <row r="42" spans="1:7" ht="11.25" customHeight="1" x14ac:dyDescent="0.2">
      <c r="A42" s="30">
        <v>44531</v>
      </c>
      <c r="B42" s="20">
        <v>0</v>
      </c>
      <c r="C42" s="20">
        <v>11334.064255000005</v>
      </c>
      <c r="D42" s="20">
        <v>0</v>
      </c>
      <c r="E42" s="20">
        <v>12911.925207265636</v>
      </c>
      <c r="F42" s="20">
        <v>11334.064255000005</v>
      </c>
      <c r="G42" s="20">
        <v>12911.925207265636</v>
      </c>
    </row>
    <row r="43" spans="1:7" ht="11.25" customHeight="1" x14ac:dyDescent="0.2">
      <c r="A43" s="30">
        <v>44562</v>
      </c>
      <c r="B43" s="20">
        <v>0</v>
      </c>
      <c r="C43" s="20">
        <v>11490.738495000003</v>
      </c>
      <c r="D43" s="20">
        <v>0</v>
      </c>
      <c r="E43" s="20">
        <v>13090.410700128199</v>
      </c>
      <c r="F43" s="20">
        <v>11490.738495000003</v>
      </c>
      <c r="G43" s="20">
        <v>13090.410700128199</v>
      </c>
    </row>
    <row r="44" spans="1:7" ht="11.25" customHeight="1" x14ac:dyDescent="0.2">
      <c r="A44" s="30">
        <v>44593</v>
      </c>
      <c r="B44" s="20">
        <v>0</v>
      </c>
      <c r="C44" s="20">
        <v>11551.517295000003</v>
      </c>
      <c r="D44" s="20">
        <v>0</v>
      </c>
      <c r="E44" s="20">
        <v>13159.650762014538</v>
      </c>
      <c r="F44" s="20">
        <v>11551.517295000003</v>
      </c>
      <c r="G44" s="20">
        <v>13159.650762014538</v>
      </c>
    </row>
    <row r="45" spans="1:7" ht="11.25" customHeight="1" x14ac:dyDescent="0.2">
      <c r="A45" s="30">
        <v>44621</v>
      </c>
      <c r="B45" s="20">
        <v>0</v>
      </c>
      <c r="C45" s="20">
        <v>11804.762295000004</v>
      </c>
      <c r="D45" s="20">
        <v>0</v>
      </c>
      <c r="E45" s="20">
        <v>13448.151019874287</v>
      </c>
      <c r="F45" s="20">
        <v>11804.762295000004</v>
      </c>
      <c r="G45" s="20">
        <v>13448.151019874287</v>
      </c>
    </row>
    <row r="46" spans="1:7" ht="11.25" customHeight="1" x14ac:dyDescent="0.2">
      <c r="A46" s="30">
        <v>44652</v>
      </c>
      <c r="B46" s="20">
        <v>0</v>
      </c>
      <c r="C46" s="20">
        <v>12027.617895000003</v>
      </c>
      <c r="D46" s="20">
        <v>0</v>
      </c>
      <c r="E46" s="20">
        <v>13702.031246790862</v>
      </c>
      <c r="F46" s="20">
        <v>12027.617895000003</v>
      </c>
      <c r="G46" s="20">
        <v>13702.031246790862</v>
      </c>
    </row>
    <row r="47" spans="1:7" ht="11.25" customHeight="1" x14ac:dyDescent="0.2">
      <c r="A47" s="30">
        <v>44682</v>
      </c>
      <c r="B47" s="20">
        <v>0</v>
      </c>
      <c r="C47" s="20">
        <v>15448.451355000003</v>
      </c>
      <c r="D47" s="20">
        <v>0</v>
      </c>
      <c r="E47" s="20">
        <v>17599.092729960335</v>
      </c>
      <c r="F47" s="20">
        <v>15448.451355000003</v>
      </c>
      <c r="G47" s="20">
        <v>17599.092729960335</v>
      </c>
    </row>
    <row r="48" spans="1:7" ht="11.25" customHeight="1" x14ac:dyDescent="0.2">
      <c r="A48" s="30">
        <v>44713</v>
      </c>
      <c r="B48" s="20">
        <v>0</v>
      </c>
      <c r="C48" s="20">
        <v>14933.350890000003</v>
      </c>
      <c r="D48" s="20">
        <v>0</v>
      </c>
      <c r="E48" s="20">
        <v>17012.28320547361</v>
      </c>
      <c r="F48" s="20">
        <v>14933.350890000003</v>
      </c>
      <c r="G48" s="20">
        <v>17012.28320547361</v>
      </c>
    </row>
    <row r="49" spans="1:7" ht="11.25" customHeight="1" x14ac:dyDescent="0.2">
      <c r="A49" s="26" t="s">
        <v>30</v>
      </c>
      <c r="B49" s="20">
        <v>0</v>
      </c>
      <c r="C49" s="20">
        <v>182255.89332000003</v>
      </c>
      <c r="D49" s="20">
        <v>0</v>
      </c>
      <c r="E49" s="20">
        <v>207639.22804819749</v>
      </c>
      <c r="F49" s="20">
        <v>182255.89332</v>
      </c>
      <c r="G49" s="20">
        <v>207639.22804819746</v>
      </c>
    </row>
    <row r="50" spans="1:7" ht="11.25" customHeight="1" x14ac:dyDescent="0.2">
      <c r="A50" s="27" t="s">
        <v>25</v>
      </c>
      <c r="B50" s="20">
        <v>0</v>
      </c>
      <c r="C50" s="20">
        <v>182255.89332000003</v>
      </c>
      <c r="D50" s="20">
        <v>0</v>
      </c>
      <c r="E50" s="20">
        <v>207639.22804819749</v>
      </c>
      <c r="F50" s="20">
        <v>182255.89332</v>
      </c>
      <c r="G50" s="20">
        <v>207639.22804819746</v>
      </c>
    </row>
    <row r="51" spans="1:7" ht="11.25" customHeight="1" x14ac:dyDescent="0.2">
      <c r="A51" s="28" t="s">
        <v>25</v>
      </c>
      <c r="B51" s="20">
        <v>0</v>
      </c>
      <c r="C51" s="20">
        <v>182255.89332000003</v>
      </c>
      <c r="D51" s="20">
        <v>0</v>
      </c>
      <c r="E51" s="20">
        <v>207639.22804819749</v>
      </c>
      <c r="F51" s="20">
        <v>182255.89332</v>
      </c>
      <c r="G51" s="20">
        <v>207639.22804819746</v>
      </c>
    </row>
    <row r="52" spans="1:7" ht="11.25" customHeight="1" x14ac:dyDescent="0.2">
      <c r="A52" s="29" t="s">
        <v>25</v>
      </c>
      <c r="B52" s="20">
        <v>0</v>
      </c>
      <c r="C52" s="20">
        <v>182255.89332000003</v>
      </c>
      <c r="D52" s="20">
        <v>0</v>
      </c>
      <c r="E52" s="20">
        <v>207639.22804819749</v>
      </c>
      <c r="F52" s="20">
        <v>182255.89332</v>
      </c>
      <c r="G52" s="20">
        <v>207639.22804819746</v>
      </c>
    </row>
    <row r="53" spans="1:7" ht="11.25" customHeight="1" x14ac:dyDescent="0.2">
      <c r="A53" s="30">
        <v>44378</v>
      </c>
      <c r="B53" s="20">
        <v>0</v>
      </c>
      <c r="C53" s="20">
        <v>13103.645700000001</v>
      </c>
      <c r="D53" s="20">
        <v>0</v>
      </c>
      <c r="E53" s="20">
        <v>14928.630779015381</v>
      </c>
      <c r="F53" s="20">
        <v>13103.645700000001</v>
      </c>
      <c r="G53" s="20">
        <v>14928.630779015381</v>
      </c>
    </row>
    <row r="54" spans="1:7" ht="11.25" customHeight="1" x14ac:dyDescent="0.2">
      <c r="A54" s="30">
        <v>44409</v>
      </c>
      <c r="B54" s="20">
        <v>0</v>
      </c>
      <c r="C54" s="20">
        <v>13451.261640000002</v>
      </c>
      <c r="D54" s="20">
        <v>0</v>
      </c>
      <c r="E54" s="20">
        <v>15324.660261189214</v>
      </c>
      <c r="F54" s="20">
        <v>13451.261640000002</v>
      </c>
      <c r="G54" s="20">
        <v>15324.660261189214</v>
      </c>
    </row>
    <row r="55" spans="1:7" ht="11.25" customHeight="1" x14ac:dyDescent="0.2">
      <c r="A55" s="30">
        <v>44440</v>
      </c>
      <c r="B55" s="20">
        <v>0</v>
      </c>
      <c r="C55" s="20">
        <v>13721.583420000001</v>
      </c>
      <c r="D55" s="20">
        <v>0</v>
      </c>
      <c r="E55" s="20">
        <v>15632.63058773324</v>
      </c>
      <c r="F55" s="20">
        <v>13721.583420000001</v>
      </c>
      <c r="G55" s="20">
        <v>15632.63058773324</v>
      </c>
    </row>
    <row r="56" spans="1:7" ht="11.25" customHeight="1" x14ac:dyDescent="0.2">
      <c r="A56" s="30">
        <v>44470</v>
      </c>
      <c r="B56" s="20">
        <v>0</v>
      </c>
      <c r="C56" s="20">
        <v>14036.37012</v>
      </c>
      <c r="D56" s="20">
        <v>0</v>
      </c>
      <c r="E56" s="20">
        <v>15991.258600580433</v>
      </c>
      <c r="F56" s="20">
        <v>14036.37012</v>
      </c>
      <c r="G56" s="20">
        <v>15991.258600580433</v>
      </c>
    </row>
    <row r="57" spans="1:7" ht="11.25" customHeight="1" x14ac:dyDescent="0.2">
      <c r="A57" s="30">
        <v>44501</v>
      </c>
      <c r="B57" s="20">
        <v>0</v>
      </c>
      <c r="C57" s="20">
        <v>14317.080900000003</v>
      </c>
      <c r="D57" s="20">
        <v>0</v>
      </c>
      <c r="E57" s="20">
        <v>16311.064835139219</v>
      </c>
      <c r="F57" s="20">
        <v>14317.080900000003</v>
      </c>
      <c r="G57" s="20">
        <v>16311.064835139219</v>
      </c>
    </row>
    <row r="58" spans="1:7" ht="11.25" customHeight="1" x14ac:dyDescent="0.2">
      <c r="A58" s="30">
        <v>44531</v>
      </c>
      <c r="B58" s="20">
        <v>0</v>
      </c>
      <c r="C58" s="20">
        <v>14682.483056000003</v>
      </c>
      <c r="D58" s="20">
        <v>0</v>
      </c>
      <c r="E58" s="20">
        <v>16727.357391834321</v>
      </c>
      <c r="F58" s="20">
        <v>14682.483056000003</v>
      </c>
      <c r="G58" s="20">
        <v>16727.357391834321</v>
      </c>
    </row>
    <row r="59" spans="1:7" ht="11.25" customHeight="1" x14ac:dyDescent="0.2">
      <c r="A59" s="30">
        <v>44562</v>
      </c>
      <c r="B59" s="20">
        <v>0</v>
      </c>
      <c r="C59" s="20">
        <v>15241.286900000001</v>
      </c>
      <c r="D59" s="20">
        <v>0</v>
      </c>
      <c r="E59" s="20">
        <v>17363.987212132171</v>
      </c>
      <c r="F59" s="20">
        <v>15241.286900000001</v>
      </c>
      <c r="G59" s="20">
        <v>17363.987212132171</v>
      </c>
    </row>
    <row r="60" spans="1:7" ht="11.25" customHeight="1" x14ac:dyDescent="0.2">
      <c r="A60" s="30">
        <v>44593</v>
      </c>
      <c r="B60" s="20">
        <v>0</v>
      </c>
      <c r="C60" s="20">
        <v>15592.850660000004</v>
      </c>
      <c r="D60" s="20">
        <v>0</v>
      </c>
      <c r="E60" s="20">
        <v>17764.514339351612</v>
      </c>
      <c r="F60" s="20">
        <v>15592.850660000004</v>
      </c>
      <c r="G60" s="20">
        <v>17764.514339351612</v>
      </c>
    </row>
    <row r="61" spans="1:7" ht="11.25" customHeight="1" x14ac:dyDescent="0.2">
      <c r="A61" s="30">
        <v>44621</v>
      </c>
      <c r="B61" s="20">
        <v>0</v>
      </c>
      <c r="C61" s="20">
        <v>15608.849720000002</v>
      </c>
      <c r="D61" s="20">
        <v>0</v>
      </c>
      <c r="E61" s="20">
        <v>17782.74163769434</v>
      </c>
      <c r="F61" s="20">
        <v>15608.849720000002</v>
      </c>
      <c r="G61" s="20">
        <v>17782.74163769434</v>
      </c>
    </row>
    <row r="62" spans="1:7" ht="11.25" customHeight="1" x14ac:dyDescent="0.2">
      <c r="A62" s="30">
        <v>44652</v>
      </c>
      <c r="B62" s="20">
        <v>0</v>
      </c>
      <c r="C62" s="20">
        <v>15196.489444000004</v>
      </c>
      <c r="D62" s="20">
        <v>0</v>
      </c>
      <c r="E62" s="20">
        <v>17312.950776772534</v>
      </c>
      <c r="F62" s="20">
        <v>15196.489444000004</v>
      </c>
      <c r="G62" s="20">
        <v>17312.950776772534</v>
      </c>
    </row>
    <row r="63" spans="1:7" ht="11.25" customHeight="1" x14ac:dyDescent="0.2">
      <c r="A63" s="30">
        <v>44682</v>
      </c>
      <c r="B63" s="20">
        <v>0</v>
      </c>
      <c r="C63" s="20">
        <v>18898.838240000001</v>
      </c>
      <c r="D63" s="20">
        <v>0</v>
      </c>
      <c r="E63" s="20">
        <v>21530.936987808182</v>
      </c>
      <c r="F63" s="20">
        <v>18898.838240000001</v>
      </c>
      <c r="G63" s="20">
        <v>21530.936987808182</v>
      </c>
    </row>
    <row r="64" spans="1:7" ht="11.25" customHeight="1" x14ac:dyDescent="0.2">
      <c r="A64" s="30">
        <v>44713</v>
      </c>
      <c r="B64" s="20">
        <v>0</v>
      </c>
      <c r="C64" s="20">
        <v>18405.153520000003</v>
      </c>
      <c r="D64" s="20">
        <v>0</v>
      </c>
      <c r="E64" s="20">
        <v>20968.494638946842</v>
      </c>
      <c r="F64" s="20">
        <v>18405.153520000003</v>
      </c>
      <c r="G64" s="20">
        <v>20968.494638946842</v>
      </c>
    </row>
    <row r="65" spans="1:7" ht="11.25" customHeight="1" x14ac:dyDescent="0.2">
      <c r="A65" s="26" t="s">
        <v>31</v>
      </c>
      <c r="B65" s="20">
        <v>0</v>
      </c>
      <c r="C65" s="20">
        <v>45519.548977000042</v>
      </c>
      <c r="D65" s="20">
        <v>0</v>
      </c>
      <c r="E65" s="20">
        <v>51864.185504606467</v>
      </c>
      <c r="F65" s="20">
        <v>45519.548977000057</v>
      </c>
      <c r="G65" s="20">
        <v>51864.185504606467</v>
      </c>
    </row>
    <row r="66" spans="1:7" ht="11.25" customHeight="1" x14ac:dyDescent="0.2">
      <c r="A66" s="27" t="s">
        <v>25</v>
      </c>
      <c r="B66" s="20">
        <v>0</v>
      </c>
      <c r="C66" s="20">
        <v>45519.548977000042</v>
      </c>
      <c r="D66" s="20">
        <v>0</v>
      </c>
      <c r="E66" s="20">
        <v>51864.185504606467</v>
      </c>
      <c r="F66" s="20">
        <v>45519.548977000057</v>
      </c>
      <c r="G66" s="20">
        <v>51864.185504606467</v>
      </c>
    </row>
    <row r="67" spans="1:7" ht="11.25" customHeight="1" x14ac:dyDescent="0.2">
      <c r="A67" s="28" t="s">
        <v>25</v>
      </c>
      <c r="B67" s="20">
        <v>0</v>
      </c>
      <c r="C67" s="20">
        <v>45519.548977000042</v>
      </c>
      <c r="D67" s="20">
        <v>0</v>
      </c>
      <c r="E67" s="20">
        <v>51864.185504606467</v>
      </c>
      <c r="F67" s="20">
        <v>45519.548977000057</v>
      </c>
      <c r="G67" s="20">
        <v>51864.185504606467</v>
      </c>
    </row>
    <row r="68" spans="1:7" ht="11.25" customHeight="1" x14ac:dyDescent="0.2">
      <c r="A68" s="29" t="s">
        <v>25</v>
      </c>
      <c r="B68" s="20">
        <v>0</v>
      </c>
      <c r="C68" s="20">
        <v>45519.548977000042</v>
      </c>
      <c r="D68" s="20">
        <v>0</v>
      </c>
      <c r="E68" s="20">
        <v>51864.185504606467</v>
      </c>
      <c r="F68" s="20">
        <v>45519.548977000057</v>
      </c>
      <c r="G68" s="20">
        <v>51864.185504606467</v>
      </c>
    </row>
    <row r="69" spans="1:7" ht="11.25" customHeight="1" x14ac:dyDescent="0.2">
      <c r="A69" s="30">
        <v>44378</v>
      </c>
      <c r="B69" s="20">
        <v>0</v>
      </c>
      <c r="C69" s="20">
        <v>2746.8469000000023</v>
      </c>
      <c r="D69" s="20">
        <v>0</v>
      </c>
      <c r="E69" s="20">
        <v>3129.7099768026173</v>
      </c>
      <c r="F69" s="20">
        <v>2746.8469000000023</v>
      </c>
      <c r="G69" s="20">
        <v>3129.7099768026173</v>
      </c>
    </row>
    <row r="70" spans="1:7" ht="11.25" customHeight="1" x14ac:dyDescent="0.2">
      <c r="A70" s="30">
        <v>44409</v>
      </c>
      <c r="B70" s="20">
        <v>0</v>
      </c>
      <c r="C70" s="20">
        <v>3197.2186400000032</v>
      </c>
      <c r="D70" s="20">
        <v>0</v>
      </c>
      <c r="E70" s="20">
        <v>3642.8557687824891</v>
      </c>
      <c r="F70" s="20">
        <v>3197.2186400000032</v>
      </c>
      <c r="G70" s="20">
        <v>3642.8557687824891</v>
      </c>
    </row>
    <row r="71" spans="1:7" ht="11.25" customHeight="1" x14ac:dyDescent="0.2">
      <c r="A71" s="30">
        <v>44440</v>
      </c>
      <c r="B71" s="20">
        <v>0</v>
      </c>
      <c r="C71" s="20">
        <v>3047.2678600000031</v>
      </c>
      <c r="D71" s="20">
        <v>0</v>
      </c>
      <c r="E71" s="20">
        <v>3472.0044365894441</v>
      </c>
      <c r="F71" s="20">
        <v>3047.2678600000031</v>
      </c>
      <c r="G71" s="20">
        <v>3472.0044365894441</v>
      </c>
    </row>
    <row r="72" spans="1:7" ht="11.25" customHeight="1" x14ac:dyDescent="0.2">
      <c r="A72" s="30">
        <v>44470</v>
      </c>
      <c r="B72" s="20">
        <v>0</v>
      </c>
      <c r="C72" s="20">
        <v>3267.5454000000032</v>
      </c>
      <c r="D72" s="20">
        <v>0</v>
      </c>
      <c r="E72" s="20">
        <v>3722.9848660424063</v>
      </c>
      <c r="F72" s="20">
        <v>3267.5454000000032</v>
      </c>
      <c r="G72" s="20">
        <v>3722.9848660424063</v>
      </c>
    </row>
    <row r="73" spans="1:7" ht="11.25" customHeight="1" x14ac:dyDescent="0.2">
      <c r="A73" s="30">
        <v>44501</v>
      </c>
      <c r="B73" s="20">
        <v>0</v>
      </c>
      <c r="C73" s="20">
        <v>3668.6260800000041</v>
      </c>
      <c r="D73" s="20">
        <v>0</v>
      </c>
      <c r="E73" s="20">
        <v>4179.9692744922477</v>
      </c>
      <c r="F73" s="20">
        <v>3668.6260800000041</v>
      </c>
      <c r="G73" s="20">
        <v>4179.9692744922477</v>
      </c>
    </row>
    <row r="74" spans="1:7" ht="11.25" customHeight="1" x14ac:dyDescent="0.2">
      <c r="A74" s="30">
        <v>44531</v>
      </c>
      <c r="B74" s="20">
        <v>0</v>
      </c>
      <c r="C74" s="20">
        <v>3945.258520000004</v>
      </c>
      <c r="D74" s="20">
        <v>0</v>
      </c>
      <c r="E74" s="20">
        <v>4495.1595049252755</v>
      </c>
      <c r="F74" s="20">
        <v>3945.258520000004</v>
      </c>
      <c r="G74" s="20">
        <v>4495.1595049252755</v>
      </c>
    </row>
    <row r="75" spans="1:7" ht="11.25" customHeight="1" x14ac:dyDescent="0.2">
      <c r="A75" s="30">
        <v>44562</v>
      </c>
      <c r="B75" s="20">
        <v>0</v>
      </c>
      <c r="C75" s="20">
        <v>4496.2641850000045</v>
      </c>
      <c r="D75" s="20">
        <v>0</v>
      </c>
      <c r="E75" s="20">
        <v>5122.9656557981243</v>
      </c>
      <c r="F75" s="20">
        <v>4496.2641850000045</v>
      </c>
      <c r="G75" s="20">
        <v>5122.9656557981243</v>
      </c>
    </row>
    <row r="76" spans="1:7" ht="11.25" customHeight="1" x14ac:dyDescent="0.2">
      <c r="A76" s="30">
        <v>44593</v>
      </c>
      <c r="B76" s="20">
        <v>0</v>
      </c>
      <c r="C76" s="20">
        <v>5016.5738000000065</v>
      </c>
      <c r="D76" s="20">
        <v>0</v>
      </c>
      <c r="E76" s="20">
        <v>5715.7966984873601</v>
      </c>
      <c r="F76" s="20">
        <v>5016.5738000000065</v>
      </c>
      <c r="G76" s="20">
        <v>5715.7966984873601</v>
      </c>
    </row>
    <row r="77" spans="1:7" ht="11.25" customHeight="1" x14ac:dyDescent="0.2">
      <c r="A77" s="30">
        <v>44621</v>
      </c>
      <c r="B77" s="20">
        <v>0</v>
      </c>
      <c r="C77" s="20">
        <v>4554.4372650000041</v>
      </c>
      <c r="D77" s="20">
        <v>0</v>
      </c>
      <c r="E77" s="20">
        <v>5189.2467406807737</v>
      </c>
      <c r="F77" s="20">
        <v>4554.4372650000041</v>
      </c>
      <c r="G77" s="20">
        <v>5189.2467406807737</v>
      </c>
    </row>
    <row r="78" spans="1:7" ht="11.25" customHeight="1" x14ac:dyDescent="0.2">
      <c r="A78" s="30">
        <v>44652</v>
      </c>
      <c r="B78" s="20">
        <v>0</v>
      </c>
      <c r="C78" s="20">
        <v>3401.8103000000037</v>
      </c>
      <c r="D78" s="20">
        <v>0</v>
      </c>
      <c r="E78" s="20">
        <v>3875.9639771331654</v>
      </c>
      <c r="F78" s="20">
        <v>3401.8103000000037</v>
      </c>
      <c r="G78" s="20">
        <v>3875.9639771331654</v>
      </c>
    </row>
    <row r="79" spans="1:7" ht="11.25" customHeight="1" x14ac:dyDescent="0.2">
      <c r="A79" s="30">
        <v>44682</v>
      </c>
      <c r="B79" s="20">
        <v>0</v>
      </c>
      <c r="C79" s="20">
        <v>4039.233891000004</v>
      </c>
      <c r="D79" s="20">
        <v>0</v>
      </c>
      <c r="E79" s="20">
        <v>4602.2330467807915</v>
      </c>
      <c r="F79" s="20">
        <v>4039.233891000004</v>
      </c>
      <c r="G79" s="20">
        <v>4602.2330467807915</v>
      </c>
    </row>
    <row r="80" spans="1:7" ht="11.25" customHeight="1" x14ac:dyDescent="0.2">
      <c r="A80" s="30">
        <v>44713</v>
      </c>
      <c r="B80" s="20">
        <v>0</v>
      </c>
      <c r="C80" s="20">
        <v>4138.4661360000046</v>
      </c>
      <c r="D80" s="20">
        <v>0</v>
      </c>
      <c r="E80" s="20">
        <v>4715.2955580917769</v>
      </c>
      <c r="F80" s="20">
        <v>4138.4661360000046</v>
      </c>
      <c r="G80" s="20">
        <v>4715.2955580917769</v>
      </c>
    </row>
    <row r="81" spans="1:7" ht="11.25" customHeight="1" x14ac:dyDescent="0.2">
      <c r="A81" s="26" t="s">
        <v>32</v>
      </c>
      <c r="B81" s="20">
        <v>0</v>
      </c>
      <c r="C81" s="20">
        <v>9.4198071565187988E-12</v>
      </c>
      <c r="D81" s="20">
        <v>0</v>
      </c>
      <c r="E81" s="20">
        <v>9.4198071565187988E-12</v>
      </c>
      <c r="F81" s="20">
        <v>9.4198071565187988E-12</v>
      </c>
      <c r="G81" s="20">
        <v>9.4198071565187988E-12</v>
      </c>
    </row>
    <row r="82" spans="1:7" ht="11.25" customHeight="1" x14ac:dyDescent="0.2">
      <c r="A82" s="27" t="s">
        <v>25</v>
      </c>
      <c r="B82" s="20">
        <v>0</v>
      </c>
      <c r="C82" s="20">
        <v>9.4198071565187988E-12</v>
      </c>
      <c r="D82" s="20">
        <v>0</v>
      </c>
      <c r="E82" s="20">
        <v>9.4198071565187988E-12</v>
      </c>
      <c r="F82" s="20">
        <v>9.4198071565187988E-12</v>
      </c>
      <c r="G82" s="20">
        <v>9.4198071565187988E-12</v>
      </c>
    </row>
    <row r="83" spans="1:7" ht="11.25" customHeight="1" x14ac:dyDescent="0.2">
      <c r="A83" s="28" t="s">
        <v>25</v>
      </c>
      <c r="B83" s="20">
        <v>0</v>
      </c>
      <c r="C83" s="20">
        <v>9.4198071565187988E-12</v>
      </c>
      <c r="D83" s="20">
        <v>0</v>
      </c>
      <c r="E83" s="20">
        <v>9.4198071565187988E-12</v>
      </c>
      <c r="F83" s="20">
        <v>9.4198071565187988E-12</v>
      </c>
      <c r="G83" s="20">
        <v>9.4198071565187988E-12</v>
      </c>
    </row>
    <row r="84" spans="1:7" ht="11.25" customHeight="1" x14ac:dyDescent="0.2">
      <c r="A84" s="29" t="s">
        <v>25</v>
      </c>
      <c r="B84" s="20">
        <v>0</v>
      </c>
      <c r="C84" s="20">
        <v>9.4198071565187988E-12</v>
      </c>
      <c r="D84" s="20">
        <v>0</v>
      </c>
      <c r="E84" s="20">
        <v>9.4198071565187988E-12</v>
      </c>
      <c r="F84" s="20">
        <v>9.4198071565187988E-12</v>
      </c>
      <c r="G84" s="20">
        <v>9.4198071565187988E-12</v>
      </c>
    </row>
    <row r="85" spans="1:7" ht="11.25" customHeight="1" x14ac:dyDescent="0.2">
      <c r="A85" s="30">
        <v>44378</v>
      </c>
      <c r="B85" s="20">
        <v>0</v>
      </c>
      <c r="C85" s="20">
        <v>3.4864910958276599E-13</v>
      </c>
      <c r="D85" s="20">
        <v>0</v>
      </c>
      <c r="E85" s="20">
        <v>3.4864910958276599E-13</v>
      </c>
      <c r="F85" s="20">
        <v>3.4864910958276599E-13</v>
      </c>
      <c r="G85" s="20">
        <v>3.4864910958276599E-13</v>
      </c>
    </row>
    <row r="86" spans="1:7" ht="11.25" customHeight="1" x14ac:dyDescent="0.2">
      <c r="A86" s="30">
        <v>44409</v>
      </c>
      <c r="B86" s="20">
        <v>0</v>
      </c>
      <c r="C86" s="20">
        <v>4.6989612201286949E-13</v>
      </c>
      <c r="D86" s="20">
        <v>0</v>
      </c>
      <c r="E86" s="20">
        <v>4.6989612201286949E-13</v>
      </c>
      <c r="F86" s="20">
        <v>4.6989612201286949E-13</v>
      </c>
      <c r="G86" s="20">
        <v>4.6989612201286949E-13</v>
      </c>
    </row>
    <row r="87" spans="1:7" ht="11.25" customHeight="1" x14ac:dyDescent="0.2">
      <c r="A87" s="30">
        <v>44440</v>
      </c>
      <c r="B87" s="20">
        <v>0</v>
      </c>
      <c r="C87" s="20">
        <v>4.0517988963983954E-13</v>
      </c>
      <c r="D87" s="20">
        <v>0</v>
      </c>
      <c r="E87" s="20">
        <v>4.0517988963983954E-13</v>
      </c>
      <c r="F87" s="20">
        <v>4.0517988963983954E-13</v>
      </c>
      <c r="G87" s="20">
        <v>4.0517988963983954E-13</v>
      </c>
    </row>
    <row r="88" spans="1:7" ht="11.25" customHeight="1" x14ac:dyDescent="0.2">
      <c r="A88" s="30">
        <v>44470</v>
      </c>
      <c r="B88" s="20">
        <v>0</v>
      </c>
      <c r="C88" s="20">
        <v>4.5469050746760329E-13</v>
      </c>
      <c r="D88" s="20">
        <v>0</v>
      </c>
      <c r="E88" s="20">
        <v>4.5469050746760329E-13</v>
      </c>
      <c r="F88" s="20">
        <v>4.5469050746760329E-13</v>
      </c>
      <c r="G88" s="20">
        <v>4.5469050746760329E-13</v>
      </c>
    </row>
    <row r="89" spans="1:7" ht="11.25" customHeight="1" x14ac:dyDescent="0.2">
      <c r="A89" s="30">
        <v>44501</v>
      </c>
      <c r="B89" s="20">
        <v>0</v>
      </c>
      <c r="C89" s="20">
        <v>6.2559024627262259E-13</v>
      </c>
      <c r="D89" s="20">
        <v>0</v>
      </c>
      <c r="E89" s="20">
        <v>6.2559024627262259E-13</v>
      </c>
      <c r="F89" s="20">
        <v>6.2559024627262259E-13</v>
      </c>
      <c r="G89" s="20">
        <v>6.2559024627262259E-13</v>
      </c>
    </row>
    <row r="90" spans="1:7" ht="11.25" customHeight="1" x14ac:dyDescent="0.2">
      <c r="A90" s="30">
        <v>44531</v>
      </c>
      <c r="B90" s="20">
        <v>0</v>
      </c>
      <c r="C90" s="20">
        <v>7.2932948569359727E-13</v>
      </c>
      <c r="D90" s="20">
        <v>0</v>
      </c>
      <c r="E90" s="20">
        <v>7.2932948569359727E-13</v>
      </c>
      <c r="F90" s="20">
        <v>7.2932948569359727E-13</v>
      </c>
      <c r="G90" s="20">
        <v>7.2932948569359727E-13</v>
      </c>
    </row>
    <row r="91" spans="1:7" ht="11.25" customHeight="1" x14ac:dyDescent="0.2">
      <c r="A91" s="30">
        <v>44562</v>
      </c>
      <c r="B91" s="20">
        <v>0</v>
      </c>
      <c r="C91" s="20">
        <v>1.3455405678541865E-12</v>
      </c>
      <c r="D91" s="20">
        <v>0</v>
      </c>
      <c r="E91" s="20">
        <v>1.3455405678541865E-12</v>
      </c>
      <c r="F91" s="20">
        <v>1.3455405678541865E-12</v>
      </c>
      <c r="G91" s="20">
        <v>1.3455405678541865E-12</v>
      </c>
    </row>
    <row r="92" spans="1:7" ht="11.25" customHeight="1" x14ac:dyDescent="0.2">
      <c r="A92" s="30">
        <v>44593</v>
      </c>
      <c r="B92" s="20">
        <v>0</v>
      </c>
      <c r="C92" s="20">
        <v>1.9823289676423883E-12</v>
      </c>
      <c r="D92" s="20">
        <v>0</v>
      </c>
      <c r="E92" s="20">
        <v>1.9823289676423883E-12</v>
      </c>
      <c r="F92" s="20">
        <v>1.9823289676423883E-12</v>
      </c>
      <c r="G92" s="20">
        <v>1.9823289676423883E-12</v>
      </c>
    </row>
    <row r="93" spans="1:7" ht="11.25" customHeight="1" x14ac:dyDescent="0.2">
      <c r="A93" s="30">
        <v>44621</v>
      </c>
      <c r="B93" s="20">
        <v>0</v>
      </c>
      <c r="C93" s="20">
        <v>1.2218777101224987E-12</v>
      </c>
      <c r="D93" s="20">
        <v>0</v>
      </c>
      <c r="E93" s="20">
        <v>1.2218777101224987E-12</v>
      </c>
      <c r="F93" s="20">
        <v>1.2218777101224987E-12</v>
      </c>
      <c r="G93" s="20">
        <v>1.2218777101224987E-12</v>
      </c>
    </row>
    <row r="94" spans="1:7" ht="11.25" customHeight="1" x14ac:dyDescent="0.2">
      <c r="A94" s="30">
        <v>44652</v>
      </c>
      <c r="B94" s="20">
        <v>0</v>
      </c>
      <c r="C94" s="20">
        <v>4.9001869228959548E-13</v>
      </c>
      <c r="D94" s="20">
        <v>0</v>
      </c>
      <c r="E94" s="20">
        <v>4.9001869228959548E-13</v>
      </c>
      <c r="F94" s="20">
        <v>4.9001869228959548E-13</v>
      </c>
      <c r="G94" s="20">
        <v>4.9001869228959548E-13</v>
      </c>
    </row>
    <row r="95" spans="1:7" ht="11.25" customHeight="1" x14ac:dyDescent="0.2">
      <c r="A95" s="30">
        <v>44682</v>
      </c>
      <c r="B95" s="20">
        <v>0</v>
      </c>
      <c r="C95" s="20">
        <v>6.3198513089446353E-13</v>
      </c>
      <c r="D95" s="20">
        <v>0</v>
      </c>
      <c r="E95" s="20">
        <v>6.3198513089446353E-13</v>
      </c>
      <c r="F95" s="20">
        <v>6.3198513089446353E-13</v>
      </c>
      <c r="G95" s="20">
        <v>6.3198513089446353E-13</v>
      </c>
    </row>
    <row r="96" spans="1:7" ht="11.25" customHeight="1" x14ac:dyDescent="0.2">
      <c r="A96" s="30">
        <v>44713</v>
      </c>
      <c r="B96" s="20">
        <v>0</v>
      </c>
      <c r="C96" s="20">
        <v>7.1472072704636953E-13</v>
      </c>
      <c r="D96" s="20">
        <v>0</v>
      </c>
      <c r="E96" s="20">
        <v>7.1472072704636953E-13</v>
      </c>
      <c r="F96" s="20">
        <v>7.1472072704636953E-13</v>
      </c>
      <c r="G96" s="20">
        <v>7.1472072704636953E-13</v>
      </c>
    </row>
    <row r="97" spans="1:7" ht="11.25" customHeight="1" x14ac:dyDescent="0.2">
      <c r="A97" s="22" t="s">
        <v>776</v>
      </c>
      <c r="B97" s="20">
        <v>1006203.3049230593</v>
      </c>
      <c r="C97" s="20">
        <v>519277.77514937421</v>
      </c>
      <c r="D97" s="20">
        <v>1328049.1633682405</v>
      </c>
      <c r="E97" s="20">
        <v>639356.56259496161</v>
      </c>
      <c r="F97" s="20">
        <v>1525481.0800724335</v>
      </c>
      <c r="G97" s="20">
        <v>1967405.7259632021</v>
      </c>
    </row>
    <row r="98" spans="1:7" ht="11.25" customHeight="1" x14ac:dyDescent="0.2">
      <c r="A98" s="23" t="s">
        <v>39</v>
      </c>
      <c r="B98" s="20">
        <v>1006203.3049230593</v>
      </c>
      <c r="C98" s="20">
        <v>519277.77514937421</v>
      </c>
      <c r="D98" s="20">
        <v>1328049.1633682405</v>
      </c>
      <c r="E98" s="20">
        <v>639356.56259496161</v>
      </c>
      <c r="F98" s="20">
        <v>1525481.0800724335</v>
      </c>
      <c r="G98" s="20">
        <v>1967405.7259632021</v>
      </c>
    </row>
    <row r="99" spans="1:7" ht="11.25" customHeight="1" x14ac:dyDescent="0.2">
      <c r="A99" s="24" t="s">
        <v>40</v>
      </c>
      <c r="B99" s="20">
        <v>1006203.3049230593</v>
      </c>
      <c r="C99" s="20">
        <v>519277.77514937421</v>
      </c>
      <c r="D99" s="20">
        <v>1328049.1633682405</v>
      </c>
      <c r="E99" s="20">
        <v>639356.56259496161</v>
      </c>
      <c r="F99" s="20">
        <v>1525481.0800724335</v>
      </c>
      <c r="G99" s="20">
        <v>1967405.7259632021</v>
      </c>
    </row>
    <row r="100" spans="1:7" ht="11.25" customHeight="1" x14ac:dyDescent="0.2">
      <c r="A100" s="25" t="s">
        <v>38</v>
      </c>
      <c r="B100" s="20">
        <v>1006203.3049230593</v>
      </c>
      <c r="C100" s="20">
        <v>519277.77514937421</v>
      </c>
      <c r="D100" s="20">
        <v>1328049.1633682405</v>
      </c>
      <c r="E100" s="20">
        <v>639356.56259496161</v>
      </c>
      <c r="F100" s="20">
        <v>1525481.0800724335</v>
      </c>
      <c r="G100" s="20">
        <v>1967405.7259632021</v>
      </c>
    </row>
    <row r="101" spans="1:7" ht="11.25" customHeight="1" x14ac:dyDescent="0.2">
      <c r="A101" s="26" t="s">
        <v>25</v>
      </c>
      <c r="B101" s="20">
        <v>1006203.3049230593</v>
      </c>
      <c r="C101" s="20">
        <v>519277.77514937421</v>
      </c>
      <c r="D101" s="20">
        <v>1328049.1633682405</v>
      </c>
      <c r="E101" s="20">
        <v>639356.56259496161</v>
      </c>
      <c r="F101" s="20">
        <v>1525481.0800724335</v>
      </c>
      <c r="G101" s="20">
        <v>1967405.7259632021</v>
      </c>
    </row>
    <row r="102" spans="1:7" ht="11.25" customHeight="1" x14ac:dyDescent="0.2">
      <c r="A102" s="27" t="s">
        <v>54</v>
      </c>
      <c r="B102" s="20">
        <v>1006203.3049230593</v>
      </c>
      <c r="C102" s="20">
        <v>519277.77514937421</v>
      </c>
      <c r="D102" s="20">
        <v>1328049.1633682405</v>
      </c>
      <c r="E102" s="20">
        <v>639356.56259496161</v>
      </c>
      <c r="F102" s="20">
        <v>1525481.0800724335</v>
      </c>
      <c r="G102" s="20">
        <v>1967405.7259632021</v>
      </c>
    </row>
    <row r="103" spans="1:7" ht="11.25" customHeight="1" x14ac:dyDescent="0.2">
      <c r="A103" s="28" t="s">
        <v>25</v>
      </c>
      <c r="B103" s="20">
        <v>1006203.3049230593</v>
      </c>
      <c r="C103" s="20">
        <v>519277.77514937421</v>
      </c>
      <c r="D103" s="20">
        <v>1328049.1633682405</v>
      </c>
      <c r="E103" s="20">
        <v>639356.56259496161</v>
      </c>
      <c r="F103" s="20">
        <v>1525481.0800724335</v>
      </c>
      <c r="G103" s="20">
        <v>1967405.7259632021</v>
      </c>
    </row>
    <row r="104" spans="1:7" ht="11.25" customHeight="1" x14ac:dyDescent="0.2">
      <c r="A104" s="29" t="s">
        <v>35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</row>
    <row r="105" spans="1:7" ht="11.25" customHeight="1" x14ac:dyDescent="0.2">
      <c r="A105" s="30">
        <v>44378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</row>
    <row r="106" spans="1:7" ht="11.25" customHeight="1" x14ac:dyDescent="0.2">
      <c r="A106" s="30">
        <v>44409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</row>
    <row r="107" spans="1:7" ht="11.25" customHeight="1" x14ac:dyDescent="0.2">
      <c r="A107" s="30">
        <v>44440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</row>
    <row r="108" spans="1:7" ht="11.25" customHeight="1" x14ac:dyDescent="0.2">
      <c r="A108" s="30">
        <v>44470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</row>
    <row r="109" spans="1:7" ht="11.25" customHeight="1" x14ac:dyDescent="0.2">
      <c r="A109" s="30">
        <v>44501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</row>
    <row r="110" spans="1:7" ht="11.25" customHeight="1" x14ac:dyDescent="0.2">
      <c r="A110" s="30">
        <v>44531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</row>
    <row r="111" spans="1:7" ht="11.25" customHeight="1" x14ac:dyDescent="0.2">
      <c r="A111" s="30">
        <v>44562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</row>
    <row r="112" spans="1:7" ht="11.25" customHeight="1" x14ac:dyDescent="0.2">
      <c r="A112" s="30">
        <v>44593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</row>
    <row r="113" spans="1:7" ht="11.25" customHeight="1" x14ac:dyDescent="0.2">
      <c r="A113" s="30">
        <v>44621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</row>
    <row r="114" spans="1:7" ht="11.25" customHeight="1" x14ac:dyDescent="0.2">
      <c r="A114" s="30">
        <v>44652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</row>
    <row r="115" spans="1:7" ht="11.25" customHeight="1" x14ac:dyDescent="0.2">
      <c r="A115" s="30">
        <v>44682</v>
      </c>
      <c r="B115" s="20">
        <v>0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</row>
    <row r="116" spans="1:7" ht="11.25" customHeight="1" x14ac:dyDescent="0.2">
      <c r="A116" s="30">
        <v>44713</v>
      </c>
      <c r="B116" s="20">
        <v>0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</row>
    <row r="117" spans="1:7" ht="11.25" customHeight="1" x14ac:dyDescent="0.2">
      <c r="A117" s="29" t="s">
        <v>25</v>
      </c>
      <c r="B117" s="20">
        <v>1006203.3049230593</v>
      </c>
      <c r="C117" s="20">
        <v>0</v>
      </c>
      <c r="D117" s="20">
        <v>1328049.1633682405</v>
      </c>
      <c r="E117" s="20">
        <v>0</v>
      </c>
      <c r="F117" s="20">
        <v>1006203.3049230593</v>
      </c>
      <c r="G117" s="20">
        <v>1328049.1633682405</v>
      </c>
    </row>
    <row r="118" spans="1:7" ht="11.25" customHeight="1" x14ac:dyDescent="0.2">
      <c r="A118" s="30">
        <v>44378</v>
      </c>
      <c r="B118" s="20">
        <v>75144.599487461397</v>
      </c>
      <c r="C118" s="20">
        <v>0</v>
      </c>
      <c r="D118" s="20">
        <v>99180.475747488832</v>
      </c>
      <c r="E118" s="20">
        <v>0</v>
      </c>
      <c r="F118" s="20">
        <v>75144.599487461397</v>
      </c>
      <c r="G118" s="20">
        <v>99180.475747488832</v>
      </c>
    </row>
    <row r="119" spans="1:7" ht="11.25" customHeight="1" x14ac:dyDescent="0.2">
      <c r="A119" s="30">
        <v>44409</v>
      </c>
      <c r="B119" s="20">
        <v>84249.276942693599</v>
      </c>
      <c r="C119" s="20">
        <v>0</v>
      </c>
      <c r="D119" s="20">
        <v>111197.39043858438</v>
      </c>
      <c r="E119" s="20">
        <v>0</v>
      </c>
      <c r="F119" s="20">
        <v>84249.276942693599</v>
      </c>
      <c r="G119" s="20">
        <v>111197.39043858438</v>
      </c>
    </row>
    <row r="120" spans="1:7" ht="11.25" customHeight="1" x14ac:dyDescent="0.2">
      <c r="A120" s="30">
        <v>44440</v>
      </c>
      <c r="B120" s="20">
        <v>83554.642150468804</v>
      </c>
      <c r="C120" s="20">
        <v>0</v>
      </c>
      <c r="D120" s="20">
        <v>110280.56860929099</v>
      </c>
      <c r="E120" s="20">
        <v>0</v>
      </c>
      <c r="F120" s="20">
        <v>83554.642150468804</v>
      </c>
      <c r="G120" s="20">
        <v>110280.56860929099</v>
      </c>
    </row>
    <row r="121" spans="1:7" ht="11.25" customHeight="1" x14ac:dyDescent="0.2">
      <c r="A121" s="30">
        <v>44470</v>
      </c>
      <c r="B121" s="20">
        <v>83554.642150468804</v>
      </c>
      <c r="C121" s="20">
        <v>0</v>
      </c>
      <c r="D121" s="20">
        <v>110280.56860929099</v>
      </c>
      <c r="E121" s="20">
        <v>0</v>
      </c>
      <c r="F121" s="20">
        <v>83554.642150468804</v>
      </c>
      <c r="G121" s="20">
        <v>110280.56860929099</v>
      </c>
    </row>
    <row r="122" spans="1:7" ht="11.25" customHeight="1" x14ac:dyDescent="0.2">
      <c r="A122" s="30">
        <v>44501</v>
      </c>
      <c r="B122" s="20">
        <v>83554.642150468804</v>
      </c>
      <c r="C122" s="20">
        <v>0</v>
      </c>
      <c r="D122" s="20">
        <v>110280.56860929099</v>
      </c>
      <c r="E122" s="20">
        <v>0</v>
      </c>
      <c r="F122" s="20">
        <v>83554.642150468804</v>
      </c>
      <c r="G122" s="20">
        <v>110280.56860929099</v>
      </c>
    </row>
    <row r="123" spans="1:7" ht="11.25" customHeight="1" x14ac:dyDescent="0.2">
      <c r="A123" s="30">
        <v>44531</v>
      </c>
      <c r="B123" s="20">
        <v>83554.642150468804</v>
      </c>
      <c r="C123" s="20">
        <v>0</v>
      </c>
      <c r="D123" s="20">
        <v>110280.56860929099</v>
      </c>
      <c r="E123" s="20">
        <v>0</v>
      </c>
      <c r="F123" s="20">
        <v>83554.642150468804</v>
      </c>
      <c r="G123" s="20">
        <v>110280.56860929099</v>
      </c>
    </row>
    <row r="124" spans="1:7" ht="11.25" customHeight="1" x14ac:dyDescent="0.2">
      <c r="A124" s="30">
        <v>44562</v>
      </c>
      <c r="B124" s="20">
        <v>83554.642150468804</v>
      </c>
      <c r="C124" s="20">
        <v>0</v>
      </c>
      <c r="D124" s="20">
        <v>110280.56860929099</v>
      </c>
      <c r="E124" s="20">
        <v>0</v>
      </c>
      <c r="F124" s="20">
        <v>83554.642150468804</v>
      </c>
      <c r="G124" s="20">
        <v>110280.56860929099</v>
      </c>
    </row>
    <row r="125" spans="1:7" ht="11.25" customHeight="1" x14ac:dyDescent="0.2">
      <c r="A125" s="30">
        <v>44593</v>
      </c>
      <c r="B125" s="20">
        <v>78592.965063148789</v>
      </c>
      <c r="C125" s="20">
        <v>0</v>
      </c>
      <c r="D125" s="20">
        <v>103731.84125719531</v>
      </c>
      <c r="E125" s="20">
        <v>0</v>
      </c>
      <c r="F125" s="20">
        <v>78592.965063148789</v>
      </c>
      <c r="G125" s="20">
        <v>103731.84125719531</v>
      </c>
    </row>
    <row r="126" spans="1:7" ht="11.25" customHeight="1" x14ac:dyDescent="0.2">
      <c r="A126" s="30">
        <v>44621</v>
      </c>
      <c r="B126" s="20">
        <v>85762.588454326193</v>
      </c>
      <c r="C126" s="20">
        <v>0</v>
      </c>
      <c r="D126" s="20">
        <v>113194.75228097354</v>
      </c>
      <c r="E126" s="20">
        <v>0</v>
      </c>
      <c r="F126" s="20">
        <v>85762.588454326193</v>
      </c>
      <c r="G126" s="20">
        <v>113194.75228097354</v>
      </c>
    </row>
    <row r="127" spans="1:7" ht="11.25" customHeight="1" x14ac:dyDescent="0.2">
      <c r="A127" s="30">
        <v>44652</v>
      </c>
      <c r="B127" s="20">
        <v>87003.007726156196</v>
      </c>
      <c r="C127" s="20">
        <v>0</v>
      </c>
      <c r="D127" s="20">
        <v>114831.93411899747</v>
      </c>
      <c r="E127" s="20">
        <v>0</v>
      </c>
      <c r="F127" s="20">
        <v>87003.007726156196</v>
      </c>
      <c r="G127" s="20">
        <v>114831.93411899747</v>
      </c>
    </row>
    <row r="128" spans="1:7" ht="11.25" customHeight="1" x14ac:dyDescent="0.2">
      <c r="A128" s="30">
        <v>44682</v>
      </c>
      <c r="B128" s="20">
        <v>88938.06179021101</v>
      </c>
      <c r="C128" s="20">
        <v>0</v>
      </c>
      <c r="D128" s="20">
        <v>117385.93778631478</v>
      </c>
      <c r="E128" s="20">
        <v>0</v>
      </c>
      <c r="F128" s="20">
        <v>88938.06179021101</v>
      </c>
      <c r="G128" s="20">
        <v>117385.93778631478</v>
      </c>
    </row>
    <row r="129" spans="1:7" ht="11.25" customHeight="1" x14ac:dyDescent="0.2">
      <c r="A129" s="30">
        <v>44713</v>
      </c>
      <c r="B129" s="20">
        <v>88739.594706718213</v>
      </c>
      <c r="C129" s="20">
        <v>0</v>
      </c>
      <c r="D129" s="20">
        <v>117123.98869223097</v>
      </c>
      <c r="E129" s="20">
        <v>0</v>
      </c>
      <c r="F129" s="20">
        <v>88739.594706718213</v>
      </c>
      <c r="G129" s="20">
        <v>117123.98869223097</v>
      </c>
    </row>
    <row r="130" spans="1:7" ht="11.25" customHeight="1" x14ac:dyDescent="0.2">
      <c r="A130" s="29" t="s">
        <v>34</v>
      </c>
      <c r="B130" s="20">
        <v>0</v>
      </c>
      <c r="C130" s="20">
        <v>519277.77514937421</v>
      </c>
      <c r="D130" s="20">
        <v>0</v>
      </c>
      <c r="E130" s="20">
        <v>639356.56259496161</v>
      </c>
      <c r="F130" s="20">
        <v>519277.77514937421</v>
      </c>
      <c r="G130" s="20">
        <v>639356.56259496161</v>
      </c>
    </row>
    <row r="131" spans="1:7" ht="11.25" customHeight="1" x14ac:dyDescent="0.2">
      <c r="A131" s="30">
        <v>44378</v>
      </c>
      <c r="B131" s="20">
        <v>0</v>
      </c>
      <c r="C131" s="20">
        <v>37050.722671278796</v>
      </c>
      <c r="D131" s="20">
        <v>0</v>
      </c>
      <c r="E131" s="20">
        <v>45618.402755546027</v>
      </c>
      <c r="F131" s="20">
        <v>37050.722671278796</v>
      </c>
      <c r="G131" s="20">
        <v>45618.402755546027</v>
      </c>
    </row>
    <row r="132" spans="1:7" ht="11.25" customHeight="1" x14ac:dyDescent="0.2">
      <c r="A132" s="30">
        <v>44409</v>
      </c>
      <c r="B132" s="20">
        <v>0</v>
      </c>
      <c r="C132" s="20">
        <v>39952.35008300878</v>
      </c>
      <c r="D132" s="20">
        <v>0</v>
      </c>
      <c r="E132" s="20">
        <v>49191.008048274649</v>
      </c>
      <c r="F132" s="20">
        <v>39952.35008300878</v>
      </c>
      <c r="G132" s="20">
        <v>49191.008048274649</v>
      </c>
    </row>
    <row r="133" spans="1:7" ht="11.25" customHeight="1" x14ac:dyDescent="0.2">
      <c r="A133" s="30">
        <v>44440</v>
      </c>
      <c r="B133" s="20">
        <v>0</v>
      </c>
      <c r="C133" s="20">
        <v>23779.48197636053</v>
      </c>
      <c r="D133" s="20">
        <v>0</v>
      </c>
      <c r="E133" s="20">
        <v>29278.294940162399</v>
      </c>
      <c r="F133" s="20">
        <v>23779.48197636053</v>
      </c>
      <c r="G133" s="20">
        <v>29278.294940162399</v>
      </c>
    </row>
    <row r="134" spans="1:7" ht="11.25" customHeight="1" x14ac:dyDescent="0.2">
      <c r="A134" s="30">
        <v>44470</v>
      </c>
      <c r="B134" s="20">
        <v>0</v>
      </c>
      <c r="C134" s="20">
        <v>24785.730032652391</v>
      </c>
      <c r="D134" s="20">
        <v>0</v>
      </c>
      <c r="E134" s="20">
        <v>30517.229724543573</v>
      </c>
      <c r="F134" s="20">
        <v>24785.730032652391</v>
      </c>
      <c r="G134" s="20">
        <v>30517.229724543573</v>
      </c>
    </row>
    <row r="135" spans="1:7" ht="11.25" customHeight="1" x14ac:dyDescent="0.2">
      <c r="A135" s="30">
        <v>44501</v>
      </c>
      <c r="B135" s="20">
        <v>0</v>
      </c>
      <c r="C135" s="20">
        <v>28343.45029818789</v>
      </c>
      <c r="D135" s="20">
        <v>0</v>
      </c>
      <c r="E135" s="20">
        <v>34897.644039392486</v>
      </c>
      <c r="F135" s="20">
        <v>28343.45029818789</v>
      </c>
      <c r="G135" s="20">
        <v>34897.644039392486</v>
      </c>
    </row>
    <row r="136" spans="1:7" ht="11.25" customHeight="1" x14ac:dyDescent="0.2">
      <c r="A136" s="30">
        <v>44531</v>
      </c>
      <c r="B136" s="20">
        <v>0</v>
      </c>
      <c r="C136" s="20">
        <v>34225.57967237859</v>
      </c>
      <c r="D136" s="20">
        <v>0</v>
      </c>
      <c r="E136" s="20">
        <v>42139.968277782238</v>
      </c>
      <c r="F136" s="20">
        <v>34225.57967237859</v>
      </c>
      <c r="G136" s="20">
        <v>42139.968277782238</v>
      </c>
    </row>
    <row r="137" spans="1:7" ht="11.25" customHeight="1" x14ac:dyDescent="0.2">
      <c r="A137" s="30">
        <v>44562</v>
      </c>
      <c r="B137" s="20">
        <v>0</v>
      </c>
      <c r="C137" s="20">
        <v>35033.446282893201</v>
      </c>
      <c r="D137" s="20">
        <v>0</v>
      </c>
      <c r="E137" s="20">
        <v>43134.647510848365</v>
      </c>
      <c r="F137" s="20">
        <v>35033.446282893201</v>
      </c>
      <c r="G137" s="20">
        <v>43134.647510848365</v>
      </c>
    </row>
    <row r="138" spans="1:7" ht="11.25" customHeight="1" x14ac:dyDescent="0.2">
      <c r="A138" s="30">
        <v>44593</v>
      </c>
      <c r="B138" s="20">
        <v>0</v>
      </c>
      <c r="C138" s="20">
        <v>34656.999563496596</v>
      </c>
      <c r="D138" s="20">
        <v>0</v>
      </c>
      <c r="E138" s="20">
        <v>42671.150530943291</v>
      </c>
      <c r="F138" s="20">
        <v>34656.999563496596</v>
      </c>
      <c r="G138" s="20">
        <v>42671.150530943291</v>
      </c>
    </row>
    <row r="139" spans="1:7" ht="11.25" customHeight="1" x14ac:dyDescent="0.2">
      <c r="A139" s="30">
        <v>44621</v>
      </c>
      <c r="B139" s="20">
        <v>0</v>
      </c>
      <c r="C139" s="20">
        <v>86316.24508526444</v>
      </c>
      <c r="D139" s="20">
        <v>0</v>
      </c>
      <c r="E139" s="20">
        <v>106276.17894477383</v>
      </c>
      <c r="F139" s="20">
        <v>86316.24508526444</v>
      </c>
      <c r="G139" s="20">
        <v>106276.17894477383</v>
      </c>
    </row>
    <row r="140" spans="1:7" ht="11.25" customHeight="1" x14ac:dyDescent="0.2">
      <c r="A140" s="30">
        <v>44652</v>
      </c>
      <c r="B140" s="20">
        <v>0</v>
      </c>
      <c r="C140" s="20">
        <v>50522.734949875252</v>
      </c>
      <c r="D140" s="20">
        <v>0</v>
      </c>
      <c r="E140" s="20">
        <v>62205.708960212367</v>
      </c>
      <c r="F140" s="20">
        <v>50522.734949875252</v>
      </c>
      <c r="G140" s="20">
        <v>62205.708960212367</v>
      </c>
    </row>
    <row r="141" spans="1:7" ht="11.25" customHeight="1" x14ac:dyDescent="0.2">
      <c r="A141" s="30">
        <v>44682</v>
      </c>
      <c r="B141" s="20">
        <v>0</v>
      </c>
      <c r="C141" s="20">
        <v>63771.269334734672</v>
      </c>
      <c r="D141" s="20">
        <v>0</v>
      </c>
      <c r="E141" s="20">
        <v>78517.859814903306</v>
      </c>
      <c r="F141" s="20">
        <v>63771.269334734672</v>
      </c>
      <c r="G141" s="20">
        <v>78517.859814903306</v>
      </c>
    </row>
    <row r="142" spans="1:7" ht="11.25" customHeight="1" x14ac:dyDescent="0.2">
      <c r="A142" s="30">
        <v>44713</v>
      </c>
      <c r="B142" s="20">
        <v>0</v>
      </c>
      <c r="C142" s="20">
        <v>60839.765199243055</v>
      </c>
      <c r="D142" s="20">
        <v>0</v>
      </c>
      <c r="E142" s="20">
        <v>74908.469047579041</v>
      </c>
      <c r="F142" s="20">
        <v>60839.765199243055</v>
      </c>
      <c r="G142" s="20">
        <v>74908.469047579041</v>
      </c>
    </row>
    <row r="143" spans="1:7" ht="11.25" customHeight="1" x14ac:dyDescent="0.2">
      <c r="A143" s="22" t="s">
        <v>775</v>
      </c>
      <c r="B143" s="20">
        <v>0</v>
      </c>
      <c r="C143" s="20">
        <v>169041.41397874407</v>
      </c>
      <c r="D143" s="20">
        <v>0</v>
      </c>
      <c r="E143" s="20">
        <v>182927.92380932628</v>
      </c>
      <c r="F143" s="20">
        <v>169041.41397874407</v>
      </c>
      <c r="G143" s="20">
        <v>182927.92380932628</v>
      </c>
    </row>
    <row r="144" spans="1:7" ht="11.25" customHeight="1" x14ac:dyDescent="0.2">
      <c r="A144" s="23" t="s">
        <v>39</v>
      </c>
      <c r="B144" s="20">
        <v>0</v>
      </c>
      <c r="C144" s="20">
        <v>169041.41397874407</v>
      </c>
      <c r="D144" s="20">
        <v>0</v>
      </c>
      <c r="E144" s="20">
        <v>182927.92380932628</v>
      </c>
      <c r="F144" s="20">
        <v>169041.41397874407</v>
      </c>
      <c r="G144" s="20">
        <v>182927.92380932628</v>
      </c>
    </row>
    <row r="145" spans="1:7" ht="11.25" customHeight="1" x14ac:dyDescent="0.2">
      <c r="A145" s="24" t="s">
        <v>56</v>
      </c>
      <c r="B145" s="20">
        <v>0</v>
      </c>
      <c r="C145" s="20">
        <v>169041.41397874407</v>
      </c>
      <c r="D145" s="20">
        <v>0</v>
      </c>
      <c r="E145" s="20">
        <v>182927.92380932628</v>
      </c>
      <c r="F145" s="20">
        <v>169041.41397874407</v>
      </c>
      <c r="G145" s="20">
        <v>182927.92380932628</v>
      </c>
    </row>
    <row r="146" spans="1:7" ht="11.25" customHeight="1" x14ac:dyDescent="0.2">
      <c r="A146" s="25" t="s">
        <v>25</v>
      </c>
      <c r="B146" s="20">
        <v>0</v>
      </c>
      <c r="C146" s="20">
        <v>169041.41397874407</v>
      </c>
      <c r="D146" s="20">
        <v>0</v>
      </c>
      <c r="E146" s="20">
        <v>182927.92380932628</v>
      </c>
      <c r="F146" s="20">
        <v>169041.41397874407</v>
      </c>
      <c r="G146" s="20">
        <v>182927.92380932628</v>
      </c>
    </row>
    <row r="147" spans="1:7" ht="11.25" customHeight="1" x14ac:dyDescent="0.2">
      <c r="A147" s="26" t="s">
        <v>25</v>
      </c>
      <c r="B147" s="20">
        <v>0</v>
      </c>
      <c r="C147" s="20">
        <v>169041.41397874407</v>
      </c>
      <c r="D147" s="20">
        <v>0</v>
      </c>
      <c r="E147" s="20">
        <v>182927.92380932628</v>
      </c>
      <c r="F147" s="20">
        <v>169041.41397874407</v>
      </c>
      <c r="G147" s="20">
        <v>182927.92380932628</v>
      </c>
    </row>
    <row r="148" spans="1:7" ht="11.25" customHeight="1" x14ac:dyDescent="0.2">
      <c r="A148" s="27" t="s">
        <v>57</v>
      </c>
      <c r="B148" s="20">
        <v>0</v>
      </c>
      <c r="C148" s="20">
        <v>169041.41397874407</v>
      </c>
      <c r="D148" s="20">
        <v>0</v>
      </c>
      <c r="E148" s="20">
        <v>182927.92380932628</v>
      </c>
      <c r="F148" s="20">
        <v>169041.41397874407</v>
      </c>
      <c r="G148" s="20">
        <v>182927.92380932628</v>
      </c>
    </row>
    <row r="149" spans="1:7" ht="11.25" customHeight="1" x14ac:dyDescent="0.2">
      <c r="A149" s="28" t="s">
        <v>58</v>
      </c>
      <c r="B149" s="20">
        <v>0</v>
      </c>
      <c r="C149" s="20">
        <v>169041.41397874407</v>
      </c>
      <c r="D149" s="20">
        <v>0</v>
      </c>
      <c r="E149" s="20">
        <v>182927.92380932628</v>
      </c>
      <c r="F149" s="20">
        <v>169041.41397874407</v>
      </c>
      <c r="G149" s="20">
        <v>182927.92380932628</v>
      </c>
    </row>
    <row r="150" spans="1:7" ht="11.25" customHeight="1" x14ac:dyDescent="0.2">
      <c r="A150" s="29" t="s">
        <v>35</v>
      </c>
      <c r="B150" s="20">
        <v>0</v>
      </c>
      <c r="C150" s="20">
        <v>0</v>
      </c>
      <c r="D150" s="20">
        <v>0</v>
      </c>
      <c r="E150" s="20">
        <v>0</v>
      </c>
      <c r="F150" s="20">
        <v>0</v>
      </c>
      <c r="G150" s="20">
        <v>0</v>
      </c>
    </row>
    <row r="151" spans="1:7" ht="11.25" customHeight="1" x14ac:dyDescent="0.2">
      <c r="A151" s="30">
        <v>44378</v>
      </c>
      <c r="B151" s="20">
        <v>0</v>
      </c>
      <c r="C151" s="20">
        <v>0</v>
      </c>
      <c r="D151" s="20">
        <v>0</v>
      </c>
      <c r="E151" s="20">
        <v>0</v>
      </c>
      <c r="F151" s="20">
        <v>0</v>
      </c>
      <c r="G151" s="20">
        <v>0</v>
      </c>
    </row>
    <row r="152" spans="1:7" ht="11.25" customHeight="1" x14ac:dyDescent="0.2">
      <c r="A152" s="30">
        <v>44409</v>
      </c>
      <c r="B152" s="20">
        <v>0</v>
      </c>
      <c r="C152" s="20">
        <v>0</v>
      </c>
      <c r="D152" s="20">
        <v>0</v>
      </c>
      <c r="E152" s="20">
        <v>0</v>
      </c>
      <c r="F152" s="20">
        <v>0</v>
      </c>
      <c r="G152" s="20">
        <v>0</v>
      </c>
    </row>
    <row r="153" spans="1:7" ht="11.25" customHeight="1" x14ac:dyDescent="0.2">
      <c r="A153" s="30">
        <v>44440</v>
      </c>
      <c r="B153" s="20">
        <v>0</v>
      </c>
      <c r="C153" s="20">
        <v>0</v>
      </c>
      <c r="D153" s="20">
        <v>0</v>
      </c>
      <c r="E153" s="20">
        <v>0</v>
      </c>
      <c r="F153" s="20">
        <v>0</v>
      </c>
      <c r="G153" s="20">
        <v>0</v>
      </c>
    </row>
    <row r="154" spans="1:7" ht="11.25" customHeight="1" x14ac:dyDescent="0.2">
      <c r="A154" s="30">
        <v>44470</v>
      </c>
      <c r="B154" s="20">
        <v>0</v>
      </c>
      <c r="C154" s="20">
        <v>0</v>
      </c>
      <c r="D154" s="20">
        <v>0</v>
      </c>
      <c r="E154" s="20">
        <v>0</v>
      </c>
      <c r="F154" s="20">
        <v>0</v>
      </c>
      <c r="G154" s="20">
        <v>0</v>
      </c>
    </row>
    <row r="155" spans="1:7" ht="11.25" customHeight="1" x14ac:dyDescent="0.2">
      <c r="A155" s="30">
        <v>44501</v>
      </c>
      <c r="B155" s="20">
        <v>0</v>
      </c>
      <c r="C155" s="20">
        <v>0</v>
      </c>
      <c r="D155" s="20">
        <v>0</v>
      </c>
      <c r="E155" s="20">
        <v>0</v>
      </c>
      <c r="F155" s="20">
        <v>0</v>
      </c>
      <c r="G155" s="20">
        <v>0</v>
      </c>
    </row>
    <row r="156" spans="1:7" ht="11.25" customHeight="1" x14ac:dyDescent="0.2">
      <c r="A156" s="30">
        <v>44531</v>
      </c>
      <c r="B156" s="20">
        <v>0</v>
      </c>
      <c r="C156" s="20">
        <v>0</v>
      </c>
      <c r="D156" s="20">
        <v>0</v>
      </c>
      <c r="E156" s="20">
        <v>0</v>
      </c>
      <c r="F156" s="20">
        <v>0</v>
      </c>
      <c r="G156" s="20">
        <v>0</v>
      </c>
    </row>
    <row r="157" spans="1:7" ht="11.25" customHeight="1" x14ac:dyDescent="0.2">
      <c r="A157" s="30">
        <v>44562</v>
      </c>
      <c r="B157" s="20">
        <v>0</v>
      </c>
      <c r="C157" s="20">
        <v>0</v>
      </c>
      <c r="D157" s="20">
        <v>0</v>
      </c>
      <c r="E157" s="20">
        <v>0</v>
      </c>
      <c r="F157" s="20">
        <v>0</v>
      </c>
      <c r="G157" s="20">
        <v>0</v>
      </c>
    </row>
    <row r="158" spans="1:7" ht="11.25" customHeight="1" x14ac:dyDescent="0.2">
      <c r="A158" s="30">
        <v>44593</v>
      </c>
      <c r="B158" s="20">
        <v>0</v>
      </c>
      <c r="C158" s="20">
        <v>0</v>
      </c>
      <c r="D158" s="20">
        <v>0</v>
      </c>
      <c r="E158" s="20">
        <v>0</v>
      </c>
      <c r="F158" s="20">
        <v>0</v>
      </c>
      <c r="G158" s="20">
        <v>0</v>
      </c>
    </row>
    <row r="159" spans="1:7" ht="11.25" customHeight="1" x14ac:dyDescent="0.2">
      <c r="A159" s="30">
        <v>44621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</row>
    <row r="160" spans="1:7" ht="11.25" customHeight="1" x14ac:dyDescent="0.2">
      <c r="A160" s="30">
        <v>44652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</row>
    <row r="161" spans="1:7" ht="11.25" customHeight="1" x14ac:dyDescent="0.2">
      <c r="A161" s="30">
        <v>44682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</row>
    <row r="162" spans="1:7" ht="11.25" customHeight="1" x14ac:dyDescent="0.2">
      <c r="A162" s="30">
        <v>44713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</row>
    <row r="163" spans="1:7" ht="11.25" customHeight="1" x14ac:dyDescent="0.2">
      <c r="A163" s="29" t="s">
        <v>25</v>
      </c>
      <c r="B163" s="20">
        <v>0</v>
      </c>
      <c r="C163" s="20">
        <v>169041.41397874407</v>
      </c>
      <c r="D163" s="20">
        <v>0</v>
      </c>
      <c r="E163" s="20">
        <v>182927.92380932628</v>
      </c>
      <c r="F163" s="20">
        <v>169041.41397874407</v>
      </c>
      <c r="G163" s="20">
        <v>182927.92380932628</v>
      </c>
    </row>
    <row r="164" spans="1:7" ht="11.25" customHeight="1" x14ac:dyDescent="0.2">
      <c r="A164" s="30">
        <v>44378</v>
      </c>
      <c r="B164" s="20">
        <v>0</v>
      </c>
      <c r="C164" s="20">
        <v>10538.909937328008</v>
      </c>
      <c r="D164" s="20">
        <v>0</v>
      </c>
      <c r="E164" s="20">
        <v>11404.666280721636</v>
      </c>
      <c r="F164" s="20">
        <v>10538.909937328008</v>
      </c>
      <c r="G164" s="20">
        <v>11404.666280721636</v>
      </c>
    </row>
    <row r="165" spans="1:7" ht="11.25" customHeight="1" x14ac:dyDescent="0.2">
      <c r="A165" s="30">
        <v>44409</v>
      </c>
      <c r="B165" s="20">
        <v>0</v>
      </c>
      <c r="C165" s="20">
        <v>11371.045843144007</v>
      </c>
      <c r="D165" s="20">
        <v>0</v>
      </c>
      <c r="E165" s="20">
        <v>12305.16095829961</v>
      </c>
      <c r="F165" s="20">
        <v>11371.045843144007</v>
      </c>
      <c r="G165" s="20">
        <v>12305.16095829961</v>
      </c>
    </row>
    <row r="166" spans="1:7" ht="11.25" customHeight="1" x14ac:dyDescent="0.2">
      <c r="A166" s="30">
        <v>44440</v>
      </c>
      <c r="B166" s="20">
        <v>0</v>
      </c>
      <c r="C166" s="20">
        <v>10357.830068847999</v>
      </c>
      <c r="D166" s="20">
        <v>0</v>
      </c>
      <c r="E166" s="20">
        <v>11208.710960631382</v>
      </c>
      <c r="F166" s="20">
        <v>10357.830068847999</v>
      </c>
      <c r="G166" s="20">
        <v>11208.710960631382</v>
      </c>
    </row>
    <row r="167" spans="1:7" ht="11.25" customHeight="1" x14ac:dyDescent="0.2">
      <c r="A167" s="30">
        <v>44470</v>
      </c>
      <c r="B167" s="20">
        <v>0</v>
      </c>
      <c r="C167" s="20">
        <v>10587.72143248801</v>
      </c>
      <c r="D167" s="20">
        <v>0</v>
      </c>
      <c r="E167" s="20">
        <v>11457.487570235759</v>
      </c>
      <c r="F167" s="20">
        <v>10587.72143248801</v>
      </c>
      <c r="G167" s="20">
        <v>11457.487570235759</v>
      </c>
    </row>
    <row r="168" spans="1:7" ht="11.25" customHeight="1" x14ac:dyDescent="0.2">
      <c r="A168" s="30">
        <v>44501</v>
      </c>
      <c r="B168" s="20">
        <v>0</v>
      </c>
      <c r="C168" s="20">
        <v>15118.506039696011</v>
      </c>
      <c r="D168" s="20">
        <v>0</v>
      </c>
      <c r="E168" s="20">
        <v>16360.469637861099</v>
      </c>
      <c r="F168" s="20">
        <v>15118.506039696011</v>
      </c>
      <c r="G168" s="20">
        <v>16360.469637861099</v>
      </c>
    </row>
    <row r="169" spans="1:7" ht="11.25" customHeight="1" x14ac:dyDescent="0.2">
      <c r="A169" s="30">
        <v>44531</v>
      </c>
      <c r="B169" s="20">
        <v>0</v>
      </c>
      <c r="C169" s="20">
        <v>20996.426321528004</v>
      </c>
      <c r="D169" s="20">
        <v>0</v>
      </c>
      <c r="E169" s="20">
        <v>22721.252644606775</v>
      </c>
      <c r="F169" s="20">
        <v>20996.426321528004</v>
      </c>
      <c r="G169" s="20">
        <v>22721.252644606775</v>
      </c>
    </row>
    <row r="170" spans="1:7" ht="11.25" customHeight="1" x14ac:dyDescent="0.2">
      <c r="A170" s="30">
        <v>44562</v>
      </c>
      <c r="B170" s="20">
        <v>0</v>
      </c>
      <c r="C170" s="20">
        <v>21840.44944320001</v>
      </c>
      <c r="D170" s="20">
        <v>0</v>
      </c>
      <c r="E170" s="20">
        <v>23634.611055782516</v>
      </c>
      <c r="F170" s="20">
        <v>21840.44944320001</v>
      </c>
      <c r="G170" s="20">
        <v>23634.611055782516</v>
      </c>
    </row>
    <row r="171" spans="1:7" ht="11.25" customHeight="1" x14ac:dyDescent="0.2">
      <c r="A171" s="30">
        <v>44593</v>
      </c>
      <c r="B171" s="20">
        <v>0</v>
      </c>
      <c r="C171" s="20">
        <v>15361.239291968002</v>
      </c>
      <c r="D171" s="20">
        <v>0</v>
      </c>
      <c r="E171" s="20">
        <v>16623.143078839203</v>
      </c>
      <c r="F171" s="20">
        <v>15361.239291968002</v>
      </c>
      <c r="G171" s="20">
        <v>16623.143078839203</v>
      </c>
    </row>
    <row r="172" spans="1:7" ht="11.25" customHeight="1" x14ac:dyDescent="0.2">
      <c r="A172" s="30">
        <v>44621</v>
      </c>
      <c r="B172" s="20">
        <v>0</v>
      </c>
      <c r="C172" s="20">
        <v>14446.539588976008</v>
      </c>
      <c r="D172" s="20">
        <v>0</v>
      </c>
      <c r="E172" s="20">
        <v>15633.302106505802</v>
      </c>
      <c r="F172" s="20">
        <v>14446.539588976008</v>
      </c>
      <c r="G172" s="20">
        <v>15633.302106505802</v>
      </c>
    </row>
    <row r="173" spans="1:7" ht="11.25" customHeight="1" x14ac:dyDescent="0.2">
      <c r="A173" s="30">
        <v>44652</v>
      </c>
      <c r="B173" s="20">
        <v>0</v>
      </c>
      <c r="C173" s="20">
        <v>13700.016274040012</v>
      </c>
      <c r="D173" s="20">
        <v>0</v>
      </c>
      <c r="E173" s="20">
        <v>14825.452971419478</v>
      </c>
      <c r="F173" s="20">
        <v>13700.016274040012</v>
      </c>
      <c r="G173" s="20">
        <v>14825.452971419478</v>
      </c>
    </row>
    <row r="174" spans="1:7" ht="11.25" customHeight="1" x14ac:dyDescent="0.2">
      <c r="A174" s="30">
        <v>44682</v>
      </c>
      <c r="B174" s="20">
        <v>0</v>
      </c>
      <c r="C174" s="20">
        <v>12270.008843280004</v>
      </c>
      <c r="D174" s="20">
        <v>0</v>
      </c>
      <c r="E174" s="20">
        <v>13277.972480196599</v>
      </c>
      <c r="F174" s="20">
        <v>12270.008843280004</v>
      </c>
      <c r="G174" s="20">
        <v>13277.972480196599</v>
      </c>
    </row>
    <row r="175" spans="1:7" ht="11.25" customHeight="1" x14ac:dyDescent="0.2">
      <c r="A175" s="30">
        <v>44713</v>
      </c>
      <c r="B175" s="20">
        <v>0</v>
      </c>
      <c r="C175" s="20">
        <v>12452.720894248007</v>
      </c>
      <c r="D175" s="20">
        <v>0</v>
      </c>
      <c r="E175" s="20">
        <v>13475.694064226434</v>
      </c>
      <c r="F175" s="20">
        <v>12452.720894248007</v>
      </c>
      <c r="G175" s="20">
        <v>13475.694064226434</v>
      </c>
    </row>
    <row r="176" spans="1:7" ht="11.25" customHeight="1" x14ac:dyDescent="0.2">
      <c r="A176" s="29" t="s">
        <v>34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</row>
    <row r="177" spans="1:7" ht="11.25" customHeight="1" x14ac:dyDescent="0.2">
      <c r="A177" s="30">
        <v>44378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</row>
    <row r="178" spans="1:7" ht="11.25" customHeight="1" x14ac:dyDescent="0.2">
      <c r="A178" s="30">
        <v>44409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</row>
    <row r="179" spans="1:7" ht="11.25" customHeight="1" x14ac:dyDescent="0.2">
      <c r="A179" s="30">
        <v>44440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</row>
    <row r="180" spans="1:7" ht="11.25" customHeight="1" x14ac:dyDescent="0.2">
      <c r="A180" s="30">
        <v>44470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</row>
    <row r="181" spans="1:7" ht="11.25" customHeight="1" x14ac:dyDescent="0.2">
      <c r="A181" s="30">
        <v>44501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</row>
    <row r="182" spans="1:7" ht="11.25" customHeight="1" x14ac:dyDescent="0.2">
      <c r="A182" s="30">
        <v>44531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</row>
    <row r="183" spans="1:7" ht="11.25" customHeight="1" x14ac:dyDescent="0.2">
      <c r="A183" s="30">
        <v>44562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</row>
    <row r="184" spans="1:7" ht="11.25" customHeight="1" x14ac:dyDescent="0.2">
      <c r="A184" s="30">
        <v>44593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</row>
    <row r="185" spans="1:7" ht="11.25" customHeight="1" x14ac:dyDescent="0.2">
      <c r="A185" s="30">
        <v>44621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</row>
    <row r="186" spans="1:7" ht="11.25" customHeight="1" x14ac:dyDescent="0.2">
      <c r="A186" s="30">
        <v>44652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</row>
    <row r="187" spans="1:7" ht="11.25" customHeight="1" x14ac:dyDescent="0.2">
      <c r="A187" s="30">
        <v>44682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</row>
    <row r="188" spans="1:7" ht="11.25" customHeight="1" x14ac:dyDescent="0.2">
      <c r="A188" s="30">
        <v>44713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</row>
    <row r="189" spans="1:7" ht="11.25" customHeight="1" x14ac:dyDescent="0.2">
      <c r="A189" s="22" t="s">
        <v>779</v>
      </c>
      <c r="B189" s="20">
        <v>0</v>
      </c>
      <c r="C189" s="20">
        <v>28251.975605999996</v>
      </c>
      <c r="D189" s="20">
        <v>0</v>
      </c>
      <c r="E189" s="20">
        <v>31986.273025834806</v>
      </c>
      <c r="F189" s="20">
        <v>28251.975605999996</v>
      </c>
      <c r="G189" s="20">
        <v>31986.273025834806</v>
      </c>
    </row>
    <row r="190" spans="1:7" ht="11.25" customHeight="1" x14ac:dyDescent="0.2">
      <c r="A190" s="23" t="s">
        <v>42</v>
      </c>
      <c r="B190" s="20">
        <v>0</v>
      </c>
      <c r="C190" s="20">
        <v>28251.975605999996</v>
      </c>
      <c r="D190" s="20">
        <v>0</v>
      </c>
      <c r="E190" s="20">
        <v>31986.273025834806</v>
      </c>
      <c r="F190" s="20">
        <v>28251.975605999996</v>
      </c>
      <c r="G190" s="20">
        <v>31986.273025834806</v>
      </c>
    </row>
    <row r="191" spans="1:7" ht="11.25" customHeight="1" x14ac:dyDescent="0.2">
      <c r="A191" s="24" t="s">
        <v>23</v>
      </c>
      <c r="B191" s="20">
        <v>0</v>
      </c>
      <c r="C191" s="20">
        <v>28251.975605999996</v>
      </c>
      <c r="D191" s="20">
        <v>0</v>
      </c>
      <c r="E191" s="20">
        <v>31986.273025834806</v>
      </c>
      <c r="F191" s="20">
        <v>28251.975605999996</v>
      </c>
      <c r="G191" s="20">
        <v>31986.273025834806</v>
      </c>
    </row>
    <row r="192" spans="1:7" ht="11.25" customHeight="1" x14ac:dyDescent="0.2">
      <c r="A192" s="25" t="s">
        <v>43</v>
      </c>
      <c r="B192" s="20">
        <v>0</v>
      </c>
      <c r="C192" s="20">
        <v>28251.975605999996</v>
      </c>
      <c r="D192" s="20">
        <v>0</v>
      </c>
      <c r="E192" s="20">
        <v>31986.273025834806</v>
      </c>
      <c r="F192" s="20">
        <v>28251.975605999996</v>
      </c>
      <c r="G192" s="20">
        <v>31986.273025834806</v>
      </c>
    </row>
    <row r="193" spans="1:7" ht="11.25" customHeight="1" x14ac:dyDescent="0.2">
      <c r="A193" s="26" t="s">
        <v>51</v>
      </c>
      <c r="B193" s="20">
        <v>0</v>
      </c>
      <c r="C193" s="20">
        <v>28251.975605999996</v>
      </c>
      <c r="D193" s="20">
        <v>0</v>
      </c>
      <c r="E193" s="20">
        <v>31986.273025834806</v>
      </c>
      <c r="F193" s="20">
        <v>28251.975605999996</v>
      </c>
      <c r="G193" s="20">
        <v>31986.273025834806</v>
      </c>
    </row>
    <row r="194" spans="1:7" ht="11.25" customHeight="1" x14ac:dyDescent="0.2">
      <c r="A194" s="27" t="s">
        <v>53</v>
      </c>
      <c r="B194" s="20">
        <v>0</v>
      </c>
      <c r="C194" s="20">
        <v>28251.975605999996</v>
      </c>
      <c r="D194" s="20">
        <v>0</v>
      </c>
      <c r="E194" s="20">
        <v>31986.273025834806</v>
      </c>
      <c r="F194" s="20">
        <v>28251.975605999996</v>
      </c>
      <c r="G194" s="20">
        <v>31986.273025834806</v>
      </c>
    </row>
    <row r="195" spans="1:7" ht="11.25" customHeight="1" x14ac:dyDescent="0.2">
      <c r="A195" s="28" t="s">
        <v>25</v>
      </c>
      <c r="B195" s="20">
        <v>0</v>
      </c>
      <c r="C195" s="20">
        <v>28251.975605999996</v>
      </c>
      <c r="D195" s="20">
        <v>0</v>
      </c>
      <c r="E195" s="20">
        <v>31986.273025834806</v>
      </c>
      <c r="F195" s="20">
        <v>28251.975605999996</v>
      </c>
      <c r="G195" s="20">
        <v>31986.273025834806</v>
      </c>
    </row>
    <row r="196" spans="1:7" ht="11.25" customHeight="1" x14ac:dyDescent="0.2">
      <c r="A196" s="29" t="s">
        <v>25</v>
      </c>
      <c r="B196" s="20">
        <v>0</v>
      </c>
      <c r="C196" s="20">
        <v>28251.975605999996</v>
      </c>
      <c r="D196" s="20">
        <v>0</v>
      </c>
      <c r="E196" s="20">
        <v>31986.273025834806</v>
      </c>
      <c r="F196" s="20">
        <v>28251.975605999996</v>
      </c>
      <c r="G196" s="20">
        <v>31986.273025834806</v>
      </c>
    </row>
    <row r="197" spans="1:7" ht="11.25" customHeight="1" x14ac:dyDescent="0.2">
      <c r="A197" s="30">
        <v>44378</v>
      </c>
      <c r="B197" s="20">
        <v>0</v>
      </c>
      <c r="C197" s="20">
        <v>322.94026199999996</v>
      </c>
      <c r="D197" s="20">
        <v>0</v>
      </c>
      <c r="E197" s="20">
        <v>365.62594897515305</v>
      </c>
      <c r="F197" s="20">
        <v>322.94026199999996</v>
      </c>
      <c r="G197" s="20">
        <v>365.62594897515305</v>
      </c>
    </row>
    <row r="198" spans="1:7" ht="11.25" customHeight="1" x14ac:dyDescent="0.2">
      <c r="A198" s="30">
        <v>44409</v>
      </c>
      <c r="B198" s="20">
        <v>0</v>
      </c>
      <c r="C198" s="20">
        <v>667.85458799999981</v>
      </c>
      <c r="D198" s="20">
        <v>0</v>
      </c>
      <c r="E198" s="20">
        <v>756.13045583925941</v>
      </c>
      <c r="F198" s="20">
        <v>667.85458799999981</v>
      </c>
      <c r="G198" s="20">
        <v>756.13045583925941</v>
      </c>
    </row>
    <row r="199" spans="1:7" ht="11.25" customHeight="1" x14ac:dyDescent="0.2">
      <c r="A199" s="30">
        <v>44440</v>
      </c>
      <c r="B199" s="20">
        <v>0</v>
      </c>
      <c r="C199" s="20">
        <v>484.2141959999999</v>
      </c>
      <c r="D199" s="20">
        <v>0</v>
      </c>
      <c r="E199" s="20">
        <v>548.21679348157818</v>
      </c>
      <c r="F199" s="20">
        <v>484.2141959999999</v>
      </c>
      <c r="G199" s="20">
        <v>548.21679348157818</v>
      </c>
    </row>
    <row r="200" spans="1:7" ht="11.25" customHeight="1" x14ac:dyDescent="0.2">
      <c r="A200" s="30">
        <v>44470</v>
      </c>
      <c r="B200" s="20">
        <v>0</v>
      </c>
      <c r="C200" s="20">
        <v>975.09908999999971</v>
      </c>
      <c r="D200" s="20">
        <v>0</v>
      </c>
      <c r="E200" s="20">
        <v>1103.986006322303</v>
      </c>
      <c r="F200" s="20">
        <v>975.09908999999971</v>
      </c>
      <c r="G200" s="20">
        <v>1103.986006322303</v>
      </c>
    </row>
    <row r="201" spans="1:7" ht="11.25" customHeight="1" x14ac:dyDescent="0.2">
      <c r="A201" s="30">
        <v>44501</v>
      </c>
      <c r="B201" s="20">
        <v>0</v>
      </c>
      <c r="C201" s="20">
        <v>4886.090087999999</v>
      </c>
      <c r="D201" s="20">
        <v>0</v>
      </c>
      <c r="E201" s="20">
        <v>5531.9250505936889</v>
      </c>
      <c r="F201" s="20">
        <v>4886.090087999999</v>
      </c>
      <c r="G201" s="20">
        <v>5531.9250505936889</v>
      </c>
    </row>
    <row r="202" spans="1:7" ht="11.25" customHeight="1" x14ac:dyDescent="0.2">
      <c r="A202" s="30">
        <v>44531</v>
      </c>
      <c r="B202" s="20">
        <v>0</v>
      </c>
      <c r="C202" s="20">
        <v>6912.0203099999981</v>
      </c>
      <c r="D202" s="20">
        <v>0</v>
      </c>
      <c r="E202" s="20">
        <v>7825.6392359627234</v>
      </c>
      <c r="F202" s="20">
        <v>6912.0203099999981</v>
      </c>
      <c r="G202" s="20">
        <v>7825.6392359627234</v>
      </c>
    </row>
    <row r="203" spans="1:7" ht="11.25" customHeight="1" x14ac:dyDescent="0.2">
      <c r="A203" s="30">
        <v>44562</v>
      </c>
      <c r="B203" s="20">
        <v>0</v>
      </c>
      <c r="C203" s="20">
        <v>7828.6526939999994</v>
      </c>
      <c r="D203" s="20">
        <v>0</v>
      </c>
      <c r="E203" s="20">
        <v>8863.4305079019196</v>
      </c>
      <c r="F203" s="20">
        <v>7828.6526939999994</v>
      </c>
      <c r="G203" s="20">
        <v>8863.4305079019196</v>
      </c>
    </row>
    <row r="204" spans="1:7" ht="11.25" customHeight="1" x14ac:dyDescent="0.2">
      <c r="A204" s="30">
        <v>44593</v>
      </c>
      <c r="B204" s="20">
        <v>0</v>
      </c>
      <c r="C204" s="20">
        <v>5376.9749819999988</v>
      </c>
      <c r="D204" s="20">
        <v>0</v>
      </c>
      <c r="E204" s="20">
        <v>6087.6942634344132</v>
      </c>
      <c r="F204" s="20">
        <v>5376.9749819999988</v>
      </c>
      <c r="G204" s="20">
        <v>6087.6942634344132</v>
      </c>
    </row>
    <row r="205" spans="1:7" ht="11.25" customHeight="1" x14ac:dyDescent="0.2">
      <c r="A205" s="30">
        <v>44621</v>
      </c>
      <c r="B205" s="20">
        <v>0</v>
      </c>
      <c r="C205" s="20">
        <v>592.51493999999991</v>
      </c>
      <c r="D205" s="20">
        <v>0</v>
      </c>
      <c r="E205" s="20">
        <v>670.83254307713389</v>
      </c>
      <c r="F205" s="20">
        <v>592.51493999999991</v>
      </c>
      <c r="G205" s="20">
        <v>670.83254307713389</v>
      </c>
    </row>
    <row r="206" spans="1:7" ht="11.25" customHeight="1" x14ac:dyDescent="0.2">
      <c r="A206" s="30">
        <v>44652</v>
      </c>
      <c r="B206" s="20">
        <v>0</v>
      </c>
      <c r="C206" s="20">
        <v>145.97056799999996</v>
      </c>
      <c r="D206" s="20">
        <v>0</v>
      </c>
      <c r="E206" s="20">
        <v>165.26470597661842</v>
      </c>
      <c r="F206" s="20">
        <v>145.97056799999996</v>
      </c>
      <c r="G206" s="20">
        <v>165.26470597661842</v>
      </c>
    </row>
    <row r="207" spans="1:7" ht="11.25" customHeight="1" x14ac:dyDescent="0.2">
      <c r="A207" s="30">
        <v>44682</v>
      </c>
      <c r="B207" s="20">
        <v>0</v>
      </c>
      <c r="C207" s="20">
        <v>59.64388799999999</v>
      </c>
      <c r="D207" s="20">
        <v>0</v>
      </c>
      <c r="E207" s="20">
        <v>67.527514270016127</v>
      </c>
      <c r="F207" s="20">
        <v>59.64388799999999</v>
      </c>
      <c r="G207" s="20">
        <v>67.527514270016127</v>
      </c>
    </row>
    <row r="208" spans="1:7" ht="11.25" customHeight="1" x14ac:dyDescent="0.2">
      <c r="A208" s="22" t="s">
        <v>777</v>
      </c>
      <c r="B208" s="20">
        <v>1542.2380000000016</v>
      </c>
      <c r="C208" s="20">
        <v>1354938.2280732158</v>
      </c>
      <c r="D208" s="20">
        <v>2035.5408053160047</v>
      </c>
      <c r="E208" s="20">
        <v>797744.94903207209</v>
      </c>
      <c r="F208" s="20">
        <v>1356480.4660732162</v>
      </c>
      <c r="G208" s="20">
        <v>799780.48983738804</v>
      </c>
    </row>
    <row r="209" spans="1:7" ht="11.25" customHeight="1" x14ac:dyDescent="0.2">
      <c r="A209" s="23" t="s">
        <v>39</v>
      </c>
      <c r="B209" s="20">
        <v>1542.2380000000016</v>
      </c>
      <c r="C209" s="20">
        <v>1929.2573896000013</v>
      </c>
      <c r="D209" s="20">
        <v>2035.5408053160047</v>
      </c>
      <c r="E209" s="20">
        <v>2227.8222995438587</v>
      </c>
      <c r="F209" s="20">
        <v>3471.4953896000029</v>
      </c>
      <c r="G209" s="20">
        <v>4263.3631048598636</v>
      </c>
    </row>
    <row r="210" spans="1:7" ht="11.25" customHeight="1" x14ac:dyDescent="0.2">
      <c r="A210" s="24" t="s">
        <v>40</v>
      </c>
      <c r="B210" s="20">
        <v>1542.2380000000016</v>
      </c>
      <c r="C210" s="20">
        <v>1929.2573896000013</v>
      </c>
      <c r="D210" s="20">
        <v>2035.5408053160047</v>
      </c>
      <c r="E210" s="20">
        <v>2227.8222995438587</v>
      </c>
      <c r="F210" s="20">
        <v>3471.4953896000029</v>
      </c>
      <c r="G210" s="20">
        <v>4263.3631048598636</v>
      </c>
    </row>
    <row r="211" spans="1:7" ht="11.25" customHeight="1" x14ac:dyDescent="0.2">
      <c r="A211" s="25" t="s">
        <v>43</v>
      </c>
      <c r="B211" s="20">
        <v>1542.2380000000016</v>
      </c>
      <c r="C211" s="20">
        <v>1929.2573896000013</v>
      </c>
      <c r="D211" s="20">
        <v>2035.5408053160047</v>
      </c>
      <c r="E211" s="20">
        <v>2227.8222995438587</v>
      </c>
      <c r="F211" s="20">
        <v>3471.4953896000029</v>
      </c>
      <c r="G211" s="20">
        <v>4263.3631048598636</v>
      </c>
    </row>
    <row r="212" spans="1:7" ht="11.25" customHeight="1" x14ac:dyDescent="0.2">
      <c r="A212" s="26" t="s">
        <v>25</v>
      </c>
      <c r="B212" s="20">
        <v>1542.2380000000016</v>
      </c>
      <c r="C212" s="20">
        <v>1929.2573896000013</v>
      </c>
      <c r="D212" s="20">
        <v>2035.5408053160047</v>
      </c>
      <c r="E212" s="20">
        <v>2227.8222995438587</v>
      </c>
      <c r="F212" s="20">
        <v>3471.4953896000029</v>
      </c>
      <c r="G212" s="20">
        <v>4263.3631048598636</v>
      </c>
    </row>
    <row r="213" spans="1:7" ht="11.25" customHeight="1" x14ac:dyDescent="0.2">
      <c r="A213" s="27" t="s">
        <v>25</v>
      </c>
      <c r="B213" s="20">
        <v>1542.2380000000016</v>
      </c>
      <c r="C213" s="20">
        <v>1929.2573896000013</v>
      </c>
      <c r="D213" s="20">
        <v>2035.5408053160047</v>
      </c>
      <c r="E213" s="20">
        <v>2227.8222995438587</v>
      </c>
      <c r="F213" s="20">
        <v>3471.4953896000029</v>
      </c>
      <c r="G213" s="20">
        <v>4263.3631048598636</v>
      </c>
    </row>
    <row r="214" spans="1:7" ht="11.25" customHeight="1" x14ac:dyDescent="0.2">
      <c r="A214" s="28" t="s">
        <v>25</v>
      </c>
      <c r="B214" s="20">
        <v>1542.2380000000016</v>
      </c>
      <c r="C214" s="20">
        <v>1929.2573896000013</v>
      </c>
      <c r="D214" s="20">
        <v>2035.5408053160047</v>
      </c>
      <c r="E214" s="20">
        <v>2227.8222995438587</v>
      </c>
      <c r="F214" s="20">
        <v>3471.4953896000029</v>
      </c>
      <c r="G214" s="20">
        <v>4263.3631048598636</v>
      </c>
    </row>
    <row r="215" spans="1:7" ht="11.25" customHeight="1" x14ac:dyDescent="0.2">
      <c r="A215" s="29" t="s">
        <v>35</v>
      </c>
      <c r="B215" s="20">
        <v>0</v>
      </c>
      <c r="C215" s="20">
        <v>1029.6033000000002</v>
      </c>
      <c r="D215" s="20">
        <v>0</v>
      </c>
      <c r="E215" s="20">
        <v>1144.88720696669</v>
      </c>
      <c r="F215" s="20">
        <v>1029.6033000000002</v>
      </c>
      <c r="G215" s="20">
        <v>1144.88720696669</v>
      </c>
    </row>
    <row r="216" spans="1:7" ht="11.25" customHeight="1" x14ac:dyDescent="0.2">
      <c r="A216" s="30">
        <v>44378</v>
      </c>
      <c r="B216" s="20">
        <v>0</v>
      </c>
      <c r="C216" s="20">
        <v>97.984260000000148</v>
      </c>
      <c r="D216" s="20">
        <v>0</v>
      </c>
      <c r="E216" s="20">
        <v>108.9554838820914</v>
      </c>
      <c r="F216" s="20">
        <v>97.984260000000148</v>
      </c>
      <c r="G216" s="20">
        <v>108.9554838820914</v>
      </c>
    </row>
    <row r="217" spans="1:7" ht="11.25" customHeight="1" x14ac:dyDescent="0.2">
      <c r="A217" s="30">
        <v>44409</v>
      </c>
      <c r="B217" s="20">
        <v>0</v>
      </c>
      <c r="C217" s="20">
        <v>30.327660000000002</v>
      </c>
      <c r="D217" s="20">
        <v>0</v>
      </c>
      <c r="E217" s="20">
        <v>33.723425275769216</v>
      </c>
      <c r="F217" s="20">
        <v>30.327660000000002</v>
      </c>
      <c r="G217" s="20">
        <v>33.723425275769216</v>
      </c>
    </row>
    <row r="218" spans="1:7" ht="11.25" customHeight="1" x14ac:dyDescent="0.2">
      <c r="A218" s="30">
        <v>44440</v>
      </c>
      <c r="B218" s="20">
        <v>0</v>
      </c>
      <c r="C218" s="20">
        <v>38.686560000000071</v>
      </c>
      <c r="D218" s="20">
        <v>0</v>
      </c>
      <c r="E218" s="20">
        <v>43.018265020663151</v>
      </c>
      <c r="F218" s="20">
        <v>38.686560000000071</v>
      </c>
      <c r="G218" s="20">
        <v>43.018265020663151</v>
      </c>
    </row>
    <row r="219" spans="1:7" ht="11.25" customHeight="1" x14ac:dyDescent="0.2">
      <c r="A219" s="30">
        <v>44470</v>
      </c>
      <c r="B219" s="20">
        <v>0</v>
      </c>
      <c r="C219" s="20">
        <v>46.73130000000009</v>
      </c>
      <c r="D219" s="20">
        <v>0</v>
      </c>
      <c r="E219" s="20">
        <v>51.96376850668851</v>
      </c>
      <c r="F219" s="20">
        <v>46.73130000000009</v>
      </c>
      <c r="G219" s="20">
        <v>51.96376850668851</v>
      </c>
    </row>
    <row r="220" spans="1:7" ht="11.25" customHeight="1" x14ac:dyDescent="0.2">
      <c r="A220" s="30">
        <v>44501</v>
      </c>
      <c r="B220" s="20">
        <v>0</v>
      </c>
      <c r="C220" s="20">
        <v>24.986940000000011</v>
      </c>
      <c r="D220" s="20">
        <v>0</v>
      </c>
      <c r="E220" s="20">
        <v>27.784708875004842</v>
      </c>
      <c r="F220" s="20">
        <v>24.986940000000011</v>
      </c>
      <c r="G220" s="20">
        <v>27.784708875004842</v>
      </c>
    </row>
    <row r="221" spans="1:7" ht="11.25" customHeight="1" x14ac:dyDescent="0.2">
      <c r="A221" s="30">
        <v>44531</v>
      </c>
      <c r="B221" s="20">
        <v>0</v>
      </c>
      <c r="C221" s="20">
        <v>7.3827600000000038</v>
      </c>
      <c r="D221" s="20">
        <v>0</v>
      </c>
      <c r="E221" s="20">
        <v>8.2094020834096018</v>
      </c>
      <c r="F221" s="20">
        <v>7.3827600000000038</v>
      </c>
      <c r="G221" s="20">
        <v>8.2094020834096018</v>
      </c>
    </row>
    <row r="222" spans="1:7" ht="11.25" customHeight="1" x14ac:dyDescent="0.2">
      <c r="A222" s="30">
        <v>44562</v>
      </c>
      <c r="B222" s="20">
        <v>0</v>
      </c>
      <c r="C222" s="20">
        <v>11.175119999999996</v>
      </c>
      <c r="D222" s="20">
        <v>0</v>
      </c>
      <c r="E222" s="20">
        <v>12.426389779750696</v>
      </c>
      <c r="F222" s="20">
        <v>11.175119999999996</v>
      </c>
      <c r="G222" s="20">
        <v>12.426389779750696</v>
      </c>
    </row>
    <row r="223" spans="1:7" ht="11.25" customHeight="1" x14ac:dyDescent="0.2">
      <c r="A223" s="30">
        <v>44593</v>
      </c>
      <c r="B223" s="20">
        <v>0</v>
      </c>
      <c r="C223" s="20">
        <v>36.644520000000028</v>
      </c>
      <c r="D223" s="20">
        <v>0</v>
      </c>
      <c r="E223" s="20">
        <v>40.747579338017886</v>
      </c>
      <c r="F223" s="20">
        <v>36.644520000000028</v>
      </c>
      <c r="G223" s="20">
        <v>40.747579338017886</v>
      </c>
    </row>
    <row r="224" spans="1:7" ht="11.25" customHeight="1" x14ac:dyDescent="0.2">
      <c r="A224" s="30">
        <v>44621</v>
      </c>
      <c r="B224" s="20">
        <v>0</v>
      </c>
      <c r="C224" s="20">
        <v>225.35369999999998</v>
      </c>
      <c r="D224" s="20">
        <v>0</v>
      </c>
      <c r="E224" s="20">
        <v>250.58638426334619</v>
      </c>
      <c r="F224" s="20">
        <v>225.35369999999998</v>
      </c>
      <c r="G224" s="20">
        <v>250.58638426334619</v>
      </c>
    </row>
    <row r="225" spans="1:7" ht="11.25" customHeight="1" x14ac:dyDescent="0.2">
      <c r="A225" s="30">
        <v>44652</v>
      </c>
      <c r="B225" s="20">
        <v>0</v>
      </c>
      <c r="C225" s="20">
        <v>272.4215999999999</v>
      </c>
      <c r="D225" s="20">
        <v>0</v>
      </c>
      <c r="E225" s="20">
        <v>302.92444161882219</v>
      </c>
      <c r="F225" s="20">
        <v>272.4215999999999</v>
      </c>
      <c r="G225" s="20">
        <v>302.92444161882219</v>
      </c>
    </row>
    <row r="226" spans="1:7" ht="11.25" customHeight="1" x14ac:dyDescent="0.2">
      <c r="A226" s="30">
        <v>44682</v>
      </c>
      <c r="B226" s="20">
        <v>0</v>
      </c>
      <c r="C226" s="20">
        <v>135.40296000000015</v>
      </c>
      <c r="D226" s="20">
        <v>0</v>
      </c>
      <c r="E226" s="20">
        <v>150.56392757232089</v>
      </c>
      <c r="F226" s="20">
        <v>135.40296000000015</v>
      </c>
      <c r="G226" s="20">
        <v>150.56392757232089</v>
      </c>
    </row>
    <row r="227" spans="1:7" ht="11.25" customHeight="1" x14ac:dyDescent="0.2">
      <c r="A227" s="30">
        <v>44713</v>
      </c>
      <c r="B227" s="20">
        <v>0</v>
      </c>
      <c r="C227" s="20">
        <v>102.50591999999989</v>
      </c>
      <c r="D227" s="20">
        <v>0</v>
      </c>
      <c r="E227" s="20">
        <v>113.98343075080547</v>
      </c>
      <c r="F227" s="20">
        <v>102.50591999999989</v>
      </c>
      <c r="G227" s="20">
        <v>113.98343075080547</v>
      </c>
    </row>
    <row r="228" spans="1:7" ht="11.25" customHeight="1" x14ac:dyDescent="0.2">
      <c r="A228" s="29" t="s">
        <v>25</v>
      </c>
      <c r="B228" s="20">
        <v>1542.2380000000016</v>
      </c>
      <c r="C228" s="20">
        <v>0</v>
      </c>
      <c r="D228" s="20">
        <v>2035.5408053160047</v>
      </c>
      <c r="E228" s="20">
        <v>0</v>
      </c>
      <c r="F228" s="20">
        <v>1542.2380000000016</v>
      </c>
      <c r="G228" s="20">
        <v>2035.5408053160047</v>
      </c>
    </row>
    <row r="229" spans="1:7" ht="11.25" customHeight="1" x14ac:dyDescent="0.2">
      <c r="A229" s="30">
        <v>44378</v>
      </c>
      <c r="B229" s="20">
        <v>203.82</v>
      </c>
      <c r="C229" s="20">
        <v>0</v>
      </c>
      <c r="D229" s="20">
        <v>269.01420334572725</v>
      </c>
      <c r="E229" s="20">
        <v>0</v>
      </c>
      <c r="F229" s="20">
        <v>203.82</v>
      </c>
      <c r="G229" s="20">
        <v>269.01420334572725</v>
      </c>
    </row>
    <row r="230" spans="1:7" ht="11.25" customHeight="1" x14ac:dyDescent="0.2">
      <c r="A230" s="30">
        <v>44409</v>
      </c>
      <c r="B230" s="20">
        <v>123.65080000000002</v>
      </c>
      <c r="C230" s="20">
        <v>0</v>
      </c>
      <c r="D230" s="20">
        <v>163.20195002974123</v>
      </c>
      <c r="E230" s="20">
        <v>0</v>
      </c>
      <c r="F230" s="20">
        <v>123.65080000000002</v>
      </c>
      <c r="G230" s="20">
        <v>163.20195002974123</v>
      </c>
    </row>
    <row r="231" spans="1:7" ht="11.25" customHeight="1" x14ac:dyDescent="0.2">
      <c r="A231" s="30">
        <v>44440</v>
      </c>
      <c r="B231" s="20">
        <v>114.13919999999997</v>
      </c>
      <c r="C231" s="20">
        <v>0</v>
      </c>
      <c r="D231" s="20">
        <v>150.64795387360724</v>
      </c>
      <c r="E231" s="20">
        <v>0</v>
      </c>
      <c r="F231" s="20">
        <v>114.13919999999997</v>
      </c>
      <c r="G231" s="20">
        <v>150.64795387360724</v>
      </c>
    </row>
    <row r="232" spans="1:7" ht="11.25" customHeight="1" x14ac:dyDescent="0.2">
      <c r="A232" s="30">
        <v>44470</v>
      </c>
      <c r="B232" s="20">
        <v>112.78040000000024</v>
      </c>
      <c r="C232" s="20">
        <v>0</v>
      </c>
      <c r="D232" s="20">
        <v>148.85452585130275</v>
      </c>
      <c r="E232" s="20">
        <v>0</v>
      </c>
      <c r="F232" s="20">
        <v>112.78040000000024</v>
      </c>
      <c r="G232" s="20">
        <v>148.85452585130275</v>
      </c>
    </row>
    <row r="233" spans="1:7" ht="11.25" customHeight="1" x14ac:dyDescent="0.2">
      <c r="A233" s="30">
        <v>44501</v>
      </c>
      <c r="B233" s="20">
        <v>120.93320000000007</v>
      </c>
      <c r="C233" s="20">
        <v>0</v>
      </c>
      <c r="D233" s="20">
        <v>159.61509398513161</v>
      </c>
      <c r="E233" s="20">
        <v>0</v>
      </c>
      <c r="F233" s="20">
        <v>120.93320000000007</v>
      </c>
      <c r="G233" s="20">
        <v>159.61509398513161</v>
      </c>
    </row>
    <row r="234" spans="1:7" ht="11.25" customHeight="1" x14ac:dyDescent="0.2">
      <c r="A234" s="30">
        <v>44531</v>
      </c>
      <c r="B234" s="20">
        <v>59.787200000000169</v>
      </c>
      <c r="C234" s="20">
        <v>0</v>
      </c>
      <c r="D234" s="20">
        <v>78.910832981413563</v>
      </c>
      <c r="E234" s="20">
        <v>0</v>
      </c>
      <c r="F234" s="20">
        <v>59.787200000000169</v>
      </c>
      <c r="G234" s="20">
        <v>78.910832981413563</v>
      </c>
    </row>
    <row r="235" spans="1:7" ht="11.25" customHeight="1" x14ac:dyDescent="0.2">
      <c r="A235" s="30">
        <v>44562</v>
      </c>
      <c r="B235" s="20">
        <v>62.504800000000117</v>
      </c>
      <c r="C235" s="20">
        <v>0</v>
      </c>
      <c r="D235" s="20">
        <v>82.497689026023181</v>
      </c>
      <c r="E235" s="20">
        <v>0</v>
      </c>
      <c r="F235" s="20">
        <v>62.504800000000117</v>
      </c>
      <c r="G235" s="20">
        <v>82.497689026023181</v>
      </c>
    </row>
    <row r="236" spans="1:7" ht="11.25" customHeight="1" x14ac:dyDescent="0.2">
      <c r="A236" s="30">
        <v>44593</v>
      </c>
      <c r="B236" s="20">
        <v>77.451600000000042</v>
      </c>
      <c r="C236" s="20">
        <v>0</v>
      </c>
      <c r="D236" s="20">
        <v>102.22539727137641</v>
      </c>
      <c r="E236" s="20">
        <v>0</v>
      </c>
      <c r="F236" s="20">
        <v>77.451600000000042</v>
      </c>
      <c r="G236" s="20">
        <v>102.22539727137641</v>
      </c>
    </row>
    <row r="237" spans="1:7" ht="11.25" customHeight="1" x14ac:dyDescent="0.2">
      <c r="A237" s="30">
        <v>44621</v>
      </c>
      <c r="B237" s="20">
        <v>158.97960000000023</v>
      </c>
      <c r="C237" s="20">
        <v>0</v>
      </c>
      <c r="D237" s="20">
        <v>209.83107860966757</v>
      </c>
      <c r="E237" s="20">
        <v>0</v>
      </c>
      <c r="F237" s="20">
        <v>158.97960000000023</v>
      </c>
      <c r="G237" s="20">
        <v>209.83107860966757</v>
      </c>
    </row>
    <row r="238" spans="1:7" ht="11.25" customHeight="1" x14ac:dyDescent="0.2">
      <c r="A238" s="30">
        <v>44652</v>
      </c>
      <c r="B238" s="20">
        <v>211.97280000000029</v>
      </c>
      <c r="C238" s="20">
        <v>0</v>
      </c>
      <c r="D238" s="20">
        <v>279.77477147955676</v>
      </c>
      <c r="E238" s="20">
        <v>0</v>
      </c>
      <c r="F238" s="20">
        <v>211.97280000000029</v>
      </c>
      <c r="G238" s="20">
        <v>279.77477147955676</v>
      </c>
    </row>
    <row r="239" spans="1:7" ht="11.25" customHeight="1" x14ac:dyDescent="0.2">
      <c r="A239" s="30">
        <v>44682</v>
      </c>
      <c r="B239" s="20">
        <v>163.05600000000038</v>
      </c>
      <c r="C239" s="20">
        <v>0</v>
      </c>
      <c r="D239" s="20">
        <v>215.21136267658233</v>
      </c>
      <c r="E239" s="20">
        <v>0</v>
      </c>
      <c r="F239" s="20">
        <v>163.05600000000038</v>
      </c>
      <c r="G239" s="20">
        <v>215.21136267658233</v>
      </c>
    </row>
    <row r="240" spans="1:7" ht="11.25" customHeight="1" x14ac:dyDescent="0.2">
      <c r="A240" s="30">
        <v>44713</v>
      </c>
      <c r="B240" s="20">
        <v>133.16240000000005</v>
      </c>
      <c r="C240" s="20">
        <v>0</v>
      </c>
      <c r="D240" s="20">
        <v>175.75594618587522</v>
      </c>
      <c r="E240" s="20">
        <v>0</v>
      </c>
      <c r="F240" s="20">
        <v>133.16240000000005</v>
      </c>
      <c r="G240" s="20">
        <v>175.75594618587522</v>
      </c>
    </row>
    <row r="241" spans="1:7" ht="11.25" customHeight="1" x14ac:dyDescent="0.2">
      <c r="A241" s="29" t="s">
        <v>34</v>
      </c>
      <c r="B241" s="20">
        <v>0</v>
      </c>
      <c r="C241" s="20">
        <v>899.65408960000093</v>
      </c>
      <c r="D241" s="20">
        <v>0</v>
      </c>
      <c r="E241" s="20">
        <v>1082.9350925771689</v>
      </c>
      <c r="F241" s="20">
        <v>899.65408960000093</v>
      </c>
      <c r="G241" s="20">
        <v>1082.9350925771689</v>
      </c>
    </row>
    <row r="242" spans="1:7" ht="11.25" customHeight="1" x14ac:dyDescent="0.2">
      <c r="A242" s="30">
        <v>44378</v>
      </c>
      <c r="B242" s="20">
        <v>0</v>
      </c>
      <c r="C242" s="20">
        <v>46.100287200000032</v>
      </c>
      <c r="D242" s="20">
        <v>0</v>
      </c>
      <c r="E242" s="20">
        <v>55.492015613426339</v>
      </c>
      <c r="F242" s="20">
        <v>46.100287200000032</v>
      </c>
      <c r="G242" s="20">
        <v>55.492015613426339</v>
      </c>
    </row>
    <row r="243" spans="1:7" ht="11.25" customHeight="1" x14ac:dyDescent="0.2">
      <c r="A243" s="30">
        <v>44409</v>
      </c>
      <c r="B243" s="20">
        <v>0</v>
      </c>
      <c r="C243" s="20">
        <v>22.187304000000065</v>
      </c>
      <c r="D243" s="20">
        <v>0</v>
      </c>
      <c r="E243" s="20">
        <v>26.70738719362771</v>
      </c>
      <c r="F243" s="20">
        <v>22.187304000000065</v>
      </c>
      <c r="G243" s="20">
        <v>26.70738719362771</v>
      </c>
    </row>
    <row r="244" spans="1:7" ht="11.25" customHeight="1" x14ac:dyDescent="0.2">
      <c r="A244" s="30">
        <v>44440</v>
      </c>
      <c r="B244" s="20">
        <v>0</v>
      </c>
      <c r="C244" s="20">
        <v>49.222944799999958</v>
      </c>
      <c r="D244" s="20">
        <v>0</v>
      </c>
      <c r="E244" s="20">
        <v>59.250833070307181</v>
      </c>
      <c r="F244" s="20">
        <v>49.222944799999958</v>
      </c>
      <c r="G244" s="20">
        <v>59.250833070307181</v>
      </c>
    </row>
    <row r="245" spans="1:7" ht="11.25" customHeight="1" x14ac:dyDescent="0.2">
      <c r="A245" s="30">
        <v>44470</v>
      </c>
      <c r="B245" s="20">
        <v>0</v>
      </c>
      <c r="C245" s="20">
        <v>87.434412799999862</v>
      </c>
      <c r="D245" s="20">
        <v>0</v>
      </c>
      <c r="E245" s="20">
        <v>105.24688879266576</v>
      </c>
      <c r="F245" s="20">
        <v>87.434412799999862</v>
      </c>
      <c r="G245" s="20">
        <v>105.24688879266576</v>
      </c>
    </row>
    <row r="246" spans="1:7" ht="11.25" customHeight="1" x14ac:dyDescent="0.2">
      <c r="A246" s="30">
        <v>44501</v>
      </c>
      <c r="B246" s="20">
        <v>0</v>
      </c>
      <c r="C246" s="20">
        <v>5.2592127999999994</v>
      </c>
      <c r="D246" s="20">
        <v>0</v>
      </c>
      <c r="E246" s="20">
        <v>6.3306399273784013</v>
      </c>
      <c r="F246" s="20">
        <v>5.2592127999999994</v>
      </c>
      <c r="G246" s="20">
        <v>6.3306399273784013</v>
      </c>
    </row>
    <row r="247" spans="1:7" ht="11.25" customHeight="1" x14ac:dyDescent="0.2">
      <c r="A247" s="30">
        <v>44531</v>
      </c>
      <c r="B247" s="20">
        <v>0</v>
      </c>
      <c r="C247" s="20">
        <v>5.34138800000001</v>
      </c>
      <c r="D247" s="20">
        <v>0</v>
      </c>
      <c r="E247" s="20">
        <v>6.4295561762437021</v>
      </c>
      <c r="F247" s="20">
        <v>5.34138800000001</v>
      </c>
      <c r="G247" s="20">
        <v>6.4295561762437021</v>
      </c>
    </row>
    <row r="248" spans="1:7" ht="11.25" customHeight="1" x14ac:dyDescent="0.2">
      <c r="A248" s="30">
        <v>44562</v>
      </c>
      <c r="B248" s="20">
        <v>0</v>
      </c>
      <c r="C248" s="20">
        <v>5.9166144000000154</v>
      </c>
      <c r="D248" s="20">
        <v>0</v>
      </c>
      <c r="E248" s="20">
        <v>7.1219699183007208</v>
      </c>
      <c r="F248" s="20">
        <v>5.9166144000000154</v>
      </c>
      <c r="G248" s="20">
        <v>7.1219699183007208</v>
      </c>
    </row>
    <row r="249" spans="1:7" ht="11.25" customHeight="1" x14ac:dyDescent="0.2">
      <c r="A249" s="30">
        <v>44593</v>
      </c>
      <c r="B249" s="20">
        <v>0</v>
      </c>
      <c r="C249" s="20">
        <v>22.269479200000031</v>
      </c>
      <c r="D249" s="20">
        <v>0</v>
      </c>
      <c r="E249" s="20">
        <v>26.806303442492961</v>
      </c>
      <c r="F249" s="20">
        <v>22.269479200000031</v>
      </c>
      <c r="G249" s="20">
        <v>26.806303442492961</v>
      </c>
    </row>
    <row r="250" spans="1:7" ht="11.25" customHeight="1" x14ac:dyDescent="0.2">
      <c r="A250" s="30">
        <v>44621</v>
      </c>
      <c r="B250" s="20">
        <v>0</v>
      </c>
      <c r="C250" s="20">
        <v>202.56186800000049</v>
      </c>
      <c r="D250" s="20">
        <v>0</v>
      </c>
      <c r="E250" s="20">
        <v>243.82855345293436</v>
      </c>
      <c r="F250" s="20">
        <v>202.56186800000049</v>
      </c>
      <c r="G250" s="20">
        <v>243.82855345293436</v>
      </c>
    </row>
    <row r="251" spans="1:7" ht="11.25" customHeight="1" x14ac:dyDescent="0.2">
      <c r="A251" s="30">
        <v>44652</v>
      </c>
      <c r="B251" s="20">
        <v>0</v>
      </c>
      <c r="C251" s="20">
        <v>197.22048000000018</v>
      </c>
      <c r="D251" s="20">
        <v>0</v>
      </c>
      <c r="E251" s="20">
        <v>237.3989972766903</v>
      </c>
      <c r="F251" s="20">
        <v>197.22048000000018</v>
      </c>
      <c r="G251" s="20">
        <v>237.3989972766903</v>
      </c>
    </row>
    <row r="252" spans="1:7" ht="11.25" customHeight="1" x14ac:dyDescent="0.2">
      <c r="A252" s="30">
        <v>44682</v>
      </c>
      <c r="B252" s="20">
        <v>0</v>
      </c>
      <c r="C252" s="20">
        <v>159.33771280000013</v>
      </c>
      <c r="D252" s="20">
        <v>0</v>
      </c>
      <c r="E252" s="20">
        <v>191.79860654979268</v>
      </c>
      <c r="F252" s="20">
        <v>159.33771280000013</v>
      </c>
      <c r="G252" s="20">
        <v>191.79860654979268</v>
      </c>
    </row>
    <row r="253" spans="1:7" ht="11.25" customHeight="1" x14ac:dyDescent="0.2">
      <c r="A253" s="30">
        <v>44713</v>
      </c>
      <c r="B253" s="20">
        <v>0</v>
      </c>
      <c r="C253" s="20">
        <v>96.802385600000093</v>
      </c>
      <c r="D253" s="20">
        <v>0</v>
      </c>
      <c r="E253" s="20">
        <v>116.52334116330884</v>
      </c>
      <c r="F253" s="20">
        <v>96.802385600000093</v>
      </c>
      <c r="G253" s="20">
        <v>116.52334116330884</v>
      </c>
    </row>
    <row r="254" spans="1:7" ht="11.25" customHeight="1" x14ac:dyDescent="0.2">
      <c r="A254" s="23" t="s">
        <v>42</v>
      </c>
      <c r="B254" s="20">
        <v>0</v>
      </c>
      <c r="C254" s="20">
        <v>1353008.9706836157</v>
      </c>
      <c r="D254" s="20">
        <v>0</v>
      </c>
      <c r="E254" s="20">
        <v>795517.12673252821</v>
      </c>
      <c r="F254" s="20">
        <v>1353008.9706836161</v>
      </c>
      <c r="G254" s="20">
        <v>795517.12673252833</v>
      </c>
    </row>
    <row r="255" spans="1:7" ht="11.25" customHeight="1" x14ac:dyDescent="0.2">
      <c r="A255" s="24" t="s">
        <v>33</v>
      </c>
      <c r="B255" s="20">
        <v>0</v>
      </c>
      <c r="C255" s="20">
        <v>100.11548361702128</v>
      </c>
      <c r="D255" s="20">
        <v>0</v>
      </c>
      <c r="E255" s="20">
        <v>132.88583949555522</v>
      </c>
      <c r="F255" s="20">
        <v>100.11548361702128</v>
      </c>
      <c r="G255" s="20">
        <v>132.88583949555522</v>
      </c>
    </row>
    <row r="256" spans="1:7" ht="11.25" customHeight="1" x14ac:dyDescent="0.2">
      <c r="A256" s="25" t="s">
        <v>43</v>
      </c>
      <c r="B256" s="20">
        <v>0</v>
      </c>
      <c r="C256" s="20">
        <v>100.11548361702128</v>
      </c>
      <c r="D256" s="20">
        <v>0</v>
      </c>
      <c r="E256" s="20">
        <v>132.88583949555522</v>
      </c>
      <c r="F256" s="20">
        <v>100.11548361702128</v>
      </c>
      <c r="G256" s="20">
        <v>132.88583949555522</v>
      </c>
    </row>
    <row r="257" spans="1:7" ht="11.25" customHeight="1" x14ac:dyDescent="0.2">
      <c r="A257" s="26" t="s">
        <v>25</v>
      </c>
      <c r="B257" s="20">
        <v>0</v>
      </c>
      <c r="C257" s="20">
        <v>100.11548361702128</v>
      </c>
      <c r="D257" s="20">
        <v>0</v>
      </c>
      <c r="E257" s="20">
        <v>132.88583949555522</v>
      </c>
      <c r="F257" s="20">
        <v>100.11548361702128</v>
      </c>
      <c r="G257" s="20">
        <v>132.88583949555522</v>
      </c>
    </row>
    <row r="258" spans="1:7" ht="11.25" customHeight="1" x14ac:dyDescent="0.2">
      <c r="A258" s="27" t="s">
        <v>25</v>
      </c>
      <c r="B258" s="20">
        <v>0</v>
      </c>
      <c r="C258" s="20">
        <v>100.11548361702128</v>
      </c>
      <c r="D258" s="20">
        <v>0</v>
      </c>
      <c r="E258" s="20">
        <v>132.88583949555522</v>
      </c>
      <c r="F258" s="20">
        <v>100.11548361702128</v>
      </c>
      <c r="G258" s="20">
        <v>132.88583949555522</v>
      </c>
    </row>
    <row r="259" spans="1:7" ht="11.25" customHeight="1" x14ac:dyDescent="0.2">
      <c r="A259" s="28" t="s">
        <v>25</v>
      </c>
      <c r="B259" s="20">
        <v>0</v>
      </c>
      <c r="C259" s="20">
        <v>100.11548361702128</v>
      </c>
      <c r="D259" s="20">
        <v>0</v>
      </c>
      <c r="E259" s="20">
        <v>132.88583949555522</v>
      </c>
      <c r="F259" s="20">
        <v>100.11548361702128</v>
      </c>
      <c r="G259" s="20">
        <v>132.88583949555522</v>
      </c>
    </row>
    <row r="260" spans="1:7" ht="11.25" customHeight="1" x14ac:dyDescent="0.2">
      <c r="A260" s="29" t="s">
        <v>35</v>
      </c>
      <c r="B260" s="20">
        <v>0</v>
      </c>
      <c r="C260" s="20">
        <v>65.488872127659576</v>
      </c>
      <c r="D260" s="20">
        <v>0</v>
      </c>
      <c r="E260" s="20">
        <v>85.098496323269231</v>
      </c>
      <c r="F260" s="20">
        <v>65.488872127659576</v>
      </c>
      <c r="G260" s="20">
        <v>85.098496323269231</v>
      </c>
    </row>
    <row r="261" spans="1:7" ht="11.25" customHeight="1" x14ac:dyDescent="0.2">
      <c r="A261" s="30">
        <v>44409</v>
      </c>
      <c r="B261" s="20">
        <v>0</v>
      </c>
      <c r="C261" s="20">
        <v>3.5931019148936176</v>
      </c>
      <c r="D261" s="20">
        <v>0</v>
      </c>
      <c r="E261" s="20">
        <v>4.6690003989939477</v>
      </c>
      <c r="F261" s="20">
        <v>3.5931019148936176</v>
      </c>
      <c r="G261" s="20">
        <v>4.6690003989939477</v>
      </c>
    </row>
    <row r="262" spans="1:7" ht="11.25" customHeight="1" x14ac:dyDescent="0.2">
      <c r="A262" s="30">
        <v>44470</v>
      </c>
      <c r="B262" s="20">
        <v>0</v>
      </c>
      <c r="C262" s="20">
        <v>11.671024468085106</v>
      </c>
      <c r="D262" s="20">
        <v>0</v>
      </c>
      <c r="E262" s="20">
        <v>15.165731223009535</v>
      </c>
      <c r="F262" s="20">
        <v>11.671024468085106</v>
      </c>
      <c r="G262" s="20">
        <v>15.165731223009535</v>
      </c>
    </row>
    <row r="263" spans="1:7" ht="11.25" customHeight="1" x14ac:dyDescent="0.2">
      <c r="A263" s="30">
        <v>44501</v>
      </c>
      <c r="B263" s="20">
        <v>0</v>
      </c>
      <c r="C263" s="20">
        <v>6.9239336170212757</v>
      </c>
      <c r="D263" s="20">
        <v>0</v>
      </c>
      <c r="E263" s="20">
        <v>8.997197849156219</v>
      </c>
      <c r="F263" s="20">
        <v>6.9239336170212757</v>
      </c>
      <c r="G263" s="20">
        <v>8.997197849156219</v>
      </c>
    </row>
    <row r="264" spans="1:7" ht="11.25" customHeight="1" x14ac:dyDescent="0.2">
      <c r="A264" s="30">
        <v>44531</v>
      </c>
      <c r="B264" s="20">
        <v>0</v>
      </c>
      <c r="C264" s="20">
        <v>8.7073710638297861</v>
      </c>
      <c r="D264" s="20">
        <v>0</v>
      </c>
      <c r="E264" s="20">
        <v>11.314657901211609</v>
      </c>
      <c r="F264" s="20">
        <v>8.7073710638297861</v>
      </c>
      <c r="G264" s="20">
        <v>11.314657901211609</v>
      </c>
    </row>
    <row r="265" spans="1:7" ht="11.25" customHeight="1" x14ac:dyDescent="0.2">
      <c r="A265" s="30">
        <v>44562</v>
      </c>
      <c r="B265" s="20">
        <v>0</v>
      </c>
      <c r="C265" s="20">
        <v>7.2386578723404265</v>
      </c>
      <c r="D265" s="20">
        <v>0</v>
      </c>
      <c r="E265" s="20">
        <v>9.4061613877542278</v>
      </c>
      <c r="F265" s="20">
        <v>7.2386578723404265</v>
      </c>
      <c r="G265" s="20">
        <v>9.4061613877542278</v>
      </c>
    </row>
    <row r="266" spans="1:7" ht="11.25" customHeight="1" x14ac:dyDescent="0.2">
      <c r="A266" s="30">
        <v>44593</v>
      </c>
      <c r="B266" s="20">
        <v>0</v>
      </c>
      <c r="C266" s="20">
        <v>7.3697929787234049</v>
      </c>
      <c r="D266" s="20">
        <v>0</v>
      </c>
      <c r="E266" s="20">
        <v>9.5765628621700678</v>
      </c>
      <c r="F266" s="20">
        <v>7.3697929787234049</v>
      </c>
      <c r="G266" s="20">
        <v>9.5765628621700678</v>
      </c>
    </row>
    <row r="267" spans="1:7" ht="11.25" customHeight="1" x14ac:dyDescent="0.2">
      <c r="A267" s="30">
        <v>44621</v>
      </c>
      <c r="B267" s="20">
        <v>0</v>
      </c>
      <c r="C267" s="20">
        <v>6.3469391489361699</v>
      </c>
      <c r="D267" s="20">
        <v>0</v>
      </c>
      <c r="E267" s="20">
        <v>8.2474313617265338</v>
      </c>
      <c r="F267" s="20">
        <v>6.3469391489361699</v>
      </c>
      <c r="G267" s="20">
        <v>8.2474313617265338</v>
      </c>
    </row>
    <row r="268" spans="1:7" ht="11.25" customHeight="1" x14ac:dyDescent="0.2">
      <c r="A268" s="30">
        <v>44652</v>
      </c>
      <c r="B268" s="20">
        <v>0</v>
      </c>
      <c r="C268" s="20">
        <v>5.2454042553191496</v>
      </c>
      <c r="D268" s="20">
        <v>0</v>
      </c>
      <c r="E268" s="20">
        <v>6.8160589766334985</v>
      </c>
      <c r="F268" s="20">
        <v>5.2454042553191496</v>
      </c>
      <c r="G268" s="20">
        <v>6.8160589766334985</v>
      </c>
    </row>
    <row r="269" spans="1:7" ht="11.25" customHeight="1" x14ac:dyDescent="0.2">
      <c r="A269" s="30">
        <v>44682</v>
      </c>
      <c r="B269" s="20">
        <v>0</v>
      </c>
      <c r="C269" s="20">
        <v>4.1963234042553195</v>
      </c>
      <c r="D269" s="20">
        <v>0</v>
      </c>
      <c r="E269" s="20">
        <v>5.4528471813067991</v>
      </c>
      <c r="F269" s="20">
        <v>4.1963234042553195</v>
      </c>
      <c r="G269" s="20">
        <v>5.4528471813067991</v>
      </c>
    </row>
    <row r="270" spans="1:7" ht="11.25" customHeight="1" x14ac:dyDescent="0.2">
      <c r="A270" s="30">
        <v>44713</v>
      </c>
      <c r="B270" s="20">
        <v>0</v>
      </c>
      <c r="C270" s="20">
        <v>4.1963234042553195</v>
      </c>
      <c r="D270" s="20">
        <v>0</v>
      </c>
      <c r="E270" s="20">
        <v>5.4528471813067991</v>
      </c>
      <c r="F270" s="20">
        <v>4.1963234042553195</v>
      </c>
      <c r="G270" s="20">
        <v>5.4528471813067991</v>
      </c>
    </row>
    <row r="271" spans="1:7" ht="11.25" customHeight="1" x14ac:dyDescent="0.2">
      <c r="A271" s="29" t="s">
        <v>36</v>
      </c>
      <c r="B271" s="20">
        <v>0</v>
      </c>
      <c r="C271" s="20">
        <v>9.5765910638297846</v>
      </c>
      <c r="D271" s="20">
        <v>0</v>
      </c>
      <c r="E271" s="20">
        <v>13.166550800157488</v>
      </c>
      <c r="F271" s="20">
        <v>9.5765910638297846</v>
      </c>
      <c r="G271" s="20">
        <v>13.166550800157488</v>
      </c>
    </row>
    <row r="272" spans="1:7" ht="11.25" customHeight="1" x14ac:dyDescent="0.2">
      <c r="A272" s="30">
        <v>44409</v>
      </c>
      <c r="B272" s="20">
        <v>0</v>
      </c>
      <c r="C272" s="20">
        <v>0.76075723404255324</v>
      </c>
      <c r="D272" s="20">
        <v>0</v>
      </c>
      <c r="E272" s="20">
        <v>1.0459409514143798</v>
      </c>
      <c r="F272" s="20">
        <v>0.76075723404255324</v>
      </c>
      <c r="G272" s="20">
        <v>1.0459409514143798</v>
      </c>
    </row>
    <row r="273" spans="1:7" ht="11.25" customHeight="1" x14ac:dyDescent="0.2">
      <c r="A273" s="30">
        <v>44470</v>
      </c>
      <c r="B273" s="20">
        <v>0</v>
      </c>
      <c r="C273" s="20">
        <v>0.67125638297872336</v>
      </c>
      <c r="D273" s="20">
        <v>0</v>
      </c>
      <c r="E273" s="20">
        <v>0.9228890747773939</v>
      </c>
      <c r="F273" s="20">
        <v>0.67125638297872336</v>
      </c>
      <c r="G273" s="20">
        <v>0.9228890747773939</v>
      </c>
    </row>
    <row r="274" spans="1:7" ht="11.25" customHeight="1" x14ac:dyDescent="0.2">
      <c r="A274" s="30">
        <v>44501</v>
      </c>
      <c r="B274" s="20">
        <v>0</v>
      </c>
      <c r="C274" s="20">
        <v>1.163511063829787</v>
      </c>
      <c r="D274" s="20">
        <v>0</v>
      </c>
      <c r="E274" s="20">
        <v>1.599674396280816</v>
      </c>
      <c r="F274" s="20">
        <v>1.163511063829787</v>
      </c>
      <c r="G274" s="20">
        <v>1.599674396280816</v>
      </c>
    </row>
    <row r="275" spans="1:7" ht="11.25" customHeight="1" x14ac:dyDescent="0.2">
      <c r="A275" s="30">
        <v>44531</v>
      </c>
      <c r="B275" s="20">
        <v>0</v>
      </c>
      <c r="C275" s="20">
        <v>1.4767640425531916</v>
      </c>
      <c r="D275" s="20">
        <v>0</v>
      </c>
      <c r="E275" s="20">
        <v>2.0303559645102665</v>
      </c>
      <c r="F275" s="20">
        <v>1.4767640425531916</v>
      </c>
      <c r="G275" s="20">
        <v>2.0303559645102665</v>
      </c>
    </row>
    <row r="276" spans="1:7" ht="11.25" customHeight="1" x14ac:dyDescent="0.2">
      <c r="A276" s="30">
        <v>44562</v>
      </c>
      <c r="B276" s="20">
        <v>0</v>
      </c>
      <c r="C276" s="20">
        <v>1.0740102127659574</v>
      </c>
      <c r="D276" s="20">
        <v>0</v>
      </c>
      <c r="E276" s="20">
        <v>1.4766225196438303</v>
      </c>
      <c r="F276" s="20">
        <v>1.0740102127659574</v>
      </c>
      <c r="G276" s="20">
        <v>1.4766225196438303</v>
      </c>
    </row>
    <row r="277" spans="1:7" ht="11.25" customHeight="1" x14ac:dyDescent="0.2">
      <c r="A277" s="30">
        <v>44593</v>
      </c>
      <c r="B277" s="20">
        <v>0</v>
      </c>
      <c r="C277" s="20">
        <v>0.93975893617021267</v>
      </c>
      <c r="D277" s="20">
        <v>0</v>
      </c>
      <c r="E277" s="20">
        <v>1.2920447046883514</v>
      </c>
      <c r="F277" s="20">
        <v>0.93975893617021267</v>
      </c>
      <c r="G277" s="20">
        <v>1.2920447046883514</v>
      </c>
    </row>
    <row r="278" spans="1:7" ht="11.25" customHeight="1" x14ac:dyDescent="0.2">
      <c r="A278" s="30">
        <v>44621</v>
      </c>
      <c r="B278" s="20">
        <v>0</v>
      </c>
      <c r="C278" s="20">
        <v>0.71600680851063825</v>
      </c>
      <c r="D278" s="20">
        <v>0</v>
      </c>
      <c r="E278" s="20">
        <v>0.98441501309588686</v>
      </c>
      <c r="F278" s="20">
        <v>0.71600680851063825</v>
      </c>
      <c r="G278" s="20">
        <v>0.98441501309588686</v>
      </c>
    </row>
    <row r="279" spans="1:7" ht="11.25" customHeight="1" x14ac:dyDescent="0.2">
      <c r="A279" s="30">
        <v>44652</v>
      </c>
      <c r="B279" s="20">
        <v>0</v>
      </c>
      <c r="C279" s="20">
        <v>0.8055076595744679</v>
      </c>
      <c r="D279" s="20">
        <v>0</v>
      </c>
      <c r="E279" s="20">
        <v>1.1074668897328723</v>
      </c>
      <c r="F279" s="20">
        <v>0.8055076595744679</v>
      </c>
      <c r="G279" s="20">
        <v>1.1074668897328723</v>
      </c>
    </row>
    <row r="280" spans="1:7" ht="11.25" customHeight="1" x14ac:dyDescent="0.2">
      <c r="A280" s="30">
        <v>44682</v>
      </c>
      <c r="B280" s="20">
        <v>0</v>
      </c>
      <c r="C280" s="20">
        <v>0.98450936170212755</v>
      </c>
      <c r="D280" s="20">
        <v>0</v>
      </c>
      <c r="E280" s="20">
        <v>1.3535706430068446</v>
      </c>
      <c r="F280" s="20">
        <v>0.98450936170212755</v>
      </c>
      <c r="G280" s="20">
        <v>1.3535706430068446</v>
      </c>
    </row>
    <row r="281" spans="1:7" ht="11.25" customHeight="1" x14ac:dyDescent="0.2">
      <c r="A281" s="30">
        <v>44713</v>
      </c>
      <c r="B281" s="20">
        <v>0</v>
      </c>
      <c r="C281" s="20">
        <v>0.98450936170212755</v>
      </c>
      <c r="D281" s="20">
        <v>0</v>
      </c>
      <c r="E281" s="20">
        <v>1.3535706430068446</v>
      </c>
      <c r="F281" s="20">
        <v>0.98450936170212755</v>
      </c>
      <c r="G281" s="20">
        <v>1.3535706430068446</v>
      </c>
    </row>
    <row r="282" spans="1:7" ht="11.25" customHeight="1" x14ac:dyDescent="0.2">
      <c r="A282" s="29" t="s">
        <v>34</v>
      </c>
      <c r="B282" s="20">
        <v>0</v>
      </c>
      <c r="C282" s="20">
        <v>25.050020425531912</v>
      </c>
      <c r="D282" s="20">
        <v>0</v>
      </c>
      <c r="E282" s="20">
        <v>34.620792372128491</v>
      </c>
      <c r="F282" s="20">
        <v>25.050020425531912</v>
      </c>
      <c r="G282" s="20">
        <v>34.620792372128491</v>
      </c>
    </row>
    <row r="283" spans="1:7" ht="11.25" customHeight="1" x14ac:dyDescent="0.2">
      <c r="A283" s="30">
        <v>44409</v>
      </c>
      <c r="B283" s="20">
        <v>0</v>
      </c>
      <c r="C283" s="20">
        <v>2.220500425531915</v>
      </c>
      <c r="D283" s="20">
        <v>0</v>
      </c>
      <c r="E283" s="20">
        <v>3.0688791022385367</v>
      </c>
      <c r="F283" s="20">
        <v>2.220500425531915</v>
      </c>
      <c r="G283" s="20">
        <v>3.0688791022385367</v>
      </c>
    </row>
    <row r="284" spans="1:7" ht="11.25" customHeight="1" x14ac:dyDescent="0.2">
      <c r="A284" s="30">
        <v>44470</v>
      </c>
      <c r="B284" s="20">
        <v>0</v>
      </c>
      <c r="C284" s="20">
        <v>2.012328510638298</v>
      </c>
      <c r="D284" s="20">
        <v>0</v>
      </c>
      <c r="E284" s="20">
        <v>2.7811716864036744</v>
      </c>
      <c r="F284" s="20">
        <v>2.012328510638298</v>
      </c>
      <c r="G284" s="20">
        <v>2.7811716864036744</v>
      </c>
    </row>
    <row r="285" spans="1:7" ht="11.25" customHeight="1" x14ac:dyDescent="0.2">
      <c r="A285" s="30">
        <v>44501</v>
      </c>
      <c r="B285" s="20">
        <v>0</v>
      </c>
      <c r="C285" s="20">
        <v>2.3592817021276598</v>
      </c>
      <c r="D285" s="20">
        <v>0</v>
      </c>
      <c r="E285" s="20">
        <v>3.260684046128445</v>
      </c>
      <c r="F285" s="20">
        <v>2.3592817021276598</v>
      </c>
      <c r="G285" s="20">
        <v>3.260684046128445</v>
      </c>
    </row>
    <row r="286" spans="1:7" ht="11.25" customHeight="1" x14ac:dyDescent="0.2">
      <c r="A286" s="30">
        <v>44531</v>
      </c>
      <c r="B286" s="20">
        <v>0</v>
      </c>
      <c r="C286" s="20">
        <v>3.4695319148936172</v>
      </c>
      <c r="D286" s="20">
        <v>0</v>
      </c>
      <c r="E286" s="20">
        <v>4.7951235972477146</v>
      </c>
      <c r="F286" s="20">
        <v>3.4695319148936172</v>
      </c>
      <c r="G286" s="20">
        <v>4.7951235972477146</v>
      </c>
    </row>
    <row r="287" spans="1:7" ht="11.25" customHeight="1" x14ac:dyDescent="0.2">
      <c r="A287" s="30">
        <v>44562</v>
      </c>
      <c r="B287" s="20">
        <v>0</v>
      </c>
      <c r="C287" s="20">
        <v>2.4286723404255324</v>
      </c>
      <c r="D287" s="20">
        <v>0</v>
      </c>
      <c r="E287" s="20">
        <v>3.3565865180733994</v>
      </c>
      <c r="F287" s="20">
        <v>2.4286723404255324</v>
      </c>
      <c r="G287" s="20">
        <v>3.3565865180733994</v>
      </c>
    </row>
    <row r="288" spans="1:7" ht="11.25" customHeight="1" x14ac:dyDescent="0.2">
      <c r="A288" s="30">
        <v>44593</v>
      </c>
      <c r="B288" s="20">
        <v>0</v>
      </c>
      <c r="C288" s="20">
        <v>2.4980629787234041</v>
      </c>
      <c r="D288" s="20">
        <v>0</v>
      </c>
      <c r="E288" s="20">
        <v>3.4524889900183537</v>
      </c>
      <c r="F288" s="20">
        <v>2.4980629787234041</v>
      </c>
      <c r="G288" s="20">
        <v>3.4524889900183537</v>
      </c>
    </row>
    <row r="289" spans="1:7" ht="11.25" customHeight="1" x14ac:dyDescent="0.2">
      <c r="A289" s="30">
        <v>44621</v>
      </c>
      <c r="B289" s="20">
        <v>0</v>
      </c>
      <c r="C289" s="20">
        <v>2.0817191489361702</v>
      </c>
      <c r="D289" s="20">
        <v>0</v>
      </c>
      <c r="E289" s="20">
        <v>2.8770741583486275</v>
      </c>
      <c r="F289" s="20">
        <v>2.0817191489361702</v>
      </c>
      <c r="G289" s="20">
        <v>2.8770741583486275</v>
      </c>
    </row>
    <row r="290" spans="1:7" ht="11.25" customHeight="1" x14ac:dyDescent="0.2">
      <c r="A290" s="30">
        <v>44652</v>
      </c>
      <c r="B290" s="20">
        <v>0</v>
      </c>
      <c r="C290" s="20">
        <v>2.1511097872340428</v>
      </c>
      <c r="D290" s="20">
        <v>0</v>
      </c>
      <c r="E290" s="20">
        <v>2.9729766302935827</v>
      </c>
      <c r="F290" s="20">
        <v>2.1511097872340428</v>
      </c>
      <c r="G290" s="20">
        <v>2.9729766302935827</v>
      </c>
    </row>
    <row r="291" spans="1:7" ht="11.25" customHeight="1" x14ac:dyDescent="0.2">
      <c r="A291" s="30">
        <v>44682</v>
      </c>
      <c r="B291" s="20">
        <v>0</v>
      </c>
      <c r="C291" s="20">
        <v>2.9144068085106385</v>
      </c>
      <c r="D291" s="20">
        <v>0</v>
      </c>
      <c r="E291" s="20">
        <v>4.0279038216880796</v>
      </c>
      <c r="F291" s="20">
        <v>2.9144068085106385</v>
      </c>
      <c r="G291" s="20">
        <v>4.0279038216880796</v>
      </c>
    </row>
    <row r="292" spans="1:7" ht="11.25" customHeight="1" x14ac:dyDescent="0.2">
      <c r="A292" s="30">
        <v>44713</v>
      </c>
      <c r="B292" s="20">
        <v>0</v>
      </c>
      <c r="C292" s="20">
        <v>2.9144068085106385</v>
      </c>
      <c r="D292" s="20">
        <v>0</v>
      </c>
      <c r="E292" s="20">
        <v>4.0279038216880796</v>
      </c>
      <c r="F292" s="20">
        <v>2.9144068085106385</v>
      </c>
      <c r="G292" s="20">
        <v>4.0279038216880796</v>
      </c>
    </row>
    <row r="293" spans="1:7" ht="11.25" customHeight="1" x14ac:dyDescent="0.2">
      <c r="A293" s="24" t="s">
        <v>23</v>
      </c>
      <c r="B293" s="20">
        <v>0</v>
      </c>
      <c r="C293" s="20">
        <v>1352908.8551999987</v>
      </c>
      <c r="D293" s="20">
        <v>0</v>
      </c>
      <c r="E293" s="20">
        <v>795384.24089303263</v>
      </c>
      <c r="F293" s="20">
        <v>1352908.8551999992</v>
      </c>
      <c r="G293" s="20">
        <v>795384.24089303275</v>
      </c>
    </row>
    <row r="294" spans="1:7" ht="11.25" customHeight="1" x14ac:dyDescent="0.2">
      <c r="A294" s="25" t="s">
        <v>43</v>
      </c>
      <c r="B294" s="20">
        <v>0</v>
      </c>
      <c r="C294" s="20">
        <v>1352908.8551999987</v>
      </c>
      <c r="D294" s="20">
        <v>0</v>
      </c>
      <c r="E294" s="20">
        <v>795384.24089303263</v>
      </c>
      <c r="F294" s="20">
        <v>1352908.8551999992</v>
      </c>
      <c r="G294" s="20">
        <v>795384.24089303275</v>
      </c>
    </row>
    <row r="295" spans="1:7" ht="11.25" customHeight="1" x14ac:dyDescent="0.2">
      <c r="A295" s="26" t="s">
        <v>51</v>
      </c>
      <c r="B295" s="20">
        <v>0</v>
      </c>
      <c r="C295" s="20">
        <v>11680.385639999993</v>
      </c>
      <c r="D295" s="20">
        <v>0</v>
      </c>
      <c r="E295" s="20">
        <v>6866.977498078305</v>
      </c>
      <c r="F295" s="20">
        <v>11680.385639999993</v>
      </c>
      <c r="G295" s="20">
        <v>6866.977498078305</v>
      </c>
    </row>
    <row r="296" spans="1:7" ht="11.25" customHeight="1" x14ac:dyDescent="0.2">
      <c r="A296" s="27" t="s">
        <v>52</v>
      </c>
      <c r="B296" s="20">
        <v>0</v>
      </c>
      <c r="C296" s="20">
        <v>11680.385639999993</v>
      </c>
      <c r="D296" s="20">
        <v>0</v>
      </c>
      <c r="E296" s="20">
        <v>6866.977498078305</v>
      </c>
      <c r="F296" s="20">
        <v>11680.385639999993</v>
      </c>
      <c r="G296" s="20">
        <v>6866.977498078305</v>
      </c>
    </row>
    <row r="297" spans="1:7" ht="11.25" customHeight="1" x14ac:dyDescent="0.2">
      <c r="A297" s="28" t="s">
        <v>25</v>
      </c>
      <c r="B297" s="20">
        <v>0</v>
      </c>
      <c r="C297" s="20">
        <v>11680.385639999993</v>
      </c>
      <c r="D297" s="20">
        <v>0</v>
      </c>
      <c r="E297" s="20">
        <v>6866.977498078305</v>
      </c>
      <c r="F297" s="20">
        <v>11680.385639999993</v>
      </c>
      <c r="G297" s="20">
        <v>6866.977498078305</v>
      </c>
    </row>
    <row r="298" spans="1:7" ht="11.25" customHeight="1" x14ac:dyDescent="0.2">
      <c r="A298" s="29" t="s">
        <v>25</v>
      </c>
      <c r="B298" s="20">
        <v>0</v>
      </c>
      <c r="C298" s="20">
        <v>11680.385639999993</v>
      </c>
      <c r="D298" s="20">
        <v>0</v>
      </c>
      <c r="E298" s="20">
        <v>6866.977498078305</v>
      </c>
      <c r="F298" s="20">
        <v>11680.385639999993</v>
      </c>
      <c r="G298" s="20">
        <v>6866.977498078305</v>
      </c>
    </row>
    <row r="299" spans="1:7" ht="11.25" customHeight="1" x14ac:dyDescent="0.2">
      <c r="A299" s="30">
        <v>44378</v>
      </c>
      <c r="B299" s="20">
        <v>0</v>
      </c>
      <c r="C299" s="20">
        <v>307.78775999999971</v>
      </c>
      <c r="D299" s="20">
        <v>0</v>
      </c>
      <c r="E299" s="20">
        <v>180.95050003023064</v>
      </c>
      <c r="F299" s="20">
        <v>307.78775999999971</v>
      </c>
      <c r="G299" s="20">
        <v>180.95050003023064</v>
      </c>
    </row>
    <row r="300" spans="1:7" ht="11.25" customHeight="1" x14ac:dyDescent="0.2">
      <c r="A300" s="30">
        <v>44409</v>
      </c>
      <c r="B300" s="20">
        <v>0</v>
      </c>
      <c r="C300" s="20">
        <v>368.16821999999974</v>
      </c>
      <c r="D300" s="20">
        <v>0</v>
      </c>
      <c r="E300" s="20">
        <v>216.44857971038215</v>
      </c>
      <c r="F300" s="20">
        <v>368.16821999999974</v>
      </c>
      <c r="G300" s="20">
        <v>216.44857971038215</v>
      </c>
    </row>
    <row r="301" spans="1:7" ht="11.25" customHeight="1" x14ac:dyDescent="0.2">
      <c r="A301" s="30">
        <v>44440</v>
      </c>
      <c r="B301" s="20">
        <v>0</v>
      </c>
      <c r="C301" s="20">
        <v>206.20907999999983</v>
      </c>
      <c r="D301" s="20">
        <v>0</v>
      </c>
      <c r="E301" s="20">
        <v>121.23170894376644</v>
      </c>
      <c r="F301" s="20">
        <v>206.20907999999983</v>
      </c>
      <c r="G301" s="20">
        <v>121.23170894376644</v>
      </c>
    </row>
    <row r="302" spans="1:7" ht="11.25" customHeight="1" x14ac:dyDescent="0.2">
      <c r="A302" s="30">
        <v>44470</v>
      </c>
      <c r="B302" s="20">
        <v>0</v>
      </c>
      <c r="C302" s="20">
        <v>407.40461999999968</v>
      </c>
      <c r="D302" s="20">
        <v>0</v>
      </c>
      <c r="E302" s="20">
        <v>239.51592390687048</v>
      </c>
      <c r="F302" s="20">
        <v>407.40461999999968</v>
      </c>
      <c r="G302" s="20">
        <v>239.51592390687048</v>
      </c>
    </row>
    <row r="303" spans="1:7" ht="11.25" customHeight="1" x14ac:dyDescent="0.2">
      <c r="A303" s="30">
        <v>44501</v>
      </c>
      <c r="B303" s="20">
        <v>0</v>
      </c>
      <c r="C303" s="20">
        <v>2137.8025199999984</v>
      </c>
      <c r="D303" s="20">
        <v>0</v>
      </c>
      <c r="E303" s="20">
        <v>1256.8285202760733</v>
      </c>
      <c r="F303" s="20">
        <v>2137.8025199999984</v>
      </c>
      <c r="G303" s="20">
        <v>1256.8285202760733</v>
      </c>
    </row>
    <row r="304" spans="1:7" ht="11.25" customHeight="1" x14ac:dyDescent="0.2">
      <c r="A304" s="30">
        <v>44531</v>
      </c>
      <c r="B304" s="20">
        <v>0</v>
      </c>
      <c r="C304" s="20">
        <v>2947.6708799999974</v>
      </c>
      <c r="D304" s="20">
        <v>0</v>
      </c>
      <c r="E304" s="20">
        <v>1732.9555914132193</v>
      </c>
      <c r="F304" s="20">
        <v>2947.6708799999974</v>
      </c>
      <c r="G304" s="20">
        <v>1732.9555914132193</v>
      </c>
    </row>
    <row r="305" spans="1:7" ht="11.25" customHeight="1" x14ac:dyDescent="0.2">
      <c r="A305" s="30">
        <v>44562</v>
      </c>
      <c r="B305" s="20">
        <v>0</v>
      </c>
      <c r="C305" s="20">
        <v>2767.9100399999979</v>
      </c>
      <c r="D305" s="20">
        <v>0</v>
      </c>
      <c r="E305" s="20">
        <v>1627.272981150049</v>
      </c>
      <c r="F305" s="20">
        <v>2767.9100399999979</v>
      </c>
      <c r="G305" s="20">
        <v>1627.272981150049</v>
      </c>
    </row>
    <row r="306" spans="1:7" ht="11.25" customHeight="1" x14ac:dyDescent="0.2">
      <c r="A306" s="30">
        <v>44593</v>
      </c>
      <c r="B306" s="20">
        <v>0</v>
      </c>
      <c r="C306" s="20">
        <v>1982.8913999999984</v>
      </c>
      <c r="D306" s="20">
        <v>0</v>
      </c>
      <c r="E306" s="20">
        <v>1165.755228004012</v>
      </c>
      <c r="F306" s="20">
        <v>1982.8913999999984</v>
      </c>
      <c r="G306" s="20">
        <v>1165.755228004012</v>
      </c>
    </row>
    <row r="307" spans="1:7" ht="11.25" customHeight="1" x14ac:dyDescent="0.2">
      <c r="A307" s="30">
        <v>44621</v>
      </c>
      <c r="B307" s="20">
        <v>0</v>
      </c>
      <c r="C307" s="20">
        <v>275.45405999999974</v>
      </c>
      <c r="D307" s="20">
        <v>0</v>
      </c>
      <c r="E307" s="20">
        <v>161.94129972016157</v>
      </c>
      <c r="F307" s="20">
        <v>275.45405999999974</v>
      </c>
      <c r="G307" s="20">
        <v>161.94129972016157</v>
      </c>
    </row>
    <row r="308" spans="1:7" ht="11.25" customHeight="1" x14ac:dyDescent="0.2">
      <c r="A308" s="30">
        <v>44652</v>
      </c>
      <c r="B308" s="20">
        <v>0</v>
      </c>
      <c r="C308" s="20">
        <v>136.52813999999989</v>
      </c>
      <c r="D308" s="20">
        <v>0</v>
      </c>
      <c r="E308" s="20">
        <v>80.265814342965868</v>
      </c>
      <c r="F308" s="20">
        <v>136.52813999999989</v>
      </c>
      <c r="G308" s="20">
        <v>80.265814342965868</v>
      </c>
    </row>
    <row r="309" spans="1:7" ht="11.25" customHeight="1" x14ac:dyDescent="0.2">
      <c r="A309" s="30">
        <v>44682</v>
      </c>
      <c r="B309" s="20">
        <v>0</v>
      </c>
      <c r="C309" s="20">
        <v>84.430919999999929</v>
      </c>
      <c r="D309" s="20">
        <v>0</v>
      </c>
      <c r="E309" s="20">
        <v>49.637507326517472</v>
      </c>
      <c r="F309" s="20">
        <v>84.430919999999929</v>
      </c>
      <c r="G309" s="20">
        <v>49.637507326517472</v>
      </c>
    </row>
    <row r="310" spans="1:7" ht="11.25" customHeight="1" x14ac:dyDescent="0.2">
      <c r="A310" s="30">
        <v>44713</v>
      </c>
      <c r="B310" s="20">
        <v>0</v>
      </c>
      <c r="C310" s="20">
        <v>58.127999999999957</v>
      </c>
      <c r="D310" s="20">
        <v>0</v>
      </c>
      <c r="E310" s="20">
        <v>34.173843254056784</v>
      </c>
      <c r="F310" s="20">
        <v>58.127999999999957</v>
      </c>
      <c r="G310" s="20">
        <v>34.173843254056784</v>
      </c>
    </row>
    <row r="311" spans="1:7" ht="11.25" customHeight="1" x14ac:dyDescent="0.2">
      <c r="A311" s="26" t="s">
        <v>25</v>
      </c>
      <c r="B311" s="20">
        <v>0</v>
      </c>
      <c r="C311" s="20">
        <v>1341228.4695599987</v>
      </c>
      <c r="D311" s="20">
        <v>0</v>
      </c>
      <c r="E311" s="20">
        <v>788517.26339495438</v>
      </c>
      <c r="F311" s="20">
        <v>1341228.4695599992</v>
      </c>
      <c r="G311" s="20">
        <v>788517.2633949545</v>
      </c>
    </row>
    <row r="312" spans="1:7" ht="11.25" customHeight="1" x14ac:dyDescent="0.2">
      <c r="A312" s="27" t="s">
        <v>25</v>
      </c>
      <c r="B312" s="20">
        <v>0</v>
      </c>
      <c r="C312" s="20">
        <v>1341228.4695599987</v>
      </c>
      <c r="D312" s="20">
        <v>0</v>
      </c>
      <c r="E312" s="20">
        <v>788517.26339495438</v>
      </c>
      <c r="F312" s="20">
        <v>1341228.4695599992</v>
      </c>
      <c r="G312" s="20">
        <v>788517.2633949545</v>
      </c>
    </row>
    <row r="313" spans="1:7" ht="11.25" customHeight="1" x14ac:dyDescent="0.2">
      <c r="A313" s="28" t="s">
        <v>25</v>
      </c>
      <c r="B313" s="20">
        <v>0</v>
      </c>
      <c r="C313" s="20">
        <v>1341228.4695599987</v>
      </c>
      <c r="D313" s="20">
        <v>0</v>
      </c>
      <c r="E313" s="20">
        <v>788517.26339495438</v>
      </c>
      <c r="F313" s="20">
        <v>1341228.4695599992</v>
      </c>
      <c r="G313" s="20">
        <v>788517.2633949545</v>
      </c>
    </row>
    <row r="314" spans="1:7" ht="11.25" customHeight="1" x14ac:dyDescent="0.2">
      <c r="A314" s="29" t="s">
        <v>25</v>
      </c>
      <c r="B314" s="20">
        <v>0</v>
      </c>
      <c r="C314" s="20">
        <v>1341228.4695599987</v>
      </c>
      <c r="D314" s="20">
        <v>0</v>
      </c>
      <c r="E314" s="20">
        <v>788517.26339495438</v>
      </c>
      <c r="F314" s="20">
        <v>1341228.4695599992</v>
      </c>
      <c r="G314" s="20">
        <v>788517.2633949545</v>
      </c>
    </row>
    <row r="315" spans="1:7" ht="11.25" customHeight="1" x14ac:dyDescent="0.2">
      <c r="A315" s="30">
        <v>44378</v>
      </c>
      <c r="B315" s="20">
        <v>0</v>
      </c>
      <c r="C315" s="20">
        <v>82680.031979999927</v>
      </c>
      <c r="D315" s="20">
        <v>0</v>
      </c>
      <c r="E315" s="20">
        <v>48608.148450401219</v>
      </c>
      <c r="F315" s="20">
        <v>82680.031979999927</v>
      </c>
      <c r="G315" s="20">
        <v>48608.148450401219</v>
      </c>
    </row>
    <row r="316" spans="1:7" ht="11.25" customHeight="1" x14ac:dyDescent="0.2">
      <c r="A316" s="30">
        <v>44409</v>
      </c>
      <c r="B316" s="20">
        <v>0</v>
      </c>
      <c r="C316" s="20">
        <v>82551.932399999932</v>
      </c>
      <c r="D316" s="20">
        <v>0</v>
      </c>
      <c r="E316" s="20">
        <v>48532.837843330097</v>
      </c>
      <c r="F316" s="20">
        <v>82551.932399999932</v>
      </c>
      <c r="G316" s="20">
        <v>48532.837843330097</v>
      </c>
    </row>
    <row r="317" spans="1:7" ht="11.25" customHeight="1" x14ac:dyDescent="0.2">
      <c r="A317" s="30">
        <v>44440</v>
      </c>
      <c r="B317" s="20">
        <v>0</v>
      </c>
      <c r="C317" s="20">
        <v>80204.723759999935</v>
      </c>
      <c r="D317" s="20">
        <v>0</v>
      </c>
      <c r="E317" s="20">
        <v>47152.898052731274</v>
      </c>
      <c r="F317" s="20">
        <v>80204.723759999935</v>
      </c>
      <c r="G317" s="20">
        <v>47152.898052731274</v>
      </c>
    </row>
    <row r="318" spans="1:7" ht="11.25" customHeight="1" x14ac:dyDescent="0.2">
      <c r="A318" s="30">
        <v>44470</v>
      </c>
      <c r="B318" s="20">
        <v>0</v>
      </c>
      <c r="C318" s="20">
        <v>84908.514179999926</v>
      </c>
      <c r="D318" s="20">
        <v>0</v>
      </c>
      <c r="E318" s="20">
        <v>49918.288166153623</v>
      </c>
      <c r="F318" s="20">
        <v>84908.514179999926</v>
      </c>
      <c r="G318" s="20">
        <v>49918.288166153623</v>
      </c>
    </row>
    <row r="319" spans="1:7" ht="11.25" customHeight="1" x14ac:dyDescent="0.2">
      <c r="A319" s="30">
        <v>44501</v>
      </c>
      <c r="B319" s="20">
        <v>0</v>
      </c>
      <c r="C319" s="20">
        <v>101035.90979999991</v>
      </c>
      <c r="D319" s="20">
        <v>0</v>
      </c>
      <c r="E319" s="20">
        <v>59399.692825079466</v>
      </c>
      <c r="F319" s="20">
        <v>101035.90979999991</v>
      </c>
      <c r="G319" s="20">
        <v>59399.692825079466</v>
      </c>
    </row>
    <row r="320" spans="1:7" ht="11.25" customHeight="1" x14ac:dyDescent="0.2">
      <c r="A320" s="30">
        <v>44531</v>
      </c>
      <c r="B320" s="20">
        <v>0</v>
      </c>
      <c r="C320" s="20">
        <v>129258.87029999989</v>
      </c>
      <c r="D320" s="20">
        <v>0</v>
      </c>
      <c r="E320" s="20">
        <v>75992.161657525721</v>
      </c>
      <c r="F320" s="20">
        <v>129258.87029999989</v>
      </c>
      <c r="G320" s="20">
        <v>75992.161657525721</v>
      </c>
    </row>
    <row r="321" spans="1:7" ht="11.25" customHeight="1" x14ac:dyDescent="0.2">
      <c r="A321" s="30">
        <v>44562</v>
      </c>
      <c r="B321" s="20">
        <v>0</v>
      </c>
      <c r="C321" s="20">
        <v>155136.07535999987</v>
      </c>
      <c r="D321" s="20">
        <v>0</v>
      </c>
      <c r="E321" s="20">
        <v>91205.545045454535</v>
      </c>
      <c r="F321" s="20">
        <v>155136.07535999987</v>
      </c>
      <c r="G321" s="20">
        <v>91205.545045454535</v>
      </c>
    </row>
    <row r="322" spans="1:7" ht="11.25" customHeight="1" x14ac:dyDescent="0.2">
      <c r="A322" s="30">
        <v>44593</v>
      </c>
      <c r="B322" s="20">
        <v>0</v>
      </c>
      <c r="C322" s="20">
        <v>155251.89539999986</v>
      </c>
      <c r="D322" s="20">
        <v>0</v>
      </c>
      <c r="E322" s="20">
        <v>91273.636428138241</v>
      </c>
      <c r="F322" s="20">
        <v>155251.89539999986</v>
      </c>
      <c r="G322" s="20">
        <v>91273.636428138241</v>
      </c>
    </row>
    <row r="323" spans="1:7" ht="11.25" customHeight="1" x14ac:dyDescent="0.2">
      <c r="A323" s="30">
        <v>44621</v>
      </c>
      <c r="B323" s="20">
        <v>0</v>
      </c>
      <c r="C323" s="20">
        <v>134341.87325999988</v>
      </c>
      <c r="D323" s="20">
        <v>0</v>
      </c>
      <c r="E323" s="20">
        <v>78980.493380876724</v>
      </c>
      <c r="F323" s="20">
        <v>134341.87325999988</v>
      </c>
      <c r="G323" s="20">
        <v>78980.493380876724</v>
      </c>
    </row>
    <row r="324" spans="1:7" ht="11.25" customHeight="1" x14ac:dyDescent="0.2">
      <c r="A324" s="30">
        <v>44652</v>
      </c>
      <c r="B324" s="20">
        <v>0</v>
      </c>
      <c r="C324" s="20">
        <v>129782.67623999987</v>
      </c>
      <c r="D324" s="20">
        <v>0</v>
      </c>
      <c r="E324" s="20">
        <v>76300.110702548845</v>
      </c>
      <c r="F324" s="20">
        <v>129782.67623999987</v>
      </c>
      <c r="G324" s="20">
        <v>76300.110702548845</v>
      </c>
    </row>
    <row r="325" spans="1:7" ht="11.25" customHeight="1" x14ac:dyDescent="0.2">
      <c r="A325" s="30">
        <v>44682</v>
      </c>
      <c r="B325" s="20">
        <v>0</v>
      </c>
      <c r="C325" s="20">
        <v>107598.1976999999</v>
      </c>
      <c r="D325" s="20">
        <v>0</v>
      </c>
      <c r="E325" s="20">
        <v>63257.706141942144</v>
      </c>
      <c r="F325" s="20">
        <v>107598.1976999999</v>
      </c>
      <c r="G325" s="20">
        <v>63257.706141942144</v>
      </c>
    </row>
    <row r="326" spans="1:7" ht="11.25" customHeight="1" x14ac:dyDescent="0.2">
      <c r="A326" s="30">
        <v>44713</v>
      </c>
      <c r="B326" s="20">
        <v>0</v>
      </c>
      <c r="C326" s="20">
        <v>98477.769179999916</v>
      </c>
      <c r="D326" s="20">
        <v>0</v>
      </c>
      <c r="E326" s="20">
        <v>57895.744700772499</v>
      </c>
      <c r="F326" s="20">
        <v>98477.769179999916</v>
      </c>
      <c r="G326" s="20">
        <v>57895.744700772499</v>
      </c>
    </row>
    <row r="327" spans="1:7" ht="11.25" customHeight="1" x14ac:dyDescent="0.2">
      <c r="A327" s="22" t="s">
        <v>785</v>
      </c>
      <c r="B327" s="20">
        <v>0</v>
      </c>
      <c r="C327" s="20">
        <v>0</v>
      </c>
      <c r="D327" s="20">
        <v>0</v>
      </c>
      <c r="E327" s="20">
        <v>0</v>
      </c>
      <c r="F327" s="20">
        <v>0</v>
      </c>
      <c r="G327" s="20">
        <v>0</v>
      </c>
    </row>
    <row r="328" spans="1:7" ht="11.25" customHeight="1" x14ac:dyDescent="0.2">
      <c r="A328" s="23" t="s">
        <v>22</v>
      </c>
      <c r="B328" s="20">
        <v>0</v>
      </c>
      <c r="C328" s="20">
        <v>0</v>
      </c>
      <c r="D328" s="20">
        <v>0</v>
      </c>
      <c r="E328" s="20">
        <v>0</v>
      </c>
      <c r="F328" s="20">
        <v>0</v>
      </c>
      <c r="G328" s="20">
        <v>0</v>
      </c>
    </row>
    <row r="329" spans="1:7" ht="11.25" customHeight="1" x14ac:dyDescent="0.2">
      <c r="A329" s="24" t="s">
        <v>23</v>
      </c>
      <c r="B329" s="20">
        <v>0</v>
      </c>
      <c r="C329" s="20">
        <v>0</v>
      </c>
      <c r="D329" s="20">
        <v>0</v>
      </c>
      <c r="E329" s="20">
        <v>0</v>
      </c>
      <c r="F329" s="20">
        <v>0</v>
      </c>
      <c r="G329" s="20">
        <v>0</v>
      </c>
    </row>
    <row r="330" spans="1:7" ht="11.25" customHeight="1" x14ac:dyDescent="0.2">
      <c r="A330" s="25" t="s">
        <v>24</v>
      </c>
      <c r="B330" s="20">
        <v>0</v>
      </c>
      <c r="C330" s="20">
        <v>0</v>
      </c>
      <c r="D330" s="20">
        <v>0</v>
      </c>
      <c r="E330" s="20">
        <v>0</v>
      </c>
      <c r="F330" s="20">
        <v>0</v>
      </c>
      <c r="G330" s="20">
        <v>0</v>
      </c>
    </row>
    <row r="331" spans="1:7" ht="11.25" customHeight="1" x14ac:dyDescent="0.2">
      <c r="A331" s="26" t="s">
        <v>24</v>
      </c>
      <c r="B331" s="20">
        <v>0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</row>
    <row r="332" spans="1:7" ht="11.25" customHeight="1" x14ac:dyDescent="0.2">
      <c r="A332" s="27" t="s">
        <v>25</v>
      </c>
      <c r="B332" s="20">
        <v>0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</row>
    <row r="333" spans="1:7" ht="11.25" customHeight="1" x14ac:dyDescent="0.2">
      <c r="A333" s="28" t="s">
        <v>25</v>
      </c>
      <c r="B333" s="20">
        <v>0</v>
      </c>
      <c r="C333" s="20">
        <v>0</v>
      </c>
      <c r="D333" s="20">
        <v>0</v>
      </c>
      <c r="E333" s="20">
        <v>0</v>
      </c>
      <c r="F333" s="20">
        <v>0</v>
      </c>
      <c r="G333" s="20">
        <v>0</v>
      </c>
    </row>
    <row r="334" spans="1:7" ht="11.25" customHeight="1" x14ac:dyDescent="0.2">
      <c r="A334" s="29" t="s">
        <v>25</v>
      </c>
      <c r="B334" s="20">
        <v>0</v>
      </c>
      <c r="C334" s="20">
        <v>0</v>
      </c>
      <c r="D334" s="20">
        <v>0</v>
      </c>
      <c r="E334" s="20">
        <v>0</v>
      </c>
      <c r="F334" s="20">
        <v>0</v>
      </c>
      <c r="G334" s="20">
        <v>0</v>
      </c>
    </row>
    <row r="335" spans="1:7" ht="11.25" customHeight="1" x14ac:dyDescent="0.2">
      <c r="A335" s="30">
        <v>44378</v>
      </c>
      <c r="B335" s="20">
        <v>0</v>
      </c>
      <c r="C335" s="20">
        <v>0</v>
      </c>
      <c r="D335" s="20">
        <v>0</v>
      </c>
      <c r="E335" s="20">
        <v>0</v>
      </c>
      <c r="F335" s="20">
        <v>0</v>
      </c>
      <c r="G335" s="20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5B22F-7723-401B-98D4-530843D0072E}">
  <dimension ref="A1:V35"/>
  <sheetViews>
    <sheetView showGridLines="0" workbookViewId="0">
      <selection sqref="A1:J1"/>
    </sheetView>
  </sheetViews>
  <sheetFormatPr defaultColWidth="9.109375" defaultRowHeight="11.25" customHeight="1" x14ac:dyDescent="0.3"/>
  <cols>
    <col min="1" max="1" width="9.33203125" style="8" bestFit="1" customWidth="1"/>
    <col min="2" max="2" width="11.109375" style="8" bestFit="1" customWidth="1"/>
    <col min="3" max="3" width="10.33203125" style="8" bestFit="1" customWidth="1"/>
    <col min="4" max="4" width="6.33203125" style="8" bestFit="1" customWidth="1"/>
    <col min="5" max="10" width="7.6640625" style="8" customWidth="1"/>
    <col min="11" max="12" width="9.109375" style="8"/>
    <col min="13" max="13" width="14.33203125" style="8" customWidth="1"/>
    <col min="14" max="14" width="16.6640625" style="8" customWidth="1"/>
    <col min="15" max="15" width="31.6640625" style="8" customWidth="1"/>
    <col min="16" max="22" width="7.6640625" style="8" customWidth="1"/>
    <col min="23" max="16384" width="9.109375" style="8"/>
  </cols>
  <sheetData>
    <row r="1" spans="1:22" ht="11.25" customHeight="1" x14ac:dyDescent="0.3">
      <c r="A1" s="125" t="s">
        <v>858</v>
      </c>
      <c r="B1" s="150"/>
      <c r="C1" s="150"/>
      <c r="D1" s="150"/>
      <c r="E1" s="150"/>
      <c r="F1" s="150"/>
      <c r="G1" s="150"/>
      <c r="H1" s="150"/>
      <c r="I1" s="150"/>
      <c r="J1" s="150"/>
      <c r="L1" s="125" t="s">
        <v>868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22" ht="11.25" customHeight="1" x14ac:dyDescent="0.3">
      <c r="A2" s="142" t="s">
        <v>66</v>
      </c>
      <c r="B2" s="142" t="s">
        <v>67</v>
      </c>
      <c r="C2" s="142" t="s">
        <v>859</v>
      </c>
      <c r="D2" s="142" t="s">
        <v>72</v>
      </c>
      <c r="E2" s="142" t="s">
        <v>860</v>
      </c>
      <c r="F2" s="148"/>
      <c r="G2" s="148"/>
      <c r="H2" s="142" t="s">
        <v>652</v>
      </c>
      <c r="I2" s="148"/>
      <c r="J2" s="148"/>
      <c r="L2" s="142" t="s">
        <v>66</v>
      </c>
      <c r="M2" s="142" t="s">
        <v>67</v>
      </c>
      <c r="N2" s="142" t="s">
        <v>68</v>
      </c>
      <c r="O2" s="142" t="s">
        <v>69</v>
      </c>
      <c r="P2" s="142" t="s">
        <v>72</v>
      </c>
      <c r="Q2" s="142" t="s">
        <v>860</v>
      </c>
      <c r="R2" s="149"/>
      <c r="S2" s="149"/>
      <c r="T2" s="142" t="s">
        <v>652</v>
      </c>
      <c r="U2" s="149"/>
      <c r="V2" s="149"/>
    </row>
    <row r="3" spans="1:22" ht="11.25" customHeight="1" x14ac:dyDescent="0.3">
      <c r="A3" s="148"/>
      <c r="B3" s="148"/>
      <c r="C3" s="148"/>
      <c r="D3" s="148"/>
      <c r="E3" s="142" t="s">
        <v>610</v>
      </c>
      <c r="F3" s="148"/>
      <c r="G3" s="78" t="s">
        <v>638</v>
      </c>
      <c r="H3" s="142" t="s">
        <v>610</v>
      </c>
      <c r="I3" s="148"/>
      <c r="J3" s="78" t="s">
        <v>638</v>
      </c>
      <c r="L3" s="149"/>
      <c r="M3" s="149"/>
      <c r="N3" s="149"/>
      <c r="O3" s="149"/>
      <c r="P3" s="149"/>
      <c r="Q3" s="142" t="s">
        <v>610</v>
      </c>
      <c r="R3" s="149"/>
      <c r="S3" s="78" t="s">
        <v>638</v>
      </c>
      <c r="T3" s="142" t="s">
        <v>610</v>
      </c>
      <c r="U3" s="149"/>
      <c r="V3" s="78" t="s">
        <v>638</v>
      </c>
    </row>
    <row r="4" spans="1:22" ht="11.25" customHeight="1" x14ac:dyDescent="0.3">
      <c r="A4" s="148"/>
      <c r="B4" s="148"/>
      <c r="C4" s="148"/>
      <c r="D4" s="148"/>
      <c r="E4" s="78" t="s">
        <v>861</v>
      </c>
      <c r="F4" s="78" t="s">
        <v>862</v>
      </c>
      <c r="G4" s="78" t="s">
        <v>862</v>
      </c>
      <c r="H4" s="78" t="s">
        <v>861</v>
      </c>
      <c r="I4" s="78" t="s">
        <v>862</v>
      </c>
      <c r="J4" s="78" t="s">
        <v>862</v>
      </c>
      <c r="L4" s="149"/>
      <c r="M4" s="149"/>
      <c r="N4" s="149"/>
      <c r="O4" s="149"/>
      <c r="P4" s="149"/>
      <c r="Q4" s="78" t="s">
        <v>861</v>
      </c>
      <c r="R4" s="78" t="s">
        <v>862</v>
      </c>
      <c r="S4" s="78" t="s">
        <v>862</v>
      </c>
      <c r="T4" s="78" t="s">
        <v>861</v>
      </c>
      <c r="U4" s="78" t="s">
        <v>862</v>
      </c>
      <c r="V4" s="78" t="s">
        <v>862</v>
      </c>
    </row>
    <row r="5" spans="1:22" ht="11.25" customHeight="1" x14ac:dyDescent="0.3">
      <c r="A5" s="147" t="s">
        <v>39</v>
      </c>
      <c r="B5" s="147" t="s">
        <v>83</v>
      </c>
      <c r="C5" s="147" t="s">
        <v>25</v>
      </c>
      <c r="D5" s="79" t="s">
        <v>863</v>
      </c>
      <c r="E5" s="77">
        <f ca="1">ROUND('TUSD BE'!$AM$5+'TUSD BF'!$AM$5+'TUSD CVA'!$AM$5,2)</f>
        <v>73.62</v>
      </c>
      <c r="F5" s="77">
        <f ca="1">ROUND('TUSD BE'!$AM$7+'TUSD BF'!$AM$7+'TUSD CVA'!$AM$7,2)</f>
        <v>104.15</v>
      </c>
      <c r="G5" s="77">
        <f>ROUND('TE BE'!$AB$5+'TE BF'!$AB$5+'TE CVA'!$AB$5,2)</f>
        <v>311.41000000000003</v>
      </c>
      <c r="H5" s="77">
        <f ca="1">ROUND('TUSD BE'!$AM$5,2)</f>
        <v>86.81</v>
      </c>
      <c r="I5" s="77">
        <f ca="1">ROUND('TUSD BE'!$AM$7,2)</f>
        <v>106.45</v>
      </c>
      <c r="J5" s="77">
        <f>ROUND('TE BE'!$AB$5,2)</f>
        <v>367.02</v>
      </c>
      <c r="L5" s="144" t="s">
        <v>22</v>
      </c>
      <c r="M5" s="144" t="s">
        <v>869</v>
      </c>
      <c r="N5" s="144" t="s">
        <v>870</v>
      </c>
      <c r="O5" s="144" t="s">
        <v>870</v>
      </c>
      <c r="P5" s="79" t="s">
        <v>863</v>
      </c>
      <c r="Q5" s="77">
        <v>0</v>
      </c>
      <c r="R5" s="77">
        <f ca="1">ROUND('TUSD BE'!$AM$20+'TUSD BF'!$AM$20+'TUSD CVA'!$AM$20,2)</f>
        <v>1081.48</v>
      </c>
      <c r="S5" s="77">
        <f>ROUND('TE BE'!$AB$11+'TE BF'!$AB$11+'TE CVA'!$AB$11,2)</f>
        <v>311.41000000000003</v>
      </c>
      <c r="T5" s="77">
        <v>0</v>
      </c>
      <c r="U5" s="77">
        <f ca="1">ROUND('TUSD BE'!$AM$20,2)</f>
        <v>1241.8800000000001</v>
      </c>
      <c r="V5" s="77">
        <f>ROUND('TE BE'!$AB$11,2)</f>
        <v>367.02</v>
      </c>
    </row>
    <row r="6" spans="1:22" ht="11.25" customHeight="1" x14ac:dyDescent="0.3">
      <c r="A6" s="148"/>
      <c r="B6" s="148"/>
      <c r="C6" s="148"/>
      <c r="D6" s="79" t="s">
        <v>864</v>
      </c>
      <c r="E6" s="77">
        <f ca="1">ROUND('TUSD BE'!$AM$6+'TUSD BF'!$AM$6+'TUSD CVA'!$AM$6,2)</f>
        <v>39.119999999999997</v>
      </c>
      <c r="F6" s="77">
        <f ca="1">ROUND('TUSD BE'!$AM$7+'TUSD BF'!$AM$7+'TUSD CVA'!$AM$7,2)</f>
        <v>104.15</v>
      </c>
      <c r="G6" s="77">
        <f>ROUND('TE BE'!$AB$6+'TE BF'!$AB$6+'TE CVA'!$AB$6,2)</f>
        <v>195.9</v>
      </c>
      <c r="H6" s="77">
        <f ca="1">ROUND('TUSD BE'!$AM$6,2)</f>
        <v>46.68</v>
      </c>
      <c r="I6" s="77">
        <f ca="1">ROUND('TUSD BE'!$AM$7,2)</f>
        <v>106.45</v>
      </c>
      <c r="J6" s="77">
        <f>ROUND('TE BE'!$AB$6,2)</f>
        <v>226.96</v>
      </c>
      <c r="L6" s="145"/>
      <c r="M6" s="145"/>
      <c r="N6" s="145"/>
      <c r="O6" s="145"/>
      <c r="P6" s="79" t="s">
        <v>871</v>
      </c>
      <c r="Q6" s="77">
        <v>0</v>
      </c>
      <c r="R6" s="77">
        <f ca="1">ROUND('TUSD BE'!$AM$21+'TUSD BF'!$AM$21+'TUSD CVA'!$AM$21,2)</f>
        <v>700.21</v>
      </c>
      <c r="S6" s="77">
        <f>ROUND('TE BE'!$AB$12+'TE BF'!$AB$12+'TE CVA'!$AB$12,2)</f>
        <v>195.9</v>
      </c>
      <c r="T6" s="77">
        <v>0</v>
      </c>
      <c r="U6" s="77">
        <f ca="1">ROUND('TUSD BE'!$AM$21,2)</f>
        <v>798.2</v>
      </c>
      <c r="V6" s="77">
        <f>ROUND('TE BE'!$AB$12,2)</f>
        <v>226.96</v>
      </c>
    </row>
    <row r="7" spans="1:22" ht="11.25" customHeight="1" x14ac:dyDescent="0.3">
      <c r="A7" s="148"/>
      <c r="B7" s="147" t="s">
        <v>865</v>
      </c>
      <c r="C7" s="147" t="s">
        <v>25</v>
      </c>
      <c r="D7" s="79" t="s">
        <v>863</v>
      </c>
      <c r="E7" s="77">
        <f ca="1">ROUND('TUSD BE'!$AM$5+'TUSD BF'!$AM$5+'TUSD CVA'!$AM$5,2)</f>
        <v>73.62</v>
      </c>
      <c r="F7" s="77">
        <f ca="1">ROUND('TUSD BE'!$AM$8+'TUSD BF'!$AM$8+'TUSD CVA'!$AM$8,2)</f>
        <v>11.82</v>
      </c>
      <c r="G7" s="77">
        <v>0</v>
      </c>
      <c r="H7" s="77">
        <f ca="1">ROUND('TUSD BE'!$AM$5,2)</f>
        <v>86.81</v>
      </c>
      <c r="I7" s="77">
        <f ca="1">ROUND('TUSD BE'!$AM$8,2)</f>
        <v>14.12</v>
      </c>
      <c r="J7" s="77">
        <v>0</v>
      </c>
      <c r="L7" s="145"/>
      <c r="M7" s="146"/>
      <c r="N7" s="146"/>
      <c r="O7" s="146"/>
      <c r="P7" s="79" t="s">
        <v>864</v>
      </c>
      <c r="Q7" s="77">
        <v>0</v>
      </c>
      <c r="R7" s="77">
        <f ca="1">ROUND('TUSD BE'!$AM$22+'TUSD BF'!$AM$22+'TUSD CVA'!$AM$22,2)</f>
        <v>318.93</v>
      </c>
      <c r="S7" s="77">
        <f>ROUND('TE BE'!$AB$13+'TE BF'!$AB$13+'TE CVA'!$AB$13,2)</f>
        <v>195.9</v>
      </c>
      <c r="T7" s="77">
        <v>0</v>
      </c>
      <c r="U7" s="77">
        <f ca="1">ROUND('TUSD BE'!$AM$22,2)</f>
        <v>354.53</v>
      </c>
      <c r="V7" s="77">
        <f>ROUND('TE BE'!$AB$13,2)</f>
        <v>226.96</v>
      </c>
    </row>
    <row r="8" spans="1:22" ht="11.25" customHeight="1" x14ac:dyDescent="0.3">
      <c r="A8" s="148"/>
      <c r="B8" s="148"/>
      <c r="C8" s="148"/>
      <c r="D8" s="79" t="s">
        <v>864</v>
      </c>
      <c r="E8" s="77">
        <f ca="1">ROUND('TUSD BE'!$AM$6+'TUSD BF'!$AM$6+'TUSD CVA'!$AM$6,2)</f>
        <v>39.119999999999997</v>
      </c>
      <c r="F8" s="77">
        <f ca="1">ROUND('TUSD BE'!$AM$8+'TUSD BF'!$AM$8+'TUSD CVA'!$AM$8,2)</f>
        <v>11.82</v>
      </c>
      <c r="G8" s="77">
        <v>0</v>
      </c>
      <c r="H8" s="77">
        <f ca="1">ROUND('TUSD BE'!$AM$6,2)</f>
        <v>46.68</v>
      </c>
      <c r="I8" s="77">
        <f ca="1">ROUND('TUSD BE'!$AM$8,2)</f>
        <v>14.12</v>
      </c>
      <c r="J8" s="77">
        <v>0</v>
      </c>
      <c r="L8" s="145"/>
      <c r="M8" s="79" t="s">
        <v>872</v>
      </c>
      <c r="N8" s="79" t="s">
        <v>870</v>
      </c>
      <c r="O8" s="79" t="s">
        <v>870</v>
      </c>
      <c r="P8" s="79" t="s">
        <v>866</v>
      </c>
      <c r="Q8" s="77">
        <v>0</v>
      </c>
      <c r="R8" s="77">
        <f ca="1">ROUND('TUSD BE'!$AM$28+'TUSD BF'!$AM$28+'TUSD CVA'!$AM$28,2)</f>
        <v>446.02</v>
      </c>
      <c r="S8" s="77">
        <f>ROUND('TE BE'!$AB$19+'TE BF'!$AB$19+'TE CVA'!$AB$19,2)</f>
        <v>205.52</v>
      </c>
      <c r="T8" s="77">
        <v>0</v>
      </c>
      <c r="U8" s="77">
        <f ca="1">ROUND('TUSD BE'!$AM$28,2)</f>
        <v>502.42</v>
      </c>
      <c r="V8" s="77">
        <f>ROUND('TE BE'!$AB$19,2)</f>
        <v>238.63</v>
      </c>
    </row>
    <row r="9" spans="1:22" ht="11.25" customHeight="1" x14ac:dyDescent="0.3">
      <c r="A9" s="148"/>
      <c r="B9" s="147" t="s">
        <v>40</v>
      </c>
      <c r="C9" s="147" t="s">
        <v>25</v>
      </c>
      <c r="D9" s="79" t="s">
        <v>866</v>
      </c>
      <c r="E9" s="77">
        <f ca="1">ROUND('TUSD BE'!$AM$13+'TUSD BF'!$AM$13+'TUSD CVA'!$AM$13,2)</f>
        <v>39.119999999999997</v>
      </c>
      <c r="F9" s="77">
        <v>0</v>
      </c>
      <c r="G9" s="77">
        <v>0</v>
      </c>
      <c r="H9" s="77">
        <f ca="1">ROUND('TUSD BE'!$AM$13,2)</f>
        <v>46.68</v>
      </c>
      <c r="I9" s="77">
        <v>0</v>
      </c>
      <c r="J9" s="77">
        <v>0</v>
      </c>
      <c r="L9" s="145"/>
      <c r="M9" s="79" t="s">
        <v>874</v>
      </c>
      <c r="N9" s="79" t="s">
        <v>870</v>
      </c>
      <c r="O9" s="79" t="s">
        <v>870</v>
      </c>
      <c r="P9" s="79" t="s">
        <v>866</v>
      </c>
      <c r="Q9" s="77">
        <v>0</v>
      </c>
      <c r="R9" s="77">
        <f ca="1">ROUND('TUSD BE'!$AM$23+'TUSD BF'!$AM$23+'TUSD CVA'!$AM$23,2)</f>
        <v>446.02</v>
      </c>
      <c r="S9" s="77">
        <f>ROUND('TE BE'!$AB$14+'TE BF'!$AB$14+'TE CVA'!$AB$14,2)</f>
        <v>205.52</v>
      </c>
      <c r="T9" s="77">
        <v>0</v>
      </c>
      <c r="U9" s="77">
        <f ca="1">ROUND('TUSD BE'!$AM$23,2)</f>
        <v>502.42</v>
      </c>
      <c r="V9" s="77">
        <f>ROUND('TE BE'!$AB$14,2)</f>
        <v>238.63</v>
      </c>
    </row>
    <row r="10" spans="1:22" ht="11.25" customHeight="1" x14ac:dyDescent="0.3">
      <c r="A10" s="148"/>
      <c r="B10" s="148"/>
      <c r="C10" s="148"/>
      <c r="D10" s="79" t="s">
        <v>863</v>
      </c>
      <c r="E10" s="77">
        <v>0</v>
      </c>
      <c r="F10" s="77">
        <f ca="1">ROUND('TUSD BE'!$AM$14+'TUSD BF'!$AM$14+'TUSD CVA'!$AM$14,2)</f>
        <v>1891.43</v>
      </c>
      <c r="G10" s="77">
        <f>ROUND('TE BE'!$AB$5+'TE BF'!$AB$5+'TE CVA'!$AB$5,2)</f>
        <v>311.41000000000003</v>
      </c>
      <c r="H10" s="77">
        <v>0</v>
      </c>
      <c r="I10" s="77">
        <f ca="1">ROUND('TUSD BE'!$AM$14,2)</f>
        <v>2213.4899999999998</v>
      </c>
      <c r="J10" s="77">
        <f>ROUND('TE BE'!$AB$5,2)</f>
        <v>367.02</v>
      </c>
      <c r="L10" s="145"/>
      <c r="M10" s="79" t="s">
        <v>872</v>
      </c>
      <c r="N10" s="79" t="s">
        <v>870</v>
      </c>
      <c r="O10" s="79" t="s">
        <v>873</v>
      </c>
      <c r="P10" s="79" t="s">
        <v>866</v>
      </c>
      <c r="Q10" s="77">
        <v>0</v>
      </c>
      <c r="R10" s="77">
        <f ca="1">ROUND('TUSD BE'!$AM$29+'TUSD BF'!$AM$29+'TUSD CVA'!$AM$29,2)</f>
        <v>339</v>
      </c>
      <c r="S10" s="77">
        <f>ROUND('TE BE'!$AB$20+'TE BF'!$AB$20+'TE CVA'!$AB$20,2)</f>
        <v>205.52</v>
      </c>
      <c r="T10" s="77">
        <v>0</v>
      </c>
      <c r="U10" s="77">
        <f ca="1">ROUND('TUSD BE'!$AM$29,2)</f>
        <v>395.2</v>
      </c>
      <c r="V10" s="77">
        <f>ROUND('TE BE'!$AB$20,2)</f>
        <v>238.63</v>
      </c>
    </row>
    <row r="11" spans="1:22" ht="11.25" customHeight="1" x14ac:dyDescent="0.3">
      <c r="A11" s="148"/>
      <c r="B11" s="148"/>
      <c r="C11" s="148"/>
      <c r="D11" s="79" t="s">
        <v>864</v>
      </c>
      <c r="E11" s="77">
        <v>0</v>
      </c>
      <c r="F11" s="77">
        <f ca="1">ROUND('TUSD BE'!$AM$15+'TUSD BF'!$AM$15+'TUSD CVA'!$AM$15,2)</f>
        <v>104.15</v>
      </c>
      <c r="G11" s="77">
        <f>ROUND('TE BE'!$AB$6+'TE BF'!$AB$6+'TE CVA'!$AB$6,2)</f>
        <v>195.9</v>
      </c>
      <c r="H11" s="77">
        <v>0</v>
      </c>
      <c r="I11" s="77">
        <f ca="1">ROUND('TUSD BE'!$AM$15,2)</f>
        <v>106.45</v>
      </c>
      <c r="J11" s="77">
        <f>ROUND('TE BE'!$AB$6,2)</f>
        <v>226.96</v>
      </c>
      <c r="L11" s="146"/>
      <c r="M11" s="79" t="s">
        <v>874</v>
      </c>
      <c r="N11" s="79" t="s">
        <v>870</v>
      </c>
      <c r="O11" s="79" t="s">
        <v>873</v>
      </c>
      <c r="P11" s="79" t="s">
        <v>866</v>
      </c>
      <c r="Q11" s="77">
        <v>0</v>
      </c>
      <c r="R11" s="77">
        <f ca="1">ROUND('TUSD BE'!$AM$24+'TUSD BF'!$AM$24+'TUSD CVA'!$AM$24,2)</f>
        <v>339</v>
      </c>
      <c r="S11" s="77">
        <f>ROUND('TE BE'!$AB$15+'TE BF'!$AB$15+'TE CVA'!$AB$15,2)</f>
        <v>205.52</v>
      </c>
      <c r="T11" s="77">
        <v>0</v>
      </c>
      <c r="U11" s="77">
        <f ca="1">ROUND('TUSD BE'!$AM$24,2)</f>
        <v>395.2</v>
      </c>
      <c r="V11" s="77">
        <f>ROUND('TE BE'!$AB$15,2)</f>
        <v>238.63</v>
      </c>
    </row>
    <row r="12" spans="1:22" ht="11.25" customHeight="1" x14ac:dyDescent="0.3">
      <c r="A12" s="148"/>
      <c r="B12" s="147" t="s">
        <v>867</v>
      </c>
      <c r="C12" s="147" t="s">
        <v>25</v>
      </c>
      <c r="D12" s="79" t="s">
        <v>866</v>
      </c>
      <c r="E12" s="77">
        <f ca="1">ROUND('TUSD BE'!$AM$13+'TUSD BF'!$AM$13+'TUSD CVA'!$AM$13,2)</f>
        <v>39.119999999999997</v>
      </c>
      <c r="F12" s="77">
        <v>0</v>
      </c>
      <c r="G12" s="77">
        <v>0</v>
      </c>
      <c r="H12" s="77">
        <f ca="1">ROUND('TUSD BE'!$AM$13,2)</f>
        <v>46.68</v>
      </c>
      <c r="I12" s="77">
        <v>0</v>
      </c>
      <c r="J12" s="77">
        <v>0</v>
      </c>
      <c r="L12" s="144" t="s">
        <v>42</v>
      </c>
      <c r="M12" s="144" t="s">
        <v>869</v>
      </c>
      <c r="N12" s="144" t="s">
        <v>875</v>
      </c>
      <c r="O12" s="144" t="s">
        <v>876</v>
      </c>
      <c r="P12" s="79" t="s">
        <v>863</v>
      </c>
      <c r="Q12" s="77">
        <v>0</v>
      </c>
      <c r="R12" s="77">
        <f ca="1">ROUND(('TUSD BE'!$AM$33+'TUSD BF'!$AM$33+'TUSD CVA'!$AM$33)*(1-CUSTOS!$M$38),2)</f>
        <v>1061.3900000000001</v>
      </c>
      <c r="S12" s="77">
        <f>ROUND(('TE BE'!$AB$24+'TE BF'!$AB$24+'TE CVA'!$AB$24)*(1-CUSTOS!$M$38),2)</f>
        <v>292.73</v>
      </c>
      <c r="T12" s="77">
        <v>0</v>
      </c>
      <c r="U12" s="77">
        <f ca="1">ROUND('TUSD BE'!$AM$33*(1-CUSTOS!$M$38),2)</f>
        <v>1219.49</v>
      </c>
      <c r="V12" s="77">
        <f>ROUND('TE BE'!$AB$24*(1-CUSTOS!$M$38),2)</f>
        <v>345</v>
      </c>
    </row>
    <row r="13" spans="1:22" ht="11.25" customHeight="1" x14ac:dyDescent="0.3">
      <c r="A13" s="148"/>
      <c r="B13" s="148"/>
      <c r="C13" s="148"/>
      <c r="D13" s="79" t="s">
        <v>863</v>
      </c>
      <c r="E13" s="77">
        <v>0</v>
      </c>
      <c r="F13" s="77">
        <f ca="1">ROUND('TUSD BE'!$AM$16+'TUSD BF'!$AM$16+'TUSD CVA'!$AM$16,2)</f>
        <v>1799.1</v>
      </c>
      <c r="G13" s="77">
        <v>0</v>
      </c>
      <c r="H13" s="77">
        <v>0</v>
      </c>
      <c r="I13" s="77">
        <f ca="1">ROUND('TUSD BE'!$AM$16,2)</f>
        <v>2121.16</v>
      </c>
      <c r="J13" s="77">
        <v>0</v>
      </c>
      <c r="L13" s="145"/>
      <c r="M13" s="145"/>
      <c r="N13" s="145"/>
      <c r="O13" s="145"/>
      <c r="P13" s="79" t="s">
        <v>871</v>
      </c>
      <c r="Q13" s="77">
        <v>0</v>
      </c>
      <c r="R13" s="77">
        <f ca="1">ROUND(('TUSD BE'!$AM$34+'TUSD BF'!$AM$34+'TUSD CVA'!$AM$34)*(1-CUSTOS!$M$38),2)</f>
        <v>685.07</v>
      </c>
      <c r="S13" s="77">
        <f>ROUND(('TE BE'!$AB$25+'TE BF'!$AB$25+'TE CVA'!$AB$25)*(1-CUSTOS!$M$38),2)</f>
        <v>184.14</v>
      </c>
      <c r="T13" s="77">
        <v>0</v>
      </c>
      <c r="U13" s="77">
        <f ca="1">ROUND('TUSD BE'!$AM$34*(1-CUSTOS!$M$38),2)</f>
        <v>781.59</v>
      </c>
      <c r="V13" s="77">
        <f>ROUND('TE BE'!$AB$25*(1-CUSTOS!$M$38),2)</f>
        <v>213.34</v>
      </c>
    </row>
    <row r="14" spans="1:22" ht="11.25" customHeight="1" x14ac:dyDescent="0.3">
      <c r="A14" s="148"/>
      <c r="B14" s="148"/>
      <c r="C14" s="148"/>
      <c r="D14" s="79" t="s">
        <v>864</v>
      </c>
      <c r="E14" s="77">
        <v>0</v>
      </c>
      <c r="F14" s="77">
        <f ca="1">ROUND('TUSD BE'!$AM$17+'TUSD BF'!$AM$17+'TUSD CVA'!$AM$17,2)</f>
        <v>11.82</v>
      </c>
      <c r="G14" s="77">
        <v>0</v>
      </c>
      <c r="H14" s="77">
        <v>0</v>
      </c>
      <c r="I14" s="77">
        <f ca="1">ROUND('TUSD BE'!$AM$17,2)</f>
        <v>14.12</v>
      </c>
      <c r="J14" s="77">
        <v>0</v>
      </c>
      <c r="L14" s="145"/>
      <c r="M14" s="146"/>
      <c r="N14" s="146"/>
      <c r="O14" s="146"/>
      <c r="P14" s="79" t="s">
        <v>864</v>
      </c>
      <c r="Q14" s="77">
        <v>0</v>
      </c>
      <c r="R14" s="77">
        <f ca="1">ROUND(('TUSD BE'!$AM$35+'TUSD BF'!$AM$35+'TUSD CVA'!$AM$35)*(1-CUSTOS!$M$38),2)</f>
        <v>308.75</v>
      </c>
      <c r="S14" s="77">
        <f>ROUND(('TE BE'!$AB$26+'TE BF'!$AB$26+'TE CVA'!$AB$26)*(1-CUSTOS!$M$38),2)</f>
        <v>184.14</v>
      </c>
      <c r="T14" s="77">
        <v>0</v>
      </c>
      <c r="U14" s="77">
        <f ca="1">ROUND('TUSD BE'!$AM$35*(1-CUSTOS!$M$38),2)</f>
        <v>343.69</v>
      </c>
      <c r="V14" s="77">
        <f>ROUND('TE BE'!$AB$26*(1-CUSTOS!$M$38),2)</f>
        <v>213.34</v>
      </c>
    </row>
    <row r="15" spans="1:22" ht="11.25" customHeight="1" x14ac:dyDescent="0.3">
      <c r="A15" s="148"/>
      <c r="B15" s="79" t="s">
        <v>88</v>
      </c>
      <c r="C15" s="79" t="s">
        <v>25</v>
      </c>
      <c r="D15" s="79" t="s">
        <v>866</v>
      </c>
      <c r="E15" s="77">
        <f ca="1">ROUND('TUSD BE'!$AM$12+'TUSD BF'!$AM$12+'TUSD CVA'!$AM$12,2)</f>
        <v>20.77</v>
      </c>
      <c r="F15" s="77">
        <v>0</v>
      </c>
      <c r="G15" s="77">
        <v>0</v>
      </c>
      <c r="H15" s="77">
        <f ca="1">ROUND('TUSD BE'!$AM$12,2)</f>
        <v>21.42</v>
      </c>
      <c r="I15" s="77">
        <v>0</v>
      </c>
      <c r="J15" s="77">
        <v>0</v>
      </c>
      <c r="L15" s="145"/>
      <c r="M15" s="79" t="s">
        <v>872</v>
      </c>
      <c r="N15" s="79" t="s">
        <v>875</v>
      </c>
      <c r="O15" s="79" t="s">
        <v>876</v>
      </c>
      <c r="P15" s="79" t="s">
        <v>866</v>
      </c>
      <c r="Q15" s="77">
        <v>0</v>
      </c>
      <c r="R15" s="77">
        <f ca="1">ROUND(('TUSD BE'!$AM$45+'TUSD BF'!$AM$45+'TUSD CVA'!$AM$45)*(1-CUSTOS!$M$38),2)</f>
        <v>419.26</v>
      </c>
      <c r="S15" s="77">
        <f>ROUND(('TE BE'!$AB$36+'TE BF'!$AB$36+'TE CVA'!$AB$36)*(1-CUSTOS!$M$38),2)</f>
        <v>193.19</v>
      </c>
      <c r="T15" s="77">
        <v>0</v>
      </c>
      <c r="U15" s="77">
        <f ca="1">ROUND(('TUSD BE'!$AM$45)*(1-CUSTOS!$M$38),2)</f>
        <v>472.28</v>
      </c>
      <c r="V15" s="77">
        <f>ROUND(('TE BE'!$AB$36)*(1-CUSTOS!$M$38),2)</f>
        <v>224.32</v>
      </c>
    </row>
    <row r="16" spans="1:22" ht="11.25" customHeight="1" x14ac:dyDescent="0.3">
      <c r="L16" s="145"/>
      <c r="M16" s="79" t="s">
        <v>874</v>
      </c>
      <c r="N16" s="79" t="s">
        <v>875</v>
      </c>
      <c r="O16" s="79" t="s">
        <v>876</v>
      </c>
      <c r="P16" s="79" t="s">
        <v>866</v>
      </c>
      <c r="Q16" s="77">
        <v>0</v>
      </c>
      <c r="R16" s="77">
        <f ca="1">ROUND(('TUSD BE'!$AM$36+'TUSD BF'!$AM$36+'TUSD CVA'!$AM$36)*(1-CUSTOS!$M$38),2)</f>
        <v>419.26</v>
      </c>
      <c r="S16" s="77">
        <f>ROUND(('TE BE'!$AB$27+'TE BF'!$AB$27+'TE CVA'!$AB$27)*(1-CUSTOS!$M$38),2)</f>
        <v>193.19</v>
      </c>
      <c r="T16" s="77">
        <v>0</v>
      </c>
      <c r="U16" s="77">
        <f ca="1">ROUND(('TUSD BE'!$AM$36)*(1-CUSTOS!$M$38),2)</f>
        <v>472.28</v>
      </c>
      <c r="V16" s="77">
        <f>ROUND(('TE BE'!$AB$27)*(1-CUSTOS!$M$38),2)</f>
        <v>224.32</v>
      </c>
    </row>
    <row r="17" spans="12:22" ht="11.25" customHeight="1" x14ac:dyDescent="0.3">
      <c r="L17" s="145"/>
      <c r="M17" s="144" t="s">
        <v>869</v>
      </c>
      <c r="N17" s="144" t="s">
        <v>875</v>
      </c>
      <c r="O17" s="144" t="s">
        <v>877</v>
      </c>
      <c r="P17" s="79" t="s">
        <v>863</v>
      </c>
      <c r="Q17" s="77">
        <v>0</v>
      </c>
      <c r="R17" s="77">
        <f ca="1">ROUND(('TUSD BE'!$AM$37+'TUSD BF'!$AM$37+'TUSD CVA'!$AM$37)*(1-CUSTOS!$M$39),2)</f>
        <v>1038.81</v>
      </c>
      <c r="S17" s="77">
        <f>ROUND(('TE BE'!$AB$28+'TE BF'!$AB$28+'TE CVA'!$AB$28)*(1-CUSTOS!$M$39),2)</f>
        <v>286.5</v>
      </c>
      <c r="T17" s="77">
        <v>0</v>
      </c>
      <c r="U17" s="77">
        <f ca="1">ROUND('TUSD BE'!$AM$37*(1-CUSTOS!$M$39),2)</f>
        <v>1193.55</v>
      </c>
      <c r="V17" s="77">
        <f>ROUND('TE BE'!$AB$28*(1-CUSTOS!$M$39),2)</f>
        <v>337.65</v>
      </c>
    </row>
    <row r="18" spans="12:22" ht="11.25" customHeight="1" x14ac:dyDescent="0.3">
      <c r="L18" s="145"/>
      <c r="M18" s="145"/>
      <c r="N18" s="145"/>
      <c r="O18" s="145"/>
      <c r="P18" s="79" t="s">
        <v>871</v>
      </c>
      <c r="Q18" s="77">
        <v>0</v>
      </c>
      <c r="R18" s="77">
        <f ca="1">ROUND(('TUSD BE'!$AM$38+'TUSD BF'!$AM$38+'TUSD CVA'!$AM$38)*(1-CUSTOS!$M$39),2)</f>
        <v>670.5</v>
      </c>
      <c r="S18" s="77">
        <f>ROUND(('TE BE'!$AB$29+'TE BF'!$AB$29+'TE CVA'!$AB$29)*(1-CUSTOS!$M$39),2)</f>
        <v>180.23</v>
      </c>
      <c r="T18" s="77">
        <v>0</v>
      </c>
      <c r="U18" s="77">
        <f ca="1">ROUND('TUSD BE'!$AM$38*(1-CUSTOS!$M$39),2)</f>
        <v>764.96</v>
      </c>
      <c r="V18" s="77">
        <f>ROUND('TE BE'!$AB$29*(1-CUSTOS!$M$39),2)</f>
        <v>208.81</v>
      </c>
    </row>
    <row r="19" spans="12:22" ht="11.25" customHeight="1" x14ac:dyDescent="0.3">
      <c r="L19" s="145"/>
      <c r="M19" s="146"/>
      <c r="N19" s="146"/>
      <c r="O19" s="146"/>
      <c r="P19" s="79" t="s">
        <v>864</v>
      </c>
      <c r="Q19" s="77">
        <v>0</v>
      </c>
      <c r="R19" s="77">
        <f ca="1">ROUND(('TUSD BE'!$AM$39+'TUSD BF'!$AM$39+'TUSD CVA'!$AM$39)*(1-CUSTOS!$M$39),2)</f>
        <v>302.19</v>
      </c>
      <c r="S19" s="77">
        <f>ROUND(('TE BE'!$AB$30+'TE BF'!$AB$30+'TE CVA'!$AB$30)*(1-CUSTOS!$M$39),2)</f>
        <v>180.23</v>
      </c>
      <c r="T19" s="77">
        <v>0</v>
      </c>
      <c r="U19" s="77">
        <f ca="1">ROUND('TUSD BE'!$AM$39*(1-CUSTOS!$M$39),2)</f>
        <v>336.37</v>
      </c>
      <c r="V19" s="77">
        <f>ROUND('TE BE'!$AB$30*(1-CUSTOS!$M$39),2)</f>
        <v>208.81</v>
      </c>
    </row>
    <row r="20" spans="12:22" ht="11.25" customHeight="1" x14ac:dyDescent="0.3">
      <c r="L20" s="145"/>
      <c r="M20" s="79" t="s">
        <v>872</v>
      </c>
      <c r="N20" s="79" t="s">
        <v>875</v>
      </c>
      <c r="O20" s="79" t="s">
        <v>877</v>
      </c>
      <c r="P20" s="79" t="s">
        <v>866</v>
      </c>
      <c r="Q20" s="77">
        <v>0</v>
      </c>
      <c r="R20" s="77">
        <f ca="1">ROUND(('TUSD BE'!$AM$45+'TUSD BF'!$AM$45+'TUSD CVA'!$AM$45)*(1-CUSTOS!$M$39),2)</f>
        <v>410.34</v>
      </c>
      <c r="S20" s="77">
        <f>ROUND(('TE BE'!$AB$36+'TE BF'!$AB$36+'TE CVA'!$AB$36)*(1-CUSTOS!$M$39),2)</f>
        <v>189.08</v>
      </c>
      <c r="T20" s="77">
        <v>0</v>
      </c>
      <c r="U20" s="77">
        <f ca="1">ROUND(('TUSD BE'!$AM$45)*(1-CUSTOS!$M$39),2)</f>
        <v>462.23</v>
      </c>
      <c r="V20" s="77">
        <f>ROUND(('TE BE'!$AB$36)*(1-CUSTOS!$M$39),2)</f>
        <v>219.54</v>
      </c>
    </row>
    <row r="21" spans="12:22" ht="11.25" customHeight="1" x14ac:dyDescent="0.3">
      <c r="L21" s="145"/>
      <c r="M21" s="79" t="s">
        <v>874</v>
      </c>
      <c r="N21" s="79" t="s">
        <v>875</v>
      </c>
      <c r="O21" s="79" t="s">
        <v>877</v>
      </c>
      <c r="P21" s="79" t="s">
        <v>866</v>
      </c>
      <c r="Q21" s="77">
        <v>0</v>
      </c>
      <c r="R21" s="77">
        <f ca="1">ROUND(('TUSD BE'!$AM$36+'TUSD BF'!$AM$36+'TUSD CVA'!$AM$36)*(1-CUSTOS!$M$39),2)</f>
        <v>410.34</v>
      </c>
      <c r="S21" s="77">
        <f>ROUND(('TE BE'!$AB$27+'TE BF'!$AB$27+'TE CVA'!$AB$27)*(1-CUSTOS!$M$39),2)</f>
        <v>189.08</v>
      </c>
      <c r="T21" s="77">
        <v>0</v>
      </c>
      <c r="U21" s="77">
        <f ca="1">ROUND(('TUSD BE'!$AM$36)*(1-CUSTOS!$M$39),2)</f>
        <v>462.23</v>
      </c>
      <c r="V21" s="77">
        <f>ROUND(('TE BE'!$AB$27)*(1-CUSTOS!$M$39),2)</f>
        <v>219.54</v>
      </c>
    </row>
    <row r="22" spans="12:22" ht="11.25" customHeight="1" x14ac:dyDescent="0.3">
      <c r="L22" s="145"/>
      <c r="M22" s="144" t="s">
        <v>869</v>
      </c>
      <c r="N22" s="144" t="s">
        <v>875</v>
      </c>
      <c r="O22" s="144" t="s">
        <v>878</v>
      </c>
      <c r="P22" s="79" t="s">
        <v>863</v>
      </c>
      <c r="Q22" s="77">
        <v>0</v>
      </c>
      <c r="R22" s="77">
        <f ca="1">ROUND(('TUSD BE'!$AM$41+'TUSD BF'!$AM$41+'TUSD CVA'!$AM$41)*(1-CUSTOS!$M$40),2)</f>
        <v>1038.81</v>
      </c>
      <c r="S22" s="77">
        <f>ROUND(('TE BE'!$AB$32+'TE BF'!$AB$32+'TE CVA'!$AB$32)*(1-CUSTOS!$M$40),2)</f>
        <v>286.5</v>
      </c>
      <c r="T22" s="77">
        <v>0</v>
      </c>
      <c r="U22" s="77">
        <f ca="1">ROUND('TUSD BE'!$AM$41*(1-CUSTOS!$M$40),2)</f>
        <v>1193.55</v>
      </c>
      <c r="V22" s="77">
        <f>ROUND('TE BE'!$AB$32*(1-CUSTOS!$M$40),2)</f>
        <v>337.65</v>
      </c>
    </row>
    <row r="23" spans="12:22" ht="11.25" customHeight="1" x14ac:dyDescent="0.3">
      <c r="L23" s="145"/>
      <c r="M23" s="145"/>
      <c r="N23" s="145"/>
      <c r="O23" s="145"/>
      <c r="P23" s="79" t="s">
        <v>871</v>
      </c>
      <c r="Q23" s="77">
        <v>0</v>
      </c>
      <c r="R23" s="77">
        <f ca="1">ROUND(('TUSD BE'!$AM$42+'TUSD BF'!$AM$42+'TUSD CVA'!$AM$42)*(1-CUSTOS!$M$40),2)</f>
        <v>670.5</v>
      </c>
      <c r="S23" s="77">
        <f>ROUND(('TE BE'!$AB$33+'TE BF'!$AB$33+'TE CVA'!$AB$33)*(1-CUSTOS!$M$40),2)</f>
        <v>180.23</v>
      </c>
      <c r="T23" s="77">
        <v>0</v>
      </c>
      <c r="U23" s="77">
        <f ca="1">ROUND('TUSD BE'!$AM$42*(1-CUSTOS!$M$40),2)</f>
        <v>764.96</v>
      </c>
      <c r="V23" s="77">
        <f>ROUND('TE BE'!$AB$33*(1-CUSTOS!$M$40),2)</f>
        <v>208.81</v>
      </c>
    </row>
    <row r="24" spans="12:22" ht="11.25" customHeight="1" x14ac:dyDescent="0.3">
      <c r="L24" s="145"/>
      <c r="M24" s="146"/>
      <c r="N24" s="146"/>
      <c r="O24" s="146"/>
      <c r="P24" s="79" t="s">
        <v>864</v>
      </c>
      <c r="Q24" s="77">
        <v>0</v>
      </c>
      <c r="R24" s="77">
        <f ca="1">ROUND(('TUSD BE'!$AM$43+'TUSD BF'!$AM$43+'TUSD CVA'!$AM$43)*(1-CUSTOS!$M$40),2)</f>
        <v>302.19</v>
      </c>
      <c r="S24" s="77">
        <f>ROUND(('TE BE'!$AB$34+'TE BF'!$AB$34+'TE CVA'!$AB$34)*(1-CUSTOS!$M$40),2)</f>
        <v>180.23</v>
      </c>
      <c r="T24" s="77">
        <v>0</v>
      </c>
      <c r="U24" s="77">
        <f ca="1">ROUND('TUSD BE'!$AM$43*(1-CUSTOS!$M$40),2)</f>
        <v>336.37</v>
      </c>
      <c r="V24" s="77">
        <f>ROUND('TE BE'!$AB$34*(1-CUSTOS!$M$40),2)</f>
        <v>208.81</v>
      </c>
    </row>
    <row r="25" spans="12:22" ht="11.25" customHeight="1" x14ac:dyDescent="0.3">
      <c r="L25" s="145"/>
      <c r="M25" s="79" t="s">
        <v>872</v>
      </c>
      <c r="N25" s="79" t="s">
        <v>875</v>
      </c>
      <c r="O25" s="79" t="s">
        <v>878</v>
      </c>
      <c r="P25" s="79" t="s">
        <v>866</v>
      </c>
      <c r="Q25" s="77">
        <v>0</v>
      </c>
      <c r="R25" s="77">
        <f ca="1">ROUND(('TUSD BE'!$AM$45+'TUSD BF'!$AM$45+'TUSD CVA'!$AM$45)*(1-CUSTOS!$M$40),2)</f>
        <v>410.34</v>
      </c>
      <c r="S25" s="77">
        <f>ROUND(('TE BE'!$AB$36+'TE BF'!$AB$36+'TE CVA'!$AB$36)*(1-CUSTOS!$M$40),2)</f>
        <v>189.08</v>
      </c>
      <c r="T25" s="77">
        <v>0</v>
      </c>
      <c r="U25" s="77">
        <f ca="1">ROUND(('TUSD BE'!$AM$45)*(1-CUSTOS!$M$40),2)</f>
        <v>462.23</v>
      </c>
      <c r="V25" s="77">
        <f>ROUND(('TE BE'!$AB$36)*(1-CUSTOS!$M$40),2)</f>
        <v>219.54</v>
      </c>
    </row>
    <row r="26" spans="12:22" ht="11.25" customHeight="1" x14ac:dyDescent="0.3">
      <c r="L26" s="146"/>
      <c r="M26" s="79" t="s">
        <v>874</v>
      </c>
      <c r="N26" s="79" t="s">
        <v>875</v>
      </c>
      <c r="O26" s="79" t="s">
        <v>878</v>
      </c>
      <c r="P26" s="79" t="s">
        <v>866</v>
      </c>
      <c r="Q26" s="77">
        <v>0</v>
      </c>
      <c r="R26" s="77">
        <f ca="1">ROUND(('TUSD BE'!$AM$36+'TUSD BF'!$AM$36+'TUSD CVA'!$AM$36)*(1-CUSTOS!$M$40),2)</f>
        <v>410.34</v>
      </c>
      <c r="S26" s="77">
        <f>ROUND(('TE BE'!$AB$27+'TE BF'!$AB$27+'TE CVA'!$AB$27)*(1-CUSTOS!$M$40),2)</f>
        <v>189.08</v>
      </c>
      <c r="T26" s="77">
        <v>0</v>
      </c>
      <c r="U26" s="77">
        <f ca="1">ROUND(('TUSD BE'!$AM$36)*(1-CUSTOS!$M$40),2)</f>
        <v>462.23</v>
      </c>
      <c r="V26" s="77">
        <f>ROUND(('TE BE'!$AB$27)*(1-CUSTOS!$M$40),2)</f>
        <v>219.54</v>
      </c>
    </row>
    <row r="27" spans="12:22" ht="11.25" customHeight="1" x14ac:dyDescent="0.3">
      <c r="L27" s="144" t="s">
        <v>37</v>
      </c>
      <c r="M27" s="144" t="s">
        <v>869</v>
      </c>
      <c r="N27" s="144" t="s">
        <v>866</v>
      </c>
      <c r="O27" s="144" t="s">
        <v>866</v>
      </c>
      <c r="P27" s="79" t="s">
        <v>863</v>
      </c>
      <c r="Q27" s="77">
        <v>0</v>
      </c>
      <c r="R27" s="77">
        <f ca="1">ROUND(('TUSD BE'!$AM$48+'TUSD BF'!$AM$48+'TUSD CVA'!$AM$48)*(1-CUSTOS!$M$31),2)</f>
        <v>1272.1199999999999</v>
      </c>
      <c r="S27" s="77">
        <f>ROUND(('TE BE'!$AB$39+'TE BF'!$AB$39+'TE CVA'!$AB$39)*(1-CUSTOS!$M$31),2)</f>
        <v>311.41000000000003</v>
      </c>
      <c r="T27" s="77">
        <v>0</v>
      </c>
      <c r="U27" s="77">
        <f ca="1">ROUND('TUSD BE'!$AM$48*(1-CUSTOS!$M$31),2)</f>
        <v>1463.71</v>
      </c>
      <c r="V27" s="77">
        <f>ROUND('TE BE'!$AB$39*(1-CUSTOS!$M$31),2)</f>
        <v>367.02</v>
      </c>
    </row>
    <row r="28" spans="12:22" ht="11.25" customHeight="1" x14ac:dyDescent="0.3">
      <c r="L28" s="145"/>
      <c r="M28" s="145"/>
      <c r="N28" s="145"/>
      <c r="O28" s="145"/>
      <c r="P28" s="79" t="s">
        <v>871</v>
      </c>
      <c r="Q28" s="77">
        <v>0</v>
      </c>
      <c r="R28" s="77">
        <f ca="1">ROUND(('TUSD BE'!$AM$49+'TUSD BF'!$AM$49+'TUSD CVA'!$AM$49)*(1-CUSTOS!$M$31),2)</f>
        <v>814.59</v>
      </c>
      <c r="S28" s="77">
        <f>ROUND(('TE BE'!$AB$40+'TE BF'!$AB$40+'TE CVA'!$AB$40)*(1-CUSTOS!$M$31),2)</f>
        <v>195.9</v>
      </c>
      <c r="T28" s="77">
        <v>0</v>
      </c>
      <c r="U28" s="77">
        <f ca="1">ROUND('TUSD BE'!$AM$49*(1-CUSTOS!$M$31),2)</f>
        <v>931.31</v>
      </c>
      <c r="V28" s="77">
        <f>ROUND('TE BE'!$AB$40*(1-CUSTOS!$M$31),2)</f>
        <v>226.96</v>
      </c>
    </row>
    <row r="29" spans="12:22" ht="11.25" customHeight="1" x14ac:dyDescent="0.3">
      <c r="L29" s="145"/>
      <c r="M29" s="146"/>
      <c r="N29" s="146"/>
      <c r="O29" s="146"/>
      <c r="P29" s="79" t="s">
        <v>864</v>
      </c>
      <c r="Q29" s="77">
        <v>0</v>
      </c>
      <c r="R29" s="77">
        <f ca="1">ROUND(('TUSD BE'!$AM$50+'TUSD BF'!$AM$50+'TUSD CVA'!$AM$50)*(1-CUSTOS!$M$31),2)</f>
        <v>357.06</v>
      </c>
      <c r="S29" s="77">
        <f>ROUND(('TE BE'!$AB$41+'TE BF'!$AB$41+'TE CVA'!$AB$41)*(1-CUSTOS!$M$31),2)</f>
        <v>195.9</v>
      </c>
      <c r="T29" s="77">
        <v>0</v>
      </c>
      <c r="U29" s="77">
        <f ca="1">ROUND('TUSD BE'!$AM$50*(1-CUSTOS!$M$31),2)</f>
        <v>398.9</v>
      </c>
      <c r="V29" s="77">
        <f>ROUND('TE BE'!$AB$41*(1-CUSTOS!$M$31),2)</f>
        <v>226.96</v>
      </c>
    </row>
    <row r="30" spans="12:22" ht="11.25" customHeight="1" x14ac:dyDescent="0.3">
      <c r="L30" s="145"/>
      <c r="M30" s="79" t="s">
        <v>872</v>
      </c>
      <c r="N30" s="79" t="s">
        <v>866</v>
      </c>
      <c r="O30" s="79" t="s">
        <v>866</v>
      </c>
      <c r="P30" s="79" t="s">
        <v>866</v>
      </c>
      <c r="Q30" s="77">
        <v>0</v>
      </c>
      <c r="R30" s="77">
        <f ca="1">ROUND(('TUSD BE'!$AM$52+'TUSD BF'!$AM$52+'TUSD CVA'!$AM$52)*(1-CUSTOS!$M$31),2)</f>
        <v>446.02</v>
      </c>
      <c r="S30" s="77">
        <f>ROUND(('TE BE'!$AB$43+'TE BF'!$AB$43+'TE CVA'!$AB$43)*(1-CUSTOS!$M$31),2)</f>
        <v>205.52</v>
      </c>
      <c r="T30" s="77">
        <v>0</v>
      </c>
      <c r="U30" s="77">
        <f ca="1">ROUND(('TUSD BE'!$AM$52)*(1-CUSTOS!$M$31),2)</f>
        <v>502.42</v>
      </c>
      <c r="V30" s="77">
        <f>ROUND(('TE BE'!$AB$43)*(1-CUSTOS!$M$31),2)</f>
        <v>238.63</v>
      </c>
    </row>
    <row r="31" spans="12:22" ht="11.25" customHeight="1" x14ac:dyDescent="0.3">
      <c r="L31" s="146"/>
      <c r="M31" s="79" t="s">
        <v>874</v>
      </c>
      <c r="N31" s="79" t="s">
        <v>866</v>
      </c>
      <c r="O31" s="79" t="s">
        <v>866</v>
      </c>
      <c r="P31" s="79" t="s">
        <v>866</v>
      </c>
      <c r="Q31" s="77">
        <v>0</v>
      </c>
      <c r="R31" s="77">
        <f ca="1">ROUND(('TUSD BE'!$AM$51+'TUSD BF'!$AM$51+'TUSD CVA'!$AM$51)*(1-CUSTOS!$M$31),2)</f>
        <v>446.02</v>
      </c>
      <c r="S31" s="77">
        <f>ROUND(('TE BE'!$AB$42+'TE BF'!$AB$42+'TE CVA'!$AB$42)*(1-CUSTOS!$M$31),2)</f>
        <v>205.52</v>
      </c>
      <c r="T31" s="77">
        <v>0</v>
      </c>
      <c r="U31" s="77">
        <f ca="1">ROUND(('TUSD BE'!$AM$51)*(1-CUSTOS!$M$31),2)</f>
        <v>502.42</v>
      </c>
      <c r="V31" s="77">
        <f>ROUND(('TE BE'!$AB$42)*(1-CUSTOS!$M$31),2)</f>
        <v>238.63</v>
      </c>
    </row>
    <row r="32" spans="12:22" ht="11.25" customHeight="1" x14ac:dyDescent="0.3">
      <c r="L32" s="144" t="s">
        <v>45</v>
      </c>
      <c r="M32" s="144" t="s">
        <v>874</v>
      </c>
      <c r="N32" s="144" t="s">
        <v>879</v>
      </c>
      <c r="O32" s="79" t="s">
        <v>880</v>
      </c>
      <c r="P32" s="79" t="s">
        <v>866</v>
      </c>
      <c r="Q32" s="77">
        <v>0</v>
      </c>
      <c r="R32" s="77">
        <f ca="1">ROUND(('TUSD BE'!$AM$53+'TUSD BF'!$AM$53+'TUSD CVA'!$AM$53),2)</f>
        <v>245.31</v>
      </c>
      <c r="S32" s="77">
        <f>ROUND(('TE BE'!$AB$44+'TE BF'!$AB$44+'TE CVA'!$AB$44),2)</f>
        <v>113.04</v>
      </c>
      <c r="T32" s="77">
        <v>0</v>
      </c>
      <c r="U32" s="77">
        <f ca="1">ROUND(('TUSD BE'!$AM$53),2)</f>
        <v>276.33</v>
      </c>
      <c r="V32" s="77">
        <f>ROUND(('TE BE'!$AB$44),2)</f>
        <v>131.25</v>
      </c>
    </row>
    <row r="33" spans="12:22" ht="11.25" customHeight="1" x14ac:dyDescent="0.3">
      <c r="L33" s="146"/>
      <c r="M33" s="146"/>
      <c r="N33" s="146"/>
      <c r="O33" s="79" t="s">
        <v>881</v>
      </c>
      <c r="P33" s="79" t="s">
        <v>866</v>
      </c>
      <c r="Q33" s="77">
        <v>0</v>
      </c>
      <c r="R33" s="77">
        <f ca="1">ROUND(('TUSD BE'!$AM$54+'TUSD BF'!$AM$54+'TUSD CVA'!$AM$54),2)</f>
        <v>267.61</v>
      </c>
      <c r="S33" s="77">
        <f>ROUND(('TE BE'!$AB$45+'TE BF'!$AB$45+'TE CVA'!$AB$45),2)</f>
        <v>123.31</v>
      </c>
      <c r="T33" s="77">
        <v>0</v>
      </c>
      <c r="U33" s="77">
        <f ca="1">ROUND(('TUSD BE'!$AM$54),2)</f>
        <v>301.45</v>
      </c>
      <c r="V33" s="77">
        <f>ROUND(('TE BE'!$AB$45),2)</f>
        <v>143.18</v>
      </c>
    </row>
    <row r="34" spans="12:22" ht="11.25" customHeight="1" x14ac:dyDescent="0.3">
      <c r="L34" s="144" t="s">
        <v>90</v>
      </c>
      <c r="M34" s="144" t="s">
        <v>882</v>
      </c>
      <c r="N34" s="79" t="s">
        <v>91</v>
      </c>
      <c r="O34" s="79" t="s">
        <v>866</v>
      </c>
      <c r="P34" s="79" t="s">
        <v>866</v>
      </c>
      <c r="Q34" s="77">
        <f ca="1">ROUND(('TUSD BE'!$AM$18+'TUSD BF'!$AM$18+'TUSD CVA'!$AM$18),2)</f>
        <v>6.1</v>
      </c>
      <c r="R34" s="77">
        <v>0</v>
      </c>
      <c r="S34" s="77">
        <v>0</v>
      </c>
      <c r="T34" s="77">
        <f ca="1">ROUND(('TUSD BE'!$AM$18),2)</f>
        <v>6.29</v>
      </c>
      <c r="U34" s="77">
        <v>0</v>
      </c>
      <c r="V34" s="77">
        <v>0</v>
      </c>
    </row>
    <row r="35" spans="12:22" ht="11.25" customHeight="1" x14ac:dyDescent="0.3">
      <c r="L35" s="146"/>
      <c r="M35" s="146"/>
      <c r="N35" s="79" t="s">
        <v>92</v>
      </c>
      <c r="O35" s="79" t="s">
        <v>866</v>
      </c>
      <c r="P35" s="79" t="s">
        <v>866</v>
      </c>
      <c r="Q35" s="77">
        <f ca="1">ROUND(('TUSD BE'!$AM$19+'TUSD BF'!$AM$19+'TUSD CVA'!$AM$19),2)</f>
        <v>15.64</v>
      </c>
      <c r="R35" s="77">
        <v>0</v>
      </c>
      <c r="S35" s="77">
        <v>0</v>
      </c>
      <c r="T35" s="77">
        <f ca="1">ROUND(('TUSD BE'!$AM$19),2)</f>
        <v>16.12</v>
      </c>
      <c r="U35" s="77">
        <v>0</v>
      </c>
      <c r="V35" s="77">
        <v>0</v>
      </c>
    </row>
  </sheetData>
  <mergeCells count="51"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L27:L31"/>
    <mergeCell ref="L32:L33"/>
    <mergeCell ref="L34:L35"/>
    <mergeCell ref="M32:M33"/>
    <mergeCell ref="M34:M35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37FF-65B4-4763-A1FD-A8F2E0B6B4F9}">
  <sheetPr codeName="Planilha17"/>
  <dimension ref="A1:AN667"/>
  <sheetViews>
    <sheetView showGridLines="0" topLeftCell="Z1" workbookViewId="0">
      <selection activeCell="AJ29" sqref="AJ29"/>
    </sheetView>
  </sheetViews>
  <sheetFormatPr defaultColWidth="8.88671875" defaultRowHeight="11.25" customHeight="1" x14ac:dyDescent="0.3"/>
  <cols>
    <col min="1" max="1" width="19.109375" style="3" bestFit="1" customWidth="1"/>
    <col min="2" max="2" width="8.6640625" style="3" bestFit="1" customWidth="1"/>
    <col min="3" max="3" width="10.33203125" style="3" bestFit="1" customWidth="1"/>
    <col min="4" max="4" width="13.5546875" style="3" bestFit="1" customWidth="1"/>
    <col min="5" max="5" width="25.109375" style="3" bestFit="1" customWidth="1"/>
    <col min="6" max="6" width="13.33203125" style="3" bestFit="1" customWidth="1"/>
    <col min="7" max="8" width="10.33203125" style="3" bestFit="1" customWidth="1"/>
    <col min="9" max="9" width="8.6640625" style="6" bestFit="1" customWidth="1"/>
    <col min="10" max="10" width="10.109375" style="4" bestFit="1" customWidth="1"/>
    <col min="11" max="11" width="10.5546875" style="4" bestFit="1" customWidth="1"/>
    <col min="12" max="12" width="9.44140625" style="4" bestFit="1" customWidth="1"/>
    <col min="13" max="13" width="13.6640625" style="4" bestFit="1" customWidth="1"/>
    <col min="14" max="14" width="14.109375" style="4" bestFit="1" customWidth="1"/>
    <col min="15" max="15" width="12.88671875" style="4" bestFit="1" customWidth="1"/>
    <col min="16" max="16" width="7" style="4" bestFit="1" customWidth="1"/>
    <col min="17" max="17" width="9.33203125" style="3" bestFit="1" customWidth="1"/>
    <col min="18" max="18" width="18.88671875" style="3" bestFit="1" customWidth="1"/>
    <col min="19" max="19" width="20.33203125" style="3" bestFit="1" customWidth="1"/>
    <col min="20" max="20" width="18.109375" style="3" bestFit="1" customWidth="1"/>
    <col min="21" max="21" width="17" style="3" bestFit="1" customWidth="1"/>
    <col min="22" max="22" width="18.5546875" style="3" bestFit="1" customWidth="1"/>
    <col min="23" max="23" width="16.33203125" style="3" bestFit="1" customWidth="1"/>
    <col min="24" max="24" width="16.6640625" style="3" bestFit="1" customWidth="1"/>
    <col min="25" max="25" width="18.33203125" style="3" bestFit="1" customWidth="1"/>
    <col min="26" max="26" width="16" style="3" bestFit="1" customWidth="1"/>
    <col min="27" max="27" width="16.88671875" style="3" bestFit="1" customWidth="1"/>
    <col min="28" max="28" width="18.44140625" style="3" bestFit="1" customWidth="1"/>
    <col min="29" max="29" width="16.109375" style="3" bestFit="1" customWidth="1"/>
    <col min="30" max="30" width="17.33203125" style="3" bestFit="1" customWidth="1"/>
    <col min="31" max="31" width="21.5546875" style="3" bestFit="1" customWidth="1"/>
    <col min="32" max="32" width="11.44140625" style="3" bestFit="1" customWidth="1"/>
    <col min="33" max="33" width="12.88671875" style="3" bestFit="1" customWidth="1"/>
    <col min="34" max="34" width="10.6640625" style="3" bestFit="1" customWidth="1"/>
    <col min="35" max="35" width="11.6640625" style="3" bestFit="1" customWidth="1"/>
    <col min="36" max="36" width="16" style="3" bestFit="1" customWidth="1"/>
    <col min="37" max="37" width="8.88671875" style="3"/>
    <col min="38" max="38" width="8.6640625" style="3" bestFit="1" customWidth="1"/>
    <col min="39" max="39" width="5.5546875" style="3" bestFit="1" customWidth="1"/>
    <col min="40" max="40" width="14.6640625" style="3" bestFit="1" customWidth="1"/>
    <col min="41" max="16384" width="8.88671875" style="3"/>
  </cols>
  <sheetData>
    <row r="1" spans="1:40" s="1" customFormat="1" ht="11.25" customHeight="1" x14ac:dyDescent="0.3">
      <c r="A1" s="82" t="s">
        <v>0</v>
      </c>
      <c r="B1" s="82" t="s">
        <v>1</v>
      </c>
      <c r="C1" s="82" t="s">
        <v>2</v>
      </c>
      <c r="D1" s="82" t="s">
        <v>3</v>
      </c>
      <c r="E1" s="82" t="s">
        <v>4</v>
      </c>
      <c r="F1" s="82" t="s">
        <v>5</v>
      </c>
      <c r="G1" s="82" t="s">
        <v>6</v>
      </c>
      <c r="H1" s="82" t="s">
        <v>7</v>
      </c>
      <c r="I1" s="89" t="s">
        <v>8</v>
      </c>
      <c r="J1" s="78" t="s">
        <v>829</v>
      </c>
      <c r="K1" s="78" t="s">
        <v>830</v>
      </c>
      <c r="L1" s="78" t="s">
        <v>831</v>
      </c>
      <c r="M1" s="78" t="s">
        <v>832</v>
      </c>
      <c r="N1" s="78" t="s">
        <v>833</v>
      </c>
      <c r="O1" s="78" t="s">
        <v>834</v>
      </c>
      <c r="P1" s="7"/>
      <c r="Q1" s="142" t="s">
        <v>835</v>
      </c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L1" s="82" t="s">
        <v>856</v>
      </c>
      <c r="AM1" s="82" t="s">
        <v>63</v>
      </c>
      <c r="AN1" s="82" t="s">
        <v>857</v>
      </c>
    </row>
    <row r="2" spans="1:40" ht="11.25" customHeight="1" x14ac:dyDescent="0.2">
      <c r="A2" s="83" t="s">
        <v>21</v>
      </c>
      <c r="B2" s="83" t="s">
        <v>39</v>
      </c>
      <c r="C2" s="83" t="s">
        <v>56</v>
      </c>
      <c r="D2" s="83" t="s">
        <v>25</v>
      </c>
      <c r="E2" s="83" t="s">
        <v>25</v>
      </c>
      <c r="F2" s="83" t="s">
        <v>57</v>
      </c>
      <c r="G2" s="83" t="s">
        <v>58</v>
      </c>
      <c r="H2" s="83" t="s">
        <v>35</v>
      </c>
      <c r="I2" s="90">
        <v>44378</v>
      </c>
      <c r="J2" s="91">
        <f ca="1">EFEITO!$J$2*EFEITO!$Y$2</f>
        <v>25796.747516649884</v>
      </c>
      <c r="K2" s="91">
        <f ca="1">EFEITO!$L$2*EFEITO!$Z$2</f>
        <v>3243.1129031869591</v>
      </c>
      <c r="L2" s="91">
        <f>EFEITO!$N$2*EFEITO!$AA$2</f>
        <v>0</v>
      </c>
      <c r="M2" s="91">
        <f ca="1">$J$2-EFEITO!$K$2*EFEITO!$Y$2</f>
        <v>0</v>
      </c>
      <c r="N2" s="91">
        <f ca="1">$K$2-EFEITO!$M$2*EFEITO!$Z$2</f>
        <v>0</v>
      </c>
      <c r="O2" s="91">
        <f>$L$2-EFEITO!$O$2*EFEITO!$AA$2</f>
        <v>0</v>
      </c>
      <c r="P2" s="20"/>
      <c r="Q2" s="76" t="s">
        <v>66</v>
      </c>
      <c r="R2" s="76" t="s">
        <v>837</v>
      </c>
      <c r="S2" s="76" t="s">
        <v>838</v>
      </c>
      <c r="T2" s="76" t="s">
        <v>839</v>
      </c>
      <c r="U2" s="76" t="s">
        <v>840</v>
      </c>
      <c r="V2" s="76" t="s">
        <v>841</v>
      </c>
      <c r="W2" s="76" t="s">
        <v>842</v>
      </c>
      <c r="X2" s="92" t="s">
        <v>843</v>
      </c>
      <c r="Y2" s="92" t="s">
        <v>844</v>
      </c>
      <c r="Z2" s="92" t="s">
        <v>845</v>
      </c>
      <c r="AA2" s="92" t="s">
        <v>846</v>
      </c>
      <c r="AB2" s="92" t="s">
        <v>847</v>
      </c>
      <c r="AC2" s="92" t="s">
        <v>848</v>
      </c>
      <c r="AD2" s="92" t="s">
        <v>849</v>
      </c>
      <c r="AE2" s="92" t="s">
        <v>850</v>
      </c>
      <c r="AF2" s="92" t="s">
        <v>851</v>
      </c>
      <c r="AG2" s="92" t="s">
        <v>852</v>
      </c>
      <c r="AH2" s="92" t="s">
        <v>853</v>
      </c>
      <c r="AI2" s="92" t="s">
        <v>854</v>
      </c>
      <c r="AJ2" s="92" t="s">
        <v>855</v>
      </c>
      <c r="AL2" s="83"/>
      <c r="AM2" s="83"/>
      <c r="AN2" s="83"/>
    </row>
    <row r="3" spans="1:40" ht="11.25" customHeight="1" x14ac:dyDescent="0.2">
      <c r="A3" s="83" t="s">
        <v>21</v>
      </c>
      <c r="B3" s="83" t="s">
        <v>39</v>
      </c>
      <c r="C3" s="83" t="s">
        <v>56</v>
      </c>
      <c r="D3" s="83" t="s">
        <v>25</v>
      </c>
      <c r="E3" s="83" t="s">
        <v>25</v>
      </c>
      <c r="F3" s="83" t="s">
        <v>57</v>
      </c>
      <c r="G3" s="83" t="s">
        <v>58</v>
      </c>
      <c r="H3" s="83" t="s">
        <v>35</v>
      </c>
      <c r="I3" s="90">
        <v>44409</v>
      </c>
      <c r="J3" s="91">
        <f ca="1">EFEITO!$J$3*EFEITO!$Y$3</f>
        <v>25201.254730023615</v>
      </c>
      <c r="K3" s="91">
        <f ca="1">EFEITO!$L$3*EFEITO!$Z$3</f>
        <v>3505.1322725020959</v>
      </c>
      <c r="L3" s="91">
        <f>EFEITO!$N$3*EFEITO!$AA$3</f>
        <v>0</v>
      </c>
      <c r="M3" s="91">
        <f ca="1">$J$3-EFEITO!$K$3*EFEITO!$Y$3</f>
        <v>0</v>
      </c>
      <c r="N3" s="91">
        <f ca="1">$K$3-EFEITO!$M$3*EFEITO!$Z$3</f>
        <v>0</v>
      </c>
      <c r="O3" s="91">
        <f>$L$3-EFEITO!$O$3*EFEITO!$AA$3</f>
        <v>0</v>
      </c>
      <c r="P3" s="20"/>
      <c r="Q3" s="91" t="s">
        <v>836</v>
      </c>
      <c r="R3" s="91">
        <f>SUMIF($B$2:$B$667,$Q$3,$J$2:$J$667)</f>
        <v>0</v>
      </c>
      <c r="S3" s="91">
        <f>SUMIF($B$2:$B$667,$Q$3,$K$2:$K$667)</f>
        <v>0</v>
      </c>
      <c r="T3" s="91">
        <f>SUMIF($B$2:$B$667,$Q$3,$L$2:$L$667)</f>
        <v>0</v>
      </c>
      <c r="U3" s="91">
        <f>SUMIF($B$2:$B$667,$Q$3,$M$2:$M$667)</f>
        <v>0</v>
      </c>
      <c r="V3" s="91">
        <f>SUMIF($B$2:$B$667,$Q$3,$N$2:$N$667)</f>
        <v>0</v>
      </c>
      <c r="W3" s="91">
        <f>SUMIF($B$2:$B$667,$Q$3,$O$2:$O$667)</f>
        <v>0</v>
      </c>
      <c r="X3" s="84">
        <f>$R$3-$U$3</f>
        <v>0</v>
      </c>
      <c r="Y3" s="84">
        <f>$S$3-$V$3</f>
        <v>0</v>
      </c>
      <c r="Z3" s="84">
        <f>$T$3-$W$3</f>
        <v>0</v>
      </c>
      <c r="AA3" s="84">
        <f>SUMIF(EFEITO!$B$2:$B$667,$Q$3,EFEITO!$AE$2:$AE$667)</f>
        <v>0</v>
      </c>
      <c r="AB3" s="84">
        <f>SUMIF(EFEITO!$B$2:$B$667,$Q$3,EFEITO!$AF$2:$AF$667)</f>
        <v>0</v>
      </c>
      <c r="AC3" s="84">
        <f>SUMIF(EFEITO!$B$2:$B$667,$Q$3,EFEITO!$AG$2:$AH$667)</f>
        <v>0</v>
      </c>
      <c r="AD3" s="84">
        <f>SUMIF(SUBSIDIO!$B$2:$B$667,$Q$3,SUBSIDIO!$AD$2:$AD$667)</f>
        <v>0</v>
      </c>
      <c r="AE3" s="84">
        <f>SUMIF(SUBSIDIO!$B$2:$B$667,$Q$3,SUBSIDIO!$AE$2:$AE$667)</f>
        <v>0</v>
      </c>
      <c r="AF3" s="84" t="str">
        <f>IF(ABS($X$3-$AA$3)&lt;0.01,"OK","ERRO")</f>
        <v>OK</v>
      </c>
      <c r="AG3" s="84" t="str">
        <f>IF(ABS($Y$3-$AB$3)&lt;0.01,"OK","ERRO")</f>
        <v>OK</v>
      </c>
      <c r="AH3" s="84" t="str">
        <f>IF(ABS($Z$3-$AC$3)&lt;0.01,"OK","ERRO")</f>
        <v>OK</v>
      </c>
      <c r="AI3" s="84" t="str">
        <f>IF(ABS($U$3-$AD$3)&lt;0.01,"OK","ERRO")</f>
        <v>OK</v>
      </c>
      <c r="AJ3" s="84" t="str">
        <f>IF(ABS(($V$3+$W$3)-$AE$3)&lt;0.01,"OK","ERRO")</f>
        <v>OK</v>
      </c>
    </row>
    <row r="4" spans="1:40" ht="11.25" customHeight="1" x14ac:dyDescent="0.2">
      <c r="A4" s="83" t="s">
        <v>21</v>
      </c>
      <c r="B4" s="83" t="s">
        <v>39</v>
      </c>
      <c r="C4" s="83" t="s">
        <v>56</v>
      </c>
      <c r="D4" s="83" t="s">
        <v>25</v>
      </c>
      <c r="E4" s="83" t="s">
        <v>25</v>
      </c>
      <c r="F4" s="83" t="s">
        <v>57</v>
      </c>
      <c r="G4" s="83" t="s">
        <v>58</v>
      </c>
      <c r="H4" s="83" t="s">
        <v>35</v>
      </c>
      <c r="I4" s="90">
        <v>44440</v>
      </c>
      <c r="J4" s="91">
        <f ca="1">EFEITO!$J$4*EFEITO!$Y$4</f>
        <v>25415.632133209074</v>
      </c>
      <c r="K4" s="91">
        <f ca="1">EFEITO!$L$4*EFEITO!$Z$4</f>
        <v>3221.7600512484496</v>
      </c>
      <c r="L4" s="91">
        <f>EFEITO!$N$4*EFEITO!$AA$4</f>
        <v>0</v>
      </c>
      <c r="M4" s="91">
        <f ca="1">$J$4-EFEITO!$K$4*EFEITO!$Y$4</f>
        <v>0</v>
      </c>
      <c r="N4" s="91">
        <f ca="1">$K$4-EFEITO!$M$4*EFEITO!$Z$4</f>
        <v>0</v>
      </c>
      <c r="O4" s="91">
        <f>$L$4-EFEITO!$O$4*EFEITO!$AA$4</f>
        <v>0</v>
      </c>
      <c r="P4" s="20"/>
      <c r="Q4" s="91" t="s">
        <v>723</v>
      </c>
      <c r="R4" s="91">
        <f>SUMIF($B$2:$B$667,$Q$4,$J$2:$J$667)</f>
        <v>0</v>
      </c>
      <c r="S4" s="91">
        <f>SUMIF($B$2:$B$667,$Q$4,$K$2:$K$667)</f>
        <v>0</v>
      </c>
      <c r="T4" s="91">
        <f>SUMIF($B$2:$B$667,$Q$4,$L$2:$L$667)</f>
        <v>0</v>
      </c>
      <c r="U4" s="91">
        <f>SUMIF($B$2:$B$667,$Q$4,$M$2:$M$667)</f>
        <v>0</v>
      </c>
      <c r="V4" s="91">
        <f>SUMIF($B$2:$B$667,$Q$4,$N$2:$N$667)</f>
        <v>0</v>
      </c>
      <c r="W4" s="91">
        <f>SUMIF($B$2:$B$667,$Q$4,$O$2:$O$667)</f>
        <v>0</v>
      </c>
      <c r="X4" s="84">
        <f>$R$4-$U$4</f>
        <v>0</v>
      </c>
      <c r="Y4" s="84">
        <f>$S$4-$V$4</f>
        <v>0</v>
      </c>
      <c r="Z4" s="84">
        <f>$T$4-$W$4</f>
        <v>0</v>
      </c>
      <c r="AA4" s="84">
        <f>SUMIF(EFEITO!$B$2:$B$667,$Q$4,EFEITO!$AE$2:$AE$667)</f>
        <v>0</v>
      </c>
      <c r="AB4" s="84">
        <f>SUMIF(EFEITO!$B$2:$B$667,$Q$4,EFEITO!$AF$2:$AF$667)</f>
        <v>0</v>
      </c>
      <c r="AC4" s="84">
        <f>SUMIF(EFEITO!$B$2:$B$667,$Q$4,EFEITO!$AG$2:$AH$667)</f>
        <v>0</v>
      </c>
      <c r="AD4" s="84">
        <f>SUMIF(SUBSIDIO!$B$2:$B$667,$Q$4,SUBSIDIO!$AD$2:$AD$667)</f>
        <v>0</v>
      </c>
      <c r="AE4" s="84">
        <f>SUMIF(SUBSIDIO!$B$2:$B$667,$Q$4,SUBSIDIO!$AE$2:$AE$667)</f>
        <v>0</v>
      </c>
      <c r="AF4" s="84" t="str">
        <f>IF(ABS($X$4-$AA$4)&lt;0.01,"OK","ERRO")</f>
        <v>OK</v>
      </c>
      <c r="AG4" s="84" t="str">
        <f>IF(ABS($Y$4-$AB$4)&lt;0.01,"OK","ERRO")</f>
        <v>OK</v>
      </c>
      <c r="AH4" s="84" t="str">
        <f>IF(ABS($Z$4-$AC$4)&lt;0.01,"OK","ERRO")</f>
        <v>OK</v>
      </c>
      <c r="AI4" s="84" t="str">
        <f>IF(ABS($U$4-$AD$4)&lt;0.01,"OK","ERRO")</f>
        <v>OK</v>
      </c>
      <c r="AJ4" s="84" t="str">
        <f>IF(ABS(($V$4+$W$4)-$AE$4)&lt;0.01,"OK","ERRO")</f>
        <v>OK</v>
      </c>
    </row>
    <row r="5" spans="1:40" ht="11.25" customHeight="1" x14ac:dyDescent="0.2">
      <c r="A5" s="83" t="s">
        <v>21</v>
      </c>
      <c r="B5" s="83" t="s">
        <v>39</v>
      </c>
      <c r="C5" s="83" t="s">
        <v>56</v>
      </c>
      <c r="D5" s="83" t="s">
        <v>25</v>
      </c>
      <c r="E5" s="83" t="s">
        <v>25</v>
      </c>
      <c r="F5" s="83" t="s">
        <v>57</v>
      </c>
      <c r="G5" s="83" t="s">
        <v>58</v>
      </c>
      <c r="H5" s="83" t="s">
        <v>35</v>
      </c>
      <c r="I5" s="90">
        <v>44470</v>
      </c>
      <c r="J5" s="91">
        <f ca="1">EFEITO!$J$5*EFEITO!$Y$5</f>
        <v>27487.947030668482</v>
      </c>
      <c r="K5" s="91">
        <f ca="1">EFEITO!$L$5*EFEITO!$Z$5</f>
        <v>3291.6814806071566</v>
      </c>
      <c r="L5" s="91">
        <f>EFEITO!$N$5*EFEITO!$AA$5</f>
        <v>0</v>
      </c>
      <c r="M5" s="91">
        <f ca="1">$J$5-EFEITO!$K$5*EFEITO!$Y$5</f>
        <v>0</v>
      </c>
      <c r="N5" s="91">
        <f ca="1">$K$5-EFEITO!$M$5*EFEITO!$Z$5</f>
        <v>0</v>
      </c>
      <c r="O5" s="91">
        <f>$L$5-EFEITO!$O$5*EFEITO!$AA$5</f>
        <v>0</v>
      </c>
      <c r="P5" s="20"/>
      <c r="Q5" s="91" t="s">
        <v>724</v>
      </c>
      <c r="R5" s="91">
        <f>SUMIF($B$2:$B$667,$Q$5,$J$2:$J$667)</f>
        <v>0</v>
      </c>
      <c r="S5" s="91">
        <f>SUMIF($B$2:$B$667,$Q$5,$K$2:$K$667)</f>
        <v>0</v>
      </c>
      <c r="T5" s="91">
        <f>SUMIF($B$2:$B$667,$Q$5,$L$2:$L$667)</f>
        <v>0</v>
      </c>
      <c r="U5" s="91">
        <f>SUMIF($B$2:$B$667,$Q$5,$M$2:$M$667)</f>
        <v>0</v>
      </c>
      <c r="V5" s="91">
        <f>SUMIF($B$2:$B$667,$Q$5,$N$2:$N$667)</f>
        <v>0</v>
      </c>
      <c r="W5" s="91">
        <f>SUMIF($B$2:$B$667,$Q$5,$O$2:$O$667)</f>
        <v>0</v>
      </c>
      <c r="X5" s="84">
        <f>$R$5-$U$5</f>
        <v>0</v>
      </c>
      <c r="Y5" s="84">
        <f>$S$5-$V$5</f>
        <v>0</v>
      </c>
      <c r="Z5" s="84">
        <f>$T$5-$W$5</f>
        <v>0</v>
      </c>
      <c r="AA5" s="84">
        <f>SUMIF(EFEITO!$B$2:$B$667,$Q$5,EFEITO!$AE$2:$AE$667)</f>
        <v>0</v>
      </c>
      <c r="AB5" s="84">
        <f>SUMIF(EFEITO!$B$2:$B$667,$Q$5,EFEITO!$AF$2:$AF$667)</f>
        <v>0</v>
      </c>
      <c r="AC5" s="84">
        <f>SUMIF(EFEITO!$B$2:$B$667,$Q$5,EFEITO!$AG$2:$AH$667)</f>
        <v>0</v>
      </c>
      <c r="AD5" s="84">
        <f>SUMIF(SUBSIDIO!$B$2:$B$667,$Q$5,SUBSIDIO!$AD$2:$AD$667)</f>
        <v>0</v>
      </c>
      <c r="AE5" s="84">
        <f>SUMIF(SUBSIDIO!$B$2:$B$667,$Q$5,SUBSIDIO!$AE$2:$AE$667)</f>
        <v>0</v>
      </c>
      <c r="AF5" s="84" t="str">
        <f>IF(ABS($X$5-$AA$5)&lt;0.01,"OK","ERRO")</f>
        <v>OK</v>
      </c>
      <c r="AG5" s="84" t="str">
        <f>IF(ABS($Y$5-$AB$5)&lt;0.01,"OK","ERRO")</f>
        <v>OK</v>
      </c>
      <c r="AH5" s="84" t="str">
        <f>IF(ABS($Z$5-$AC$5)&lt;0.01,"OK","ERRO")</f>
        <v>OK</v>
      </c>
      <c r="AI5" s="84" t="str">
        <f>IF(ABS($U$5-$AD$5)&lt;0.01,"OK","ERRO")</f>
        <v>OK</v>
      </c>
      <c r="AJ5" s="84" t="str">
        <f>IF(ABS(($V$5+$W$5)-$AE$5)&lt;0.01,"OK","ERRO")</f>
        <v>OK</v>
      </c>
    </row>
    <row r="6" spans="1:40" ht="11.25" customHeight="1" x14ac:dyDescent="0.2">
      <c r="A6" s="83" t="s">
        <v>21</v>
      </c>
      <c r="B6" s="83" t="s">
        <v>39</v>
      </c>
      <c r="C6" s="83" t="s">
        <v>56</v>
      </c>
      <c r="D6" s="83" t="s">
        <v>25</v>
      </c>
      <c r="E6" s="83" t="s">
        <v>25</v>
      </c>
      <c r="F6" s="83" t="s">
        <v>57</v>
      </c>
      <c r="G6" s="83" t="s">
        <v>58</v>
      </c>
      <c r="H6" s="83" t="s">
        <v>35</v>
      </c>
      <c r="I6" s="90">
        <v>44501</v>
      </c>
      <c r="J6" s="91">
        <f ca="1">EFEITO!$J$6*EFEITO!$Y$6</f>
        <v>35991.584023691576</v>
      </c>
      <c r="K6" s="91">
        <f ca="1">EFEITO!$L$6*EFEITO!$Z$6</f>
        <v>4794.1760731727281</v>
      </c>
      <c r="L6" s="91">
        <f>EFEITO!$N$6*EFEITO!$AA$6</f>
        <v>0</v>
      </c>
      <c r="M6" s="91">
        <f ca="1">$J$6-EFEITO!$K$6*EFEITO!$Y$6</f>
        <v>0</v>
      </c>
      <c r="N6" s="91">
        <f ca="1">$K$6-EFEITO!$M$6*EFEITO!$Z$6</f>
        <v>0</v>
      </c>
      <c r="O6" s="91">
        <f>$L$6-EFEITO!$O$6*EFEITO!$AA$6</f>
        <v>0</v>
      </c>
      <c r="P6" s="20"/>
      <c r="Q6" s="91" t="s">
        <v>725</v>
      </c>
      <c r="R6" s="91">
        <f>SUMIF($B$2:$B$667,$Q$6,$J$2:$J$667)</f>
        <v>0</v>
      </c>
      <c r="S6" s="91">
        <f>SUMIF($B$2:$B$667,$Q$6,$K$2:$K$667)</f>
        <v>0</v>
      </c>
      <c r="T6" s="91">
        <f>SUMIF($B$2:$B$667,$Q$6,$L$2:$L$667)</f>
        <v>0</v>
      </c>
      <c r="U6" s="91">
        <f>SUMIF($B$2:$B$667,$Q$6,$M$2:$M$667)</f>
        <v>0</v>
      </c>
      <c r="V6" s="91">
        <f>SUMIF($B$2:$B$667,$Q$6,$N$2:$N$667)</f>
        <v>0</v>
      </c>
      <c r="W6" s="91">
        <f>SUMIF($B$2:$B$667,$Q$6,$O$2:$O$667)</f>
        <v>0</v>
      </c>
      <c r="X6" s="84">
        <f>$R$6-$U$6</f>
        <v>0</v>
      </c>
      <c r="Y6" s="84">
        <f>$S$6-$V$6</f>
        <v>0</v>
      </c>
      <c r="Z6" s="84">
        <f>$T$6-$W$6</f>
        <v>0</v>
      </c>
      <c r="AA6" s="84">
        <f>SUMIF(EFEITO!$B$2:$B$667,$Q$6,EFEITO!$AE$2:$AE$667)</f>
        <v>0</v>
      </c>
      <c r="AB6" s="84">
        <f>SUMIF(EFEITO!$B$2:$B$667,$Q$6,EFEITO!$AF$2:$AF$667)</f>
        <v>0</v>
      </c>
      <c r="AC6" s="84">
        <f>SUMIF(EFEITO!$B$2:$B$667,$Q$6,EFEITO!$AG$2:$AH$667)</f>
        <v>0</v>
      </c>
      <c r="AD6" s="84">
        <f>SUMIF(SUBSIDIO!$B$2:$B$667,$Q$6,SUBSIDIO!$AD$2:$AD$667)</f>
        <v>0</v>
      </c>
      <c r="AE6" s="84">
        <f>SUMIF(SUBSIDIO!$B$2:$B$667,$Q$6,SUBSIDIO!$AE$2:$AE$667)</f>
        <v>0</v>
      </c>
      <c r="AF6" s="84" t="str">
        <f>IF(ABS($X$6-$AA$6)&lt;0.01,"OK","ERRO")</f>
        <v>OK</v>
      </c>
      <c r="AG6" s="84" t="str">
        <f>IF(ABS($Y$6-$AB$6)&lt;0.01,"OK","ERRO")</f>
        <v>OK</v>
      </c>
      <c r="AH6" s="84" t="str">
        <f>IF(ABS($Z$6-$AC$6)&lt;0.01,"OK","ERRO")</f>
        <v>OK</v>
      </c>
      <c r="AI6" s="84" t="str">
        <f>IF(ABS($U$6-$AD$6)&lt;0.01,"OK","ERRO")</f>
        <v>OK</v>
      </c>
      <c r="AJ6" s="84" t="str">
        <f>IF(ABS(($V$6+$W$6)-$AE$6)&lt;0.01,"OK","ERRO")</f>
        <v>OK</v>
      </c>
    </row>
    <row r="7" spans="1:40" ht="11.25" customHeight="1" x14ac:dyDescent="0.2">
      <c r="A7" s="83" t="s">
        <v>21</v>
      </c>
      <c r="B7" s="83" t="s">
        <v>39</v>
      </c>
      <c r="C7" s="83" t="s">
        <v>56</v>
      </c>
      <c r="D7" s="83" t="s">
        <v>25</v>
      </c>
      <c r="E7" s="83" t="s">
        <v>25</v>
      </c>
      <c r="F7" s="83" t="s">
        <v>57</v>
      </c>
      <c r="G7" s="83" t="s">
        <v>58</v>
      </c>
      <c r="H7" s="83" t="s">
        <v>35</v>
      </c>
      <c r="I7" s="90">
        <v>44531</v>
      </c>
      <c r="J7" s="91">
        <f ca="1">EFEITO!$J$7*EFEITO!$Y$7</f>
        <v>43185.136886136876</v>
      </c>
      <c r="K7" s="91">
        <f ca="1">EFEITO!$L$7*EFEITO!$Z$7</f>
        <v>6699.8320532491689</v>
      </c>
      <c r="L7" s="91">
        <f>EFEITO!$N$7*EFEITO!$AA$7</f>
        <v>0</v>
      </c>
      <c r="M7" s="91">
        <f ca="1">$J$7-EFEITO!$K$7*EFEITO!$Y$7</f>
        <v>0</v>
      </c>
      <c r="N7" s="91">
        <f ca="1">$K$7-EFEITO!$M$7*EFEITO!$Z$7</f>
        <v>0</v>
      </c>
      <c r="O7" s="91">
        <f>$L$7-EFEITO!$O$7*EFEITO!$AA$7</f>
        <v>0</v>
      </c>
      <c r="P7" s="20"/>
      <c r="Q7" s="91" t="s">
        <v>39</v>
      </c>
      <c r="R7" s="91">
        <f ca="1">SUMIF($B$2:$B$667,$Q$7,$J$2:$J$667)</f>
        <v>5750909.8384332648</v>
      </c>
      <c r="S7" s="91">
        <f ca="1">SUMIF($B$2:$B$667,$Q$7,$K$2:$K$667)</f>
        <v>3847694.8482826757</v>
      </c>
      <c r="T7" s="91">
        <f>SUMIF($B$2:$B$667,$Q$7,$L$2:$L$667)</f>
        <v>3590920.8335904283</v>
      </c>
      <c r="U7" s="91">
        <f ca="1">SUMIF($B$2:$B$667,$Q$7,$M$2:$M$667)</f>
        <v>1159554.1524258202</v>
      </c>
      <c r="V7" s="91">
        <f ca="1">SUMIF($B$2:$B$667,$Q$7,$N$2:$N$667)</f>
        <v>560077.49313158356</v>
      </c>
      <c r="W7" s="91">
        <f>SUMIF($B$2:$B$667,$Q$7,$O$2:$O$667)</f>
        <v>183355.64043141162</v>
      </c>
      <c r="X7" s="84">
        <f ca="1">$R$7-$U$7</f>
        <v>4591355.6860074447</v>
      </c>
      <c r="Y7" s="84">
        <f ca="1">$S$7-$V$7</f>
        <v>3287617.3551510922</v>
      </c>
      <c r="Z7" s="84">
        <f>$T$7-$W$7</f>
        <v>3407565.1931590168</v>
      </c>
      <c r="AA7" s="84">
        <f ca="1">SUMIF(EFEITO!$B$2:$B$667,$Q$7,EFEITO!$AE$2:$AE$667)</f>
        <v>4591355.686007442</v>
      </c>
      <c r="AB7" s="84">
        <f ca="1">SUMIF(EFEITO!$B$2:$B$667,$Q$7,EFEITO!$AF$2:$AF$667)</f>
        <v>3287617.3551510922</v>
      </c>
      <c r="AC7" s="84">
        <f>SUMIF(EFEITO!$B$2:$B$667,$Q$7,EFEITO!$AG$2:$AH$667)</f>
        <v>3407565.1931590186</v>
      </c>
      <c r="AD7" s="84">
        <f ca="1">SUMIF(SUBSIDIO!$B$2:$B$667,$Q$7,SUBSIDIO!$AD$2:$AD$667)</f>
        <v>1159554.1524258202</v>
      </c>
      <c r="AE7" s="84">
        <f ca="1">SUMIF(SUBSIDIO!$B$2:$B$667,$Q$7,SUBSIDIO!$AE$2:$AE$667)</f>
        <v>743433.13356299512</v>
      </c>
      <c r="AF7" s="84" t="str">
        <f ca="1">IF(ABS($X$7-$AA$7)&lt;0.01,"OK","ERRO")</f>
        <v>OK</v>
      </c>
      <c r="AG7" s="84" t="str">
        <f ca="1">IF(ABS($Y$7-$AB$7)&lt;0.01,"OK","ERRO")</f>
        <v>OK</v>
      </c>
      <c r="AH7" s="84" t="str">
        <f>IF(ABS($Z$7-$AC$7)&lt;0.01,"OK","ERRO")</f>
        <v>OK</v>
      </c>
      <c r="AI7" s="84" t="str">
        <f ca="1">IF(ABS($U$7-$AD$7)&lt;0.01,"OK","ERRO")</f>
        <v>OK</v>
      </c>
      <c r="AJ7" s="84" t="str">
        <f ca="1">IF(ABS(($V$7+$W$7)-$AE$7)&lt;0.01,"OK","ERRO")</f>
        <v>OK</v>
      </c>
    </row>
    <row r="8" spans="1:40" ht="11.25" customHeight="1" x14ac:dyDescent="0.2">
      <c r="A8" s="83" t="s">
        <v>21</v>
      </c>
      <c r="B8" s="83" t="s">
        <v>39</v>
      </c>
      <c r="C8" s="83" t="s">
        <v>56</v>
      </c>
      <c r="D8" s="83" t="s">
        <v>25</v>
      </c>
      <c r="E8" s="83" t="s">
        <v>25</v>
      </c>
      <c r="F8" s="83" t="s">
        <v>57</v>
      </c>
      <c r="G8" s="83" t="s">
        <v>58</v>
      </c>
      <c r="H8" s="83" t="s">
        <v>35</v>
      </c>
      <c r="I8" s="90">
        <v>44562</v>
      </c>
      <c r="J8" s="91">
        <f ca="1">EFEITO!$J$8*EFEITO!$Y$8</f>
        <v>49687.918116095709</v>
      </c>
      <c r="K8" s="91">
        <f ca="1">EFEITO!$L$8*EFEITO!$Z$8</f>
        <v>7022.4788648858148</v>
      </c>
      <c r="L8" s="91">
        <f>EFEITO!$N$8*EFEITO!$AA$8</f>
        <v>0</v>
      </c>
      <c r="M8" s="91">
        <f ca="1">$J$8-EFEITO!$K$8*EFEITO!$Y$8</f>
        <v>0</v>
      </c>
      <c r="N8" s="91">
        <f ca="1">$K$8-EFEITO!$M$8*EFEITO!$Z$8</f>
        <v>0</v>
      </c>
      <c r="O8" s="91">
        <f>$L$8-EFEITO!$O$8*EFEITO!$AA$8</f>
        <v>0</v>
      </c>
      <c r="P8" s="20"/>
      <c r="Q8" s="91" t="s">
        <v>726</v>
      </c>
      <c r="R8" s="91">
        <f>SUMIF($B$2:$B$667,$Q$8,$J$2:$J$667)</f>
        <v>0</v>
      </c>
      <c r="S8" s="91">
        <f>SUMIF($B$2:$B$667,$Q$8,$K$2:$K$667)</f>
        <v>0</v>
      </c>
      <c r="T8" s="91">
        <f>SUMIF($B$2:$B$667,$Q$8,$L$2:$L$667)</f>
        <v>0</v>
      </c>
      <c r="U8" s="91">
        <f>SUMIF($B$2:$B$667,$Q$8,$M$2:$M$667)</f>
        <v>0</v>
      </c>
      <c r="V8" s="91">
        <f>SUMIF($B$2:$B$667,$Q$8,$N$2:$N$667)</f>
        <v>0</v>
      </c>
      <c r="W8" s="91">
        <f>SUMIF($B$2:$B$667,$Q$8,$O$2:$O$667)</f>
        <v>0</v>
      </c>
      <c r="X8" s="84">
        <f>$R$8-$U$8</f>
        <v>0</v>
      </c>
      <c r="Y8" s="84">
        <f>$S$8-$V$8</f>
        <v>0</v>
      </c>
      <c r="Z8" s="84">
        <f>$T$8-$W$8</f>
        <v>0</v>
      </c>
      <c r="AA8" s="84">
        <f>SUMIF(EFEITO!$B$2:$B$667,$Q$8,EFEITO!$AE$2:$AE$667)</f>
        <v>0</v>
      </c>
      <c r="AB8" s="84">
        <f>SUMIF(EFEITO!$B$2:$B$667,$Q$8,EFEITO!$AF$2:$AF$667)</f>
        <v>0</v>
      </c>
      <c r="AC8" s="84">
        <f>SUMIF(EFEITO!$B$2:$B$667,$Q$8,EFEITO!$AG$2:$AH$667)</f>
        <v>0</v>
      </c>
      <c r="AD8" s="84">
        <f>SUMIF(SUBSIDIO!$B$2:$B$667,$Q$8,SUBSIDIO!$AD$2:$AD$667)</f>
        <v>0</v>
      </c>
      <c r="AE8" s="84">
        <f>SUMIF(SUBSIDIO!$B$2:$B$667,$Q$8,SUBSIDIO!$AE$2:$AE$667)</f>
        <v>0</v>
      </c>
      <c r="AF8" s="84" t="str">
        <f>IF(ABS($X$8-$AA$8)&lt;0.01,"OK","ERRO")</f>
        <v>OK</v>
      </c>
      <c r="AG8" s="84" t="str">
        <f>IF(ABS($Y$8-$AB$8)&lt;0.01,"OK","ERRO")</f>
        <v>OK</v>
      </c>
      <c r="AH8" s="84" t="str">
        <f>IF(ABS($Z$8-$AC$8)&lt;0.01,"OK","ERRO")</f>
        <v>OK</v>
      </c>
      <c r="AI8" s="84" t="str">
        <f>IF(ABS($U$8-$AD$8)&lt;0.01,"OK","ERRO")</f>
        <v>OK</v>
      </c>
      <c r="AJ8" s="84" t="str">
        <f>IF(ABS(($V$8+$W$8)-$AE$8)&lt;0.01,"OK","ERRO")</f>
        <v>OK</v>
      </c>
    </row>
    <row r="9" spans="1:40" ht="11.25" customHeight="1" x14ac:dyDescent="0.2">
      <c r="A9" s="83" t="s">
        <v>21</v>
      </c>
      <c r="B9" s="83" t="s">
        <v>39</v>
      </c>
      <c r="C9" s="83" t="s">
        <v>56</v>
      </c>
      <c r="D9" s="83" t="s">
        <v>25</v>
      </c>
      <c r="E9" s="83" t="s">
        <v>25</v>
      </c>
      <c r="F9" s="83" t="s">
        <v>57</v>
      </c>
      <c r="G9" s="83" t="s">
        <v>58</v>
      </c>
      <c r="H9" s="83" t="s">
        <v>35</v>
      </c>
      <c r="I9" s="90">
        <v>44593</v>
      </c>
      <c r="J9" s="91">
        <f ca="1">EFEITO!$J$9*EFEITO!$Y$9</f>
        <v>36896.733059363498</v>
      </c>
      <c r="K9" s="91">
        <f ca="1">EFEITO!$L$9*EFEITO!$Z$9</f>
        <v>4864.4528282007186</v>
      </c>
      <c r="L9" s="91">
        <f>EFEITO!$N$9*EFEITO!$AA$9</f>
        <v>0</v>
      </c>
      <c r="M9" s="91">
        <f ca="1">$J$9-EFEITO!$K$9*EFEITO!$Y$9</f>
        <v>0</v>
      </c>
      <c r="N9" s="91">
        <f ca="1">$K$9-EFEITO!$M$9*EFEITO!$Z$9</f>
        <v>0</v>
      </c>
      <c r="O9" s="91">
        <f>$L$9-EFEITO!$O$9*EFEITO!$AA$9</f>
        <v>0</v>
      </c>
      <c r="P9" s="20"/>
      <c r="Q9" s="91" t="s">
        <v>22</v>
      </c>
      <c r="R9" s="91">
        <f>SUMIF($B$2:$B$667,$Q$9,$J$2:$J$667)</f>
        <v>0</v>
      </c>
      <c r="S9" s="91">
        <f ca="1">SUMIF($B$2:$B$667,$Q$9,$K$2:$K$667)</f>
        <v>9983945.1993770953</v>
      </c>
      <c r="T9" s="91">
        <f>SUMIF($B$2:$B$667,$Q$9,$L$2:$L$667)</f>
        <v>4724359.0621352028</v>
      </c>
      <c r="U9" s="91">
        <f>SUMIF($B$2:$B$667,$Q$9,$M$2:$M$667)</f>
        <v>0</v>
      </c>
      <c r="V9" s="91">
        <f ca="1">SUMIF($B$2:$B$667,$Q$9,$N$2:$N$667)</f>
        <v>242344.44134055331</v>
      </c>
      <c r="W9" s="91">
        <f>SUMIF($B$2:$B$667,$Q$9,$O$2:$O$667)</f>
        <v>146925.68984693085</v>
      </c>
      <c r="X9" s="84">
        <f>$R$9-$U$9</f>
        <v>0</v>
      </c>
      <c r="Y9" s="84">
        <f ca="1">$S$9-$V$9</f>
        <v>9741600.7580365427</v>
      </c>
      <c r="Z9" s="84">
        <f>$T$9-$W$9</f>
        <v>4577433.3722882718</v>
      </c>
      <c r="AA9" s="84">
        <f>SUMIF(EFEITO!$B$2:$B$667,$Q$9,EFEITO!$AE$2:$AE$667)</f>
        <v>0</v>
      </c>
      <c r="AB9" s="84">
        <f ca="1">SUMIF(EFEITO!$B$2:$B$667,$Q$9,EFEITO!$AF$2:$AF$667)</f>
        <v>9741600.7580365166</v>
      </c>
      <c r="AC9" s="84">
        <f>SUMIF(EFEITO!$B$2:$B$667,$Q$9,EFEITO!$AG$2:$AH$667)</f>
        <v>4577433.3722882662</v>
      </c>
      <c r="AD9" s="84">
        <f>SUMIF(SUBSIDIO!$B$2:$B$667,$Q$9,SUBSIDIO!$AD$2:$AD$667)</f>
        <v>0</v>
      </c>
      <c r="AE9" s="84">
        <f ca="1">SUMIF(SUBSIDIO!$B$2:$B$667,$Q$9,SUBSIDIO!$AE$2:$AE$667)</f>
        <v>389270.13118748437</v>
      </c>
      <c r="AF9" s="84" t="str">
        <f>IF(ABS($X$9-$AA$9)&lt;0.01,"OK","ERRO")</f>
        <v>OK</v>
      </c>
      <c r="AG9" s="84" t="str">
        <f ca="1">IF(ABS($Y$9-$AB$9)&lt;0.01,"OK","ERRO")</f>
        <v>OK</v>
      </c>
      <c r="AH9" s="84" t="str">
        <f>IF(ABS($Z$9-$AC$9)&lt;0.01,"OK","ERRO")</f>
        <v>OK</v>
      </c>
      <c r="AI9" s="84" t="str">
        <f>IF(ABS($U$9-$AD$9)&lt;0.01,"OK","ERRO")</f>
        <v>OK</v>
      </c>
      <c r="AJ9" s="84" t="str">
        <f ca="1">IF(ABS(($V$9+$W$9)-$AE$9)&lt;0.01,"OK","ERRO")</f>
        <v>OK</v>
      </c>
    </row>
    <row r="10" spans="1:40" ht="11.25" customHeight="1" x14ac:dyDescent="0.2">
      <c r="A10" s="83" t="s">
        <v>21</v>
      </c>
      <c r="B10" s="83" t="s">
        <v>39</v>
      </c>
      <c r="C10" s="83" t="s">
        <v>56</v>
      </c>
      <c r="D10" s="83" t="s">
        <v>25</v>
      </c>
      <c r="E10" s="83" t="s">
        <v>25</v>
      </c>
      <c r="F10" s="83" t="s">
        <v>57</v>
      </c>
      <c r="G10" s="83" t="s">
        <v>58</v>
      </c>
      <c r="H10" s="83" t="s">
        <v>35</v>
      </c>
      <c r="I10" s="90">
        <v>44621</v>
      </c>
      <c r="J10" s="91">
        <f ca="1">EFEITO!$J$10*EFEITO!$Y$10</f>
        <v>28940.949430036573</v>
      </c>
      <c r="K10" s="91">
        <f ca="1">EFEITO!$L$10*EFEITO!$Z$10</f>
        <v>4556.2633297330485</v>
      </c>
      <c r="L10" s="91">
        <f>EFEITO!$N$10*EFEITO!$AA$10</f>
        <v>0</v>
      </c>
      <c r="M10" s="91">
        <f ca="1">$J$10-EFEITO!$K$10*EFEITO!$Y$10</f>
        <v>0</v>
      </c>
      <c r="N10" s="91">
        <f ca="1">$K$10-EFEITO!$M$10*EFEITO!$Z$10</f>
        <v>0</v>
      </c>
      <c r="O10" s="91">
        <f>$L$10-EFEITO!$O$10*EFEITO!$AA$10</f>
        <v>0</v>
      </c>
      <c r="P10" s="20"/>
      <c r="Q10" s="91" t="s">
        <v>42</v>
      </c>
      <c r="R10" s="91">
        <f>SUMIF($B$2:$B$667,$Q$10,$J$2:$J$667)</f>
        <v>0</v>
      </c>
      <c r="S10" s="91">
        <f ca="1">SUMIF($B$2:$B$667,$Q$10,$K$2:$K$667)</f>
        <v>8338314.882633266</v>
      </c>
      <c r="T10" s="91">
        <f>SUMIF($B$2:$B$667,$Q$10,$L$2:$L$667)</f>
        <v>3842227.2433992624</v>
      </c>
      <c r="U10" s="91">
        <f>SUMIF($B$2:$B$667,$Q$10,$M$2:$M$667)</f>
        <v>0</v>
      </c>
      <c r="V10" s="91">
        <f ca="1">SUMIF($B$2:$B$667,$Q$10,$N$2:$N$667)</f>
        <v>518410.73153174022</v>
      </c>
      <c r="W10" s="91">
        <f>SUMIF($B$2:$B$667,$Q$10,$O$2:$O$667)</f>
        <v>238879.40880139775</v>
      </c>
      <c r="X10" s="84">
        <f>$R$10-$U$10</f>
        <v>0</v>
      </c>
      <c r="Y10" s="84">
        <f ca="1">$S$10-$V$10</f>
        <v>7819904.1511015259</v>
      </c>
      <c r="Z10" s="84">
        <f>$T$10-$W$10</f>
        <v>3603347.8345978647</v>
      </c>
      <c r="AA10" s="84">
        <f>SUMIF(EFEITO!$B$2:$B$667,$Q$10,EFEITO!$AE$2:$AE$667)</f>
        <v>0</v>
      </c>
      <c r="AB10" s="84">
        <f ca="1">SUMIF(EFEITO!$B$2:$B$667,$Q$10,EFEITO!$AF$2:$AF$667)</f>
        <v>7819904.1511015249</v>
      </c>
      <c r="AC10" s="84">
        <f>SUMIF(EFEITO!$B$2:$B$667,$Q$10,EFEITO!$AG$2:$AH$667)</f>
        <v>3603347.8345978656</v>
      </c>
      <c r="AD10" s="84">
        <f>SUMIF(SUBSIDIO!$B$2:$B$667,$Q$10,SUBSIDIO!$AD$2:$AD$667)</f>
        <v>0</v>
      </c>
      <c r="AE10" s="84">
        <f ca="1">SUMIF(SUBSIDIO!$B$2:$B$667,$Q$10,SUBSIDIO!$AE$2:$AE$667)</f>
        <v>757290.14033313817</v>
      </c>
      <c r="AF10" s="84" t="str">
        <f>IF(ABS($X$10-$AA$10)&lt;0.01,"OK","ERRO")</f>
        <v>OK</v>
      </c>
      <c r="AG10" s="84" t="str">
        <f ca="1">IF(ABS($Y$10-$AB$10)&lt;0.01,"OK","ERRO")</f>
        <v>OK</v>
      </c>
      <c r="AH10" s="84" t="str">
        <f>IF(ABS($Z$10-$AC$10)&lt;0.01,"OK","ERRO")</f>
        <v>OK</v>
      </c>
      <c r="AI10" s="84" t="str">
        <f>IF(ABS($U$10-$AD$10)&lt;0.01,"OK","ERRO")</f>
        <v>OK</v>
      </c>
      <c r="AJ10" s="84" t="str">
        <f ca="1">IF(ABS(($V$10+$W$10)-$AE$10)&lt;0.01,"OK","ERRO")</f>
        <v>OK</v>
      </c>
    </row>
    <row r="11" spans="1:40" ht="11.25" customHeight="1" x14ac:dyDescent="0.2">
      <c r="A11" s="83" t="s">
        <v>21</v>
      </c>
      <c r="B11" s="83" t="s">
        <v>39</v>
      </c>
      <c r="C11" s="83" t="s">
        <v>56</v>
      </c>
      <c r="D11" s="83" t="s">
        <v>25</v>
      </c>
      <c r="E11" s="83" t="s">
        <v>25</v>
      </c>
      <c r="F11" s="83" t="s">
        <v>57</v>
      </c>
      <c r="G11" s="83" t="s">
        <v>58</v>
      </c>
      <c r="H11" s="83" t="s">
        <v>35</v>
      </c>
      <c r="I11" s="90">
        <v>44652</v>
      </c>
      <c r="J11" s="91">
        <f ca="1">EFEITO!$J$11*EFEITO!$Y$11</f>
        <v>31489.658556796996</v>
      </c>
      <c r="K11" s="91">
        <f ca="1">EFEITO!$L$11*EFEITO!$Z$11</f>
        <v>4391.8252723449114</v>
      </c>
      <c r="L11" s="91">
        <f>EFEITO!$N$11*EFEITO!$AA$11</f>
        <v>0</v>
      </c>
      <c r="M11" s="91">
        <f ca="1">$J$11-EFEITO!$K$11*EFEITO!$Y$11</f>
        <v>0</v>
      </c>
      <c r="N11" s="91">
        <f ca="1">$K$11-EFEITO!$M$11*EFEITO!$Z$11</f>
        <v>0</v>
      </c>
      <c r="O11" s="91">
        <f>$L$11-EFEITO!$O$11*EFEITO!$AA$11</f>
        <v>0</v>
      </c>
      <c r="P11" s="20"/>
      <c r="Q11" s="91" t="s">
        <v>37</v>
      </c>
      <c r="R11" s="91">
        <f>SUMIF($B$2:$B$667,$Q$11,$J$2:$J$667)</f>
        <v>0</v>
      </c>
      <c r="S11" s="91">
        <f ca="1">SUMIF($B$2:$B$667,$Q$11,$K$2:$K$667)</f>
        <v>5283207.5177264549</v>
      </c>
      <c r="T11" s="91">
        <f>SUMIF($B$2:$B$667,$Q$11,$L$2:$L$667)</f>
        <v>2432074.6846061675</v>
      </c>
      <c r="U11" s="91">
        <f>SUMIF($B$2:$B$667,$Q$11,$M$2:$M$667)</f>
        <v>0</v>
      </c>
      <c r="V11" s="91">
        <f ca="1">SUMIF($B$2:$B$667,$Q$11,$N$2:$N$667)</f>
        <v>12987.374686767507</v>
      </c>
      <c r="W11" s="91">
        <f>SUMIF($B$2:$B$667,$Q$11,$O$2:$O$667)</f>
        <v>5978.7460802112673</v>
      </c>
      <c r="X11" s="84">
        <f>$R$11-$U$11</f>
        <v>0</v>
      </c>
      <c r="Y11" s="84">
        <f ca="1">$S$11-$V$11</f>
        <v>5270220.1430396875</v>
      </c>
      <c r="Z11" s="84">
        <f>$T$11-$W$11</f>
        <v>2426095.9385259561</v>
      </c>
      <c r="AA11" s="84">
        <f>SUMIF(EFEITO!$B$2:$B$667,$Q$11,EFEITO!$AE$2:$AE$667)</f>
        <v>0</v>
      </c>
      <c r="AB11" s="84">
        <f ca="1">SUMIF(EFEITO!$B$2:$B$667,$Q$11,EFEITO!$AF$2:$AF$667)</f>
        <v>5270220.1430396894</v>
      </c>
      <c r="AC11" s="84">
        <f>SUMIF(EFEITO!$B$2:$B$667,$Q$11,EFEITO!$AG$2:$AH$667)</f>
        <v>2426095.9385259552</v>
      </c>
      <c r="AD11" s="84">
        <f>SUMIF(SUBSIDIO!$B$2:$B$667,$Q$11,SUBSIDIO!$AD$2:$AD$667)</f>
        <v>0</v>
      </c>
      <c r="AE11" s="84">
        <f ca="1">SUMIF(SUBSIDIO!$B$2:$B$667,$Q$11,SUBSIDIO!$AE$2:$AE$667)</f>
        <v>18966.120766978733</v>
      </c>
      <c r="AF11" s="84" t="str">
        <f>IF(ABS($X$11-$AA$11)&lt;0.01,"OK","ERRO")</f>
        <v>OK</v>
      </c>
      <c r="AG11" s="84" t="str">
        <f ca="1">IF(ABS($Y$11-$AB$11)&lt;0.01,"OK","ERRO")</f>
        <v>OK</v>
      </c>
      <c r="AH11" s="84" t="str">
        <f>IF(ABS($Z$11-$AC$11)&lt;0.01,"OK","ERRO")</f>
        <v>OK</v>
      </c>
      <c r="AI11" s="84" t="str">
        <f>IF(ABS($U$11-$AD$11)&lt;0.01,"OK","ERRO")</f>
        <v>OK</v>
      </c>
      <c r="AJ11" s="84" t="str">
        <f ca="1">IF(ABS(($V$11+$W$11)-$AE$11)&lt;0.01,"OK","ERRO")</f>
        <v>OK</v>
      </c>
    </row>
    <row r="12" spans="1:40" ht="11.25" customHeight="1" x14ac:dyDescent="0.2">
      <c r="A12" s="83" t="s">
        <v>21</v>
      </c>
      <c r="B12" s="83" t="s">
        <v>39</v>
      </c>
      <c r="C12" s="83" t="s">
        <v>56</v>
      </c>
      <c r="D12" s="83" t="s">
        <v>25</v>
      </c>
      <c r="E12" s="83" t="s">
        <v>25</v>
      </c>
      <c r="F12" s="83" t="s">
        <v>57</v>
      </c>
      <c r="G12" s="83" t="s">
        <v>58</v>
      </c>
      <c r="H12" s="83" t="s">
        <v>35</v>
      </c>
      <c r="I12" s="90">
        <v>44682</v>
      </c>
      <c r="J12" s="91">
        <f ca="1">EFEITO!$J$12*EFEITO!$Y$12</f>
        <v>29798.459042778395</v>
      </c>
      <c r="K12" s="91">
        <f ca="1">EFEITO!$L$12*EFEITO!$Z$12</f>
        <v>3865.7656189705881</v>
      </c>
      <c r="L12" s="91">
        <f>EFEITO!$N$12*EFEITO!$AA$12</f>
        <v>0</v>
      </c>
      <c r="M12" s="91">
        <f ca="1">$J$12-EFEITO!$K$12*EFEITO!$Y$12</f>
        <v>0</v>
      </c>
      <c r="N12" s="91">
        <f ca="1">$K$12-EFEITO!$M$12*EFEITO!$Z$12</f>
        <v>0</v>
      </c>
      <c r="O12" s="91">
        <f>$L$12-EFEITO!$O$12*EFEITO!$AA$12</f>
        <v>0</v>
      </c>
      <c r="P12" s="20"/>
      <c r="Q12" s="91" t="s">
        <v>45</v>
      </c>
      <c r="R12" s="91">
        <f>SUMIF($B$2:$B$667,$Q$12,$J$2:$J$667)</f>
        <v>0</v>
      </c>
      <c r="S12" s="91">
        <f ca="1">SUMIF($B$2:$B$667,$Q$12,$K$2:$K$667)</f>
        <v>1070894.2555306063</v>
      </c>
      <c r="T12" s="91">
        <f>SUMIF($B$2:$B$667,$Q$12,$L$2:$L$667)</f>
        <v>493458.55251559499</v>
      </c>
      <c r="U12" s="91">
        <f>SUMIF($B$2:$B$667,$Q$12,$M$2:$M$667)</f>
        <v>0</v>
      </c>
      <c r="V12" s="91">
        <f ca="1">SUMIF($B$2:$B$667,$Q$12,$N$2:$N$667)</f>
        <v>0</v>
      </c>
      <c r="W12" s="91">
        <f>SUMIF($B$2:$B$667,$Q$12,$O$2:$O$667)</f>
        <v>0</v>
      </c>
      <c r="X12" s="84">
        <f>$R$12-$U$12</f>
        <v>0</v>
      </c>
      <c r="Y12" s="84">
        <f ca="1">$S$12-$V$12</f>
        <v>1070894.2555306063</v>
      </c>
      <c r="Z12" s="84">
        <f>$T$12-$W$12</f>
        <v>493458.55251559499</v>
      </c>
      <c r="AA12" s="84">
        <f>SUMIF(EFEITO!$B$2:$B$667,$Q$12,EFEITO!$AE$2:$AE$667)</f>
        <v>0</v>
      </c>
      <c r="AB12" s="84">
        <f ca="1">SUMIF(EFEITO!$B$2:$B$667,$Q$12,EFEITO!$AF$2:$AF$667)</f>
        <v>1070894.2555306063</v>
      </c>
      <c r="AC12" s="84">
        <f>SUMIF(EFEITO!$B$2:$B$667,$Q$12,EFEITO!$AG$2:$AH$667)</f>
        <v>493458.55251559499</v>
      </c>
      <c r="AD12" s="84">
        <f>SUMIF(SUBSIDIO!$B$2:$B$667,$Q$12,SUBSIDIO!$AD$2:$AD$667)</f>
        <v>0</v>
      </c>
      <c r="AE12" s="84">
        <f>SUMIF(SUBSIDIO!$B$2:$B$667,$Q$12,SUBSIDIO!$AE$2:$AE$667)</f>
        <v>0</v>
      </c>
      <c r="AF12" s="84" t="str">
        <f>IF(ABS($X$12-$AA$12)&lt;0.01,"OK","ERRO")</f>
        <v>OK</v>
      </c>
      <c r="AG12" s="84" t="str">
        <f ca="1">IF(ABS($Y$12-$AB$12)&lt;0.01,"OK","ERRO")</f>
        <v>OK</v>
      </c>
      <c r="AH12" s="84" t="str">
        <f>IF(ABS($Z$12-$AC$12)&lt;0.01,"OK","ERRO")</f>
        <v>OK</v>
      </c>
      <c r="AI12" s="84" t="str">
        <f>IF(ABS($U$12-$AD$12)&lt;0.01,"OK","ERRO")</f>
        <v>OK</v>
      </c>
      <c r="AJ12" s="84" t="str">
        <f ca="1">IF(ABS(($V$12+$W$12)-$AE$12)&lt;0.01,"OK","ERRO")</f>
        <v>OK</v>
      </c>
    </row>
    <row r="13" spans="1:40" ht="11.25" customHeight="1" x14ac:dyDescent="0.2">
      <c r="A13" s="83" t="s">
        <v>21</v>
      </c>
      <c r="B13" s="83" t="s">
        <v>39</v>
      </c>
      <c r="C13" s="83" t="s">
        <v>56</v>
      </c>
      <c r="D13" s="83" t="s">
        <v>25</v>
      </c>
      <c r="E13" s="83" t="s">
        <v>25</v>
      </c>
      <c r="F13" s="83" t="s">
        <v>57</v>
      </c>
      <c r="G13" s="83" t="s">
        <v>58</v>
      </c>
      <c r="H13" s="83" t="s">
        <v>35</v>
      </c>
      <c r="I13" s="90">
        <v>44713</v>
      </c>
      <c r="J13" s="91">
        <f ca="1">EFEITO!$J$13*EFEITO!$Y$13</f>
        <v>32037.511920493162</v>
      </c>
      <c r="K13" s="91">
        <f ca="1">EFEITO!$L$13*EFEITO!$Z$13</f>
        <v>3931.1011264101044</v>
      </c>
      <c r="L13" s="91">
        <f>EFEITO!$N$13*EFEITO!$AA$13</f>
        <v>0</v>
      </c>
      <c r="M13" s="91">
        <f ca="1">$J$13-EFEITO!$K$13*EFEITO!$Y$13</f>
        <v>0</v>
      </c>
      <c r="N13" s="91">
        <f ca="1">$K$13-EFEITO!$M$13*EFEITO!$Z$13</f>
        <v>0</v>
      </c>
      <c r="O13" s="91">
        <f>$L$13-EFEITO!$O$13*EFEITO!$AA$13</f>
        <v>0</v>
      </c>
      <c r="P13" s="20"/>
      <c r="Q13" s="91" t="s">
        <v>90</v>
      </c>
      <c r="R13" s="91">
        <f>SUMIF($B$2:$B$667,$Q$13,$J$2:$J$667)</f>
        <v>0</v>
      </c>
      <c r="S13" s="91">
        <f>SUMIF($B$2:$B$667,$Q$13,$K$2:$K$667)</f>
        <v>0</v>
      </c>
      <c r="T13" s="91">
        <f>SUMIF($B$2:$B$667,$Q$13,$L$2:$L$667)</f>
        <v>0</v>
      </c>
      <c r="U13" s="91">
        <f>SUMIF($B$2:$B$667,$Q$13,$M$2:$M$667)</f>
        <v>0</v>
      </c>
      <c r="V13" s="91">
        <f>SUMIF($B$2:$B$667,$Q$13,$N$2:$N$667)</f>
        <v>0</v>
      </c>
      <c r="W13" s="91">
        <f>SUMIF($B$2:$B$667,$Q$13,$O$2:$O$667)</f>
        <v>0</v>
      </c>
      <c r="X13" s="84">
        <f>$R$13-$U$13</f>
        <v>0</v>
      </c>
      <c r="Y13" s="84">
        <f>$S$13-$V$13</f>
        <v>0</v>
      </c>
      <c r="Z13" s="84">
        <f>$T$13-$W$13</f>
        <v>0</v>
      </c>
      <c r="AA13" s="84">
        <f>SUMIF(EFEITO!$B$2:$B$667,$Q$13,EFEITO!$AE$2:$AE$667)</f>
        <v>0</v>
      </c>
      <c r="AB13" s="84">
        <f>SUMIF(EFEITO!$B$2:$B$667,$Q$13,EFEITO!$AF$2:$AF$667)</f>
        <v>0</v>
      </c>
      <c r="AC13" s="84">
        <f>SUMIF(EFEITO!$B$2:$B$667,$Q$13,EFEITO!$AG$2:$AH$667)</f>
        <v>0</v>
      </c>
      <c r="AD13" s="84">
        <f>SUMIF(SUBSIDIO!$B$2:$B$667,$Q$13,SUBSIDIO!$AD$2:$AD$667)</f>
        <v>0</v>
      </c>
      <c r="AE13" s="84">
        <f>SUMIF(SUBSIDIO!$B$2:$B$667,$Q$13,SUBSIDIO!$AE$2:$AE$667)</f>
        <v>0</v>
      </c>
      <c r="AF13" s="84" t="str">
        <f>IF(ABS($X$13-$AA$13)&lt;0.01,"OK","ERRO")</f>
        <v>OK</v>
      </c>
      <c r="AG13" s="84" t="str">
        <f>IF(ABS($Y$13-$AB$13)&lt;0.01,"OK","ERRO")</f>
        <v>OK</v>
      </c>
      <c r="AH13" s="84" t="str">
        <f>IF(ABS($Z$13-$AC$13)&lt;0.01,"OK","ERRO")</f>
        <v>OK</v>
      </c>
      <c r="AI13" s="84" t="str">
        <f>IF(ABS($U$13-$AD$13)&lt;0.01,"OK","ERRO")</f>
        <v>OK</v>
      </c>
      <c r="AJ13" s="84" t="str">
        <f>IF(ABS(($V$13+$W$13)-$AE$13)&lt;0.01,"OK","ERRO")</f>
        <v>OK</v>
      </c>
    </row>
    <row r="14" spans="1:40" ht="11.25" customHeight="1" x14ac:dyDescent="0.2">
      <c r="A14" s="83" t="s">
        <v>21</v>
      </c>
      <c r="B14" s="83" t="s">
        <v>39</v>
      </c>
      <c r="C14" s="83" t="s">
        <v>56</v>
      </c>
      <c r="D14" s="83" t="s">
        <v>25</v>
      </c>
      <c r="E14" s="83" t="s">
        <v>25</v>
      </c>
      <c r="F14" s="83" t="s">
        <v>57</v>
      </c>
      <c r="G14" s="83" t="s">
        <v>58</v>
      </c>
      <c r="H14" s="83" t="s">
        <v>25</v>
      </c>
      <c r="I14" s="90">
        <v>44378</v>
      </c>
      <c r="J14" s="91">
        <f ca="1">EFEITO!$J$14*EFEITO!$Y$14</f>
        <v>0</v>
      </c>
      <c r="K14" s="91">
        <f ca="1">EFEITO!$L$14*EFEITO!$Z$14</f>
        <v>0</v>
      </c>
      <c r="L14" s="91">
        <f>EFEITO!$N$14*EFEITO!$AA$14</f>
        <v>79976.62188444339</v>
      </c>
      <c r="M14" s="91">
        <f ca="1">$J$14-EFEITO!$K$14*EFEITO!$Y$14</f>
        <v>0</v>
      </c>
      <c r="N14" s="91">
        <f ca="1">$K$14-EFEITO!$M$14*EFEITO!$Z$14</f>
        <v>0</v>
      </c>
      <c r="O14" s="91">
        <f>$L$14-EFEITO!$O$14*EFEITO!$AA$14</f>
        <v>11404.666280721634</v>
      </c>
      <c r="P14" s="20"/>
      <c r="Q14" s="20"/>
      <c r="R14" s="20"/>
      <c r="S14" s="20"/>
      <c r="T14" s="20"/>
      <c r="U14" s="20"/>
      <c r="V14" s="20"/>
      <c r="W14" s="20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83" t="s">
        <v>21</v>
      </c>
      <c r="B15" s="83" t="s">
        <v>39</v>
      </c>
      <c r="C15" s="83" t="s">
        <v>56</v>
      </c>
      <c r="D15" s="83" t="s">
        <v>25</v>
      </c>
      <c r="E15" s="83" t="s">
        <v>25</v>
      </c>
      <c r="F15" s="83" t="s">
        <v>57</v>
      </c>
      <c r="G15" s="83" t="s">
        <v>58</v>
      </c>
      <c r="H15" s="83" t="s">
        <v>25</v>
      </c>
      <c r="I15" s="90">
        <v>44409</v>
      </c>
      <c r="J15" s="91">
        <f ca="1">EFEITO!$J$15*EFEITO!$Y$15</f>
        <v>0</v>
      </c>
      <c r="K15" s="91">
        <f ca="1">EFEITO!$L$15*EFEITO!$Z$15</f>
        <v>0</v>
      </c>
      <c r="L15" s="91">
        <f>EFEITO!$N$15*EFEITO!$AA$15</f>
        <v>86291.451320474051</v>
      </c>
      <c r="M15" s="91">
        <f ca="1">$J$15-EFEITO!$K$15*EFEITO!$Y$15</f>
        <v>0</v>
      </c>
      <c r="N15" s="91">
        <f ca="1">$K$15-EFEITO!$M$15*EFEITO!$Z$15</f>
        <v>0</v>
      </c>
      <c r="O15" s="91">
        <f>$L$15-EFEITO!$O$15*EFEITO!$AA$15</f>
        <v>12305.160958299602</v>
      </c>
      <c r="P15" s="20"/>
      <c r="Q15" s="20"/>
      <c r="R15" s="20"/>
      <c r="S15" s="20"/>
      <c r="T15" s="20"/>
      <c r="U15" s="20"/>
      <c r="V15" s="20"/>
      <c r="W15" s="20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83" t="s">
        <v>21</v>
      </c>
      <c r="B16" s="83" t="s">
        <v>39</v>
      </c>
      <c r="C16" s="83" t="s">
        <v>56</v>
      </c>
      <c r="D16" s="83" t="s">
        <v>25</v>
      </c>
      <c r="E16" s="83" t="s">
        <v>25</v>
      </c>
      <c r="F16" s="83" t="s">
        <v>57</v>
      </c>
      <c r="G16" s="83" t="s">
        <v>58</v>
      </c>
      <c r="H16" s="83" t="s">
        <v>25</v>
      </c>
      <c r="I16" s="90">
        <v>44440</v>
      </c>
      <c r="J16" s="91">
        <f ca="1">EFEITO!$J$16*EFEITO!$Y$16</f>
        <v>0</v>
      </c>
      <c r="K16" s="91">
        <f ca="1">EFEITO!$L$16*EFEITO!$Z$16</f>
        <v>0</v>
      </c>
      <c r="L16" s="91">
        <f>EFEITO!$N$16*EFEITO!$AA$16</f>
        <v>78602.461154497782</v>
      </c>
      <c r="M16" s="91">
        <f ca="1">$J$16-EFEITO!$K$16*EFEITO!$Y$16</f>
        <v>0</v>
      </c>
      <c r="N16" s="91">
        <f ca="1">$K$16-EFEITO!$M$16*EFEITO!$Z$16</f>
        <v>0</v>
      </c>
      <c r="O16" s="91">
        <f>$L$16-EFEITO!$O$16*EFEITO!$AA$16</f>
        <v>11208.710960631375</v>
      </c>
      <c r="P16" s="20"/>
      <c r="Q16" s="20"/>
      <c r="R16" s="20"/>
      <c r="S16" s="20"/>
      <c r="T16" s="20"/>
      <c r="U16" s="20"/>
      <c r="V16" s="20"/>
      <c r="W16" s="20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83" t="s">
        <v>21</v>
      </c>
      <c r="B17" s="83" t="s">
        <v>39</v>
      </c>
      <c r="C17" s="83" t="s">
        <v>56</v>
      </c>
      <c r="D17" s="83" t="s">
        <v>25</v>
      </c>
      <c r="E17" s="83" t="s">
        <v>25</v>
      </c>
      <c r="F17" s="83" t="s">
        <v>57</v>
      </c>
      <c r="G17" s="83" t="s">
        <v>58</v>
      </c>
      <c r="H17" s="83" t="s">
        <v>25</v>
      </c>
      <c r="I17" s="90">
        <v>44470</v>
      </c>
      <c r="J17" s="91">
        <f ca="1">EFEITO!$J$17*EFEITO!$Y$17</f>
        <v>0</v>
      </c>
      <c r="K17" s="91">
        <f ca="1">EFEITO!$L$17*EFEITO!$Z$17</f>
        <v>0</v>
      </c>
      <c r="L17" s="91">
        <f>EFEITO!$N$17*EFEITO!$AA$17</f>
        <v>80347.037659437236</v>
      </c>
      <c r="M17" s="91">
        <f ca="1">$J$17-EFEITO!$K$17*EFEITO!$Y$17</f>
        <v>0</v>
      </c>
      <c r="N17" s="91">
        <f ca="1">$K$17-EFEITO!$M$17*EFEITO!$Z$17</f>
        <v>0</v>
      </c>
      <c r="O17" s="91">
        <f>$L$17-EFEITO!$O$17*EFEITO!$AA$17</f>
        <v>11457.487570235768</v>
      </c>
      <c r="P17" s="20"/>
      <c r="Q17" s="20"/>
      <c r="R17" s="20"/>
      <c r="S17" s="20"/>
      <c r="T17" s="20"/>
      <c r="U17" s="20"/>
      <c r="V17" s="20"/>
      <c r="W17" s="20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83" t="s">
        <v>21</v>
      </c>
      <c r="B18" s="83" t="s">
        <v>39</v>
      </c>
      <c r="C18" s="83" t="s">
        <v>56</v>
      </c>
      <c r="D18" s="83" t="s">
        <v>25</v>
      </c>
      <c r="E18" s="83" t="s">
        <v>25</v>
      </c>
      <c r="F18" s="83" t="s">
        <v>57</v>
      </c>
      <c r="G18" s="83" t="s">
        <v>58</v>
      </c>
      <c r="H18" s="83" t="s">
        <v>25</v>
      </c>
      <c r="I18" s="90">
        <v>44501</v>
      </c>
      <c r="J18" s="91">
        <f ca="1">EFEITO!$J$18*EFEITO!$Y$18</f>
        <v>0</v>
      </c>
      <c r="K18" s="91">
        <f ca="1">EFEITO!$L$18*EFEITO!$Z$18</f>
        <v>0</v>
      </c>
      <c r="L18" s="91">
        <f>EFEITO!$N$18*EFEITO!$AA$18</f>
        <v>114729.80110702025</v>
      </c>
      <c r="M18" s="91">
        <f ca="1">$J$18-EFEITO!$K$18*EFEITO!$Y$18</f>
        <v>0</v>
      </c>
      <c r="N18" s="91">
        <f ca="1">$K$18-EFEITO!$M$18*EFEITO!$Z$18</f>
        <v>0</v>
      </c>
      <c r="O18" s="91">
        <f>$L$18-EFEITO!$O$18*EFEITO!$AA$18</f>
        <v>16360.469637861097</v>
      </c>
      <c r="P18" s="20"/>
      <c r="Q18" s="20"/>
      <c r="R18" s="20"/>
      <c r="S18" s="20"/>
      <c r="T18" s="20"/>
      <c r="U18" s="20"/>
      <c r="V18" s="20"/>
      <c r="W18" s="20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83" t="s">
        <v>21</v>
      </c>
      <c r="B19" s="83" t="s">
        <v>39</v>
      </c>
      <c r="C19" s="83" t="s">
        <v>56</v>
      </c>
      <c r="D19" s="83" t="s">
        <v>25</v>
      </c>
      <c r="E19" s="83" t="s">
        <v>25</v>
      </c>
      <c r="F19" s="83" t="s">
        <v>57</v>
      </c>
      <c r="G19" s="83" t="s">
        <v>58</v>
      </c>
      <c r="H19" s="83" t="s">
        <v>25</v>
      </c>
      <c r="I19" s="90">
        <v>44531</v>
      </c>
      <c r="J19" s="91">
        <f ca="1">EFEITO!$J$19*EFEITO!$Y$19</f>
        <v>0</v>
      </c>
      <c r="K19" s="91">
        <f ca="1">EFEITO!$L$19*EFEITO!$Z$19</f>
        <v>0</v>
      </c>
      <c r="L19" s="91">
        <f>EFEITO!$N$19*EFEITO!$AA$19</f>
        <v>159335.57254282449</v>
      </c>
      <c r="M19" s="91">
        <f ca="1">$J$19-EFEITO!$K$19*EFEITO!$Y$19</f>
        <v>0</v>
      </c>
      <c r="N19" s="91">
        <f ca="1">$K$19-EFEITO!$M$19*EFEITO!$Z$19</f>
        <v>0</v>
      </c>
      <c r="O19" s="91">
        <f>$L$19-EFEITO!$O$19*EFEITO!$AA$19</f>
        <v>22721.252644606779</v>
      </c>
      <c r="P19" s="20"/>
      <c r="Q19" s="20"/>
      <c r="R19" s="20"/>
      <c r="S19" s="20"/>
      <c r="T19" s="20"/>
      <c r="U19" s="20"/>
      <c r="V19" s="20"/>
      <c r="W19" s="20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83" t="s">
        <v>21</v>
      </c>
      <c r="B20" s="83" t="s">
        <v>39</v>
      </c>
      <c r="C20" s="83" t="s">
        <v>56</v>
      </c>
      <c r="D20" s="83" t="s">
        <v>25</v>
      </c>
      <c r="E20" s="83" t="s">
        <v>25</v>
      </c>
      <c r="F20" s="83" t="s">
        <v>57</v>
      </c>
      <c r="G20" s="83" t="s">
        <v>58</v>
      </c>
      <c r="H20" s="83" t="s">
        <v>25</v>
      </c>
      <c r="I20" s="90">
        <v>44562</v>
      </c>
      <c r="J20" s="91">
        <f ca="1">EFEITO!$J$20*EFEITO!$Y$20</f>
        <v>0</v>
      </c>
      <c r="K20" s="91">
        <f ca="1">EFEITO!$L$20*EFEITO!$Z$20</f>
        <v>0</v>
      </c>
      <c r="L20" s="91">
        <f>EFEITO!$N$20*EFEITO!$AA$20</f>
        <v>165740.6104893584</v>
      </c>
      <c r="M20" s="91">
        <f ca="1">$J$20-EFEITO!$K$20*EFEITO!$Y$20</f>
        <v>0</v>
      </c>
      <c r="N20" s="91">
        <f ca="1">$K$20-EFEITO!$M$20*EFEITO!$Z$20</f>
        <v>0</v>
      </c>
      <c r="O20" s="91">
        <f>$L$20-EFEITO!$O$20*EFEITO!$AA$20</f>
        <v>23634.611055782501</v>
      </c>
      <c r="P20" s="20"/>
      <c r="Q20" s="20"/>
      <c r="R20" s="20"/>
      <c r="S20" s="20"/>
      <c r="T20" s="20"/>
      <c r="U20" s="20"/>
      <c r="V20" s="20"/>
      <c r="W20" s="20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83" t="s">
        <v>21</v>
      </c>
      <c r="B21" s="83" t="s">
        <v>39</v>
      </c>
      <c r="C21" s="83" t="s">
        <v>56</v>
      </c>
      <c r="D21" s="83" t="s">
        <v>25</v>
      </c>
      <c r="E21" s="83" t="s">
        <v>25</v>
      </c>
      <c r="F21" s="83" t="s">
        <v>57</v>
      </c>
      <c r="G21" s="83" t="s">
        <v>58</v>
      </c>
      <c r="H21" s="83" t="s">
        <v>25</v>
      </c>
      <c r="I21" s="90">
        <v>44593</v>
      </c>
      <c r="J21" s="91">
        <f ca="1">EFEITO!$J$21*EFEITO!$Y$21</f>
        <v>0</v>
      </c>
      <c r="K21" s="91">
        <f ca="1">EFEITO!$L$21*EFEITO!$Z$21</f>
        <v>0</v>
      </c>
      <c r="L21" s="91">
        <f>EFEITO!$N$21*EFEITO!$AA$21</f>
        <v>116571.83084739972</v>
      </c>
      <c r="M21" s="91">
        <f ca="1">$J$21-EFEITO!$K$21*EFEITO!$Y$21</f>
        <v>0</v>
      </c>
      <c r="N21" s="91">
        <f ca="1">$K$21-EFEITO!$M$21*EFEITO!$Z$21</f>
        <v>0</v>
      </c>
      <c r="O21" s="91">
        <f>$L$21-EFEITO!$O$21*EFEITO!$AA$21</f>
        <v>16623.143078839203</v>
      </c>
      <c r="P21" s="20"/>
      <c r="Q21" s="20"/>
      <c r="R21" s="20"/>
      <c r="S21" s="20"/>
      <c r="T21" s="20"/>
      <c r="U21" s="20"/>
      <c r="V21" s="20"/>
      <c r="W21" s="20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83" t="s">
        <v>21</v>
      </c>
      <c r="B22" s="83" t="s">
        <v>39</v>
      </c>
      <c r="C22" s="83" t="s">
        <v>56</v>
      </c>
      <c r="D22" s="83" t="s">
        <v>25</v>
      </c>
      <c r="E22" s="83" t="s">
        <v>25</v>
      </c>
      <c r="F22" s="83" t="s">
        <v>57</v>
      </c>
      <c r="G22" s="83" t="s">
        <v>58</v>
      </c>
      <c r="H22" s="83" t="s">
        <v>25</v>
      </c>
      <c r="I22" s="90">
        <v>44621</v>
      </c>
      <c r="J22" s="91">
        <f ca="1">EFEITO!$J$22*EFEITO!$Y$22</f>
        <v>0</v>
      </c>
      <c r="K22" s="91">
        <f ca="1">EFEITO!$L$22*EFEITO!$Z$22</f>
        <v>0</v>
      </c>
      <c r="L22" s="91">
        <f>EFEITO!$N$22*EFEITO!$AA$22</f>
        <v>109630.44955473908</v>
      </c>
      <c r="M22" s="91">
        <f ca="1">$J$22-EFEITO!$K$22*EFEITO!$Y$22</f>
        <v>0</v>
      </c>
      <c r="N22" s="91">
        <f ca="1">$K$22-EFEITO!$M$22*EFEITO!$Z$22</f>
        <v>0</v>
      </c>
      <c r="O22" s="91">
        <f>$L$22-EFEITO!$O$22*EFEITO!$AA$22</f>
        <v>15633.302106505798</v>
      </c>
      <c r="P22" s="20"/>
      <c r="Q22" s="20"/>
      <c r="R22" s="20"/>
      <c r="S22" s="20"/>
      <c r="T22" s="20"/>
      <c r="U22" s="20"/>
      <c r="V22" s="20"/>
      <c r="W22" s="20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83" t="s">
        <v>21</v>
      </c>
      <c r="B23" s="83" t="s">
        <v>39</v>
      </c>
      <c r="C23" s="83" t="s">
        <v>56</v>
      </c>
      <c r="D23" s="83" t="s">
        <v>25</v>
      </c>
      <c r="E23" s="83" t="s">
        <v>25</v>
      </c>
      <c r="F23" s="83" t="s">
        <v>57</v>
      </c>
      <c r="G23" s="83" t="s">
        <v>58</v>
      </c>
      <c r="H23" s="83" t="s">
        <v>25</v>
      </c>
      <c r="I23" s="90">
        <v>44652</v>
      </c>
      <c r="J23" s="91">
        <f ca="1">EFEITO!$J$23*EFEITO!$Y$23</f>
        <v>0</v>
      </c>
      <c r="K23" s="91">
        <f ca="1">EFEITO!$L$23*EFEITO!$Z$23</f>
        <v>0</v>
      </c>
      <c r="L23" s="91">
        <f>EFEITO!$N$23*EFEITO!$AA$23</f>
        <v>103965.30835497522</v>
      </c>
      <c r="M23" s="91">
        <f ca="1">$J$23-EFEITO!$K$23*EFEITO!$Y$23</f>
        <v>0</v>
      </c>
      <c r="N23" s="91">
        <f ca="1">$K$23-EFEITO!$M$23*EFEITO!$Z$23</f>
        <v>0</v>
      </c>
      <c r="O23" s="91">
        <f>$L$23-EFEITO!$O$23*EFEITO!$AA$23</f>
        <v>14825.45297141948</v>
      </c>
      <c r="P23" s="20"/>
      <c r="Q23" s="20"/>
      <c r="R23" s="20"/>
      <c r="S23" s="20"/>
      <c r="T23" s="20"/>
      <c r="U23" s="20"/>
      <c r="V23" s="20"/>
      <c r="W23" s="20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83" t="s">
        <v>21</v>
      </c>
      <c r="B24" s="83" t="s">
        <v>39</v>
      </c>
      <c r="C24" s="83" t="s">
        <v>56</v>
      </c>
      <c r="D24" s="83" t="s">
        <v>25</v>
      </c>
      <c r="E24" s="83" t="s">
        <v>25</v>
      </c>
      <c r="F24" s="83" t="s">
        <v>57</v>
      </c>
      <c r="G24" s="83" t="s">
        <v>58</v>
      </c>
      <c r="H24" s="83" t="s">
        <v>25</v>
      </c>
      <c r="I24" s="90">
        <v>44682</v>
      </c>
      <c r="J24" s="91">
        <f ca="1">EFEITO!$J$24*EFEITO!$Y$24</f>
        <v>0</v>
      </c>
      <c r="K24" s="91">
        <f ca="1">EFEITO!$L$24*EFEITO!$Z$24</f>
        <v>0</v>
      </c>
      <c r="L24" s="91">
        <f>EFEITO!$N$24*EFEITO!$AA$24</f>
        <v>93113.411502079907</v>
      </c>
      <c r="M24" s="91">
        <f ca="1">$J$24-EFEITO!$K$24*EFEITO!$Y$24</f>
        <v>0</v>
      </c>
      <c r="N24" s="91">
        <f ca="1">$K$24-EFEITO!$M$24*EFEITO!$Z$24</f>
        <v>0</v>
      </c>
      <c r="O24" s="91">
        <f>$L$24-EFEITO!$O$24*EFEITO!$AA$24</f>
        <v>13277.972480196608</v>
      </c>
      <c r="P24" s="20"/>
      <c r="Q24" s="20"/>
      <c r="R24" s="20"/>
      <c r="S24" s="20"/>
      <c r="T24" s="20"/>
      <c r="U24" s="20"/>
      <c r="V24" s="20"/>
      <c r="W24" s="20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83" t="s">
        <v>21</v>
      </c>
      <c r="B25" s="83" t="s">
        <v>39</v>
      </c>
      <c r="C25" s="83" t="s">
        <v>56</v>
      </c>
      <c r="D25" s="83" t="s">
        <v>25</v>
      </c>
      <c r="E25" s="83" t="s">
        <v>25</v>
      </c>
      <c r="F25" s="83" t="s">
        <v>57</v>
      </c>
      <c r="G25" s="83" t="s">
        <v>58</v>
      </c>
      <c r="H25" s="83" t="s">
        <v>25</v>
      </c>
      <c r="I25" s="90">
        <v>44713</v>
      </c>
      <c r="J25" s="91">
        <f ca="1">EFEITO!$J$25*EFEITO!$Y$25</f>
        <v>0</v>
      </c>
      <c r="K25" s="91">
        <f ca="1">EFEITO!$L$25*EFEITO!$Z$25</f>
        <v>0</v>
      </c>
      <c r="L25" s="91">
        <f>EFEITO!$N$25*EFEITO!$AA$25</f>
        <v>94499.958374659371</v>
      </c>
      <c r="M25" s="91">
        <f ca="1">$J$25-EFEITO!$K$25*EFEITO!$Y$25</f>
        <v>0</v>
      </c>
      <c r="N25" s="91">
        <f ca="1">$K$25-EFEITO!$M$25*EFEITO!$Z$25</f>
        <v>0</v>
      </c>
      <c r="O25" s="91">
        <f>$L$25-EFEITO!$O$25*EFEITO!$AA$25</f>
        <v>13475.694064226424</v>
      </c>
      <c r="P25" s="20"/>
      <c r="Q25" s="20"/>
      <c r="R25" s="20"/>
      <c r="S25" s="20"/>
      <c r="T25" s="20"/>
      <c r="U25" s="20"/>
      <c r="V25" s="20"/>
      <c r="W25" s="20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83" t="s">
        <v>21</v>
      </c>
      <c r="B26" s="83" t="s">
        <v>39</v>
      </c>
      <c r="C26" s="83" t="s">
        <v>56</v>
      </c>
      <c r="D26" s="83" t="s">
        <v>25</v>
      </c>
      <c r="E26" s="83" t="s">
        <v>25</v>
      </c>
      <c r="F26" s="83" t="s">
        <v>57</v>
      </c>
      <c r="G26" s="83" t="s">
        <v>58</v>
      </c>
      <c r="H26" s="83" t="s">
        <v>34</v>
      </c>
      <c r="I26" s="90">
        <v>44378</v>
      </c>
      <c r="J26" s="91">
        <f ca="1">EFEITO!$J$26*EFEITO!$Y$26</f>
        <v>45341.7073999399</v>
      </c>
      <c r="K26" s="91">
        <f ca="1">EFEITO!$L$26*EFEITO!$Z$26</f>
        <v>556.85084340317803</v>
      </c>
      <c r="L26" s="91">
        <f>EFEITO!$N$26*EFEITO!$AA$26</f>
        <v>0</v>
      </c>
      <c r="M26" s="91">
        <f ca="1">$J$26-EFEITO!$K$26*EFEITO!$Y$26</f>
        <v>0</v>
      </c>
      <c r="N26" s="91">
        <f ca="1">$K$26-EFEITO!$M$26*EFEITO!$Z$26</f>
        <v>0</v>
      </c>
      <c r="O26" s="91">
        <f>$L$26-EFEITO!$O$26*EFEITO!$AA$26</f>
        <v>0</v>
      </c>
      <c r="P26" s="20"/>
      <c r="Q26" s="20"/>
      <c r="R26" s="20"/>
      <c r="S26" s="20"/>
      <c r="T26" s="20"/>
      <c r="U26" s="20"/>
      <c r="V26" s="20"/>
      <c r="W26" s="20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83" t="s">
        <v>21</v>
      </c>
      <c r="B27" s="83" t="s">
        <v>39</v>
      </c>
      <c r="C27" s="83" t="s">
        <v>56</v>
      </c>
      <c r="D27" s="83" t="s">
        <v>25</v>
      </c>
      <c r="E27" s="83" t="s">
        <v>25</v>
      </c>
      <c r="F27" s="83" t="s">
        <v>57</v>
      </c>
      <c r="G27" s="83" t="s">
        <v>58</v>
      </c>
      <c r="H27" s="83" t="s">
        <v>34</v>
      </c>
      <c r="I27" s="90">
        <v>44409</v>
      </c>
      <c r="J27" s="91">
        <f ca="1">EFEITO!$J$27*EFEITO!$Y$27</f>
        <v>50914.431214457654</v>
      </c>
      <c r="K27" s="91">
        <f ca="1">EFEITO!$L$27*EFEITO!$Z$27</f>
        <v>594.87069001651992</v>
      </c>
      <c r="L27" s="91">
        <f>EFEITO!$N$27*EFEITO!$AA$27</f>
        <v>0</v>
      </c>
      <c r="M27" s="91">
        <f ca="1">$J$27-EFEITO!$K$27*EFEITO!$Y$27</f>
        <v>0</v>
      </c>
      <c r="N27" s="91">
        <f ca="1">$K$27-EFEITO!$M$27*EFEITO!$Z$27</f>
        <v>0</v>
      </c>
      <c r="O27" s="91">
        <f>$L$27-EFEITO!$O$27*EFEITO!$AA$27</f>
        <v>0</v>
      </c>
      <c r="P27" s="20"/>
      <c r="Q27" s="20"/>
      <c r="R27" s="20"/>
      <c r="S27" s="20"/>
      <c r="T27" s="20"/>
      <c r="U27" s="20"/>
      <c r="V27" s="20"/>
      <c r="W27" s="20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83" t="s">
        <v>21</v>
      </c>
      <c r="B28" s="83" t="s">
        <v>39</v>
      </c>
      <c r="C28" s="83" t="s">
        <v>56</v>
      </c>
      <c r="D28" s="83" t="s">
        <v>25</v>
      </c>
      <c r="E28" s="83" t="s">
        <v>25</v>
      </c>
      <c r="F28" s="83" t="s">
        <v>57</v>
      </c>
      <c r="G28" s="83" t="s">
        <v>58</v>
      </c>
      <c r="H28" s="83" t="s">
        <v>34</v>
      </c>
      <c r="I28" s="90">
        <v>44440</v>
      </c>
      <c r="J28" s="91">
        <f ca="1">EFEITO!$J$28*EFEITO!$Y$28</f>
        <v>43146.391957857151</v>
      </c>
      <c r="K28" s="91">
        <f ca="1">EFEITO!$L$28*EFEITO!$Z$28</f>
        <v>512.91260361083175</v>
      </c>
      <c r="L28" s="91">
        <f>EFEITO!$N$28*EFEITO!$AA$28</f>
        <v>0</v>
      </c>
      <c r="M28" s="91">
        <f ca="1">$J$28-EFEITO!$K$28*EFEITO!$Y$28</f>
        <v>0</v>
      </c>
      <c r="N28" s="91">
        <f ca="1">$K$28-EFEITO!$M$28*EFEITO!$Z$28</f>
        <v>0</v>
      </c>
      <c r="O28" s="91">
        <f>$L$28-EFEITO!$O$28*EFEITO!$AA$28</f>
        <v>0</v>
      </c>
      <c r="P28" s="20"/>
      <c r="Q28" s="20"/>
      <c r="R28" s="20"/>
      <c r="S28" s="20"/>
      <c r="T28" s="20"/>
      <c r="U28" s="20"/>
      <c r="V28" s="20"/>
      <c r="W28" s="20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83" t="s">
        <v>21</v>
      </c>
      <c r="B29" s="83" t="s">
        <v>39</v>
      </c>
      <c r="C29" s="83" t="s">
        <v>56</v>
      </c>
      <c r="D29" s="83" t="s">
        <v>25</v>
      </c>
      <c r="E29" s="83" t="s">
        <v>25</v>
      </c>
      <c r="F29" s="83" t="s">
        <v>57</v>
      </c>
      <c r="G29" s="83" t="s">
        <v>58</v>
      </c>
      <c r="H29" s="83" t="s">
        <v>34</v>
      </c>
      <c r="I29" s="90">
        <v>44470</v>
      </c>
      <c r="J29" s="91">
        <f ca="1">EFEITO!$J$29*EFEITO!$Y$29</f>
        <v>56022.761377765601</v>
      </c>
      <c r="K29" s="91">
        <f ca="1">EFEITO!$L$29*EFEITO!$Z$29</f>
        <v>525.88199053968196</v>
      </c>
      <c r="L29" s="91">
        <f>EFEITO!$N$29*EFEITO!$AA$29</f>
        <v>0</v>
      </c>
      <c r="M29" s="91">
        <f ca="1">$J$29-EFEITO!$K$29*EFEITO!$Y$29</f>
        <v>0</v>
      </c>
      <c r="N29" s="91">
        <f ca="1">$K$29-EFEITO!$M$29*EFEITO!$Z$29</f>
        <v>0</v>
      </c>
      <c r="O29" s="91">
        <f>$L$29-EFEITO!$O$29*EFEITO!$AA$29</f>
        <v>0</v>
      </c>
      <c r="P29" s="20"/>
      <c r="Q29" s="20"/>
      <c r="R29" s="20"/>
      <c r="S29" s="20"/>
      <c r="T29" s="20"/>
      <c r="U29" s="20"/>
      <c r="V29" s="20"/>
      <c r="W29" s="20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83" t="s">
        <v>21</v>
      </c>
      <c r="B30" s="83" t="s">
        <v>39</v>
      </c>
      <c r="C30" s="83" t="s">
        <v>56</v>
      </c>
      <c r="D30" s="83" t="s">
        <v>25</v>
      </c>
      <c r="E30" s="83" t="s">
        <v>25</v>
      </c>
      <c r="F30" s="83" t="s">
        <v>57</v>
      </c>
      <c r="G30" s="83" t="s">
        <v>58</v>
      </c>
      <c r="H30" s="83" t="s">
        <v>34</v>
      </c>
      <c r="I30" s="90">
        <v>44501</v>
      </c>
      <c r="J30" s="91">
        <f ca="1">EFEITO!$J$30*EFEITO!$Y$30</f>
        <v>62439.837285392103</v>
      </c>
      <c r="K30" s="91">
        <f ca="1">EFEITO!$L$30*EFEITO!$Z$30</f>
        <v>657.0304742868143</v>
      </c>
      <c r="L30" s="91">
        <f>EFEITO!$N$30*EFEITO!$AA$30</f>
        <v>0</v>
      </c>
      <c r="M30" s="91">
        <f ca="1">$J$30-EFEITO!$K$30*EFEITO!$Y$30</f>
        <v>0</v>
      </c>
      <c r="N30" s="91">
        <f ca="1">$K$30-EFEITO!$M$30*EFEITO!$Z$30</f>
        <v>0</v>
      </c>
      <c r="O30" s="91">
        <f>$L$30-EFEITO!$O$30*EFEITO!$AA$30</f>
        <v>0</v>
      </c>
      <c r="P30" s="20"/>
      <c r="Q30" s="20"/>
      <c r="R30" s="20"/>
      <c r="S30" s="20"/>
      <c r="T30" s="20"/>
      <c r="U30" s="20"/>
      <c r="V30" s="20"/>
      <c r="W30" s="20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83" t="s">
        <v>21</v>
      </c>
      <c r="B31" s="83" t="s">
        <v>39</v>
      </c>
      <c r="C31" s="83" t="s">
        <v>56</v>
      </c>
      <c r="D31" s="83" t="s">
        <v>25</v>
      </c>
      <c r="E31" s="83" t="s">
        <v>25</v>
      </c>
      <c r="F31" s="83" t="s">
        <v>57</v>
      </c>
      <c r="G31" s="83" t="s">
        <v>58</v>
      </c>
      <c r="H31" s="83" t="s">
        <v>34</v>
      </c>
      <c r="I31" s="90">
        <v>44531</v>
      </c>
      <c r="J31" s="91">
        <f ca="1">EFEITO!$J$31*EFEITO!$Y$31</f>
        <v>74091.896170292865</v>
      </c>
      <c r="K31" s="91">
        <f ca="1">EFEITO!$L$31*EFEITO!$Z$31</f>
        <v>870.74776043371594</v>
      </c>
      <c r="L31" s="91">
        <f>EFEITO!$N$31*EFEITO!$AA$31</f>
        <v>0</v>
      </c>
      <c r="M31" s="91">
        <f ca="1">$J$31-EFEITO!$K$31*EFEITO!$Y$31</f>
        <v>0</v>
      </c>
      <c r="N31" s="91">
        <f ca="1">$K$31-EFEITO!$M$31*EFEITO!$Z$31</f>
        <v>0</v>
      </c>
      <c r="O31" s="91">
        <f>$L$31-EFEITO!$O$31*EFEITO!$AA$31</f>
        <v>0</v>
      </c>
      <c r="P31" s="20"/>
      <c r="Q31" s="20"/>
      <c r="R31" s="20"/>
      <c r="S31" s="20"/>
      <c r="T31" s="20"/>
      <c r="U31" s="20"/>
      <c r="V31" s="20"/>
      <c r="W31" s="20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83" t="s">
        <v>21</v>
      </c>
      <c r="B32" s="83" t="s">
        <v>39</v>
      </c>
      <c r="C32" s="83" t="s">
        <v>56</v>
      </c>
      <c r="D32" s="83" t="s">
        <v>25</v>
      </c>
      <c r="E32" s="83" t="s">
        <v>25</v>
      </c>
      <c r="F32" s="83" t="s">
        <v>57</v>
      </c>
      <c r="G32" s="83" t="s">
        <v>58</v>
      </c>
      <c r="H32" s="83" t="s">
        <v>34</v>
      </c>
      <c r="I32" s="90">
        <v>44562</v>
      </c>
      <c r="J32" s="91">
        <f ca="1">EFEITO!$J$32*EFEITO!$Y$32</f>
        <v>89121.363427628618</v>
      </c>
      <c r="K32" s="91">
        <f ca="1">EFEITO!$L$32*EFEITO!$Z$32</f>
        <v>852.42628061128187</v>
      </c>
      <c r="L32" s="91">
        <f>EFEITO!$N$32*EFEITO!$AA$32</f>
        <v>0</v>
      </c>
      <c r="M32" s="91">
        <f ca="1">$J$32-EFEITO!$K$32*EFEITO!$Y$32</f>
        <v>0</v>
      </c>
      <c r="N32" s="91">
        <f ca="1">$K$32-EFEITO!$M$32*EFEITO!$Z$32</f>
        <v>0</v>
      </c>
      <c r="O32" s="91">
        <f>$L$32-EFEITO!$O$32*EFEITO!$AA$32</f>
        <v>0</v>
      </c>
      <c r="P32" s="20"/>
      <c r="Q32" s="20"/>
      <c r="R32" s="20"/>
      <c r="S32" s="20"/>
      <c r="T32" s="20"/>
      <c r="U32" s="20"/>
      <c r="V32" s="20"/>
      <c r="W32" s="20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83" t="s">
        <v>21</v>
      </c>
      <c r="B33" s="83" t="s">
        <v>39</v>
      </c>
      <c r="C33" s="83" t="s">
        <v>56</v>
      </c>
      <c r="D33" s="83" t="s">
        <v>25</v>
      </c>
      <c r="E33" s="83" t="s">
        <v>25</v>
      </c>
      <c r="F33" s="83" t="s">
        <v>57</v>
      </c>
      <c r="G33" s="83" t="s">
        <v>58</v>
      </c>
      <c r="H33" s="83" t="s">
        <v>34</v>
      </c>
      <c r="I33" s="90">
        <v>44593</v>
      </c>
      <c r="J33" s="91">
        <f ca="1">EFEITO!$J$33*EFEITO!$Y$33</f>
        <v>64550.717518163976</v>
      </c>
      <c r="K33" s="91">
        <f ca="1">EFEITO!$L$33*EFEITO!$Z$33</f>
        <v>674.27487317423243</v>
      </c>
      <c r="L33" s="91">
        <f>EFEITO!$N$33*EFEITO!$AA$33</f>
        <v>0</v>
      </c>
      <c r="M33" s="91">
        <f ca="1">$J$33-EFEITO!$K$33*EFEITO!$Y$33</f>
        <v>0</v>
      </c>
      <c r="N33" s="91">
        <f ca="1">$K$33-EFEITO!$M$33*EFEITO!$Z$33</f>
        <v>0</v>
      </c>
      <c r="O33" s="91">
        <f>$L$33-EFEITO!$O$33*EFEITO!$AA$33</f>
        <v>0</v>
      </c>
      <c r="P33" s="20"/>
      <c r="Q33" s="20"/>
      <c r="R33" s="20"/>
      <c r="S33" s="20"/>
      <c r="T33" s="20"/>
      <c r="U33" s="20"/>
      <c r="V33" s="20"/>
      <c r="W33" s="20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83" t="s">
        <v>21</v>
      </c>
      <c r="B34" s="83" t="s">
        <v>39</v>
      </c>
      <c r="C34" s="83" t="s">
        <v>56</v>
      </c>
      <c r="D34" s="83" t="s">
        <v>25</v>
      </c>
      <c r="E34" s="83" t="s">
        <v>25</v>
      </c>
      <c r="F34" s="83" t="s">
        <v>57</v>
      </c>
      <c r="G34" s="83" t="s">
        <v>58</v>
      </c>
      <c r="H34" s="83" t="s">
        <v>34</v>
      </c>
      <c r="I34" s="90">
        <v>44621</v>
      </c>
      <c r="J34" s="91">
        <f ca="1">EFEITO!$J$34*EFEITO!$Y$34</f>
        <v>53363.052284473029</v>
      </c>
      <c r="K34" s="91">
        <f ca="1">EFEITO!$L$34*EFEITO!$Z$34</f>
        <v>652.6555269837603</v>
      </c>
      <c r="L34" s="91">
        <f>EFEITO!$N$34*EFEITO!$AA$34</f>
        <v>0</v>
      </c>
      <c r="M34" s="91">
        <f ca="1">$J$34-EFEITO!$K$34*EFEITO!$Y$34</f>
        <v>0</v>
      </c>
      <c r="N34" s="91">
        <f ca="1">$K$34-EFEITO!$M$34*EFEITO!$Z$34</f>
        <v>0</v>
      </c>
      <c r="O34" s="91">
        <f>$L$34-EFEITO!$O$34*EFEITO!$AA$34</f>
        <v>0</v>
      </c>
      <c r="P34" s="20"/>
      <c r="Q34" s="20"/>
      <c r="R34" s="20"/>
      <c r="S34" s="20"/>
      <c r="T34" s="20"/>
      <c r="U34" s="20"/>
      <c r="V34" s="20"/>
      <c r="W34" s="20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83" t="s">
        <v>21</v>
      </c>
      <c r="B35" s="83" t="s">
        <v>39</v>
      </c>
      <c r="C35" s="83" t="s">
        <v>56</v>
      </c>
      <c r="D35" s="83" t="s">
        <v>25</v>
      </c>
      <c r="E35" s="83" t="s">
        <v>25</v>
      </c>
      <c r="F35" s="83" t="s">
        <v>57</v>
      </c>
      <c r="G35" s="83" t="s">
        <v>58</v>
      </c>
      <c r="H35" s="83" t="s">
        <v>34</v>
      </c>
      <c r="I35" s="90">
        <v>44652</v>
      </c>
      <c r="J35" s="91">
        <f ca="1">EFEITO!$J$35*EFEITO!$Y$35</f>
        <v>57458.15993605047</v>
      </c>
      <c r="K35" s="91">
        <f ca="1">EFEITO!$L$35*EFEITO!$Z$35</f>
        <v>547.92328596242839</v>
      </c>
      <c r="L35" s="91">
        <f>EFEITO!$N$35*EFEITO!$AA$35</f>
        <v>0</v>
      </c>
      <c r="M35" s="91">
        <f ca="1">$J$35-EFEITO!$K$35*EFEITO!$Y$35</f>
        <v>0</v>
      </c>
      <c r="N35" s="91">
        <f ca="1">$K$35-EFEITO!$M$35*EFEITO!$Z$35</f>
        <v>0</v>
      </c>
      <c r="O35" s="91">
        <f>$L$35-EFEITO!$O$35*EFEITO!$AA$35</f>
        <v>0</v>
      </c>
      <c r="P35" s="20"/>
      <c r="Q35" s="20"/>
      <c r="R35" s="20"/>
      <c r="S35" s="20"/>
      <c r="T35" s="20"/>
      <c r="U35" s="20"/>
      <c r="V35" s="20"/>
      <c r="W35" s="20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83" t="s">
        <v>21</v>
      </c>
      <c r="B36" s="83" t="s">
        <v>39</v>
      </c>
      <c r="C36" s="83" t="s">
        <v>56</v>
      </c>
      <c r="D36" s="83" t="s">
        <v>25</v>
      </c>
      <c r="E36" s="83" t="s">
        <v>25</v>
      </c>
      <c r="F36" s="83" t="s">
        <v>57</v>
      </c>
      <c r="G36" s="83" t="s">
        <v>58</v>
      </c>
      <c r="H36" s="83" t="s">
        <v>34</v>
      </c>
      <c r="I36" s="90">
        <v>44682</v>
      </c>
      <c r="J36" s="91">
        <f ca="1">EFEITO!$J$36*EFEITO!$Y$36</f>
        <v>52814.223423952346</v>
      </c>
      <c r="K36" s="91">
        <f ca="1">EFEITO!$L$36*EFEITO!$Z$36</f>
        <v>558.37208142479835</v>
      </c>
      <c r="L36" s="91">
        <f>EFEITO!$N$36*EFEITO!$AA$36</f>
        <v>0</v>
      </c>
      <c r="M36" s="91">
        <f ca="1">$J$36-EFEITO!$K$36*EFEITO!$Y$36</f>
        <v>0</v>
      </c>
      <c r="N36" s="91">
        <f ca="1">$K$36-EFEITO!$M$36*EFEITO!$Z$36</f>
        <v>0</v>
      </c>
      <c r="O36" s="91">
        <f>$L$36-EFEITO!$O$36*EFEITO!$AA$36</f>
        <v>0</v>
      </c>
      <c r="P36" s="20"/>
      <c r="Q36" s="20"/>
      <c r="R36" s="20"/>
      <c r="S36" s="20"/>
      <c r="T36" s="20"/>
      <c r="U36" s="20"/>
      <c r="V36" s="20"/>
      <c r="W36" s="20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83" t="s">
        <v>21</v>
      </c>
      <c r="B37" s="83" t="s">
        <v>39</v>
      </c>
      <c r="C37" s="83" t="s">
        <v>56</v>
      </c>
      <c r="D37" s="83" t="s">
        <v>25</v>
      </c>
      <c r="E37" s="83" t="s">
        <v>25</v>
      </c>
      <c r="F37" s="83" t="s">
        <v>57</v>
      </c>
      <c r="G37" s="83" t="s">
        <v>58</v>
      </c>
      <c r="H37" s="83" t="s">
        <v>34</v>
      </c>
      <c r="I37" s="90">
        <v>44713</v>
      </c>
      <c r="J37" s="91">
        <f ca="1">EFEITO!$J$37*EFEITO!$Y$37</f>
        <v>49014.63900496297</v>
      </c>
      <c r="K37" s="91">
        <f ca="1">EFEITO!$L$37*EFEITO!$Z$37</f>
        <v>558.91617385588881</v>
      </c>
      <c r="L37" s="91">
        <f>EFEITO!$N$37*EFEITO!$AA$37</f>
        <v>0</v>
      </c>
      <c r="M37" s="91">
        <f ca="1">$J$37-EFEITO!$K$37*EFEITO!$Y$37</f>
        <v>0</v>
      </c>
      <c r="N37" s="91">
        <f ca="1">$K$37-EFEITO!$M$37*EFEITO!$Z$37</f>
        <v>0</v>
      </c>
      <c r="O37" s="91">
        <f>$L$37-EFEITO!$O$37*EFEITO!$AA$37</f>
        <v>0</v>
      </c>
      <c r="P37" s="20"/>
      <c r="Q37" s="20"/>
      <c r="R37" s="20"/>
      <c r="S37" s="20"/>
      <c r="T37" s="20"/>
      <c r="U37" s="20"/>
      <c r="V37" s="20"/>
      <c r="W37" s="20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83" t="s">
        <v>21</v>
      </c>
      <c r="B38" s="83" t="s">
        <v>39</v>
      </c>
      <c r="C38" s="83" t="s">
        <v>40</v>
      </c>
      <c r="D38" s="83" t="s">
        <v>41</v>
      </c>
      <c r="E38" s="83" t="s">
        <v>25</v>
      </c>
      <c r="F38" s="83" t="s">
        <v>25</v>
      </c>
      <c r="G38" s="83" t="s">
        <v>25</v>
      </c>
      <c r="H38" s="83" t="s">
        <v>35</v>
      </c>
      <c r="I38" s="90">
        <v>44378</v>
      </c>
      <c r="J38" s="91">
        <f>EFEITO!$J$38*EFEITO!$Y$38</f>
        <v>0</v>
      </c>
      <c r="K38" s="91">
        <f ca="1">EFEITO!$L$38*EFEITO!$Z$38</f>
        <v>39707.003281032717</v>
      </c>
      <c r="L38" s="91">
        <f>EFEITO!$N$38*EFEITO!$AA$38</f>
        <v>74687.913669968868</v>
      </c>
      <c r="M38" s="91">
        <f>$J$38-EFEITO!$K$38*EFEITO!$Y$38</f>
        <v>0</v>
      </c>
      <c r="N38" s="91">
        <f ca="1">$K$38-EFEITO!$M$38*EFEITO!$Z$38</f>
        <v>0</v>
      </c>
      <c r="O38" s="91">
        <f>$L$38-EFEITO!$O$38*EFEITO!$AA$38</f>
        <v>0</v>
      </c>
      <c r="P38" s="20"/>
      <c r="Q38" s="20"/>
      <c r="R38" s="20"/>
      <c r="S38" s="20"/>
      <c r="T38" s="20"/>
      <c r="U38" s="20"/>
      <c r="V38" s="20"/>
      <c r="W38" s="20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83" t="s">
        <v>27</v>
      </c>
      <c r="B39" s="83" t="s">
        <v>39</v>
      </c>
      <c r="C39" s="83" t="s">
        <v>40</v>
      </c>
      <c r="D39" s="83" t="s">
        <v>41</v>
      </c>
      <c r="E39" s="83" t="s">
        <v>25</v>
      </c>
      <c r="F39" s="83" t="s">
        <v>25</v>
      </c>
      <c r="G39" s="83" t="s">
        <v>25</v>
      </c>
      <c r="H39" s="83" t="s">
        <v>35</v>
      </c>
      <c r="I39" s="90">
        <v>44378</v>
      </c>
      <c r="J39" s="91">
        <f>EFEITO!$J$39*EFEITO!$Y$39</f>
        <v>0</v>
      </c>
      <c r="K39" s="91">
        <f ca="1">EFEITO!$L$39*EFEITO!$Z$39</f>
        <v>-6405.0104830641267</v>
      </c>
      <c r="L39" s="91">
        <f>EFEITO!$N$39*EFEITO!$AA$39</f>
        <v>-12047.669944481824</v>
      </c>
      <c r="M39" s="91">
        <f>$J$39-EFEITO!$K$39*EFEITO!$Y$39</f>
        <v>0</v>
      </c>
      <c r="N39" s="91">
        <f ca="1">$K$39-EFEITO!$M$39*EFEITO!$Z$39</f>
        <v>0</v>
      </c>
      <c r="O39" s="91">
        <f>$L$39-EFEITO!$O$39*EFEITO!$AA$39</f>
        <v>0</v>
      </c>
      <c r="P39" s="20"/>
      <c r="Q39" s="20"/>
      <c r="R39" s="20"/>
      <c r="S39" s="20"/>
      <c r="T39" s="20"/>
      <c r="U39" s="20"/>
      <c r="V39" s="20"/>
      <c r="W39" s="20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83" t="s">
        <v>28</v>
      </c>
      <c r="B40" s="83" t="s">
        <v>39</v>
      </c>
      <c r="C40" s="83" t="s">
        <v>40</v>
      </c>
      <c r="D40" s="83" t="s">
        <v>41</v>
      </c>
      <c r="E40" s="83" t="s">
        <v>25</v>
      </c>
      <c r="F40" s="83" t="s">
        <v>25</v>
      </c>
      <c r="G40" s="83" t="s">
        <v>25</v>
      </c>
      <c r="H40" s="83" t="s">
        <v>35</v>
      </c>
      <c r="I40" s="90">
        <v>44378</v>
      </c>
      <c r="J40" s="91">
        <f>EFEITO!$J$40*EFEITO!$Y$40</f>
        <v>0</v>
      </c>
      <c r="K40" s="91">
        <f ca="1">EFEITO!$L$40*EFEITO!$Z$40</f>
        <v>332.43566604781614</v>
      </c>
      <c r="L40" s="91">
        <f>EFEITO!$N$40*EFEITO!$AA$40</f>
        <v>625.30345467944687</v>
      </c>
      <c r="M40" s="91">
        <f>$J$40-EFEITO!$K$40*EFEITO!$Y$40</f>
        <v>0</v>
      </c>
      <c r="N40" s="91">
        <f ca="1">$K$40-EFEITO!$M$40*EFEITO!$Z$40</f>
        <v>0</v>
      </c>
      <c r="O40" s="91">
        <f>$L$40-EFEITO!$O$40*EFEITO!$AA$40</f>
        <v>0</v>
      </c>
      <c r="P40" s="20"/>
      <c r="Q40" s="20"/>
      <c r="R40" s="20"/>
      <c r="S40" s="20"/>
      <c r="T40" s="20"/>
      <c r="U40" s="20"/>
      <c r="V40" s="20"/>
      <c r="W40" s="20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83" t="s">
        <v>21</v>
      </c>
      <c r="B41" s="83" t="s">
        <v>39</v>
      </c>
      <c r="C41" s="83" t="s">
        <v>40</v>
      </c>
      <c r="D41" s="83" t="s">
        <v>41</v>
      </c>
      <c r="E41" s="83" t="s">
        <v>25</v>
      </c>
      <c r="F41" s="83" t="s">
        <v>25</v>
      </c>
      <c r="G41" s="83" t="s">
        <v>25</v>
      </c>
      <c r="H41" s="83" t="s">
        <v>35</v>
      </c>
      <c r="I41" s="90">
        <v>44409</v>
      </c>
      <c r="J41" s="91">
        <f>EFEITO!$J$41*EFEITO!$Y$41</f>
        <v>0</v>
      </c>
      <c r="K41" s="91">
        <f ca="1">EFEITO!$L$41*EFEITO!$Z$41</f>
        <v>27482.91059096493</v>
      </c>
      <c r="L41" s="91">
        <f>EFEITO!$N$41*EFEITO!$AA$41</f>
        <v>51694.69070958496</v>
      </c>
      <c r="M41" s="91">
        <f>$J$41-EFEITO!$K$41*EFEITO!$Y$41</f>
        <v>0</v>
      </c>
      <c r="N41" s="91">
        <f ca="1">$K$41-EFEITO!$M$41*EFEITO!$Z$41</f>
        <v>0</v>
      </c>
      <c r="O41" s="91">
        <f>$L$41-EFEITO!$O$41*EFEITO!$AA$41</f>
        <v>0</v>
      </c>
      <c r="P41" s="20"/>
      <c r="Q41" s="20"/>
      <c r="R41" s="20"/>
      <c r="S41" s="20"/>
      <c r="T41" s="20"/>
      <c r="U41" s="20"/>
      <c r="V41" s="20"/>
      <c r="W41" s="20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83" t="s">
        <v>27</v>
      </c>
      <c r="B42" s="83" t="s">
        <v>39</v>
      </c>
      <c r="C42" s="83" t="s">
        <v>40</v>
      </c>
      <c r="D42" s="83" t="s">
        <v>41</v>
      </c>
      <c r="E42" s="83" t="s">
        <v>25</v>
      </c>
      <c r="F42" s="83" t="s">
        <v>25</v>
      </c>
      <c r="G42" s="83" t="s">
        <v>25</v>
      </c>
      <c r="H42" s="83" t="s">
        <v>35</v>
      </c>
      <c r="I42" s="90">
        <v>44409</v>
      </c>
      <c r="J42" s="91">
        <f>EFEITO!$J$42*EFEITO!$Y$42</f>
        <v>0</v>
      </c>
      <c r="K42" s="91">
        <f ca="1">EFEITO!$L$42*EFEITO!$Z$42</f>
        <v>-6405.0104830641267</v>
      </c>
      <c r="L42" s="91">
        <f>EFEITO!$N$42*EFEITO!$AA$42</f>
        <v>-12047.669944481824</v>
      </c>
      <c r="M42" s="91">
        <f>$J$42-EFEITO!$K$42*EFEITO!$Y$42</f>
        <v>0</v>
      </c>
      <c r="N42" s="91">
        <f ca="1">$K$42-EFEITO!$M$42*EFEITO!$Z$42</f>
        <v>0</v>
      </c>
      <c r="O42" s="91">
        <f>$L$42-EFEITO!$O$42*EFEITO!$AA$42</f>
        <v>0</v>
      </c>
      <c r="P42" s="20"/>
      <c r="Q42" s="20"/>
      <c r="R42" s="20"/>
      <c r="S42" s="20"/>
      <c r="T42" s="20"/>
      <c r="U42" s="20"/>
      <c r="V42" s="20"/>
      <c r="W42" s="20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83" t="s">
        <v>28</v>
      </c>
      <c r="B43" s="83" t="s">
        <v>39</v>
      </c>
      <c r="C43" s="83" t="s">
        <v>40</v>
      </c>
      <c r="D43" s="83" t="s">
        <v>41</v>
      </c>
      <c r="E43" s="83" t="s">
        <v>25</v>
      </c>
      <c r="F43" s="83" t="s">
        <v>25</v>
      </c>
      <c r="G43" s="83" t="s">
        <v>25</v>
      </c>
      <c r="H43" s="83" t="s">
        <v>35</v>
      </c>
      <c r="I43" s="90">
        <v>44409</v>
      </c>
      <c r="J43" s="91">
        <f>EFEITO!$J$43*EFEITO!$Y$43</f>
        <v>0</v>
      </c>
      <c r="K43" s="91">
        <f ca="1">EFEITO!$L$43*EFEITO!$Z$43</f>
        <v>74.048169974936485</v>
      </c>
      <c r="L43" s="91">
        <f>EFEITO!$N$43*EFEITO!$AA$43</f>
        <v>139.28281838254597</v>
      </c>
      <c r="M43" s="91">
        <f>$J$43-EFEITO!$K$43*EFEITO!$Y$43</f>
        <v>0</v>
      </c>
      <c r="N43" s="91">
        <f ca="1">$K$43-EFEITO!$M$43*EFEITO!$Z$43</f>
        <v>0</v>
      </c>
      <c r="O43" s="91">
        <f>$L$43-EFEITO!$O$43*EFEITO!$AA$43</f>
        <v>0</v>
      </c>
      <c r="P43" s="20"/>
      <c r="Q43" s="20"/>
      <c r="R43" s="20"/>
      <c r="S43" s="20"/>
      <c r="T43" s="20"/>
      <c r="U43" s="20"/>
      <c r="V43" s="20"/>
      <c r="W43" s="20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83" t="s">
        <v>21</v>
      </c>
      <c r="B44" s="83" t="s">
        <v>39</v>
      </c>
      <c r="C44" s="83" t="s">
        <v>40</v>
      </c>
      <c r="D44" s="83" t="s">
        <v>41</v>
      </c>
      <c r="E44" s="83" t="s">
        <v>25</v>
      </c>
      <c r="F44" s="83" t="s">
        <v>25</v>
      </c>
      <c r="G44" s="83" t="s">
        <v>25</v>
      </c>
      <c r="H44" s="83" t="s">
        <v>35</v>
      </c>
      <c r="I44" s="90">
        <v>44440</v>
      </c>
      <c r="J44" s="91">
        <f>EFEITO!$J$44*EFEITO!$Y$44</f>
        <v>0</v>
      </c>
      <c r="K44" s="91">
        <f ca="1">EFEITO!$L$44*EFEITO!$Z$44</f>
        <v>29902.442355884377</v>
      </c>
      <c r="L44" s="91">
        <f>EFEITO!$N$44*EFEITO!$AA$44</f>
        <v>56245.771492515079</v>
      </c>
      <c r="M44" s="91">
        <f>$J$44-EFEITO!$K$44*EFEITO!$Y$44</f>
        <v>0</v>
      </c>
      <c r="N44" s="91">
        <f ca="1">$K$44-EFEITO!$M$44*EFEITO!$Z$44</f>
        <v>0</v>
      </c>
      <c r="O44" s="91">
        <f>$L$44-EFEITO!$O$44*EFEITO!$AA$44</f>
        <v>0</v>
      </c>
      <c r="P44" s="20"/>
      <c r="Q44" s="20"/>
      <c r="R44" s="20"/>
      <c r="S44" s="20"/>
      <c r="T44" s="20"/>
      <c r="U44" s="20"/>
      <c r="V44" s="20"/>
      <c r="W44" s="20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83" t="s">
        <v>21</v>
      </c>
      <c r="B45" s="83" t="s">
        <v>39</v>
      </c>
      <c r="C45" s="83" t="s">
        <v>40</v>
      </c>
      <c r="D45" s="83" t="s">
        <v>41</v>
      </c>
      <c r="E45" s="83" t="s">
        <v>25</v>
      </c>
      <c r="F45" s="83" t="s">
        <v>25</v>
      </c>
      <c r="G45" s="83" t="s">
        <v>25</v>
      </c>
      <c r="H45" s="83" t="s">
        <v>35</v>
      </c>
      <c r="I45" s="90">
        <v>44470</v>
      </c>
      <c r="J45" s="91">
        <f>EFEITO!$J$45*EFEITO!$Y$45</f>
        <v>0</v>
      </c>
      <c r="K45" s="91">
        <f ca="1">EFEITO!$L$45*EFEITO!$Z$45</f>
        <v>34684.121157655485</v>
      </c>
      <c r="L45" s="91">
        <f>EFEITO!$N$45*EFEITO!$AA$45</f>
        <v>65239.993771555623</v>
      </c>
      <c r="M45" s="91">
        <f>$J$45-EFEITO!$K$45*EFEITO!$Y$45</f>
        <v>0</v>
      </c>
      <c r="N45" s="91">
        <f ca="1">$K$45-EFEITO!$M$45*EFEITO!$Z$45</f>
        <v>0</v>
      </c>
      <c r="O45" s="91">
        <f>$L$45-EFEITO!$O$45*EFEITO!$AA$45</f>
        <v>0</v>
      </c>
      <c r="P45" s="20"/>
      <c r="Q45" s="20"/>
      <c r="R45" s="20"/>
      <c r="S45" s="20"/>
      <c r="T45" s="20"/>
      <c r="U45" s="20"/>
      <c r="V45" s="20"/>
      <c r="W45" s="20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83" t="s">
        <v>21</v>
      </c>
      <c r="B46" s="83" t="s">
        <v>39</v>
      </c>
      <c r="C46" s="83" t="s">
        <v>40</v>
      </c>
      <c r="D46" s="83" t="s">
        <v>41</v>
      </c>
      <c r="E46" s="83" t="s">
        <v>25</v>
      </c>
      <c r="F46" s="83" t="s">
        <v>25</v>
      </c>
      <c r="G46" s="83" t="s">
        <v>25</v>
      </c>
      <c r="H46" s="83" t="s">
        <v>35</v>
      </c>
      <c r="I46" s="90">
        <v>44501</v>
      </c>
      <c r="J46" s="91">
        <f>EFEITO!$J$46*EFEITO!$Y$46</f>
        <v>0</v>
      </c>
      <c r="K46" s="91">
        <f ca="1">EFEITO!$L$46*EFEITO!$Z$46</f>
        <v>38404.859442500179</v>
      </c>
      <c r="L46" s="91">
        <f>EFEITO!$N$46*EFEITO!$AA$46</f>
        <v>72238.61257540209</v>
      </c>
      <c r="M46" s="91">
        <f>$J$46-EFEITO!$K$46*EFEITO!$Y$46</f>
        <v>0</v>
      </c>
      <c r="N46" s="91">
        <f ca="1">$K$46-EFEITO!$M$46*EFEITO!$Z$46</f>
        <v>0</v>
      </c>
      <c r="O46" s="91">
        <f>$L$46-EFEITO!$O$46*EFEITO!$AA$46</f>
        <v>0</v>
      </c>
      <c r="P46" s="20"/>
      <c r="Q46" s="20"/>
      <c r="R46" s="20"/>
      <c r="S46" s="20"/>
      <c r="T46" s="20"/>
      <c r="U46" s="20"/>
      <c r="V46" s="20"/>
      <c r="W46" s="20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83" t="s">
        <v>21</v>
      </c>
      <c r="B47" s="83" t="s">
        <v>39</v>
      </c>
      <c r="C47" s="83" t="s">
        <v>40</v>
      </c>
      <c r="D47" s="83" t="s">
        <v>41</v>
      </c>
      <c r="E47" s="83" t="s">
        <v>25</v>
      </c>
      <c r="F47" s="83" t="s">
        <v>25</v>
      </c>
      <c r="G47" s="83" t="s">
        <v>25</v>
      </c>
      <c r="H47" s="83" t="s">
        <v>35</v>
      </c>
      <c r="I47" s="90">
        <v>44531</v>
      </c>
      <c r="J47" s="91">
        <f>EFEITO!$J$47*EFEITO!$Y$47</f>
        <v>0</v>
      </c>
      <c r="K47" s="91">
        <f ca="1">EFEITO!$L$47*EFEITO!$Z$47</f>
        <v>44506.491136342105</v>
      </c>
      <c r="L47" s="91">
        <f>EFEITO!$N$47*EFEITO!$AA$47</f>
        <v>83715.634348367239</v>
      </c>
      <c r="M47" s="91">
        <f>$J$47-EFEITO!$K$47*EFEITO!$Y$47</f>
        <v>0</v>
      </c>
      <c r="N47" s="91">
        <f ca="1">$K$47-EFEITO!$M$47*EFEITO!$Z$47</f>
        <v>0</v>
      </c>
      <c r="O47" s="91">
        <f>$L$47-EFEITO!$O$47*EFEITO!$AA$47</f>
        <v>0</v>
      </c>
      <c r="P47" s="20"/>
      <c r="Q47" s="20"/>
      <c r="R47" s="20"/>
      <c r="S47" s="20"/>
      <c r="T47" s="20"/>
      <c r="U47" s="20"/>
      <c r="V47" s="20"/>
      <c r="W47" s="20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83" t="s">
        <v>21</v>
      </c>
      <c r="B48" s="83" t="s">
        <v>39</v>
      </c>
      <c r="C48" s="83" t="s">
        <v>40</v>
      </c>
      <c r="D48" s="83" t="s">
        <v>41</v>
      </c>
      <c r="E48" s="83" t="s">
        <v>25</v>
      </c>
      <c r="F48" s="83" t="s">
        <v>25</v>
      </c>
      <c r="G48" s="83" t="s">
        <v>25</v>
      </c>
      <c r="H48" s="83" t="s">
        <v>35</v>
      </c>
      <c r="I48" s="90">
        <v>44562</v>
      </c>
      <c r="J48" s="91">
        <f>EFEITO!$J$48*EFEITO!$Y$48</f>
        <v>0</v>
      </c>
      <c r="K48" s="91">
        <f ca="1">EFEITO!$L$48*EFEITO!$Z$48</f>
        <v>49379.298136042984</v>
      </c>
      <c r="L48" s="91">
        <f>EFEITO!$N$48*EFEITO!$AA$48</f>
        <v>92881.266565642291</v>
      </c>
      <c r="M48" s="91">
        <f>$J$48-EFEITO!$K$48*EFEITO!$Y$48</f>
        <v>0</v>
      </c>
      <c r="N48" s="91">
        <f ca="1">$K$48-EFEITO!$M$48*EFEITO!$Z$48</f>
        <v>0</v>
      </c>
      <c r="O48" s="91">
        <f>$L$48-EFEITO!$O$48*EFEITO!$AA$48</f>
        <v>0</v>
      </c>
      <c r="P48" s="20"/>
      <c r="Q48" s="20"/>
      <c r="R48" s="20"/>
      <c r="S48" s="20"/>
      <c r="T48" s="20"/>
      <c r="U48" s="20"/>
      <c r="V48" s="20"/>
      <c r="W48" s="20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83" t="s">
        <v>21</v>
      </c>
      <c r="B49" s="83" t="s">
        <v>39</v>
      </c>
      <c r="C49" s="83" t="s">
        <v>40</v>
      </c>
      <c r="D49" s="83" t="s">
        <v>41</v>
      </c>
      <c r="E49" s="83" t="s">
        <v>25</v>
      </c>
      <c r="F49" s="83" t="s">
        <v>25</v>
      </c>
      <c r="G49" s="83" t="s">
        <v>25</v>
      </c>
      <c r="H49" s="83" t="s">
        <v>35</v>
      </c>
      <c r="I49" s="90">
        <v>44593</v>
      </c>
      <c r="J49" s="91">
        <f>EFEITO!$J$49*EFEITO!$Y$49</f>
        <v>0</v>
      </c>
      <c r="K49" s="91">
        <f ca="1">EFEITO!$L$49*EFEITO!$Z$49</f>
        <v>43859.428857784747</v>
      </c>
      <c r="L49" s="91">
        <f>EFEITO!$N$49*EFEITO!$AA$49</f>
        <v>82498.525838366171</v>
      </c>
      <c r="M49" s="91">
        <f>$J$49-EFEITO!$K$49*EFEITO!$Y$49</f>
        <v>0</v>
      </c>
      <c r="N49" s="91">
        <f ca="1">$K$49-EFEITO!$M$49*EFEITO!$Z$49</f>
        <v>0</v>
      </c>
      <c r="O49" s="91">
        <f>$L$49-EFEITO!$O$49*EFEITO!$AA$49</f>
        <v>0</v>
      </c>
      <c r="P49" s="20"/>
      <c r="Q49" s="20"/>
      <c r="R49" s="20"/>
      <c r="S49" s="20"/>
      <c r="T49" s="20"/>
      <c r="U49" s="20"/>
      <c r="V49" s="20"/>
      <c r="W49" s="20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83" t="s">
        <v>21</v>
      </c>
      <c r="B50" s="83" t="s">
        <v>39</v>
      </c>
      <c r="C50" s="83" t="s">
        <v>40</v>
      </c>
      <c r="D50" s="83" t="s">
        <v>41</v>
      </c>
      <c r="E50" s="83" t="s">
        <v>25</v>
      </c>
      <c r="F50" s="83" t="s">
        <v>25</v>
      </c>
      <c r="G50" s="83" t="s">
        <v>25</v>
      </c>
      <c r="H50" s="83" t="s">
        <v>35</v>
      </c>
      <c r="I50" s="90">
        <v>44621</v>
      </c>
      <c r="J50" s="91">
        <f>EFEITO!$J$50*EFEITO!$Y$50</f>
        <v>0</v>
      </c>
      <c r="K50" s="91">
        <f ca="1">EFEITO!$L$50*EFEITO!$Z$50</f>
        <v>52282.902888365388</v>
      </c>
      <c r="L50" s="91">
        <f>EFEITO!$N$50*EFEITO!$AA$50</f>
        <v>98342.876940474045</v>
      </c>
      <c r="M50" s="91">
        <f>$J$50-EFEITO!$K$50*EFEITO!$Y$50</f>
        <v>0</v>
      </c>
      <c r="N50" s="91">
        <f ca="1">$K$50-EFEITO!$M$50*EFEITO!$Z$50</f>
        <v>0</v>
      </c>
      <c r="O50" s="91">
        <f>$L$50-EFEITO!$O$50*EFEITO!$AA$50</f>
        <v>0</v>
      </c>
      <c r="P50" s="20"/>
      <c r="Q50" s="20"/>
      <c r="R50" s="20"/>
      <c r="S50" s="20"/>
      <c r="T50" s="20"/>
      <c r="U50" s="20"/>
      <c r="V50" s="20"/>
      <c r="W50" s="20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83" t="s">
        <v>21</v>
      </c>
      <c r="B51" s="83" t="s">
        <v>39</v>
      </c>
      <c r="C51" s="83" t="s">
        <v>40</v>
      </c>
      <c r="D51" s="83" t="s">
        <v>41</v>
      </c>
      <c r="E51" s="83" t="s">
        <v>25</v>
      </c>
      <c r="F51" s="83" t="s">
        <v>25</v>
      </c>
      <c r="G51" s="83" t="s">
        <v>25</v>
      </c>
      <c r="H51" s="83" t="s">
        <v>35</v>
      </c>
      <c r="I51" s="90">
        <v>44652</v>
      </c>
      <c r="J51" s="91">
        <f>EFEITO!$J$51*EFEITO!$Y$51</f>
        <v>0</v>
      </c>
      <c r="K51" s="91">
        <f ca="1">EFEITO!$L$51*EFEITO!$Z$51</f>
        <v>56999.177680650901</v>
      </c>
      <c r="L51" s="91">
        <f>EFEITO!$N$51*EFEITO!$AA$51</f>
        <v>107214.07585813031</v>
      </c>
      <c r="M51" s="91">
        <f>$J$51-EFEITO!$K$51*EFEITO!$Y$51</f>
        <v>0</v>
      </c>
      <c r="N51" s="91">
        <f ca="1">$K$51-EFEITO!$M$51*EFEITO!$Z$51</f>
        <v>0</v>
      </c>
      <c r="O51" s="91">
        <f>$L$51-EFEITO!$O$51*EFEITO!$AA$51</f>
        <v>0</v>
      </c>
      <c r="P51" s="20"/>
      <c r="Q51" s="20"/>
      <c r="R51" s="20"/>
      <c r="S51" s="20"/>
      <c r="T51" s="20"/>
      <c r="U51" s="20"/>
      <c r="V51" s="20"/>
      <c r="W51" s="20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83" t="s">
        <v>21</v>
      </c>
      <c r="B52" s="83" t="s">
        <v>39</v>
      </c>
      <c r="C52" s="83" t="s">
        <v>40</v>
      </c>
      <c r="D52" s="83" t="s">
        <v>41</v>
      </c>
      <c r="E52" s="83" t="s">
        <v>25</v>
      </c>
      <c r="F52" s="83" t="s">
        <v>25</v>
      </c>
      <c r="G52" s="83" t="s">
        <v>25</v>
      </c>
      <c r="H52" s="83" t="s">
        <v>35</v>
      </c>
      <c r="I52" s="90">
        <v>44682</v>
      </c>
      <c r="J52" s="91">
        <f>EFEITO!$J$52*EFEITO!$Y$52</f>
        <v>0</v>
      </c>
      <c r="K52" s="91">
        <f ca="1">EFEITO!$L$52*EFEITO!$Z$52</f>
        <v>51423.17343246792</v>
      </c>
      <c r="L52" s="91">
        <f>EFEITO!$N$52*EFEITO!$AA$52</f>
        <v>96725.746608901725</v>
      </c>
      <c r="M52" s="91">
        <f>$J$52-EFEITO!$K$52*EFEITO!$Y$52</f>
        <v>0</v>
      </c>
      <c r="N52" s="91">
        <f ca="1">$K$52-EFEITO!$M$52*EFEITO!$Z$52</f>
        <v>0</v>
      </c>
      <c r="O52" s="91">
        <f>$L$52-EFEITO!$O$52*EFEITO!$AA$52</f>
        <v>0</v>
      </c>
      <c r="P52" s="20"/>
      <c r="Q52" s="20"/>
      <c r="R52" s="20"/>
      <c r="S52" s="20"/>
      <c r="T52" s="20"/>
      <c r="U52" s="20"/>
      <c r="V52" s="20"/>
      <c r="W52" s="20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83" t="s">
        <v>21</v>
      </c>
      <c r="B53" s="83" t="s">
        <v>39</v>
      </c>
      <c r="C53" s="83" t="s">
        <v>40</v>
      </c>
      <c r="D53" s="83" t="s">
        <v>41</v>
      </c>
      <c r="E53" s="83" t="s">
        <v>25</v>
      </c>
      <c r="F53" s="83" t="s">
        <v>25</v>
      </c>
      <c r="G53" s="83" t="s">
        <v>25</v>
      </c>
      <c r="H53" s="83" t="s">
        <v>35</v>
      </c>
      <c r="I53" s="90">
        <v>44713</v>
      </c>
      <c r="J53" s="91">
        <f>EFEITO!$J$53*EFEITO!$Y$53</f>
        <v>0</v>
      </c>
      <c r="K53" s="91">
        <f ca="1">EFEITO!$L$53*EFEITO!$Z$53</f>
        <v>42636.228075287378</v>
      </c>
      <c r="L53" s="91">
        <f>EFEITO!$N$53*EFEITO!$AA$53</f>
        <v>80197.714724578545</v>
      </c>
      <c r="M53" s="91">
        <f>$J$53-EFEITO!$K$53*EFEITO!$Y$53</f>
        <v>0</v>
      </c>
      <c r="N53" s="91">
        <f ca="1">$K$53-EFEITO!$M$53*EFEITO!$Z$53</f>
        <v>0</v>
      </c>
      <c r="O53" s="91">
        <f>$L$53-EFEITO!$O$53*EFEITO!$AA$53</f>
        <v>0</v>
      </c>
      <c r="P53" s="20"/>
      <c r="Q53" s="20"/>
      <c r="R53" s="20"/>
      <c r="S53" s="20"/>
      <c r="T53" s="20"/>
      <c r="U53" s="20"/>
      <c r="V53" s="20"/>
      <c r="W53" s="20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83" t="s">
        <v>28</v>
      </c>
      <c r="B54" s="83" t="s">
        <v>39</v>
      </c>
      <c r="C54" s="83" t="s">
        <v>40</v>
      </c>
      <c r="D54" s="83" t="s">
        <v>41</v>
      </c>
      <c r="E54" s="83" t="s">
        <v>25</v>
      </c>
      <c r="F54" s="83" t="s">
        <v>25</v>
      </c>
      <c r="G54" s="83" t="s">
        <v>25</v>
      </c>
      <c r="H54" s="83" t="s">
        <v>35</v>
      </c>
      <c r="I54" s="90">
        <v>44713</v>
      </c>
      <c r="J54" s="91">
        <f>EFEITO!$J$54*EFEITO!$Y$54</f>
        <v>0</v>
      </c>
      <c r="K54" s="91">
        <f ca="1">EFEITO!$L$54*EFEITO!$Z$54</f>
        <v>251.0972402384977</v>
      </c>
      <c r="L54" s="91">
        <f>EFEITO!$N$54*EFEITO!$AA$54</f>
        <v>472.30784123814112</v>
      </c>
      <c r="M54" s="91">
        <f>$J$54-EFEITO!$K$54*EFEITO!$Y$54</f>
        <v>0</v>
      </c>
      <c r="N54" s="91">
        <f ca="1">$K$54-EFEITO!$M$54*EFEITO!$Z$54</f>
        <v>0</v>
      </c>
      <c r="O54" s="91">
        <f>$L$54-EFEITO!$O$54*EFEITO!$AA$54</f>
        <v>0</v>
      </c>
      <c r="P54" s="20"/>
      <c r="Q54" s="20"/>
      <c r="R54" s="20"/>
      <c r="S54" s="20"/>
      <c r="T54" s="20"/>
      <c r="U54" s="20"/>
      <c r="V54" s="20"/>
      <c r="W54" s="20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83" t="s">
        <v>21</v>
      </c>
      <c r="B55" s="83" t="s">
        <v>39</v>
      </c>
      <c r="C55" s="83" t="s">
        <v>40</v>
      </c>
      <c r="D55" s="83" t="s">
        <v>41</v>
      </c>
      <c r="E55" s="83" t="s">
        <v>25</v>
      </c>
      <c r="F55" s="83" t="s">
        <v>25</v>
      </c>
      <c r="G55" s="83" t="s">
        <v>25</v>
      </c>
      <c r="H55" s="83" t="s">
        <v>25</v>
      </c>
      <c r="I55" s="90">
        <v>44378</v>
      </c>
      <c r="J55" s="91">
        <f ca="1">EFEITO!$J$55*EFEITO!$Y$55</f>
        <v>112501.16608442386</v>
      </c>
      <c r="K55" s="91">
        <f>EFEITO!$L$55*EFEITO!$Z$55</f>
        <v>0</v>
      </c>
      <c r="L55" s="91">
        <f>EFEITO!$N$55*EFEITO!$AA$55</f>
        <v>0</v>
      </c>
      <c r="M55" s="91">
        <f ca="1">$J$55-EFEITO!$K$55*EFEITO!$Y$55</f>
        <v>0</v>
      </c>
      <c r="N55" s="91">
        <f>$K$55-EFEITO!$M$55*EFEITO!$Z$55</f>
        <v>0</v>
      </c>
      <c r="O55" s="91">
        <f>$L$55-EFEITO!$O$55*EFEITO!$AA$55</f>
        <v>0</v>
      </c>
      <c r="P55" s="20"/>
      <c r="Q55" s="20"/>
      <c r="R55" s="20"/>
      <c r="S55" s="20"/>
      <c r="T55" s="20"/>
      <c r="U55" s="20"/>
      <c r="V55" s="20"/>
      <c r="W55" s="20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83" t="s">
        <v>28</v>
      </c>
      <c r="B56" s="83" t="s">
        <v>39</v>
      </c>
      <c r="C56" s="83" t="s">
        <v>40</v>
      </c>
      <c r="D56" s="83" t="s">
        <v>41</v>
      </c>
      <c r="E56" s="83" t="s">
        <v>25</v>
      </c>
      <c r="F56" s="83" t="s">
        <v>25</v>
      </c>
      <c r="G56" s="83" t="s">
        <v>25</v>
      </c>
      <c r="H56" s="83" t="s">
        <v>25</v>
      </c>
      <c r="I56" s="90">
        <v>44378</v>
      </c>
      <c r="J56" s="91">
        <f ca="1">EFEITO!$J$56*EFEITO!$Y$56</f>
        <v>2112.3306566616443</v>
      </c>
      <c r="K56" s="91">
        <f>EFEITO!$L$56*EFEITO!$Z$56</f>
        <v>0</v>
      </c>
      <c r="L56" s="91">
        <f>EFEITO!$N$56*EFEITO!$AA$56</f>
        <v>0</v>
      </c>
      <c r="M56" s="91">
        <f ca="1">$J$56-EFEITO!$K$56*EFEITO!$Y$56</f>
        <v>0</v>
      </c>
      <c r="N56" s="91">
        <f>$K$56-EFEITO!$M$56*EFEITO!$Z$56</f>
        <v>0</v>
      </c>
      <c r="O56" s="91">
        <f>$L$56-EFEITO!$O$56*EFEITO!$AA$56</f>
        <v>0</v>
      </c>
      <c r="P56" s="20"/>
      <c r="Q56" s="20"/>
      <c r="R56" s="20"/>
      <c r="S56" s="20"/>
      <c r="T56" s="20"/>
      <c r="U56" s="20"/>
      <c r="V56" s="20"/>
      <c r="W56" s="20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83" t="s">
        <v>21</v>
      </c>
      <c r="B57" s="83" t="s">
        <v>39</v>
      </c>
      <c r="C57" s="83" t="s">
        <v>40</v>
      </c>
      <c r="D57" s="83" t="s">
        <v>41</v>
      </c>
      <c r="E57" s="83" t="s">
        <v>25</v>
      </c>
      <c r="F57" s="83" t="s">
        <v>25</v>
      </c>
      <c r="G57" s="83" t="s">
        <v>25</v>
      </c>
      <c r="H57" s="83" t="s">
        <v>25</v>
      </c>
      <c r="I57" s="90">
        <v>44409</v>
      </c>
      <c r="J57" s="91">
        <f ca="1">EFEITO!$J$57*EFEITO!$Y$57</f>
        <v>99318.6580974799</v>
      </c>
      <c r="K57" s="91">
        <f>EFEITO!$L$57*EFEITO!$Z$57</f>
        <v>0</v>
      </c>
      <c r="L57" s="91">
        <f>EFEITO!$N$57*EFEITO!$AA$57</f>
        <v>0</v>
      </c>
      <c r="M57" s="91">
        <f ca="1">$J$57-EFEITO!$K$57*EFEITO!$Y$57</f>
        <v>0</v>
      </c>
      <c r="N57" s="91">
        <f>$K$57-EFEITO!$M$57*EFEITO!$Z$57</f>
        <v>0</v>
      </c>
      <c r="O57" s="91">
        <f>$L$57-EFEITO!$O$57*EFEITO!$AA$57</f>
        <v>0</v>
      </c>
      <c r="P57" s="20"/>
      <c r="Q57" s="20"/>
      <c r="R57" s="20"/>
      <c r="S57" s="20"/>
      <c r="T57" s="20"/>
      <c r="U57" s="20"/>
      <c r="V57" s="20"/>
      <c r="W57" s="20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83" t="s">
        <v>28</v>
      </c>
      <c r="B58" s="83" t="s">
        <v>39</v>
      </c>
      <c r="C58" s="83" t="s">
        <v>40</v>
      </c>
      <c r="D58" s="83" t="s">
        <v>41</v>
      </c>
      <c r="E58" s="83" t="s">
        <v>25</v>
      </c>
      <c r="F58" s="83" t="s">
        <v>25</v>
      </c>
      <c r="G58" s="83" t="s">
        <v>25</v>
      </c>
      <c r="H58" s="83" t="s">
        <v>25</v>
      </c>
      <c r="I58" s="90">
        <v>44409</v>
      </c>
      <c r="J58" s="91">
        <f ca="1">EFEITO!$J$58*EFEITO!$Y$58</f>
        <v>2073.213422279021</v>
      </c>
      <c r="K58" s="91">
        <f>EFEITO!$L$58*EFEITO!$Z$58</f>
        <v>0</v>
      </c>
      <c r="L58" s="91">
        <f>EFEITO!$N$58*EFEITO!$AA$58</f>
        <v>0</v>
      </c>
      <c r="M58" s="91">
        <f ca="1">$J$58-EFEITO!$K$58*EFEITO!$Y$58</f>
        <v>0</v>
      </c>
      <c r="N58" s="91">
        <f>$K$58-EFEITO!$M$58*EFEITO!$Z$58</f>
        <v>0</v>
      </c>
      <c r="O58" s="91">
        <f>$L$58-EFEITO!$O$58*EFEITO!$AA$58</f>
        <v>0</v>
      </c>
      <c r="P58" s="20"/>
      <c r="Q58" s="20"/>
      <c r="R58" s="20"/>
      <c r="S58" s="20"/>
      <c r="T58" s="20"/>
      <c r="U58" s="20"/>
      <c r="V58" s="20"/>
      <c r="W58" s="20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83" t="s">
        <v>21</v>
      </c>
      <c r="B59" s="83" t="s">
        <v>39</v>
      </c>
      <c r="C59" s="83" t="s">
        <v>40</v>
      </c>
      <c r="D59" s="83" t="s">
        <v>41</v>
      </c>
      <c r="E59" s="83" t="s">
        <v>25</v>
      </c>
      <c r="F59" s="83" t="s">
        <v>25</v>
      </c>
      <c r="G59" s="83" t="s">
        <v>25</v>
      </c>
      <c r="H59" s="83" t="s">
        <v>25</v>
      </c>
      <c r="I59" s="90">
        <v>44440</v>
      </c>
      <c r="J59" s="91">
        <f ca="1">EFEITO!$J$59*EFEITO!$Y$59</f>
        <v>101900.39556673302</v>
      </c>
      <c r="K59" s="91">
        <f>EFEITO!$L$59*EFEITO!$Z$59</f>
        <v>0</v>
      </c>
      <c r="L59" s="91">
        <f>EFEITO!$N$59*EFEITO!$AA$59</f>
        <v>0</v>
      </c>
      <c r="M59" s="91">
        <f ca="1">$J$59-EFEITO!$K$59*EFEITO!$Y$59</f>
        <v>0</v>
      </c>
      <c r="N59" s="91">
        <f>$K$59-EFEITO!$M$59*EFEITO!$Z$59</f>
        <v>0</v>
      </c>
      <c r="O59" s="91">
        <f>$L$59-EFEITO!$O$59*EFEITO!$AA$59</f>
        <v>0</v>
      </c>
      <c r="P59" s="20"/>
      <c r="Q59" s="20"/>
      <c r="R59" s="20"/>
      <c r="S59" s="20"/>
      <c r="T59" s="20"/>
      <c r="U59" s="20"/>
      <c r="V59" s="20"/>
      <c r="W59" s="20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83" t="s">
        <v>28</v>
      </c>
      <c r="B60" s="83" t="s">
        <v>39</v>
      </c>
      <c r="C60" s="83" t="s">
        <v>40</v>
      </c>
      <c r="D60" s="83" t="s">
        <v>41</v>
      </c>
      <c r="E60" s="83" t="s">
        <v>25</v>
      </c>
      <c r="F60" s="83" t="s">
        <v>25</v>
      </c>
      <c r="G60" s="83" t="s">
        <v>25</v>
      </c>
      <c r="H60" s="83" t="s">
        <v>25</v>
      </c>
      <c r="I60" s="90">
        <v>44440</v>
      </c>
      <c r="J60" s="91">
        <f ca="1">EFEITO!$J$60*EFEITO!$Y$60</f>
        <v>1212.6342658613141</v>
      </c>
      <c r="K60" s="91">
        <f>EFEITO!$L$60*EFEITO!$Z$60</f>
        <v>0</v>
      </c>
      <c r="L60" s="91">
        <f>EFEITO!$N$60*EFEITO!$AA$60</f>
        <v>0</v>
      </c>
      <c r="M60" s="91">
        <f ca="1">$J$60-EFEITO!$K$60*EFEITO!$Y$60</f>
        <v>0</v>
      </c>
      <c r="N60" s="91">
        <f>$K$60-EFEITO!$M$60*EFEITO!$Z$60</f>
        <v>0</v>
      </c>
      <c r="O60" s="91">
        <f>$L$60-EFEITO!$O$60*EFEITO!$AA$60</f>
        <v>0</v>
      </c>
      <c r="P60" s="20"/>
      <c r="Q60" s="20"/>
      <c r="R60" s="20"/>
      <c r="S60" s="20"/>
      <c r="T60" s="20"/>
      <c r="U60" s="20"/>
      <c r="V60" s="20"/>
      <c r="W60" s="20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83" t="s">
        <v>21</v>
      </c>
      <c r="B61" s="83" t="s">
        <v>39</v>
      </c>
      <c r="C61" s="83" t="s">
        <v>40</v>
      </c>
      <c r="D61" s="83" t="s">
        <v>41</v>
      </c>
      <c r="E61" s="83" t="s">
        <v>25</v>
      </c>
      <c r="F61" s="83" t="s">
        <v>25</v>
      </c>
      <c r="G61" s="83" t="s">
        <v>25</v>
      </c>
      <c r="H61" s="83" t="s">
        <v>25</v>
      </c>
      <c r="I61" s="90">
        <v>44470</v>
      </c>
      <c r="J61" s="91">
        <f ca="1">EFEITO!$J$61*EFEITO!$Y$61</f>
        <v>108667.6771149268</v>
      </c>
      <c r="K61" s="91">
        <f>EFEITO!$L$61*EFEITO!$Z$61</f>
        <v>0</v>
      </c>
      <c r="L61" s="91">
        <f>EFEITO!$N$61*EFEITO!$AA$61</f>
        <v>0</v>
      </c>
      <c r="M61" s="91">
        <f ca="1">$J$61-EFEITO!$K$61*EFEITO!$Y$61</f>
        <v>0</v>
      </c>
      <c r="N61" s="91">
        <f>$K$61-EFEITO!$M$61*EFEITO!$Z$61</f>
        <v>0</v>
      </c>
      <c r="O61" s="91">
        <f>$L$61-EFEITO!$O$61*EFEITO!$AA$61</f>
        <v>0</v>
      </c>
      <c r="P61" s="20"/>
      <c r="Q61" s="20"/>
      <c r="R61" s="20"/>
      <c r="S61" s="20"/>
      <c r="T61" s="20"/>
      <c r="U61" s="20"/>
      <c r="V61" s="20"/>
      <c r="W61" s="20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83" t="s">
        <v>28</v>
      </c>
      <c r="B62" s="83" t="s">
        <v>39</v>
      </c>
      <c r="C62" s="83" t="s">
        <v>40</v>
      </c>
      <c r="D62" s="83" t="s">
        <v>41</v>
      </c>
      <c r="E62" s="83" t="s">
        <v>25</v>
      </c>
      <c r="F62" s="83" t="s">
        <v>25</v>
      </c>
      <c r="G62" s="83" t="s">
        <v>25</v>
      </c>
      <c r="H62" s="83" t="s">
        <v>25</v>
      </c>
      <c r="I62" s="90">
        <v>44470</v>
      </c>
      <c r="J62" s="91">
        <f ca="1">EFEITO!$J$62*EFEITO!$Y$62</f>
        <v>1173.5170314786913</v>
      </c>
      <c r="K62" s="91">
        <f>EFEITO!$L$62*EFEITO!$Z$62</f>
        <v>0</v>
      </c>
      <c r="L62" s="91">
        <f>EFEITO!$N$62*EFEITO!$AA$62</f>
        <v>0</v>
      </c>
      <c r="M62" s="91">
        <f ca="1">$J$62-EFEITO!$K$62*EFEITO!$Y$62</f>
        <v>0</v>
      </c>
      <c r="N62" s="91">
        <f>$K$62-EFEITO!$M$62*EFEITO!$Z$62</f>
        <v>0</v>
      </c>
      <c r="O62" s="91">
        <f>$L$62-EFEITO!$O$62*EFEITO!$AA$62</f>
        <v>0</v>
      </c>
      <c r="P62" s="20"/>
      <c r="Q62" s="20"/>
      <c r="R62" s="20"/>
      <c r="S62" s="20"/>
      <c r="T62" s="20"/>
      <c r="U62" s="20"/>
      <c r="V62" s="20"/>
      <c r="W62" s="20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83" t="s">
        <v>21</v>
      </c>
      <c r="B63" s="83" t="s">
        <v>39</v>
      </c>
      <c r="C63" s="83" t="s">
        <v>40</v>
      </c>
      <c r="D63" s="83" t="s">
        <v>41</v>
      </c>
      <c r="E63" s="83" t="s">
        <v>25</v>
      </c>
      <c r="F63" s="83" t="s">
        <v>25</v>
      </c>
      <c r="G63" s="83" t="s">
        <v>25</v>
      </c>
      <c r="H63" s="83" t="s">
        <v>25</v>
      </c>
      <c r="I63" s="90">
        <v>44501</v>
      </c>
      <c r="J63" s="91">
        <f ca="1">EFEITO!$J$63*EFEITO!$Y$63</f>
        <v>111484.11799047566</v>
      </c>
      <c r="K63" s="91">
        <f>EFEITO!$L$63*EFEITO!$Z$63</f>
        <v>0</v>
      </c>
      <c r="L63" s="91">
        <f>EFEITO!$N$63*EFEITO!$AA$63</f>
        <v>0</v>
      </c>
      <c r="M63" s="91">
        <f ca="1">$J$63-EFEITO!$K$63*EFEITO!$Y$63</f>
        <v>0</v>
      </c>
      <c r="N63" s="91">
        <f>$K$63-EFEITO!$M$63*EFEITO!$Z$63</f>
        <v>0</v>
      </c>
      <c r="O63" s="91">
        <f>$L$63-EFEITO!$O$63*EFEITO!$AA$63</f>
        <v>0</v>
      </c>
      <c r="P63" s="20"/>
      <c r="Q63" s="20"/>
      <c r="R63" s="20"/>
      <c r="S63" s="20"/>
      <c r="T63" s="20"/>
      <c r="U63" s="20"/>
      <c r="V63" s="20"/>
      <c r="W63" s="20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83" t="s">
        <v>28</v>
      </c>
      <c r="B64" s="83" t="s">
        <v>39</v>
      </c>
      <c r="C64" s="83" t="s">
        <v>40</v>
      </c>
      <c r="D64" s="83" t="s">
        <v>41</v>
      </c>
      <c r="E64" s="83" t="s">
        <v>25</v>
      </c>
      <c r="F64" s="83" t="s">
        <v>25</v>
      </c>
      <c r="G64" s="83" t="s">
        <v>25</v>
      </c>
      <c r="H64" s="83" t="s">
        <v>25</v>
      </c>
      <c r="I64" s="90">
        <v>44501</v>
      </c>
      <c r="J64" s="91">
        <f ca="1">EFEITO!$J$64*EFEITO!$Y$64</f>
        <v>1369.1032033918063</v>
      </c>
      <c r="K64" s="91">
        <f>EFEITO!$L$64*EFEITO!$Z$64</f>
        <v>0</v>
      </c>
      <c r="L64" s="91">
        <f>EFEITO!$N$64*EFEITO!$AA$64</f>
        <v>0</v>
      </c>
      <c r="M64" s="91">
        <f ca="1">$J$64-EFEITO!$K$64*EFEITO!$Y$64</f>
        <v>0</v>
      </c>
      <c r="N64" s="91">
        <f>$K$64-EFEITO!$M$64*EFEITO!$Z$64</f>
        <v>0</v>
      </c>
      <c r="O64" s="91">
        <f>$L$64-EFEITO!$O$64*EFEITO!$AA$64</f>
        <v>0</v>
      </c>
      <c r="P64" s="20"/>
      <c r="Q64" s="20"/>
      <c r="R64" s="20"/>
      <c r="S64" s="20"/>
      <c r="T64" s="20"/>
      <c r="U64" s="20"/>
      <c r="V64" s="20"/>
      <c r="W64" s="20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83" t="s">
        <v>21</v>
      </c>
      <c r="B65" s="83" t="s">
        <v>39</v>
      </c>
      <c r="C65" s="83" t="s">
        <v>40</v>
      </c>
      <c r="D65" s="83" t="s">
        <v>41</v>
      </c>
      <c r="E65" s="83" t="s">
        <v>25</v>
      </c>
      <c r="F65" s="83" t="s">
        <v>25</v>
      </c>
      <c r="G65" s="83" t="s">
        <v>25</v>
      </c>
      <c r="H65" s="83" t="s">
        <v>25</v>
      </c>
      <c r="I65" s="90">
        <v>44531</v>
      </c>
      <c r="J65" s="91">
        <f ca="1">EFEITO!$J$65*EFEITO!$Y$65</f>
        <v>118055.81336675634</v>
      </c>
      <c r="K65" s="91">
        <f>EFEITO!$L$65*EFEITO!$Z$65</f>
        <v>0</v>
      </c>
      <c r="L65" s="91">
        <f>EFEITO!$N$65*EFEITO!$AA$65</f>
        <v>0</v>
      </c>
      <c r="M65" s="91">
        <f ca="1">$J$65-EFEITO!$K$65*EFEITO!$Y$65</f>
        <v>0</v>
      </c>
      <c r="N65" s="91">
        <f>$K$65-EFEITO!$M$65*EFEITO!$Z$65</f>
        <v>0</v>
      </c>
      <c r="O65" s="91">
        <f>$L$65-EFEITO!$O$65*EFEITO!$AA$65</f>
        <v>0</v>
      </c>
      <c r="P65" s="20"/>
      <c r="Q65" s="20"/>
      <c r="R65" s="20"/>
      <c r="S65" s="20"/>
      <c r="T65" s="20"/>
      <c r="U65" s="20"/>
      <c r="V65" s="20"/>
      <c r="W65" s="20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83" t="s">
        <v>28</v>
      </c>
      <c r="B66" s="83" t="s">
        <v>39</v>
      </c>
      <c r="C66" s="83" t="s">
        <v>40</v>
      </c>
      <c r="D66" s="83" t="s">
        <v>41</v>
      </c>
      <c r="E66" s="83" t="s">
        <v>25</v>
      </c>
      <c r="F66" s="83" t="s">
        <v>25</v>
      </c>
      <c r="G66" s="83" t="s">
        <v>25</v>
      </c>
      <c r="H66" s="83" t="s">
        <v>25</v>
      </c>
      <c r="I66" s="90">
        <v>44531</v>
      </c>
      <c r="J66" s="91">
        <f ca="1">EFEITO!$J$66*EFEITO!$Y$66</f>
        <v>1212.6342658613141</v>
      </c>
      <c r="K66" s="91">
        <f>EFEITO!$L$66*EFEITO!$Z$66</f>
        <v>0</v>
      </c>
      <c r="L66" s="91">
        <f>EFEITO!$N$66*EFEITO!$AA$66</f>
        <v>0</v>
      </c>
      <c r="M66" s="91">
        <f ca="1">$J$66-EFEITO!$K$66*EFEITO!$Y$66</f>
        <v>0</v>
      </c>
      <c r="N66" s="91">
        <f>$K$66-EFEITO!$M$66*EFEITO!$Z$66</f>
        <v>0</v>
      </c>
      <c r="O66" s="91">
        <f>$L$66-EFEITO!$O$66*EFEITO!$AA$66</f>
        <v>0</v>
      </c>
      <c r="P66" s="20"/>
      <c r="Q66" s="20"/>
      <c r="R66" s="20"/>
      <c r="S66" s="20"/>
      <c r="T66" s="20"/>
      <c r="U66" s="20"/>
      <c r="V66" s="20"/>
      <c r="W66" s="20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83" t="s">
        <v>21</v>
      </c>
      <c r="B67" s="83" t="s">
        <v>39</v>
      </c>
      <c r="C67" s="83" t="s">
        <v>40</v>
      </c>
      <c r="D67" s="83" t="s">
        <v>41</v>
      </c>
      <c r="E67" s="83" t="s">
        <v>25</v>
      </c>
      <c r="F67" s="83" t="s">
        <v>25</v>
      </c>
      <c r="G67" s="83" t="s">
        <v>25</v>
      </c>
      <c r="H67" s="83" t="s">
        <v>25</v>
      </c>
      <c r="I67" s="90">
        <v>44562</v>
      </c>
      <c r="J67" s="91">
        <f ca="1">EFEITO!$J$67*EFEITO!$Y$67</f>
        <v>120324.61296094846</v>
      </c>
      <c r="K67" s="91">
        <f>EFEITO!$L$67*EFEITO!$Z$67</f>
        <v>0</v>
      </c>
      <c r="L67" s="91">
        <f>EFEITO!$N$67*EFEITO!$AA$67</f>
        <v>0</v>
      </c>
      <c r="M67" s="91">
        <f ca="1">$J$67-EFEITO!$K$67*EFEITO!$Y$67</f>
        <v>0</v>
      </c>
      <c r="N67" s="91">
        <f>$K$67-EFEITO!$M$67*EFEITO!$Z$67</f>
        <v>0</v>
      </c>
      <c r="O67" s="91">
        <f>$L$67-EFEITO!$O$67*EFEITO!$AA$67</f>
        <v>0</v>
      </c>
      <c r="P67" s="20"/>
      <c r="Q67" s="20"/>
      <c r="R67" s="20"/>
      <c r="S67" s="20"/>
      <c r="T67" s="20"/>
      <c r="U67" s="20"/>
      <c r="V67" s="20"/>
      <c r="W67" s="20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83" t="s">
        <v>28</v>
      </c>
      <c r="B68" s="83" t="s">
        <v>39</v>
      </c>
      <c r="C68" s="83" t="s">
        <v>40</v>
      </c>
      <c r="D68" s="83" t="s">
        <v>41</v>
      </c>
      <c r="E68" s="83" t="s">
        <v>25</v>
      </c>
      <c r="F68" s="83" t="s">
        <v>25</v>
      </c>
      <c r="G68" s="83" t="s">
        <v>25</v>
      </c>
      <c r="H68" s="83" t="s">
        <v>25</v>
      </c>
      <c r="I68" s="90">
        <v>44562</v>
      </c>
      <c r="J68" s="91">
        <f ca="1">EFEITO!$J$68*EFEITO!$Y$68</f>
        <v>1564.6893753049217</v>
      </c>
      <c r="K68" s="91">
        <f>EFEITO!$L$68*EFEITO!$Z$68</f>
        <v>0</v>
      </c>
      <c r="L68" s="91">
        <f>EFEITO!$N$68*EFEITO!$AA$68</f>
        <v>0</v>
      </c>
      <c r="M68" s="91">
        <f ca="1">$J$68-EFEITO!$K$68*EFEITO!$Y$68</f>
        <v>0</v>
      </c>
      <c r="N68" s="91">
        <f>$K$68-EFEITO!$M$68*EFEITO!$Z$68</f>
        <v>0</v>
      </c>
      <c r="O68" s="91">
        <f>$L$68-EFEITO!$O$68*EFEITO!$AA$68</f>
        <v>0</v>
      </c>
      <c r="P68" s="20"/>
      <c r="Q68" s="20"/>
      <c r="R68" s="20"/>
      <c r="S68" s="20"/>
      <c r="T68" s="20"/>
      <c r="U68" s="20"/>
      <c r="V68" s="20"/>
      <c r="W68" s="20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83" t="s">
        <v>21</v>
      </c>
      <c r="B69" s="83" t="s">
        <v>39</v>
      </c>
      <c r="C69" s="83" t="s">
        <v>40</v>
      </c>
      <c r="D69" s="83" t="s">
        <v>41</v>
      </c>
      <c r="E69" s="83" t="s">
        <v>25</v>
      </c>
      <c r="F69" s="83" t="s">
        <v>25</v>
      </c>
      <c r="G69" s="83" t="s">
        <v>25</v>
      </c>
      <c r="H69" s="83" t="s">
        <v>25</v>
      </c>
      <c r="I69" s="90">
        <v>44593</v>
      </c>
      <c r="J69" s="91">
        <f ca="1">EFEITO!$J$69*EFEITO!$Y$69</f>
        <v>120402.84742971371</v>
      </c>
      <c r="K69" s="91">
        <f>EFEITO!$L$69*EFEITO!$Z$69</f>
        <v>0</v>
      </c>
      <c r="L69" s="91">
        <f>EFEITO!$N$69*EFEITO!$AA$69</f>
        <v>0</v>
      </c>
      <c r="M69" s="91">
        <f ca="1">$J$69-EFEITO!$K$69*EFEITO!$Y$69</f>
        <v>0</v>
      </c>
      <c r="N69" s="91">
        <f>$K$69-EFEITO!$M$69*EFEITO!$Z$69</f>
        <v>0</v>
      </c>
      <c r="O69" s="91">
        <f>$L$69-EFEITO!$O$69*EFEITO!$AA$69</f>
        <v>0</v>
      </c>
      <c r="P69" s="20"/>
      <c r="Q69" s="20"/>
      <c r="R69" s="20"/>
      <c r="S69" s="20"/>
      <c r="T69" s="20"/>
      <c r="U69" s="20"/>
      <c r="V69" s="20"/>
      <c r="W69" s="20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83" t="s">
        <v>28</v>
      </c>
      <c r="B70" s="83" t="s">
        <v>39</v>
      </c>
      <c r="C70" s="83" t="s">
        <v>40</v>
      </c>
      <c r="D70" s="83" t="s">
        <v>41</v>
      </c>
      <c r="E70" s="83" t="s">
        <v>25</v>
      </c>
      <c r="F70" s="83" t="s">
        <v>25</v>
      </c>
      <c r="G70" s="83" t="s">
        <v>25</v>
      </c>
      <c r="H70" s="83" t="s">
        <v>25</v>
      </c>
      <c r="I70" s="90">
        <v>44593</v>
      </c>
      <c r="J70" s="91">
        <f ca="1">EFEITO!$J$70*EFEITO!$Y$70</f>
        <v>1564.6893753049217</v>
      </c>
      <c r="K70" s="91">
        <f>EFEITO!$L$70*EFEITO!$Z$70</f>
        <v>0</v>
      </c>
      <c r="L70" s="91">
        <f>EFEITO!$N$70*EFEITO!$AA$70</f>
        <v>0</v>
      </c>
      <c r="M70" s="91">
        <f ca="1">$J$70-EFEITO!$K$70*EFEITO!$Y$70</f>
        <v>0</v>
      </c>
      <c r="N70" s="91">
        <f>$K$70-EFEITO!$M$70*EFEITO!$Z$70</f>
        <v>0</v>
      </c>
      <c r="O70" s="91">
        <f>$L$70-EFEITO!$O$70*EFEITO!$AA$70</f>
        <v>0</v>
      </c>
      <c r="P70" s="20"/>
      <c r="Q70" s="20"/>
      <c r="R70" s="20"/>
      <c r="S70" s="20"/>
      <c r="T70" s="20"/>
      <c r="U70" s="20"/>
      <c r="V70" s="20"/>
      <c r="W70" s="20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83" t="s">
        <v>21</v>
      </c>
      <c r="B71" s="83" t="s">
        <v>39</v>
      </c>
      <c r="C71" s="83" t="s">
        <v>40</v>
      </c>
      <c r="D71" s="83" t="s">
        <v>41</v>
      </c>
      <c r="E71" s="83" t="s">
        <v>25</v>
      </c>
      <c r="F71" s="83" t="s">
        <v>25</v>
      </c>
      <c r="G71" s="83" t="s">
        <v>25</v>
      </c>
      <c r="H71" s="83" t="s">
        <v>25</v>
      </c>
      <c r="I71" s="90">
        <v>44621</v>
      </c>
      <c r="J71" s="91">
        <f ca="1">EFEITO!$J$71*EFEITO!$Y$71</f>
        <v>131903.31433820489</v>
      </c>
      <c r="K71" s="91">
        <f>EFEITO!$L$71*EFEITO!$Z$71</f>
        <v>0</v>
      </c>
      <c r="L71" s="91">
        <f>EFEITO!$N$71*EFEITO!$AA$71</f>
        <v>0</v>
      </c>
      <c r="M71" s="91">
        <f ca="1">$J$71-EFEITO!$K$71*EFEITO!$Y$71</f>
        <v>0</v>
      </c>
      <c r="N71" s="91">
        <f>$K$71-EFEITO!$M$71*EFEITO!$Z$71</f>
        <v>0</v>
      </c>
      <c r="O71" s="91">
        <f>$L$71-EFEITO!$O$71*EFEITO!$AA$71</f>
        <v>0</v>
      </c>
      <c r="P71" s="20"/>
      <c r="Q71" s="20"/>
      <c r="R71" s="20"/>
      <c r="S71" s="20"/>
      <c r="T71" s="20"/>
      <c r="U71" s="20"/>
      <c r="V71" s="20"/>
      <c r="W71" s="20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83" t="s">
        <v>28</v>
      </c>
      <c r="B72" s="83" t="s">
        <v>39</v>
      </c>
      <c r="C72" s="83" t="s">
        <v>40</v>
      </c>
      <c r="D72" s="83" t="s">
        <v>41</v>
      </c>
      <c r="E72" s="83" t="s">
        <v>25</v>
      </c>
      <c r="F72" s="83" t="s">
        <v>25</v>
      </c>
      <c r="G72" s="83" t="s">
        <v>25</v>
      </c>
      <c r="H72" s="83" t="s">
        <v>25</v>
      </c>
      <c r="I72" s="90">
        <v>44621</v>
      </c>
      <c r="J72" s="91">
        <f ca="1">EFEITO!$J$72*EFEITO!$Y$72</f>
        <v>1408.2204377744295</v>
      </c>
      <c r="K72" s="91">
        <f>EFEITO!$L$72*EFEITO!$Z$72</f>
        <v>0</v>
      </c>
      <c r="L72" s="91">
        <f>EFEITO!$N$72*EFEITO!$AA$72</f>
        <v>0</v>
      </c>
      <c r="M72" s="91">
        <f ca="1">$J$72-EFEITO!$K$72*EFEITO!$Y$72</f>
        <v>0</v>
      </c>
      <c r="N72" s="91">
        <f>$K$72-EFEITO!$M$72*EFEITO!$Z$72</f>
        <v>0</v>
      </c>
      <c r="O72" s="91">
        <f>$L$72-EFEITO!$O$72*EFEITO!$AA$72</f>
        <v>0</v>
      </c>
      <c r="P72" s="20"/>
      <c r="Q72" s="20"/>
      <c r="R72" s="20"/>
      <c r="S72" s="20"/>
      <c r="T72" s="20"/>
      <c r="U72" s="20"/>
      <c r="V72" s="20"/>
      <c r="W72" s="20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83" t="s">
        <v>21</v>
      </c>
      <c r="B73" s="83" t="s">
        <v>39</v>
      </c>
      <c r="C73" s="83" t="s">
        <v>40</v>
      </c>
      <c r="D73" s="83" t="s">
        <v>41</v>
      </c>
      <c r="E73" s="83" t="s">
        <v>25</v>
      </c>
      <c r="F73" s="83" t="s">
        <v>25</v>
      </c>
      <c r="G73" s="83" t="s">
        <v>25</v>
      </c>
      <c r="H73" s="83" t="s">
        <v>25</v>
      </c>
      <c r="I73" s="90">
        <v>44652</v>
      </c>
      <c r="J73" s="91">
        <f ca="1">EFEITO!$J$73*EFEITO!$Y$73</f>
        <v>125879.26024328094</v>
      </c>
      <c r="K73" s="91">
        <f>EFEITO!$L$73*EFEITO!$Z$73</f>
        <v>0</v>
      </c>
      <c r="L73" s="91">
        <f>EFEITO!$N$73*EFEITO!$AA$73</f>
        <v>0</v>
      </c>
      <c r="M73" s="91">
        <f ca="1">$J$73-EFEITO!$K$73*EFEITO!$Y$73</f>
        <v>0</v>
      </c>
      <c r="N73" s="91">
        <f>$K$73-EFEITO!$M$73*EFEITO!$Z$73</f>
        <v>0</v>
      </c>
      <c r="O73" s="91">
        <f>$L$73-EFEITO!$O$73*EFEITO!$AA$73</f>
        <v>0</v>
      </c>
      <c r="P73" s="20"/>
      <c r="Q73" s="20"/>
      <c r="R73" s="20"/>
      <c r="S73" s="20"/>
      <c r="T73" s="20"/>
      <c r="U73" s="20"/>
      <c r="V73" s="20"/>
      <c r="W73" s="20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83" t="s">
        <v>28</v>
      </c>
      <c r="B74" s="83" t="s">
        <v>39</v>
      </c>
      <c r="C74" s="83" t="s">
        <v>40</v>
      </c>
      <c r="D74" s="83" t="s">
        <v>41</v>
      </c>
      <c r="E74" s="83" t="s">
        <v>25</v>
      </c>
      <c r="F74" s="83" t="s">
        <v>25</v>
      </c>
      <c r="G74" s="83" t="s">
        <v>25</v>
      </c>
      <c r="H74" s="83" t="s">
        <v>25</v>
      </c>
      <c r="I74" s="90">
        <v>44652</v>
      </c>
      <c r="J74" s="91">
        <f ca="1">EFEITO!$J$74*EFEITO!$Y$74</f>
        <v>2659.9719380183665</v>
      </c>
      <c r="K74" s="91">
        <f>EFEITO!$L$74*EFEITO!$Z$74</f>
        <v>0</v>
      </c>
      <c r="L74" s="91">
        <f>EFEITO!$N$74*EFEITO!$AA$74</f>
        <v>0</v>
      </c>
      <c r="M74" s="91">
        <f ca="1">$J$74-EFEITO!$K$74*EFEITO!$Y$74</f>
        <v>0</v>
      </c>
      <c r="N74" s="91">
        <f>$K$74-EFEITO!$M$74*EFEITO!$Z$74</f>
        <v>0</v>
      </c>
      <c r="O74" s="91">
        <f>$L$74-EFEITO!$O$74*EFEITO!$AA$74</f>
        <v>0</v>
      </c>
      <c r="P74" s="20"/>
      <c r="Q74" s="20"/>
      <c r="R74" s="20"/>
      <c r="S74" s="20"/>
      <c r="T74" s="20"/>
      <c r="U74" s="20"/>
      <c r="V74" s="20"/>
      <c r="W74" s="20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83" t="s">
        <v>21</v>
      </c>
      <c r="B75" s="83" t="s">
        <v>39</v>
      </c>
      <c r="C75" s="83" t="s">
        <v>40</v>
      </c>
      <c r="D75" s="83" t="s">
        <v>41</v>
      </c>
      <c r="E75" s="83" t="s">
        <v>25</v>
      </c>
      <c r="F75" s="83" t="s">
        <v>25</v>
      </c>
      <c r="G75" s="83" t="s">
        <v>25</v>
      </c>
      <c r="H75" s="83" t="s">
        <v>25</v>
      </c>
      <c r="I75" s="90">
        <v>44682</v>
      </c>
      <c r="J75" s="91">
        <f ca="1">EFEITO!$J$75*EFEITO!$Y$75</f>
        <v>129790.98368154325</v>
      </c>
      <c r="K75" s="91">
        <f>EFEITO!$L$75*EFEITO!$Z$75</f>
        <v>0</v>
      </c>
      <c r="L75" s="91">
        <f>EFEITO!$N$75*EFEITO!$AA$75</f>
        <v>0</v>
      </c>
      <c r="M75" s="91">
        <f ca="1">$J$75-EFEITO!$K$75*EFEITO!$Y$75</f>
        <v>0</v>
      </c>
      <c r="N75" s="91">
        <f>$K$75-EFEITO!$M$75*EFEITO!$Z$75</f>
        <v>0</v>
      </c>
      <c r="O75" s="91">
        <f>$L$75-EFEITO!$O$75*EFEITO!$AA$75</f>
        <v>0</v>
      </c>
      <c r="P75" s="20"/>
      <c r="Q75" s="20"/>
      <c r="R75" s="20"/>
      <c r="S75" s="20"/>
      <c r="T75" s="20"/>
      <c r="U75" s="20"/>
      <c r="V75" s="20"/>
      <c r="W75" s="20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83" t="s">
        <v>28</v>
      </c>
      <c r="B76" s="83" t="s">
        <v>39</v>
      </c>
      <c r="C76" s="83" t="s">
        <v>40</v>
      </c>
      <c r="D76" s="83" t="s">
        <v>41</v>
      </c>
      <c r="E76" s="83" t="s">
        <v>25</v>
      </c>
      <c r="F76" s="83" t="s">
        <v>25</v>
      </c>
      <c r="G76" s="83" t="s">
        <v>25</v>
      </c>
      <c r="H76" s="83" t="s">
        <v>25</v>
      </c>
      <c r="I76" s="90">
        <v>44682</v>
      </c>
      <c r="J76" s="91">
        <f ca="1">EFEITO!$J$76*EFEITO!$Y$76</f>
        <v>1955.8617191311519</v>
      </c>
      <c r="K76" s="91">
        <f>EFEITO!$L$76*EFEITO!$Z$76</f>
        <v>0</v>
      </c>
      <c r="L76" s="91">
        <f>EFEITO!$N$76*EFEITO!$AA$76</f>
        <v>0</v>
      </c>
      <c r="M76" s="91">
        <f ca="1">$J$76-EFEITO!$K$76*EFEITO!$Y$76</f>
        <v>0</v>
      </c>
      <c r="N76" s="91">
        <f>$K$76-EFEITO!$M$76*EFEITO!$Z$76</f>
        <v>0</v>
      </c>
      <c r="O76" s="91">
        <f>$L$76-EFEITO!$O$76*EFEITO!$AA$76</f>
        <v>0</v>
      </c>
      <c r="P76" s="20"/>
      <c r="Q76" s="20"/>
      <c r="R76" s="20"/>
      <c r="S76" s="20"/>
      <c r="T76" s="20"/>
      <c r="U76" s="20"/>
      <c r="V76" s="20"/>
      <c r="W76" s="20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83" t="s">
        <v>21</v>
      </c>
      <c r="B77" s="83" t="s">
        <v>39</v>
      </c>
      <c r="C77" s="83" t="s">
        <v>40</v>
      </c>
      <c r="D77" s="83" t="s">
        <v>41</v>
      </c>
      <c r="E77" s="83" t="s">
        <v>25</v>
      </c>
      <c r="F77" s="83" t="s">
        <v>25</v>
      </c>
      <c r="G77" s="83" t="s">
        <v>25</v>
      </c>
      <c r="H77" s="83" t="s">
        <v>25</v>
      </c>
      <c r="I77" s="90">
        <v>44713</v>
      </c>
      <c r="J77" s="91">
        <f ca="1">EFEITO!$J$77*EFEITO!$Y$77</f>
        <v>123727.81235223667</v>
      </c>
      <c r="K77" s="91">
        <f>EFEITO!$L$77*EFEITO!$Z$77</f>
        <v>0</v>
      </c>
      <c r="L77" s="91">
        <f>EFEITO!$N$77*EFEITO!$AA$77</f>
        <v>0</v>
      </c>
      <c r="M77" s="91">
        <f ca="1">$J$77-EFEITO!$K$77*EFEITO!$Y$77</f>
        <v>0</v>
      </c>
      <c r="N77" s="91">
        <f>$K$77-EFEITO!$M$77*EFEITO!$Z$77</f>
        <v>0</v>
      </c>
      <c r="O77" s="91">
        <f>$L$77-EFEITO!$O$77*EFEITO!$AA$77</f>
        <v>0</v>
      </c>
      <c r="P77" s="20"/>
      <c r="Q77" s="20"/>
      <c r="R77" s="20"/>
      <c r="S77" s="20"/>
      <c r="T77" s="20"/>
      <c r="U77" s="20"/>
      <c r="V77" s="20"/>
      <c r="W77" s="20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83" t="s">
        <v>28</v>
      </c>
      <c r="B78" s="83" t="s">
        <v>39</v>
      </c>
      <c r="C78" s="83" t="s">
        <v>40</v>
      </c>
      <c r="D78" s="83" t="s">
        <v>41</v>
      </c>
      <c r="E78" s="83" t="s">
        <v>25</v>
      </c>
      <c r="F78" s="83" t="s">
        <v>25</v>
      </c>
      <c r="G78" s="83" t="s">
        <v>25</v>
      </c>
      <c r="H78" s="83" t="s">
        <v>25</v>
      </c>
      <c r="I78" s="90">
        <v>44713</v>
      </c>
      <c r="J78" s="91">
        <f ca="1">EFEITO!$J$78*EFEITO!$Y$78</f>
        <v>2112.3306566616443</v>
      </c>
      <c r="K78" s="91">
        <f>EFEITO!$L$78*EFEITO!$Z$78</f>
        <v>0</v>
      </c>
      <c r="L78" s="91">
        <f>EFEITO!$N$78*EFEITO!$AA$78</f>
        <v>0</v>
      </c>
      <c r="M78" s="91">
        <f ca="1">$J$78-EFEITO!$K$78*EFEITO!$Y$78</f>
        <v>0</v>
      </c>
      <c r="N78" s="91">
        <f>$K$78-EFEITO!$M$78*EFEITO!$Z$78</f>
        <v>0</v>
      </c>
      <c r="O78" s="91">
        <f>$L$78-EFEITO!$O$78*EFEITO!$AA$78</f>
        <v>0</v>
      </c>
      <c r="P78" s="20"/>
      <c r="Q78" s="20"/>
      <c r="R78" s="20"/>
      <c r="S78" s="20"/>
      <c r="T78" s="20"/>
      <c r="U78" s="20"/>
      <c r="V78" s="20"/>
      <c r="W78" s="20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83" t="s">
        <v>21</v>
      </c>
      <c r="B79" s="83" t="s">
        <v>39</v>
      </c>
      <c r="C79" s="83" t="s">
        <v>40</v>
      </c>
      <c r="D79" s="83" t="s">
        <v>41</v>
      </c>
      <c r="E79" s="83" t="s">
        <v>25</v>
      </c>
      <c r="F79" s="83" t="s">
        <v>25</v>
      </c>
      <c r="G79" s="83" t="s">
        <v>25</v>
      </c>
      <c r="H79" s="83" t="s">
        <v>34</v>
      </c>
      <c r="I79" s="90">
        <v>44378</v>
      </c>
      <c r="J79" s="91">
        <f>EFEITO!$J$79*EFEITO!$Y$79</f>
        <v>0</v>
      </c>
      <c r="K79" s="91">
        <f ca="1">EFEITO!$L$79*EFEITO!$Z$79</f>
        <v>44919.492164629984</v>
      </c>
      <c r="L79" s="91">
        <f>EFEITO!$N$79*EFEITO!$AA$79</f>
        <v>7395.7185804845276</v>
      </c>
      <c r="M79" s="91">
        <f>$J$79-EFEITO!$K$79*EFEITO!$Y$79</f>
        <v>0</v>
      </c>
      <c r="N79" s="91">
        <f ca="1">$K$79-EFEITO!$M$79*EFEITO!$Z$79</f>
        <v>0</v>
      </c>
      <c r="O79" s="91">
        <f>$L$79-EFEITO!$O$79*EFEITO!$AA$79</f>
        <v>0</v>
      </c>
      <c r="P79" s="20"/>
      <c r="Q79" s="20"/>
      <c r="R79" s="20"/>
      <c r="S79" s="20"/>
      <c r="T79" s="20"/>
      <c r="U79" s="20"/>
      <c r="V79" s="20"/>
      <c r="W79" s="20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83" t="s">
        <v>28</v>
      </c>
      <c r="B80" s="83" t="s">
        <v>39</v>
      </c>
      <c r="C80" s="83" t="s">
        <v>40</v>
      </c>
      <c r="D80" s="83" t="s">
        <v>41</v>
      </c>
      <c r="E80" s="83" t="s">
        <v>25</v>
      </c>
      <c r="F80" s="83" t="s">
        <v>25</v>
      </c>
      <c r="G80" s="83" t="s">
        <v>25</v>
      </c>
      <c r="H80" s="83" t="s">
        <v>34</v>
      </c>
      <c r="I80" s="90">
        <v>44378</v>
      </c>
      <c r="J80" s="91">
        <f>EFEITO!$J$80*EFEITO!$Y$80</f>
        <v>0</v>
      </c>
      <c r="K80" s="91">
        <f ca="1">EFEITO!$L$80*EFEITO!$Z$80</f>
        <v>2379.4147603311521</v>
      </c>
      <c r="L80" s="91">
        <f>EFEITO!$N$80*EFEITO!$AA$80</f>
        <v>391.75603074864352</v>
      </c>
      <c r="M80" s="91">
        <f>$J$80-EFEITO!$K$80*EFEITO!$Y$80</f>
        <v>0</v>
      </c>
      <c r="N80" s="91">
        <f ca="1">$K$80-EFEITO!$M$80*EFEITO!$Z$80</f>
        <v>0</v>
      </c>
      <c r="O80" s="91">
        <f>$L$80-EFEITO!$O$80*EFEITO!$AA$80</f>
        <v>0</v>
      </c>
      <c r="P80" s="20"/>
      <c r="Q80" s="20"/>
      <c r="R80" s="20"/>
      <c r="S80" s="20"/>
      <c r="T80" s="20"/>
      <c r="U80" s="20"/>
      <c r="V80" s="20"/>
      <c r="W80" s="20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83" t="s">
        <v>21</v>
      </c>
      <c r="B81" s="83" t="s">
        <v>39</v>
      </c>
      <c r="C81" s="83" t="s">
        <v>40</v>
      </c>
      <c r="D81" s="83" t="s">
        <v>41</v>
      </c>
      <c r="E81" s="83" t="s">
        <v>25</v>
      </c>
      <c r="F81" s="83" t="s">
        <v>25</v>
      </c>
      <c r="G81" s="83" t="s">
        <v>25</v>
      </c>
      <c r="H81" s="83" t="s">
        <v>34</v>
      </c>
      <c r="I81" s="90">
        <v>44409</v>
      </c>
      <c r="J81" s="91">
        <f>EFEITO!$J$81*EFEITO!$Y$81</f>
        <v>0</v>
      </c>
      <c r="K81" s="91">
        <f ca="1">EFEITO!$L$81*EFEITO!$Z$81</f>
        <v>37310.282640931873</v>
      </c>
      <c r="L81" s="91">
        <f>EFEITO!$N$81*EFEITO!$AA$81</f>
        <v>6142.9089527406541</v>
      </c>
      <c r="M81" s="91">
        <f>$J$81-EFEITO!$K$81*EFEITO!$Y$81</f>
        <v>0</v>
      </c>
      <c r="N81" s="91">
        <f ca="1">$K$81-EFEITO!$M$81*EFEITO!$Z$81</f>
        <v>0</v>
      </c>
      <c r="O81" s="91">
        <f>$L$81-EFEITO!$O$81*EFEITO!$AA$81</f>
        <v>0</v>
      </c>
      <c r="P81" s="20"/>
      <c r="Q81" s="20"/>
      <c r="R81" s="20"/>
      <c r="S81" s="20"/>
      <c r="T81" s="20"/>
      <c r="U81" s="20"/>
      <c r="V81" s="20"/>
      <c r="W81" s="20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83" t="s">
        <v>28</v>
      </c>
      <c r="B82" s="83" t="s">
        <v>39</v>
      </c>
      <c r="C82" s="83" t="s">
        <v>40</v>
      </c>
      <c r="D82" s="83" t="s">
        <v>41</v>
      </c>
      <c r="E82" s="83" t="s">
        <v>25</v>
      </c>
      <c r="F82" s="83" t="s">
        <v>25</v>
      </c>
      <c r="G82" s="83" t="s">
        <v>25</v>
      </c>
      <c r="H82" s="83" t="s">
        <v>34</v>
      </c>
      <c r="I82" s="90">
        <v>44409</v>
      </c>
      <c r="J82" s="91">
        <f>EFEITO!$J$82*EFEITO!$Y$82</f>
        <v>0</v>
      </c>
      <c r="K82" s="91">
        <f ca="1">EFEITO!$L$82*EFEITO!$Z$82</f>
        <v>1978.4323046950597</v>
      </c>
      <c r="L82" s="91">
        <f>EFEITO!$N$82*EFEITO!$AA$82</f>
        <v>325.73673144919013</v>
      </c>
      <c r="M82" s="91">
        <f>$J$82-EFEITO!$K$82*EFEITO!$Y$82</f>
        <v>0</v>
      </c>
      <c r="N82" s="91">
        <f ca="1">$K$82-EFEITO!$M$82*EFEITO!$Z$82</f>
        <v>0</v>
      </c>
      <c r="O82" s="91">
        <f>$L$82-EFEITO!$O$82*EFEITO!$AA$82</f>
        <v>0</v>
      </c>
      <c r="P82" s="20"/>
      <c r="Q82" s="20"/>
      <c r="R82" s="20"/>
      <c r="S82" s="20"/>
      <c r="T82" s="20"/>
      <c r="U82" s="20"/>
      <c r="V82" s="20"/>
      <c r="W82" s="20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83" t="s">
        <v>21</v>
      </c>
      <c r="B83" s="83" t="s">
        <v>39</v>
      </c>
      <c r="C83" s="83" t="s">
        <v>40</v>
      </c>
      <c r="D83" s="83" t="s">
        <v>41</v>
      </c>
      <c r="E83" s="83" t="s">
        <v>25</v>
      </c>
      <c r="F83" s="83" t="s">
        <v>25</v>
      </c>
      <c r="G83" s="83" t="s">
        <v>25</v>
      </c>
      <c r="H83" s="83" t="s">
        <v>34</v>
      </c>
      <c r="I83" s="90">
        <v>44440</v>
      </c>
      <c r="J83" s="91">
        <f>EFEITO!$J$83*EFEITO!$Y$83</f>
        <v>0</v>
      </c>
      <c r="K83" s="91">
        <f ca="1">EFEITO!$L$83*EFEITO!$Z$83</f>
        <v>39963.954269504698</v>
      </c>
      <c r="L83" s="91">
        <f>EFEITO!$N$83*EFEITO!$AA$83</f>
        <v>6579.8196929158112</v>
      </c>
      <c r="M83" s="91">
        <f>$J$83-EFEITO!$K$83*EFEITO!$Y$83</f>
        <v>0</v>
      </c>
      <c r="N83" s="91">
        <f ca="1">$K$83-EFEITO!$M$83*EFEITO!$Z$83</f>
        <v>0</v>
      </c>
      <c r="O83" s="91">
        <f>$L$83-EFEITO!$O$83*EFEITO!$AA$83</f>
        <v>0</v>
      </c>
      <c r="P83" s="20"/>
      <c r="Q83" s="20"/>
      <c r="R83" s="20"/>
      <c r="S83" s="20"/>
      <c r="T83" s="20"/>
      <c r="U83" s="20"/>
      <c r="V83" s="20"/>
      <c r="W83" s="20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83" t="s">
        <v>21</v>
      </c>
      <c r="B84" s="83" t="s">
        <v>39</v>
      </c>
      <c r="C84" s="83" t="s">
        <v>40</v>
      </c>
      <c r="D84" s="83" t="s">
        <v>41</v>
      </c>
      <c r="E84" s="83" t="s">
        <v>25</v>
      </c>
      <c r="F84" s="83" t="s">
        <v>25</v>
      </c>
      <c r="G84" s="83" t="s">
        <v>25</v>
      </c>
      <c r="H84" s="83" t="s">
        <v>34</v>
      </c>
      <c r="I84" s="90">
        <v>44470</v>
      </c>
      <c r="J84" s="91">
        <f>EFEITO!$J$84*EFEITO!$Y$84</f>
        <v>0</v>
      </c>
      <c r="K84" s="91">
        <f ca="1">EFEITO!$L$84*EFEITO!$Z$84</f>
        <v>44522.292562348957</v>
      </c>
      <c r="L84" s="91">
        <f>EFEITO!$N$84*EFEITO!$AA$84</f>
        <v>7330.3221047633715</v>
      </c>
      <c r="M84" s="91">
        <f>$J$84-EFEITO!$K$84*EFEITO!$Y$84</f>
        <v>0</v>
      </c>
      <c r="N84" s="91">
        <f ca="1">$K$84-EFEITO!$M$84*EFEITO!$Z$84</f>
        <v>0</v>
      </c>
      <c r="O84" s="91">
        <f>$L$84-EFEITO!$O$84*EFEITO!$AA$84</f>
        <v>0</v>
      </c>
      <c r="P84" s="20"/>
      <c r="Q84" s="20"/>
      <c r="R84" s="20"/>
      <c r="S84" s="20"/>
      <c r="T84" s="20"/>
      <c r="U84" s="20"/>
      <c r="V84" s="20"/>
      <c r="W84" s="20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83" t="s">
        <v>21</v>
      </c>
      <c r="B85" s="83" t="s">
        <v>39</v>
      </c>
      <c r="C85" s="83" t="s">
        <v>40</v>
      </c>
      <c r="D85" s="83" t="s">
        <v>41</v>
      </c>
      <c r="E85" s="83" t="s">
        <v>25</v>
      </c>
      <c r="F85" s="83" t="s">
        <v>25</v>
      </c>
      <c r="G85" s="83" t="s">
        <v>25</v>
      </c>
      <c r="H85" s="83" t="s">
        <v>34</v>
      </c>
      <c r="I85" s="90">
        <v>44501</v>
      </c>
      <c r="J85" s="91">
        <f>EFEITO!$J$85*EFEITO!$Y$85</f>
        <v>0</v>
      </c>
      <c r="K85" s="91">
        <f ca="1">EFEITO!$L$85*EFEITO!$Z$85</f>
        <v>53453.609333639652</v>
      </c>
      <c r="L85" s="91">
        <f>EFEITO!$N$85*EFEITO!$AA$85</f>
        <v>8800.8085731219508</v>
      </c>
      <c r="M85" s="91">
        <f>$J$85-EFEITO!$K$85*EFEITO!$Y$85</f>
        <v>0</v>
      </c>
      <c r="N85" s="91">
        <f ca="1">$K$85-EFEITO!$M$85*EFEITO!$Z$85</f>
        <v>0</v>
      </c>
      <c r="O85" s="91">
        <f>$L$85-EFEITO!$O$85*EFEITO!$AA$85</f>
        <v>0</v>
      </c>
      <c r="P85" s="20"/>
      <c r="Q85" s="20"/>
      <c r="R85" s="20"/>
      <c r="S85" s="20"/>
      <c r="T85" s="20"/>
      <c r="U85" s="20"/>
      <c r="V85" s="20"/>
      <c r="W85" s="20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83" t="s">
        <v>21</v>
      </c>
      <c r="B86" s="83" t="s">
        <v>39</v>
      </c>
      <c r="C86" s="83" t="s">
        <v>40</v>
      </c>
      <c r="D86" s="83" t="s">
        <v>41</v>
      </c>
      <c r="E86" s="83" t="s">
        <v>25</v>
      </c>
      <c r="F86" s="83" t="s">
        <v>25</v>
      </c>
      <c r="G86" s="83" t="s">
        <v>25</v>
      </c>
      <c r="H86" s="83" t="s">
        <v>34</v>
      </c>
      <c r="I86" s="90">
        <v>44531</v>
      </c>
      <c r="J86" s="91">
        <f>EFEITO!$J$86*EFEITO!$Y$86</f>
        <v>0</v>
      </c>
      <c r="K86" s="91">
        <f ca="1">EFEITO!$L$86*EFEITO!$Z$86</f>
        <v>66930.024411031918</v>
      </c>
      <c r="L86" s="91">
        <f>EFEITO!$N$86*EFEITO!$AA$86</f>
        <v>11019.617570804056</v>
      </c>
      <c r="M86" s="91">
        <f>$J$86-EFEITO!$K$86*EFEITO!$Y$86</f>
        <v>0</v>
      </c>
      <c r="N86" s="91">
        <f ca="1">$K$86-EFEITO!$M$86*EFEITO!$Z$86</f>
        <v>0</v>
      </c>
      <c r="O86" s="91">
        <f>$L$86-EFEITO!$O$86*EFEITO!$AA$86</f>
        <v>0</v>
      </c>
      <c r="P86" s="20"/>
      <c r="Q86" s="20"/>
      <c r="R86" s="20"/>
      <c r="S86" s="20"/>
      <c r="T86" s="20"/>
      <c r="U86" s="20"/>
      <c r="V86" s="20"/>
      <c r="W86" s="20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83" t="s">
        <v>21</v>
      </c>
      <c r="B87" s="83" t="s">
        <v>39</v>
      </c>
      <c r="C87" s="83" t="s">
        <v>40</v>
      </c>
      <c r="D87" s="83" t="s">
        <v>41</v>
      </c>
      <c r="E87" s="83" t="s">
        <v>25</v>
      </c>
      <c r="F87" s="83" t="s">
        <v>25</v>
      </c>
      <c r="G87" s="83" t="s">
        <v>25</v>
      </c>
      <c r="H87" s="83" t="s">
        <v>34</v>
      </c>
      <c r="I87" s="90">
        <v>44562</v>
      </c>
      <c r="J87" s="91">
        <f>EFEITO!$J$87*EFEITO!$Y$87</f>
        <v>0</v>
      </c>
      <c r="K87" s="91">
        <f ca="1">EFEITO!$L$87*EFEITO!$Z$87</f>
        <v>57087.039981172355</v>
      </c>
      <c r="L87" s="91">
        <f>EFEITO!$N$87*EFEITO!$AA$87</f>
        <v>9399.0306200759605</v>
      </c>
      <c r="M87" s="91">
        <f>$J$87-EFEITO!$K$87*EFEITO!$Y$87</f>
        <v>0</v>
      </c>
      <c r="N87" s="91">
        <f ca="1">$K$87-EFEITO!$M$87*EFEITO!$Z$87</f>
        <v>0</v>
      </c>
      <c r="O87" s="91">
        <f>$L$87-EFEITO!$O$87*EFEITO!$AA$87</f>
        <v>0</v>
      </c>
      <c r="P87" s="20"/>
      <c r="Q87" s="20"/>
      <c r="R87" s="20"/>
      <c r="S87" s="20"/>
      <c r="T87" s="20"/>
      <c r="U87" s="20"/>
      <c r="V87" s="20"/>
      <c r="W87" s="20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83" t="s">
        <v>21</v>
      </c>
      <c r="B88" s="83" t="s">
        <v>39</v>
      </c>
      <c r="C88" s="83" t="s">
        <v>40</v>
      </c>
      <c r="D88" s="83" t="s">
        <v>41</v>
      </c>
      <c r="E88" s="83" t="s">
        <v>25</v>
      </c>
      <c r="F88" s="83" t="s">
        <v>25</v>
      </c>
      <c r="G88" s="83" t="s">
        <v>25</v>
      </c>
      <c r="H88" s="83" t="s">
        <v>34</v>
      </c>
      <c r="I88" s="90">
        <v>44593</v>
      </c>
      <c r="J88" s="91">
        <f>EFEITO!$J$88*EFEITO!$Y$88</f>
        <v>0</v>
      </c>
      <c r="K88" s="91">
        <f ca="1">EFEITO!$L$88*EFEITO!$Z$88</f>
        <v>57523.9595436815</v>
      </c>
      <c r="L88" s="91">
        <f>EFEITO!$N$88*EFEITO!$AA$88</f>
        <v>9470.9667433692339</v>
      </c>
      <c r="M88" s="91">
        <f>$J$88-EFEITO!$K$88*EFEITO!$Y$88</f>
        <v>0</v>
      </c>
      <c r="N88" s="91">
        <f ca="1">$K$88-EFEITO!$M$88*EFEITO!$Z$88</f>
        <v>0</v>
      </c>
      <c r="O88" s="91">
        <f>$L$88-EFEITO!$O$88*EFEITO!$AA$88</f>
        <v>0</v>
      </c>
      <c r="P88" s="20"/>
      <c r="Q88" s="20"/>
      <c r="R88" s="20"/>
      <c r="S88" s="20"/>
      <c r="T88" s="20"/>
      <c r="U88" s="20"/>
      <c r="V88" s="20"/>
      <c r="W88" s="20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83" t="s">
        <v>21</v>
      </c>
      <c r="B89" s="83" t="s">
        <v>39</v>
      </c>
      <c r="C89" s="83" t="s">
        <v>40</v>
      </c>
      <c r="D89" s="83" t="s">
        <v>41</v>
      </c>
      <c r="E89" s="83" t="s">
        <v>25</v>
      </c>
      <c r="F89" s="83" t="s">
        <v>25</v>
      </c>
      <c r="G89" s="83" t="s">
        <v>25</v>
      </c>
      <c r="H89" s="83" t="s">
        <v>34</v>
      </c>
      <c r="I89" s="90">
        <v>44621</v>
      </c>
      <c r="J89" s="91">
        <f>EFEITO!$J$89*EFEITO!$Y$89</f>
        <v>0</v>
      </c>
      <c r="K89" s="91">
        <f ca="1">EFEITO!$L$89*EFEITO!$Z$89</f>
        <v>82615.62584777773</v>
      </c>
      <c r="L89" s="91">
        <f>EFEITO!$N$89*EFEITO!$AA$89</f>
        <v>13602.155538211449</v>
      </c>
      <c r="M89" s="91">
        <f>$J$89-EFEITO!$K$89*EFEITO!$Y$89</f>
        <v>0</v>
      </c>
      <c r="N89" s="91">
        <f ca="1">$K$89-EFEITO!$M$89*EFEITO!$Z$89</f>
        <v>0</v>
      </c>
      <c r="O89" s="91">
        <f>$L$89-EFEITO!$O$89*EFEITO!$AA$89</f>
        <v>0</v>
      </c>
      <c r="P89" s="20"/>
      <c r="Q89" s="20"/>
      <c r="R89" s="20"/>
      <c r="S89" s="20"/>
      <c r="T89" s="20"/>
      <c r="U89" s="20"/>
      <c r="V89" s="20"/>
      <c r="W89" s="20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83" t="s">
        <v>21</v>
      </c>
      <c r="B90" s="83" t="s">
        <v>39</v>
      </c>
      <c r="C90" s="83" t="s">
        <v>40</v>
      </c>
      <c r="D90" s="83" t="s">
        <v>41</v>
      </c>
      <c r="E90" s="83" t="s">
        <v>25</v>
      </c>
      <c r="F90" s="83" t="s">
        <v>25</v>
      </c>
      <c r="G90" s="83" t="s">
        <v>25</v>
      </c>
      <c r="H90" s="83" t="s">
        <v>34</v>
      </c>
      <c r="I90" s="90">
        <v>44652</v>
      </c>
      <c r="J90" s="91">
        <f>EFEITO!$J$90*EFEITO!$Y$90</f>
        <v>0</v>
      </c>
      <c r="K90" s="91">
        <f ca="1">EFEITO!$L$90*EFEITO!$Z$90</f>
        <v>74777.553696098636</v>
      </c>
      <c r="L90" s="91">
        <f>EFEITO!$N$90*EFEITO!$AA$90</f>
        <v>12311.665083980621</v>
      </c>
      <c r="M90" s="91">
        <f>$J$90-EFEITO!$K$90*EFEITO!$Y$90</f>
        <v>0</v>
      </c>
      <c r="N90" s="91">
        <f ca="1">$K$90-EFEITO!$M$90*EFEITO!$Z$90</f>
        <v>0</v>
      </c>
      <c r="O90" s="91">
        <f>$L$90-EFEITO!$O$90*EFEITO!$AA$90</f>
        <v>0</v>
      </c>
      <c r="P90" s="20"/>
      <c r="Q90" s="20"/>
      <c r="R90" s="20"/>
      <c r="S90" s="20"/>
      <c r="T90" s="20"/>
      <c r="U90" s="20"/>
      <c r="V90" s="20"/>
      <c r="W90" s="20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83" t="s">
        <v>21</v>
      </c>
      <c r="B91" s="83" t="s">
        <v>39</v>
      </c>
      <c r="C91" s="83" t="s">
        <v>40</v>
      </c>
      <c r="D91" s="83" t="s">
        <v>41</v>
      </c>
      <c r="E91" s="83" t="s">
        <v>25</v>
      </c>
      <c r="F91" s="83" t="s">
        <v>25</v>
      </c>
      <c r="G91" s="83" t="s">
        <v>25</v>
      </c>
      <c r="H91" s="83" t="s">
        <v>34</v>
      </c>
      <c r="I91" s="90">
        <v>44682</v>
      </c>
      <c r="J91" s="91">
        <f>EFEITO!$J$91*EFEITO!$Y$91</f>
        <v>0</v>
      </c>
      <c r="K91" s="91">
        <f ca="1">EFEITO!$L$91*EFEITO!$Z$91</f>
        <v>77066.17997590841</v>
      </c>
      <c r="L91" s="91">
        <f>EFEITO!$N$91*EFEITO!$AA$91</f>
        <v>12688.473348850144</v>
      </c>
      <c r="M91" s="91">
        <f>$J$91-EFEITO!$K$91*EFEITO!$Y$91</f>
        <v>0</v>
      </c>
      <c r="N91" s="91">
        <f ca="1">$K$91-EFEITO!$M$91*EFEITO!$Z$91</f>
        <v>0</v>
      </c>
      <c r="O91" s="91">
        <f>$L$91-EFEITO!$O$91*EFEITO!$AA$91</f>
        <v>0</v>
      </c>
      <c r="P91" s="20"/>
      <c r="Q91" s="20"/>
      <c r="R91" s="20"/>
      <c r="S91" s="20"/>
      <c r="T91" s="20"/>
      <c r="U91" s="20"/>
      <c r="V91" s="20"/>
      <c r="W91" s="20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83" t="s">
        <v>21</v>
      </c>
      <c r="B92" s="83" t="s">
        <v>39</v>
      </c>
      <c r="C92" s="83" t="s">
        <v>40</v>
      </c>
      <c r="D92" s="83" t="s">
        <v>41</v>
      </c>
      <c r="E92" s="83" t="s">
        <v>25</v>
      </c>
      <c r="F92" s="83" t="s">
        <v>25</v>
      </c>
      <c r="G92" s="83" t="s">
        <v>25</v>
      </c>
      <c r="H92" s="83" t="s">
        <v>34</v>
      </c>
      <c r="I92" s="90">
        <v>44713</v>
      </c>
      <c r="J92" s="91">
        <f>EFEITO!$J$92*EFEITO!$Y$92</f>
        <v>0</v>
      </c>
      <c r="K92" s="91">
        <f ca="1">EFEITO!$L$92*EFEITO!$Z$92</f>
        <v>63559.502071675699</v>
      </c>
      <c r="L92" s="91">
        <f>EFEITO!$N$92*EFEITO!$AA$92</f>
        <v>10464.681762541668</v>
      </c>
      <c r="M92" s="91">
        <f>$J$92-EFEITO!$K$92*EFEITO!$Y$92</f>
        <v>0</v>
      </c>
      <c r="N92" s="91">
        <f ca="1">$K$92-EFEITO!$M$92*EFEITO!$Z$92</f>
        <v>0</v>
      </c>
      <c r="O92" s="91">
        <f>$L$92-EFEITO!$O$92*EFEITO!$AA$92</f>
        <v>0</v>
      </c>
      <c r="P92" s="20"/>
      <c r="Q92" s="20"/>
      <c r="R92" s="20"/>
      <c r="S92" s="20"/>
      <c r="T92" s="20"/>
      <c r="U92" s="20"/>
      <c r="V92" s="20"/>
      <c r="W92" s="20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83" t="s">
        <v>28</v>
      </c>
      <c r="B93" s="83" t="s">
        <v>39</v>
      </c>
      <c r="C93" s="83" t="s">
        <v>40</v>
      </c>
      <c r="D93" s="83" t="s">
        <v>41</v>
      </c>
      <c r="E93" s="83" t="s">
        <v>25</v>
      </c>
      <c r="F93" s="83" t="s">
        <v>25</v>
      </c>
      <c r="G93" s="83" t="s">
        <v>25</v>
      </c>
      <c r="H93" s="83" t="s">
        <v>34</v>
      </c>
      <c r="I93" s="90">
        <v>44713</v>
      </c>
      <c r="J93" s="91">
        <f>EFEITO!$J$93*EFEITO!$Y$93</f>
        <v>0</v>
      </c>
      <c r="K93" s="91">
        <f ca="1">EFEITO!$L$93*EFEITO!$Z$93</f>
        <v>2264.0377330018991</v>
      </c>
      <c r="L93" s="91">
        <f>EFEITO!$N$93*EFEITO!$AA$93</f>
        <v>372.75991161059329</v>
      </c>
      <c r="M93" s="91">
        <f>$J$93-EFEITO!$K$93*EFEITO!$Y$93</f>
        <v>0</v>
      </c>
      <c r="N93" s="91">
        <f ca="1">$K$93-EFEITO!$M$93*EFEITO!$Z$93</f>
        <v>0</v>
      </c>
      <c r="O93" s="91">
        <f>$L$93-EFEITO!$O$93*EFEITO!$AA$93</f>
        <v>0</v>
      </c>
      <c r="P93" s="20"/>
      <c r="Q93" s="20"/>
      <c r="R93" s="20"/>
      <c r="S93" s="20"/>
      <c r="T93" s="20"/>
      <c r="U93" s="20"/>
      <c r="V93" s="20"/>
      <c r="W93" s="20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83" t="s">
        <v>21</v>
      </c>
      <c r="B94" s="83" t="s">
        <v>39</v>
      </c>
      <c r="C94" s="83" t="s">
        <v>40</v>
      </c>
      <c r="D94" s="83" t="s">
        <v>38</v>
      </c>
      <c r="E94" s="83" t="s">
        <v>25</v>
      </c>
      <c r="F94" s="83" t="s">
        <v>54</v>
      </c>
      <c r="G94" s="83" t="s">
        <v>25</v>
      </c>
      <c r="H94" s="83" t="s">
        <v>35</v>
      </c>
      <c r="I94" s="90">
        <v>44378</v>
      </c>
      <c r="J94" s="91">
        <f>EFEITO!$J$94*EFEITO!$Y$94</f>
        <v>0</v>
      </c>
      <c r="K94" s="91">
        <f ca="1">EFEITO!$L$94*EFEITO!$Z$94</f>
        <v>60075.457349736236</v>
      </c>
      <c r="L94" s="91">
        <f>EFEITO!$N$94*EFEITO!$AA$94</f>
        <v>0</v>
      </c>
      <c r="M94" s="91">
        <f>$J$94-EFEITO!$K$94*EFEITO!$Y$94</f>
        <v>0</v>
      </c>
      <c r="N94" s="91">
        <f ca="1">$K$94-EFEITO!$M$94*EFEITO!$Z$94</f>
        <v>0</v>
      </c>
      <c r="O94" s="91">
        <f>$L$94-EFEITO!$O$94*EFEITO!$AA$94</f>
        <v>0</v>
      </c>
      <c r="P94" s="20"/>
      <c r="Q94" s="20"/>
      <c r="R94" s="20"/>
      <c r="S94" s="20"/>
      <c r="T94" s="20"/>
      <c r="U94" s="20"/>
      <c r="V94" s="20"/>
      <c r="W94" s="20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83" t="s">
        <v>21</v>
      </c>
      <c r="B95" s="83" t="s">
        <v>39</v>
      </c>
      <c r="C95" s="83" t="s">
        <v>40</v>
      </c>
      <c r="D95" s="83" t="s">
        <v>38</v>
      </c>
      <c r="E95" s="83" t="s">
        <v>25</v>
      </c>
      <c r="F95" s="83" t="s">
        <v>54</v>
      </c>
      <c r="G95" s="83" t="s">
        <v>25</v>
      </c>
      <c r="H95" s="83" t="s">
        <v>35</v>
      </c>
      <c r="I95" s="90">
        <v>44409</v>
      </c>
      <c r="J95" s="91">
        <f>EFEITO!$J$95*EFEITO!$Y$95</f>
        <v>0</v>
      </c>
      <c r="K95" s="91">
        <f ca="1">EFEITO!$L$95*EFEITO!$Z$95</f>
        <v>68690.769255273044</v>
      </c>
      <c r="L95" s="91">
        <f>EFEITO!$N$95*EFEITO!$AA$95</f>
        <v>0</v>
      </c>
      <c r="M95" s="91">
        <f>$J$95-EFEITO!$K$95*EFEITO!$Y$95</f>
        <v>0</v>
      </c>
      <c r="N95" s="91">
        <f ca="1">$K$95-EFEITO!$M$95*EFEITO!$Z$95</f>
        <v>0</v>
      </c>
      <c r="O95" s="91">
        <f>$L$95-EFEITO!$O$95*EFEITO!$AA$95</f>
        <v>0</v>
      </c>
      <c r="P95" s="20"/>
      <c r="Q95" s="20"/>
      <c r="R95" s="20"/>
      <c r="S95" s="20"/>
      <c r="T95" s="20"/>
      <c r="U95" s="20"/>
      <c r="V95" s="20"/>
      <c r="W95" s="20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83" t="s">
        <v>21</v>
      </c>
      <c r="B96" s="83" t="s">
        <v>39</v>
      </c>
      <c r="C96" s="83" t="s">
        <v>40</v>
      </c>
      <c r="D96" s="83" t="s">
        <v>38</v>
      </c>
      <c r="E96" s="83" t="s">
        <v>25</v>
      </c>
      <c r="F96" s="83" t="s">
        <v>54</v>
      </c>
      <c r="G96" s="83" t="s">
        <v>25</v>
      </c>
      <c r="H96" s="83" t="s">
        <v>35</v>
      </c>
      <c r="I96" s="90">
        <v>44440</v>
      </c>
      <c r="J96" s="91">
        <f>EFEITO!$J$96*EFEITO!$Y$96</f>
        <v>0</v>
      </c>
      <c r="K96" s="91">
        <f ca="1">EFEITO!$L$96*EFEITO!$Z$96</f>
        <v>58950.987460538781</v>
      </c>
      <c r="L96" s="91">
        <f>EFEITO!$N$96*EFEITO!$AA$96</f>
        <v>0</v>
      </c>
      <c r="M96" s="91">
        <f>$J$96-EFEITO!$K$96*EFEITO!$Y$96</f>
        <v>0</v>
      </c>
      <c r="N96" s="91">
        <f ca="1">$K$96-EFEITO!$M$96*EFEITO!$Z$96</f>
        <v>0</v>
      </c>
      <c r="O96" s="91">
        <f>$L$96-EFEITO!$O$96*EFEITO!$AA$96</f>
        <v>0</v>
      </c>
      <c r="P96" s="20"/>
      <c r="Q96" s="20"/>
      <c r="R96" s="20"/>
      <c r="S96" s="20"/>
      <c r="T96" s="20"/>
      <c r="U96" s="20"/>
      <c r="V96" s="20"/>
      <c r="W96" s="20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83" t="s">
        <v>21</v>
      </c>
      <c r="B97" s="83" t="s">
        <v>39</v>
      </c>
      <c r="C97" s="83" t="s">
        <v>40</v>
      </c>
      <c r="D97" s="83" t="s">
        <v>38</v>
      </c>
      <c r="E97" s="83" t="s">
        <v>25</v>
      </c>
      <c r="F97" s="83" t="s">
        <v>54</v>
      </c>
      <c r="G97" s="83" t="s">
        <v>25</v>
      </c>
      <c r="H97" s="83" t="s">
        <v>35</v>
      </c>
      <c r="I97" s="90">
        <v>44470</v>
      </c>
      <c r="J97" s="91">
        <f>EFEITO!$J$97*EFEITO!$Y$97</f>
        <v>0</v>
      </c>
      <c r="K97" s="91">
        <f ca="1">EFEITO!$L$97*EFEITO!$Z$97</f>
        <v>50078.017084512532</v>
      </c>
      <c r="L97" s="91">
        <f>EFEITO!$N$97*EFEITO!$AA$97</f>
        <v>0</v>
      </c>
      <c r="M97" s="91">
        <f>$J$97-EFEITO!$K$97*EFEITO!$Y$97</f>
        <v>0</v>
      </c>
      <c r="N97" s="91">
        <f ca="1">$K$97-EFEITO!$M$97*EFEITO!$Z$97</f>
        <v>0</v>
      </c>
      <c r="O97" s="91">
        <f>$L$97-EFEITO!$O$97*EFEITO!$AA$97</f>
        <v>0</v>
      </c>
      <c r="P97" s="20"/>
      <c r="Q97" s="20"/>
      <c r="R97" s="20"/>
      <c r="S97" s="20"/>
      <c r="T97" s="20"/>
      <c r="U97" s="20"/>
      <c r="V97" s="20"/>
      <c r="W97" s="20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83" t="s">
        <v>21</v>
      </c>
      <c r="B98" s="83" t="s">
        <v>39</v>
      </c>
      <c r="C98" s="83" t="s">
        <v>40</v>
      </c>
      <c r="D98" s="83" t="s">
        <v>38</v>
      </c>
      <c r="E98" s="83" t="s">
        <v>25</v>
      </c>
      <c r="F98" s="83" t="s">
        <v>54</v>
      </c>
      <c r="G98" s="83" t="s">
        <v>25</v>
      </c>
      <c r="H98" s="83" t="s">
        <v>35</v>
      </c>
      <c r="I98" s="90">
        <v>44501</v>
      </c>
      <c r="J98" s="91">
        <f>EFEITO!$J$98*EFEITO!$Y$98</f>
        <v>0</v>
      </c>
      <c r="K98" s="91">
        <f ca="1">EFEITO!$L$98*EFEITO!$Z$98</f>
        <v>60902.901386938582</v>
      </c>
      <c r="L98" s="91">
        <f>EFEITO!$N$98*EFEITO!$AA$98</f>
        <v>0</v>
      </c>
      <c r="M98" s="91">
        <f>$J$98-EFEITO!$K$98*EFEITO!$Y$98</f>
        <v>0</v>
      </c>
      <c r="N98" s="91">
        <f ca="1">$K$98-EFEITO!$M$98*EFEITO!$Z$98</f>
        <v>0</v>
      </c>
      <c r="O98" s="91">
        <f>$L$98-EFEITO!$O$98*EFEITO!$AA$98</f>
        <v>0</v>
      </c>
      <c r="P98" s="20"/>
      <c r="Q98" s="20"/>
      <c r="R98" s="20"/>
      <c r="S98" s="20"/>
      <c r="T98" s="20"/>
      <c r="U98" s="20"/>
      <c r="V98" s="20"/>
      <c r="W98" s="20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83" t="s">
        <v>21</v>
      </c>
      <c r="B99" s="83" t="s">
        <v>39</v>
      </c>
      <c r="C99" s="83" t="s">
        <v>40</v>
      </c>
      <c r="D99" s="83" t="s">
        <v>38</v>
      </c>
      <c r="E99" s="83" t="s">
        <v>25</v>
      </c>
      <c r="F99" s="83" t="s">
        <v>54</v>
      </c>
      <c r="G99" s="83" t="s">
        <v>25</v>
      </c>
      <c r="H99" s="83" t="s">
        <v>35</v>
      </c>
      <c r="I99" s="90">
        <v>44531</v>
      </c>
      <c r="J99" s="91">
        <f>EFEITO!$J$99*EFEITO!$Y$99</f>
        <v>0</v>
      </c>
      <c r="K99" s="91">
        <f ca="1">EFEITO!$L$99*EFEITO!$Z$99</f>
        <v>65120.835119688127</v>
      </c>
      <c r="L99" s="91">
        <f>EFEITO!$N$99*EFEITO!$AA$99</f>
        <v>0</v>
      </c>
      <c r="M99" s="91">
        <f>$J$99-EFEITO!$K$99*EFEITO!$Y$99</f>
        <v>0</v>
      </c>
      <c r="N99" s="91">
        <f ca="1">$K$99-EFEITO!$M$99*EFEITO!$Z$99</f>
        <v>0</v>
      </c>
      <c r="O99" s="91">
        <f>$L$99-EFEITO!$O$99*EFEITO!$AA$99</f>
        <v>0</v>
      </c>
      <c r="P99" s="20"/>
      <c r="Q99" s="20"/>
      <c r="R99" s="20"/>
      <c r="S99" s="20"/>
      <c r="T99" s="20"/>
      <c r="U99" s="20"/>
      <c r="V99" s="20"/>
      <c r="W99" s="20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83" t="s">
        <v>21</v>
      </c>
      <c r="B100" s="83" t="s">
        <v>39</v>
      </c>
      <c r="C100" s="83" t="s">
        <v>40</v>
      </c>
      <c r="D100" s="83" t="s">
        <v>38</v>
      </c>
      <c r="E100" s="83" t="s">
        <v>25</v>
      </c>
      <c r="F100" s="83" t="s">
        <v>54</v>
      </c>
      <c r="G100" s="83" t="s">
        <v>25</v>
      </c>
      <c r="H100" s="83" t="s">
        <v>35</v>
      </c>
      <c r="I100" s="90">
        <v>44562</v>
      </c>
      <c r="J100" s="91">
        <f>EFEITO!$J$100*EFEITO!$Y$100</f>
        <v>0</v>
      </c>
      <c r="K100" s="91">
        <f ca="1">EFEITO!$L$100*EFEITO!$Z$100</f>
        <v>63363.258584530566</v>
      </c>
      <c r="L100" s="91">
        <f>EFEITO!$N$100*EFEITO!$AA$100</f>
        <v>0</v>
      </c>
      <c r="M100" s="91">
        <f>$J$100-EFEITO!$K$100*EFEITO!$Y$100</f>
        <v>0</v>
      </c>
      <c r="N100" s="91">
        <f ca="1">$K$100-EFEITO!$M$100*EFEITO!$Z$100</f>
        <v>0</v>
      </c>
      <c r="O100" s="91">
        <f>$L$100-EFEITO!$O$100*EFEITO!$AA$100</f>
        <v>0</v>
      </c>
      <c r="P100" s="20"/>
      <c r="Q100" s="20"/>
      <c r="R100" s="20"/>
      <c r="S100" s="20"/>
      <c r="T100" s="20"/>
      <c r="U100" s="20"/>
      <c r="V100" s="20"/>
      <c r="W100" s="20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83" t="s">
        <v>21</v>
      </c>
      <c r="B101" s="83" t="s">
        <v>39</v>
      </c>
      <c r="C101" s="83" t="s">
        <v>40</v>
      </c>
      <c r="D101" s="83" t="s">
        <v>38</v>
      </c>
      <c r="E101" s="83" t="s">
        <v>25</v>
      </c>
      <c r="F101" s="83" t="s">
        <v>54</v>
      </c>
      <c r="G101" s="83" t="s">
        <v>25</v>
      </c>
      <c r="H101" s="83" t="s">
        <v>35</v>
      </c>
      <c r="I101" s="90">
        <v>44593</v>
      </c>
      <c r="J101" s="91">
        <f>EFEITO!$J$101*EFEITO!$Y$101</f>
        <v>0</v>
      </c>
      <c r="K101" s="91">
        <f ca="1">EFEITO!$L$101*EFEITO!$Z$101</f>
        <v>54865.840530486901</v>
      </c>
      <c r="L101" s="91">
        <f>EFEITO!$N$101*EFEITO!$AA$101</f>
        <v>0</v>
      </c>
      <c r="M101" s="91">
        <f>$J$101-EFEITO!$K$101*EFEITO!$Y$101</f>
        <v>0</v>
      </c>
      <c r="N101" s="91">
        <f ca="1">$K$101-EFEITO!$M$101*EFEITO!$Z$101</f>
        <v>0</v>
      </c>
      <c r="O101" s="91">
        <f>$L$101-EFEITO!$O$101*EFEITO!$AA$101</f>
        <v>0</v>
      </c>
      <c r="P101" s="20"/>
      <c r="Q101" s="20"/>
      <c r="R101" s="20"/>
      <c r="S101" s="20"/>
      <c r="T101" s="20"/>
      <c r="U101" s="20"/>
      <c r="V101" s="20"/>
      <c r="W101" s="20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83" t="s">
        <v>21</v>
      </c>
      <c r="B102" s="83" t="s">
        <v>39</v>
      </c>
      <c r="C102" s="83" t="s">
        <v>40</v>
      </c>
      <c r="D102" s="83" t="s">
        <v>38</v>
      </c>
      <c r="E102" s="83" t="s">
        <v>25</v>
      </c>
      <c r="F102" s="83" t="s">
        <v>54</v>
      </c>
      <c r="G102" s="83" t="s">
        <v>25</v>
      </c>
      <c r="H102" s="83" t="s">
        <v>35</v>
      </c>
      <c r="I102" s="90">
        <v>44621</v>
      </c>
      <c r="J102" s="91">
        <f>EFEITO!$J$102*EFEITO!$Y$102</f>
        <v>0</v>
      </c>
      <c r="K102" s="91">
        <f ca="1">EFEITO!$L$102*EFEITO!$Z$102</f>
        <v>106495.53649609168</v>
      </c>
      <c r="L102" s="91">
        <f>EFEITO!$N$102*EFEITO!$AA$102</f>
        <v>0</v>
      </c>
      <c r="M102" s="91">
        <f>$J$102-EFEITO!$K$102*EFEITO!$Y$102</f>
        <v>0</v>
      </c>
      <c r="N102" s="91">
        <f ca="1">$K$102-EFEITO!$M$102*EFEITO!$Z$102</f>
        <v>0</v>
      </c>
      <c r="O102" s="91">
        <f>$L$102-EFEITO!$O$102*EFEITO!$AA$102</f>
        <v>0</v>
      </c>
      <c r="P102" s="20"/>
      <c r="Q102" s="20"/>
      <c r="R102" s="20"/>
      <c r="S102" s="20"/>
      <c r="T102" s="20"/>
      <c r="U102" s="20"/>
      <c r="V102" s="20"/>
      <c r="W102" s="20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83" t="s">
        <v>21</v>
      </c>
      <c r="B103" s="83" t="s">
        <v>39</v>
      </c>
      <c r="C103" s="83" t="s">
        <v>40</v>
      </c>
      <c r="D103" s="83" t="s">
        <v>38</v>
      </c>
      <c r="E103" s="83" t="s">
        <v>25</v>
      </c>
      <c r="F103" s="83" t="s">
        <v>54</v>
      </c>
      <c r="G103" s="83" t="s">
        <v>25</v>
      </c>
      <c r="H103" s="83" t="s">
        <v>35</v>
      </c>
      <c r="I103" s="90">
        <v>44652</v>
      </c>
      <c r="J103" s="91">
        <f>EFEITO!$J$103*EFEITO!$Y$103</f>
        <v>0</v>
      </c>
      <c r="K103" s="91">
        <f ca="1">EFEITO!$L$103*EFEITO!$Z$103</f>
        <v>70532.392025549838</v>
      </c>
      <c r="L103" s="91">
        <f>EFEITO!$N$103*EFEITO!$AA$103</f>
        <v>0</v>
      </c>
      <c r="M103" s="91">
        <f>$J$103-EFEITO!$K$103*EFEITO!$Y$103</f>
        <v>0</v>
      </c>
      <c r="N103" s="91">
        <f ca="1">$K$103-EFEITO!$M$103*EFEITO!$Z$103</f>
        <v>0</v>
      </c>
      <c r="O103" s="91">
        <f>$L$103-EFEITO!$O$103*EFEITO!$AA$103</f>
        <v>0</v>
      </c>
      <c r="P103" s="20"/>
      <c r="Q103" s="20"/>
      <c r="R103" s="20"/>
      <c r="S103" s="20"/>
      <c r="T103" s="20"/>
      <c r="U103" s="20"/>
      <c r="V103" s="20"/>
      <c r="W103" s="20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83" t="s">
        <v>21</v>
      </c>
      <c r="B104" s="83" t="s">
        <v>39</v>
      </c>
      <c r="C104" s="83" t="s">
        <v>40</v>
      </c>
      <c r="D104" s="83" t="s">
        <v>38</v>
      </c>
      <c r="E104" s="83" t="s">
        <v>25</v>
      </c>
      <c r="F104" s="83" t="s">
        <v>54</v>
      </c>
      <c r="G104" s="83" t="s">
        <v>25</v>
      </c>
      <c r="H104" s="83" t="s">
        <v>35</v>
      </c>
      <c r="I104" s="90">
        <v>44682</v>
      </c>
      <c r="J104" s="91">
        <f>EFEITO!$J$104*EFEITO!$Y$104</f>
        <v>0</v>
      </c>
      <c r="K104" s="91">
        <f ca="1">EFEITO!$L$104*EFEITO!$Z$104</f>
        <v>82347.084777261116</v>
      </c>
      <c r="L104" s="91">
        <f>EFEITO!$N$104*EFEITO!$AA$104</f>
        <v>0</v>
      </c>
      <c r="M104" s="91">
        <f>$J$104-EFEITO!$K$104*EFEITO!$Y$104</f>
        <v>0</v>
      </c>
      <c r="N104" s="91">
        <f ca="1">$K$104-EFEITO!$M$104*EFEITO!$Z$104</f>
        <v>0</v>
      </c>
      <c r="O104" s="91">
        <f>$L$104-EFEITO!$O$104*EFEITO!$AA$104</f>
        <v>0</v>
      </c>
      <c r="P104" s="20"/>
      <c r="Q104" s="20"/>
      <c r="R104" s="20"/>
      <c r="S104" s="20"/>
      <c r="T104" s="20"/>
      <c r="U104" s="20"/>
      <c r="V104" s="20"/>
      <c r="W104" s="20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83" t="s">
        <v>21</v>
      </c>
      <c r="B105" s="83" t="s">
        <v>39</v>
      </c>
      <c r="C105" s="83" t="s">
        <v>40</v>
      </c>
      <c r="D105" s="83" t="s">
        <v>38</v>
      </c>
      <c r="E105" s="83" t="s">
        <v>25</v>
      </c>
      <c r="F105" s="83" t="s">
        <v>54</v>
      </c>
      <c r="G105" s="83" t="s">
        <v>25</v>
      </c>
      <c r="H105" s="83" t="s">
        <v>35</v>
      </c>
      <c r="I105" s="90">
        <v>44713</v>
      </c>
      <c r="J105" s="91">
        <f>EFEITO!$J$105*EFEITO!$Y$105</f>
        <v>0</v>
      </c>
      <c r="K105" s="91">
        <f ca="1">EFEITO!$L$105*EFEITO!$Z$105</f>
        <v>81685.233694011171</v>
      </c>
      <c r="L105" s="91">
        <f>EFEITO!$N$105*EFEITO!$AA$105</f>
        <v>0</v>
      </c>
      <c r="M105" s="91">
        <f>$J$105-EFEITO!$K$105*EFEITO!$Y$105</f>
        <v>0</v>
      </c>
      <c r="N105" s="91">
        <f ca="1">$K$105-EFEITO!$M$105*EFEITO!$Z$105</f>
        <v>0</v>
      </c>
      <c r="O105" s="91">
        <f>$L$105-EFEITO!$O$105*EFEITO!$AA$105</f>
        <v>0</v>
      </c>
      <c r="P105" s="20"/>
      <c r="Q105" s="20"/>
      <c r="R105" s="20"/>
      <c r="S105" s="20"/>
      <c r="T105" s="20"/>
      <c r="U105" s="20"/>
      <c r="V105" s="20"/>
      <c r="W105" s="20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83" t="s">
        <v>21</v>
      </c>
      <c r="B106" s="83" t="s">
        <v>39</v>
      </c>
      <c r="C106" s="83" t="s">
        <v>40</v>
      </c>
      <c r="D106" s="83" t="s">
        <v>38</v>
      </c>
      <c r="E106" s="83" t="s">
        <v>25</v>
      </c>
      <c r="F106" s="83" t="s">
        <v>54</v>
      </c>
      <c r="G106" s="83" t="s">
        <v>25</v>
      </c>
      <c r="H106" s="83" t="s">
        <v>25</v>
      </c>
      <c r="I106" s="90">
        <v>44378</v>
      </c>
      <c r="J106" s="91">
        <f ca="1">EFEITO!$J$106*EFEITO!$Y$106</f>
        <v>118486.10294496518</v>
      </c>
      <c r="K106" s="91">
        <f>EFEITO!$L$106*EFEITO!$Z$106</f>
        <v>0</v>
      </c>
      <c r="L106" s="91">
        <f>EFEITO!$N$106*EFEITO!$AA$106</f>
        <v>0</v>
      </c>
      <c r="M106" s="91">
        <f ca="1">$J$106-EFEITO!$K$106*EFEITO!$Y$106</f>
        <v>86530.730372074264</v>
      </c>
      <c r="N106" s="91">
        <f>$K$106-EFEITO!$M$106*EFEITO!$Z$106</f>
        <v>0</v>
      </c>
      <c r="O106" s="91">
        <f>$L$106-EFEITO!$O$106*EFEITO!$AA$106</f>
        <v>0</v>
      </c>
      <c r="P106" s="20"/>
      <c r="Q106" s="20"/>
      <c r="R106" s="20"/>
      <c r="S106" s="20"/>
      <c r="T106" s="20"/>
      <c r="U106" s="20"/>
      <c r="V106" s="20"/>
      <c r="W106" s="20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83" t="s">
        <v>21</v>
      </c>
      <c r="B107" s="83" t="s">
        <v>39</v>
      </c>
      <c r="C107" s="83" t="s">
        <v>40</v>
      </c>
      <c r="D107" s="83" t="s">
        <v>38</v>
      </c>
      <c r="E107" s="83" t="s">
        <v>25</v>
      </c>
      <c r="F107" s="83" t="s">
        <v>54</v>
      </c>
      <c r="G107" s="83" t="s">
        <v>25</v>
      </c>
      <c r="H107" s="83" t="s">
        <v>25</v>
      </c>
      <c r="I107" s="90">
        <v>44409</v>
      </c>
      <c r="J107" s="91">
        <f ca="1">EFEITO!$J$107*EFEITO!$Y$107</f>
        <v>132842.12796338784</v>
      </c>
      <c r="K107" s="91">
        <f>EFEITO!$L$107*EFEITO!$Z$107</f>
        <v>0</v>
      </c>
      <c r="L107" s="91">
        <f>EFEITO!$N$107*EFEITO!$AA$107</f>
        <v>0</v>
      </c>
      <c r="M107" s="91">
        <f ca="1">$J$107-EFEITO!$K$107*EFEITO!$Y$107</f>
        <v>97014.975352777881</v>
      </c>
      <c r="N107" s="91">
        <f>$K$107-EFEITO!$M$107*EFEITO!$Z$107</f>
        <v>0</v>
      </c>
      <c r="O107" s="91">
        <f>$L$107-EFEITO!$O$107*EFEITO!$AA$107</f>
        <v>0</v>
      </c>
      <c r="P107" s="20"/>
      <c r="Q107" s="20"/>
      <c r="R107" s="20"/>
      <c r="S107" s="20"/>
      <c r="T107" s="20"/>
      <c r="U107" s="20"/>
      <c r="V107" s="20"/>
      <c r="W107" s="20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83" t="s">
        <v>21</v>
      </c>
      <c r="B108" s="83" t="s">
        <v>39</v>
      </c>
      <c r="C108" s="83" t="s">
        <v>40</v>
      </c>
      <c r="D108" s="83" t="s">
        <v>38</v>
      </c>
      <c r="E108" s="83" t="s">
        <v>25</v>
      </c>
      <c r="F108" s="83" t="s">
        <v>54</v>
      </c>
      <c r="G108" s="83" t="s">
        <v>25</v>
      </c>
      <c r="H108" s="83" t="s">
        <v>25</v>
      </c>
      <c r="I108" s="90">
        <v>44440</v>
      </c>
      <c r="J108" s="91">
        <f ca="1">EFEITO!$J$108*EFEITO!$Y$108</f>
        <v>131746.84540067439</v>
      </c>
      <c r="K108" s="91">
        <f>EFEITO!$L$108*EFEITO!$Z$108</f>
        <v>0</v>
      </c>
      <c r="L108" s="91">
        <f>EFEITO!$N$108*EFEITO!$AA$108</f>
        <v>0</v>
      </c>
      <c r="M108" s="91">
        <f ca="1">$J$108-EFEITO!$K$108*EFEITO!$Y$108</f>
        <v>96215.087452342719</v>
      </c>
      <c r="N108" s="91">
        <f>$K$108-EFEITO!$M$108*EFEITO!$Z$108</f>
        <v>0</v>
      </c>
      <c r="O108" s="91">
        <f>$L$108-EFEITO!$O$108*EFEITO!$AA$108</f>
        <v>0</v>
      </c>
      <c r="P108" s="20"/>
      <c r="Q108" s="20"/>
      <c r="R108" s="20"/>
      <c r="S108" s="20"/>
      <c r="T108" s="20"/>
      <c r="U108" s="20"/>
      <c r="V108" s="20"/>
      <c r="W108" s="20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83" t="s">
        <v>21</v>
      </c>
      <c r="B109" s="83" t="s">
        <v>39</v>
      </c>
      <c r="C109" s="83" t="s">
        <v>40</v>
      </c>
      <c r="D109" s="83" t="s">
        <v>38</v>
      </c>
      <c r="E109" s="83" t="s">
        <v>25</v>
      </c>
      <c r="F109" s="83" t="s">
        <v>54</v>
      </c>
      <c r="G109" s="83" t="s">
        <v>25</v>
      </c>
      <c r="H109" s="83" t="s">
        <v>25</v>
      </c>
      <c r="I109" s="90">
        <v>44470</v>
      </c>
      <c r="J109" s="91">
        <f ca="1">EFEITO!$J$109*EFEITO!$Y$109</f>
        <v>131746.84540067439</v>
      </c>
      <c r="K109" s="91">
        <f>EFEITO!$L$109*EFEITO!$Z$109</f>
        <v>0</v>
      </c>
      <c r="L109" s="91">
        <f>EFEITO!$N$109*EFEITO!$AA$109</f>
        <v>0</v>
      </c>
      <c r="M109" s="91">
        <f ca="1">$J$109-EFEITO!$K$109*EFEITO!$Y$109</f>
        <v>96215.087452342719</v>
      </c>
      <c r="N109" s="91">
        <f>$K$109-EFEITO!$M$109*EFEITO!$Z$109</f>
        <v>0</v>
      </c>
      <c r="O109" s="91">
        <f>$L$109-EFEITO!$O$109*EFEITO!$AA$109</f>
        <v>0</v>
      </c>
      <c r="P109" s="20"/>
      <c r="Q109" s="20"/>
      <c r="R109" s="20"/>
      <c r="S109" s="20"/>
      <c r="T109" s="20"/>
      <c r="U109" s="20"/>
      <c r="V109" s="20"/>
      <c r="W109" s="20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83" t="s">
        <v>21</v>
      </c>
      <c r="B110" s="83" t="s">
        <v>39</v>
      </c>
      <c r="C110" s="83" t="s">
        <v>40</v>
      </c>
      <c r="D110" s="83" t="s">
        <v>38</v>
      </c>
      <c r="E110" s="83" t="s">
        <v>25</v>
      </c>
      <c r="F110" s="83" t="s">
        <v>54</v>
      </c>
      <c r="G110" s="83" t="s">
        <v>25</v>
      </c>
      <c r="H110" s="83" t="s">
        <v>25</v>
      </c>
      <c r="I110" s="90">
        <v>44501</v>
      </c>
      <c r="J110" s="91">
        <f ca="1">EFEITO!$J$110*EFEITO!$Y$110</f>
        <v>131746.84540067439</v>
      </c>
      <c r="K110" s="91">
        <f>EFEITO!$L$110*EFEITO!$Z$110</f>
        <v>0</v>
      </c>
      <c r="L110" s="91">
        <f>EFEITO!$N$110*EFEITO!$AA$110</f>
        <v>0</v>
      </c>
      <c r="M110" s="91">
        <f ca="1">$J$110-EFEITO!$K$110*EFEITO!$Y$110</f>
        <v>96215.087452342719</v>
      </c>
      <c r="N110" s="91">
        <f>$K$110-EFEITO!$M$110*EFEITO!$Z$110</f>
        <v>0</v>
      </c>
      <c r="O110" s="91">
        <f>$L$110-EFEITO!$O$110*EFEITO!$AA$110</f>
        <v>0</v>
      </c>
      <c r="P110" s="20"/>
      <c r="Q110" s="20"/>
      <c r="R110" s="20"/>
      <c r="S110" s="20"/>
      <c r="T110" s="20"/>
      <c r="U110" s="20"/>
      <c r="V110" s="20"/>
      <c r="W110" s="20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83" t="s">
        <v>21</v>
      </c>
      <c r="B111" s="83" t="s">
        <v>39</v>
      </c>
      <c r="C111" s="83" t="s">
        <v>40</v>
      </c>
      <c r="D111" s="83" t="s">
        <v>38</v>
      </c>
      <c r="E111" s="83" t="s">
        <v>25</v>
      </c>
      <c r="F111" s="83" t="s">
        <v>54</v>
      </c>
      <c r="G111" s="83" t="s">
        <v>25</v>
      </c>
      <c r="H111" s="83" t="s">
        <v>25</v>
      </c>
      <c r="I111" s="90">
        <v>44531</v>
      </c>
      <c r="J111" s="91">
        <f ca="1">EFEITO!$J$111*EFEITO!$Y$111</f>
        <v>131746.84540067439</v>
      </c>
      <c r="K111" s="91">
        <f>EFEITO!$L$111*EFEITO!$Z$111</f>
        <v>0</v>
      </c>
      <c r="L111" s="91">
        <f>EFEITO!$N$111*EFEITO!$AA$111</f>
        <v>0</v>
      </c>
      <c r="M111" s="91">
        <f ca="1">$J$111-EFEITO!$K$111*EFEITO!$Y$111</f>
        <v>96215.087452342719</v>
      </c>
      <c r="N111" s="91">
        <f>$K$111-EFEITO!$M$111*EFEITO!$Z$111</f>
        <v>0</v>
      </c>
      <c r="O111" s="91">
        <f>$L$111-EFEITO!$O$111*EFEITO!$AA$111</f>
        <v>0</v>
      </c>
      <c r="P111" s="20"/>
      <c r="Q111" s="20"/>
      <c r="R111" s="20"/>
      <c r="S111" s="20"/>
      <c r="T111" s="20"/>
      <c r="U111" s="20"/>
      <c r="V111" s="20"/>
      <c r="W111" s="20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83" t="s">
        <v>21</v>
      </c>
      <c r="B112" s="83" t="s">
        <v>39</v>
      </c>
      <c r="C112" s="83" t="s">
        <v>40</v>
      </c>
      <c r="D112" s="83" t="s">
        <v>38</v>
      </c>
      <c r="E112" s="83" t="s">
        <v>25</v>
      </c>
      <c r="F112" s="83" t="s">
        <v>54</v>
      </c>
      <c r="G112" s="83" t="s">
        <v>25</v>
      </c>
      <c r="H112" s="83" t="s">
        <v>25</v>
      </c>
      <c r="I112" s="90">
        <v>44562</v>
      </c>
      <c r="J112" s="91">
        <f ca="1">EFEITO!$J$112*EFEITO!$Y$112</f>
        <v>131746.84540067439</v>
      </c>
      <c r="K112" s="91">
        <f>EFEITO!$L$112*EFEITO!$Z$112</f>
        <v>0</v>
      </c>
      <c r="L112" s="91">
        <f>EFEITO!$N$112*EFEITO!$AA$112</f>
        <v>0</v>
      </c>
      <c r="M112" s="91">
        <f ca="1">$J$112-EFEITO!$K$112*EFEITO!$Y$112</f>
        <v>96215.087452342719</v>
      </c>
      <c r="N112" s="91">
        <f>$K$112-EFEITO!$M$112*EFEITO!$Z$112</f>
        <v>0</v>
      </c>
      <c r="O112" s="91">
        <f>$L$112-EFEITO!$O$112*EFEITO!$AA$112</f>
        <v>0</v>
      </c>
      <c r="P112" s="20"/>
      <c r="Q112" s="20"/>
      <c r="R112" s="20"/>
      <c r="S112" s="20"/>
      <c r="T112" s="20"/>
      <c r="U112" s="20"/>
      <c r="V112" s="20"/>
      <c r="W112" s="20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83" t="s">
        <v>21</v>
      </c>
      <c r="B113" s="83" t="s">
        <v>39</v>
      </c>
      <c r="C113" s="83" t="s">
        <v>40</v>
      </c>
      <c r="D113" s="83" t="s">
        <v>38</v>
      </c>
      <c r="E113" s="83" t="s">
        <v>25</v>
      </c>
      <c r="F113" s="83" t="s">
        <v>54</v>
      </c>
      <c r="G113" s="83" t="s">
        <v>25</v>
      </c>
      <c r="H113" s="83" t="s">
        <v>25</v>
      </c>
      <c r="I113" s="90">
        <v>44593</v>
      </c>
      <c r="J113" s="91">
        <f ca="1">EFEITO!$J$113*EFEITO!$Y$113</f>
        <v>123923.39852414979</v>
      </c>
      <c r="K113" s="91">
        <f>EFEITO!$L$113*EFEITO!$Z$113</f>
        <v>0</v>
      </c>
      <c r="L113" s="91">
        <f>EFEITO!$N$113*EFEITO!$AA$113</f>
        <v>0</v>
      </c>
      <c r="M113" s="91">
        <f ca="1">$J$113-EFEITO!$K$113*EFEITO!$Y$113</f>
        <v>90501.602449234488</v>
      </c>
      <c r="N113" s="91">
        <f>$K$113-EFEITO!$M$113*EFEITO!$Z$113</f>
        <v>0</v>
      </c>
      <c r="O113" s="91">
        <f>$L$113-EFEITO!$O$113*EFEITO!$AA$113</f>
        <v>0</v>
      </c>
      <c r="P113" s="20"/>
      <c r="Q113" s="20"/>
      <c r="R113" s="20"/>
      <c r="S113" s="20"/>
      <c r="T113" s="20"/>
      <c r="U113" s="20"/>
      <c r="V113" s="20"/>
      <c r="W113" s="20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83" t="s">
        <v>21</v>
      </c>
      <c r="B114" s="83" t="s">
        <v>39</v>
      </c>
      <c r="C114" s="83" t="s">
        <v>40</v>
      </c>
      <c r="D114" s="83" t="s">
        <v>38</v>
      </c>
      <c r="E114" s="83" t="s">
        <v>25</v>
      </c>
      <c r="F114" s="83" t="s">
        <v>54</v>
      </c>
      <c r="G114" s="83" t="s">
        <v>25</v>
      </c>
      <c r="H114" s="83" t="s">
        <v>25</v>
      </c>
      <c r="I114" s="90">
        <v>44621</v>
      </c>
      <c r="J114" s="91">
        <f ca="1">EFEITO!$J$114*EFEITO!$Y$114</f>
        <v>135228.27926072784</v>
      </c>
      <c r="K114" s="91">
        <f>EFEITO!$L$114*EFEITO!$Z$114</f>
        <v>0</v>
      </c>
      <c r="L114" s="91">
        <f>EFEITO!$N$114*EFEITO!$AA$114</f>
        <v>0</v>
      </c>
      <c r="M114" s="91">
        <f ca="1">$J$114-EFEITO!$K$114*EFEITO!$Y$114</f>
        <v>98757.588278725889</v>
      </c>
      <c r="N114" s="91">
        <f>$K$114-EFEITO!$M$114*EFEITO!$Z$114</f>
        <v>0</v>
      </c>
      <c r="O114" s="91">
        <f>$L$114-EFEITO!$O$114*EFEITO!$AA$114</f>
        <v>0</v>
      </c>
      <c r="P114" s="20"/>
      <c r="Q114" s="20"/>
      <c r="R114" s="20"/>
      <c r="S114" s="20"/>
      <c r="T114" s="20"/>
      <c r="U114" s="20"/>
      <c r="V114" s="20"/>
      <c r="W114" s="20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83" t="s">
        <v>21</v>
      </c>
      <c r="B115" s="83" t="s">
        <v>39</v>
      </c>
      <c r="C115" s="83" t="s">
        <v>40</v>
      </c>
      <c r="D115" s="83" t="s">
        <v>38</v>
      </c>
      <c r="E115" s="83" t="s">
        <v>25</v>
      </c>
      <c r="F115" s="83" t="s">
        <v>54</v>
      </c>
      <c r="G115" s="83" t="s">
        <v>25</v>
      </c>
      <c r="H115" s="83" t="s">
        <v>25</v>
      </c>
      <c r="I115" s="90">
        <v>44652</v>
      </c>
      <c r="J115" s="91">
        <f ca="1">EFEITO!$J$115*EFEITO!$Y$115</f>
        <v>137184.14097985899</v>
      </c>
      <c r="K115" s="91">
        <f>EFEITO!$L$115*EFEITO!$Z$115</f>
        <v>0</v>
      </c>
      <c r="L115" s="91">
        <f>EFEITO!$N$115*EFEITO!$AA$115</f>
        <v>0</v>
      </c>
      <c r="M115" s="91">
        <f ca="1">$J$115-EFEITO!$K$115*EFEITO!$Y$115</f>
        <v>100185.95952950294</v>
      </c>
      <c r="N115" s="91">
        <f>$K$115-EFEITO!$M$115*EFEITO!$Z$115</f>
        <v>0</v>
      </c>
      <c r="O115" s="91">
        <f>$L$115-EFEITO!$O$115*EFEITO!$AA$115</f>
        <v>0</v>
      </c>
      <c r="P115" s="20"/>
      <c r="Q115" s="20"/>
      <c r="R115" s="20"/>
      <c r="S115" s="20"/>
      <c r="T115" s="20"/>
      <c r="U115" s="20"/>
      <c r="V115" s="20"/>
      <c r="W115" s="20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83" t="s">
        <v>21</v>
      </c>
      <c r="B116" s="83" t="s">
        <v>39</v>
      </c>
      <c r="C116" s="83" t="s">
        <v>40</v>
      </c>
      <c r="D116" s="83" t="s">
        <v>38</v>
      </c>
      <c r="E116" s="83" t="s">
        <v>25</v>
      </c>
      <c r="F116" s="83" t="s">
        <v>54</v>
      </c>
      <c r="G116" s="83" t="s">
        <v>25</v>
      </c>
      <c r="H116" s="83" t="s">
        <v>25</v>
      </c>
      <c r="I116" s="90">
        <v>44682</v>
      </c>
      <c r="J116" s="91">
        <f ca="1">EFEITO!$J$116*EFEITO!$Y$116</f>
        <v>140235.2852617036</v>
      </c>
      <c r="K116" s="91">
        <f>EFEITO!$L$116*EFEITO!$Z$116</f>
        <v>0</v>
      </c>
      <c r="L116" s="91">
        <f>EFEITO!$N$116*EFEITO!$AA$116</f>
        <v>0</v>
      </c>
      <c r="M116" s="91">
        <f ca="1">$J$116-EFEITO!$K$116*EFEITO!$Y$116</f>
        <v>102414.21868071516</v>
      </c>
      <c r="N116" s="91">
        <f>$K$116-EFEITO!$M$116*EFEITO!$Z$116</f>
        <v>0</v>
      </c>
      <c r="O116" s="91">
        <f>$L$116-EFEITO!$O$116*EFEITO!$AA$116</f>
        <v>0</v>
      </c>
      <c r="P116" s="20"/>
      <c r="Q116" s="20"/>
      <c r="R116" s="20"/>
      <c r="S116" s="20"/>
      <c r="T116" s="20"/>
      <c r="U116" s="20"/>
      <c r="V116" s="20"/>
      <c r="W116" s="20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83" t="s">
        <v>21</v>
      </c>
      <c r="B117" s="83" t="s">
        <v>39</v>
      </c>
      <c r="C117" s="83" t="s">
        <v>40</v>
      </c>
      <c r="D117" s="83" t="s">
        <v>38</v>
      </c>
      <c r="E117" s="83" t="s">
        <v>25</v>
      </c>
      <c r="F117" s="83" t="s">
        <v>54</v>
      </c>
      <c r="G117" s="83" t="s">
        <v>25</v>
      </c>
      <c r="H117" s="83" t="s">
        <v>25</v>
      </c>
      <c r="I117" s="90">
        <v>44713</v>
      </c>
      <c r="J117" s="91">
        <f ca="1">EFEITO!$J$117*EFEITO!$Y$117</f>
        <v>139922.34738664262</v>
      </c>
      <c r="K117" s="91">
        <f>EFEITO!$L$117*EFEITO!$Z$117</f>
        <v>0</v>
      </c>
      <c r="L117" s="91">
        <f>EFEITO!$N$117*EFEITO!$AA$117</f>
        <v>0</v>
      </c>
      <c r="M117" s="91">
        <f ca="1">$J$117-EFEITO!$K$117*EFEITO!$Y$117</f>
        <v>102185.67928059085</v>
      </c>
      <c r="N117" s="91">
        <f>$K$117-EFEITO!$M$117*EFEITO!$Z$117</f>
        <v>0</v>
      </c>
      <c r="O117" s="91">
        <f>$L$117-EFEITO!$O$117*EFEITO!$AA$117</f>
        <v>0</v>
      </c>
      <c r="P117" s="20"/>
      <c r="Q117" s="20"/>
      <c r="R117" s="20"/>
      <c r="S117" s="20"/>
      <c r="T117" s="20"/>
      <c r="U117" s="20"/>
      <c r="V117" s="20"/>
      <c r="W117" s="20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83" t="s">
        <v>21</v>
      </c>
      <c r="B118" s="83" t="s">
        <v>39</v>
      </c>
      <c r="C118" s="83" t="s">
        <v>40</v>
      </c>
      <c r="D118" s="83" t="s">
        <v>38</v>
      </c>
      <c r="E118" s="83" t="s">
        <v>25</v>
      </c>
      <c r="F118" s="83" t="s">
        <v>54</v>
      </c>
      <c r="G118" s="83" t="s">
        <v>25</v>
      </c>
      <c r="H118" s="83" t="s">
        <v>34</v>
      </c>
      <c r="I118" s="90">
        <v>44378</v>
      </c>
      <c r="J118" s="91">
        <f>EFEITO!$J$118*EFEITO!$Y$118</f>
        <v>0</v>
      </c>
      <c r="K118" s="91">
        <f ca="1">EFEITO!$L$118*EFEITO!$Z$118</f>
        <v>58639.901283423453</v>
      </c>
      <c r="L118" s="91">
        <f>EFEITO!$N$118*EFEITO!$AA$118</f>
        <v>0</v>
      </c>
      <c r="M118" s="91">
        <f>$J$118-EFEITO!$K$118*EFEITO!$Y$118</f>
        <v>0</v>
      </c>
      <c r="N118" s="91">
        <f ca="1">$K$118-EFEITO!$M$118*EFEITO!$Z$118</f>
        <v>39918.614945928624</v>
      </c>
      <c r="O118" s="91">
        <f>$L$118-EFEITO!$O$118*EFEITO!$AA$118</f>
        <v>0</v>
      </c>
      <c r="P118" s="20"/>
      <c r="Q118" s="20"/>
      <c r="R118" s="20"/>
      <c r="S118" s="20"/>
      <c r="T118" s="20"/>
      <c r="U118" s="20"/>
      <c r="V118" s="20"/>
      <c r="W118" s="20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83" t="s">
        <v>21</v>
      </c>
      <c r="B119" s="83" t="s">
        <v>39</v>
      </c>
      <c r="C119" s="83" t="s">
        <v>40</v>
      </c>
      <c r="D119" s="83" t="s">
        <v>38</v>
      </c>
      <c r="E119" s="83" t="s">
        <v>25</v>
      </c>
      <c r="F119" s="83" t="s">
        <v>54</v>
      </c>
      <c r="G119" s="83" t="s">
        <v>25</v>
      </c>
      <c r="H119" s="83" t="s">
        <v>34</v>
      </c>
      <c r="I119" s="90">
        <v>44409</v>
      </c>
      <c r="J119" s="91">
        <f>EFEITO!$J$119*EFEITO!$Y$119</f>
        <v>0</v>
      </c>
      <c r="K119" s="91">
        <f ca="1">EFEITO!$L$119*EFEITO!$Z$119</f>
        <v>63232.285256463219</v>
      </c>
      <c r="L119" s="91">
        <f>EFEITO!$N$119*EFEITO!$AA$119</f>
        <v>0</v>
      </c>
      <c r="M119" s="91">
        <f>$J$119-EFEITO!$K$119*EFEITO!$Y$119</f>
        <v>0</v>
      </c>
      <c r="N119" s="91">
        <f ca="1">$K$119-EFEITO!$M$119*EFEITO!$Z$119</f>
        <v>43044.841346235509</v>
      </c>
      <c r="O119" s="91">
        <f>$L$119-EFEITO!$O$119*EFEITO!$AA$119</f>
        <v>0</v>
      </c>
      <c r="P119" s="20"/>
      <c r="Q119" s="20"/>
      <c r="R119" s="20"/>
      <c r="S119" s="20"/>
      <c r="T119" s="20"/>
      <c r="U119" s="20"/>
      <c r="V119" s="20"/>
      <c r="W119" s="20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83" t="s">
        <v>21</v>
      </c>
      <c r="B120" s="83" t="s">
        <v>39</v>
      </c>
      <c r="C120" s="83" t="s">
        <v>40</v>
      </c>
      <c r="D120" s="83" t="s">
        <v>38</v>
      </c>
      <c r="E120" s="83" t="s">
        <v>25</v>
      </c>
      <c r="F120" s="83" t="s">
        <v>54</v>
      </c>
      <c r="G120" s="83" t="s">
        <v>25</v>
      </c>
      <c r="H120" s="83" t="s">
        <v>34</v>
      </c>
      <c r="I120" s="90">
        <v>44440</v>
      </c>
      <c r="J120" s="91">
        <f>EFEITO!$J$120*EFEITO!$Y$120</f>
        <v>0</v>
      </c>
      <c r="K120" s="91">
        <f ca="1">EFEITO!$L$120*EFEITO!$Z$120</f>
        <v>37635.608029466821</v>
      </c>
      <c r="L120" s="91">
        <f>EFEITO!$N$120*EFEITO!$AA$120</f>
        <v>0</v>
      </c>
      <c r="M120" s="91">
        <f>$J$120-EFEITO!$K$120*EFEITO!$Y$120</f>
        <v>0</v>
      </c>
      <c r="N120" s="91">
        <f ca="1">$K$120-EFEITO!$M$120*EFEITO!$Z$120</f>
        <v>25620.120639747369</v>
      </c>
      <c r="O120" s="91">
        <f>$L$120-EFEITO!$O$120*EFEITO!$AA$120</f>
        <v>0</v>
      </c>
      <c r="P120" s="20"/>
      <c r="Q120" s="20"/>
      <c r="R120" s="20"/>
      <c r="S120" s="20"/>
      <c r="T120" s="20"/>
      <c r="U120" s="20"/>
      <c r="V120" s="20"/>
      <c r="W120" s="20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83" t="s">
        <v>21</v>
      </c>
      <c r="B121" s="83" t="s">
        <v>39</v>
      </c>
      <c r="C121" s="83" t="s">
        <v>40</v>
      </c>
      <c r="D121" s="83" t="s">
        <v>38</v>
      </c>
      <c r="E121" s="83" t="s">
        <v>25</v>
      </c>
      <c r="F121" s="83" t="s">
        <v>54</v>
      </c>
      <c r="G121" s="83" t="s">
        <v>25</v>
      </c>
      <c r="H121" s="83" t="s">
        <v>34</v>
      </c>
      <c r="I121" s="90">
        <v>44470</v>
      </c>
      <c r="J121" s="91">
        <f>EFEITO!$J$121*EFEITO!$Y$121</f>
        <v>0</v>
      </c>
      <c r="K121" s="91">
        <f ca="1">EFEITO!$L$121*EFEITO!$Z$121</f>
        <v>39228.189291946015</v>
      </c>
      <c r="L121" s="91">
        <f>EFEITO!$N$121*EFEITO!$AA$121</f>
        <v>0</v>
      </c>
      <c r="M121" s="91">
        <f>$J$121-EFEITO!$K$121*EFEITO!$Y$121</f>
        <v>0</v>
      </c>
      <c r="N121" s="91">
        <f ca="1">$K$121-EFEITO!$M$121*EFEITO!$Z$121</f>
        <v>26704.256813165157</v>
      </c>
      <c r="O121" s="91">
        <f>$L$121-EFEITO!$O$121*EFEITO!$AA$121</f>
        <v>0</v>
      </c>
      <c r="P121" s="20"/>
      <c r="Q121" s="20"/>
      <c r="R121" s="20"/>
      <c r="S121" s="20"/>
      <c r="T121" s="20"/>
      <c r="U121" s="20"/>
      <c r="V121" s="20"/>
      <c r="W121" s="20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83" t="s">
        <v>21</v>
      </c>
      <c r="B122" s="83" t="s">
        <v>39</v>
      </c>
      <c r="C122" s="83" t="s">
        <v>40</v>
      </c>
      <c r="D122" s="83" t="s">
        <v>38</v>
      </c>
      <c r="E122" s="83" t="s">
        <v>25</v>
      </c>
      <c r="F122" s="83" t="s">
        <v>54</v>
      </c>
      <c r="G122" s="83" t="s">
        <v>25</v>
      </c>
      <c r="H122" s="83" t="s">
        <v>34</v>
      </c>
      <c r="I122" s="90">
        <v>44501</v>
      </c>
      <c r="J122" s="91">
        <f>EFEITO!$J$122*EFEITO!$Y$122</f>
        <v>0</v>
      </c>
      <c r="K122" s="91">
        <f ca="1">EFEITO!$L$122*EFEITO!$Z$122</f>
        <v>44858.966510949067</v>
      </c>
      <c r="L122" s="91">
        <f>EFEITO!$N$122*EFEITO!$AA$122</f>
        <v>0</v>
      </c>
      <c r="M122" s="91">
        <f>$J$122-EFEITO!$K$122*EFEITO!$Y$122</f>
        <v>0</v>
      </c>
      <c r="N122" s="91">
        <f ca="1">$K$122-EFEITO!$M$122*EFEITO!$Z$122</f>
        <v>30537.360599702901</v>
      </c>
      <c r="O122" s="91">
        <f>$L$122-EFEITO!$O$122*EFEITO!$AA$122</f>
        <v>0</v>
      </c>
      <c r="P122" s="20"/>
      <c r="Q122" s="20"/>
      <c r="R122" s="20"/>
      <c r="S122" s="20"/>
      <c r="T122" s="20"/>
      <c r="U122" s="20"/>
      <c r="V122" s="20"/>
      <c r="W122" s="20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83" t="s">
        <v>21</v>
      </c>
      <c r="B123" s="83" t="s">
        <v>39</v>
      </c>
      <c r="C123" s="83" t="s">
        <v>40</v>
      </c>
      <c r="D123" s="83" t="s">
        <v>38</v>
      </c>
      <c r="E123" s="83" t="s">
        <v>25</v>
      </c>
      <c r="F123" s="83" t="s">
        <v>54</v>
      </c>
      <c r="G123" s="83" t="s">
        <v>25</v>
      </c>
      <c r="H123" s="83" t="s">
        <v>34</v>
      </c>
      <c r="I123" s="90">
        <v>44531</v>
      </c>
      <c r="J123" s="91">
        <f>EFEITO!$J$123*EFEITO!$Y$123</f>
        <v>0</v>
      </c>
      <c r="K123" s="91">
        <f ca="1">EFEITO!$L$123*EFEITO!$Z$123</f>
        <v>54168.568617745514</v>
      </c>
      <c r="L123" s="91">
        <f>EFEITO!$N$123*EFEITO!$AA$123</f>
        <v>0</v>
      </c>
      <c r="M123" s="91">
        <f>$J$123-EFEITO!$K$123*EFEITO!$Y$123</f>
        <v>0</v>
      </c>
      <c r="N123" s="91">
        <f ca="1">$K$123-EFEITO!$M$123*EFEITO!$Z$123</f>
        <v>36874.793195382692</v>
      </c>
      <c r="O123" s="91">
        <f>$L$123-EFEITO!$O$123*EFEITO!$AA$123</f>
        <v>0</v>
      </c>
      <c r="P123" s="20"/>
      <c r="Q123" s="20"/>
      <c r="R123" s="20"/>
      <c r="S123" s="20"/>
      <c r="T123" s="20"/>
      <c r="U123" s="20"/>
      <c r="V123" s="20"/>
      <c r="W123" s="20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83" t="s">
        <v>21</v>
      </c>
      <c r="B124" s="83" t="s">
        <v>39</v>
      </c>
      <c r="C124" s="83" t="s">
        <v>40</v>
      </c>
      <c r="D124" s="83" t="s">
        <v>38</v>
      </c>
      <c r="E124" s="83" t="s">
        <v>25</v>
      </c>
      <c r="F124" s="83" t="s">
        <v>54</v>
      </c>
      <c r="G124" s="83" t="s">
        <v>25</v>
      </c>
      <c r="H124" s="83" t="s">
        <v>34</v>
      </c>
      <c r="I124" s="90">
        <v>44562</v>
      </c>
      <c r="J124" s="91">
        <f>EFEITO!$J$124*EFEITO!$Y$124</f>
        <v>0</v>
      </c>
      <c r="K124" s="91">
        <f ca="1">EFEITO!$L$124*EFEITO!$Z$124</f>
        <v>55447.173051754944</v>
      </c>
      <c r="L124" s="91">
        <f>EFEITO!$N$124*EFEITO!$AA$124</f>
        <v>0</v>
      </c>
      <c r="M124" s="91">
        <f>$J$124-EFEITO!$K$124*EFEITO!$Y$124</f>
        <v>0</v>
      </c>
      <c r="N124" s="91">
        <f ca="1">$K$124-EFEITO!$M$124*EFEITO!$Z$124</f>
        <v>37745.192308482969</v>
      </c>
      <c r="O124" s="91">
        <f>$L$124-EFEITO!$O$124*EFEITO!$AA$124</f>
        <v>0</v>
      </c>
      <c r="P124" s="20"/>
      <c r="Q124" s="20"/>
      <c r="R124" s="20"/>
      <c r="S124" s="20"/>
      <c r="T124" s="20"/>
      <c r="U124" s="20"/>
      <c r="V124" s="20"/>
      <c r="W124" s="20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83" t="s">
        <v>21</v>
      </c>
      <c r="B125" s="83" t="s">
        <v>39</v>
      </c>
      <c r="C125" s="83" t="s">
        <v>40</v>
      </c>
      <c r="D125" s="83" t="s">
        <v>38</v>
      </c>
      <c r="E125" s="83" t="s">
        <v>25</v>
      </c>
      <c r="F125" s="83" t="s">
        <v>54</v>
      </c>
      <c r="G125" s="83" t="s">
        <v>25</v>
      </c>
      <c r="H125" s="83" t="s">
        <v>34</v>
      </c>
      <c r="I125" s="90">
        <v>44593</v>
      </c>
      <c r="J125" s="91">
        <f>EFEITO!$J$125*EFEITO!$Y$125</f>
        <v>0</v>
      </c>
      <c r="K125" s="91">
        <f ca="1">EFEITO!$L$125*EFEITO!$Z$125</f>
        <v>54851.373648333392</v>
      </c>
      <c r="L125" s="91">
        <f>EFEITO!$N$125*EFEITO!$AA$125</f>
        <v>0</v>
      </c>
      <c r="M125" s="91">
        <f>$J$125-EFEITO!$K$125*EFEITO!$Y$125</f>
        <v>0</v>
      </c>
      <c r="N125" s="91">
        <f ca="1">$K$125-EFEITO!$M$125*EFEITO!$Z$125</f>
        <v>37339.606922940686</v>
      </c>
      <c r="O125" s="91">
        <f>$L$125-EFEITO!$O$125*EFEITO!$AA$125</f>
        <v>0</v>
      </c>
      <c r="P125" s="20"/>
      <c r="Q125" s="20"/>
      <c r="R125" s="20"/>
      <c r="S125" s="20"/>
      <c r="T125" s="20"/>
      <c r="U125" s="20"/>
      <c r="V125" s="20"/>
      <c r="W125" s="20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83" t="s">
        <v>21</v>
      </c>
      <c r="B126" s="83" t="s">
        <v>39</v>
      </c>
      <c r="C126" s="83" t="s">
        <v>40</v>
      </c>
      <c r="D126" s="83" t="s">
        <v>38</v>
      </c>
      <c r="E126" s="83" t="s">
        <v>25</v>
      </c>
      <c r="F126" s="83" t="s">
        <v>54</v>
      </c>
      <c r="G126" s="83" t="s">
        <v>25</v>
      </c>
      <c r="H126" s="83" t="s">
        <v>34</v>
      </c>
      <c r="I126" s="90">
        <v>44621</v>
      </c>
      <c r="J126" s="91">
        <f>EFEITO!$J$126*EFEITO!$Y$126</f>
        <v>0</v>
      </c>
      <c r="K126" s="91">
        <f ca="1">EFEITO!$L$126*EFEITO!$Z$126</f>
        <v>136612.07463786815</v>
      </c>
      <c r="L126" s="91">
        <f>EFEITO!$N$126*EFEITO!$AA$126</f>
        <v>0</v>
      </c>
      <c r="M126" s="91">
        <f>$J$126-EFEITO!$K$126*EFEITO!$Y$126</f>
        <v>0</v>
      </c>
      <c r="N126" s="91">
        <f ca="1">$K$126-EFEITO!$M$126*EFEITO!$Z$126</f>
        <v>92997.50997321507</v>
      </c>
      <c r="O126" s="91">
        <f>$L$126-EFEITO!$O$126*EFEITO!$AA$126</f>
        <v>0</v>
      </c>
      <c r="P126" s="20"/>
      <c r="Q126" s="20"/>
      <c r="R126" s="20"/>
      <c r="S126" s="20"/>
      <c r="T126" s="20"/>
      <c r="U126" s="20"/>
      <c r="V126" s="20"/>
      <c r="W126" s="20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83" t="s">
        <v>21</v>
      </c>
      <c r="B127" s="83" t="s">
        <v>39</v>
      </c>
      <c r="C127" s="83" t="s">
        <v>40</v>
      </c>
      <c r="D127" s="83" t="s">
        <v>38</v>
      </c>
      <c r="E127" s="83" t="s">
        <v>25</v>
      </c>
      <c r="F127" s="83" t="s">
        <v>54</v>
      </c>
      <c r="G127" s="83" t="s">
        <v>25</v>
      </c>
      <c r="H127" s="83" t="s">
        <v>34</v>
      </c>
      <c r="I127" s="90">
        <v>44652</v>
      </c>
      <c r="J127" s="91">
        <f>EFEITO!$J$127*EFEITO!$Y$127</f>
        <v>0</v>
      </c>
      <c r="K127" s="91">
        <f ca="1">EFEITO!$L$127*EFEITO!$Z$127</f>
        <v>79961.954219204912</v>
      </c>
      <c r="L127" s="91">
        <f>EFEITO!$N$127*EFEITO!$AA$127</f>
        <v>0</v>
      </c>
      <c r="M127" s="91">
        <f>$J$127-EFEITO!$K$127*EFEITO!$Y$127</f>
        <v>0</v>
      </c>
      <c r="N127" s="91">
        <f ca="1">$K$127-EFEITO!$M$127*EFEITO!$Z$127</f>
        <v>54433.421457732424</v>
      </c>
      <c r="O127" s="91">
        <f>$L$127-EFEITO!$O$127*EFEITO!$AA$127</f>
        <v>0</v>
      </c>
      <c r="P127" s="20"/>
      <c r="Q127" s="20"/>
      <c r="R127" s="20"/>
      <c r="S127" s="20"/>
      <c r="T127" s="20"/>
      <c r="U127" s="20"/>
      <c r="V127" s="20"/>
      <c r="W127" s="20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83" t="s">
        <v>21</v>
      </c>
      <c r="B128" s="83" t="s">
        <v>39</v>
      </c>
      <c r="C128" s="83" t="s">
        <v>40</v>
      </c>
      <c r="D128" s="83" t="s">
        <v>38</v>
      </c>
      <c r="E128" s="83" t="s">
        <v>25</v>
      </c>
      <c r="F128" s="83" t="s">
        <v>54</v>
      </c>
      <c r="G128" s="83" t="s">
        <v>25</v>
      </c>
      <c r="H128" s="83" t="s">
        <v>34</v>
      </c>
      <c r="I128" s="90">
        <v>44682</v>
      </c>
      <c r="J128" s="91">
        <f>EFEITO!$J$128*EFEITO!$Y$128</f>
        <v>0</v>
      </c>
      <c r="K128" s="91">
        <f ca="1">EFEITO!$L$128*EFEITO!$Z$128</f>
        <v>100930.3103662885</v>
      </c>
      <c r="L128" s="91">
        <f>EFEITO!$N$128*EFEITO!$AA$128</f>
        <v>0</v>
      </c>
      <c r="M128" s="91">
        <f>$J$128-EFEITO!$K$128*EFEITO!$Y$128</f>
        <v>0</v>
      </c>
      <c r="N128" s="91">
        <f ca="1">$K$128-EFEITO!$M$128*EFEITO!$Z$128</f>
        <v>68707.451883515881</v>
      </c>
      <c r="O128" s="91">
        <f>$L$128-EFEITO!$O$128*EFEITO!$AA$128</f>
        <v>0</v>
      </c>
      <c r="P128" s="20"/>
      <c r="Q128" s="20"/>
      <c r="R128" s="20"/>
      <c r="S128" s="20"/>
      <c r="T128" s="20"/>
      <c r="U128" s="20"/>
      <c r="V128" s="20"/>
      <c r="W128" s="20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83" t="s">
        <v>21</v>
      </c>
      <c r="B129" s="83" t="s">
        <v>39</v>
      </c>
      <c r="C129" s="83" t="s">
        <v>40</v>
      </c>
      <c r="D129" s="83" t="s">
        <v>38</v>
      </c>
      <c r="E129" s="83" t="s">
        <v>25</v>
      </c>
      <c r="F129" s="83" t="s">
        <v>54</v>
      </c>
      <c r="G129" s="83" t="s">
        <v>25</v>
      </c>
      <c r="H129" s="83" t="s">
        <v>34</v>
      </c>
      <c r="I129" s="90">
        <v>44713</v>
      </c>
      <c r="J129" s="91">
        <f>EFEITO!$J$129*EFEITO!$Y$129</f>
        <v>0</v>
      </c>
      <c r="K129" s="91">
        <f ca="1">EFEITO!$L$129*EFEITO!$Z$129</f>
        <v>96290.640726310507</v>
      </c>
      <c r="L129" s="91">
        <f>EFEITO!$N$129*EFEITO!$AA$129</f>
        <v>0</v>
      </c>
      <c r="M129" s="91">
        <f>$J$129-EFEITO!$K$129*EFEITO!$Y$129</f>
        <v>0</v>
      </c>
      <c r="N129" s="91">
        <f ca="1">$K$129-EFEITO!$M$129*EFEITO!$Z$129</f>
        <v>65549.036166896112</v>
      </c>
      <c r="O129" s="91">
        <f>$L$129-EFEITO!$O$129*EFEITO!$AA$129</f>
        <v>0</v>
      </c>
      <c r="P129" s="20"/>
      <c r="Q129" s="20"/>
      <c r="R129" s="20"/>
      <c r="S129" s="20"/>
      <c r="T129" s="20"/>
      <c r="U129" s="20"/>
      <c r="V129" s="20"/>
      <c r="W129" s="20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83" t="s">
        <v>21</v>
      </c>
      <c r="B130" s="83" t="s">
        <v>39</v>
      </c>
      <c r="C130" s="83" t="s">
        <v>40</v>
      </c>
      <c r="D130" s="83" t="s">
        <v>38</v>
      </c>
      <c r="E130" s="83" t="s">
        <v>25</v>
      </c>
      <c r="F130" s="83" t="s">
        <v>25</v>
      </c>
      <c r="G130" s="83" t="s">
        <v>25</v>
      </c>
      <c r="H130" s="83" t="s">
        <v>35</v>
      </c>
      <c r="I130" s="90">
        <v>44378</v>
      </c>
      <c r="J130" s="91">
        <f>EFEITO!$J$130*EFEITO!$Y$130</f>
        <v>0</v>
      </c>
      <c r="K130" s="91">
        <f ca="1">EFEITO!$L$130*EFEITO!$Z$130</f>
        <v>64692.063930114557</v>
      </c>
      <c r="L130" s="91">
        <f>EFEITO!$N$130*EFEITO!$AA$130</f>
        <v>121684.20899827818</v>
      </c>
      <c r="M130" s="91">
        <f>$J$130-EFEITO!$K$130*EFEITO!$Y$130</f>
        <v>0</v>
      </c>
      <c r="N130" s="91">
        <f ca="1">$K$130-EFEITO!$M$130*EFEITO!$Z$130</f>
        <v>0</v>
      </c>
      <c r="O130" s="91">
        <f>$L$130-EFEITO!$O$130*EFEITO!$AA$130</f>
        <v>0</v>
      </c>
      <c r="P130" s="20"/>
      <c r="Q130" s="20"/>
      <c r="R130" s="20"/>
      <c r="S130" s="20"/>
      <c r="T130" s="20"/>
      <c r="U130" s="20"/>
      <c r="V130" s="20"/>
      <c r="W130" s="20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83" t="s">
        <v>21</v>
      </c>
      <c r="B131" s="83" t="s">
        <v>39</v>
      </c>
      <c r="C131" s="83" t="s">
        <v>40</v>
      </c>
      <c r="D131" s="83" t="s">
        <v>38</v>
      </c>
      <c r="E131" s="83" t="s">
        <v>25</v>
      </c>
      <c r="F131" s="83" t="s">
        <v>25</v>
      </c>
      <c r="G131" s="83" t="s">
        <v>25</v>
      </c>
      <c r="H131" s="83" t="s">
        <v>35</v>
      </c>
      <c r="I131" s="90">
        <v>44409</v>
      </c>
      <c r="J131" s="91">
        <f>EFEITO!$J$131*EFEITO!$Y$131</f>
        <v>0</v>
      </c>
      <c r="K131" s="91">
        <f ca="1">EFEITO!$L$131*EFEITO!$Z$131</f>
        <v>52390.486235178483</v>
      </c>
      <c r="L131" s="91">
        <f>EFEITO!$N$131*EFEITO!$AA$131</f>
        <v>98545.238616126895</v>
      </c>
      <c r="M131" s="91">
        <f>$J$131-EFEITO!$K$131*EFEITO!$Y$131</f>
        <v>0</v>
      </c>
      <c r="N131" s="91">
        <f ca="1">$K$131-EFEITO!$M$131*EFEITO!$Z$131</f>
        <v>0</v>
      </c>
      <c r="O131" s="91">
        <f>$L$131-EFEITO!$O$131*EFEITO!$AA$131</f>
        <v>0</v>
      </c>
      <c r="P131" s="20"/>
      <c r="Q131" s="20"/>
      <c r="R131" s="20"/>
      <c r="S131" s="20"/>
      <c r="T131" s="20"/>
      <c r="U131" s="20"/>
      <c r="V131" s="20"/>
      <c r="W131" s="20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83" t="s">
        <v>21</v>
      </c>
      <c r="B132" s="83" t="s">
        <v>39</v>
      </c>
      <c r="C132" s="83" t="s">
        <v>40</v>
      </c>
      <c r="D132" s="83" t="s">
        <v>38</v>
      </c>
      <c r="E132" s="83" t="s">
        <v>25</v>
      </c>
      <c r="F132" s="83" t="s">
        <v>25</v>
      </c>
      <c r="G132" s="83" t="s">
        <v>25</v>
      </c>
      <c r="H132" s="83" t="s">
        <v>35</v>
      </c>
      <c r="I132" s="90">
        <v>44440</v>
      </c>
      <c r="J132" s="91">
        <f>EFEITO!$J$132*EFEITO!$Y$132</f>
        <v>0</v>
      </c>
      <c r="K132" s="91">
        <f ca="1">EFEITO!$L$132*EFEITO!$Z$132</f>
        <v>54776.378676747852</v>
      </c>
      <c r="L132" s="91">
        <f>EFEITO!$N$132*EFEITO!$AA$132</f>
        <v>103033.04464471445</v>
      </c>
      <c r="M132" s="91">
        <f>$J$132-EFEITO!$K$132*EFEITO!$Y$132</f>
        <v>0</v>
      </c>
      <c r="N132" s="91">
        <f ca="1">$K$132-EFEITO!$M$132*EFEITO!$Z$132</f>
        <v>0</v>
      </c>
      <c r="O132" s="91">
        <f>$L$132-EFEITO!$O$132*EFEITO!$AA$132</f>
        <v>0</v>
      </c>
      <c r="P132" s="20"/>
      <c r="Q132" s="20"/>
      <c r="R132" s="20"/>
      <c r="S132" s="20"/>
      <c r="T132" s="20"/>
      <c r="U132" s="20"/>
      <c r="V132" s="20"/>
      <c r="W132" s="20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83" t="s">
        <v>21</v>
      </c>
      <c r="B133" s="83" t="s">
        <v>39</v>
      </c>
      <c r="C133" s="83" t="s">
        <v>40</v>
      </c>
      <c r="D133" s="83" t="s">
        <v>38</v>
      </c>
      <c r="E133" s="83" t="s">
        <v>25</v>
      </c>
      <c r="F133" s="83" t="s">
        <v>25</v>
      </c>
      <c r="G133" s="83" t="s">
        <v>25</v>
      </c>
      <c r="H133" s="83" t="s">
        <v>35</v>
      </c>
      <c r="I133" s="90">
        <v>44470</v>
      </c>
      <c r="J133" s="91">
        <f>EFEITO!$J$133*EFEITO!$Y$133</f>
        <v>0</v>
      </c>
      <c r="K133" s="91">
        <f ca="1">EFEITO!$L$133*EFEITO!$Z$133</f>
        <v>51522.841644375112</v>
      </c>
      <c r="L133" s="91">
        <f>EFEITO!$N$133*EFEITO!$AA$133</f>
        <v>96913.220107062196</v>
      </c>
      <c r="M133" s="91">
        <f>$J$133-EFEITO!$K$133*EFEITO!$Y$133</f>
        <v>0</v>
      </c>
      <c r="N133" s="91">
        <f ca="1">$K$133-EFEITO!$M$133*EFEITO!$Z$133</f>
        <v>0</v>
      </c>
      <c r="O133" s="91">
        <f>$L$133-EFEITO!$O$133*EFEITO!$AA$133</f>
        <v>0</v>
      </c>
      <c r="P133" s="20"/>
      <c r="Q133" s="20"/>
      <c r="R133" s="20"/>
      <c r="S133" s="20"/>
      <c r="T133" s="20"/>
      <c r="U133" s="20"/>
      <c r="V133" s="20"/>
      <c r="W133" s="20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83" t="s">
        <v>21</v>
      </c>
      <c r="B134" s="83" t="s">
        <v>39</v>
      </c>
      <c r="C134" s="83" t="s">
        <v>40</v>
      </c>
      <c r="D134" s="83" t="s">
        <v>38</v>
      </c>
      <c r="E134" s="83" t="s">
        <v>25</v>
      </c>
      <c r="F134" s="83" t="s">
        <v>25</v>
      </c>
      <c r="G134" s="83" t="s">
        <v>25</v>
      </c>
      <c r="H134" s="83" t="s">
        <v>35</v>
      </c>
      <c r="I134" s="90">
        <v>44501</v>
      </c>
      <c r="J134" s="91">
        <f>EFEITO!$J$134*EFEITO!$Y$134</f>
        <v>0</v>
      </c>
      <c r="K134" s="91">
        <f ca="1">EFEITO!$L$134*EFEITO!$Z$134</f>
        <v>52480.364674965218</v>
      </c>
      <c r="L134" s="91">
        <f>EFEITO!$N$134*EFEITO!$AA$134</f>
        <v>98714.297789494172</v>
      </c>
      <c r="M134" s="91">
        <f>$J$134-EFEITO!$K$134*EFEITO!$Y$134</f>
        <v>0</v>
      </c>
      <c r="N134" s="91">
        <f ca="1">$K$134-EFEITO!$M$134*EFEITO!$Z$134</f>
        <v>0</v>
      </c>
      <c r="O134" s="91">
        <f>$L$134-EFEITO!$O$134*EFEITO!$AA$134</f>
        <v>0</v>
      </c>
      <c r="P134" s="20"/>
      <c r="Q134" s="20"/>
      <c r="R134" s="20"/>
      <c r="S134" s="20"/>
      <c r="T134" s="20"/>
      <c r="U134" s="20"/>
      <c r="V134" s="20"/>
      <c r="W134" s="20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83" t="s">
        <v>21</v>
      </c>
      <c r="B135" s="83" t="s">
        <v>39</v>
      </c>
      <c r="C135" s="83" t="s">
        <v>40</v>
      </c>
      <c r="D135" s="83" t="s">
        <v>38</v>
      </c>
      <c r="E135" s="83" t="s">
        <v>25</v>
      </c>
      <c r="F135" s="83" t="s">
        <v>25</v>
      </c>
      <c r="G135" s="83" t="s">
        <v>25</v>
      </c>
      <c r="H135" s="83" t="s">
        <v>35</v>
      </c>
      <c r="I135" s="90">
        <v>44531</v>
      </c>
      <c r="J135" s="91">
        <f>EFEITO!$J$135*EFEITO!$Y$135</f>
        <v>0</v>
      </c>
      <c r="K135" s="91">
        <f ca="1">EFEITO!$L$135*EFEITO!$Z$135</f>
        <v>42930.650264484488</v>
      </c>
      <c r="L135" s="91">
        <f>EFEITO!$N$135*EFEITO!$AA$135</f>
        <v>80751.51574788017</v>
      </c>
      <c r="M135" s="91">
        <f>$J$135-EFEITO!$K$135*EFEITO!$Y$135</f>
        <v>0</v>
      </c>
      <c r="N135" s="91">
        <f ca="1">$K$135-EFEITO!$M$135*EFEITO!$Z$135</f>
        <v>0</v>
      </c>
      <c r="O135" s="91">
        <f>$L$135-EFEITO!$O$135*EFEITO!$AA$135</f>
        <v>0</v>
      </c>
      <c r="P135" s="20"/>
      <c r="Q135" s="20"/>
      <c r="R135" s="20"/>
      <c r="S135" s="20"/>
      <c r="T135" s="20"/>
      <c r="U135" s="20"/>
      <c r="V135" s="20"/>
      <c r="W135" s="20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83" t="s">
        <v>28</v>
      </c>
      <c r="B136" s="83" t="s">
        <v>39</v>
      </c>
      <c r="C136" s="83" t="s">
        <v>40</v>
      </c>
      <c r="D136" s="83" t="s">
        <v>38</v>
      </c>
      <c r="E136" s="83" t="s">
        <v>25</v>
      </c>
      <c r="F136" s="83" t="s">
        <v>25</v>
      </c>
      <c r="G136" s="83" t="s">
        <v>25</v>
      </c>
      <c r="H136" s="83" t="s">
        <v>35</v>
      </c>
      <c r="I136" s="90">
        <v>44531</v>
      </c>
      <c r="J136" s="91">
        <f>EFEITO!$J$136*EFEITO!$Y$136</f>
        <v>0</v>
      </c>
      <c r="K136" s="91">
        <f ca="1">EFEITO!$L$136*EFEITO!$Z$136</f>
        <v>6440.1078575810798</v>
      </c>
      <c r="L136" s="91">
        <f>EFEITO!$N$136*EFEITO!$AA$136</f>
        <v>12113.68725783614</v>
      </c>
      <c r="M136" s="91">
        <f>$J$136-EFEITO!$K$136*EFEITO!$Y$136</f>
        <v>0</v>
      </c>
      <c r="N136" s="91">
        <f ca="1">$K$136-EFEITO!$M$136*EFEITO!$Z$136</f>
        <v>0</v>
      </c>
      <c r="O136" s="91">
        <f>$L$136-EFEITO!$O$136*EFEITO!$AA$136</f>
        <v>0</v>
      </c>
      <c r="P136" s="20"/>
      <c r="Q136" s="20"/>
      <c r="R136" s="20"/>
      <c r="S136" s="20"/>
      <c r="T136" s="20"/>
      <c r="U136" s="20"/>
      <c r="V136" s="20"/>
      <c r="W136" s="20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83" t="s">
        <v>21</v>
      </c>
      <c r="B137" s="83" t="s">
        <v>39</v>
      </c>
      <c r="C137" s="83" t="s">
        <v>40</v>
      </c>
      <c r="D137" s="83" t="s">
        <v>38</v>
      </c>
      <c r="E137" s="83" t="s">
        <v>25</v>
      </c>
      <c r="F137" s="83" t="s">
        <v>25</v>
      </c>
      <c r="G137" s="83" t="s">
        <v>25</v>
      </c>
      <c r="H137" s="83" t="s">
        <v>35</v>
      </c>
      <c r="I137" s="90">
        <v>44562</v>
      </c>
      <c r="J137" s="91">
        <f>EFEITO!$J$137*EFEITO!$Y$137</f>
        <v>0</v>
      </c>
      <c r="K137" s="91">
        <f ca="1">EFEITO!$L$137*EFEITO!$Z$137</f>
        <v>40502.786778611458</v>
      </c>
      <c r="L137" s="91">
        <f>EFEITO!$N$137*EFEITO!$AA$137</f>
        <v>76184.763199168621</v>
      </c>
      <c r="M137" s="91">
        <f>$J$137-EFEITO!$K$137*EFEITO!$Y$137</f>
        <v>0</v>
      </c>
      <c r="N137" s="91">
        <f ca="1">$K$137-EFEITO!$M$137*EFEITO!$Z$137</f>
        <v>0</v>
      </c>
      <c r="O137" s="91">
        <f>$L$137-EFEITO!$O$137*EFEITO!$AA$137</f>
        <v>0</v>
      </c>
      <c r="P137" s="20"/>
      <c r="Q137" s="20"/>
      <c r="R137" s="20"/>
      <c r="S137" s="20"/>
      <c r="T137" s="20"/>
      <c r="U137" s="20"/>
      <c r="V137" s="20"/>
      <c r="W137" s="20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83" t="s">
        <v>28</v>
      </c>
      <c r="B138" s="83" t="s">
        <v>39</v>
      </c>
      <c r="C138" s="83" t="s">
        <v>40</v>
      </c>
      <c r="D138" s="83" t="s">
        <v>38</v>
      </c>
      <c r="E138" s="83" t="s">
        <v>25</v>
      </c>
      <c r="F138" s="83" t="s">
        <v>25</v>
      </c>
      <c r="G138" s="83" t="s">
        <v>25</v>
      </c>
      <c r="H138" s="83" t="s">
        <v>35</v>
      </c>
      <c r="I138" s="90">
        <v>44562</v>
      </c>
      <c r="J138" s="91">
        <f>EFEITO!$J$138*EFEITO!$Y$138</f>
        <v>0</v>
      </c>
      <c r="K138" s="91">
        <f ca="1">EFEITO!$L$138*EFEITO!$Z$138</f>
        <v>3074.5091783827006</v>
      </c>
      <c r="L138" s="91">
        <f>EFEITO!$N$138*EFEITO!$AA$138</f>
        <v>5783.0774704235437</v>
      </c>
      <c r="M138" s="91">
        <f>$J$138-EFEITO!$K$138*EFEITO!$Y$138</f>
        <v>0</v>
      </c>
      <c r="N138" s="91">
        <f ca="1">$K$138-EFEITO!$M$138*EFEITO!$Z$138</f>
        <v>0</v>
      </c>
      <c r="O138" s="91">
        <f>$L$138-EFEITO!$O$138*EFEITO!$AA$138</f>
        <v>0</v>
      </c>
      <c r="P138" s="20"/>
      <c r="Q138" s="20"/>
      <c r="R138" s="20"/>
      <c r="S138" s="20"/>
      <c r="T138" s="20"/>
      <c r="U138" s="20"/>
      <c r="V138" s="20"/>
      <c r="W138" s="20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83" t="s">
        <v>21</v>
      </c>
      <c r="B139" s="83" t="s">
        <v>39</v>
      </c>
      <c r="C139" s="83" t="s">
        <v>40</v>
      </c>
      <c r="D139" s="83" t="s">
        <v>38</v>
      </c>
      <c r="E139" s="83" t="s">
        <v>25</v>
      </c>
      <c r="F139" s="83" t="s">
        <v>25</v>
      </c>
      <c r="G139" s="83" t="s">
        <v>25</v>
      </c>
      <c r="H139" s="83" t="s">
        <v>35</v>
      </c>
      <c r="I139" s="90">
        <v>44593</v>
      </c>
      <c r="J139" s="91">
        <f>EFEITO!$J$139*EFEITO!$Y$139</f>
        <v>0</v>
      </c>
      <c r="K139" s="91">
        <f ca="1">EFEITO!$L$139*EFEITO!$Z$139</f>
        <v>44462.645454823891</v>
      </c>
      <c r="L139" s="91">
        <f>EFEITO!$N$139*EFEITO!$AA$139</f>
        <v>83633.161680942416</v>
      </c>
      <c r="M139" s="91">
        <f>$J$139-EFEITO!$K$139*EFEITO!$Y$139</f>
        <v>0</v>
      </c>
      <c r="N139" s="91">
        <f ca="1">$K$139-EFEITO!$M$139*EFEITO!$Z$139</f>
        <v>0</v>
      </c>
      <c r="O139" s="91">
        <f>$L$139-EFEITO!$O$139*EFEITO!$AA$139</f>
        <v>0</v>
      </c>
      <c r="P139" s="20"/>
      <c r="Q139" s="20"/>
      <c r="R139" s="20"/>
      <c r="S139" s="20"/>
      <c r="T139" s="20"/>
      <c r="U139" s="20"/>
      <c r="V139" s="20"/>
      <c r="W139" s="20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83" t="s">
        <v>28</v>
      </c>
      <c r="B140" s="83" t="s">
        <v>39</v>
      </c>
      <c r="C140" s="83" t="s">
        <v>40</v>
      </c>
      <c r="D140" s="83" t="s">
        <v>38</v>
      </c>
      <c r="E140" s="83" t="s">
        <v>25</v>
      </c>
      <c r="F140" s="83" t="s">
        <v>25</v>
      </c>
      <c r="G140" s="83" t="s">
        <v>25</v>
      </c>
      <c r="H140" s="83" t="s">
        <v>35</v>
      </c>
      <c r="I140" s="90">
        <v>44593</v>
      </c>
      <c r="J140" s="91">
        <f>EFEITO!$J$140*EFEITO!$Y$140</f>
        <v>0</v>
      </c>
      <c r="K140" s="91">
        <f ca="1">EFEITO!$L$140*EFEITO!$Z$140</f>
        <v>853.6889582061242</v>
      </c>
      <c r="L140" s="91">
        <f>EFEITO!$N$140*EFEITO!$AA$140</f>
        <v>1605.7683013807725</v>
      </c>
      <c r="M140" s="91">
        <f>$J$140-EFEITO!$K$140*EFEITO!$Y$140</f>
        <v>0</v>
      </c>
      <c r="N140" s="91">
        <f ca="1">$K$140-EFEITO!$M$140*EFEITO!$Z$140</f>
        <v>0</v>
      </c>
      <c r="O140" s="91">
        <f>$L$140-EFEITO!$O$140*EFEITO!$AA$140</f>
        <v>0</v>
      </c>
      <c r="P140" s="20"/>
      <c r="Q140" s="20"/>
      <c r="R140" s="20"/>
      <c r="S140" s="20"/>
      <c r="T140" s="20"/>
      <c r="U140" s="20"/>
      <c r="V140" s="20"/>
      <c r="W140" s="20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83" t="s">
        <v>21</v>
      </c>
      <c r="B141" s="83" t="s">
        <v>39</v>
      </c>
      <c r="C141" s="83" t="s">
        <v>40</v>
      </c>
      <c r="D141" s="83" t="s">
        <v>38</v>
      </c>
      <c r="E141" s="83" t="s">
        <v>25</v>
      </c>
      <c r="F141" s="83" t="s">
        <v>25</v>
      </c>
      <c r="G141" s="83" t="s">
        <v>25</v>
      </c>
      <c r="H141" s="83" t="s">
        <v>35</v>
      </c>
      <c r="I141" s="90">
        <v>44621</v>
      </c>
      <c r="J141" s="91">
        <f>EFEITO!$J$141*EFEITO!$Y$141</f>
        <v>0</v>
      </c>
      <c r="K141" s="91">
        <f ca="1">EFEITO!$L$141*EFEITO!$Z$141</f>
        <v>48172.135916381252</v>
      </c>
      <c r="L141" s="91">
        <f>EFEITO!$N$141*EFEITO!$AA$141</f>
        <v>90610.623600983934</v>
      </c>
      <c r="M141" s="91">
        <f>$J$141-EFEITO!$K$141*EFEITO!$Y$141</f>
        <v>0</v>
      </c>
      <c r="N141" s="91">
        <f ca="1">$K$141-EFEITO!$M$141*EFEITO!$Z$141</f>
        <v>0</v>
      </c>
      <c r="O141" s="91">
        <f>$L$141-EFEITO!$O$141*EFEITO!$AA$141</f>
        <v>0</v>
      </c>
      <c r="P141" s="20"/>
      <c r="Q141" s="20"/>
      <c r="R141" s="20"/>
      <c r="S141" s="20"/>
      <c r="T141" s="20"/>
      <c r="U141" s="20"/>
      <c r="V141" s="20"/>
      <c r="W141" s="20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83" t="s">
        <v>28</v>
      </c>
      <c r="B142" s="83" t="s">
        <v>39</v>
      </c>
      <c r="C142" s="83" t="s">
        <v>40</v>
      </c>
      <c r="D142" s="83" t="s">
        <v>38</v>
      </c>
      <c r="E142" s="83" t="s">
        <v>25</v>
      </c>
      <c r="F142" s="83" t="s">
        <v>25</v>
      </c>
      <c r="G142" s="83" t="s">
        <v>25</v>
      </c>
      <c r="H142" s="83" t="s">
        <v>35</v>
      </c>
      <c r="I142" s="90">
        <v>44621</v>
      </c>
      <c r="J142" s="91">
        <f>EFEITO!$J$142*EFEITO!$Y$142</f>
        <v>0</v>
      </c>
      <c r="K142" s="91">
        <f ca="1">EFEITO!$L$142*EFEITO!$Z$142</f>
        <v>4872.3904136532046</v>
      </c>
      <c r="L142" s="91">
        <f>EFEITO!$N$142*EFEITO!$AA$142</f>
        <v>9164.8486289859775</v>
      </c>
      <c r="M142" s="91">
        <f>$J$142-EFEITO!$K$142*EFEITO!$Y$142</f>
        <v>0</v>
      </c>
      <c r="N142" s="91">
        <f ca="1">$K$142-EFEITO!$M$142*EFEITO!$Z$142</f>
        <v>0</v>
      </c>
      <c r="O142" s="91">
        <f>$L$142-EFEITO!$O$142*EFEITO!$AA$142</f>
        <v>0</v>
      </c>
      <c r="P142" s="20"/>
      <c r="Q142" s="20"/>
      <c r="R142" s="20"/>
      <c r="S142" s="20"/>
      <c r="T142" s="20"/>
      <c r="U142" s="20"/>
      <c r="V142" s="20"/>
      <c r="W142" s="20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83" t="s">
        <v>21</v>
      </c>
      <c r="B143" s="83" t="s">
        <v>39</v>
      </c>
      <c r="C143" s="83" t="s">
        <v>40</v>
      </c>
      <c r="D143" s="83" t="s">
        <v>38</v>
      </c>
      <c r="E143" s="83" t="s">
        <v>25</v>
      </c>
      <c r="F143" s="83" t="s">
        <v>25</v>
      </c>
      <c r="G143" s="83" t="s">
        <v>25</v>
      </c>
      <c r="H143" s="83" t="s">
        <v>35</v>
      </c>
      <c r="I143" s="90">
        <v>44652</v>
      </c>
      <c r="J143" s="91">
        <f>EFEITO!$J$143*EFEITO!$Y$143</f>
        <v>0</v>
      </c>
      <c r="K143" s="91">
        <f ca="1">EFEITO!$L$143*EFEITO!$Z$143</f>
        <v>43011.884543781889</v>
      </c>
      <c r="L143" s="91">
        <f>EFEITO!$N$143*EFEITO!$AA$143</f>
        <v>80904.315464249215</v>
      </c>
      <c r="M143" s="91">
        <f>$J$143-EFEITO!$K$143*EFEITO!$Y$143</f>
        <v>0</v>
      </c>
      <c r="N143" s="91">
        <f ca="1">$K$143-EFEITO!$M$143*EFEITO!$Z$143</f>
        <v>0</v>
      </c>
      <c r="O143" s="91">
        <f>$L$143-EFEITO!$O$143*EFEITO!$AA$143</f>
        <v>0</v>
      </c>
      <c r="P143" s="20"/>
      <c r="Q143" s="20"/>
      <c r="R143" s="20"/>
      <c r="S143" s="20"/>
      <c r="T143" s="20"/>
      <c r="U143" s="20"/>
      <c r="V143" s="20"/>
      <c r="W143" s="20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83" t="s">
        <v>28</v>
      </c>
      <c r="B144" s="83" t="s">
        <v>39</v>
      </c>
      <c r="C144" s="83" t="s">
        <v>40</v>
      </c>
      <c r="D144" s="83" t="s">
        <v>38</v>
      </c>
      <c r="E144" s="83" t="s">
        <v>25</v>
      </c>
      <c r="F144" s="83" t="s">
        <v>25</v>
      </c>
      <c r="G144" s="83" t="s">
        <v>25</v>
      </c>
      <c r="H144" s="83" t="s">
        <v>35</v>
      </c>
      <c r="I144" s="90">
        <v>44652</v>
      </c>
      <c r="J144" s="91">
        <f>EFEITO!$J$144*EFEITO!$Y$144</f>
        <v>0</v>
      </c>
      <c r="K144" s="91">
        <f ca="1">EFEITO!$L$144*EFEITO!$Z$144</f>
        <v>7219.5403527884282</v>
      </c>
      <c r="L144" s="91">
        <f>EFEITO!$N$144*EFEITO!$AA$144</f>
        <v>13579.780946689829</v>
      </c>
      <c r="M144" s="91">
        <f>$J$144-EFEITO!$K$144*EFEITO!$Y$144</f>
        <v>0</v>
      </c>
      <c r="N144" s="91">
        <f ca="1">$K$144-EFEITO!$M$144*EFEITO!$Z$144</f>
        <v>0</v>
      </c>
      <c r="O144" s="91">
        <f>$L$144-EFEITO!$O$144*EFEITO!$AA$144</f>
        <v>0</v>
      </c>
      <c r="P144" s="20"/>
      <c r="Q144" s="20"/>
      <c r="R144" s="20"/>
      <c r="S144" s="20"/>
      <c r="T144" s="20"/>
      <c r="U144" s="20"/>
      <c r="V144" s="20"/>
      <c r="W144" s="20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83" t="s">
        <v>21</v>
      </c>
      <c r="B145" s="83" t="s">
        <v>39</v>
      </c>
      <c r="C145" s="83" t="s">
        <v>40</v>
      </c>
      <c r="D145" s="83" t="s">
        <v>38</v>
      </c>
      <c r="E145" s="83" t="s">
        <v>25</v>
      </c>
      <c r="F145" s="83" t="s">
        <v>25</v>
      </c>
      <c r="G145" s="83" t="s">
        <v>25</v>
      </c>
      <c r="H145" s="83" t="s">
        <v>35</v>
      </c>
      <c r="I145" s="90">
        <v>44682</v>
      </c>
      <c r="J145" s="91">
        <f>EFEITO!$J$145*EFEITO!$Y$145</f>
        <v>0</v>
      </c>
      <c r="K145" s="91">
        <f ca="1">EFEITO!$L$145*EFEITO!$Z$145</f>
        <v>51450.043232543212</v>
      </c>
      <c r="L145" s="91">
        <f>EFEITO!$N$145*EFEITO!$AA$145</f>
        <v>96776.288053546887</v>
      </c>
      <c r="M145" s="91">
        <f>$J$145-EFEITO!$K$145*EFEITO!$Y$145</f>
        <v>0</v>
      </c>
      <c r="N145" s="91">
        <f ca="1">$K$145-EFEITO!$M$145*EFEITO!$Z$145</f>
        <v>0</v>
      </c>
      <c r="O145" s="91">
        <f>$L$145-EFEITO!$O$145*EFEITO!$AA$145</f>
        <v>0</v>
      </c>
      <c r="P145" s="20"/>
      <c r="Q145" s="20"/>
      <c r="R145" s="20"/>
      <c r="S145" s="20"/>
      <c r="T145" s="20"/>
      <c r="U145" s="20"/>
      <c r="V145" s="20"/>
      <c r="W145" s="20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83" t="s">
        <v>28</v>
      </c>
      <c r="B146" s="83" t="s">
        <v>39</v>
      </c>
      <c r="C146" s="83" t="s">
        <v>40</v>
      </c>
      <c r="D146" s="83" t="s">
        <v>38</v>
      </c>
      <c r="E146" s="83" t="s">
        <v>25</v>
      </c>
      <c r="F146" s="83" t="s">
        <v>25</v>
      </c>
      <c r="G146" s="83" t="s">
        <v>25</v>
      </c>
      <c r="H146" s="83" t="s">
        <v>35</v>
      </c>
      <c r="I146" s="90">
        <v>44682</v>
      </c>
      <c r="J146" s="91">
        <f>EFEITO!$J$146*EFEITO!$Y$146</f>
        <v>0</v>
      </c>
      <c r="K146" s="91">
        <f ca="1">EFEITO!$L$146*EFEITO!$Z$146</f>
        <v>6743.3825002913673</v>
      </c>
      <c r="L146" s="91">
        <f>EFEITO!$N$146*EFEITO!$AA$146</f>
        <v>12684.139532280546</v>
      </c>
      <c r="M146" s="91">
        <f>$J$146-EFEITO!$K$146*EFEITO!$Y$146</f>
        <v>0</v>
      </c>
      <c r="N146" s="91">
        <f ca="1">$K$146-EFEITO!$M$146*EFEITO!$Z$146</f>
        <v>0</v>
      </c>
      <c r="O146" s="91">
        <f>$L$146-EFEITO!$O$146*EFEITO!$AA$146</f>
        <v>0</v>
      </c>
      <c r="P146" s="20"/>
      <c r="Q146" s="20"/>
      <c r="R146" s="20"/>
      <c r="S146" s="20"/>
      <c r="T146" s="20"/>
      <c r="U146" s="20"/>
      <c r="V146" s="20"/>
      <c r="W146" s="20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83" t="s">
        <v>21</v>
      </c>
      <c r="B147" s="83" t="s">
        <v>39</v>
      </c>
      <c r="C147" s="83" t="s">
        <v>40</v>
      </c>
      <c r="D147" s="83" t="s">
        <v>38</v>
      </c>
      <c r="E147" s="83" t="s">
        <v>25</v>
      </c>
      <c r="F147" s="83" t="s">
        <v>25</v>
      </c>
      <c r="G147" s="83" t="s">
        <v>25</v>
      </c>
      <c r="H147" s="83" t="s">
        <v>35</v>
      </c>
      <c r="I147" s="90">
        <v>44713</v>
      </c>
      <c r="J147" s="91">
        <f>EFEITO!$J$147*EFEITO!$Y$147</f>
        <v>0</v>
      </c>
      <c r="K147" s="91">
        <f ca="1">EFEITO!$L$147*EFEITO!$Z$147</f>
        <v>37804.767240818626</v>
      </c>
      <c r="L147" s="91">
        <f>EFEITO!$N$147*EFEITO!$AA$147</f>
        <v>71109.853644993884</v>
      </c>
      <c r="M147" s="91">
        <f>$J$147-EFEITO!$K$147*EFEITO!$Y$147</f>
        <v>0</v>
      </c>
      <c r="N147" s="91">
        <f ca="1">$K$147-EFEITO!$M$147*EFEITO!$Z$147</f>
        <v>0</v>
      </c>
      <c r="O147" s="91">
        <f>$L$147-EFEITO!$O$147*EFEITO!$AA$147</f>
        <v>0</v>
      </c>
      <c r="P147" s="20"/>
      <c r="Q147" s="20"/>
      <c r="R147" s="20"/>
      <c r="S147" s="20"/>
      <c r="T147" s="20"/>
      <c r="U147" s="20"/>
      <c r="V147" s="20"/>
      <c r="W147" s="20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83" t="s">
        <v>28</v>
      </c>
      <c r="B148" s="83" t="s">
        <v>39</v>
      </c>
      <c r="C148" s="83" t="s">
        <v>40</v>
      </c>
      <c r="D148" s="83" t="s">
        <v>38</v>
      </c>
      <c r="E148" s="83" t="s">
        <v>25</v>
      </c>
      <c r="F148" s="83" t="s">
        <v>25</v>
      </c>
      <c r="G148" s="83" t="s">
        <v>25</v>
      </c>
      <c r="H148" s="83" t="s">
        <v>35</v>
      </c>
      <c r="I148" s="90">
        <v>44713</v>
      </c>
      <c r="J148" s="91">
        <f>EFEITO!$J$148*EFEITO!$Y$148</f>
        <v>0</v>
      </c>
      <c r="K148" s="91">
        <f ca="1">EFEITO!$L$148*EFEITO!$Z$148</f>
        <v>6222.1292081330603</v>
      </c>
      <c r="L148" s="91">
        <f>EFEITO!$N$148*EFEITO!$AA$148</f>
        <v>11703.674685579221</v>
      </c>
      <c r="M148" s="91">
        <f>$J$148-EFEITO!$K$148*EFEITO!$Y$148</f>
        <v>0</v>
      </c>
      <c r="N148" s="91">
        <f ca="1">$K$148-EFEITO!$M$148*EFEITO!$Z$148</f>
        <v>0</v>
      </c>
      <c r="O148" s="91">
        <f>$L$148-EFEITO!$O$148*EFEITO!$AA$148</f>
        <v>0</v>
      </c>
      <c r="P148" s="20"/>
      <c r="Q148" s="20"/>
      <c r="R148" s="20"/>
      <c r="S148" s="20"/>
      <c r="T148" s="20"/>
      <c r="U148" s="20"/>
      <c r="V148" s="20"/>
      <c r="W148" s="20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83" t="s">
        <v>21</v>
      </c>
      <c r="B149" s="83" t="s">
        <v>39</v>
      </c>
      <c r="C149" s="83" t="s">
        <v>40</v>
      </c>
      <c r="D149" s="83" t="s">
        <v>38</v>
      </c>
      <c r="E149" s="83" t="s">
        <v>25</v>
      </c>
      <c r="F149" s="83" t="s">
        <v>25</v>
      </c>
      <c r="G149" s="83" t="s">
        <v>25</v>
      </c>
      <c r="H149" s="83" t="s">
        <v>25</v>
      </c>
      <c r="I149" s="90">
        <v>44378</v>
      </c>
      <c r="J149" s="91">
        <f ca="1">EFEITO!$J$149*EFEITO!$Y$149</f>
        <v>135854.15501084982</v>
      </c>
      <c r="K149" s="91">
        <f>EFEITO!$L$149*EFEITO!$Z$149</f>
        <v>0</v>
      </c>
      <c r="L149" s="91">
        <f>EFEITO!$N$149*EFEITO!$AA$149</f>
        <v>0</v>
      </c>
      <c r="M149" s="91">
        <f ca="1">$J$149-EFEITO!$K$149*EFEITO!$Y$149</f>
        <v>0</v>
      </c>
      <c r="N149" s="91">
        <f>$K$149-EFEITO!$M$149*EFEITO!$Z$149</f>
        <v>0</v>
      </c>
      <c r="O149" s="91">
        <f>$L$149-EFEITO!$O$149*EFEITO!$AA$149</f>
        <v>0</v>
      </c>
      <c r="P149" s="20"/>
      <c r="Q149" s="20"/>
      <c r="R149" s="20"/>
      <c r="S149" s="20"/>
      <c r="T149" s="20"/>
      <c r="U149" s="20"/>
      <c r="V149" s="20"/>
      <c r="W149" s="20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83" t="s">
        <v>21</v>
      </c>
      <c r="B150" s="83" t="s">
        <v>39</v>
      </c>
      <c r="C150" s="83" t="s">
        <v>40</v>
      </c>
      <c r="D150" s="83" t="s">
        <v>38</v>
      </c>
      <c r="E150" s="83" t="s">
        <v>25</v>
      </c>
      <c r="F150" s="83" t="s">
        <v>25</v>
      </c>
      <c r="G150" s="83" t="s">
        <v>25</v>
      </c>
      <c r="H150" s="83" t="s">
        <v>25</v>
      </c>
      <c r="I150" s="90">
        <v>44409</v>
      </c>
      <c r="J150" s="91">
        <f ca="1">EFEITO!$J$150*EFEITO!$Y$150</f>
        <v>122749.88149267109</v>
      </c>
      <c r="K150" s="91">
        <f>EFEITO!$L$150*EFEITO!$Z$150</f>
        <v>0</v>
      </c>
      <c r="L150" s="91">
        <f>EFEITO!$N$150*EFEITO!$AA$150</f>
        <v>0</v>
      </c>
      <c r="M150" s="91">
        <f ca="1">$J$150-EFEITO!$K$150*EFEITO!$Y$150</f>
        <v>0</v>
      </c>
      <c r="N150" s="91">
        <f>$K$150-EFEITO!$M$150*EFEITO!$Z$150</f>
        <v>0</v>
      </c>
      <c r="O150" s="91">
        <f>$L$150-EFEITO!$O$150*EFEITO!$AA$150</f>
        <v>0</v>
      </c>
      <c r="P150" s="20"/>
      <c r="Q150" s="20"/>
      <c r="R150" s="20"/>
      <c r="S150" s="20"/>
      <c r="T150" s="20"/>
      <c r="U150" s="20"/>
      <c r="V150" s="20"/>
      <c r="W150" s="20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83" t="s">
        <v>21</v>
      </c>
      <c r="B151" s="83" t="s">
        <v>39</v>
      </c>
      <c r="C151" s="83" t="s">
        <v>40</v>
      </c>
      <c r="D151" s="83" t="s">
        <v>38</v>
      </c>
      <c r="E151" s="83" t="s">
        <v>25</v>
      </c>
      <c r="F151" s="83" t="s">
        <v>25</v>
      </c>
      <c r="G151" s="83" t="s">
        <v>25</v>
      </c>
      <c r="H151" s="83" t="s">
        <v>25</v>
      </c>
      <c r="I151" s="90">
        <v>44440</v>
      </c>
      <c r="J151" s="91">
        <f ca="1">EFEITO!$J$151*EFEITO!$Y$151</f>
        <v>125214.26725877635</v>
      </c>
      <c r="K151" s="91">
        <f>EFEITO!$L$151*EFEITO!$Z$151</f>
        <v>0</v>
      </c>
      <c r="L151" s="91">
        <f>EFEITO!$N$151*EFEITO!$AA$151</f>
        <v>0</v>
      </c>
      <c r="M151" s="91">
        <f ca="1">$J$151-EFEITO!$K$151*EFEITO!$Y$151</f>
        <v>0</v>
      </c>
      <c r="N151" s="91">
        <f>$K$151-EFEITO!$M$151*EFEITO!$Z$151</f>
        <v>0</v>
      </c>
      <c r="O151" s="91">
        <f>$L$151-EFEITO!$O$151*EFEITO!$AA$151</f>
        <v>0</v>
      </c>
      <c r="P151" s="20"/>
      <c r="Q151" s="20"/>
      <c r="R151" s="20"/>
      <c r="S151" s="20"/>
      <c r="T151" s="20"/>
      <c r="U151" s="20"/>
      <c r="V151" s="20"/>
      <c r="W151" s="20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83" t="s">
        <v>21</v>
      </c>
      <c r="B152" s="83" t="s">
        <v>39</v>
      </c>
      <c r="C152" s="83" t="s">
        <v>40</v>
      </c>
      <c r="D152" s="83" t="s">
        <v>38</v>
      </c>
      <c r="E152" s="83" t="s">
        <v>25</v>
      </c>
      <c r="F152" s="83" t="s">
        <v>25</v>
      </c>
      <c r="G152" s="83" t="s">
        <v>25</v>
      </c>
      <c r="H152" s="83" t="s">
        <v>25</v>
      </c>
      <c r="I152" s="90">
        <v>44470</v>
      </c>
      <c r="J152" s="91">
        <f ca="1">EFEITO!$J$152*EFEITO!$Y$152</f>
        <v>124588.39150865439</v>
      </c>
      <c r="K152" s="91">
        <f>EFEITO!$L$152*EFEITO!$Z$152</f>
        <v>0</v>
      </c>
      <c r="L152" s="91">
        <f>EFEITO!$N$152*EFEITO!$AA$152</f>
        <v>0</v>
      </c>
      <c r="M152" s="91">
        <f ca="1">$J$152-EFEITO!$K$152*EFEITO!$Y$152</f>
        <v>0</v>
      </c>
      <c r="N152" s="91">
        <f>$K$152-EFEITO!$M$152*EFEITO!$Z$152</f>
        <v>0</v>
      </c>
      <c r="O152" s="91">
        <f>$L$152-EFEITO!$O$152*EFEITO!$AA$152</f>
        <v>0</v>
      </c>
      <c r="P152" s="20"/>
      <c r="Q152" s="20"/>
      <c r="R152" s="20"/>
      <c r="S152" s="20"/>
      <c r="T152" s="20"/>
      <c r="U152" s="20"/>
      <c r="V152" s="20"/>
      <c r="W152" s="20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83" t="s">
        <v>21</v>
      </c>
      <c r="B153" s="83" t="s">
        <v>39</v>
      </c>
      <c r="C153" s="83" t="s">
        <v>40</v>
      </c>
      <c r="D153" s="83" t="s">
        <v>38</v>
      </c>
      <c r="E153" s="83" t="s">
        <v>25</v>
      </c>
      <c r="F153" s="83" t="s">
        <v>25</v>
      </c>
      <c r="G153" s="83" t="s">
        <v>25</v>
      </c>
      <c r="H153" s="83" t="s">
        <v>25</v>
      </c>
      <c r="I153" s="90">
        <v>44501</v>
      </c>
      <c r="J153" s="91">
        <f ca="1">EFEITO!$J$153*EFEITO!$Y$153</f>
        <v>124040.75022729766</v>
      </c>
      <c r="K153" s="91">
        <f>EFEITO!$L$153*EFEITO!$Z$153</f>
        <v>0</v>
      </c>
      <c r="L153" s="91">
        <f>EFEITO!$N$153*EFEITO!$AA$153</f>
        <v>0</v>
      </c>
      <c r="M153" s="91">
        <f ca="1">$J$153-EFEITO!$K$153*EFEITO!$Y$153</f>
        <v>0</v>
      </c>
      <c r="N153" s="91">
        <f>$K$153-EFEITO!$M$153*EFEITO!$Z$153</f>
        <v>0</v>
      </c>
      <c r="O153" s="91">
        <f>$L$153-EFEITO!$O$153*EFEITO!$AA$153</f>
        <v>0</v>
      </c>
      <c r="P153" s="20"/>
      <c r="Q153" s="20"/>
      <c r="R153" s="20"/>
      <c r="S153" s="20"/>
      <c r="T153" s="20"/>
      <c r="U153" s="20"/>
      <c r="V153" s="20"/>
      <c r="W153" s="20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83" t="s">
        <v>21</v>
      </c>
      <c r="B154" s="83" t="s">
        <v>39</v>
      </c>
      <c r="C154" s="83" t="s">
        <v>40</v>
      </c>
      <c r="D154" s="83" t="s">
        <v>38</v>
      </c>
      <c r="E154" s="83" t="s">
        <v>25</v>
      </c>
      <c r="F154" s="83" t="s">
        <v>25</v>
      </c>
      <c r="G154" s="83" t="s">
        <v>25</v>
      </c>
      <c r="H154" s="83" t="s">
        <v>25</v>
      </c>
      <c r="I154" s="90">
        <v>44531</v>
      </c>
      <c r="J154" s="91">
        <f ca="1">EFEITO!$J$154*EFEITO!$Y$154</f>
        <v>110858.24224035369</v>
      </c>
      <c r="K154" s="91">
        <f>EFEITO!$L$154*EFEITO!$Z$154</f>
        <v>0</v>
      </c>
      <c r="L154" s="91">
        <f>EFEITO!$N$154*EFEITO!$AA$154</f>
        <v>0</v>
      </c>
      <c r="M154" s="91">
        <f ca="1">$J$154-EFEITO!$K$154*EFEITO!$Y$154</f>
        <v>0</v>
      </c>
      <c r="N154" s="91">
        <f>$K$154-EFEITO!$M$154*EFEITO!$Z$154</f>
        <v>0</v>
      </c>
      <c r="O154" s="91">
        <f>$L$154-EFEITO!$O$154*EFEITO!$AA$154</f>
        <v>0</v>
      </c>
      <c r="P154" s="20"/>
      <c r="Q154" s="20"/>
      <c r="R154" s="20"/>
      <c r="S154" s="20"/>
      <c r="T154" s="20"/>
      <c r="U154" s="20"/>
      <c r="V154" s="20"/>
      <c r="W154" s="20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83" t="s">
        <v>28</v>
      </c>
      <c r="B155" s="83" t="s">
        <v>39</v>
      </c>
      <c r="C155" s="83" t="s">
        <v>40</v>
      </c>
      <c r="D155" s="83" t="s">
        <v>38</v>
      </c>
      <c r="E155" s="83" t="s">
        <v>25</v>
      </c>
      <c r="F155" s="83" t="s">
        <v>25</v>
      </c>
      <c r="G155" s="83" t="s">
        <v>25</v>
      </c>
      <c r="H155" s="83" t="s">
        <v>25</v>
      </c>
      <c r="I155" s="90">
        <v>44531</v>
      </c>
      <c r="J155" s="91">
        <f ca="1">EFEITO!$J$155*EFEITO!$Y$155</f>
        <v>11343.997970960681</v>
      </c>
      <c r="K155" s="91">
        <f>EFEITO!$L$155*EFEITO!$Z$155</f>
        <v>0</v>
      </c>
      <c r="L155" s="91">
        <f>EFEITO!$N$155*EFEITO!$AA$155</f>
        <v>0</v>
      </c>
      <c r="M155" s="91">
        <f ca="1">$J$155-EFEITO!$K$155*EFEITO!$Y$155</f>
        <v>0</v>
      </c>
      <c r="N155" s="91">
        <f>$K$155-EFEITO!$M$155*EFEITO!$Z$155</f>
        <v>0</v>
      </c>
      <c r="O155" s="91">
        <f>$L$155-EFEITO!$O$155*EFEITO!$AA$155</f>
        <v>0</v>
      </c>
      <c r="P155" s="20"/>
      <c r="Q155" s="20"/>
      <c r="R155" s="20"/>
      <c r="S155" s="20"/>
      <c r="T155" s="20"/>
      <c r="U155" s="20"/>
      <c r="V155" s="20"/>
      <c r="W155" s="20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83" t="s">
        <v>21</v>
      </c>
      <c r="B156" s="83" t="s">
        <v>39</v>
      </c>
      <c r="C156" s="83" t="s">
        <v>40</v>
      </c>
      <c r="D156" s="83" t="s">
        <v>38</v>
      </c>
      <c r="E156" s="83" t="s">
        <v>25</v>
      </c>
      <c r="F156" s="83" t="s">
        <v>25</v>
      </c>
      <c r="G156" s="83" t="s">
        <v>25</v>
      </c>
      <c r="H156" s="83" t="s">
        <v>25</v>
      </c>
      <c r="I156" s="90">
        <v>44562</v>
      </c>
      <c r="J156" s="91">
        <f ca="1">EFEITO!$J$156*EFEITO!$Y$156</f>
        <v>111953.52480306714</v>
      </c>
      <c r="K156" s="91">
        <f>EFEITO!$L$156*EFEITO!$Z$156</f>
        <v>0</v>
      </c>
      <c r="L156" s="91">
        <f>EFEITO!$N$156*EFEITO!$AA$156</f>
        <v>0</v>
      </c>
      <c r="M156" s="91">
        <f ca="1">$J$156-EFEITO!$K$156*EFEITO!$Y$156</f>
        <v>0</v>
      </c>
      <c r="N156" s="91">
        <f>$K$156-EFEITO!$M$156*EFEITO!$Z$156</f>
        <v>0</v>
      </c>
      <c r="O156" s="91">
        <f>$L$156-EFEITO!$O$156*EFEITO!$AA$156</f>
        <v>0</v>
      </c>
      <c r="P156" s="20"/>
      <c r="Q156" s="20"/>
      <c r="R156" s="20"/>
      <c r="S156" s="20"/>
      <c r="T156" s="20"/>
      <c r="U156" s="20"/>
      <c r="V156" s="20"/>
      <c r="W156" s="20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83" t="s">
        <v>27</v>
      </c>
      <c r="B157" s="83" t="s">
        <v>39</v>
      </c>
      <c r="C157" s="83" t="s">
        <v>40</v>
      </c>
      <c r="D157" s="83" t="s">
        <v>38</v>
      </c>
      <c r="E157" s="83" t="s">
        <v>25</v>
      </c>
      <c r="F157" s="83" t="s">
        <v>25</v>
      </c>
      <c r="G157" s="83" t="s">
        <v>25</v>
      </c>
      <c r="H157" s="83" t="s">
        <v>25</v>
      </c>
      <c r="I157" s="90">
        <v>44562</v>
      </c>
      <c r="J157" s="91">
        <f ca="1">EFEITO!$J$157*EFEITO!$Y$157</f>
        <v>-1564.6893753049217</v>
      </c>
      <c r="K157" s="91">
        <f>EFEITO!$L$157*EFEITO!$Z$157</f>
        <v>0</v>
      </c>
      <c r="L157" s="91">
        <f>EFEITO!$N$157*EFEITO!$AA$157</f>
        <v>0</v>
      </c>
      <c r="M157" s="91">
        <f ca="1">$J$157-EFEITO!$K$157*EFEITO!$Y$157</f>
        <v>0</v>
      </c>
      <c r="N157" s="91">
        <f>$K$157-EFEITO!$M$157*EFEITO!$Z$157</f>
        <v>0</v>
      </c>
      <c r="O157" s="91">
        <f>$L$157-EFEITO!$O$157*EFEITO!$AA$157</f>
        <v>0</v>
      </c>
      <c r="P157" s="20"/>
      <c r="Q157" s="20"/>
      <c r="R157" s="20"/>
      <c r="S157" s="20"/>
      <c r="T157" s="20"/>
      <c r="U157" s="20"/>
      <c r="V157" s="20"/>
      <c r="W157" s="20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83" t="s">
        <v>28</v>
      </c>
      <c r="B158" s="83" t="s">
        <v>39</v>
      </c>
      <c r="C158" s="83" t="s">
        <v>40</v>
      </c>
      <c r="D158" s="83" t="s">
        <v>38</v>
      </c>
      <c r="E158" s="83" t="s">
        <v>25</v>
      </c>
      <c r="F158" s="83" t="s">
        <v>25</v>
      </c>
      <c r="G158" s="83" t="s">
        <v>25</v>
      </c>
      <c r="H158" s="83" t="s">
        <v>25</v>
      </c>
      <c r="I158" s="90">
        <v>44562</v>
      </c>
      <c r="J158" s="91">
        <f ca="1">EFEITO!$J$158*EFEITO!$Y$158</f>
        <v>10483.418814542974</v>
      </c>
      <c r="K158" s="91">
        <f>EFEITO!$L$158*EFEITO!$Z$158</f>
        <v>0</v>
      </c>
      <c r="L158" s="91">
        <f>EFEITO!$N$158*EFEITO!$AA$158</f>
        <v>0</v>
      </c>
      <c r="M158" s="91">
        <f ca="1">$J$158-EFEITO!$K$158*EFEITO!$Y$158</f>
        <v>0</v>
      </c>
      <c r="N158" s="91">
        <f>$K$158-EFEITO!$M$158*EFEITO!$Z$158</f>
        <v>0</v>
      </c>
      <c r="O158" s="91">
        <f>$L$158-EFEITO!$O$158*EFEITO!$AA$158</f>
        <v>0</v>
      </c>
      <c r="P158" s="20"/>
      <c r="Q158" s="20"/>
      <c r="R158" s="20"/>
      <c r="S158" s="20"/>
      <c r="T158" s="20"/>
      <c r="U158" s="20"/>
      <c r="V158" s="20"/>
      <c r="W158" s="20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83" t="s">
        <v>21</v>
      </c>
      <c r="B159" s="83" t="s">
        <v>39</v>
      </c>
      <c r="C159" s="83" t="s">
        <v>40</v>
      </c>
      <c r="D159" s="83" t="s">
        <v>38</v>
      </c>
      <c r="E159" s="83" t="s">
        <v>25</v>
      </c>
      <c r="F159" s="83" t="s">
        <v>25</v>
      </c>
      <c r="G159" s="83" t="s">
        <v>25</v>
      </c>
      <c r="H159" s="83" t="s">
        <v>25</v>
      </c>
      <c r="I159" s="90">
        <v>44593</v>
      </c>
      <c r="J159" s="91">
        <f ca="1">EFEITO!$J$159*EFEITO!$Y$159</f>
        <v>117821.1099604606</v>
      </c>
      <c r="K159" s="91">
        <f>EFEITO!$L$159*EFEITO!$Z$159</f>
        <v>0</v>
      </c>
      <c r="L159" s="91">
        <f>EFEITO!$N$159*EFEITO!$AA$159</f>
        <v>0</v>
      </c>
      <c r="M159" s="91">
        <f ca="1">$J$159-EFEITO!$K$159*EFEITO!$Y$159</f>
        <v>0</v>
      </c>
      <c r="N159" s="91">
        <f>$K$159-EFEITO!$M$159*EFEITO!$Z$159</f>
        <v>0</v>
      </c>
      <c r="O159" s="91">
        <f>$L$159-EFEITO!$O$159*EFEITO!$AA$159</f>
        <v>0</v>
      </c>
      <c r="P159" s="20"/>
      <c r="Q159" s="20"/>
      <c r="R159" s="20"/>
      <c r="S159" s="20"/>
      <c r="T159" s="20"/>
      <c r="U159" s="20"/>
      <c r="V159" s="20"/>
      <c r="W159" s="20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83" t="s">
        <v>28</v>
      </c>
      <c r="B160" s="83" t="s">
        <v>39</v>
      </c>
      <c r="C160" s="83" t="s">
        <v>40</v>
      </c>
      <c r="D160" s="83" t="s">
        <v>38</v>
      </c>
      <c r="E160" s="83" t="s">
        <v>25</v>
      </c>
      <c r="F160" s="83" t="s">
        <v>25</v>
      </c>
      <c r="G160" s="83" t="s">
        <v>25</v>
      </c>
      <c r="H160" s="83" t="s">
        <v>25</v>
      </c>
      <c r="I160" s="90">
        <v>44593</v>
      </c>
      <c r="J160" s="91">
        <f ca="1">EFEITO!$J$160*EFEITO!$Y$160</f>
        <v>10248.715408247237</v>
      </c>
      <c r="K160" s="91">
        <f>EFEITO!$L$160*EFEITO!$Z$160</f>
        <v>0</v>
      </c>
      <c r="L160" s="91">
        <f>EFEITO!$N$160*EFEITO!$AA$160</f>
        <v>0</v>
      </c>
      <c r="M160" s="91">
        <f ca="1">$J$160-EFEITO!$K$160*EFEITO!$Y$160</f>
        <v>0</v>
      </c>
      <c r="N160" s="91">
        <f>$K$160-EFEITO!$M$160*EFEITO!$Z$160</f>
        <v>0</v>
      </c>
      <c r="O160" s="91">
        <f>$L$160-EFEITO!$O$160*EFEITO!$AA$160</f>
        <v>0</v>
      </c>
      <c r="P160" s="20"/>
      <c r="Q160" s="20"/>
      <c r="R160" s="20"/>
      <c r="S160" s="20"/>
      <c r="T160" s="20"/>
      <c r="U160" s="20"/>
      <c r="V160" s="20"/>
      <c r="W160" s="20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83" t="s">
        <v>21</v>
      </c>
      <c r="B161" s="83" t="s">
        <v>39</v>
      </c>
      <c r="C161" s="83" t="s">
        <v>40</v>
      </c>
      <c r="D161" s="83" t="s">
        <v>38</v>
      </c>
      <c r="E161" s="83" t="s">
        <v>25</v>
      </c>
      <c r="F161" s="83" t="s">
        <v>25</v>
      </c>
      <c r="G161" s="83" t="s">
        <v>25</v>
      </c>
      <c r="H161" s="83" t="s">
        <v>25</v>
      </c>
      <c r="I161" s="90">
        <v>44621</v>
      </c>
      <c r="J161" s="91">
        <f ca="1">EFEITO!$J$161*EFEITO!$Y$161</f>
        <v>122788.99872705372</v>
      </c>
      <c r="K161" s="91">
        <f>EFEITO!$L$161*EFEITO!$Z$161</f>
        <v>0</v>
      </c>
      <c r="L161" s="91">
        <f>EFEITO!$N$161*EFEITO!$AA$161</f>
        <v>0</v>
      </c>
      <c r="M161" s="91">
        <f ca="1">$J$161-EFEITO!$K$161*EFEITO!$Y$161</f>
        <v>0</v>
      </c>
      <c r="N161" s="91">
        <f>$K$161-EFEITO!$M$161*EFEITO!$Z$161</f>
        <v>0</v>
      </c>
      <c r="O161" s="91">
        <f>$L$161-EFEITO!$O$161*EFEITO!$AA$161</f>
        <v>0</v>
      </c>
      <c r="P161" s="20"/>
      <c r="Q161" s="20"/>
      <c r="R161" s="20"/>
      <c r="S161" s="20"/>
      <c r="T161" s="20"/>
      <c r="U161" s="20"/>
      <c r="V161" s="20"/>
      <c r="W161" s="20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83" t="s">
        <v>28</v>
      </c>
      <c r="B162" s="83" t="s">
        <v>39</v>
      </c>
      <c r="C162" s="83" t="s">
        <v>40</v>
      </c>
      <c r="D162" s="83" t="s">
        <v>38</v>
      </c>
      <c r="E162" s="83" t="s">
        <v>25</v>
      </c>
      <c r="F162" s="83" t="s">
        <v>25</v>
      </c>
      <c r="G162" s="83" t="s">
        <v>25</v>
      </c>
      <c r="H162" s="83" t="s">
        <v>25</v>
      </c>
      <c r="I162" s="90">
        <v>44621</v>
      </c>
      <c r="J162" s="91">
        <f ca="1">EFEITO!$J$162*EFEITO!$Y$162</f>
        <v>11031.060095899697</v>
      </c>
      <c r="K162" s="91">
        <f>EFEITO!$L$162*EFEITO!$Z$162</f>
        <v>0</v>
      </c>
      <c r="L162" s="91">
        <f>EFEITO!$N$162*EFEITO!$AA$162</f>
        <v>0</v>
      </c>
      <c r="M162" s="91">
        <f ca="1">$J$162-EFEITO!$K$162*EFEITO!$Y$162</f>
        <v>0</v>
      </c>
      <c r="N162" s="91">
        <f>$K$162-EFEITO!$M$162*EFEITO!$Z$162</f>
        <v>0</v>
      </c>
      <c r="O162" s="91">
        <f>$L$162-EFEITO!$O$162*EFEITO!$AA$162</f>
        <v>0</v>
      </c>
      <c r="P162" s="20"/>
      <c r="Q162" s="20"/>
      <c r="R162" s="20"/>
      <c r="S162" s="20"/>
      <c r="T162" s="20"/>
      <c r="U162" s="20"/>
      <c r="V162" s="20"/>
      <c r="W162" s="20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83" t="s">
        <v>21</v>
      </c>
      <c r="B163" s="83" t="s">
        <v>39</v>
      </c>
      <c r="C163" s="83" t="s">
        <v>40</v>
      </c>
      <c r="D163" s="83" t="s">
        <v>38</v>
      </c>
      <c r="E163" s="83" t="s">
        <v>25</v>
      </c>
      <c r="F163" s="83" t="s">
        <v>25</v>
      </c>
      <c r="G163" s="83" t="s">
        <v>25</v>
      </c>
      <c r="H163" s="83" t="s">
        <v>25</v>
      </c>
      <c r="I163" s="90">
        <v>44652</v>
      </c>
      <c r="J163" s="91">
        <f ca="1">EFEITO!$J$163*EFEITO!$Y$163</f>
        <v>122436.94361761012</v>
      </c>
      <c r="K163" s="91">
        <f>EFEITO!$L$163*EFEITO!$Z$163</f>
        <v>0</v>
      </c>
      <c r="L163" s="91">
        <f>EFEITO!$N$163*EFEITO!$AA$163</f>
        <v>0</v>
      </c>
      <c r="M163" s="91">
        <f ca="1">$J$163-EFEITO!$K$163*EFEITO!$Y$163</f>
        <v>0</v>
      </c>
      <c r="N163" s="91">
        <f>$K$163-EFEITO!$M$163*EFEITO!$Z$163</f>
        <v>0</v>
      </c>
      <c r="O163" s="91">
        <f>$L$163-EFEITO!$O$163*EFEITO!$AA$163</f>
        <v>0</v>
      </c>
      <c r="P163" s="20"/>
      <c r="Q163" s="20"/>
      <c r="R163" s="20"/>
      <c r="S163" s="20"/>
      <c r="T163" s="20"/>
      <c r="U163" s="20"/>
      <c r="V163" s="20"/>
      <c r="W163" s="20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83" t="s">
        <v>28</v>
      </c>
      <c r="B164" s="83" t="s">
        <v>39</v>
      </c>
      <c r="C164" s="83" t="s">
        <v>40</v>
      </c>
      <c r="D164" s="83" t="s">
        <v>38</v>
      </c>
      <c r="E164" s="83" t="s">
        <v>25</v>
      </c>
      <c r="F164" s="83" t="s">
        <v>25</v>
      </c>
      <c r="G164" s="83" t="s">
        <v>25</v>
      </c>
      <c r="H164" s="83" t="s">
        <v>25</v>
      </c>
      <c r="I164" s="90">
        <v>44652</v>
      </c>
      <c r="J164" s="91">
        <f ca="1">EFEITO!$J$164*EFEITO!$Y$164</f>
        <v>13612.797565152818</v>
      </c>
      <c r="K164" s="91">
        <f>EFEITO!$L$164*EFEITO!$Z$164</f>
        <v>0</v>
      </c>
      <c r="L164" s="91">
        <f>EFEITO!$N$164*EFEITO!$AA$164</f>
        <v>0</v>
      </c>
      <c r="M164" s="91">
        <f ca="1">$J$164-EFEITO!$K$164*EFEITO!$Y$164</f>
        <v>0</v>
      </c>
      <c r="N164" s="91">
        <f>$K$164-EFEITO!$M$164*EFEITO!$Z$164</f>
        <v>0</v>
      </c>
      <c r="O164" s="91">
        <f>$L$164-EFEITO!$O$164*EFEITO!$AA$164</f>
        <v>0</v>
      </c>
      <c r="P164" s="20"/>
      <c r="Q164" s="20"/>
      <c r="R164" s="20"/>
      <c r="S164" s="20"/>
      <c r="T164" s="20"/>
      <c r="U164" s="20"/>
      <c r="V164" s="20"/>
      <c r="W164" s="20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83" t="s">
        <v>21</v>
      </c>
      <c r="B165" s="83" t="s">
        <v>39</v>
      </c>
      <c r="C165" s="83" t="s">
        <v>40</v>
      </c>
      <c r="D165" s="83" t="s">
        <v>38</v>
      </c>
      <c r="E165" s="83" t="s">
        <v>25</v>
      </c>
      <c r="F165" s="83" t="s">
        <v>25</v>
      </c>
      <c r="G165" s="83" t="s">
        <v>25</v>
      </c>
      <c r="H165" s="83" t="s">
        <v>25</v>
      </c>
      <c r="I165" s="90">
        <v>44682</v>
      </c>
      <c r="J165" s="91">
        <f ca="1">EFEITO!$J$165*EFEITO!$Y$165</f>
        <v>121263.42658613142</v>
      </c>
      <c r="K165" s="91">
        <f>EFEITO!$L$165*EFEITO!$Z$165</f>
        <v>0</v>
      </c>
      <c r="L165" s="91">
        <f>EFEITO!$N$165*EFEITO!$AA$165</f>
        <v>0</v>
      </c>
      <c r="M165" s="91">
        <f ca="1">$J$165-EFEITO!$K$165*EFEITO!$Y$165</f>
        <v>0</v>
      </c>
      <c r="N165" s="91">
        <f>$K$165-EFEITO!$M$165*EFEITO!$Z$165</f>
        <v>0</v>
      </c>
      <c r="O165" s="91">
        <f>$L$165-EFEITO!$O$165*EFEITO!$AA$165</f>
        <v>0</v>
      </c>
      <c r="P165" s="20"/>
      <c r="Q165" s="20"/>
      <c r="R165" s="20"/>
      <c r="S165" s="20"/>
      <c r="T165" s="20"/>
      <c r="U165" s="20"/>
      <c r="V165" s="20"/>
      <c r="W165" s="20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83" t="s">
        <v>28</v>
      </c>
      <c r="B166" s="83" t="s">
        <v>39</v>
      </c>
      <c r="C166" s="83" t="s">
        <v>40</v>
      </c>
      <c r="D166" s="83" t="s">
        <v>38</v>
      </c>
      <c r="E166" s="83" t="s">
        <v>25</v>
      </c>
      <c r="F166" s="83" t="s">
        <v>25</v>
      </c>
      <c r="G166" s="83" t="s">
        <v>25</v>
      </c>
      <c r="H166" s="83" t="s">
        <v>25</v>
      </c>
      <c r="I166" s="90">
        <v>44682</v>
      </c>
      <c r="J166" s="91">
        <f ca="1">EFEITO!$J$166*EFEITO!$Y$166</f>
        <v>13612.797565152818</v>
      </c>
      <c r="K166" s="91">
        <f>EFEITO!$L$166*EFEITO!$Z$166</f>
        <v>0</v>
      </c>
      <c r="L166" s="91">
        <f>EFEITO!$N$166*EFEITO!$AA$166</f>
        <v>0</v>
      </c>
      <c r="M166" s="91">
        <f ca="1">$J$166-EFEITO!$K$166*EFEITO!$Y$166</f>
        <v>0</v>
      </c>
      <c r="N166" s="91">
        <f>$K$166-EFEITO!$M$166*EFEITO!$Z$166</f>
        <v>0</v>
      </c>
      <c r="O166" s="91">
        <f>$L$166-EFEITO!$O$166*EFEITO!$AA$166</f>
        <v>0</v>
      </c>
      <c r="P166" s="20"/>
      <c r="Q166" s="20"/>
      <c r="R166" s="20"/>
      <c r="S166" s="20"/>
      <c r="T166" s="20"/>
      <c r="U166" s="20"/>
      <c r="V166" s="20"/>
      <c r="W166" s="20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83" t="s">
        <v>21</v>
      </c>
      <c r="B167" s="83" t="s">
        <v>39</v>
      </c>
      <c r="C167" s="83" t="s">
        <v>40</v>
      </c>
      <c r="D167" s="83" t="s">
        <v>38</v>
      </c>
      <c r="E167" s="83" t="s">
        <v>25</v>
      </c>
      <c r="F167" s="83" t="s">
        <v>25</v>
      </c>
      <c r="G167" s="83" t="s">
        <v>25</v>
      </c>
      <c r="H167" s="83" t="s">
        <v>25</v>
      </c>
      <c r="I167" s="90">
        <v>44713</v>
      </c>
      <c r="J167" s="91">
        <f ca="1">EFEITO!$J$167*EFEITO!$Y$167</f>
        <v>120794.01977353994</v>
      </c>
      <c r="K167" s="91">
        <f>EFEITO!$L$167*EFEITO!$Z$167</f>
        <v>0</v>
      </c>
      <c r="L167" s="91">
        <f>EFEITO!$N$167*EFEITO!$AA$167</f>
        <v>0</v>
      </c>
      <c r="M167" s="91">
        <f ca="1">$J$167-EFEITO!$K$167*EFEITO!$Y$167</f>
        <v>0</v>
      </c>
      <c r="N167" s="91">
        <f>$K$167-EFEITO!$M$167*EFEITO!$Z$167</f>
        <v>0</v>
      </c>
      <c r="O167" s="91">
        <f>$L$167-EFEITO!$O$167*EFEITO!$AA$167</f>
        <v>0</v>
      </c>
      <c r="P167" s="20"/>
      <c r="Q167" s="20"/>
      <c r="R167" s="20"/>
      <c r="S167" s="20"/>
      <c r="T167" s="20"/>
      <c r="U167" s="20"/>
      <c r="V167" s="20"/>
      <c r="W167" s="20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83" t="s">
        <v>28</v>
      </c>
      <c r="B168" s="83" t="s">
        <v>39</v>
      </c>
      <c r="C168" s="83" t="s">
        <v>40</v>
      </c>
      <c r="D168" s="83" t="s">
        <v>38</v>
      </c>
      <c r="E168" s="83" t="s">
        <v>25</v>
      </c>
      <c r="F168" s="83" t="s">
        <v>25</v>
      </c>
      <c r="G168" s="83" t="s">
        <v>25</v>
      </c>
      <c r="H168" s="83" t="s">
        <v>25</v>
      </c>
      <c r="I168" s="90">
        <v>44713</v>
      </c>
      <c r="J168" s="91">
        <f ca="1">EFEITO!$J$168*EFEITO!$Y$168</f>
        <v>14786.314596631508</v>
      </c>
      <c r="K168" s="91">
        <f>EFEITO!$L$168*EFEITO!$Z$168</f>
        <v>0</v>
      </c>
      <c r="L168" s="91">
        <f>EFEITO!$N$168*EFEITO!$AA$168</f>
        <v>0</v>
      </c>
      <c r="M168" s="91">
        <f ca="1">$J$168-EFEITO!$K$168*EFEITO!$Y$168</f>
        <v>0</v>
      </c>
      <c r="N168" s="91">
        <f>$K$168-EFEITO!$M$168*EFEITO!$Z$168</f>
        <v>0</v>
      </c>
      <c r="O168" s="91">
        <f>$L$168-EFEITO!$O$168*EFEITO!$AA$168</f>
        <v>0</v>
      </c>
      <c r="P168" s="20"/>
      <c r="Q168" s="20"/>
      <c r="R168" s="20"/>
      <c r="S168" s="20"/>
      <c r="T168" s="20"/>
      <c r="U168" s="20"/>
      <c r="V168" s="20"/>
      <c r="W168" s="20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83" t="s">
        <v>21</v>
      </c>
      <c r="B169" s="83" t="s">
        <v>39</v>
      </c>
      <c r="C169" s="83" t="s">
        <v>40</v>
      </c>
      <c r="D169" s="83" t="s">
        <v>38</v>
      </c>
      <c r="E169" s="83" t="s">
        <v>25</v>
      </c>
      <c r="F169" s="83" t="s">
        <v>25</v>
      </c>
      <c r="G169" s="83" t="s">
        <v>25</v>
      </c>
      <c r="H169" s="83" t="s">
        <v>34</v>
      </c>
      <c r="I169" s="90">
        <v>44378</v>
      </c>
      <c r="J169" s="91">
        <f>EFEITO!$J$169*EFEITO!$Y$169</f>
        <v>0</v>
      </c>
      <c r="K169" s="91">
        <f ca="1">EFEITO!$L$169*EFEITO!$Z$169</f>
        <v>24149.735818686924</v>
      </c>
      <c r="L169" s="91">
        <f>EFEITO!$N$169*EFEITO!$AA$169</f>
        <v>3976.1057238463286</v>
      </c>
      <c r="M169" s="91">
        <f>$J$169-EFEITO!$K$169*EFEITO!$Y$169</f>
        <v>0</v>
      </c>
      <c r="N169" s="91">
        <f ca="1">$K$169-EFEITO!$M$169*EFEITO!$Z$169</f>
        <v>0</v>
      </c>
      <c r="O169" s="91">
        <f>$L$169-EFEITO!$O$169*EFEITO!$AA$169</f>
        <v>0</v>
      </c>
      <c r="P169" s="20"/>
      <c r="Q169" s="20"/>
      <c r="R169" s="20"/>
      <c r="S169" s="20"/>
      <c r="T169" s="20"/>
      <c r="U169" s="20"/>
      <c r="V169" s="20"/>
      <c r="W169" s="20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83" t="s">
        <v>21</v>
      </c>
      <c r="B170" s="83" t="s">
        <v>39</v>
      </c>
      <c r="C170" s="83" t="s">
        <v>40</v>
      </c>
      <c r="D170" s="83" t="s">
        <v>38</v>
      </c>
      <c r="E170" s="83" t="s">
        <v>25</v>
      </c>
      <c r="F170" s="83" t="s">
        <v>25</v>
      </c>
      <c r="G170" s="83" t="s">
        <v>25</v>
      </c>
      <c r="H170" s="83" t="s">
        <v>34</v>
      </c>
      <c r="I170" s="90">
        <v>44409</v>
      </c>
      <c r="J170" s="91">
        <f>EFEITO!$J$170*EFEITO!$Y$170</f>
        <v>0</v>
      </c>
      <c r="K170" s="91">
        <f ca="1">EFEITO!$L$170*EFEITO!$Z$170</f>
        <v>18927.506762030076</v>
      </c>
      <c r="L170" s="91">
        <f>EFEITO!$N$170*EFEITO!$AA$170</f>
        <v>3116.2977740076913</v>
      </c>
      <c r="M170" s="91">
        <f>$J$170-EFEITO!$K$170*EFEITO!$Y$170</f>
        <v>0</v>
      </c>
      <c r="N170" s="91">
        <f ca="1">$K$170-EFEITO!$M$170*EFEITO!$Z$170</f>
        <v>0</v>
      </c>
      <c r="O170" s="91">
        <f>$L$170-EFEITO!$O$170*EFEITO!$AA$170</f>
        <v>0</v>
      </c>
      <c r="P170" s="20"/>
      <c r="Q170" s="20"/>
      <c r="R170" s="20"/>
      <c r="S170" s="20"/>
      <c r="T170" s="20"/>
      <c r="U170" s="20"/>
      <c r="V170" s="20"/>
      <c r="W170" s="20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83" t="s">
        <v>21</v>
      </c>
      <c r="B171" s="83" t="s">
        <v>39</v>
      </c>
      <c r="C171" s="83" t="s">
        <v>40</v>
      </c>
      <c r="D171" s="83" t="s">
        <v>38</v>
      </c>
      <c r="E171" s="83" t="s">
        <v>25</v>
      </c>
      <c r="F171" s="83" t="s">
        <v>25</v>
      </c>
      <c r="G171" s="83" t="s">
        <v>25</v>
      </c>
      <c r="H171" s="83" t="s">
        <v>34</v>
      </c>
      <c r="I171" s="90">
        <v>44440</v>
      </c>
      <c r="J171" s="91">
        <f>EFEITO!$J$171*EFEITO!$Y$171</f>
        <v>0</v>
      </c>
      <c r="K171" s="91">
        <f ca="1">EFEITO!$L$171*EFEITO!$Z$171</f>
        <v>19381.449164636975</v>
      </c>
      <c r="L171" s="91">
        <f>EFEITO!$N$171*EFEITO!$AA$171</f>
        <v>3191.0366034032991</v>
      </c>
      <c r="M171" s="91">
        <f>$J$171-EFEITO!$K$171*EFEITO!$Y$171</f>
        <v>0</v>
      </c>
      <c r="N171" s="91">
        <f ca="1">$K$171-EFEITO!$M$171*EFEITO!$Z$171</f>
        <v>0</v>
      </c>
      <c r="O171" s="91">
        <f>$L$171-EFEITO!$O$171*EFEITO!$AA$171</f>
        <v>0</v>
      </c>
      <c r="P171" s="20"/>
      <c r="Q171" s="20"/>
      <c r="R171" s="20"/>
      <c r="S171" s="20"/>
      <c r="T171" s="20"/>
      <c r="U171" s="20"/>
      <c r="V171" s="20"/>
      <c r="W171" s="20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83" t="s">
        <v>21</v>
      </c>
      <c r="B172" s="83" t="s">
        <v>39</v>
      </c>
      <c r="C172" s="83" t="s">
        <v>40</v>
      </c>
      <c r="D172" s="83" t="s">
        <v>38</v>
      </c>
      <c r="E172" s="83" t="s">
        <v>25</v>
      </c>
      <c r="F172" s="83" t="s">
        <v>25</v>
      </c>
      <c r="G172" s="83" t="s">
        <v>25</v>
      </c>
      <c r="H172" s="83" t="s">
        <v>34</v>
      </c>
      <c r="I172" s="90">
        <v>44470</v>
      </c>
      <c r="J172" s="91">
        <f>EFEITO!$J$172*EFEITO!$Y$172</f>
        <v>0</v>
      </c>
      <c r="K172" s="91">
        <f ca="1">EFEITO!$L$172*EFEITO!$Z$172</f>
        <v>16587.811961927029</v>
      </c>
      <c r="L172" s="91">
        <f>EFEITO!$N$172*EFEITO!$AA$172</f>
        <v>2731.0813908311634</v>
      </c>
      <c r="M172" s="91">
        <f>$J$172-EFEITO!$K$172*EFEITO!$Y$172</f>
        <v>0</v>
      </c>
      <c r="N172" s="91">
        <f ca="1">$K$172-EFEITO!$M$172*EFEITO!$Z$172</f>
        <v>0</v>
      </c>
      <c r="O172" s="91">
        <f>$L$172-EFEITO!$O$172*EFEITO!$AA$172</f>
        <v>0</v>
      </c>
      <c r="P172" s="20"/>
      <c r="Q172" s="20"/>
      <c r="R172" s="20"/>
      <c r="S172" s="20"/>
      <c r="T172" s="20"/>
      <c r="U172" s="20"/>
      <c r="V172" s="20"/>
      <c r="W172" s="20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83" t="s">
        <v>21</v>
      </c>
      <c r="B173" s="83" t="s">
        <v>39</v>
      </c>
      <c r="C173" s="83" t="s">
        <v>40</v>
      </c>
      <c r="D173" s="83" t="s">
        <v>38</v>
      </c>
      <c r="E173" s="83" t="s">
        <v>25</v>
      </c>
      <c r="F173" s="83" t="s">
        <v>25</v>
      </c>
      <c r="G173" s="83" t="s">
        <v>25</v>
      </c>
      <c r="H173" s="83" t="s">
        <v>34</v>
      </c>
      <c r="I173" s="90">
        <v>44501</v>
      </c>
      <c r="J173" s="91">
        <f>EFEITO!$J$173*EFEITO!$Y$173</f>
        <v>0</v>
      </c>
      <c r="K173" s="91">
        <f ca="1">EFEITO!$L$173*EFEITO!$Z$173</f>
        <v>20259.071143010311</v>
      </c>
      <c r="L173" s="91">
        <f>EFEITO!$N$173*EFEITO!$AA$173</f>
        <v>3335.5316735681408</v>
      </c>
      <c r="M173" s="91">
        <f>$J$173-EFEITO!$K$173*EFEITO!$Y$173</f>
        <v>0</v>
      </c>
      <c r="N173" s="91">
        <f ca="1">$K$173-EFEITO!$M$173*EFEITO!$Z$173</f>
        <v>0</v>
      </c>
      <c r="O173" s="91">
        <f>$L$173-EFEITO!$O$173*EFEITO!$AA$173</f>
        <v>0</v>
      </c>
      <c r="P173" s="20"/>
      <c r="Q173" s="20"/>
      <c r="R173" s="20"/>
      <c r="S173" s="20"/>
      <c r="T173" s="20"/>
      <c r="U173" s="20"/>
      <c r="V173" s="20"/>
      <c r="W173" s="20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83" t="s">
        <v>21</v>
      </c>
      <c r="B174" s="83" t="s">
        <v>39</v>
      </c>
      <c r="C174" s="83" t="s">
        <v>40</v>
      </c>
      <c r="D174" s="83" t="s">
        <v>38</v>
      </c>
      <c r="E174" s="83" t="s">
        <v>25</v>
      </c>
      <c r="F174" s="83" t="s">
        <v>25</v>
      </c>
      <c r="G174" s="83" t="s">
        <v>25</v>
      </c>
      <c r="H174" s="83" t="s">
        <v>34</v>
      </c>
      <c r="I174" s="90">
        <v>44531</v>
      </c>
      <c r="J174" s="91">
        <f>EFEITO!$J$174*EFEITO!$Y$174</f>
        <v>0</v>
      </c>
      <c r="K174" s="91">
        <f ca="1">EFEITO!$L$174*EFEITO!$Z$174</f>
        <v>22133.474980441286</v>
      </c>
      <c r="L174" s="91">
        <f>EFEITO!$N$174*EFEITO!$AA$174</f>
        <v>3644.1407566141706</v>
      </c>
      <c r="M174" s="91">
        <f>$J$174-EFEITO!$K$174*EFEITO!$Y$174</f>
        <v>0</v>
      </c>
      <c r="N174" s="91">
        <f ca="1">$K$174-EFEITO!$M$174*EFEITO!$Z$174</f>
        <v>0</v>
      </c>
      <c r="O174" s="91">
        <f>$L$174-EFEITO!$O$174*EFEITO!$AA$174</f>
        <v>0</v>
      </c>
      <c r="P174" s="20"/>
      <c r="Q174" s="20"/>
      <c r="R174" s="20"/>
      <c r="S174" s="20"/>
      <c r="T174" s="20"/>
      <c r="U174" s="20"/>
      <c r="V174" s="20"/>
      <c r="W174" s="20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83" t="s">
        <v>28</v>
      </c>
      <c r="B175" s="83" t="s">
        <v>39</v>
      </c>
      <c r="C175" s="83" t="s">
        <v>40</v>
      </c>
      <c r="D175" s="83" t="s">
        <v>38</v>
      </c>
      <c r="E175" s="83" t="s">
        <v>25</v>
      </c>
      <c r="F175" s="83" t="s">
        <v>25</v>
      </c>
      <c r="G175" s="83" t="s">
        <v>25</v>
      </c>
      <c r="H175" s="83" t="s">
        <v>34</v>
      </c>
      <c r="I175" s="90">
        <v>44531</v>
      </c>
      <c r="J175" s="91">
        <f>EFEITO!$J$175*EFEITO!$Y$175</f>
        <v>0</v>
      </c>
      <c r="K175" s="91">
        <f ca="1">EFEITO!$L$175*EFEITO!$Z$175</f>
        <v>107.81132061913804</v>
      </c>
      <c r="L175" s="91">
        <f>EFEITO!$N$175*EFEITO!$AA$175</f>
        <v>17.750471981456823</v>
      </c>
      <c r="M175" s="91">
        <f>$J$175-EFEITO!$K$175*EFEITO!$Y$175</f>
        <v>0</v>
      </c>
      <c r="N175" s="91">
        <f ca="1">$K$175-EFEITO!$M$175*EFEITO!$Z$175</f>
        <v>0</v>
      </c>
      <c r="O175" s="91">
        <f>$L$175-EFEITO!$O$175*EFEITO!$AA$175</f>
        <v>0</v>
      </c>
      <c r="P175" s="20"/>
      <c r="Q175" s="20"/>
      <c r="R175" s="20"/>
      <c r="S175" s="20"/>
      <c r="T175" s="20"/>
      <c r="U175" s="20"/>
      <c r="V175" s="20"/>
      <c r="W175" s="20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83" t="s">
        <v>21</v>
      </c>
      <c r="B176" s="83" t="s">
        <v>39</v>
      </c>
      <c r="C176" s="83" t="s">
        <v>40</v>
      </c>
      <c r="D176" s="83" t="s">
        <v>38</v>
      </c>
      <c r="E176" s="83" t="s">
        <v>25</v>
      </c>
      <c r="F176" s="83" t="s">
        <v>25</v>
      </c>
      <c r="G176" s="83" t="s">
        <v>25</v>
      </c>
      <c r="H176" s="83" t="s">
        <v>34</v>
      </c>
      <c r="I176" s="90">
        <v>44562</v>
      </c>
      <c r="J176" s="91">
        <f>EFEITO!$J$176*EFEITO!$Y$176</f>
        <v>0</v>
      </c>
      <c r="K176" s="91">
        <f ca="1">EFEITO!$L$176*EFEITO!$Z$176</f>
        <v>20535.219437929503</v>
      </c>
      <c r="L176" s="91">
        <f>EFEITO!$N$176*EFEITO!$AA$176</f>
        <v>3380.997794783802</v>
      </c>
      <c r="M176" s="91">
        <f>$J$176-EFEITO!$K$176*EFEITO!$Y$176</f>
        <v>0</v>
      </c>
      <c r="N176" s="91">
        <f ca="1">$K$176-EFEITO!$M$176*EFEITO!$Z$176</f>
        <v>0</v>
      </c>
      <c r="O176" s="91">
        <f>$L$176-EFEITO!$O$176*EFEITO!$AA$176</f>
        <v>0</v>
      </c>
      <c r="P176" s="20"/>
      <c r="Q176" s="20"/>
      <c r="R176" s="20"/>
      <c r="S176" s="20"/>
      <c r="T176" s="20"/>
      <c r="U176" s="20"/>
      <c r="V176" s="20"/>
      <c r="W176" s="20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83" t="s">
        <v>21</v>
      </c>
      <c r="B177" s="83" t="s">
        <v>39</v>
      </c>
      <c r="C177" s="83" t="s">
        <v>40</v>
      </c>
      <c r="D177" s="83" t="s">
        <v>38</v>
      </c>
      <c r="E177" s="83" t="s">
        <v>25</v>
      </c>
      <c r="F177" s="83" t="s">
        <v>25</v>
      </c>
      <c r="G177" s="83" t="s">
        <v>25</v>
      </c>
      <c r="H177" s="83" t="s">
        <v>34</v>
      </c>
      <c r="I177" s="90">
        <v>44593</v>
      </c>
      <c r="J177" s="91">
        <f>EFEITO!$J$177*EFEITO!$Y$177</f>
        <v>0</v>
      </c>
      <c r="K177" s="91">
        <f ca="1">EFEITO!$L$177*EFEITO!$Z$177</f>
        <v>19897.80864760232</v>
      </c>
      <c r="L177" s="91">
        <f>EFEITO!$N$177*EFEITO!$AA$177</f>
        <v>3276.0520218408028</v>
      </c>
      <c r="M177" s="91">
        <f>$J$177-EFEITO!$K$177*EFEITO!$Y$177</f>
        <v>0</v>
      </c>
      <c r="N177" s="91">
        <f ca="1">$K$177-EFEITO!$M$177*EFEITO!$Z$177</f>
        <v>0</v>
      </c>
      <c r="O177" s="91">
        <f>$L$177-EFEITO!$O$177*EFEITO!$AA$177</f>
        <v>0</v>
      </c>
      <c r="P177" s="20"/>
      <c r="Q177" s="20"/>
      <c r="R177" s="20"/>
      <c r="S177" s="20"/>
      <c r="T177" s="20"/>
      <c r="U177" s="20"/>
      <c r="V177" s="20"/>
      <c r="W177" s="20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83" t="s">
        <v>28</v>
      </c>
      <c r="B178" s="83" t="s">
        <v>39</v>
      </c>
      <c r="C178" s="83" t="s">
        <v>40</v>
      </c>
      <c r="D178" s="83" t="s">
        <v>38</v>
      </c>
      <c r="E178" s="83" t="s">
        <v>25</v>
      </c>
      <c r="F178" s="83" t="s">
        <v>25</v>
      </c>
      <c r="G178" s="83" t="s">
        <v>25</v>
      </c>
      <c r="H178" s="83" t="s">
        <v>34</v>
      </c>
      <c r="I178" s="90">
        <v>44593</v>
      </c>
      <c r="J178" s="91">
        <f>EFEITO!$J$178*EFEITO!$Y$178</f>
        <v>0</v>
      </c>
      <c r="K178" s="91">
        <f ca="1">EFEITO!$L$178*EFEITO!$Z$178</f>
        <v>306.41112175965549</v>
      </c>
      <c r="L178" s="91">
        <f>EFEITO!$N$178*EFEITO!$AA$178</f>
        <v>50.448709842035178</v>
      </c>
      <c r="M178" s="91">
        <f>$J$178-EFEITO!$K$178*EFEITO!$Y$178</f>
        <v>0</v>
      </c>
      <c r="N178" s="91">
        <f ca="1">$K$178-EFEITO!$M$178*EFEITO!$Z$178</f>
        <v>0</v>
      </c>
      <c r="O178" s="91">
        <f>$L$178-EFEITO!$O$178*EFEITO!$AA$178</f>
        <v>0</v>
      </c>
      <c r="P178" s="20"/>
      <c r="Q178" s="20"/>
      <c r="R178" s="20"/>
      <c r="S178" s="20"/>
      <c r="T178" s="20"/>
      <c r="U178" s="20"/>
      <c r="V178" s="20"/>
      <c r="W178" s="20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83" t="s">
        <v>21</v>
      </c>
      <c r="B179" s="83" t="s">
        <v>39</v>
      </c>
      <c r="C179" s="83" t="s">
        <v>40</v>
      </c>
      <c r="D179" s="83" t="s">
        <v>38</v>
      </c>
      <c r="E179" s="83" t="s">
        <v>25</v>
      </c>
      <c r="F179" s="83" t="s">
        <v>25</v>
      </c>
      <c r="G179" s="83" t="s">
        <v>25</v>
      </c>
      <c r="H179" s="83" t="s">
        <v>34</v>
      </c>
      <c r="I179" s="90">
        <v>44621</v>
      </c>
      <c r="J179" s="91">
        <f>EFEITO!$J$179*EFEITO!$Y$179</f>
        <v>0</v>
      </c>
      <c r="K179" s="91">
        <f ca="1">EFEITO!$L$179*EFEITO!$Z$179</f>
        <v>23241.85101347313</v>
      </c>
      <c r="L179" s="91">
        <f>EFEITO!$N$179*EFEITO!$AA$179</f>
        <v>3826.628065055113</v>
      </c>
      <c r="M179" s="91">
        <f>$J$179-EFEITO!$K$179*EFEITO!$Y$179</f>
        <v>0</v>
      </c>
      <c r="N179" s="91">
        <f ca="1">$K$179-EFEITO!$M$179*EFEITO!$Z$179</f>
        <v>0</v>
      </c>
      <c r="O179" s="91">
        <f>$L$179-EFEITO!$O$179*EFEITO!$AA$179</f>
        <v>0</v>
      </c>
      <c r="P179" s="20"/>
      <c r="Q179" s="20"/>
      <c r="R179" s="20"/>
      <c r="S179" s="20"/>
      <c r="T179" s="20"/>
      <c r="U179" s="20"/>
      <c r="V179" s="20"/>
      <c r="W179" s="20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83" t="s">
        <v>28</v>
      </c>
      <c r="B180" s="83" t="s">
        <v>39</v>
      </c>
      <c r="C180" s="83" t="s">
        <v>40</v>
      </c>
      <c r="D180" s="83" t="s">
        <v>38</v>
      </c>
      <c r="E180" s="83" t="s">
        <v>25</v>
      </c>
      <c r="F180" s="83" t="s">
        <v>25</v>
      </c>
      <c r="G180" s="83" t="s">
        <v>25</v>
      </c>
      <c r="H180" s="83" t="s">
        <v>34</v>
      </c>
      <c r="I180" s="90">
        <v>44621</v>
      </c>
      <c r="J180" s="91">
        <f>EFEITO!$J$180*EFEITO!$Y$180</f>
        <v>0</v>
      </c>
      <c r="K180" s="91">
        <f ca="1">EFEITO!$L$180*EFEITO!$Z$180</f>
        <v>2065.4379318613815</v>
      </c>
      <c r="L180" s="91">
        <f>EFEITO!$N$180*EFEITO!$AA$180</f>
        <v>340.06167375001496</v>
      </c>
      <c r="M180" s="91">
        <f>$J$180-EFEITO!$K$180*EFEITO!$Y$180</f>
        <v>0</v>
      </c>
      <c r="N180" s="91">
        <f ca="1">$K$180-EFEITO!$M$180*EFEITO!$Z$180</f>
        <v>0</v>
      </c>
      <c r="O180" s="91">
        <f>$L$180-EFEITO!$O$180*EFEITO!$AA$180</f>
        <v>0</v>
      </c>
      <c r="P180" s="20"/>
      <c r="Q180" s="20"/>
      <c r="R180" s="20"/>
      <c r="S180" s="20"/>
      <c r="T180" s="20"/>
      <c r="U180" s="20"/>
      <c r="V180" s="20"/>
      <c r="W180" s="20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83" t="s">
        <v>21</v>
      </c>
      <c r="B181" s="83" t="s">
        <v>39</v>
      </c>
      <c r="C181" s="83" t="s">
        <v>40</v>
      </c>
      <c r="D181" s="83" t="s">
        <v>38</v>
      </c>
      <c r="E181" s="83" t="s">
        <v>25</v>
      </c>
      <c r="F181" s="83" t="s">
        <v>25</v>
      </c>
      <c r="G181" s="83" t="s">
        <v>25</v>
      </c>
      <c r="H181" s="83" t="s">
        <v>34</v>
      </c>
      <c r="I181" s="90">
        <v>44652</v>
      </c>
      <c r="J181" s="91">
        <f>EFEITO!$J$181*EFEITO!$Y$181</f>
        <v>0</v>
      </c>
      <c r="K181" s="91">
        <f ca="1">EFEITO!$L$181*EFEITO!$Z$181</f>
        <v>19230.135030434674</v>
      </c>
      <c r="L181" s="91">
        <f>EFEITO!$N$181*EFEITO!$AA$181</f>
        <v>3166.1236602714298</v>
      </c>
      <c r="M181" s="91">
        <f>$J$181-EFEITO!$K$181*EFEITO!$Y$181</f>
        <v>0</v>
      </c>
      <c r="N181" s="91">
        <f ca="1">$K$181-EFEITO!$M$181*EFEITO!$Z$181</f>
        <v>0</v>
      </c>
      <c r="O181" s="91">
        <f>$L$181-EFEITO!$O$181*EFEITO!$AA$181</f>
        <v>0</v>
      </c>
      <c r="P181" s="20"/>
      <c r="Q181" s="20"/>
      <c r="R181" s="20"/>
      <c r="S181" s="20"/>
      <c r="T181" s="20"/>
      <c r="U181" s="20"/>
      <c r="V181" s="20"/>
      <c r="W181" s="20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83" t="s">
        <v>28</v>
      </c>
      <c r="B182" s="83" t="s">
        <v>39</v>
      </c>
      <c r="C182" s="83" t="s">
        <v>40</v>
      </c>
      <c r="D182" s="83" t="s">
        <v>38</v>
      </c>
      <c r="E182" s="83" t="s">
        <v>25</v>
      </c>
      <c r="F182" s="83" t="s">
        <v>25</v>
      </c>
      <c r="G182" s="83" t="s">
        <v>25</v>
      </c>
      <c r="H182" s="83" t="s">
        <v>34</v>
      </c>
      <c r="I182" s="90">
        <v>44652</v>
      </c>
      <c r="J182" s="91">
        <f>EFEITO!$J$182*EFEITO!$Y$182</f>
        <v>0</v>
      </c>
      <c r="K182" s="91">
        <f ca="1">EFEITO!$L$182*EFEITO!$Z$182</f>
        <v>2347.2605068131634</v>
      </c>
      <c r="L182" s="91">
        <f>EFEITO!$N$182*EFEITO!$AA$182</f>
        <v>386.46203033312139</v>
      </c>
      <c r="M182" s="91">
        <f>$J$182-EFEITO!$K$182*EFEITO!$Y$182</f>
        <v>0</v>
      </c>
      <c r="N182" s="91">
        <f ca="1">$K$182-EFEITO!$M$182*EFEITO!$Z$182</f>
        <v>0</v>
      </c>
      <c r="O182" s="91">
        <f>$L$182-EFEITO!$O$182*EFEITO!$AA$182</f>
        <v>0</v>
      </c>
      <c r="P182" s="20"/>
      <c r="Q182" s="20"/>
      <c r="R182" s="20"/>
      <c r="S182" s="20"/>
      <c r="T182" s="20"/>
      <c r="U182" s="20"/>
      <c r="V182" s="20"/>
      <c r="W182" s="20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83" t="s">
        <v>21</v>
      </c>
      <c r="B183" s="83" t="s">
        <v>39</v>
      </c>
      <c r="C183" s="83" t="s">
        <v>40</v>
      </c>
      <c r="D183" s="83" t="s">
        <v>38</v>
      </c>
      <c r="E183" s="83" t="s">
        <v>25</v>
      </c>
      <c r="F183" s="83" t="s">
        <v>25</v>
      </c>
      <c r="G183" s="83" t="s">
        <v>25</v>
      </c>
      <c r="H183" s="83" t="s">
        <v>34</v>
      </c>
      <c r="I183" s="90">
        <v>44682</v>
      </c>
      <c r="J183" s="91">
        <f>EFEITO!$J$183*EFEITO!$Y$183</f>
        <v>0</v>
      </c>
      <c r="K183" s="91">
        <f ca="1">EFEITO!$L$183*EFEITO!$Z$183</f>
        <v>23544.479281877728</v>
      </c>
      <c r="L183" s="91">
        <f>EFEITO!$N$183*EFEITO!$AA$183</f>
        <v>3876.4539513188515</v>
      </c>
      <c r="M183" s="91">
        <f>$J$183-EFEITO!$K$183*EFEITO!$Y$183</f>
        <v>0</v>
      </c>
      <c r="N183" s="91">
        <f ca="1">$K$183-EFEITO!$M$183*EFEITO!$Z$183</f>
        <v>0</v>
      </c>
      <c r="O183" s="91">
        <f>$L$183-EFEITO!$O$183*EFEITO!$AA$183</f>
        <v>0</v>
      </c>
      <c r="P183" s="20"/>
      <c r="Q183" s="20"/>
      <c r="R183" s="20"/>
      <c r="S183" s="20"/>
      <c r="T183" s="20"/>
      <c r="U183" s="20"/>
      <c r="V183" s="20"/>
      <c r="W183" s="20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83" t="s">
        <v>28</v>
      </c>
      <c r="B184" s="83" t="s">
        <v>39</v>
      </c>
      <c r="C184" s="83" t="s">
        <v>40</v>
      </c>
      <c r="D184" s="83" t="s">
        <v>38</v>
      </c>
      <c r="E184" s="83" t="s">
        <v>25</v>
      </c>
      <c r="F184" s="83" t="s">
        <v>25</v>
      </c>
      <c r="G184" s="83" t="s">
        <v>25</v>
      </c>
      <c r="H184" s="83" t="s">
        <v>34</v>
      </c>
      <c r="I184" s="90">
        <v>44682</v>
      </c>
      <c r="J184" s="91">
        <f>EFEITO!$J$184*EFEITO!$Y$184</f>
        <v>0</v>
      </c>
      <c r="K184" s="91">
        <f ca="1">EFEITO!$L$184*EFEITO!$Z$184</f>
        <v>1605.8212492218981</v>
      </c>
      <c r="L184" s="91">
        <f>EFEITO!$N$184*EFEITO!$AA$184</f>
        <v>264.38860898696214</v>
      </c>
      <c r="M184" s="91">
        <f>$J$184-EFEITO!$K$184*EFEITO!$Y$184</f>
        <v>0</v>
      </c>
      <c r="N184" s="91">
        <f ca="1">$K$184-EFEITO!$M$184*EFEITO!$Z$184</f>
        <v>0</v>
      </c>
      <c r="O184" s="91">
        <f>$L$184-EFEITO!$O$184*EFEITO!$AA$184</f>
        <v>0</v>
      </c>
      <c r="P184" s="20"/>
      <c r="Q184" s="20"/>
      <c r="R184" s="20"/>
      <c r="S184" s="20"/>
      <c r="T184" s="20"/>
      <c r="U184" s="20"/>
      <c r="V184" s="20"/>
      <c r="W184" s="20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83" t="s">
        <v>21</v>
      </c>
      <c r="B185" s="83" t="s">
        <v>39</v>
      </c>
      <c r="C185" s="83" t="s">
        <v>40</v>
      </c>
      <c r="D185" s="83" t="s">
        <v>38</v>
      </c>
      <c r="E185" s="83" t="s">
        <v>25</v>
      </c>
      <c r="F185" s="83" t="s">
        <v>25</v>
      </c>
      <c r="G185" s="83" t="s">
        <v>25</v>
      </c>
      <c r="H185" s="83" t="s">
        <v>34</v>
      </c>
      <c r="I185" s="90">
        <v>44713</v>
      </c>
      <c r="J185" s="91">
        <f>EFEITO!$J$185*EFEITO!$Y$185</f>
        <v>0</v>
      </c>
      <c r="K185" s="91">
        <f ca="1">EFEITO!$L$185*EFEITO!$Z$185</f>
        <v>21953.789446076058</v>
      </c>
      <c r="L185" s="91">
        <f>EFEITO!$N$185*EFEITO!$AA$185</f>
        <v>3614.5566366450757</v>
      </c>
      <c r="M185" s="91">
        <f>$J$185-EFEITO!$K$185*EFEITO!$Y$185</f>
        <v>0</v>
      </c>
      <c r="N185" s="91">
        <f ca="1">$K$185-EFEITO!$M$185*EFEITO!$Z$185</f>
        <v>0</v>
      </c>
      <c r="O185" s="91">
        <f>$L$185-EFEITO!$O$185*EFEITO!$AA$185</f>
        <v>0</v>
      </c>
      <c r="P185" s="20"/>
      <c r="Q185" s="20"/>
      <c r="R185" s="20"/>
      <c r="S185" s="20"/>
      <c r="T185" s="20"/>
      <c r="U185" s="20"/>
      <c r="V185" s="20"/>
      <c r="W185" s="20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83" t="s">
        <v>28</v>
      </c>
      <c r="B186" s="83" t="s">
        <v>39</v>
      </c>
      <c r="C186" s="83" t="s">
        <v>40</v>
      </c>
      <c r="D186" s="83" t="s">
        <v>38</v>
      </c>
      <c r="E186" s="83" t="s">
        <v>25</v>
      </c>
      <c r="F186" s="83" t="s">
        <v>25</v>
      </c>
      <c r="G186" s="83" t="s">
        <v>25</v>
      </c>
      <c r="H186" s="83" t="s">
        <v>34</v>
      </c>
      <c r="I186" s="90">
        <v>44713</v>
      </c>
      <c r="J186" s="91">
        <f>EFEITO!$J$186*EFEITO!$Y$186</f>
        <v>0</v>
      </c>
      <c r="K186" s="91">
        <f ca="1">EFEITO!$L$186*EFEITO!$Z$186</f>
        <v>482.3138027698281</v>
      </c>
      <c r="L186" s="91">
        <f>EFEITO!$N$186*EFEITO!$AA$186</f>
        <v>79.410006232833155</v>
      </c>
      <c r="M186" s="91">
        <f>$J$186-EFEITO!$K$186*EFEITO!$Y$186</f>
        <v>0</v>
      </c>
      <c r="N186" s="91">
        <f ca="1">$K$186-EFEITO!$M$186*EFEITO!$Z$186</f>
        <v>0</v>
      </c>
      <c r="O186" s="91">
        <f>$L$186-EFEITO!$O$186*EFEITO!$AA$186</f>
        <v>0</v>
      </c>
      <c r="P186" s="20"/>
      <c r="Q186" s="20"/>
      <c r="R186" s="20"/>
      <c r="S186" s="20"/>
      <c r="T186" s="20"/>
      <c r="U186" s="20"/>
      <c r="V186" s="20"/>
      <c r="W186" s="20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83" t="s">
        <v>21</v>
      </c>
      <c r="B187" s="83" t="s">
        <v>39</v>
      </c>
      <c r="C187" s="83" t="s">
        <v>40</v>
      </c>
      <c r="D187" s="83" t="s">
        <v>44</v>
      </c>
      <c r="E187" s="83" t="s">
        <v>25</v>
      </c>
      <c r="F187" s="83" t="s">
        <v>25</v>
      </c>
      <c r="G187" s="83" t="s">
        <v>25</v>
      </c>
      <c r="H187" s="83" t="s">
        <v>35</v>
      </c>
      <c r="I187" s="90">
        <v>44378</v>
      </c>
      <c r="J187" s="91">
        <f>EFEITO!$J$187*EFEITO!$Y$187</f>
        <v>0</v>
      </c>
      <c r="K187" s="91">
        <f ca="1">EFEITO!$L$187*EFEITO!$Z$187</f>
        <v>878.05924199534388</v>
      </c>
      <c r="L187" s="91">
        <f>EFEITO!$N$187*EFEITO!$AA$187</f>
        <v>1651.6082162914838</v>
      </c>
      <c r="M187" s="91">
        <f>$J$187-EFEITO!$K$187*EFEITO!$Y$187</f>
        <v>0</v>
      </c>
      <c r="N187" s="91">
        <f ca="1">$K$187-EFEITO!$M$187*EFEITO!$Z$187</f>
        <v>0</v>
      </c>
      <c r="O187" s="91">
        <f>$L$187-EFEITO!$O$187*EFEITO!$AA$187</f>
        <v>0</v>
      </c>
      <c r="P187" s="20"/>
      <c r="Q187" s="20"/>
      <c r="R187" s="20"/>
      <c r="S187" s="20"/>
      <c r="T187" s="20"/>
      <c r="U187" s="20"/>
      <c r="V187" s="20"/>
      <c r="W187" s="20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83" t="s">
        <v>21</v>
      </c>
      <c r="B188" s="83" t="s">
        <v>39</v>
      </c>
      <c r="C188" s="83" t="s">
        <v>40</v>
      </c>
      <c r="D188" s="83" t="s">
        <v>44</v>
      </c>
      <c r="E188" s="83" t="s">
        <v>25</v>
      </c>
      <c r="F188" s="83" t="s">
        <v>25</v>
      </c>
      <c r="G188" s="83" t="s">
        <v>25</v>
      </c>
      <c r="H188" s="83" t="s">
        <v>35</v>
      </c>
      <c r="I188" s="90">
        <v>44409</v>
      </c>
      <c r="J188" s="91">
        <f>EFEITO!$J$188*EFEITO!$Y$188</f>
        <v>0</v>
      </c>
      <c r="K188" s="91">
        <f ca="1">EFEITO!$L$188*EFEITO!$Z$188</f>
        <v>847.44016749093987</v>
      </c>
      <c r="L188" s="91">
        <f>EFEITO!$N$188*EFEITO!$AA$188</f>
        <v>1594.014477044693</v>
      </c>
      <c r="M188" s="91">
        <f>$J$188-EFEITO!$K$188*EFEITO!$Y$188</f>
        <v>0</v>
      </c>
      <c r="N188" s="91">
        <f ca="1">$K$188-EFEITO!$M$188*EFEITO!$Z$188</f>
        <v>0</v>
      </c>
      <c r="O188" s="91">
        <f>$L$188-EFEITO!$O$188*EFEITO!$AA$188</f>
        <v>0</v>
      </c>
      <c r="P188" s="20"/>
      <c r="Q188" s="20"/>
      <c r="R188" s="20"/>
      <c r="S188" s="20"/>
      <c r="T188" s="20"/>
      <c r="U188" s="20"/>
      <c r="V188" s="20"/>
      <c r="W188" s="20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83" t="s">
        <v>21</v>
      </c>
      <c r="B189" s="83" t="s">
        <v>39</v>
      </c>
      <c r="C189" s="83" t="s">
        <v>40</v>
      </c>
      <c r="D189" s="83" t="s">
        <v>44</v>
      </c>
      <c r="E189" s="83" t="s">
        <v>25</v>
      </c>
      <c r="F189" s="83" t="s">
        <v>25</v>
      </c>
      <c r="G189" s="83" t="s">
        <v>25</v>
      </c>
      <c r="H189" s="83" t="s">
        <v>35</v>
      </c>
      <c r="I189" s="90">
        <v>44440</v>
      </c>
      <c r="J189" s="91">
        <f>EFEITO!$J$189*EFEITO!$Y$189</f>
        <v>0</v>
      </c>
      <c r="K189" s="91">
        <f ca="1">EFEITO!$L$189*EFEITO!$Z$189</f>
        <v>740.06511370168596</v>
      </c>
      <c r="L189" s="91">
        <f>EFEITO!$N$189*EFEITO!$AA$189</f>
        <v>1392.0445955363878</v>
      </c>
      <c r="M189" s="91">
        <f>$J$189-EFEITO!$K$189*EFEITO!$Y$189</f>
        <v>0</v>
      </c>
      <c r="N189" s="91">
        <f ca="1">$K$189-EFEITO!$M$189*EFEITO!$Z$189</f>
        <v>0</v>
      </c>
      <c r="O189" s="91">
        <f>$L$189-EFEITO!$O$189*EFEITO!$AA$189</f>
        <v>0</v>
      </c>
      <c r="P189" s="20"/>
      <c r="Q189" s="20"/>
      <c r="R189" s="20"/>
      <c r="S189" s="20"/>
      <c r="T189" s="20"/>
      <c r="U189" s="20"/>
      <c r="V189" s="20"/>
      <c r="W189" s="20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83" t="s">
        <v>21</v>
      </c>
      <c r="B190" s="83" t="s">
        <v>39</v>
      </c>
      <c r="C190" s="83" t="s">
        <v>40</v>
      </c>
      <c r="D190" s="83" t="s">
        <v>44</v>
      </c>
      <c r="E190" s="83" t="s">
        <v>25</v>
      </c>
      <c r="F190" s="83" t="s">
        <v>25</v>
      </c>
      <c r="G190" s="83" t="s">
        <v>25</v>
      </c>
      <c r="H190" s="83" t="s">
        <v>35</v>
      </c>
      <c r="I190" s="90">
        <v>44470</v>
      </c>
      <c r="J190" s="91">
        <f>EFEITO!$J$190*EFEITO!$Y$190</f>
        <v>0</v>
      </c>
      <c r="K190" s="91">
        <f ca="1">EFEITO!$L$190*EFEITO!$Z$190</f>
        <v>755.68709048964718</v>
      </c>
      <c r="L190" s="91">
        <f>EFEITO!$N$190*EFEITO!$AA$190</f>
        <v>1421.4291563765873</v>
      </c>
      <c r="M190" s="91">
        <f>$J$190-EFEITO!$K$190*EFEITO!$Y$190</f>
        <v>0</v>
      </c>
      <c r="N190" s="91">
        <f ca="1">$K$190-EFEITO!$M$190*EFEITO!$Z$190</f>
        <v>0</v>
      </c>
      <c r="O190" s="91">
        <f>$L$190-EFEITO!$O$190*EFEITO!$AA$190</f>
        <v>0</v>
      </c>
      <c r="P190" s="20"/>
      <c r="Q190" s="20"/>
      <c r="R190" s="20"/>
      <c r="S190" s="20"/>
      <c r="T190" s="20"/>
      <c r="U190" s="20"/>
      <c r="V190" s="20"/>
      <c r="W190" s="20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83" t="s">
        <v>21</v>
      </c>
      <c r="B191" s="83" t="s">
        <v>39</v>
      </c>
      <c r="C191" s="83" t="s">
        <v>40</v>
      </c>
      <c r="D191" s="83" t="s">
        <v>44</v>
      </c>
      <c r="E191" s="83" t="s">
        <v>25</v>
      </c>
      <c r="F191" s="83" t="s">
        <v>25</v>
      </c>
      <c r="G191" s="83" t="s">
        <v>25</v>
      </c>
      <c r="H191" s="83" t="s">
        <v>35</v>
      </c>
      <c r="I191" s="90">
        <v>44501</v>
      </c>
      <c r="J191" s="91">
        <f>EFEITO!$J$191*EFEITO!$Y$191</f>
        <v>0</v>
      </c>
      <c r="K191" s="91">
        <f ca="1">EFEITO!$L$191*EFEITO!$Z$191</f>
        <v>871.60215825631997</v>
      </c>
      <c r="L191" s="91">
        <f>EFEITO!$N$191*EFEITO!$AA$191</f>
        <v>1639.4625978108681</v>
      </c>
      <c r="M191" s="91">
        <f>$J$191-EFEITO!$K$191*EFEITO!$Y$191</f>
        <v>0</v>
      </c>
      <c r="N191" s="91">
        <f ca="1">$K$191-EFEITO!$M$191*EFEITO!$Z$191</f>
        <v>0</v>
      </c>
      <c r="O191" s="91">
        <f>$L$191-EFEITO!$O$191*EFEITO!$AA$191</f>
        <v>0</v>
      </c>
      <c r="P191" s="20"/>
      <c r="Q191" s="20"/>
      <c r="R191" s="20"/>
      <c r="S191" s="20"/>
      <c r="T191" s="20"/>
      <c r="U191" s="20"/>
      <c r="V191" s="20"/>
      <c r="W191" s="20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83" t="s">
        <v>21</v>
      </c>
      <c r="B192" s="83" t="s">
        <v>39</v>
      </c>
      <c r="C192" s="83" t="s">
        <v>40</v>
      </c>
      <c r="D192" s="83" t="s">
        <v>44</v>
      </c>
      <c r="E192" s="83" t="s">
        <v>25</v>
      </c>
      <c r="F192" s="83" t="s">
        <v>25</v>
      </c>
      <c r="G192" s="83" t="s">
        <v>25</v>
      </c>
      <c r="H192" s="83" t="s">
        <v>35</v>
      </c>
      <c r="I192" s="90">
        <v>44531</v>
      </c>
      <c r="J192" s="91">
        <f>EFEITO!$J$192*EFEITO!$Y$192</f>
        <v>0</v>
      </c>
      <c r="K192" s="91">
        <f ca="1">EFEITO!$L$192*EFEITO!$Z$192</f>
        <v>900.03415601040945</v>
      </c>
      <c r="L192" s="91">
        <f>EFEITO!$N$192*EFEITO!$AA$192</f>
        <v>1692.9424985400312</v>
      </c>
      <c r="M192" s="91">
        <f>$J$192-EFEITO!$K$192*EFEITO!$Y$192</f>
        <v>0</v>
      </c>
      <c r="N192" s="91">
        <f ca="1">$K$192-EFEITO!$M$192*EFEITO!$Z$192</f>
        <v>0</v>
      </c>
      <c r="O192" s="91">
        <f>$L$192-EFEITO!$O$192*EFEITO!$AA$192</f>
        <v>0</v>
      </c>
      <c r="P192" s="20"/>
      <c r="Q192" s="20"/>
      <c r="R192" s="20"/>
      <c r="S192" s="20"/>
      <c r="T192" s="20"/>
      <c r="U192" s="20"/>
      <c r="V192" s="20"/>
      <c r="W192" s="20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83" t="s">
        <v>21</v>
      </c>
      <c r="B193" s="83" t="s">
        <v>39</v>
      </c>
      <c r="C193" s="83" t="s">
        <v>40</v>
      </c>
      <c r="D193" s="83" t="s">
        <v>44</v>
      </c>
      <c r="E193" s="83" t="s">
        <v>25</v>
      </c>
      <c r="F193" s="83" t="s">
        <v>25</v>
      </c>
      <c r="G193" s="83" t="s">
        <v>25</v>
      </c>
      <c r="H193" s="83" t="s">
        <v>35</v>
      </c>
      <c r="I193" s="90">
        <v>44562</v>
      </c>
      <c r="J193" s="91">
        <f>EFEITO!$J$193*EFEITO!$Y$193</f>
        <v>0</v>
      </c>
      <c r="K193" s="91">
        <f ca="1">EFEITO!$L$193*EFEITO!$Z$193</f>
        <v>1069.2722378799899</v>
      </c>
      <c r="L193" s="91">
        <f>EFEITO!$N$193*EFEITO!$AA$193</f>
        <v>2011.2752409755267</v>
      </c>
      <c r="M193" s="91">
        <f>$J$193-EFEITO!$K$193*EFEITO!$Y$193</f>
        <v>0</v>
      </c>
      <c r="N193" s="91">
        <f ca="1">$K$193-EFEITO!$M$193*EFEITO!$Z$193</f>
        <v>0</v>
      </c>
      <c r="O193" s="91">
        <f>$L$193-EFEITO!$O$193*EFEITO!$AA$193</f>
        <v>0</v>
      </c>
      <c r="P193" s="20"/>
      <c r="Q193" s="20"/>
      <c r="R193" s="20"/>
      <c r="S193" s="20"/>
      <c r="T193" s="20"/>
      <c r="U193" s="20"/>
      <c r="V193" s="20"/>
      <c r="W193" s="20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83" t="s">
        <v>21</v>
      </c>
      <c r="B194" s="83" t="s">
        <v>39</v>
      </c>
      <c r="C194" s="83" t="s">
        <v>40</v>
      </c>
      <c r="D194" s="83" t="s">
        <v>44</v>
      </c>
      <c r="E194" s="83" t="s">
        <v>25</v>
      </c>
      <c r="F194" s="83" t="s">
        <v>25</v>
      </c>
      <c r="G194" s="83" t="s">
        <v>25</v>
      </c>
      <c r="H194" s="83" t="s">
        <v>35</v>
      </c>
      <c r="I194" s="90">
        <v>44593</v>
      </c>
      <c r="J194" s="91">
        <f>EFEITO!$J$194*EFEITO!$Y$194</f>
        <v>0</v>
      </c>
      <c r="K194" s="91">
        <f ca="1">EFEITO!$L$194*EFEITO!$Z$194</f>
        <v>1024.4892377545011</v>
      </c>
      <c r="L194" s="91">
        <f>EFEITO!$N$194*EFEITO!$AA$194</f>
        <v>1927.0394999002879</v>
      </c>
      <c r="M194" s="91">
        <f>$J$194-EFEITO!$K$194*EFEITO!$Y$194</f>
        <v>0</v>
      </c>
      <c r="N194" s="91">
        <f ca="1">$K$194-EFEITO!$M$194*EFEITO!$Z$194</f>
        <v>0</v>
      </c>
      <c r="O194" s="91">
        <f>$L$194-EFEITO!$O$194*EFEITO!$AA$194</f>
        <v>0</v>
      </c>
      <c r="P194" s="20"/>
      <c r="Q194" s="20"/>
      <c r="R194" s="20"/>
      <c r="S194" s="20"/>
      <c r="T194" s="20"/>
      <c r="U194" s="20"/>
      <c r="V194" s="20"/>
      <c r="W194" s="20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83" t="s">
        <v>21</v>
      </c>
      <c r="B195" s="83" t="s">
        <v>39</v>
      </c>
      <c r="C195" s="83" t="s">
        <v>40</v>
      </c>
      <c r="D195" s="83" t="s">
        <v>44</v>
      </c>
      <c r="E195" s="83" t="s">
        <v>25</v>
      </c>
      <c r="F195" s="83" t="s">
        <v>25</v>
      </c>
      <c r="G195" s="83" t="s">
        <v>25</v>
      </c>
      <c r="H195" s="83" t="s">
        <v>35</v>
      </c>
      <c r="I195" s="90">
        <v>44621</v>
      </c>
      <c r="J195" s="91">
        <f>EFEITO!$J$195*EFEITO!$Y$195</f>
        <v>0</v>
      </c>
      <c r="K195" s="91">
        <f ca="1">EFEITO!$L$195*EFEITO!$Z$195</f>
        <v>1113.0137728862817</v>
      </c>
      <c r="L195" s="91">
        <f>EFEITO!$N$195*EFEITO!$AA$195</f>
        <v>2093.5520113280854</v>
      </c>
      <c r="M195" s="91">
        <f>$J$195-EFEITO!$K$195*EFEITO!$Y$195</f>
        <v>0</v>
      </c>
      <c r="N195" s="91">
        <f ca="1">$K$195-EFEITO!$M$195*EFEITO!$Z$195</f>
        <v>0</v>
      </c>
      <c r="O195" s="91">
        <f>$L$195-EFEITO!$O$195*EFEITO!$AA$195</f>
        <v>0</v>
      </c>
      <c r="P195" s="20"/>
      <c r="Q195" s="20"/>
      <c r="R195" s="20"/>
      <c r="S195" s="20"/>
      <c r="T195" s="20"/>
      <c r="U195" s="20"/>
      <c r="V195" s="20"/>
      <c r="W195" s="20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83" t="s">
        <v>21</v>
      </c>
      <c r="B196" s="83" t="s">
        <v>39</v>
      </c>
      <c r="C196" s="83" t="s">
        <v>40</v>
      </c>
      <c r="D196" s="83" t="s">
        <v>44</v>
      </c>
      <c r="E196" s="83" t="s">
        <v>25</v>
      </c>
      <c r="F196" s="83" t="s">
        <v>25</v>
      </c>
      <c r="G196" s="83" t="s">
        <v>25</v>
      </c>
      <c r="H196" s="83" t="s">
        <v>35</v>
      </c>
      <c r="I196" s="90">
        <v>44652</v>
      </c>
      <c r="J196" s="91">
        <f>EFEITO!$J$196*EFEITO!$Y$196</f>
        <v>0</v>
      </c>
      <c r="K196" s="91">
        <f ca="1">EFEITO!$L$196*EFEITO!$Z$196</f>
        <v>818.9040232249306</v>
      </c>
      <c r="L196" s="91">
        <f>EFEITO!$N$196*EFEITO!$AA$196</f>
        <v>1540.3386792432616</v>
      </c>
      <c r="M196" s="91">
        <f>$J$196-EFEITO!$K$196*EFEITO!$Y$196</f>
        <v>0</v>
      </c>
      <c r="N196" s="91">
        <f ca="1">$K$196-EFEITO!$M$196*EFEITO!$Z$196</f>
        <v>0</v>
      </c>
      <c r="O196" s="91">
        <f>$L$196-EFEITO!$O$196*EFEITO!$AA$196</f>
        <v>0</v>
      </c>
      <c r="P196" s="20"/>
      <c r="Q196" s="20"/>
      <c r="R196" s="20"/>
      <c r="S196" s="20"/>
      <c r="T196" s="20"/>
      <c r="U196" s="20"/>
      <c r="V196" s="20"/>
      <c r="W196" s="20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83" t="s">
        <v>21</v>
      </c>
      <c r="B197" s="83" t="s">
        <v>39</v>
      </c>
      <c r="C197" s="83" t="s">
        <v>40</v>
      </c>
      <c r="D197" s="83" t="s">
        <v>44</v>
      </c>
      <c r="E197" s="83" t="s">
        <v>25</v>
      </c>
      <c r="F197" s="83" t="s">
        <v>25</v>
      </c>
      <c r="G197" s="83" t="s">
        <v>25</v>
      </c>
      <c r="H197" s="83" t="s">
        <v>35</v>
      </c>
      <c r="I197" s="90">
        <v>44682</v>
      </c>
      <c r="J197" s="91">
        <f>EFEITO!$J$197*EFEITO!$Y$197</f>
        <v>0</v>
      </c>
      <c r="K197" s="91">
        <f ca="1">EFEITO!$L$197*EFEITO!$Z$197</f>
        <v>970.33305155623532</v>
      </c>
      <c r="L197" s="91">
        <f>EFEITO!$N$197*EFEITO!$AA$197</f>
        <v>1825.1730223209295</v>
      </c>
      <c r="M197" s="91">
        <f>$J$197-EFEITO!$K$197*EFEITO!$Y$197</f>
        <v>0</v>
      </c>
      <c r="N197" s="91">
        <f ca="1">$K$197-EFEITO!$M$197*EFEITO!$Z$197</f>
        <v>0</v>
      </c>
      <c r="O197" s="91">
        <f>$L$197-EFEITO!$O$197*EFEITO!$AA$197</f>
        <v>0</v>
      </c>
      <c r="P197" s="20"/>
      <c r="Q197" s="20"/>
      <c r="R197" s="20"/>
      <c r="S197" s="20"/>
      <c r="T197" s="20"/>
      <c r="U197" s="20"/>
      <c r="V197" s="20"/>
      <c r="W197" s="20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83" t="s">
        <v>21</v>
      </c>
      <c r="B198" s="83" t="s">
        <v>39</v>
      </c>
      <c r="C198" s="83" t="s">
        <v>40</v>
      </c>
      <c r="D198" s="83" t="s">
        <v>44</v>
      </c>
      <c r="E198" s="83" t="s">
        <v>25</v>
      </c>
      <c r="F198" s="83" t="s">
        <v>25</v>
      </c>
      <c r="G198" s="83" t="s">
        <v>25</v>
      </c>
      <c r="H198" s="83" t="s">
        <v>35</v>
      </c>
      <c r="I198" s="90">
        <v>44713</v>
      </c>
      <c r="J198" s="91">
        <f>EFEITO!$J$198*EFEITO!$Y$198</f>
        <v>0</v>
      </c>
      <c r="K198" s="91">
        <f ca="1">EFEITO!$L$198*EFEITO!$Z$198</f>
        <v>1055.6290448185039</v>
      </c>
      <c r="L198" s="91">
        <f>EFEITO!$N$198*EFEITO!$AA$198</f>
        <v>1985.612724508419</v>
      </c>
      <c r="M198" s="91">
        <f>$J$198-EFEITO!$K$198*EFEITO!$Y$198</f>
        <v>0</v>
      </c>
      <c r="N198" s="91">
        <f ca="1">$K$198-EFEITO!$M$198*EFEITO!$Z$198</f>
        <v>0</v>
      </c>
      <c r="O198" s="91">
        <f>$L$198-EFEITO!$O$198*EFEITO!$AA$198</f>
        <v>0</v>
      </c>
      <c r="P198" s="20"/>
      <c r="Q198" s="20"/>
      <c r="R198" s="20"/>
      <c r="S198" s="20"/>
      <c r="T198" s="20"/>
      <c r="U198" s="20"/>
      <c r="V198" s="20"/>
      <c r="W198" s="20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83" t="s">
        <v>21</v>
      </c>
      <c r="B199" s="83" t="s">
        <v>39</v>
      </c>
      <c r="C199" s="83" t="s">
        <v>40</v>
      </c>
      <c r="D199" s="83" t="s">
        <v>44</v>
      </c>
      <c r="E199" s="83" t="s">
        <v>25</v>
      </c>
      <c r="F199" s="83" t="s">
        <v>25</v>
      </c>
      <c r="G199" s="83" t="s">
        <v>25</v>
      </c>
      <c r="H199" s="83" t="s">
        <v>25</v>
      </c>
      <c r="I199" s="90">
        <v>44378</v>
      </c>
      <c r="J199" s="91">
        <f ca="1">EFEITO!$J$199*EFEITO!$Y$199</f>
        <v>5202.5921728888643</v>
      </c>
      <c r="K199" s="91">
        <f>EFEITO!$L$199*EFEITO!$Z$199</f>
        <v>0</v>
      </c>
      <c r="L199" s="91">
        <f>EFEITO!$N$199*EFEITO!$AA$199</f>
        <v>0</v>
      </c>
      <c r="M199" s="91">
        <f ca="1">$J$199-EFEITO!$K$199*EFEITO!$Y$199</f>
        <v>0</v>
      </c>
      <c r="N199" s="91">
        <f>$K$199-EFEITO!$M$199*EFEITO!$Z$199</f>
        <v>0</v>
      </c>
      <c r="O199" s="91">
        <f>$L$199-EFEITO!$O$199*EFEITO!$AA$199</f>
        <v>0</v>
      </c>
      <c r="P199" s="20"/>
      <c r="Q199" s="20"/>
      <c r="R199" s="20"/>
      <c r="S199" s="20"/>
      <c r="T199" s="20"/>
      <c r="U199" s="20"/>
      <c r="V199" s="20"/>
      <c r="W199" s="20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83" t="s">
        <v>21</v>
      </c>
      <c r="B200" s="83" t="s">
        <v>39</v>
      </c>
      <c r="C200" s="83" t="s">
        <v>40</v>
      </c>
      <c r="D200" s="83" t="s">
        <v>44</v>
      </c>
      <c r="E200" s="83" t="s">
        <v>25</v>
      </c>
      <c r="F200" s="83" t="s">
        <v>25</v>
      </c>
      <c r="G200" s="83" t="s">
        <v>25</v>
      </c>
      <c r="H200" s="83" t="s">
        <v>25</v>
      </c>
      <c r="I200" s="90">
        <v>44409</v>
      </c>
      <c r="J200" s="91">
        <f ca="1">EFEITO!$J$200*EFEITO!$Y$200</f>
        <v>5085.2404697409947</v>
      </c>
      <c r="K200" s="91">
        <f>EFEITO!$L$200*EFEITO!$Z$200</f>
        <v>0</v>
      </c>
      <c r="L200" s="91">
        <f>EFEITO!$N$200*EFEITO!$AA$200</f>
        <v>0</v>
      </c>
      <c r="M200" s="91">
        <f ca="1">$J$200-EFEITO!$K$200*EFEITO!$Y$200</f>
        <v>0</v>
      </c>
      <c r="N200" s="91">
        <f>$K$200-EFEITO!$M$200*EFEITO!$Z$200</f>
        <v>0</v>
      </c>
      <c r="O200" s="91">
        <f>$L$200-EFEITO!$O$200*EFEITO!$AA$200</f>
        <v>0</v>
      </c>
      <c r="P200" s="20"/>
      <c r="Q200" s="20"/>
      <c r="R200" s="20"/>
      <c r="S200" s="20"/>
      <c r="T200" s="20"/>
      <c r="U200" s="20"/>
      <c r="V200" s="20"/>
      <c r="W200" s="20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83" t="s">
        <v>21</v>
      </c>
      <c r="B201" s="83" t="s">
        <v>39</v>
      </c>
      <c r="C201" s="83" t="s">
        <v>40</v>
      </c>
      <c r="D201" s="83" t="s">
        <v>44</v>
      </c>
      <c r="E201" s="83" t="s">
        <v>25</v>
      </c>
      <c r="F201" s="83" t="s">
        <v>25</v>
      </c>
      <c r="G201" s="83" t="s">
        <v>25</v>
      </c>
      <c r="H201" s="83" t="s">
        <v>25</v>
      </c>
      <c r="I201" s="90">
        <v>44440</v>
      </c>
      <c r="J201" s="91">
        <f ca="1">EFEITO!$J$201*EFEITO!$Y$201</f>
        <v>5085.2404697409947</v>
      </c>
      <c r="K201" s="91">
        <f>EFEITO!$L$201*EFEITO!$Z$201</f>
        <v>0</v>
      </c>
      <c r="L201" s="91">
        <f>EFEITO!$N$201*EFEITO!$AA$201</f>
        <v>0</v>
      </c>
      <c r="M201" s="91">
        <f ca="1">$J$201-EFEITO!$K$201*EFEITO!$Y$201</f>
        <v>0</v>
      </c>
      <c r="N201" s="91">
        <f>$K$201-EFEITO!$M$201*EFEITO!$Z$201</f>
        <v>0</v>
      </c>
      <c r="O201" s="91">
        <f>$L$201-EFEITO!$O$201*EFEITO!$AA$201</f>
        <v>0</v>
      </c>
      <c r="P201" s="20"/>
      <c r="Q201" s="20"/>
      <c r="R201" s="20"/>
      <c r="S201" s="20"/>
      <c r="T201" s="20"/>
      <c r="U201" s="20"/>
      <c r="V201" s="20"/>
      <c r="W201" s="20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83" t="s">
        <v>21</v>
      </c>
      <c r="B202" s="83" t="s">
        <v>39</v>
      </c>
      <c r="C202" s="83" t="s">
        <v>40</v>
      </c>
      <c r="D202" s="83" t="s">
        <v>44</v>
      </c>
      <c r="E202" s="83" t="s">
        <v>25</v>
      </c>
      <c r="F202" s="83" t="s">
        <v>25</v>
      </c>
      <c r="G202" s="83" t="s">
        <v>25</v>
      </c>
      <c r="H202" s="83" t="s">
        <v>25</v>
      </c>
      <c r="I202" s="90">
        <v>44470</v>
      </c>
      <c r="J202" s="91">
        <f ca="1">EFEITO!$J$202*EFEITO!$Y$202</f>
        <v>5085.2404697409947</v>
      </c>
      <c r="K202" s="91">
        <f>EFEITO!$L$202*EFEITO!$Z$202</f>
        <v>0</v>
      </c>
      <c r="L202" s="91">
        <f>EFEITO!$N$202*EFEITO!$AA$202</f>
        <v>0</v>
      </c>
      <c r="M202" s="91">
        <f ca="1">$J$202-EFEITO!$K$202*EFEITO!$Y$202</f>
        <v>0</v>
      </c>
      <c r="N202" s="91">
        <f>$K$202-EFEITO!$M$202*EFEITO!$Z$202</f>
        <v>0</v>
      </c>
      <c r="O202" s="91">
        <f>$L$202-EFEITO!$O$202*EFEITO!$AA$202</f>
        <v>0</v>
      </c>
      <c r="P202" s="20"/>
      <c r="Q202" s="20"/>
      <c r="R202" s="20"/>
      <c r="S202" s="20"/>
      <c r="T202" s="20"/>
      <c r="U202" s="20"/>
      <c r="V202" s="20"/>
      <c r="W202" s="20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83" t="s">
        <v>21</v>
      </c>
      <c r="B203" s="83" t="s">
        <v>39</v>
      </c>
      <c r="C203" s="83" t="s">
        <v>40</v>
      </c>
      <c r="D203" s="83" t="s">
        <v>44</v>
      </c>
      <c r="E203" s="83" t="s">
        <v>25</v>
      </c>
      <c r="F203" s="83" t="s">
        <v>25</v>
      </c>
      <c r="G203" s="83" t="s">
        <v>25</v>
      </c>
      <c r="H203" s="83" t="s">
        <v>25</v>
      </c>
      <c r="I203" s="90">
        <v>44501</v>
      </c>
      <c r="J203" s="91">
        <f ca="1">EFEITO!$J$203*EFEITO!$Y$203</f>
        <v>5085.2404697409947</v>
      </c>
      <c r="K203" s="91">
        <f>EFEITO!$L$203*EFEITO!$Z$203</f>
        <v>0</v>
      </c>
      <c r="L203" s="91">
        <f>EFEITO!$N$203*EFEITO!$AA$203</f>
        <v>0</v>
      </c>
      <c r="M203" s="91">
        <f ca="1">$J$203-EFEITO!$K$203*EFEITO!$Y$203</f>
        <v>0</v>
      </c>
      <c r="N203" s="91">
        <f>$K$203-EFEITO!$M$203*EFEITO!$Z$203</f>
        <v>0</v>
      </c>
      <c r="O203" s="91">
        <f>$L$203-EFEITO!$O$203*EFEITO!$AA$203</f>
        <v>0</v>
      </c>
      <c r="P203" s="20"/>
      <c r="Q203" s="20"/>
      <c r="R203" s="20"/>
      <c r="S203" s="20"/>
      <c r="T203" s="20"/>
      <c r="U203" s="20"/>
      <c r="V203" s="20"/>
      <c r="W203" s="20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83" t="s">
        <v>21</v>
      </c>
      <c r="B204" s="83" t="s">
        <v>39</v>
      </c>
      <c r="C204" s="83" t="s">
        <v>40</v>
      </c>
      <c r="D204" s="83" t="s">
        <v>44</v>
      </c>
      <c r="E204" s="83" t="s">
        <v>25</v>
      </c>
      <c r="F204" s="83" t="s">
        <v>25</v>
      </c>
      <c r="G204" s="83" t="s">
        <v>25</v>
      </c>
      <c r="H204" s="83" t="s">
        <v>25</v>
      </c>
      <c r="I204" s="90">
        <v>44531</v>
      </c>
      <c r="J204" s="91">
        <f ca="1">EFEITO!$J$204*EFEITO!$Y$204</f>
        <v>5085.2404697409947</v>
      </c>
      <c r="K204" s="91">
        <f>EFEITO!$L$204*EFEITO!$Z$204</f>
        <v>0</v>
      </c>
      <c r="L204" s="91">
        <f>EFEITO!$N$204*EFEITO!$AA$204</f>
        <v>0</v>
      </c>
      <c r="M204" s="91">
        <f ca="1">$J$204-EFEITO!$K$204*EFEITO!$Y$204</f>
        <v>0</v>
      </c>
      <c r="N204" s="91">
        <f>$K$204-EFEITO!$M$204*EFEITO!$Z$204</f>
        <v>0</v>
      </c>
      <c r="O204" s="91">
        <f>$L$204-EFEITO!$O$204*EFEITO!$AA$204</f>
        <v>0</v>
      </c>
      <c r="P204" s="20"/>
      <c r="Q204" s="20"/>
      <c r="R204" s="20"/>
      <c r="S204" s="20"/>
      <c r="T204" s="20"/>
      <c r="U204" s="20"/>
      <c r="V204" s="20"/>
      <c r="W204" s="20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83" t="s">
        <v>21</v>
      </c>
      <c r="B205" s="83" t="s">
        <v>39</v>
      </c>
      <c r="C205" s="83" t="s">
        <v>40</v>
      </c>
      <c r="D205" s="83" t="s">
        <v>44</v>
      </c>
      <c r="E205" s="83" t="s">
        <v>25</v>
      </c>
      <c r="F205" s="83" t="s">
        <v>25</v>
      </c>
      <c r="G205" s="83" t="s">
        <v>25</v>
      </c>
      <c r="H205" s="83" t="s">
        <v>25</v>
      </c>
      <c r="I205" s="90">
        <v>44562</v>
      </c>
      <c r="J205" s="91">
        <f ca="1">EFEITO!$J$205*EFEITO!$Y$205</f>
        <v>5398.1783448019796</v>
      </c>
      <c r="K205" s="91">
        <f>EFEITO!$L$205*EFEITO!$Z$205</f>
        <v>0</v>
      </c>
      <c r="L205" s="91">
        <f>EFEITO!$N$205*EFEITO!$AA$205</f>
        <v>0</v>
      </c>
      <c r="M205" s="91">
        <f ca="1">$J$205-EFEITO!$K$205*EFEITO!$Y$205</f>
        <v>0</v>
      </c>
      <c r="N205" s="91">
        <f>$K$205-EFEITO!$M$205*EFEITO!$Z$205</f>
        <v>0</v>
      </c>
      <c r="O205" s="91">
        <f>$L$205-EFEITO!$O$205*EFEITO!$AA$205</f>
        <v>0</v>
      </c>
      <c r="P205" s="20"/>
      <c r="Q205" s="20"/>
      <c r="R205" s="20"/>
      <c r="S205" s="20"/>
      <c r="T205" s="20"/>
      <c r="U205" s="20"/>
      <c r="V205" s="20"/>
      <c r="W205" s="20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83" t="s">
        <v>21</v>
      </c>
      <c r="B206" s="83" t="s">
        <v>39</v>
      </c>
      <c r="C206" s="83" t="s">
        <v>40</v>
      </c>
      <c r="D206" s="83" t="s">
        <v>44</v>
      </c>
      <c r="E206" s="83" t="s">
        <v>25</v>
      </c>
      <c r="F206" s="83" t="s">
        <v>25</v>
      </c>
      <c r="G206" s="83" t="s">
        <v>25</v>
      </c>
      <c r="H206" s="83" t="s">
        <v>25</v>
      </c>
      <c r="I206" s="90">
        <v>44593</v>
      </c>
      <c r="J206" s="91">
        <f ca="1">EFEITO!$J$206*EFEITO!$Y$206</f>
        <v>5085.2404697409947</v>
      </c>
      <c r="K206" s="91">
        <f>EFEITO!$L$206*EFEITO!$Z$206</f>
        <v>0</v>
      </c>
      <c r="L206" s="91">
        <f>EFEITO!$N$206*EFEITO!$AA$206</f>
        <v>0</v>
      </c>
      <c r="M206" s="91">
        <f ca="1">$J$206-EFEITO!$K$206*EFEITO!$Y$206</f>
        <v>0</v>
      </c>
      <c r="N206" s="91">
        <f>$K$206-EFEITO!$M$206*EFEITO!$Z$206</f>
        <v>0</v>
      </c>
      <c r="O206" s="91">
        <f>$L$206-EFEITO!$O$206*EFEITO!$AA$206</f>
        <v>0</v>
      </c>
      <c r="P206" s="20"/>
      <c r="Q206" s="20"/>
      <c r="R206" s="20"/>
      <c r="S206" s="20"/>
      <c r="T206" s="20"/>
      <c r="U206" s="20"/>
      <c r="V206" s="20"/>
      <c r="W206" s="20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83" t="s">
        <v>21</v>
      </c>
      <c r="B207" s="83" t="s">
        <v>39</v>
      </c>
      <c r="C207" s="83" t="s">
        <v>40</v>
      </c>
      <c r="D207" s="83" t="s">
        <v>44</v>
      </c>
      <c r="E207" s="83" t="s">
        <v>25</v>
      </c>
      <c r="F207" s="83" t="s">
        <v>25</v>
      </c>
      <c r="G207" s="83" t="s">
        <v>25</v>
      </c>
      <c r="H207" s="83" t="s">
        <v>25</v>
      </c>
      <c r="I207" s="90">
        <v>44621</v>
      </c>
      <c r="J207" s="91">
        <f ca="1">EFEITO!$J$207*EFEITO!$Y$207</f>
        <v>5085.2404697409947</v>
      </c>
      <c r="K207" s="91">
        <f>EFEITO!$L$207*EFEITO!$Z$207</f>
        <v>0</v>
      </c>
      <c r="L207" s="91">
        <f>EFEITO!$N$207*EFEITO!$AA$207</f>
        <v>0</v>
      </c>
      <c r="M207" s="91">
        <f ca="1">$J$207-EFEITO!$K$207*EFEITO!$Y$207</f>
        <v>0</v>
      </c>
      <c r="N207" s="91">
        <f>$K$207-EFEITO!$M$207*EFEITO!$Z$207</f>
        <v>0</v>
      </c>
      <c r="O207" s="91">
        <f>$L$207-EFEITO!$O$207*EFEITO!$AA$207</f>
        <v>0</v>
      </c>
      <c r="P207" s="20"/>
      <c r="Q207" s="20"/>
      <c r="R207" s="20"/>
      <c r="S207" s="20"/>
      <c r="T207" s="20"/>
      <c r="U207" s="20"/>
      <c r="V207" s="20"/>
      <c r="W207" s="20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83" t="s">
        <v>21</v>
      </c>
      <c r="B208" s="83" t="s">
        <v>39</v>
      </c>
      <c r="C208" s="83" t="s">
        <v>40</v>
      </c>
      <c r="D208" s="83" t="s">
        <v>44</v>
      </c>
      <c r="E208" s="83" t="s">
        <v>25</v>
      </c>
      <c r="F208" s="83" t="s">
        <v>25</v>
      </c>
      <c r="G208" s="83" t="s">
        <v>25</v>
      </c>
      <c r="H208" s="83" t="s">
        <v>25</v>
      </c>
      <c r="I208" s="90">
        <v>44652</v>
      </c>
      <c r="J208" s="91">
        <f ca="1">EFEITO!$J$208*EFEITO!$Y$208</f>
        <v>5085.2404697409947</v>
      </c>
      <c r="K208" s="91">
        <f>EFEITO!$L$208*EFEITO!$Z$208</f>
        <v>0</v>
      </c>
      <c r="L208" s="91">
        <f>EFEITO!$N$208*EFEITO!$AA$208</f>
        <v>0</v>
      </c>
      <c r="M208" s="91">
        <f ca="1">$J$208-EFEITO!$K$208*EFEITO!$Y$208</f>
        <v>0</v>
      </c>
      <c r="N208" s="91">
        <f>$K$208-EFEITO!$M$208*EFEITO!$Z$208</f>
        <v>0</v>
      </c>
      <c r="O208" s="91">
        <f>$L$208-EFEITO!$O$208*EFEITO!$AA$208</f>
        <v>0</v>
      </c>
      <c r="P208" s="20"/>
      <c r="Q208" s="20"/>
      <c r="R208" s="20"/>
      <c r="S208" s="20"/>
      <c r="T208" s="20"/>
      <c r="U208" s="20"/>
      <c r="V208" s="20"/>
      <c r="W208" s="20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83" t="s">
        <v>21</v>
      </c>
      <c r="B209" s="83" t="s">
        <v>39</v>
      </c>
      <c r="C209" s="83" t="s">
        <v>40</v>
      </c>
      <c r="D209" s="83" t="s">
        <v>44</v>
      </c>
      <c r="E209" s="83" t="s">
        <v>25</v>
      </c>
      <c r="F209" s="83" t="s">
        <v>25</v>
      </c>
      <c r="G209" s="83" t="s">
        <v>25</v>
      </c>
      <c r="H209" s="83" t="s">
        <v>25</v>
      </c>
      <c r="I209" s="90">
        <v>44682</v>
      </c>
      <c r="J209" s="91">
        <f ca="1">EFEITO!$J$209*EFEITO!$Y$209</f>
        <v>5085.2404697409947</v>
      </c>
      <c r="K209" s="91">
        <f>EFEITO!$L$209*EFEITO!$Z$209</f>
        <v>0</v>
      </c>
      <c r="L209" s="91">
        <f>EFEITO!$N$209*EFEITO!$AA$209</f>
        <v>0</v>
      </c>
      <c r="M209" s="91">
        <f ca="1">$J$209-EFEITO!$K$209*EFEITO!$Y$209</f>
        <v>0</v>
      </c>
      <c r="N209" s="91">
        <f>$K$209-EFEITO!$M$209*EFEITO!$Z$209</f>
        <v>0</v>
      </c>
      <c r="O209" s="91">
        <f>$L$209-EFEITO!$O$209*EFEITO!$AA$209</f>
        <v>0</v>
      </c>
      <c r="P209" s="20"/>
      <c r="Q209" s="20"/>
      <c r="R209" s="20"/>
      <c r="S209" s="20"/>
      <c r="T209" s="20"/>
      <c r="U209" s="20"/>
      <c r="V209" s="20"/>
      <c r="W209" s="20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83" t="s">
        <v>21</v>
      </c>
      <c r="B210" s="83" t="s">
        <v>39</v>
      </c>
      <c r="C210" s="83" t="s">
        <v>40</v>
      </c>
      <c r="D210" s="83" t="s">
        <v>44</v>
      </c>
      <c r="E210" s="83" t="s">
        <v>25</v>
      </c>
      <c r="F210" s="83" t="s">
        <v>25</v>
      </c>
      <c r="G210" s="83" t="s">
        <v>25</v>
      </c>
      <c r="H210" s="83" t="s">
        <v>25</v>
      </c>
      <c r="I210" s="90">
        <v>44713</v>
      </c>
      <c r="J210" s="91">
        <f ca="1">EFEITO!$J$210*EFEITO!$Y$210</f>
        <v>5085.2404697409947</v>
      </c>
      <c r="K210" s="91">
        <f>EFEITO!$L$210*EFEITO!$Z$210</f>
        <v>0</v>
      </c>
      <c r="L210" s="91">
        <f>EFEITO!$N$210*EFEITO!$AA$210</f>
        <v>0</v>
      </c>
      <c r="M210" s="91">
        <f ca="1">$J$210-EFEITO!$K$210*EFEITO!$Y$210</f>
        <v>0</v>
      </c>
      <c r="N210" s="91">
        <f>$K$210-EFEITO!$M$210*EFEITO!$Z$210</f>
        <v>0</v>
      </c>
      <c r="O210" s="91">
        <f>$L$210-EFEITO!$O$210*EFEITO!$AA$210</f>
        <v>0</v>
      </c>
      <c r="P210" s="20"/>
      <c r="Q210" s="20"/>
      <c r="R210" s="20"/>
      <c r="S210" s="20"/>
      <c r="T210" s="20"/>
      <c r="U210" s="20"/>
      <c r="V210" s="20"/>
      <c r="W210" s="20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83" t="s">
        <v>21</v>
      </c>
      <c r="B211" s="83" t="s">
        <v>39</v>
      </c>
      <c r="C211" s="83" t="s">
        <v>40</v>
      </c>
      <c r="D211" s="83" t="s">
        <v>44</v>
      </c>
      <c r="E211" s="83" t="s">
        <v>25</v>
      </c>
      <c r="F211" s="83" t="s">
        <v>25</v>
      </c>
      <c r="G211" s="83" t="s">
        <v>25</v>
      </c>
      <c r="H211" s="83" t="s">
        <v>34</v>
      </c>
      <c r="I211" s="90">
        <v>44378</v>
      </c>
      <c r="J211" s="91">
        <f>EFEITO!$J$211*EFEITO!$Y$211</f>
        <v>0</v>
      </c>
      <c r="K211" s="91">
        <f ca="1">EFEITO!$L$211*EFEITO!$Z$211</f>
        <v>1554.7527289286222</v>
      </c>
      <c r="L211" s="91">
        <f>EFEITO!$N$211*EFEITO!$AA$211</f>
        <v>255.98049067995626</v>
      </c>
      <c r="M211" s="91">
        <f>$J$211-EFEITO!$K$211*EFEITO!$Y$211</f>
        <v>0</v>
      </c>
      <c r="N211" s="91">
        <f ca="1">$K$211-EFEITO!$M$211*EFEITO!$Z$211</f>
        <v>0</v>
      </c>
      <c r="O211" s="91">
        <f>$L$211-EFEITO!$O$211*EFEITO!$AA$211</f>
        <v>0</v>
      </c>
      <c r="P211" s="20"/>
      <c r="Q211" s="20"/>
      <c r="R211" s="20"/>
      <c r="S211" s="20"/>
      <c r="T211" s="20"/>
      <c r="U211" s="20"/>
      <c r="V211" s="20"/>
      <c r="W211" s="20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83" t="s">
        <v>21</v>
      </c>
      <c r="B212" s="83" t="s">
        <v>39</v>
      </c>
      <c r="C212" s="83" t="s">
        <v>40</v>
      </c>
      <c r="D212" s="83" t="s">
        <v>44</v>
      </c>
      <c r="E212" s="83" t="s">
        <v>25</v>
      </c>
      <c r="F212" s="83" t="s">
        <v>25</v>
      </c>
      <c r="G212" s="83" t="s">
        <v>25</v>
      </c>
      <c r="H212" s="83" t="s">
        <v>34</v>
      </c>
      <c r="I212" s="90">
        <v>44409</v>
      </c>
      <c r="J212" s="91">
        <f>EFEITO!$J$212*EFEITO!$Y$212</f>
        <v>0</v>
      </c>
      <c r="K212" s="91">
        <f ca="1">EFEITO!$L$212*EFEITO!$Z$212</f>
        <v>1490.4442218926454</v>
      </c>
      <c r="L212" s="91">
        <f>EFEITO!$N$212*EFEITO!$AA$212</f>
        <v>245.39248984891188</v>
      </c>
      <c r="M212" s="91">
        <f>$J$212-EFEITO!$K$212*EFEITO!$Y$212</f>
        <v>0</v>
      </c>
      <c r="N212" s="91">
        <f ca="1">$K$212-EFEITO!$M$212*EFEITO!$Z$212</f>
        <v>0</v>
      </c>
      <c r="O212" s="91">
        <f>$L$212-EFEITO!$O$212*EFEITO!$AA$212</f>
        <v>0</v>
      </c>
      <c r="P212" s="20"/>
      <c r="Q212" s="20"/>
      <c r="R212" s="20"/>
      <c r="S212" s="20"/>
      <c r="T212" s="20"/>
      <c r="U212" s="20"/>
      <c r="V212" s="20"/>
      <c r="W212" s="20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83" t="s">
        <v>21</v>
      </c>
      <c r="B213" s="83" t="s">
        <v>39</v>
      </c>
      <c r="C213" s="83" t="s">
        <v>40</v>
      </c>
      <c r="D213" s="83" t="s">
        <v>44</v>
      </c>
      <c r="E213" s="83" t="s">
        <v>25</v>
      </c>
      <c r="F213" s="83" t="s">
        <v>25</v>
      </c>
      <c r="G213" s="83" t="s">
        <v>25</v>
      </c>
      <c r="H213" s="83" t="s">
        <v>34</v>
      </c>
      <c r="I213" s="90">
        <v>44440</v>
      </c>
      <c r="J213" s="91">
        <f>EFEITO!$J$213*EFEITO!$Y$213</f>
        <v>0</v>
      </c>
      <c r="K213" s="91">
        <f ca="1">EFEITO!$L$213*EFEITO!$Z$213</f>
        <v>1314.5415408824726</v>
      </c>
      <c r="L213" s="91">
        <f>EFEITO!$N$213*EFEITO!$AA$213</f>
        <v>216.43119345811388</v>
      </c>
      <c r="M213" s="91">
        <f>$J$213-EFEITO!$K$213*EFEITO!$Y$213</f>
        <v>0</v>
      </c>
      <c r="N213" s="91">
        <f ca="1">$K$213-EFEITO!$M$213*EFEITO!$Z$213</f>
        <v>0</v>
      </c>
      <c r="O213" s="91">
        <f>$L$213-EFEITO!$O$213*EFEITO!$AA$213</f>
        <v>0</v>
      </c>
      <c r="P213" s="20"/>
      <c r="Q213" s="20"/>
      <c r="R213" s="20"/>
      <c r="S213" s="20"/>
      <c r="T213" s="20"/>
      <c r="U213" s="20"/>
      <c r="V213" s="20"/>
      <c r="W213" s="20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83" t="s">
        <v>21</v>
      </c>
      <c r="B214" s="83" t="s">
        <v>39</v>
      </c>
      <c r="C214" s="83" t="s">
        <v>40</v>
      </c>
      <c r="D214" s="83" t="s">
        <v>44</v>
      </c>
      <c r="E214" s="83" t="s">
        <v>25</v>
      </c>
      <c r="F214" s="83" t="s">
        <v>25</v>
      </c>
      <c r="G214" s="83" t="s">
        <v>25</v>
      </c>
      <c r="H214" s="83" t="s">
        <v>34</v>
      </c>
      <c r="I214" s="90">
        <v>44470</v>
      </c>
      <c r="J214" s="91">
        <f>EFEITO!$J$214*EFEITO!$Y$214</f>
        <v>0</v>
      </c>
      <c r="K214" s="91">
        <f ca="1">EFEITO!$L$214*EFEITO!$Z$214</f>
        <v>1182.1416734554609</v>
      </c>
      <c r="L214" s="91">
        <f>EFEITO!$N$214*EFEITO!$AA$214</f>
        <v>194.6323682177283</v>
      </c>
      <c r="M214" s="91">
        <f>$J$214-EFEITO!$K$214*EFEITO!$Y$214</f>
        <v>0</v>
      </c>
      <c r="N214" s="91">
        <f ca="1">$K$214-EFEITO!$M$214*EFEITO!$Z$214</f>
        <v>0</v>
      </c>
      <c r="O214" s="91">
        <f>$L$214-EFEITO!$O$214*EFEITO!$AA$214</f>
        <v>0</v>
      </c>
      <c r="P214" s="20"/>
      <c r="Q214" s="20"/>
      <c r="R214" s="20"/>
      <c r="S214" s="20"/>
      <c r="T214" s="20"/>
      <c r="U214" s="20"/>
      <c r="V214" s="20"/>
      <c r="W214" s="20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83" t="s">
        <v>21</v>
      </c>
      <c r="B215" s="83" t="s">
        <v>39</v>
      </c>
      <c r="C215" s="83" t="s">
        <v>40</v>
      </c>
      <c r="D215" s="83" t="s">
        <v>44</v>
      </c>
      <c r="E215" s="83" t="s">
        <v>25</v>
      </c>
      <c r="F215" s="83" t="s">
        <v>25</v>
      </c>
      <c r="G215" s="83" t="s">
        <v>25</v>
      </c>
      <c r="H215" s="83" t="s">
        <v>34</v>
      </c>
      <c r="I215" s="90">
        <v>44501</v>
      </c>
      <c r="J215" s="91">
        <f>EFEITO!$J$215*EFEITO!$Y$215</f>
        <v>0</v>
      </c>
      <c r="K215" s="91">
        <f ca="1">EFEITO!$L$215*EFEITO!$Z$215</f>
        <v>1250.2330338464956</v>
      </c>
      <c r="L215" s="91">
        <f>EFEITO!$N$215*EFEITO!$AA$215</f>
        <v>205.84319262706947</v>
      </c>
      <c r="M215" s="91">
        <f>$J$215-EFEITO!$K$215*EFEITO!$Y$215</f>
        <v>0</v>
      </c>
      <c r="N215" s="91">
        <f ca="1">$K$215-EFEITO!$M$215*EFEITO!$Z$215</f>
        <v>0</v>
      </c>
      <c r="O215" s="91">
        <f>$L$215-EFEITO!$O$215*EFEITO!$AA$215</f>
        <v>0</v>
      </c>
      <c r="P215" s="20"/>
      <c r="Q215" s="20"/>
      <c r="R215" s="20"/>
      <c r="S215" s="20"/>
      <c r="T215" s="20"/>
      <c r="U215" s="20"/>
      <c r="V215" s="20"/>
      <c r="W215" s="20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83" t="s">
        <v>21</v>
      </c>
      <c r="B216" s="83" t="s">
        <v>39</v>
      </c>
      <c r="C216" s="83" t="s">
        <v>40</v>
      </c>
      <c r="D216" s="83" t="s">
        <v>44</v>
      </c>
      <c r="E216" s="83" t="s">
        <v>25</v>
      </c>
      <c r="F216" s="83" t="s">
        <v>25</v>
      </c>
      <c r="G216" s="83" t="s">
        <v>25</v>
      </c>
      <c r="H216" s="83" t="s">
        <v>34</v>
      </c>
      <c r="I216" s="90">
        <v>44531</v>
      </c>
      <c r="J216" s="91">
        <f>EFEITO!$J$216*EFEITO!$Y$216</f>
        <v>0</v>
      </c>
      <c r="K216" s="91">
        <f ca="1">EFEITO!$L$216*EFEITO!$Z$216</f>
        <v>1359.9357811431623</v>
      </c>
      <c r="L216" s="91">
        <f>EFEITO!$N$216*EFEITO!$AA$216</f>
        <v>223.90507639767463</v>
      </c>
      <c r="M216" s="91">
        <f>$J$216-EFEITO!$K$216*EFEITO!$Y$216</f>
        <v>0</v>
      </c>
      <c r="N216" s="91">
        <f ca="1">$K$216-EFEITO!$M$216*EFEITO!$Z$216</f>
        <v>0</v>
      </c>
      <c r="O216" s="91">
        <f>$L$216-EFEITO!$O$216*EFEITO!$AA$216</f>
        <v>0</v>
      </c>
      <c r="P216" s="20"/>
      <c r="Q216" s="20"/>
      <c r="R216" s="20"/>
      <c r="S216" s="20"/>
      <c r="T216" s="20"/>
      <c r="U216" s="20"/>
      <c r="V216" s="20"/>
      <c r="W216" s="20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83" t="s">
        <v>21</v>
      </c>
      <c r="B217" s="83" t="s">
        <v>39</v>
      </c>
      <c r="C217" s="83" t="s">
        <v>40</v>
      </c>
      <c r="D217" s="83" t="s">
        <v>44</v>
      </c>
      <c r="E217" s="83" t="s">
        <v>25</v>
      </c>
      <c r="F217" s="83" t="s">
        <v>25</v>
      </c>
      <c r="G217" s="83" t="s">
        <v>25</v>
      </c>
      <c r="H217" s="83" t="s">
        <v>34</v>
      </c>
      <c r="I217" s="90">
        <v>44562</v>
      </c>
      <c r="J217" s="91">
        <f>EFEITO!$J$217*EFEITO!$Y$217</f>
        <v>0</v>
      </c>
      <c r="K217" s="91">
        <f ca="1">EFEITO!$L$217*EFEITO!$Z$217</f>
        <v>1600.1469691893119</v>
      </c>
      <c r="L217" s="91">
        <f>EFEITO!$N$217*EFEITO!$AA$217</f>
        <v>263.45437361951701</v>
      </c>
      <c r="M217" s="91">
        <f>$J$217-EFEITO!$K$217*EFEITO!$Y$217</f>
        <v>0</v>
      </c>
      <c r="N217" s="91">
        <f ca="1">$K$217-EFEITO!$M$217*EFEITO!$Z$217</f>
        <v>0</v>
      </c>
      <c r="O217" s="91">
        <f>$L$217-EFEITO!$O$217*EFEITO!$AA$217</f>
        <v>0</v>
      </c>
      <c r="P217" s="20"/>
      <c r="Q217" s="20"/>
      <c r="R217" s="20"/>
      <c r="S217" s="20"/>
      <c r="T217" s="20"/>
      <c r="U217" s="20"/>
      <c r="V217" s="20"/>
      <c r="W217" s="20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83" t="s">
        <v>21</v>
      </c>
      <c r="B218" s="83" t="s">
        <v>39</v>
      </c>
      <c r="C218" s="83" t="s">
        <v>40</v>
      </c>
      <c r="D218" s="83" t="s">
        <v>44</v>
      </c>
      <c r="E218" s="83" t="s">
        <v>25</v>
      </c>
      <c r="F218" s="83" t="s">
        <v>25</v>
      </c>
      <c r="G218" s="83" t="s">
        <v>25</v>
      </c>
      <c r="H218" s="83" t="s">
        <v>34</v>
      </c>
      <c r="I218" s="90">
        <v>44593</v>
      </c>
      <c r="J218" s="91">
        <f>EFEITO!$J$218*EFEITO!$Y$218</f>
        <v>0</v>
      </c>
      <c r="K218" s="91">
        <f ca="1">EFEITO!$L$218*EFEITO!$Z$218</f>
        <v>1632.3012227073004</v>
      </c>
      <c r="L218" s="91">
        <f>EFEITO!$N$218*EFEITO!$AA$218</f>
        <v>268.74837403503926</v>
      </c>
      <c r="M218" s="91">
        <f>$J$218-EFEITO!$K$218*EFEITO!$Y$218</f>
        <v>0</v>
      </c>
      <c r="N218" s="91">
        <f ca="1">$K$218-EFEITO!$M$218*EFEITO!$Z$218</f>
        <v>0</v>
      </c>
      <c r="O218" s="91">
        <f>$L$218-EFEITO!$O$218*EFEITO!$AA$218</f>
        <v>0</v>
      </c>
      <c r="P218" s="20"/>
      <c r="Q218" s="20"/>
      <c r="R218" s="20"/>
      <c r="S218" s="20"/>
      <c r="T218" s="20"/>
      <c r="U218" s="20"/>
      <c r="V218" s="20"/>
      <c r="W218" s="20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83" t="s">
        <v>21</v>
      </c>
      <c r="B219" s="83" t="s">
        <v>39</v>
      </c>
      <c r="C219" s="83" t="s">
        <v>40</v>
      </c>
      <c r="D219" s="83" t="s">
        <v>44</v>
      </c>
      <c r="E219" s="83" t="s">
        <v>25</v>
      </c>
      <c r="F219" s="83" t="s">
        <v>25</v>
      </c>
      <c r="G219" s="83" t="s">
        <v>25</v>
      </c>
      <c r="H219" s="83" t="s">
        <v>34</v>
      </c>
      <c r="I219" s="90">
        <v>44621</v>
      </c>
      <c r="J219" s="91">
        <f>EFEITO!$J$219*EFEITO!$Y$219</f>
        <v>0</v>
      </c>
      <c r="K219" s="91">
        <f ca="1">EFEITO!$L$219*EFEITO!$Z$219</f>
        <v>1791.1810636197145</v>
      </c>
      <c r="L219" s="91">
        <f>EFEITO!$N$219*EFEITO!$AA$219</f>
        <v>294.90696432350194</v>
      </c>
      <c r="M219" s="91">
        <f>$J$219-EFEITO!$K$219*EFEITO!$Y$219</f>
        <v>0</v>
      </c>
      <c r="N219" s="91">
        <f ca="1">$K$219-EFEITO!$M$219*EFEITO!$Z$219</f>
        <v>0</v>
      </c>
      <c r="O219" s="91">
        <f>$L$219-EFEITO!$O$219*EFEITO!$AA$219</f>
        <v>0</v>
      </c>
      <c r="P219" s="20"/>
      <c r="Q219" s="20"/>
      <c r="R219" s="20"/>
      <c r="S219" s="20"/>
      <c r="T219" s="20"/>
      <c r="U219" s="20"/>
      <c r="V219" s="20"/>
      <c r="W219" s="20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83" t="s">
        <v>21</v>
      </c>
      <c r="B220" s="83" t="s">
        <v>39</v>
      </c>
      <c r="C220" s="83" t="s">
        <v>40</v>
      </c>
      <c r="D220" s="83" t="s">
        <v>44</v>
      </c>
      <c r="E220" s="83" t="s">
        <v>25</v>
      </c>
      <c r="F220" s="83" t="s">
        <v>25</v>
      </c>
      <c r="G220" s="83" t="s">
        <v>25</v>
      </c>
      <c r="H220" s="83" t="s">
        <v>34</v>
      </c>
      <c r="I220" s="90">
        <v>44652</v>
      </c>
      <c r="J220" s="91">
        <f>EFEITO!$J$220*EFEITO!$Y$220</f>
        <v>0</v>
      </c>
      <c r="K220" s="91">
        <f ca="1">EFEITO!$L$220*EFEITO!$Z$220</f>
        <v>1441.2671282768981</v>
      </c>
      <c r="L220" s="91">
        <f>EFEITO!$N$220*EFEITO!$AA$220</f>
        <v>237.29578333105437</v>
      </c>
      <c r="M220" s="91">
        <f>$J$220-EFEITO!$K$220*EFEITO!$Y$220</f>
        <v>0</v>
      </c>
      <c r="N220" s="91">
        <f ca="1">$K$220-EFEITO!$M$220*EFEITO!$Z$220</f>
        <v>0</v>
      </c>
      <c r="O220" s="91">
        <f>$L$220-EFEITO!$O$220*EFEITO!$AA$220</f>
        <v>0</v>
      </c>
      <c r="P220" s="20"/>
      <c r="Q220" s="20"/>
      <c r="R220" s="20"/>
      <c r="S220" s="20"/>
      <c r="T220" s="20"/>
      <c r="U220" s="20"/>
      <c r="V220" s="20"/>
      <c r="W220" s="20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83" t="s">
        <v>21</v>
      </c>
      <c r="B221" s="83" t="s">
        <v>39</v>
      </c>
      <c r="C221" s="83" t="s">
        <v>40</v>
      </c>
      <c r="D221" s="83" t="s">
        <v>44</v>
      </c>
      <c r="E221" s="83" t="s">
        <v>25</v>
      </c>
      <c r="F221" s="83" t="s">
        <v>25</v>
      </c>
      <c r="G221" s="83" t="s">
        <v>25</v>
      </c>
      <c r="H221" s="83" t="s">
        <v>34</v>
      </c>
      <c r="I221" s="90">
        <v>44682</v>
      </c>
      <c r="J221" s="91">
        <f>EFEITO!$J$221*EFEITO!$Y$221</f>
        <v>0</v>
      </c>
      <c r="K221" s="91">
        <f ca="1">EFEITO!$L$221*EFEITO!$Z$221</f>
        <v>2054.0893717962094</v>
      </c>
      <c r="L221" s="91">
        <f>EFEITO!$N$221*EFEITO!$AA$221</f>
        <v>338.19320301512477</v>
      </c>
      <c r="M221" s="91">
        <f>$J$221-EFEITO!$K$221*EFEITO!$Y$221</f>
        <v>0</v>
      </c>
      <c r="N221" s="91">
        <f ca="1">$K$221-EFEITO!$M$221*EFEITO!$Z$221</f>
        <v>0</v>
      </c>
      <c r="O221" s="91">
        <f>$L$221-EFEITO!$O$221*EFEITO!$AA$221</f>
        <v>0</v>
      </c>
      <c r="P221" s="20"/>
      <c r="Q221" s="20"/>
      <c r="R221" s="20"/>
      <c r="S221" s="20"/>
      <c r="T221" s="20"/>
      <c r="U221" s="20"/>
      <c r="V221" s="20"/>
      <c r="W221" s="20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83" t="s">
        <v>21</v>
      </c>
      <c r="B222" s="83" t="s">
        <v>39</v>
      </c>
      <c r="C222" s="83" t="s">
        <v>40</v>
      </c>
      <c r="D222" s="83" t="s">
        <v>44</v>
      </c>
      <c r="E222" s="83" t="s">
        <v>25</v>
      </c>
      <c r="F222" s="83" t="s">
        <v>25</v>
      </c>
      <c r="G222" s="83" t="s">
        <v>25</v>
      </c>
      <c r="H222" s="83" t="s">
        <v>34</v>
      </c>
      <c r="I222" s="90">
        <v>44713</v>
      </c>
      <c r="J222" s="91">
        <f>EFEITO!$J$222*EFEITO!$Y$222</f>
        <v>0</v>
      </c>
      <c r="K222" s="91">
        <f ca="1">EFEITO!$L$222*EFEITO!$Z$222</f>
        <v>1951.9523312096574</v>
      </c>
      <c r="L222" s="91">
        <f>EFEITO!$N$222*EFEITO!$AA$222</f>
        <v>321.37696640111301</v>
      </c>
      <c r="M222" s="91">
        <f>$J$222-EFEITO!$K$222*EFEITO!$Y$222</f>
        <v>0</v>
      </c>
      <c r="N222" s="91">
        <f ca="1">$K$222-EFEITO!$M$222*EFEITO!$Z$222</f>
        <v>0</v>
      </c>
      <c r="O222" s="91">
        <f>$L$222-EFEITO!$O$222*EFEITO!$AA$222</f>
        <v>0</v>
      </c>
      <c r="P222" s="20"/>
      <c r="Q222" s="20"/>
      <c r="R222" s="20"/>
      <c r="S222" s="20"/>
      <c r="T222" s="20"/>
      <c r="U222" s="20"/>
      <c r="V222" s="20"/>
      <c r="W222" s="20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83" t="s">
        <v>21</v>
      </c>
      <c r="B223" s="83" t="s">
        <v>39</v>
      </c>
      <c r="C223" s="83" t="s">
        <v>40</v>
      </c>
      <c r="D223" s="83" t="s">
        <v>43</v>
      </c>
      <c r="E223" s="83" t="s">
        <v>25</v>
      </c>
      <c r="F223" s="83" t="s">
        <v>25</v>
      </c>
      <c r="G223" s="83" t="s">
        <v>25</v>
      </c>
      <c r="H223" s="83" t="s">
        <v>35</v>
      </c>
      <c r="I223" s="90">
        <v>44378</v>
      </c>
      <c r="J223" s="91">
        <f>EFEITO!$J$223*EFEITO!$Y$198</f>
        <v>0</v>
      </c>
      <c r="K223" s="91">
        <f ca="1">EFEITO!$L$223*EFEITO!$Z$198</f>
        <v>909.51148859510602</v>
      </c>
      <c r="L223" s="91">
        <f>EFEITO!$N$223*EFEITO!$AA$198</f>
        <v>1710.7691321164191</v>
      </c>
      <c r="M223" s="91">
        <f>$J$223-EFEITO!$K$223*EFEITO!$Y$223</f>
        <v>0</v>
      </c>
      <c r="N223" s="91">
        <f ca="1">$K$223-EFEITO!$M$223*EFEITO!$Z$223</f>
        <v>18.190229771902068</v>
      </c>
      <c r="O223" s="91">
        <f>$L$223-EFEITO!$O$223*EFEITO!$AA$223</f>
        <v>34.21538264232845</v>
      </c>
      <c r="P223" s="20"/>
      <c r="Q223" s="20"/>
      <c r="R223" s="20"/>
      <c r="S223" s="20"/>
      <c r="T223" s="20"/>
      <c r="U223" s="20"/>
      <c r="V223" s="20"/>
      <c r="W223" s="20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83" t="s">
        <v>21</v>
      </c>
      <c r="B224" s="83" t="s">
        <v>39</v>
      </c>
      <c r="C224" s="83" t="s">
        <v>40</v>
      </c>
      <c r="D224" s="83" t="s">
        <v>43</v>
      </c>
      <c r="E224" s="83" t="s">
        <v>25</v>
      </c>
      <c r="F224" s="83" t="s">
        <v>25</v>
      </c>
      <c r="G224" s="83" t="s">
        <v>25</v>
      </c>
      <c r="H224" s="83" t="s">
        <v>35</v>
      </c>
      <c r="I224" s="90">
        <v>44409</v>
      </c>
      <c r="J224" s="91">
        <f>EFEITO!$J$224*EFEITO!$Y$198</f>
        <v>0</v>
      </c>
      <c r="K224" s="91">
        <f ca="1">EFEITO!$L$224*EFEITO!$Z$198</f>
        <v>281.50802171906236</v>
      </c>
      <c r="L224" s="91">
        <f>EFEITO!$N$224*EFEITO!$AA$198</f>
        <v>529.5097863403962</v>
      </c>
      <c r="M224" s="91">
        <f>$J$224-EFEITO!$K$224*EFEITO!$Y$224</f>
        <v>0</v>
      </c>
      <c r="N224" s="91">
        <f ca="1">$K$224-EFEITO!$M$224*EFEITO!$Z$224</f>
        <v>5.6301604343812528</v>
      </c>
      <c r="O224" s="91">
        <f>$L$224-EFEITO!$O$224*EFEITO!$AA$224</f>
        <v>10.590195726807906</v>
      </c>
      <c r="P224" s="20"/>
      <c r="Q224" s="20"/>
      <c r="R224" s="20"/>
      <c r="S224" s="20"/>
      <c r="T224" s="20"/>
      <c r="U224" s="20"/>
      <c r="V224" s="20"/>
      <c r="W224" s="20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83" t="s">
        <v>21</v>
      </c>
      <c r="B225" s="83" t="s">
        <v>39</v>
      </c>
      <c r="C225" s="83" t="s">
        <v>40</v>
      </c>
      <c r="D225" s="83" t="s">
        <v>43</v>
      </c>
      <c r="E225" s="83" t="s">
        <v>25</v>
      </c>
      <c r="F225" s="83" t="s">
        <v>25</v>
      </c>
      <c r="G225" s="83" t="s">
        <v>25</v>
      </c>
      <c r="H225" s="83" t="s">
        <v>35</v>
      </c>
      <c r="I225" s="90">
        <v>44440</v>
      </c>
      <c r="J225" s="91">
        <f>EFEITO!$J$225*EFEITO!$Y$198</f>
        <v>0</v>
      </c>
      <c r="K225" s="91">
        <f ca="1">EFEITO!$L$225*EFEITO!$Z$198</f>
        <v>359.09717309927004</v>
      </c>
      <c r="L225" s="91">
        <f>EFEITO!$N$225*EFEITO!$AA$198</f>
        <v>675.45310518005419</v>
      </c>
      <c r="M225" s="91">
        <f>$J$225-EFEITO!$K$225*EFEITO!$Y$225</f>
        <v>0</v>
      </c>
      <c r="N225" s="91">
        <f ca="1">$K$225-EFEITO!$M$225*EFEITO!$Z$225</f>
        <v>7.1819434619853837</v>
      </c>
      <c r="O225" s="91">
        <f>$L$225-EFEITO!$O$225*EFEITO!$AA$225</f>
        <v>13.509062103601195</v>
      </c>
      <c r="P225" s="20"/>
      <c r="Q225" s="20"/>
      <c r="R225" s="20"/>
      <c r="S225" s="20"/>
      <c r="T225" s="20"/>
      <c r="U225" s="20"/>
      <c r="V225" s="20"/>
      <c r="W225" s="20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83" t="s">
        <v>21</v>
      </c>
      <c r="B226" s="83" t="s">
        <v>39</v>
      </c>
      <c r="C226" s="83" t="s">
        <v>40</v>
      </c>
      <c r="D226" s="83" t="s">
        <v>43</v>
      </c>
      <c r="E226" s="83" t="s">
        <v>25</v>
      </c>
      <c r="F226" s="83" t="s">
        <v>25</v>
      </c>
      <c r="G226" s="83" t="s">
        <v>25</v>
      </c>
      <c r="H226" s="83" t="s">
        <v>35</v>
      </c>
      <c r="I226" s="90">
        <v>44470</v>
      </c>
      <c r="J226" s="91">
        <f>EFEITO!$J$226*EFEITO!$Y$198</f>
        <v>0</v>
      </c>
      <c r="K226" s="91">
        <f ca="1">EFEITO!$L$226*EFEITO!$Z$198</f>
        <v>433.77022214572503</v>
      </c>
      <c r="L226" s="91">
        <f>EFEITO!$N$226*EFEITO!$AA$198</f>
        <v>815.91130599620817</v>
      </c>
      <c r="M226" s="91">
        <f>$J$226-EFEITO!$K$226*EFEITO!$Y$226</f>
        <v>0</v>
      </c>
      <c r="N226" s="91">
        <f ca="1">$K$226-EFEITO!$M$226*EFEITO!$Z$226</f>
        <v>8.6754044429144983</v>
      </c>
      <c r="O226" s="91">
        <f>$L$226-EFEITO!$O$226*EFEITO!$AA$226</f>
        <v>16.318226119924248</v>
      </c>
      <c r="P226" s="20"/>
      <c r="Q226" s="20"/>
      <c r="R226" s="20"/>
      <c r="S226" s="20"/>
      <c r="T226" s="20"/>
      <c r="U226" s="20"/>
      <c r="V226" s="20"/>
      <c r="W226" s="20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83" t="s">
        <v>21</v>
      </c>
      <c r="B227" s="83" t="s">
        <v>39</v>
      </c>
      <c r="C227" s="83" t="s">
        <v>40</v>
      </c>
      <c r="D227" s="83" t="s">
        <v>43</v>
      </c>
      <c r="E227" s="83" t="s">
        <v>25</v>
      </c>
      <c r="F227" s="83" t="s">
        <v>25</v>
      </c>
      <c r="G227" s="83" t="s">
        <v>25</v>
      </c>
      <c r="H227" s="83" t="s">
        <v>35</v>
      </c>
      <c r="I227" s="90">
        <v>44501</v>
      </c>
      <c r="J227" s="91">
        <f>EFEITO!$J$227*EFEITO!$Y$198</f>
        <v>0</v>
      </c>
      <c r="K227" s="91">
        <f ca="1">EFEITO!$L$227*EFEITO!$Z$198</f>
        <v>231.93428204526518</v>
      </c>
      <c r="L227" s="91">
        <f>EFEITO!$N$227*EFEITO!$AA$198</f>
        <v>436.2627799408296</v>
      </c>
      <c r="M227" s="91">
        <f>$J$227-EFEITO!$K$227*EFEITO!$Y$227</f>
        <v>0</v>
      </c>
      <c r="N227" s="91">
        <f ca="1">$K$227-EFEITO!$M$227*EFEITO!$Z$227</f>
        <v>4.6386856409052939</v>
      </c>
      <c r="O227" s="91">
        <f>$L$227-EFEITO!$O$227*EFEITO!$AA$227</f>
        <v>8.7252555988166023</v>
      </c>
      <c r="P227" s="20"/>
      <c r="Q227" s="20"/>
      <c r="R227" s="20"/>
      <c r="S227" s="20"/>
      <c r="T227" s="20"/>
      <c r="U227" s="20"/>
      <c r="V227" s="20"/>
      <c r="W227" s="20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83" t="s">
        <v>21</v>
      </c>
      <c r="B228" s="83" t="s">
        <v>39</v>
      </c>
      <c r="C228" s="83" t="s">
        <v>40</v>
      </c>
      <c r="D228" s="83" t="s">
        <v>43</v>
      </c>
      <c r="E228" s="83" t="s">
        <v>25</v>
      </c>
      <c r="F228" s="83" t="s">
        <v>25</v>
      </c>
      <c r="G228" s="83" t="s">
        <v>25</v>
      </c>
      <c r="H228" s="83" t="s">
        <v>35</v>
      </c>
      <c r="I228" s="90">
        <v>44531</v>
      </c>
      <c r="J228" s="91">
        <f>EFEITO!$J$228*EFEITO!$Y$198</f>
        <v>0</v>
      </c>
      <c r="K228" s="91">
        <f ca="1">EFEITO!$L$228*EFEITO!$Z$198</f>
        <v>68.528404843190174</v>
      </c>
      <c r="L228" s="91">
        <f>EFEITO!$N$228*EFEITO!$AA$198</f>
        <v>128.90027355234213</v>
      </c>
      <c r="M228" s="91">
        <f>$J$228-EFEITO!$K$228*EFEITO!$Y$228</f>
        <v>0</v>
      </c>
      <c r="N228" s="91">
        <f ca="1">$K$228-EFEITO!$M$228*EFEITO!$Z$228</f>
        <v>1.3705680968638063</v>
      </c>
      <c r="O228" s="91">
        <f>$L$228-EFEITO!$O$228*EFEITO!$AA$228</f>
        <v>2.5780054710468505</v>
      </c>
      <c r="P228" s="20"/>
      <c r="Q228" s="20"/>
      <c r="R228" s="20"/>
      <c r="S228" s="20"/>
      <c r="T228" s="20"/>
      <c r="U228" s="20"/>
      <c r="V228" s="20"/>
      <c r="W228" s="20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83" t="s">
        <v>21</v>
      </c>
      <c r="B229" s="83" t="s">
        <v>39</v>
      </c>
      <c r="C229" s="83" t="s">
        <v>40</v>
      </c>
      <c r="D229" s="83" t="s">
        <v>43</v>
      </c>
      <c r="E229" s="83" t="s">
        <v>25</v>
      </c>
      <c r="F229" s="83" t="s">
        <v>25</v>
      </c>
      <c r="G229" s="83" t="s">
        <v>25</v>
      </c>
      <c r="H229" s="83" t="s">
        <v>35</v>
      </c>
      <c r="I229" s="90">
        <v>44562</v>
      </c>
      <c r="J229" s="91">
        <f>EFEITO!$J$229*EFEITO!$Y$198</f>
        <v>0</v>
      </c>
      <c r="K229" s="91">
        <f ca="1">EFEITO!$L$229*EFEITO!$Z$198</f>
        <v>103.72992587206294</v>
      </c>
      <c r="L229" s="91">
        <f>EFEITO!$N$229*EFEITO!$AA$198</f>
        <v>195.11348397892516</v>
      </c>
      <c r="M229" s="91">
        <f>$J$229-EFEITO!$K$229*EFEITO!$Y$229</f>
        <v>0</v>
      </c>
      <c r="N229" s="91">
        <f ca="1">$K$229-EFEITO!$M$229*EFEITO!$Z$229</f>
        <v>2.0745985174412596</v>
      </c>
      <c r="O229" s="91">
        <f>$L$229-EFEITO!$O$229*EFEITO!$AA$229</f>
        <v>3.9022696795785237</v>
      </c>
      <c r="P229" s="20"/>
      <c r="Q229" s="20"/>
      <c r="R229" s="20"/>
      <c r="S229" s="20"/>
      <c r="T229" s="20"/>
      <c r="U229" s="20"/>
      <c r="V229" s="20"/>
      <c r="W229" s="20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83" t="s">
        <v>21</v>
      </c>
      <c r="B230" s="83" t="s">
        <v>39</v>
      </c>
      <c r="C230" s="83" t="s">
        <v>40</v>
      </c>
      <c r="D230" s="83" t="s">
        <v>43</v>
      </c>
      <c r="E230" s="83" t="s">
        <v>25</v>
      </c>
      <c r="F230" s="83" t="s">
        <v>25</v>
      </c>
      <c r="G230" s="83" t="s">
        <v>25</v>
      </c>
      <c r="H230" s="83" t="s">
        <v>35</v>
      </c>
      <c r="I230" s="90">
        <v>44593</v>
      </c>
      <c r="J230" s="91">
        <f>EFEITO!$J$230*EFEITO!$Y$198</f>
        <v>0</v>
      </c>
      <c r="K230" s="91">
        <f ca="1">EFEITO!$L$230*EFEITO!$Z$198</f>
        <v>340.14250792987701</v>
      </c>
      <c r="L230" s="91">
        <f>EFEITO!$N$230*EFEITO!$AA$198</f>
        <v>639.79983802727872</v>
      </c>
      <c r="M230" s="91">
        <f>$J$230-EFEITO!$K$230*EFEITO!$Y$230</f>
        <v>0</v>
      </c>
      <c r="N230" s="91">
        <f ca="1">$K$230-EFEITO!$M$230*EFEITO!$Z$230</f>
        <v>6.8028501585974936</v>
      </c>
      <c r="O230" s="91">
        <f>$L$230-EFEITO!$O$230*EFEITO!$AA$230</f>
        <v>12.795996760545677</v>
      </c>
      <c r="P230" s="20"/>
      <c r="Q230" s="20"/>
      <c r="R230" s="20"/>
      <c r="S230" s="20"/>
      <c r="T230" s="20"/>
      <c r="U230" s="20"/>
      <c r="V230" s="20"/>
      <c r="W230" s="20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83" t="s">
        <v>21</v>
      </c>
      <c r="B231" s="83" t="s">
        <v>39</v>
      </c>
      <c r="C231" s="83" t="s">
        <v>40</v>
      </c>
      <c r="D231" s="83" t="s">
        <v>43</v>
      </c>
      <c r="E231" s="83" t="s">
        <v>25</v>
      </c>
      <c r="F231" s="83" t="s">
        <v>25</v>
      </c>
      <c r="G231" s="83" t="s">
        <v>25</v>
      </c>
      <c r="H231" s="83" t="s">
        <v>35</v>
      </c>
      <c r="I231" s="90">
        <v>44621</v>
      </c>
      <c r="J231" s="91">
        <f>EFEITO!$J$231*EFEITO!$Y$198</f>
        <v>0</v>
      </c>
      <c r="K231" s="91">
        <f ca="1">EFEITO!$L$231*EFEITO!$Z$198</f>
        <v>2091.7826919080162</v>
      </c>
      <c r="L231" s="91">
        <f>EFEITO!$N$231*EFEITO!$AA$198</f>
        <v>3934.5926965027229</v>
      </c>
      <c r="M231" s="91">
        <f>$J$231-EFEITO!$K$231*EFEITO!$Y$231</f>
        <v>0</v>
      </c>
      <c r="N231" s="91">
        <f ca="1">$K$231-EFEITO!$M$231*EFEITO!$Z$231</f>
        <v>41.835653838160397</v>
      </c>
      <c r="O231" s="91">
        <f>$L$231-EFEITO!$O$231*EFEITO!$AA$231</f>
        <v>78.691853930055004</v>
      </c>
      <c r="P231" s="20"/>
      <c r="Q231" s="20"/>
      <c r="R231" s="20"/>
      <c r="S231" s="20"/>
      <c r="T231" s="20"/>
      <c r="U231" s="20"/>
      <c r="V231" s="20"/>
      <c r="W231" s="20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83" t="s">
        <v>21</v>
      </c>
      <c r="B232" s="83" t="s">
        <v>39</v>
      </c>
      <c r="C232" s="83" t="s">
        <v>40</v>
      </c>
      <c r="D232" s="83" t="s">
        <v>43</v>
      </c>
      <c r="E232" s="83" t="s">
        <v>25</v>
      </c>
      <c r="F232" s="83" t="s">
        <v>25</v>
      </c>
      <c r="G232" s="83" t="s">
        <v>25</v>
      </c>
      <c r="H232" s="83" t="s">
        <v>35</v>
      </c>
      <c r="I232" s="90">
        <v>44652</v>
      </c>
      <c r="J232" s="91">
        <f>EFEITO!$J$232*EFEITO!$Y$198</f>
        <v>0</v>
      </c>
      <c r="K232" s="91">
        <f ca="1">EFEITO!$L$232*EFEITO!$Z$198</f>
        <v>2528.6773094113332</v>
      </c>
      <c r="L232" s="91">
        <f>EFEITO!$N$232*EFEITO!$AA$198</f>
        <v>4756.380914666971</v>
      </c>
      <c r="M232" s="91">
        <f>$J$232-EFEITO!$K$232*EFEITO!$Y$232</f>
        <v>0</v>
      </c>
      <c r="N232" s="91">
        <f ca="1">$K$232-EFEITO!$M$232*EFEITO!$Z$232</f>
        <v>50.573546188226373</v>
      </c>
      <c r="O232" s="91">
        <f>$L$232-EFEITO!$O$232*EFEITO!$AA$232</f>
        <v>95.127618293339765</v>
      </c>
      <c r="P232" s="20"/>
      <c r="Q232" s="20"/>
      <c r="R232" s="20"/>
      <c r="S232" s="20"/>
      <c r="T232" s="20"/>
      <c r="U232" s="20"/>
      <c r="V232" s="20"/>
      <c r="W232" s="20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83" t="s">
        <v>21</v>
      </c>
      <c r="B233" s="83" t="s">
        <v>39</v>
      </c>
      <c r="C233" s="83" t="s">
        <v>40</v>
      </c>
      <c r="D233" s="83" t="s">
        <v>43</v>
      </c>
      <c r="E233" s="83" t="s">
        <v>25</v>
      </c>
      <c r="F233" s="83" t="s">
        <v>25</v>
      </c>
      <c r="G233" s="83" t="s">
        <v>25</v>
      </c>
      <c r="H233" s="83" t="s">
        <v>35</v>
      </c>
      <c r="I233" s="90">
        <v>44682</v>
      </c>
      <c r="J233" s="91">
        <f>EFEITO!$J$233*EFEITO!$Y$198</f>
        <v>0</v>
      </c>
      <c r="K233" s="91">
        <f ca="1">EFEITO!$L$233*EFEITO!$Z$198</f>
        <v>1256.8401058474451</v>
      </c>
      <c r="L233" s="91">
        <f>EFEITO!$N$233*EFEITO!$AA$198</f>
        <v>2364.0858681301893</v>
      </c>
      <c r="M233" s="91">
        <f>$J$233-EFEITO!$K$233*EFEITO!$Y$233</f>
        <v>0</v>
      </c>
      <c r="N233" s="91">
        <f ca="1">$K$233-EFEITO!$M$233*EFEITO!$Z$233</f>
        <v>25.136802116948729</v>
      </c>
      <c r="O233" s="91">
        <f>$L$233-EFEITO!$O$233*EFEITO!$AA$233</f>
        <v>47.281717362603558</v>
      </c>
      <c r="P233" s="20"/>
      <c r="Q233" s="20"/>
      <c r="R233" s="20"/>
      <c r="S233" s="20"/>
      <c r="T233" s="20"/>
      <c r="U233" s="20"/>
      <c r="V233" s="20"/>
      <c r="W233" s="20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83" t="s">
        <v>21</v>
      </c>
      <c r="B234" s="83" t="s">
        <v>39</v>
      </c>
      <c r="C234" s="83" t="s">
        <v>40</v>
      </c>
      <c r="D234" s="83" t="s">
        <v>43</v>
      </c>
      <c r="E234" s="83" t="s">
        <v>25</v>
      </c>
      <c r="F234" s="83" t="s">
        <v>25</v>
      </c>
      <c r="G234" s="83" t="s">
        <v>25</v>
      </c>
      <c r="H234" s="83" t="s">
        <v>35</v>
      </c>
      <c r="I234" s="90">
        <v>44713</v>
      </c>
      <c r="J234" s="91">
        <f>EFEITO!$J$234*EFEITO!$Y$198</f>
        <v>0</v>
      </c>
      <c r="K234" s="91">
        <f ca="1">EFEITO!$L$234*EFEITO!$Z$198</f>
        <v>951.48253289876186</v>
      </c>
      <c r="L234" s="91">
        <f>EFEITO!$N$234*EFEITO!$AA$198</f>
        <v>1789.7156522404218</v>
      </c>
      <c r="M234" s="91">
        <f>$J$234-EFEITO!$K$234*EFEITO!$Y$234</f>
        <v>0</v>
      </c>
      <c r="N234" s="91">
        <f ca="1">$K$234-EFEITO!$M$234*EFEITO!$Z$234</f>
        <v>19.029650657975253</v>
      </c>
      <c r="O234" s="91">
        <f>$L$234-EFEITO!$O$234*EFEITO!$AA$234</f>
        <v>35.794313044808632</v>
      </c>
      <c r="P234" s="20"/>
      <c r="Q234" s="20"/>
      <c r="R234" s="20"/>
      <c r="S234" s="20"/>
      <c r="T234" s="20"/>
      <c r="U234" s="20"/>
      <c r="V234" s="20"/>
      <c r="W234" s="20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83" t="s">
        <v>21</v>
      </c>
      <c r="B235" s="83" t="s">
        <v>39</v>
      </c>
      <c r="C235" s="83" t="s">
        <v>40</v>
      </c>
      <c r="D235" s="83" t="s">
        <v>43</v>
      </c>
      <c r="E235" s="83" t="s">
        <v>25</v>
      </c>
      <c r="F235" s="83" t="s">
        <v>25</v>
      </c>
      <c r="G235" s="83" t="s">
        <v>25</v>
      </c>
      <c r="H235" s="83" t="s">
        <v>25</v>
      </c>
      <c r="I235" s="90">
        <v>44378</v>
      </c>
      <c r="J235" s="91">
        <f ca="1">EFEITO!$J$235*EFEITO!$Y$210</f>
        <v>5867.585157393456</v>
      </c>
      <c r="K235" s="91">
        <f>EFEITO!$L$235*EFEITO!$Z$210</f>
        <v>0</v>
      </c>
      <c r="L235" s="91">
        <f>EFEITO!$N$235*EFEITO!$AA$210</f>
        <v>0</v>
      </c>
      <c r="M235" s="91">
        <f ca="1">$J$235-EFEITO!$K$235*EFEITO!$Y$235</f>
        <v>117.35170314786956</v>
      </c>
      <c r="N235" s="91">
        <f>$K$235-EFEITO!$M$235*EFEITO!$Z$235</f>
        <v>0</v>
      </c>
      <c r="O235" s="91">
        <f>$L$235-EFEITO!$O$235*EFEITO!$AA$235</f>
        <v>0</v>
      </c>
      <c r="P235" s="20"/>
      <c r="Q235" s="20"/>
      <c r="R235" s="20"/>
      <c r="S235" s="20"/>
      <c r="T235" s="20"/>
      <c r="U235" s="20"/>
      <c r="V235" s="20"/>
      <c r="W235" s="20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83" t="s">
        <v>21</v>
      </c>
      <c r="B236" s="83" t="s">
        <v>39</v>
      </c>
      <c r="C236" s="83" t="s">
        <v>40</v>
      </c>
      <c r="D236" s="83" t="s">
        <v>43</v>
      </c>
      <c r="E236" s="83" t="s">
        <v>25</v>
      </c>
      <c r="F236" s="83" t="s">
        <v>25</v>
      </c>
      <c r="G236" s="83" t="s">
        <v>25</v>
      </c>
      <c r="H236" s="83" t="s">
        <v>25</v>
      </c>
      <c r="I236" s="90">
        <v>44409</v>
      </c>
      <c r="J236" s="91">
        <f ca="1">EFEITO!$J$236*EFEITO!$Y$210</f>
        <v>3559.6683288186964</v>
      </c>
      <c r="K236" s="91">
        <f>EFEITO!$L$236*EFEITO!$Z$210</f>
        <v>0</v>
      </c>
      <c r="L236" s="91">
        <f>EFEITO!$N$236*EFEITO!$AA$210</f>
        <v>0</v>
      </c>
      <c r="M236" s="91">
        <f ca="1">$J$236-EFEITO!$K$236*EFEITO!$Y$236</f>
        <v>71.193366576374046</v>
      </c>
      <c r="N236" s="91">
        <f>$K$236-EFEITO!$M$236*EFEITO!$Z$236</f>
        <v>0</v>
      </c>
      <c r="O236" s="91">
        <f>$L$236-EFEITO!$O$236*EFEITO!$AA$236</f>
        <v>0</v>
      </c>
      <c r="P236" s="20"/>
      <c r="Q236" s="20"/>
      <c r="R236" s="20"/>
      <c r="S236" s="20"/>
      <c r="T236" s="20"/>
      <c r="U236" s="20"/>
      <c r="V236" s="20"/>
      <c r="W236" s="20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83" t="s">
        <v>21</v>
      </c>
      <c r="B237" s="83" t="s">
        <v>39</v>
      </c>
      <c r="C237" s="83" t="s">
        <v>40</v>
      </c>
      <c r="D237" s="83" t="s">
        <v>43</v>
      </c>
      <c r="E237" s="83" t="s">
        <v>25</v>
      </c>
      <c r="F237" s="83" t="s">
        <v>25</v>
      </c>
      <c r="G237" s="83" t="s">
        <v>25</v>
      </c>
      <c r="H237" s="83" t="s">
        <v>25</v>
      </c>
      <c r="I237" s="90">
        <v>44440</v>
      </c>
      <c r="J237" s="91">
        <f ca="1">EFEITO!$J$237*EFEITO!$Y$210</f>
        <v>3285.8476881403353</v>
      </c>
      <c r="K237" s="91">
        <f>EFEITO!$L$237*EFEITO!$Z$210</f>
        <v>0</v>
      </c>
      <c r="L237" s="91">
        <f>EFEITO!$N$237*EFEITO!$AA$210</f>
        <v>0</v>
      </c>
      <c r="M237" s="91">
        <f ca="1">$J$237-EFEITO!$K$237*EFEITO!$Y$237</f>
        <v>65.716953762806952</v>
      </c>
      <c r="N237" s="91">
        <f>$K$237-EFEITO!$M$237*EFEITO!$Z$237</f>
        <v>0</v>
      </c>
      <c r="O237" s="91">
        <f>$L$237-EFEITO!$O$237*EFEITO!$AA$237</f>
        <v>0</v>
      </c>
      <c r="P237" s="20"/>
      <c r="Q237" s="20"/>
      <c r="R237" s="20"/>
      <c r="S237" s="20"/>
      <c r="T237" s="20"/>
      <c r="U237" s="20"/>
      <c r="V237" s="20"/>
      <c r="W237" s="20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83" t="s">
        <v>21</v>
      </c>
      <c r="B238" s="83" t="s">
        <v>39</v>
      </c>
      <c r="C238" s="83" t="s">
        <v>40</v>
      </c>
      <c r="D238" s="83" t="s">
        <v>43</v>
      </c>
      <c r="E238" s="83" t="s">
        <v>25</v>
      </c>
      <c r="F238" s="83" t="s">
        <v>25</v>
      </c>
      <c r="G238" s="83" t="s">
        <v>25</v>
      </c>
      <c r="H238" s="83" t="s">
        <v>25</v>
      </c>
      <c r="I238" s="90">
        <v>44470</v>
      </c>
      <c r="J238" s="91">
        <f ca="1">EFEITO!$J$238*EFEITO!$Y$210</f>
        <v>3246.7304537577124</v>
      </c>
      <c r="K238" s="91">
        <f>EFEITO!$L$238*EFEITO!$Z$210</f>
        <v>0</v>
      </c>
      <c r="L238" s="91">
        <f>EFEITO!$N$238*EFEITO!$AA$210</f>
        <v>0</v>
      </c>
      <c r="M238" s="91">
        <f ca="1">$J$238-EFEITO!$K$238*EFEITO!$Y$238</f>
        <v>64.93460907515464</v>
      </c>
      <c r="N238" s="91">
        <f>$K$238-EFEITO!$M$238*EFEITO!$Z$238</f>
        <v>0</v>
      </c>
      <c r="O238" s="91">
        <f>$L$238-EFEITO!$O$238*EFEITO!$AA$238</f>
        <v>0</v>
      </c>
      <c r="P238" s="20"/>
      <c r="Q238" s="20"/>
      <c r="R238" s="20"/>
      <c r="S238" s="20"/>
      <c r="T238" s="20"/>
      <c r="U238" s="20"/>
      <c r="V238" s="20"/>
      <c r="W238" s="20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83" t="s">
        <v>21</v>
      </c>
      <c r="B239" s="83" t="s">
        <v>39</v>
      </c>
      <c r="C239" s="83" t="s">
        <v>40</v>
      </c>
      <c r="D239" s="83" t="s">
        <v>43</v>
      </c>
      <c r="E239" s="83" t="s">
        <v>25</v>
      </c>
      <c r="F239" s="83" t="s">
        <v>25</v>
      </c>
      <c r="G239" s="83" t="s">
        <v>25</v>
      </c>
      <c r="H239" s="83" t="s">
        <v>25</v>
      </c>
      <c r="I239" s="90">
        <v>44501</v>
      </c>
      <c r="J239" s="91">
        <f ca="1">EFEITO!$J$239*EFEITO!$Y$210</f>
        <v>3481.4338600534506</v>
      </c>
      <c r="K239" s="91">
        <f>EFEITO!$L$239*EFEITO!$Z$210</f>
        <v>0</v>
      </c>
      <c r="L239" s="91">
        <f>EFEITO!$N$239*EFEITO!$AA$210</f>
        <v>0</v>
      </c>
      <c r="M239" s="91">
        <f ca="1">$J$239-EFEITO!$K$239*EFEITO!$Y$239</f>
        <v>69.628677201069422</v>
      </c>
      <c r="N239" s="91">
        <f>$K$239-EFEITO!$M$239*EFEITO!$Z$239</f>
        <v>0</v>
      </c>
      <c r="O239" s="91">
        <f>$L$239-EFEITO!$O$239*EFEITO!$AA$239</f>
        <v>0</v>
      </c>
      <c r="P239" s="20"/>
      <c r="Q239" s="20"/>
      <c r="R239" s="20"/>
      <c r="S239" s="20"/>
      <c r="T239" s="20"/>
      <c r="U239" s="20"/>
      <c r="V239" s="20"/>
      <c r="W239" s="20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83" t="s">
        <v>21</v>
      </c>
      <c r="B240" s="83" t="s">
        <v>39</v>
      </c>
      <c r="C240" s="83" t="s">
        <v>40</v>
      </c>
      <c r="D240" s="83" t="s">
        <v>43</v>
      </c>
      <c r="E240" s="83" t="s">
        <v>25</v>
      </c>
      <c r="F240" s="83" t="s">
        <v>25</v>
      </c>
      <c r="G240" s="83" t="s">
        <v>25</v>
      </c>
      <c r="H240" s="83" t="s">
        <v>25</v>
      </c>
      <c r="I240" s="90">
        <v>44531</v>
      </c>
      <c r="J240" s="91">
        <f ca="1">EFEITO!$J$240*EFEITO!$Y$210</f>
        <v>1721.1583128354137</v>
      </c>
      <c r="K240" s="91">
        <f>EFEITO!$L$240*EFEITO!$Z$210</f>
        <v>0</v>
      </c>
      <c r="L240" s="91">
        <f>EFEITO!$N$240*EFEITO!$AA$210</f>
        <v>0</v>
      </c>
      <c r="M240" s="91">
        <f ca="1">$J$240-EFEITO!$K$240*EFEITO!$Y$240</f>
        <v>34.423166256708328</v>
      </c>
      <c r="N240" s="91">
        <f>$K$240-EFEITO!$M$240*EFEITO!$Z$240</f>
        <v>0</v>
      </c>
      <c r="O240" s="91">
        <f>$L$240-EFEITO!$O$240*EFEITO!$AA$240</f>
        <v>0</v>
      </c>
      <c r="P240" s="20"/>
      <c r="Q240" s="20"/>
      <c r="R240" s="20"/>
      <c r="S240" s="20"/>
      <c r="T240" s="20"/>
      <c r="U240" s="20"/>
      <c r="V240" s="20"/>
      <c r="W240" s="20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83" t="s">
        <v>21</v>
      </c>
      <c r="B241" s="83" t="s">
        <v>39</v>
      </c>
      <c r="C241" s="83" t="s">
        <v>40</v>
      </c>
      <c r="D241" s="83" t="s">
        <v>43</v>
      </c>
      <c r="E241" s="83" t="s">
        <v>25</v>
      </c>
      <c r="F241" s="83" t="s">
        <v>25</v>
      </c>
      <c r="G241" s="83" t="s">
        <v>25</v>
      </c>
      <c r="H241" s="83" t="s">
        <v>25</v>
      </c>
      <c r="I241" s="90">
        <v>44562</v>
      </c>
      <c r="J241" s="91">
        <f ca="1">EFEITO!$J$241*EFEITO!$Y$210</f>
        <v>1799.3927816006599</v>
      </c>
      <c r="K241" s="91">
        <f>EFEITO!$L$241*EFEITO!$Z$210</f>
        <v>0</v>
      </c>
      <c r="L241" s="91">
        <f>EFEITO!$N$241*EFEITO!$AA$210</f>
        <v>0</v>
      </c>
      <c r="M241" s="91">
        <f ca="1">$J$241-EFEITO!$K$241*EFEITO!$Y$241</f>
        <v>35.987855632013407</v>
      </c>
      <c r="N241" s="91">
        <f>$K$241-EFEITO!$M$241*EFEITO!$Z$241</f>
        <v>0</v>
      </c>
      <c r="O241" s="91">
        <f>$L$241-EFEITO!$O$241*EFEITO!$AA$241</f>
        <v>0</v>
      </c>
      <c r="P241" s="20"/>
      <c r="Q241" s="20"/>
      <c r="R241" s="20"/>
      <c r="S241" s="20"/>
      <c r="T241" s="20"/>
      <c r="U241" s="20"/>
      <c r="V241" s="20"/>
      <c r="W241" s="20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83" t="s">
        <v>21</v>
      </c>
      <c r="B242" s="83" t="s">
        <v>39</v>
      </c>
      <c r="C242" s="83" t="s">
        <v>40</v>
      </c>
      <c r="D242" s="83" t="s">
        <v>43</v>
      </c>
      <c r="E242" s="83" t="s">
        <v>25</v>
      </c>
      <c r="F242" s="83" t="s">
        <v>25</v>
      </c>
      <c r="G242" s="83" t="s">
        <v>25</v>
      </c>
      <c r="H242" s="83" t="s">
        <v>25</v>
      </c>
      <c r="I242" s="90">
        <v>44593</v>
      </c>
      <c r="J242" s="91">
        <f ca="1">EFEITO!$J$242*EFEITO!$Y$210</f>
        <v>2229.6823598095134</v>
      </c>
      <c r="K242" s="91">
        <f>EFEITO!$L$242*EFEITO!$Z$210</f>
        <v>0</v>
      </c>
      <c r="L242" s="91">
        <f>EFEITO!$N$242*EFEITO!$AA$210</f>
        <v>0</v>
      </c>
      <c r="M242" s="91">
        <f ca="1">$J$242-EFEITO!$K$242*EFEITO!$Y$242</f>
        <v>44.593647196190432</v>
      </c>
      <c r="N242" s="91">
        <f>$K$242-EFEITO!$M$242*EFEITO!$Z$242</f>
        <v>0</v>
      </c>
      <c r="O242" s="91">
        <f>$L$242-EFEITO!$O$242*EFEITO!$AA$242</f>
        <v>0</v>
      </c>
      <c r="P242" s="20"/>
      <c r="Q242" s="20"/>
      <c r="R242" s="20"/>
      <c r="S242" s="20"/>
      <c r="T242" s="20"/>
      <c r="U242" s="20"/>
      <c r="V242" s="20"/>
      <c r="W242" s="20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83" t="s">
        <v>21</v>
      </c>
      <c r="B243" s="83" t="s">
        <v>39</v>
      </c>
      <c r="C243" s="83" t="s">
        <v>40</v>
      </c>
      <c r="D243" s="83" t="s">
        <v>43</v>
      </c>
      <c r="E243" s="83" t="s">
        <v>25</v>
      </c>
      <c r="F243" s="83" t="s">
        <v>25</v>
      </c>
      <c r="G243" s="83" t="s">
        <v>25</v>
      </c>
      <c r="H243" s="83" t="s">
        <v>25</v>
      </c>
      <c r="I243" s="90">
        <v>44621</v>
      </c>
      <c r="J243" s="91">
        <f ca="1">EFEITO!$J$243*EFEITO!$Y$210</f>
        <v>4576.7164227668954</v>
      </c>
      <c r="K243" s="91">
        <f>EFEITO!$L$243*EFEITO!$Z$210</f>
        <v>0</v>
      </c>
      <c r="L243" s="91">
        <f>EFEITO!$N$243*EFEITO!$AA$210</f>
        <v>0</v>
      </c>
      <c r="M243" s="91">
        <f ca="1">$J$243-EFEITO!$K$243*EFEITO!$Y$243</f>
        <v>91.534328455338255</v>
      </c>
      <c r="N243" s="91">
        <f>$K$243-EFEITO!$M$243*EFEITO!$Z$243</f>
        <v>0</v>
      </c>
      <c r="O243" s="91">
        <f>$L$243-EFEITO!$O$243*EFEITO!$AA$243</f>
        <v>0</v>
      </c>
      <c r="P243" s="20"/>
      <c r="Q243" s="20"/>
      <c r="R243" s="20"/>
      <c r="S243" s="20"/>
      <c r="T243" s="20"/>
      <c r="U243" s="20"/>
      <c r="V243" s="20"/>
      <c r="W243" s="20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83" t="s">
        <v>21</v>
      </c>
      <c r="B244" s="83" t="s">
        <v>39</v>
      </c>
      <c r="C244" s="83" t="s">
        <v>40</v>
      </c>
      <c r="D244" s="83" t="s">
        <v>43</v>
      </c>
      <c r="E244" s="83" t="s">
        <v>25</v>
      </c>
      <c r="F244" s="83" t="s">
        <v>25</v>
      </c>
      <c r="G244" s="83" t="s">
        <v>25</v>
      </c>
      <c r="H244" s="83" t="s">
        <v>25</v>
      </c>
      <c r="I244" s="90">
        <v>44652</v>
      </c>
      <c r="J244" s="91">
        <f ca="1">EFEITO!$J$244*EFEITO!$Y$210</f>
        <v>6102.2885636891942</v>
      </c>
      <c r="K244" s="91">
        <f>EFEITO!$L$244*EFEITO!$Z$210</f>
        <v>0</v>
      </c>
      <c r="L244" s="91">
        <f>EFEITO!$N$244*EFEITO!$AA$210</f>
        <v>0</v>
      </c>
      <c r="M244" s="91">
        <f ca="1">$J$244-EFEITO!$K$244*EFEITO!$Y$244</f>
        <v>122.04577127378434</v>
      </c>
      <c r="N244" s="91">
        <f>$K$244-EFEITO!$M$244*EFEITO!$Z$244</f>
        <v>0</v>
      </c>
      <c r="O244" s="91">
        <f>$L$244-EFEITO!$O$244*EFEITO!$AA$244</f>
        <v>0</v>
      </c>
      <c r="P244" s="20"/>
      <c r="Q244" s="20"/>
      <c r="R244" s="20"/>
      <c r="S244" s="20"/>
      <c r="T244" s="20"/>
      <c r="U244" s="20"/>
      <c r="V244" s="20"/>
      <c r="W244" s="20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83" t="s">
        <v>21</v>
      </c>
      <c r="B245" s="83" t="s">
        <v>39</v>
      </c>
      <c r="C245" s="83" t="s">
        <v>40</v>
      </c>
      <c r="D245" s="83" t="s">
        <v>43</v>
      </c>
      <c r="E245" s="83" t="s">
        <v>25</v>
      </c>
      <c r="F245" s="83" t="s">
        <v>25</v>
      </c>
      <c r="G245" s="83" t="s">
        <v>25</v>
      </c>
      <c r="H245" s="83" t="s">
        <v>25</v>
      </c>
      <c r="I245" s="90">
        <v>44682</v>
      </c>
      <c r="J245" s="91">
        <f ca="1">EFEITO!$J$245*EFEITO!$Y$210</f>
        <v>4694.068125914765</v>
      </c>
      <c r="K245" s="91">
        <f>EFEITO!$L$245*EFEITO!$Z$210</f>
        <v>0</v>
      </c>
      <c r="L245" s="91">
        <f>EFEITO!$N$245*EFEITO!$AA$210</f>
        <v>0</v>
      </c>
      <c r="M245" s="91">
        <f ca="1">$J$245-EFEITO!$K$245*EFEITO!$Y$245</f>
        <v>93.881362518295646</v>
      </c>
      <c r="N245" s="91">
        <f>$K$245-EFEITO!$M$245*EFEITO!$Z$245</f>
        <v>0</v>
      </c>
      <c r="O245" s="91">
        <f>$L$245-EFEITO!$O$245*EFEITO!$AA$245</f>
        <v>0</v>
      </c>
      <c r="P245" s="20"/>
      <c r="Q245" s="20"/>
      <c r="R245" s="20"/>
      <c r="S245" s="20"/>
      <c r="T245" s="20"/>
      <c r="U245" s="20"/>
      <c r="V245" s="20"/>
      <c r="W245" s="20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83" t="s">
        <v>21</v>
      </c>
      <c r="B246" s="83" t="s">
        <v>39</v>
      </c>
      <c r="C246" s="83" t="s">
        <v>40</v>
      </c>
      <c r="D246" s="83" t="s">
        <v>43</v>
      </c>
      <c r="E246" s="83" t="s">
        <v>25</v>
      </c>
      <c r="F246" s="83" t="s">
        <v>25</v>
      </c>
      <c r="G246" s="83" t="s">
        <v>25</v>
      </c>
      <c r="H246" s="83" t="s">
        <v>25</v>
      </c>
      <c r="I246" s="90">
        <v>44713</v>
      </c>
      <c r="J246" s="91">
        <f ca="1">EFEITO!$J$246*EFEITO!$Y$210</f>
        <v>3833.488969497058</v>
      </c>
      <c r="K246" s="91">
        <f>EFEITO!$L$246*EFEITO!$Z$210</f>
        <v>0</v>
      </c>
      <c r="L246" s="91">
        <f>EFEITO!$N$246*EFEITO!$AA$210</f>
        <v>0</v>
      </c>
      <c r="M246" s="91">
        <f ca="1">$J$246-EFEITO!$K$246*EFEITO!$Y$246</f>
        <v>76.669779389941141</v>
      </c>
      <c r="N246" s="91">
        <f>$K$246-EFEITO!$M$246*EFEITO!$Z$246</f>
        <v>0</v>
      </c>
      <c r="O246" s="91">
        <f>$L$246-EFEITO!$O$246*EFEITO!$AA$246</f>
        <v>0</v>
      </c>
      <c r="P246" s="20"/>
      <c r="Q246" s="20"/>
      <c r="R246" s="20"/>
      <c r="S246" s="20"/>
      <c r="T246" s="20"/>
      <c r="U246" s="20"/>
      <c r="V246" s="20"/>
      <c r="W246" s="20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83" t="s">
        <v>21</v>
      </c>
      <c r="B247" s="83" t="s">
        <v>39</v>
      </c>
      <c r="C247" s="83" t="s">
        <v>40</v>
      </c>
      <c r="D247" s="83" t="s">
        <v>43</v>
      </c>
      <c r="E247" s="83" t="s">
        <v>25</v>
      </c>
      <c r="F247" s="83" t="s">
        <v>25</v>
      </c>
      <c r="G247" s="83" t="s">
        <v>25</v>
      </c>
      <c r="H247" s="83" t="s">
        <v>34</v>
      </c>
      <c r="I247" s="90">
        <v>44378</v>
      </c>
      <c r="J247" s="91">
        <f>EFEITO!$J$247*EFEITO!$Y$222</f>
        <v>0</v>
      </c>
      <c r="K247" s="91">
        <f ca="1">EFEITO!$L$247*EFEITO!$Z$222</f>
        <v>1061.0903660936219</v>
      </c>
      <c r="L247" s="91">
        <f>EFEITO!$N$247*EFEITO!$AA$222</f>
        <v>174.70201371223294</v>
      </c>
      <c r="M247" s="91">
        <f>$J$247-EFEITO!$K$247*EFEITO!$Y$247</f>
        <v>0</v>
      </c>
      <c r="N247" s="91">
        <f ca="1">$K$247-EFEITO!$M$247*EFEITO!$Z$247</f>
        <v>21.221807321872575</v>
      </c>
      <c r="O247" s="91">
        <f>$L$247-EFEITO!$O$247*EFEITO!$AA$247</f>
        <v>3.4940402742446679</v>
      </c>
      <c r="P247" s="20"/>
      <c r="Q247" s="20"/>
      <c r="R247" s="20"/>
      <c r="S247" s="20"/>
      <c r="T247" s="20"/>
      <c r="U247" s="20"/>
      <c r="V247" s="20"/>
      <c r="W247" s="20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83" t="s">
        <v>21</v>
      </c>
      <c r="B248" s="83" t="s">
        <v>39</v>
      </c>
      <c r="C248" s="83" t="s">
        <v>40</v>
      </c>
      <c r="D248" s="83" t="s">
        <v>43</v>
      </c>
      <c r="E248" s="83" t="s">
        <v>25</v>
      </c>
      <c r="F248" s="83" t="s">
        <v>25</v>
      </c>
      <c r="G248" s="83" t="s">
        <v>25</v>
      </c>
      <c r="H248" s="83" t="s">
        <v>34</v>
      </c>
      <c r="I248" s="90">
        <v>44409</v>
      </c>
      <c r="J248" s="91">
        <f>EFEITO!$J$248*EFEITO!$Y$222</f>
        <v>0</v>
      </c>
      <c r="K248" s="91">
        <f ca="1">EFEITO!$L$248*EFEITO!$Z$222</f>
        <v>510.68520293275918</v>
      </c>
      <c r="L248" s="91">
        <f>EFEITO!$N$248*EFEITO!$AA$222</f>
        <v>84.081183070058643</v>
      </c>
      <c r="M248" s="91">
        <f>$J$248-EFEITO!$K$248*EFEITO!$Y$248</f>
        <v>0</v>
      </c>
      <c r="N248" s="91">
        <f ca="1">$K$248-EFEITO!$M$248*EFEITO!$Z$248</f>
        <v>10.213704058655196</v>
      </c>
      <c r="O248" s="91">
        <f>$L$248-EFEITO!$O$248*EFEITO!$AA$248</f>
        <v>1.6816236614011757</v>
      </c>
      <c r="P248" s="20"/>
      <c r="Q248" s="20"/>
      <c r="R248" s="20"/>
      <c r="S248" s="20"/>
      <c r="T248" s="20"/>
      <c r="U248" s="20"/>
      <c r="V248" s="20"/>
      <c r="W248" s="20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83" t="s">
        <v>21</v>
      </c>
      <c r="B249" s="83" t="s">
        <v>39</v>
      </c>
      <c r="C249" s="83" t="s">
        <v>40</v>
      </c>
      <c r="D249" s="83" t="s">
        <v>43</v>
      </c>
      <c r="E249" s="83" t="s">
        <v>25</v>
      </c>
      <c r="F249" s="83" t="s">
        <v>25</v>
      </c>
      <c r="G249" s="83" t="s">
        <v>25</v>
      </c>
      <c r="H249" s="83" t="s">
        <v>34</v>
      </c>
      <c r="I249" s="90">
        <v>44440</v>
      </c>
      <c r="J249" s="91">
        <f>EFEITO!$J$249*EFEITO!$Y$222</f>
        <v>0</v>
      </c>
      <c r="K249" s="91">
        <f ca="1">EFEITO!$L$249*EFEITO!$Z$222</f>
        <v>1132.9645798397139</v>
      </c>
      <c r="L249" s="91">
        <f>EFEITO!$N$249*EFEITO!$AA$222</f>
        <v>186.53566169987081</v>
      </c>
      <c r="M249" s="91">
        <f>$J$249-EFEITO!$K$249*EFEITO!$Y$249</f>
        <v>0</v>
      </c>
      <c r="N249" s="91">
        <f ca="1">$K$249-EFEITO!$M$249*EFEITO!$Z$249</f>
        <v>22.659291596794446</v>
      </c>
      <c r="O249" s="91">
        <f>$L$249-EFEITO!$O$249*EFEITO!$AA$249</f>
        <v>3.7307132339974203</v>
      </c>
      <c r="P249" s="20"/>
      <c r="Q249" s="20"/>
      <c r="R249" s="20"/>
      <c r="S249" s="20"/>
      <c r="T249" s="20"/>
      <c r="U249" s="20"/>
      <c r="V249" s="20"/>
      <c r="W249" s="20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83" t="s">
        <v>21</v>
      </c>
      <c r="B250" s="83" t="s">
        <v>39</v>
      </c>
      <c r="C250" s="83" t="s">
        <v>40</v>
      </c>
      <c r="D250" s="83" t="s">
        <v>43</v>
      </c>
      <c r="E250" s="83" t="s">
        <v>25</v>
      </c>
      <c r="F250" s="83" t="s">
        <v>25</v>
      </c>
      <c r="G250" s="83" t="s">
        <v>25</v>
      </c>
      <c r="H250" s="83" t="s">
        <v>34</v>
      </c>
      <c r="I250" s="90">
        <v>44470</v>
      </c>
      <c r="J250" s="91">
        <f>EFEITO!$J$250*EFEITO!$Y$222</f>
        <v>0</v>
      </c>
      <c r="K250" s="91">
        <f ca="1">EFEITO!$L$250*EFEITO!$Z$222</f>
        <v>2012.4779848905769</v>
      </c>
      <c r="L250" s="91">
        <f>EFEITO!$N$250*EFEITO!$AA$222</f>
        <v>331.34214365386072</v>
      </c>
      <c r="M250" s="91">
        <f>$J$250-EFEITO!$K$250*EFEITO!$Y$250</f>
        <v>0</v>
      </c>
      <c r="N250" s="91">
        <f ca="1">$K$250-EFEITO!$M$250*EFEITO!$Z$250</f>
        <v>40.249559697811492</v>
      </c>
      <c r="O250" s="91">
        <f>$L$250-EFEITO!$O$250*EFEITO!$AA$250</f>
        <v>6.6268428730772371</v>
      </c>
      <c r="P250" s="20"/>
      <c r="Q250" s="20"/>
      <c r="R250" s="20"/>
      <c r="S250" s="20"/>
      <c r="T250" s="20"/>
      <c r="U250" s="20"/>
      <c r="V250" s="20"/>
      <c r="W250" s="20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83" t="s">
        <v>21</v>
      </c>
      <c r="B251" s="83" t="s">
        <v>39</v>
      </c>
      <c r="C251" s="83" t="s">
        <v>40</v>
      </c>
      <c r="D251" s="83" t="s">
        <v>43</v>
      </c>
      <c r="E251" s="83" t="s">
        <v>25</v>
      </c>
      <c r="F251" s="83" t="s">
        <v>25</v>
      </c>
      <c r="G251" s="83" t="s">
        <v>25</v>
      </c>
      <c r="H251" s="83" t="s">
        <v>34</v>
      </c>
      <c r="I251" s="90">
        <v>44501</v>
      </c>
      <c r="J251" s="91">
        <f>EFEITO!$J$251*EFEITO!$Y$222</f>
        <v>0</v>
      </c>
      <c r="K251" s="91">
        <f ca="1">EFEITO!$L$251*EFEITO!$Z$222</f>
        <v>121.05130736183921</v>
      </c>
      <c r="L251" s="91">
        <f>EFEITO!$N$251*EFEITO!$AA$222</f>
        <v>19.93035450549538</v>
      </c>
      <c r="M251" s="91">
        <f>$J$251-EFEITO!$K$251*EFEITO!$Y$251</f>
        <v>0</v>
      </c>
      <c r="N251" s="91">
        <f ca="1">$K$251-EFEITO!$M$251*EFEITO!$Z$251</f>
        <v>2.4210261472367876</v>
      </c>
      <c r="O251" s="91">
        <f>$L$251-EFEITO!$O$251*EFEITO!$AA$251</f>
        <v>0.39860709010990902</v>
      </c>
      <c r="P251" s="20"/>
      <c r="Q251" s="20"/>
      <c r="R251" s="20"/>
      <c r="S251" s="20"/>
      <c r="T251" s="20"/>
      <c r="U251" s="20"/>
      <c r="V251" s="20"/>
      <c r="W251" s="20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83" t="s">
        <v>21</v>
      </c>
      <c r="B252" s="83" t="s">
        <v>39</v>
      </c>
      <c r="C252" s="83" t="s">
        <v>40</v>
      </c>
      <c r="D252" s="83" t="s">
        <v>43</v>
      </c>
      <c r="E252" s="83" t="s">
        <v>25</v>
      </c>
      <c r="F252" s="83" t="s">
        <v>25</v>
      </c>
      <c r="G252" s="83" t="s">
        <v>25</v>
      </c>
      <c r="H252" s="83" t="s">
        <v>34</v>
      </c>
      <c r="I252" s="90">
        <v>44531</v>
      </c>
      <c r="J252" s="91">
        <f>EFEITO!$J$252*EFEITO!$Y$222</f>
        <v>0</v>
      </c>
      <c r="K252" s="91">
        <f ca="1">EFEITO!$L$252*EFEITO!$Z$222</f>
        <v>122.94273403936795</v>
      </c>
      <c r="L252" s="91">
        <f>EFEITO!$N$252*EFEITO!$AA$222</f>
        <v>20.241766294643746</v>
      </c>
      <c r="M252" s="91">
        <f>$J$252-EFEITO!$K$252*EFEITO!$Y$252</f>
        <v>0</v>
      </c>
      <c r="N252" s="91">
        <f ca="1">$K$252-EFEITO!$M$252*EFEITO!$Z$252</f>
        <v>2.4588546807873541</v>
      </c>
      <c r="O252" s="91">
        <f>$L$252-EFEITO!$O$252*EFEITO!$AA$252</f>
        <v>0.40483532589287563</v>
      </c>
      <c r="P252" s="20"/>
      <c r="Q252" s="20"/>
      <c r="R252" s="20"/>
      <c r="S252" s="20"/>
      <c r="T252" s="20"/>
      <c r="U252" s="20"/>
      <c r="V252" s="20"/>
      <c r="W252" s="20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83" t="s">
        <v>21</v>
      </c>
      <c r="B253" s="83" t="s">
        <v>39</v>
      </c>
      <c r="C253" s="83" t="s">
        <v>40</v>
      </c>
      <c r="D253" s="83" t="s">
        <v>43</v>
      </c>
      <c r="E253" s="83" t="s">
        <v>25</v>
      </c>
      <c r="F253" s="83" t="s">
        <v>25</v>
      </c>
      <c r="G253" s="83" t="s">
        <v>25</v>
      </c>
      <c r="H253" s="83" t="s">
        <v>34</v>
      </c>
      <c r="I253" s="90">
        <v>44562</v>
      </c>
      <c r="J253" s="91">
        <f>EFEITO!$J$253*EFEITO!$Y$222</f>
        <v>0</v>
      </c>
      <c r="K253" s="91">
        <f ca="1">EFEITO!$L$253*EFEITO!$Z$222</f>
        <v>136.18272078206911</v>
      </c>
      <c r="L253" s="91">
        <f>EFEITO!$N$253*EFEITO!$AA$222</f>
        <v>22.4216488186823</v>
      </c>
      <c r="M253" s="91">
        <f>$J$253-EFEITO!$K$253*EFEITO!$Y$253</f>
        <v>0</v>
      </c>
      <c r="N253" s="91">
        <f ca="1">$K$253-EFEITO!$M$253*EFEITO!$Z$253</f>
        <v>2.7236544156413913</v>
      </c>
      <c r="O253" s="91">
        <f>$L$253-EFEITO!$O$253*EFEITO!$AA$253</f>
        <v>0.44843297637364543</v>
      </c>
      <c r="P253" s="20"/>
      <c r="Q253" s="20"/>
      <c r="R253" s="20"/>
      <c r="S253" s="20"/>
      <c r="T253" s="20"/>
      <c r="U253" s="20"/>
      <c r="V253" s="20"/>
      <c r="W253" s="20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83" t="s">
        <v>21</v>
      </c>
      <c r="B254" s="83" t="s">
        <v>39</v>
      </c>
      <c r="C254" s="83" t="s">
        <v>40</v>
      </c>
      <c r="D254" s="83" t="s">
        <v>43</v>
      </c>
      <c r="E254" s="83" t="s">
        <v>25</v>
      </c>
      <c r="F254" s="83" t="s">
        <v>25</v>
      </c>
      <c r="G254" s="83" t="s">
        <v>25</v>
      </c>
      <c r="H254" s="83" t="s">
        <v>34</v>
      </c>
      <c r="I254" s="90">
        <v>44593</v>
      </c>
      <c r="J254" s="91">
        <f>EFEITO!$J$254*EFEITO!$Y$222</f>
        <v>0</v>
      </c>
      <c r="K254" s="91">
        <f ca="1">EFEITO!$L$254*EFEITO!$Z$222</f>
        <v>512.57662961028791</v>
      </c>
      <c r="L254" s="91">
        <f>EFEITO!$N$254*EFEITO!$AA$222</f>
        <v>84.392594859207009</v>
      </c>
      <c r="M254" s="91">
        <f>$J$254-EFEITO!$K$254*EFEITO!$Y$254</f>
        <v>0</v>
      </c>
      <c r="N254" s="91">
        <f ca="1">$K$254-EFEITO!$M$254*EFEITO!$Z$254</f>
        <v>10.251532592205763</v>
      </c>
      <c r="O254" s="91">
        <f>$L$254-EFEITO!$O$254*EFEITO!$AA$254</f>
        <v>1.6878518971841459</v>
      </c>
      <c r="P254" s="20"/>
      <c r="Q254" s="20"/>
      <c r="R254" s="20"/>
      <c r="S254" s="20"/>
      <c r="T254" s="20"/>
      <c r="U254" s="20"/>
      <c r="V254" s="20"/>
      <c r="W254" s="20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83" t="s">
        <v>21</v>
      </c>
      <c r="B255" s="83" t="s">
        <v>39</v>
      </c>
      <c r="C255" s="83" t="s">
        <v>40</v>
      </c>
      <c r="D255" s="83" t="s">
        <v>43</v>
      </c>
      <c r="E255" s="83" t="s">
        <v>25</v>
      </c>
      <c r="F255" s="83" t="s">
        <v>25</v>
      </c>
      <c r="G255" s="83" t="s">
        <v>25</v>
      </c>
      <c r="H255" s="83" t="s">
        <v>34</v>
      </c>
      <c r="I255" s="90">
        <v>44621</v>
      </c>
      <c r="J255" s="91">
        <f>EFEITO!$J$255*EFEITO!$Y$222</f>
        <v>0</v>
      </c>
      <c r="K255" s="91">
        <f ca="1">EFEITO!$L$255*EFEITO!$Z$222</f>
        <v>4662.366760108338</v>
      </c>
      <c r="L255" s="91">
        <f>EFEITO!$N$255*EFEITO!$AA$222</f>
        <v>767.63006025072048</v>
      </c>
      <c r="M255" s="91">
        <f>$J$255-EFEITO!$K$255*EFEITO!$Y$255</f>
        <v>0</v>
      </c>
      <c r="N255" s="91">
        <f ca="1">$K$255-EFEITO!$M$255*EFEITO!$Z$255</f>
        <v>93.247335202167051</v>
      </c>
      <c r="O255" s="91">
        <f>$L$255-EFEITO!$O$255*EFEITO!$AA$255</f>
        <v>15.35260120501448</v>
      </c>
      <c r="P255" s="20"/>
      <c r="Q255" s="20"/>
      <c r="R255" s="20"/>
      <c r="S255" s="20"/>
      <c r="T255" s="20"/>
      <c r="U255" s="20"/>
      <c r="V255" s="20"/>
      <c r="W255" s="20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83" t="s">
        <v>21</v>
      </c>
      <c r="B256" s="83" t="s">
        <v>39</v>
      </c>
      <c r="C256" s="83" t="s">
        <v>40</v>
      </c>
      <c r="D256" s="83" t="s">
        <v>43</v>
      </c>
      <c r="E256" s="83" t="s">
        <v>25</v>
      </c>
      <c r="F256" s="83" t="s">
        <v>25</v>
      </c>
      <c r="G256" s="83" t="s">
        <v>25</v>
      </c>
      <c r="H256" s="83" t="s">
        <v>34</v>
      </c>
      <c r="I256" s="90">
        <v>44652</v>
      </c>
      <c r="J256" s="91">
        <f>EFEITO!$J$256*EFEITO!$Y$222</f>
        <v>0</v>
      </c>
      <c r="K256" s="91">
        <f ca="1">EFEITO!$L$256*EFEITO!$Z$222</f>
        <v>4539.4240260689703</v>
      </c>
      <c r="L256" s="91">
        <f>EFEITO!$N$256*EFEITO!$AA$222</f>
        <v>747.38829395607672</v>
      </c>
      <c r="M256" s="91">
        <f>$J$256-EFEITO!$K$256*EFEITO!$Y$256</f>
        <v>0</v>
      </c>
      <c r="N256" s="91">
        <f ca="1">$K$256-EFEITO!$M$256*EFEITO!$Z$256</f>
        <v>90.788480521379824</v>
      </c>
      <c r="O256" s="91">
        <f>$L$256-EFEITO!$O$256*EFEITO!$AA$256</f>
        <v>14.947765879121562</v>
      </c>
      <c r="P256" s="20"/>
      <c r="Q256" s="20"/>
      <c r="R256" s="20"/>
      <c r="S256" s="20"/>
      <c r="T256" s="20"/>
      <c r="U256" s="20"/>
      <c r="V256" s="20"/>
      <c r="W256" s="20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83" t="s">
        <v>21</v>
      </c>
      <c r="B257" s="83" t="s">
        <v>39</v>
      </c>
      <c r="C257" s="83" t="s">
        <v>40</v>
      </c>
      <c r="D257" s="83" t="s">
        <v>43</v>
      </c>
      <c r="E257" s="83" t="s">
        <v>25</v>
      </c>
      <c r="F257" s="83" t="s">
        <v>25</v>
      </c>
      <c r="G257" s="83" t="s">
        <v>25</v>
      </c>
      <c r="H257" s="83" t="s">
        <v>34</v>
      </c>
      <c r="I257" s="90">
        <v>44682</v>
      </c>
      <c r="J257" s="91">
        <f>EFEITO!$J$257*EFEITO!$Y$222</f>
        <v>0</v>
      </c>
      <c r="K257" s="91">
        <f ca="1">EFEITO!$L$257*EFEITO!$Z$222</f>
        <v>3667.4763277282223</v>
      </c>
      <c r="L257" s="91">
        <f>EFEITO!$N$257*EFEITO!$AA$222</f>
        <v>603.82745915868031</v>
      </c>
      <c r="M257" s="91">
        <f>$J$257-EFEITO!$K$257*EFEITO!$Y$257</f>
        <v>0</v>
      </c>
      <c r="N257" s="91">
        <f ca="1">$K$257-EFEITO!$M$257*EFEITO!$Z$257</f>
        <v>73.349526554564363</v>
      </c>
      <c r="O257" s="91">
        <f>$L$257-EFEITO!$O$257*EFEITO!$AA$257</f>
        <v>12.076549183173597</v>
      </c>
      <c r="P257" s="20"/>
      <c r="Q257" s="20"/>
      <c r="R257" s="20"/>
      <c r="S257" s="20"/>
      <c r="T257" s="20"/>
      <c r="U257" s="20"/>
      <c r="V257" s="20"/>
      <c r="W257" s="20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83" t="s">
        <v>21</v>
      </c>
      <c r="B258" s="83" t="s">
        <v>39</v>
      </c>
      <c r="C258" s="83" t="s">
        <v>40</v>
      </c>
      <c r="D258" s="83" t="s">
        <v>43</v>
      </c>
      <c r="E258" s="83" t="s">
        <v>25</v>
      </c>
      <c r="F258" s="83" t="s">
        <v>25</v>
      </c>
      <c r="G258" s="83" t="s">
        <v>25</v>
      </c>
      <c r="H258" s="83" t="s">
        <v>34</v>
      </c>
      <c r="I258" s="90">
        <v>44713</v>
      </c>
      <c r="J258" s="91">
        <f>EFEITO!$J$258*EFEITO!$Y$222</f>
        <v>0</v>
      </c>
      <c r="K258" s="91">
        <f ca="1">EFEITO!$L$258*EFEITO!$Z$222</f>
        <v>2228.1006261288526</v>
      </c>
      <c r="L258" s="91">
        <f>EFEITO!$N$258*EFEITO!$AA$222</f>
        <v>366.84308761677431</v>
      </c>
      <c r="M258" s="91">
        <f>$J$258-EFEITO!$K$258*EFEITO!$Y$258</f>
        <v>0</v>
      </c>
      <c r="N258" s="91">
        <f ca="1">$K$258-EFEITO!$M$258*EFEITO!$Z$258</f>
        <v>44.562012522576879</v>
      </c>
      <c r="O258" s="91">
        <f>$L$258-EFEITO!$O$258*EFEITO!$AA$258</f>
        <v>7.3368617523354942</v>
      </c>
      <c r="P258" s="20"/>
      <c r="Q258" s="20"/>
      <c r="R258" s="20"/>
      <c r="S258" s="20"/>
      <c r="T258" s="20"/>
      <c r="U258" s="20"/>
      <c r="V258" s="20"/>
      <c r="W258" s="20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83" t="s">
        <v>21</v>
      </c>
      <c r="B259" s="83" t="s">
        <v>22</v>
      </c>
      <c r="C259" s="83" t="s">
        <v>33</v>
      </c>
      <c r="D259" s="83" t="s">
        <v>24</v>
      </c>
      <c r="E259" s="83" t="s">
        <v>24</v>
      </c>
      <c r="F259" s="83" t="s">
        <v>25</v>
      </c>
      <c r="G259" s="83" t="s">
        <v>25</v>
      </c>
      <c r="H259" s="83" t="s">
        <v>35</v>
      </c>
      <c r="I259" s="90">
        <v>44378</v>
      </c>
      <c r="J259" s="91">
        <f>EFEITO!$J$259*EFEITO!$Y$259</f>
        <v>0</v>
      </c>
      <c r="K259" s="91">
        <f ca="1">EFEITO!$L$259*EFEITO!$Z$259</f>
        <v>101.41994577891279</v>
      </c>
      <c r="L259" s="91">
        <f>EFEITO!$N$259*EFEITO!$AA$259</f>
        <v>62.295268981223096</v>
      </c>
      <c r="M259" s="91">
        <f>$J$259-EFEITO!$K$259*EFEITO!$Y$259</f>
        <v>0</v>
      </c>
      <c r="N259" s="91">
        <f ca="1">$K$259-EFEITO!$M$259*EFEITO!$Z$259</f>
        <v>0</v>
      </c>
      <c r="O259" s="91">
        <f>$L$259-EFEITO!$O$259*EFEITO!$AA$259</f>
        <v>0</v>
      </c>
      <c r="P259" s="20"/>
      <c r="Q259" s="20"/>
      <c r="R259" s="20"/>
      <c r="S259" s="20"/>
      <c r="T259" s="20"/>
      <c r="U259" s="20"/>
      <c r="V259" s="20"/>
      <c r="W259" s="20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83" t="s">
        <v>21</v>
      </c>
      <c r="B260" s="83" t="s">
        <v>22</v>
      </c>
      <c r="C260" s="83" t="s">
        <v>33</v>
      </c>
      <c r="D260" s="83" t="s">
        <v>24</v>
      </c>
      <c r="E260" s="83" t="s">
        <v>24</v>
      </c>
      <c r="F260" s="83" t="s">
        <v>25</v>
      </c>
      <c r="G260" s="83" t="s">
        <v>25</v>
      </c>
      <c r="H260" s="83" t="s">
        <v>35</v>
      </c>
      <c r="I260" s="90">
        <v>44409</v>
      </c>
      <c r="J260" s="91">
        <f>EFEITO!$J$260*EFEITO!$Y$260</f>
        <v>0</v>
      </c>
      <c r="K260" s="91">
        <f ca="1">EFEITO!$L$260*EFEITO!$Z$260</f>
        <v>114.17717166305276</v>
      </c>
      <c r="L260" s="91">
        <f>EFEITO!$N$260*EFEITO!$AA$260</f>
        <v>70.131151871942976</v>
      </c>
      <c r="M260" s="91">
        <f>$J$260-EFEITO!$K$260*EFEITO!$Y$260</f>
        <v>0</v>
      </c>
      <c r="N260" s="91">
        <f ca="1">$K$260-EFEITO!$M$260*EFEITO!$Z$260</f>
        <v>0</v>
      </c>
      <c r="O260" s="91">
        <f>$L$260-EFEITO!$O$260*EFEITO!$AA$260</f>
        <v>0</v>
      </c>
      <c r="P260" s="20"/>
      <c r="Q260" s="20"/>
      <c r="R260" s="20"/>
      <c r="S260" s="20"/>
      <c r="T260" s="20"/>
      <c r="U260" s="20"/>
      <c r="V260" s="20"/>
      <c r="W260" s="20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83" t="s">
        <v>21</v>
      </c>
      <c r="B261" s="83" t="s">
        <v>22</v>
      </c>
      <c r="C261" s="83" t="s">
        <v>33</v>
      </c>
      <c r="D261" s="83" t="s">
        <v>24</v>
      </c>
      <c r="E261" s="83" t="s">
        <v>24</v>
      </c>
      <c r="F261" s="83" t="s">
        <v>25</v>
      </c>
      <c r="G261" s="83" t="s">
        <v>25</v>
      </c>
      <c r="H261" s="83" t="s">
        <v>35</v>
      </c>
      <c r="I261" s="90">
        <v>44440</v>
      </c>
      <c r="J261" s="91">
        <f>EFEITO!$J$261*EFEITO!$Y$261</f>
        <v>0</v>
      </c>
      <c r="K261" s="91">
        <f ca="1">EFEITO!$L$261*EFEITO!$Z$261</f>
        <v>118.00433942829476</v>
      </c>
      <c r="L261" s="91">
        <f>EFEITO!$N$261*EFEITO!$AA$261</f>
        <v>72.481916739158947</v>
      </c>
      <c r="M261" s="91">
        <f>$J$261-EFEITO!$K$261*EFEITO!$Y$261</f>
        <v>0</v>
      </c>
      <c r="N261" s="91">
        <f ca="1">$K$261-EFEITO!$M$261*EFEITO!$Z$261</f>
        <v>0</v>
      </c>
      <c r="O261" s="91">
        <f>$L$261-EFEITO!$O$261*EFEITO!$AA$261</f>
        <v>0</v>
      </c>
      <c r="P261" s="20"/>
      <c r="Q261" s="20"/>
      <c r="R261" s="20"/>
      <c r="S261" s="20"/>
      <c r="T261" s="20"/>
      <c r="U261" s="20"/>
      <c r="V261" s="20"/>
      <c r="W261" s="20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83" t="s">
        <v>21</v>
      </c>
      <c r="B262" s="83" t="s">
        <v>22</v>
      </c>
      <c r="C262" s="83" t="s">
        <v>33</v>
      </c>
      <c r="D262" s="83" t="s">
        <v>24</v>
      </c>
      <c r="E262" s="83" t="s">
        <v>24</v>
      </c>
      <c r="F262" s="83" t="s">
        <v>25</v>
      </c>
      <c r="G262" s="83" t="s">
        <v>25</v>
      </c>
      <c r="H262" s="83" t="s">
        <v>35</v>
      </c>
      <c r="I262" s="90">
        <v>44470</v>
      </c>
      <c r="J262" s="91">
        <f>EFEITO!$J$262*EFEITO!$Y$262</f>
        <v>0</v>
      </c>
      <c r="K262" s="91">
        <f ca="1">EFEITO!$L$262*EFEITO!$Z$262</f>
        <v>120.55578460512274</v>
      </c>
      <c r="L262" s="91">
        <f>EFEITO!$N$262*EFEITO!$AA$262</f>
        <v>74.049093317302919</v>
      </c>
      <c r="M262" s="91">
        <f>$J$262-EFEITO!$K$262*EFEITO!$Y$262</f>
        <v>0</v>
      </c>
      <c r="N262" s="91">
        <f ca="1">$K$262-EFEITO!$M$262*EFEITO!$Z$262</f>
        <v>0</v>
      </c>
      <c r="O262" s="91">
        <f>$L$262-EFEITO!$O$262*EFEITO!$AA$262</f>
        <v>0</v>
      </c>
      <c r="P262" s="20"/>
      <c r="Q262" s="20"/>
      <c r="R262" s="20"/>
      <c r="S262" s="20"/>
      <c r="T262" s="20"/>
      <c r="U262" s="20"/>
      <c r="V262" s="20"/>
      <c r="W262" s="20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83" t="s">
        <v>21</v>
      </c>
      <c r="B263" s="83" t="s">
        <v>22</v>
      </c>
      <c r="C263" s="83" t="s">
        <v>33</v>
      </c>
      <c r="D263" s="83" t="s">
        <v>24</v>
      </c>
      <c r="E263" s="83" t="s">
        <v>24</v>
      </c>
      <c r="F263" s="83" t="s">
        <v>25</v>
      </c>
      <c r="G263" s="83" t="s">
        <v>25</v>
      </c>
      <c r="H263" s="83" t="s">
        <v>35</v>
      </c>
      <c r="I263" s="90">
        <v>44501</v>
      </c>
      <c r="J263" s="91">
        <f>EFEITO!$J$263*EFEITO!$Y$263</f>
        <v>0</v>
      </c>
      <c r="K263" s="91">
        <f ca="1">EFEITO!$L$263*EFEITO!$Z$263</f>
        <v>156.91387837492167</v>
      </c>
      <c r="L263" s="91">
        <f>EFEITO!$N$263*EFEITO!$AA$263</f>
        <v>96.381359555854601</v>
      </c>
      <c r="M263" s="91">
        <f>$J$263-EFEITO!$K$263*EFEITO!$Y$263</f>
        <v>0</v>
      </c>
      <c r="N263" s="91">
        <f ca="1">$K$263-EFEITO!$M$263*EFEITO!$Z$263</f>
        <v>0</v>
      </c>
      <c r="O263" s="91">
        <f>$L$263-EFEITO!$O$263*EFEITO!$AA$263</f>
        <v>0</v>
      </c>
      <c r="P263" s="20"/>
      <c r="Q263" s="20"/>
      <c r="R263" s="20"/>
      <c r="S263" s="20"/>
      <c r="T263" s="20"/>
      <c r="U263" s="20"/>
      <c r="V263" s="20"/>
      <c r="W263" s="20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83" t="s">
        <v>21</v>
      </c>
      <c r="B264" s="83" t="s">
        <v>22</v>
      </c>
      <c r="C264" s="83" t="s">
        <v>33</v>
      </c>
      <c r="D264" s="83" t="s">
        <v>24</v>
      </c>
      <c r="E264" s="83" t="s">
        <v>24</v>
      </c>
      <c r="F264" s="83" t="s">
        <v>25</v>
      </c>
      <c r="G264" s="83" t="s">
        <v>25</v>
      </c>
      <c r="H264" s="83" t="s">
        <v>35</v>
      </c>
      <c r="I264" s="90">
        <v>44531</v>
      </c>
      <c r="J264" s="91">
        <f>EFEITO!$J$264*EFEITO!$Y$264</f>
        <v>0</v>
      </c>
      <c r="K264" s="91">
        <f ca="1">EFEITO!$L$264*EFEITO!$Z$264</f>
        <v>172.54148008299313</v>
      </c>
      <c r="L264" s="91">
        <f>EFEITO!$N$264*EFEITO!$AA$264</f>
        <v>105.98031609698646</v>
      </c>
      <c r="M264" s="91">
        <f>$J$264-EFEITO!$K$264*EFEITO!$Y$264</f>
        <v>0</v>
      </c>
      <c r="N264" s="91">
        <f ca="1">$K$264-EFEITO!$M$264*EFEITO!$Z$264</f>
        <v>0</v>
      </c>
      <c r="O264" s="91">
        <f>$L$264-EFEITO!$O$264*EFEITO!$AA$264</f>
        <v>0</v>
      </c>
      <c r="P264" s="20"/>
      <c r="Q264" s="20"/>
      <c r="R264" s="20"/>
      <c r="S264" s="20"/>
      <c r="T264" s="20"/>
      <c r="U264" s="20"/>
      <c r="V264" s="20"/>
      <c r="W264" s="20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83" t="s">
        <v>21</v>
      </c>
      <c r="B265" s="83" t="s">
        <v>22</v>
      </c>
      <c r="C265" s="83" t="s">
        <v>33</v>
      </c>
      <c r="D265" s="83" t="s">
        <v>24</v>
      </c>
      <c r="E265" s="83" t="s">
        <v>24</v>
      </c>
      <c r="F265" s="83" t="s">
        <v>25</v>
      </c>
      <c r="G265" s="83" t="s">
        <v>25</v>
      </c>
      <c r="H265" s="83" t="s">
        <v>35</v>
      </c>
      <c r="I265" s="90">
        <v>44562</v>
      </c>
      <c r="J265" s="91">
        <f>EFEITO!$J$265*EFEITO!$Y$265</f>
        <v>0</v>
      </c>
      <c r="K265" s="91">
        <f ca="1">EFEITO!$L$265*EFEITO!$Z$265</f>
        <v>213.36460291224105</v>
      </c>
      <c r="L265" s="91">
        <f>EFEITO!$N$265*EFEITO!$AA$265</f>
        <v>131.05514134729009</v>
      </c>
      <c r="M265" s="91">
        <f>$J$265-EFEITO!$K$265*EFEITO!$Y$265</f>
        <v>0</v>
      </c>
      <c r="N265" s="91">
        <f ca="1">$K$265-EFEITO!$M$265*EFEITO!$Z$265</f>
        <v>0</v>
      </c>
      <c r="O265" s="91">
        <f>$L$265-EFEITO!$O$265*EFEITO!$AA$265</f>
        <v>0</v>
      </c>
      <c r="P265" s="20"/>
      <c r="Q265" s="20"/>
      <c r="R265" s="20"/>
      <c r="S265" s="20"/>
      <c r="T265" s="20"/>
      <c r="U265" s="20"/>
      <c r="V265" s="20"/>
      <c r="W265" s="20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83" t="s">
        <v>21</v>
      </c>
      <c r="B266" s="83" t="s">
        <v>22</v>
      </c>
      <c r="C266" s="83" t="s">
        <v>33</v>
      </c>
      <c r="D266" s="83" t="s">
        <v>24</v>
      </c>
      <c r="E266" s="83" t="s">
        <v>24</v>
      </c>
      <c r="F266" s="83" t="s">
        <v>25</v>
      </c>
      <c r="G266" s="83" t="s">
        <v>25</v>
      </c>
      <c r="H266" s="83" t="s">
        <v>35</v>
      </c>
      <c r="I266" s="90">
        <v>44593</v>
      </c>
      <c r="J266" s="91">
        <f>EFEITO!$J$266*EFEITO!$Y$266</f>
        <v>0</v>
      </c>
      <c r="K266" s="91">
        <f ca="1">EFEITO!$L$266*EFEITO!$Z$266</f>
        <v>245.89552891679799</v>
      </c>
      <c r="L266" s="91">
        <f>EFEITO!$N$266*EFEITO!$AA$266</f>
        <v>151.03664271862581</v>
      </c>
      <c r="M266" s="91">
        <f>$J$266-EFEITO!$K$266*EFEITO!$Y$266</f>
        <v>0</v>
      </c>
      <c r="N266" s="91">
        <f ca="1">$K$266-EFEITO!$M$266*EFEITO!$Z$266</f>
        <v>0</v>
      </c>
      <c r="O266" s="91">
        <f>$L$266-EFEITO!$O$266*EFEITO!$AA$266</f>
        <v>0</v>
      </c>
      <c r="P266" s="20"/>
      <c r="Q266" s="20"/>
      <c r="R266" s="20"/>
      <c r="S266" s="20"/>
      <c r="T266" s="20"/>
      <c r="U266" s="20"/>
      <c r="V266" s="20"/>
      <c r="W266" s="20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83" t="s">
        <v>21</v>
      </c>
      <c r="B267" s="83" t="s">
        <v>22</v>
      </c>
      <c r="C267" s="83" t="s">
        <v>33</v>
      </c>
      <c r="D267" s="83" t="s">
        <v>24</v>
      </c>
      <c r="E267" s="83" t="s">
        <v>24</v>
      </c>
      <c r="F267" s="83" t="s">
        <v>25</v>
      </c>
      <c r="G267" s="83" t="s">
        <v>25</v>
      </c>
      <c r="H267" s="83" t="s">
        <v>35</v>
      </c>
      <c r="I267" s="90">
        <v>44621</v>
      </c>
      <c r="J267" s="91">
        <f>EFEITO!$J$267*EFEITO!$Y$267</f>
        <v>0</v>
      </c>
      <c r="K267" s="91">
        <f ca="1">EFEITO!$L$267*EFEITO!$Z$267</f>
        <v>197.41807055706607</v>
      </c>
      <c r="L267" s="91">
        <f>EFEITO!$N$267*EFEITO!$AA$267</f>
        <v>121.26028773389024</v>
      </c>
      <c r="M267" s="91">
        <f>$J$267-EFEITO!$K$267*EFEITO!$Y$267</f>
        <v>0</v>
      </c>
      <c r="N267" s="91">
        <f ca="1">$K$267-EFEITO!$M$267*EFEITO!$Z$267</f>
        <v>0</v>
      </c>
      <c r="O267" s="91">
        <f>$L$267-EFEITO!$O$267*EFEITO!$AA$267</f>
        <v>0</v>
      </c>
      <c r="P267" s="20"/>
      <c r="Q267" s="20"/>
      <c r="R267" s="20"/>
      <c r="S267" s="20"/>
      <c r="T267" s="20"/>
      <c r="U267" s="20"/>
      <c r="V267" s="20"/>
      <c r="W267" s="20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83" t="s">
        <v>21</v>
      </c>
      <c r="B268" s="83" t="s">
        <v>22</v>
      </c>
      <c r="C268" s="83" t="s">
        <v>33</v>
      </c>
      <c r="D268" s="83" t="s">
        <v>24</v>
      </c>
      <c r="E268" s="83" t="s">
        <v>24</v>
      </c>
      <c r="F268" s="83" t="s">
        <v>25</v>
      </c>
      <c r="G268" s="83" t="s">
        <v>25</v>
      </c>
      <c r="H268" s="83" t="s">
        <v>35</v>
      </c>
      <c r="I268" s="90">
        <v>44652</v>
      </c>
      <c r="J268" s="91">
        <f>EFEITO!$J$268*EFEITO!$Y$268</f>
        <v>0</v>
      </c>
      <c r="K268" s="91">
        <f ca="1">EFEITO!$L$268*EFEITO!$Z$268</f>
        <v>119.91792331091574</v>
      </c>
      <c r="L268" s="91">
        <f>EFEITO!$N$268*EFEITO!$AA$268</f>
        <v>73.657299172766926</v>
      </c>
      <c r="M268" s="91">
        <f>$J$268-EFEITO!$K$268*EFEITO!$Y$268</f>
        <v>0</v>
      </c>
      <c r="N268" s="91">
        <f ca="1">$K$268-EFEITO!$M$268*EFEITO!$Z$268</f>
        <v>0</v>
      </c>
      <c r="O268" s="91">
        <f>$L$268-EFEITO!$O$268*EFEITO!$AA$268</f>
        <v>0</v>
      </c>
      <c r="P268" s="20"/>
      <c r="Q268" s="20"/>
      <c r="R268" s="20"/>
      <c r="S268" s="20"/>
      <c r="T268" s="20"/>
      <c r="U268" s="20"/>
      <c r="V268" s="20"/>
      <c r="W268" s="20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83" t="s">
        <v>21</v>
      </c>
      <c r="B269" s="83" t="s">
        <v>22</v>
      </c>
      <c r="C269" s="83" t="s">
        <v>33</v>
      </c>
      <c r="D269" s="83" t="s">
        <v>24</v>
      </c>
      <c r="E269" s="83" t="s">
        <v>24</v>
      </c>
      <c r="F269" s="83" t="s">
        <v>25</v>
      </c>
      <c r="G269" s="83" t="s">
        <v>25</v>
      </c>
      <c r="H269" s="83" t="s">
        <v>35</v>
      </c>
      <c r="I269" s="90">
        <v>44682</v>
      </c>
      <c r="J269" s="91">
        <f>EFEITO!$J$269*EFEITO!$Y$269</f>
        <v>0</v>
      </c>
      <c r="K269" s="91">
        <f ca="1">EFEITO!$L$269*EFEITO!$Z$269</f>
        <v>105.56604419125829</v>
      </c>
      <c r="L269" s="91">
        <f>EFEITO!$N$269*EFEITO!$AA$269</f>
        <v>64.841930920707057</v>
      </c>
      <c r="M269" s="91">
        <f>$J$269-EFEITO!$K$269*EFEITO!$Y$269</f>
        <v>0</v>
      </c>
      <c r="N269" s="91">
        <f ca="1">$K$269-EFEITO!$M$269*EFEITO!$Z$269</f>
        <v>0</v>
      </c>
      <c r="O269" s="91">
        <f>$L$269-EFEITO!$O$269*EFEITO!$AA$269</f>
        <v>0</v>
      </c>
      <c r="P269" s="20"/>
      <c r="Q269" s="20"/>
      <c r="R269" s="20"/>
      <c r="S269" s="20"/>
      <c r="T269" s="20"/>
      <c r="U269" s="20"/>
      <c r="V269" s="20"/>
      <c r="W269" s="20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83" t="s">
        <v>21</v>
      </c>
      <c r="B270" s="83" t="s">
        <v>22</v>
      </c>
      <c r="C270" s="83" t="s">
        <v>33</v>
      </c>
      <c r="D270" s="83" t="s">
        <v>24</v>
      </c>
      <c r="E270" s="83" t="s">
        <v>24</v>
      </c>
      <c r="F270" s="83" t="s">
        <v>25</v>
      </c>
      <c r="G270" s="83" t="s">
        <v>25</v>
      </c>
      <c r="H270" s="83" t="s">
        <v>35</v>
      </c>
      <c r="I270" s="90">
        <v>44713</v>
      </c>
      <c r="J270" s="91">
        <f>EFEITO!$J$270*EFEITO!$Y$270</f>
        <v>0</v>
      </c>
      <c r="K270" s="91">
        <f ca="1">EFEITO!$L$270*EFEITO!$Z$270</f>
        <v>147.34595896181671</v>
      </c>
      <c r="L270" s="91">
        <f>EFEITO!$N$270*EFEITO!$AA$270</f>
        <v>90.504447387814679</v>
      </c>
      <c r="M270" s="91">
        <f>$J$270-EFEITO!$K$270*EFEITO!$Y$270</f>
        <v>0</v>
      </c>
      <c r="N270" s="91">
        <f ca="1">$K$270-EFEITO!$M$270*EFEITO!$Z$270</f>
        <v>0</v>
      </c>
      <c r="O270" s="91">
        <f>$L$270-EFEITO!$O$270*EFEITO!$AA$270</f>
        <v>0</v>
      </c>
      <c r="P270" s="20"/>
      <c r="Q270" s="20"/>
      <c r="R270" s="20"/>
      <c r="S270" s="20"/>
      <c r="T270" s="20"/>
      <c r="U270" s="20"/>
      <c r="V270" s="20"/>
      <c r="W270" s="20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83" t="s">
        <v>21</v>
      </c>
      <c r="B271" s="83" t="s">
        <v>22</v>
      </c>
      <c r="C271" s="83" t="s">
        <v>33</v>
      </c>
      <c r="D271" s="83" t="s">
        <v>24</v>
      </c>
      <c r="E271" s="83" t="s">
        <v>24</v>
      </c>
      <c r="F271" s="83" t="s">
        <v>25</v>
      </c>
      <c r="G271" s="83" t="s">
        <v>25</v>
      </c>
      <c r="H271" s="83" t="s">
        <v>36</v>
      </c>
      <c r="I271" s="90">
        <v>44378</v>
      </c>
      <c r="J271" s="91">
        <f>EFEITO!$J$271*EFEITO!$Y$271</f>
        <v>0</v>
      </c>
      <c r="K271" s="91">
        <f ca="1">EFEITO!$L$271*EFEITO!$Z$271</f>
        <v>16.104756441282927</v>
      </c>
      <c r="L271" s="91">
        <f>EFEITO!$N$271*EFEITO!$AA$271</f>
        <v>4.5056326621639347</v>
      </c>
      <c r="M271" s="91">
        <f>$J$271-EFEITO!$K$271*EFEITO!$Y$271</f>
        <v>0</v>
      </c>
      <c r="N271" s="91">
        <f ca="1">$K$271-EFEITO!$M$271*EFEITO!$Z$271</f>
        <v>0</v>
      </c>
      <c r="O271" s="91">
        <f>$L$271-EFEITO!$O$271*EFEITO!$AA$271</f>
        <v>0</v>
      </c>
      <c r="P271" s="20"/>
      <c r="Q271" s="20"/>
      <c r="R271" s="20"/>
      <c r="S271" s="20"/>
      <c r="T271" s="20"/>
      <c r="U271" s="20"/>
      <c r="V271" s="20"/>
      <c r="W271" s="20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83" t="s">
        <v>21</v>
      </c>
      <c r="B272" s="83" t="s">
        <v>22</v>
      </c>
      <c r="C272" s="83" t="s">
        <v>33</v>
      </c>
      <c r="D272" s="83" t="s">
        <v>24</v>
      </c>
      <c r="E272" s="83" t="s">
        <v>24</v>
      </c>
      <c r="F272" s="83" t="s">
        <v>25</v>
      </c>
      <c r="G272" s="83" t="s">
        <v>25</v>
      </c>
      <c r="H272" s="83" t="s">
        <v>36</v>
      </c>
      <c r="I272" s="90">
        <v>44409</v>
      </c>
      <c r="J272" s="91">
        <f>EFEITO!$J$272*EFEITO!$Y$272</f>
        <v>0</v>
      </c>
      <c r="K272" s="91">
        <f ca="1">EFEITO!$L$272*EFEITO!$Z$272</f>
        <v>18.905583648462567</v>
      </c>
      <c r="L272" s="91">
        <f>EFEITO!$N$272*EFEITO!$AA$272</f>
        <v>5.2892209512359232</v>
      </c>
      <c r="M272" s="91">
        <f>$J$272-EFEITO!$K$272*EFEITO!$Y$272</f>
        <v>0</v>
      </c>
      <c r="N272" s="91">
        <f ca="1">$K$272-EFEITO!$M$272*EFEITO!$Z$272</f>
        <v>0</v>
      </c>
      <c r="O272" s="91">
        <f>$L$272-EFEITO!$O$272*EFEITO!$AA$272</f>
        <v>0</v>
      </c>
      <c r="P272" s="20"/>
      <c r="Q272" s="20"/>
      <c r="R272" s="20"/>
      <c r="S272" s="20"/>
      <c r="T272" s="20"/>
      <c r="U272" s="20"/>
      <c r="V272" s="20"/>
      <c r="W272" s="20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83" t="s">
        <v>21</v>
      </c>
      <c r="B273" s="83" t="s">
        <v>22</v>
      </c>
      <c r="C273" s="83" t="s">
        <v>33</v>
      </c>
      <c r="D273" s="83" t="s">
        <v>24</v>
      </c>
      <c r="E273" s="83" t="s">
        <v>24</v>
      </c>
      <c r="F273" s="83" t="s">
        <v>25</v>
      </c>
      <c r="G273" s="83" t="s">
        <v>25</v>
      </c>
      <c r="H273" s="83" t="s">
        <v>36</v>
      </c>
      <c r="I273" s="90">
        <v>44440</v>
      </c>
      <c r="J273" s="91">
        <f>EFEITO!$J$273*EFEITO!$Y$273</f>
        <v>0</v>
      </c>
      <c r="K273" s="91">
        <f ca="1">EFEITO!$L$273*EFEITO!$Z$273</f>
        <v>18.905583648462567</v>
      </c>
      <c r="L273" s="91">
        <f>EFEITO!$N$273*EFEITO!$AA$273</f>
        <v>5.2892209512359232</v>
      </c>
      <c r="M273" s="91">
        <f>$J$273-EFEITO!$K$273*EFEITO!$Y$273</f>
        <v>0</v>
      </c>
      <c r="N273" s="91">
        <f ca="1">$K$273-EFEITO!$M$273*EFEITO!$Z$273</f>
        <v>0</v>
      </c>
      <c r="O273" s="91">
        <f>$L$273-EFEITO!$O$273*EFEITO!$AA$273</f>
        <v>0</v>
      </c>
      <c r="P273" s="20"/>
      <c r="Q273" s="20"/>
      <c r="R273" s="20"/>
      <c r="S273" s="20"/>
      <c r="T273" s="20"/>
      <c r="U273" s="20"/>
      <c r="V273" s="20"/>
      <c r="W273" s="20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83" t="s">
        <v>21</v>
      </c>
      <c r="B274" s="83" t="s">
        <v>22</v>
      </c>
      <c r="C274" s="83" t="s">
        <v>33</v>
      </c>
      <c r="D274" s="83" t="s">
        <v>24</v>
      </c>
      <c r="E274" s="83" t="s">
        <v>24</v>
      </c>
      <c r="F274" s="83" t="s">
        <v>25</v>
      </c>
      <c r="G274" s="83" t="s">
        <v>25</v>
      </c>
      <c r="H274" s="83" t="s">
        <v>36</v>
      </c>
      <c r="I274" s="90">
        <v>44470</v>
      </c>
      <c r="J274" s="91">
        <f>EFEITO!$J$274*EFEITO!$Y$274</f>
        <v>0</v>
      </c>
      <c r="K274" s="91">
        <f ca="1">EFEITO!$L$274*EFEITO!$Z$274</f>
        <v>18.205376846667658</v>
      </c>
      <c r="L274" s="91">
        <f>EFEITO!$N$274*EFEITO!$AA$274</f>
        <v>5.0933238789679258</v>
      </c>
      <c r="M274" s="91">
        <f>$J$274-EFEITO!$K$274*EFEITO!$Y$274</f>
        <v>0</v>
      </c>
      <c r="N274" s="91">
        <f ca="1">$K$274-EFEITO!$M$274*EFEITO!$Z$274</f>
        <v>0</v>
      </c>
      <c r="O274" s="91">
        <f>$L$274-EFEITO!$O$274*EFEITO!$AA$274</f>
        <v>0</v>
      </c>
      <c r="P274" s="20"/>
      <c r="Q274" s="20"/>
      <c r="R274" s="20"/>
      <c r="S274" s="20"/>
      <c r="T274" s="20"/>
      <c r="U274" s="20"/>
      <c r="V274" s="20"/>
      <c r="W274" s="20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83" t="s">
        <v>21</v>
      </c>
      <c r="B275" s="83" t="s">
        <v>22</v>
      </c>
      <c r="C275" s="83" t="s">
        <v>33</v>
      </c>
      <c r="D275" s="83" t="s">
        <v>24</v>
      </c>
      <c r="E275" s="83" t="s">
        <v>24</v>
      </c>
      <c r="F275" s="83" t="s">
        <v>25</v>
      </c>
      <c r="G275" s="83" t="s">
        <v>25</v>
      </c>
      <c r="H275" s="83" t="s">
        <v>36</v>
      </c>
      <c r="I275" s="90">
        <v>44501</v>
      </c>
      <c r="J275" s="91">
        <f>EFEITO!$J$275*EFEITO!$Y$275</f>
        <v>0</v>
      </c>
      <c r="K275" s="91">
        <f ca="1">EFEITO!$L$275*EFEITO!$Z$275</f>
        <v>28.708478873591307</v>
      </c>
      <c r="L275" s="91">
        <f>EFEITO!$N$275*EFEITO!$AA$275</f>
        <v>8.0317799629878834</v>
      </c>
      <c r="M275" s="91">
        <f>$J$275-EFEITO!$K$275*EFEITO!$Y$275</f>
        <v>0</v>
      </c>
      <c r="N275" s="91">
        <f ca="1">$K$275-EFEITO!$M$275*EFEITO!$Z$275</f>
        <v>0</v>
      </c>
      <c r="O275" s="91">
        <f>$L$275-EFEITO!$O$275*EFEITO!$AA$275</f>
        <v>0</v>
      </c>
      <c r="P275" s="20"/>
      <c r="Q275" s="20"/>
      <c r="R275" s="20"/>
      <c r="S275" s="20"/>
      <c r="T275" s="20"/>
      <c r="U275" s="20"/>
      <c r="V275" s="20"/>
      <c r="W275" s="20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83" t="s">
        <v>21</v>
      </c>
      <c r="B276" s="83" t="s">
        <v>22</v>
      </c>
      <c r="C276" s="83" t="s">
        <v>33</v>
      </c>
      <c r="D276" s="83" t="s">
        <v>24</v>
      </c>
      <c r="E276" s="83" t="s">
        <v>24</v>
      </c>
      <c r="F276" s="83" t="s">
        <v>25</v>
      </c>
      <c r="G276" s="83" t="s">
        <v>25</v>
      </c>
      <c r="H276" s="83" t="s">
        <v>36</v>
      </c>
      <c r="I276" s="90">
        <v>44531</v>
      </c>
      <c r="J276" s="91">
        <f>EFEITO!$J$276*EFEITO!$Y$276</f>
        <v>0</v>
      </c>
      <c r="K276" s="91">
        <f ca="1">EFEITO!$L$276*EFEITO!$Z$276</f>
        <v>30.809099278976035</v>
      </c>
      <c r="L276" s="91">
        <f>EFEITO!$N$276*EFEITO!$AA$276</f>
        <v>8.6194711797918746</v>
      </c>
      <c r="M276" s="91">
        <f>$J$276-EFEITO!$K$276*EFEITO!$Y$276</f>
        <v>0</v>
      </c>
      <c r="N276" s="91">
        <f ca="1">$K$276-EFEITO!$M$276*EFEITO!$Z$276</f>
        <v>0</v>
      </c>
      <c r="O276" s="91">
        <f>$L$276-EFEITO!$O$276*EFEITO!$AA$276</f>
        <v>0</v>
      </c>
      <c r="P276" s="20"/>
      <c r="Q276" s="20"/>
      <c r="R276" s="20"/>
      <c r="S276" s="20"/>
      <c r="T276" s="20"/>
      <c r="U276" s="20"/>
      <c r="V276" s="20"/>
      <c r="W276" s="20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83" t="s">
        <v>21</v>
      </c>
      <c r="B277" s="83" t="s">
        <v>22</v>
      </c>
      <c r="C277" s="83" t="s">
        <v>33</v>
      </c>
      <c r="D277" s="83" t="s">
        <v>24</v>
      </c>
      <c r="E277" s="83" t="s">
        <v>24</v>
      </c>
      <c r="F277" s="83" t="s">
        <v>25</v>
      </c>
      <c r="G277" s="83" t="s">
        <v>25</v>
      </c>
      <c r="H277" s="83" t="s">
        <v>36</v>
      </c>
      <c r="I277" s="90">
        <v>44562</v>
      </c>
      <c r="J277" s="91">
        <f>EFEITO!$J$277*EFEITO!$Y$277</f>
        <v>0</v>
      </c>
      <c r="K277" s="91">
        <f ca="1">EFEITO!$L$277*EFEITO!$Z$277</f>
        <v>41.312201305899684</v>
      </c>
      <c r="L277" s="91">
        <f>EFEITO!$N$277*EFEITO!$AA$277</f>
        <v>11.55792726381183</v>
      </c>
      <c r="M277" s="91">
        <f>$J$277-EFEITO!$K$277*EFEITO!$Y$277</f>
        <v>0</v>
      </c>
      <c r="N277" s="91">
        <f ca="1">$K$277-EFEITO!$M$277*EFEITO!$Z$277</f>
        <v>0</v>
      </c>
      <c r="O277" s="91">
        <f>$L$277-EFEITO!$O$277*EFEITO!$AA$277</f>
        <v>0</v>
      </c>
      <c r="P277" s="20"/>
      <c r="Q277" s="20"/>
      <c r="R277" s="20"/>
      <c r="S277" s="20"/>
      <c r="T277" s="20"/>
      <c r="U277" s="20"/>
      <c r="V277" s="20"/>
      <c r="W277" s="20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83" t="s">
        <v>21</v>
      </c>
      <c r="B278" s="83" t="s">
        <v>22</v>
      </c>
      <c r="C278" s="83" t="s">
        <v>33</v>
      </c>
      <c r="D278" s="83" t="s">
        <v>24</v>
      </c>
      <c r="E278" s="83" t="s">
        <v>24</v>
      </c>
      <c r="F278" s="83" t="s">
        <v>25</v>
      </c>
      <c r="G278" s="83" t="s">
        <v>25</v>
      </c>
      <c r="H278" s="83" t="s">
        <v>36</v>
      </c>
      <c r="I278" s="90">
        <v>44593</v>
      </c>
      <c r="J278" s="91">
        <f>EFEITO!$J$278*EFEITO!$Y$278</f>
        <v>0</v>
      </c>
      <c r="K278" s="91">
        <f ca="1">EFEITO!$L$278*EFEITO!$Z$278</f>
        <v>49.714682927438595</v>
      </c>
      <c r="L278" s="91">
        <f>EFEITO!$N$278*EFEITO!$AA$278</f>
        <v>13.908692131027797</v>
      </c>
      <c r="M278" s="91">
        <f>$J$278-EFEITO!$K$278*EFEITO!$Y$278</f>
        <v>0</v>
      </c>
      <c r="N278" s="91">
        <f ca="1">$K$278-EFEITO!$M$278*EFEITO!$Z$278</f>
        <v>0</v>
      </c>
      <c r="O278" s="91">
        <f>$L$278-EFEITO!$O$278*EFEITO!$AA$278</f>
        <v>0</v>
      </c>
      <c r="P278" s="20"/>
      <c r="Q278" s="20"/>
      <c r="R278" s="20"/>
      <c r="S278" s="20"/>
      <c r="T278" s="20"/>
      <c r="U278" s="20"/>
      <c r="V278" s="20"/>
      <c r="W278" s="20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83" t="s">
        <v>21</v>
      </c>
      <c r="B279" s="83" t="s">
        <v>22</v>
      </c>
      <c r="C279" s="83" t="s">
        <v>33</v>
      </c>
      <c r="D279" s="83" t="s">
        <v>24</v>
      </c>
      <c r="E279" s="83" t="s">
        <v>24</v>
      </c>
      <c r="F279" s="83" t="s">
        <v>25</v>
      </c>
      <c r="G279" s="83" t="s">
        <v>25</v>
      </c>
      <c r="H279" s="83" t="s">
        <v>36</v>
      </c>
      <c r="I279" s="90">
        <v>44621</v>
      </c>
      <c r="J279" s="91">
        <f>EFEITO!$J$279*EFEITO!$Y$279</f>
        <v>0</v>
      </c>
      <c r="K279" s="91">
        <f ca="1">EFEITO!$L$279*EFEITO!$Z$279</f>
        <v>38.511374098720047</v>
      </c>
      <c r="L279" s="91">
        <f>EFEITO!$N$279*EFEITO!$AA$279</f>
        <v>10.774338974739843</v>
      </c>
      <c r="M279" s="91">
        <f>$J$279-EFEITO!$K$279*EFEITO!$Y$279</f>
        <v>0</v>
      </c>
      <c r="N279" s="91">
        <f ca="1">$K$279-EFEITO!$M$279*EFEITO!$Z$279</f>
        <v>0</v>
      </c>
      <c r="O279" s="91">
        <f>$L$279-EFEITO!$O$279*EFEITO!$AA$279</f>
        <v>0</v>
      </c>
      <c r="P279" s="20"/>
      <c r="Q279" s="20"/>
      <c r="R279" s="20"/>
      <c r="S279" s="20"/>
      <c r="T279" s="20"/>
      <c r="U279" s="20"/>
      <c r="V279" s="20"/>
      <c r="W279" s="20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83" t="s">
        <v>21</v>
      </c>
      <c r="B280" s="83" t="s">
        <v>22</v>
      </c>
      <c r="C280" s="83" t="s">
        <v>33</v>
      </c>
      <c r="D280" s="83" t="s">
        <v>24</v>
      </c>
      <c r="E280" s="83" t="s">
        <v>24</v>
      </c>
      <c r="F280" s="83" t="s">
        <v>25</v>
      </c>
      <c r="G280" s="83" t="s">
        <v>25</v>
      </c>
      <c r="H280" s="83" t="s">
        <v>36</v>
      </c>
      <c r="I280" s="90">
        <v>44652</v>
      </c>
      <c r="J280" s="91">
        <f>EFEITO!$J$280*EFEITO!$Y$280</f>
        <v>0</v>
      </c>
      <c r="K280" s="91">
        <f ca="1">EFEITO!$L$280*EFEITO!$Z$280</f>
        <v>18.905583648462567</v>
      </c>
      <c r="L280" s="91">
        <f>EFEITO!$N$280*EFEITO!$AA$280</f>
        <v>5.2892209512359232</v>
      </c>
      <c r="M280" s="91">
        <f>$J$280-EFEITO!$K$280*EFEITO!$Y$280</f>
        <v>0</v>
      </c>
      <c r="N280" s="91">
        <f ca="1">$K$280-EFEITO!$M$280*EFEITO!$Z$280</f>
        <v>0</v>
      </c>
      <c r="O280" s="91">
        <f>$L$280-EFEITO!$O$280*EFEITO!$AA$280</f>
        <v>0</v>
      </c>
      <c r="P280" s="20"/>
      <c r="Q280" s="20"/>
      <c r="R280" s="20"/>
      <c r="S280" s="20"/>
      <c r="T280" s="20"/>
      <c r="U280" s="20"/>
      <c r="V280" s="20"/>
      <c r="W280" s="20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83" t="s">
        <v>21</v>
      </c>
      <c r="B281" s="83" t="s">
        <v>22</v>
      </c>
      <c r="C281" s="83" t="s">
        <v>33</v>
      </c>
      <c r="D281" s="83" t="s">
        <v>24</v>
      </c>
      <c r="E281" s="83" t="s">
        <v>24</v>
      </c>
      <c r="F281" s="83" t="s">
        <v>25</v>
      </c>
      <c r="G281" s="83" t="s">
        <v>25</v>
      </c>
      <c r="H281" s="83" t="s">
        <v>36</v>
      </c>
      <c r="I281" s="90">
        <v>44682</v>
      </c>
      <c r="J281" s="91">
        <f>EFEITO!$J$281*EFEITO!$Y$281</f>
        <v>0</v>
      </c>
      <c r="K281" s="91">
        <f ca="1">EFEITO!$L$281*EFEITO!$Z$281</f>
        <v>15.404549639488017</v>
      </c>
      <c r="L281" s="91">
        <f>EFEITO!$N$281*EFEITO!$AA$281</f>
        <v>4.3097355898959373</v>
      </c>
      <c r="M281" s="91">
        <f>$J$281-EFEITO!$K$281*EFEITO!$Y$281</f>
        <v>0</v>
      </c>
      <c r="N281" s="91">
        <f ca="1">$K$281-EFEITO!$M$281*EFEITO!$Z$281</f>
        <v>0</v>
      </c>
      <c r="O281" s="91">
        <f>$L$281-EFEITO!$O$281*EFEITO!$AA$281</f>
        <v>0</v>
      </c>
      <c r="P281" s="20"/>
      <c r="Q281" s="20"/>
      <c r="R281" s="20"/>
      <c r="S281" s="20"/>
      <c r="T281" s="20"/>
      <c r="U281" s="20"/>
      <c r="V281" s="20"/>
      <c r="W281" s="20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83" t="s">
        <v>21</v>
      </c>
      <c r="B282" s="83" t="s">
        <v>22</v>
      </c>
      <c r="C282" s="83" t="s">
        <v>33</v>
      </c>
      <c r="D282" s="83" t="s">
        <v>24</v>
      </c>
      <c r="E282" s="83" t="s">
        <v>24</v>
      </c>
      <c r="F282" s="83" t="s">
        <v>25</v>
      </c>
      <c r="G282" s="83" t="s">
        <v>25</v>
      </c>
      <c r="H282" s="83" t="s">
        <v>36</v>
      </c>
      <c r="I282" s="90">
        <v>44713</v>
      </c>
      <c r="J282" s="91">
        <f>EFEITO!$J$282*EFEITO!$Y$282</f>
        <v>0</v>
      </c>
      <c r="K282" s="91">
        <f ca="1">EFEITO!$L$282*EFEITO!$Z$282</f>
        <v>26.607858468206576</v>
      </c>
      <c r="L282" s="91">
        <f>EFEITO!$N$282*EFEITO!$AA$282</f>
        <v>7.4440887461838914</v>
      </c>
      <c r="M282" s="91">
        <f>$J$282-EFEITO!$K$282*EFEITO!$Y$282</f>
        <v>0</v>
      </c>
      <c r="N282" s="91">
        <f ca="1">$K$282-EFEITO!$M$282*EFEITO!$Z$282</f>
        <v>0</v>
      </c>
      <c r="O282" s="91">
        <f>$L$282-EFEITO!$O$282*EFEITO!$AA$282</f>
        <v>0</v>
      </c>
      <c r="P282" s="20"/>
      <c r="Q282" s="20"/>
      <c r="R282" s="20"/>
      <c r="S282" s="20"/>
      <c r="T282" s="20"/>
      <c r="U282" s="20"/>
      <c r="V282" s="20"/>
      <c r="W282" s="20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83" t="s">
        <v>21</v>
      </c>
      <c r="B283" s="83" t="s">
        <v>22</v>
      </c>
      <c r="C283" s="83" t="s">
        <v>33</v>
      </c>
      <c r="D283" s="83" t="s">
        <v>24</v>
      </c>
      <c r="E283" s="83" t="s">
        <v>24</v>
      </c>
      <c r="F283" s="83" t="s">
        <v>25</v>
      </c>
      <c r="G283" s="83" t="s">
        <v>25</v>
      </c>
      <c r="H283" s="83" t="s">
        <v>34</v>
      </c>
      <c r="I283" s="90">
        <v>44378</v>
      </c>
      <c r="J283" s="91">
        <f>EFEITO!$J$283*EFEITO!$Y$283</f>
        <v>0</v>
      </c>
      <c r="K283" s="91">
        <f ca="1">EFEITO!$L$283*EFEITO!$Z$283</f>
        <v>52.992661049863663</v>
      </c>
      <c r="L283" s="91">
        <f>EFEITO!$N$283*EFEITO!$AA$283</f>
        <v>15.259177668269901</v>
      </c>
      <c r="M283" s="91">
        <f>$J$283-EFEITO!$K$283*EFEITO!$Y$283</f>
        <v>0</v>
      </c>
      <c r="N283" s="91">
        <f ca="1">$K$283-EFEITO!$M$283*EFEITO!$Z$283</f>
        <v>0</v>
      </c>
      <c r="O283" s="91">
        <f>$L$283-EFEITO!$O$283*EFEITO!$AA$283</f>
        <v>0</v>
      </c>
      <c r="P283" s="20"/>
      <c r="Q283" s="20"/>
      <c r="R283" s="20"/>
      <c r="S283" s="20"/>
      <c r="T283" s="20"/>
      <c r="U283" s="20"/>
      <c r="V283" s="20"/>
      <c r="W283" s="20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83" t="s">
        <v>21</v>
      </c>
      <c r="B284" s="83" t="s">
        <v>22</v>
      </c>
      <c r="C284" s="83" t="s">
        <v>33</v>
      </c>
      <c r="D284" s="83" t="s">
        <v>24</v>
      </c>
      <c r="E284" s="83" t="s">
        <v>24</v>
      </c>
      <c r="F284" s="83" t="s">
        <v>25</v>
      </c>
      <c r="G284" s="83" t="s">
        <v>25</v>
      </c>
      <c r="H284" s="83" t="s">
        <v>34</v>
      </c>
      <c r="I284" s="90">
        <v>44409</v>
      </c>
      <c r="J284" s="91">
        <f>EFEITO!$J$284*EFEITO!$Y$284</f>
        <v>0</v>
      </c>
      <c r="K284" s="91">
        <f ca="1">EFEITO!$L$284*EFEITO!$Z$284</f>
        <v>64.888972714118765</v>
      </c>
      <c r="L284" s="91">
        <f>EFEITO!$N$284*EFEITO!$AA$284</f>
        <v>18.684707348901917</v>
      </c>
      <c r="M284" s="91">
        <f>$J$284-EFEITO!$K$284*EFEITO!$Y$284</f>
        <v>0</v>
      </c>
      <c r="N284" s="91">
        <f ca="1">$K$284-EFEITO!$M$284*EFEITO!$Z$284</f>
        <v>0</v>
      </c>
      <c r="O284" s="91">
        <f>$L$284-EFEITO!$O$284*EFEITO!$AA$284</f>
        <v>0</v>
      </c>
      <c r="P284" s="20"/>
      <c r="Q284" s="20"/>
      <c r="R284" s="20"/>
      <c r="S284" s="20"/>
      <c r="T284" s="20"/>
      <c r="U284" s="20"/>
      <c r="V284" s="20"/>
      <c r="W284" s="20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83" t="s">
        <v>21</v>
      </c>
      <c r="B285" s="83" t="s">
        <v>22</v>
      </c>
      <c r="C285" s="83" t="s">
        <v>33</v>
      </c>
      <c r="D285" s="83" t="s">
        <v>24</v>
      </c>
      <c r="E285" s="83" t="s">
        <v>24</v>
      </c>
      <c r="F285" s="83" t="s">
        <v>25</v>
      </c>
      <c r="G285" s="83" t="s">
        <v>25</v>
      </c>
      <c r="H285" s="83" t="s">
        <v>34</v>
      </c>
      <c r="I285" s="90">
        <v>44440</v>
      </c>
      <c r="J285" s="91">
        <f>EFEITO!$J$285*EFEITO!$Y$285</f>
        <v>0</v>
      </c>
      <c r="K285" s="91">
        <f ca="1">EFEITO!$L$285*EFEITO!$Z$285</f>
        <v>58.400075442706893</v>
      </c>
      <c r="L285" s="91">
        <f>EFEITO!$N$285*EFEITO!$AA$285</f>
        <v>16.816236614011725</v>
      </c>
      <c r="M285" s="91">
        <f>$J$285-EFEITO!$K$285*EFEITO!$Y$285</f>
        <v>0</v>
      </c>
      <c r="N285" s="91">
        <f ca="1">$K$285-EFEITO!$M$285*EFEITO!$Z$285</f>
        <v>0</v>
      </c>
      <c r="O285" s="91">
        <f>$L$285-EFEITO!$O$285*EFEITO!$AA$285</f>
        <v>0</v>
      </c>
      <c r="P285" s="20"/>
      <c r="Q285" s="20"/>
      <c r="R285" s="20"/>
      <c r="S285" s="20"/>
      <c r="T285" s="20"/>
      <c r="U285" s="20"/>
      <c r="V285" s="20"/>
      <c r="W285" s="20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83" t="s">
        <v>21</v>
      </c>
      <c r="B286" s="83" t="s">
        <v>22</v>
      </c>
      <c r="C286" s="83" t="s">
        <v>33</v>
      </c>
      <c r="D286" s="83" t="s">
        <v>24</v>
      </c>
      <c r="E286" s="83" t="s">
        <v>24</v>
      </c>
      <c r="F286" s="83" t="s">
        <v>25</v>
      </c>
      <c r="G286" s="83" t="s">
        <v>25</v>
      </c>
      <c r="H286" s="83" t="s">
        <v>34</v>
      </c>
      <c r="I286" s="90">
        <v>44470</v>
      </c>
      <c r="J286" s="91">
        <f>EFEITO!$J$286*EFEITO!$Y$286</f>
        <v>0</v>
      </c>
      <c r="K286" s="91">
        <f ca="1">EFEITO!$L$286*EFEITO!$Z$286</f>
        <v>57.318592564138243</v>
      </c>
      <c r="L286" s="91">
        <f>EFEITO!$N$286*EFEITO!$AA$286</f>
        <v>16.504824824863359</v>
      </c>
      <c r="M286" s="91">
        <f>$J$286-EFEITO!$K$286*EFEITO!$Y$286</f>
        <v>0</v>
      </c>
      <c r="N286" s="91">
        <f ca="1">$K$286-EFEITO!$M$286*EFEITO!$Z$286</f>
        <v>0</v>
      </c>
      <c r="O286" s="91">
        <f>$L$286-EFEITO!$O$286*EFEITO!$AA$286</f>
        <v>0</v>
      </c>
      <c r="P286" s="20"/>
      <c r="Q286" s="20"/>
      <c r="R286" s="20"/>
      <c r="S286" s="20"/>
      <c r="T286" s="20"/>
      <c r="U286" s="20"/>
      <c r="V286" s="20"/>
      <c r="W286" s="20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83" t="s">
        <v>21</v>
      </c>
      <c r="B287" s="83" t="s">
        <v>22</v>
      </c>
      <c r="C287" s="83" t="s">
        <v>33</v>
      </c>
      <c r="D287" s="83" t="s">
        <v>24</v>
      </c>
      <c r="E287" s="83" t="s">
        <v>24</v>
      </c>
      <c r="F287" s="83" t="s">
        <v>25</v>
      </c>
      <c r="G287" s="83" t="s">
        <v>25</v>
      </c>
      <c r="H287" s="83" t="s">
        <v>34</v>
      </c>
      <c r="I287" s="90">
        <v>44501</v>
      </c>
      <c r="J287" s="91">
        <f>EFEITO!$J$287*EFEITO!$Y$287</f>
        <v>0</v>
      </c>
      <c r="K287" s="91">
        <f ca="1">EFEITO!$L$287*EFEITO!$Z$287</f>
        <v>55.155626807000949</v>
      </c>
      <c r="L287" s="91">
        <f>EFEITO!$N$287*EFEITO!$AA$287</f>
        <v>15.882001246566629</v>
      </c>
      <c r="M287" s="91">
        <f>$J$287-EFEITO!$K$287*EFEITO!$Y$287</f>
        <v>0</v>
      </c>
      <c r="N287" s="91">
        <f ca="1">$K$287-EFEITO!$M$287*EFEITO!$Z$287</f>
        <v>0</v>
      </c>
      <c r="O287" s="91">
        <f>$L$287-EFEITO!$O$287*EFEITO!$AA$287</f>
        <v>0</v>
      </c>
      <c r="P287" s="20"/>
      <c r="Q287" s="20"/>
      <c r="R287" s="20"/>
      <c r="S287" s="20"/>
      <c r="T287" s="20"/>
      <c r="U287" s="20"/>
      <c r="V287" s="20"/>
      <c r="W287" s="20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83" t="s">
        <v>21</v>
      </c>
      <c r="B288" s="83" t="s">
        <v>22</v>
      </c>
      <c r="C288" s="83" t="s">
        <v>33</v>
      </c>
      <c r="D288" s="83" t="s">
        <v>24</v>
      </c>
      <c r="E288" s="83" t="s">
        <v>24</v>
      </c>
      <c r="F288" s="83" t="s">
        <v>25</v>
      </c>
      <c r="G288" s="83" t="s">
        <v>25</v>
      </c>
      <c r="H288" s="83" t="s">
        <v>34</v>
      </c>
      <c r="I288" s="90">
        <v>44531</v>
      </c>
      <c r="J288" s="91">
        <f>EFEITO!$J$288*EFEITO!$Y$288</f>
        <v>0</v>
      </c>
      <c r="K288" s="91">
        <f ca="1">EFEITO!$L$288*EFEITO!$Z$288</f>
        <v>59.481558321275536</v>
      </c>
      <c r="L288" s="91">
        <f>EFEITO!$N$288*EFEITO!$AA$288</f>
        <v>17.127648403160091</v>
      </c>
      <c r="M288" s="91">
        <f>$J$288-EFEITO!$K$288*EFEITO!$Y$288</f>
        <v>0</v>
      </c>
      <c r="N288" s="91">
        <f ca="1">$K$288-EFEITO!$M$288*EFEITO!$Z$288</f>
        <v>0</v>
      </c>
      <c r="O288" s="91">
        <f>$L$288-EFEITO!$O$288*EFEITO!$AA$288</f>
        <v>0</v>
      </c>
      <c r="P288" s="20"/>
      <c r="Q288" s="20"/>
      <c r="R288" s="20"/>
      <c r="S288" s="20"/>
      <c r="T288" s="20"/>
      <c r="U288" s="20"/>
      <c r="V288" s="20"/>
      <c r="W288" s="20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83" t="s">
        <v>21</v>
      </c>
      <c r="B289" s="83" t="s">
        <v>22</v>
      </c>
      <c r="C289" s="83" t="s">
        <v>33</v>
      </c>
      <c r="D289" s="83" t="s">
        <v>24</v>
      </c>
      <c r="E289" s="83" t="s">
        <v>24</v>
      </c>
      <c r="F289" s="83" t="s">
        <v>25</v>
      </c>
      <c r="G289" s="83" t="s">
        <v>25</v>
      </c>
      <c r="H289" s="83" t="s">
        <v>34</v>
      </c>
      <c r="I289" s="90">
        <v>44562</v>
      </c>
      <c r="J289" s="91">
        <f>EFEITO!$J$289*EFEITO!$Y$289</f>
        <v>0</v>
      </c>
      <c r="K289" s="91">
        <f ca="1">EFEITO!$L$289*EFEITO!$Z$289</f>
        <v>68.133421349824701</v>
      </c>
      <c r="L289" s="91">
        <f>EFEITO!$N$289*EFEITO!$AA$289</f>
        <v>19.618942716347014</v>
      </c>
      <c r="M289" s="91">
        <f>$J$289-EFEITO!$K$289*EFEITO!$Y$289</f>
        <v>0</v>
      </c>
      <c r="N289" s="91">
        <f ca="1">$K$289-EFEITO!$M$289*EFEITO!$Z$289</f>
        <v>0</v>
      </c>
      <c r="O289" s="91">
        <f>$L$289-EFEITO!$O$289*EFEITO!$AA$289</f>
        <v>0</v>
      </c>
      <c r="P289" s="20"/>
      <c r="Q289" s="20"/>
      <c r="R289" s="20"/>
      <c r="S289" s="20"/>
      <c r="T289" s="20"/>
      <c r="U289" s="20"/>
      <c r="V289" s="20"/>
      <c r="W289" s="20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83" t="s">
        <v>21</v>
      </c>
      <c r="B290" s="83" t="s">
        <v>22</v>
      </c>
      <c r="C290" s="83" t="s">
        <v>33</v>
      </c>
      <c r="D290" s="83" t="s">
        <v>24</v>
      </c>
      <c r="E290" s="83" t="s">
        <v>24</v>
      </c>
      <c r="F290" s="83" t="s">
        <v>25</v>
      </c>
      <c r="G290" s="83" t="s">
        <v>25</v>
      </c>
      <c r="H290" s="83" t="s">
        <v>34</v>
      </c>
      <c r="I290" s="90">
        <v>44593</v>
      </c>
      <c r="J290" s="91">
        <f>EFEITO!$J$290*EFEITO!$Y$290</f>
        <v>0</v>
      </c>
      <c r="K290" s="91">
        <f ca="1">EFEITO!$L$290*EFEITO!$Z$290</f>
        <v>84.355664528354396</v>
      </c>
      <c r="L290" s="91">
        <f>EFEITO!$N$290*EFEITO!$AA$290</f>
        <v>24.290119553572495</v>
      </c>
      <c r="M290" s="91">
        <f>$J$290-EFEITO!$K$290*EFEITO!$Y$290</f>
        <v>0</v>
      </c>
      <c r="N290" s="91">
        <f ca="1">$K$290-EFEITO!$M$290*EFEITO!$Z$290</f>
        <v>0</v>
      </c>
      <c r="O290" s="91">
        <f>$L$290-EFEITO!$O$290*EFEITO!$AA$290</f>
        <v>0</v>
      </c>
      <c r="P290" s="20"/>
      <c r="Q290" s="20"/>
      <c r="R290" s="20"/>
      <c r="S290" s="20"/>
      <c r="T290" s="20"/>
      <c r="U290" s="20"/>
      <c r="V290" s="20"/>
      <c r="W290" s="20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83" t="s">
        <v>21</v>
      </c>
      <c r="B291" s="83" t="s">
        <v>22</v>
      </c>
      <c r="C291" s="83" t="s">
        <v>33</v>
      </c>
      <c r="D291" s="83" t="s">
        <v>24</v>
      </c>
      <c r="E291" s="83" t="s">
        <v>24</v>
      </c>
      <c r="F291" s="83" t="s">
        <v>25</v>
      </c>
      <c r="G291" s="83" t="s">
        <v>25</v>
      </c>
      <c r="H291" s="83" t="s">
        <v>34</v>
      </c>
      <c r="I291" s="90">
        <v>44621</v>
      </c>
      <c r="J291" s="91">
        <f>EFEITO!$J$291*EFEITO!$Y$291</f>
        <v>0</v>
      </c>
      <c r="K291" s="91">
        <f ca="1">EFEITO!$L$291*EFEITO!$Z$291</f>
        <v>74.622318621236587</v>
      </c>
      <c r="L291" s="91">
        <f>EFEITO!$N$291*EFEITO!$AA$291</f>
        <v>21.487413451237206</v>
      </c>
      <c r="M291" s="91">
        <f>$J$291-EFEITO!$K$291*EFEITO!$Y$291</f>
        <v>0</v>
      </c>
      <c r="N291" s="91">
        <f ca="1">$K$291-EFEITO!$M$291*EFEITO!$Z$291</f>
        <v>0</v>
      </c>
      <c r="O291" s="91">
        <f>$L$291-EFEITO!$O$291*EFEITO!$AA$291</f>
        <v>0</v>
      </c>
      <c r="P291" s="20"/>
      <c r="Q291" s="20"/>
      <c r="R291" s="20"/>
      <c r="S291" s="20"/>
      <c r="T291" s="20"/>
      <c r="U291" s="20"/>
      <c r="V291" s="20"/>
      <c r="W291" s="20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83" t="s">
        <v>21</v>
      </c>
      <c r="B292" s="83" t="s">
        <v>22</v>
      </c>
      <c r="C292" s="83" t="s">
        <v>33</v>
      </c>
      <c r="D292" s="83" t="s">
        <v>24</v>
      </c>
      <c r="E292" s="83" t="s">
        <v>24</v>
      </c>
      <c r="F292" s="83" t="s">
        <v>25</v>
      </c>
      <c r="G292" s="83" t="s">
        <v>25</v>
      </c>
      <c r="H292" s="83" t="s">
        <v>34</v>
      </c>
      <c r="I292" s="90">
        <v>44652</v>
      </c>
      <c r="J292" s="91">
        <f>EFEITO!$J$292*EFEITO!$Y$292</f>
        <v>0</v>
      </c>
      <c r="K292" s="91">
        <f ca="1">EFEITO!$L$292*EFEITO!$Z$292</f>
        <v>45.422280899883141</v>
      </c>
      <c r="L292" s="91">
        <f>EFEITO!$N$292*EFEITO!$AA$292</f>
        <v>13.079295144231343</v>
      </c>
      <c r="M292" s="91">
        <f>$J$292-EFEITO!$K$292*EFEITO!$Y$292</f>
        <v>0</v>
      </c>
      <c r="N292" s="91">
        <f ca="1">$K$292-EFEITO!$M$292*EFEITO!$Z$292</f>
        <v>0</v>
      </c>
      <c r="O292" s="91">
        <f>$L$292-EFEITO!$O$292*EFEITO!$AA$292</f>
        <v>0</v>
      </c>
      <c r="P292" s="20"/>
      <c r="Q292" s="20"/>
      <c r="R292" s="20"/>
      <c r="S292" s="20"/>
      <c r="T292" s="20"/>
      <c r="U292" s="20"/>
      <c r="V292" s="20"/>
      <c r="W292" s="20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83" t="s">
        <v>21</v>
      </c>
      <c r="B293" s="83" t="s">
        <v>22</v>
      </c>
      <c r="C293" s="83" t="s">
        <v>33</v>
      </c>
      <c r="D293" s="83" t="s">
        <v>24</v>
      </c>
      <c r="E293" s="83" t="s">
        <v>24</v>
      </c>
      <c r="F293" s="83" t="s">
        <v>25</v>
      </c>
      <c r="G293" s="83" t="s">
        <v>25</v>
      </c>
      <c r="H293" s="83" t="s">
        <v>34</v>
      </c>
      <c r="I293" s="90">
        <v>44682</v>
      </c>
      <c r="J293" s="91">
        <f>EFEITO!$J$293*EFEITO!$Y$293</f>
        <v>0</v>
      </c>
      <c r="K293" s="91">
        <f ca="1">EFEITO!$L$293*EFEITO!$Z$293</f>
        <v>47.585246657020427</v>
      </c>
      <c r="L293" s="91">
        <f>EFEITO!$N$293*EFEITO!$AA$293</f>
        <v>13.702118722528072</v>
      </c>
      <c r="M293" s="91">
        <f>$J$293-EFEITO!$K$293*EFEITO!$Y$293</f>
        <v>0</v>
      </c>
      <c r="N293" s="91">
        <f ca="1">$K$293-EFEITO!$M$293*EFEITO!$Z$293</f>
        <v>0</v>
      </c>
      <c r="O293" s="91">
        <f>$L$293-EFEITO!$O$293*EFEITO!$AA$293</f>
        <v>0</v>
      </c>
      <c r="P293" s="20"/>
      <c r="Q293" s="20"/>
      <c r="R293" s="20"/>
      <c r="S293" s="20"/>
      <c r="T293" s="20"/>
      <c r="U293" s="20"/>
      <c r="V293" s="20"/>
      <c r="W293" s="20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83" t="s">
        <v>21</v>
      </c>
      <c r="B294" s="83" t="s">
        <v>22</v>
      </c>
      <c r="C294" s="83" t="s">
        <v>33</v>
      </c>
      <c r="D294" s="83" t="s">
        <v>24</v>
      </c>
      <c r="E294" s="83" t="s">
        <v>24</v>
      </c>
      <c r="F294" s="83" t="s">
        <v>25</v>
      </c>
      <c r="G294" s="83" t="s">
        <v>25</v>
      </c>
      <c r="H294" s="83" t="s">
        <v>34</v>
      </c>
      <c r="I294" s="90">
        <v>44713</v>
      </c>
      <c r="J294" s="91">
        <f>EFEITO!$J$294*EFEITO!$Y$294</f>
        <v>0</v>
      </c>
      <c r="K294" s="91">
        <f ca="1">EFEITO!$L$294*EFEITO!$Z$294</f>
        <v>75.703801499805238</v>
      </c>
      <c r="L294" s="91">
        <f>EFEITO!$N$294*EFEITO!$AA$294</f>
        <v>21.798825240385572</v>
      </c>
      <c r="M294" s="91">
        <f>$J$294-EFEITO!$K$294*EFEITO!$Y$294</f>
        <v>0</v>
      </c>
      <c r="N294" s="91">
        <f ca="1">$K$294-EFEITO!$M$294*EFEITO!$Z$294</f>
        <v>0</v>
      </c>
      <c r="O294" s="91">
        <f>$L$294-EFEITO!$O$294*EFEITO!$AA$294</f>
        <v>0</v>
      </c>
      <c r="P294" s="20"/>
      <c r="Q294" s="20"/>
      <c r="R294" s="20"/>
      <c r="S294" s="20"/>
      <c r="T294" s="20"/>
      <c r="U294" s="20"/>
      <c r="V294" s="20"/>
      <c r="W294" s="20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83" t="s">
        <v>21</v>
      </c>
      <c r="B295" s="83" t="s">
        <v>22</v>
      </c>
      <c r="C295" s="83" t="s">
        <v>23</v>
      </c>
      <c r="D295" s="83" t="s">
        <v>24</v>
      </c>
      <c r="E295" s="83" t="s">
        <v>24</v>
      </c>
      <c r="F295" s="83" t="s">
        <v>25</v>
      </c>
      <c r="G295" s="83" t="s">
        <v>25</v>
      </c>
      <c r="H295" s="83" t="s">
        <v>25</v>
      </c>
      <c r="I295" s="90">
        <v>44378</v>
      </c>
      <c r="J295" s="91">
        <f>EFEITO!$J$295*EFEITO!$Y$295</f>
        <v>0</v>
      </c>
      <c r="K295" s="91">
        <f ca="1">EFEITO!$L$295*EFEITO!$Z$295</f>
        <v>670673.19560324121</v>
      </c>
      <c r="L295" s="91">
        <f>EFEITO!$N$295*EFEITO!$AA$295</f>
        <v>309040.24613467121</v>
      </c>
      <c r="M295" s="91">
        <f>$J$295-EFEITO!$K$295*EFEITO!$Y$295</f>
        <v>0</v>
      </c>
      <c r="N295" s="91">
        <f ca="1">$K$295-EFEITO!$M$295*EFEITO!$Z$295</f>
        <v>0</v>
      </c>
      <c r="O295" s="91">
        <f>$L$295-EFEITO!$O$295*EFEITO!$AA$295</f>
        <v>0</v>
      </c>
      <c r="P295" s="20"/>
      <c r="Q295" s="20"/>
      <c r="R295" s="20"/>
      <c r="S295" s="20"/>
      <c r="T295" s="20"/>
      <c r="U295" s="20"/>
      <c r="V295" s="20"/>
      <c r="W295" s="20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83" t="s">
        <v>27</v>
      </c>
      <c r="B296" s="83" t="s">
        <v>22</v>
      </c>
      <c r="C296" s="83" t="s">
        <v>23</v>
      </c>
      <c r="D296" s="83" t="s">
        <v>24</v>
      </c>
      <c r="E296" s="83" t="s">
        <v>24</v>
      </c>
      <c r="F296" s="83" t="s">
        <v>25</v>
      </c>
      <c r="G296" s="83" t="s">
        <v>25</v>
      </c>
      <c r="H296" s="83" t="s">
        <v>25</v>
      </c>
      <c r="I296" s="90">
        <v>44378</v>
      </c>
      <c r="J296" s="91">
        <f>EFEITO!$J$296*EFEITO!$Y$296</f>
        <v>0</v>
      </c>
      <c r="K296" s="91">
        <f ca="1">EFEITO!$L$296*EFEITO!$Z$296</f>
        <v>-1255.1079005952224</v>
      </c>
      <c r="L296" s="91">
        <f>EFEITO!$N$296*EFEITO!$AA$296</f>
        <v>-578.34256247059022</v>
      </c>
      <c r="M296" s="91">
        <f>$J$296-EFEITO!$K$296*EFEITO!$Y$296</f>
        <v>0</v>
      </c>
      <c r="N296" s="91">
        <f ca="1">$K$296-EFEITO!$M$296*EFEITO!$Z$296</f>
        <v>0</v>
      </c>
      <c r="O296" s="91">
        <f>$L$296-EFEITO!$O$296*EFEITO!$AA$296</f>
        <v>0</v>
      </c>
      <c r="P296" s="20"/>
      <c r="Q296" s="20"/>
      <c r="R296" s="20"/>
      <c r="S296" s="20"/>
      <c r="T296" s="20"/>
      <c r="U296" s="20"/>
      <c r="V296" s="20"/>
      <c r="W296" s="20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83" t="s">
        <v>28</v>
      </c>
      <c r="B297" s="83" t="s">
        <v>22</v>
      </c>
      <c r="C297" s="83" t="s">
        <v>23</v>
      </c>
      <c r="D297" s="83" t="s">
        <v>24</v>
      </c>
      <c r="E297" s="83" t="s">
        <v>24</v>
      </c>
      <c r="F297" s="83" t="s">
        <v>25</v>
      </c>
      <c r="G297" s="83" t="s">
        <v>25</v>
      </c>
      <c r="H297" s="83" t="s">
        <v>25</v>
      </c>
      <c r="I297" s="90">
        <v>44378</v>
      </c>
      <c r="J297" s="91">
        <f>EFEITO!$J$297*EFEITO!$Y$297</f>
        <v>0</v>
      </c>
      <c r="K297" s="91">
        <f ca="1">EFEITO!$L$297*EFEITO!$Z$297</f>
        <v>17085.345856503405</v>
      </c>
      <c r="L297" s="91">
        <f>EFEITO!$N$297*EFEITO!$AA$297</f>
        <v>7872.7754790328463</v>
      </c>
      <c r="M297" s="91">
        <f>$J$297-EFEITO!$K$297*EFEITO!$Y$297</f>
        <v>0</v>
      </c>
      <c r="N297" s="91">
        <f ca="1">$K$297-EFEITO!$M$297*EFEITO!$Z$297</f>
        <v>0</v>
      </c>
      <c r="O297" s="91">
        <f>$L$297-EFEITO!$O$297*EFEITO!$AA$297</f>
        <v>0</v>
      </c>
      <c r="P297" s="20"/>
      <c r="Q297" s="20"/>
      <c r="R297" s="20"/>
      <c r="S297" s="20"/>
      <c r="T297" s="20"/>
      <c r="U297" s="20"/>
      <c r="V297" s="20"/>
      <c r="W297" s="20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83" t="s">
        <v>21</v>
      </c>
      <c r="B298" s="83" t="s">
        <v>22</v>
      </c>
      <c r="C298" s="83" t="s">
        <v>23</v>
      </c>
      <c r="D298" s="83" t="s">
        <v>24</v>
      </c>
      <c r="E298" s="83" t="s">
        <v>24</v>
      </c>
      <c r="F298" s="83" t="s">
        <v>25</v>
      </c>
      <c r="G298" s="83" t="s">
        <v>25</v>
      </c>
      <c r="H298" s="83" t="s">
        <v>25</v>
      </c>
      <c r="I298" s="90">
        <v>44409</v>
      </c>
      <c r="J298" s="91">
        <f>EFEITO!$J$298*EFEITO!$Y$298</f>
        <v>0</v>
      </c>
      <c r="K298" s="91">
        <f ca="1">EFEITO!$L$298*EFEITO!$Z$298</f>
        <v>722223.60816009785</v>
      </c>
      <c r="L298" s="91">
        <f>EFEITO!$N$298*EFEITO!$AA$298</f>
        <v>332794.21794889506</v>
      </c>
      <c r="M298" s="91">
        <f>$J$298-EFEITO!$K$298*EFEITO!$Y$298</f>
        <v>0</v>
      </c>
      <c r="N298" s="91">
        <f ca="1">$K$298-EFEITO!$M$298*EFEITO!$Z$298</f>
        <v>0</v>
      </c>
      <c r="O298" s="91">
        <f>$L$298-EFEITO!$O$298*EFEITO!$AA$298</f>
        <v>0</v>
      </c>
      <c r="P298" s="20"/>
      <c r="Q298" s="20"/>
      <c r="R298" s="20"/>
      <c r="S298" s="20"/>
      <c r="T298" s="20"/>
      <c r="U298" s="20"/>
      <c r="V298" s="20"/>
      <c r="W298" s="20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83" t="s">
        <v>27</v>
      </c>
      <c r="B299" s="83" t="s">
        <v>22</v>
      </c>
      <c r="C299" s="83" t="s">
        <v>23</v>
      </c>
      <c r="D299" s="83" t="s">
        <v>24</v>
      </c>
      <c r="E299" s="83" t="s">
        <v>24</v>
      </c>
      <c r="F299" s="83" t="s">
        <v>25</v>
      </c>
      <c r="G299" s="83" t="s">
        <v>25</v>
      </c>
      <c r="H299" s="83" t="s">
        <v>25</v>
      </c>
      <c r="I299" s="90">
        <v>44409</v>
      </c>
      <c r="J299" s="91">
        <f>EFEITO!$J$299*EFEITO!$Y$299</f>
        <v>0</v>
      </c>
      <c r="K299" s="91">
        <f ca="1">EFEITO!$L$299*EFEITO!$Z$299</f>
        <v>-3721.1674536837031</v>
      </c>
      <c r="L299" s="91">
        <f>EFEITO!$N$299*EFEITO!$AA$299</f>
        <v>-1714.680880842976</v>
      </c>
      <c r="M299" s="91">
        <f>$J$299-EFEITO!$K$299*EFEITO!$Y$299</f>
        <v>0</v>
      </c>
      <c r="N299" s="91">
        <f ca="1">$K$299-EFEITO!$M$299*EFEITO!$Z$299</f>
        <v>0</v>
      </c>
      <c r="O299" s="91">
        <f>$L$299-EFEITO!$O$299*EFEITO!$AA$299</f>
        <v>0</v>
      </c>
      <c r="P299" s="20"/>
      <c r="Q299" s="20"/>
      <c r="R299" s="20"/>
      <c r="S299" s="20"/>
      <c r="T299" s="20"/>
      <c r="U299" s="20"/>
      <c r="V299" s="20"/>
      <c r="W299" s="20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83" t="s">
        <v>28</v>
      </c>
      <c r="B300" s="83" t="s">
        <v>22</v>
      </c>
      <c r="C300" s="83" t="s">
        <v>23</v>
      </c>
      <c r="D300" s="83" t="s">
        <v>24</v>
      </c>
      <c r="E300" s="83" t="s">
        <v>24</v>
      </c>
      <c r="F300" s="83" t="s">
        <v>25</v>
      </c>
      <c r="G300" s="83" t="s">
        <v>25</v>
      </c>
      <c r="H300" s="83" t="s">
        <v>25</v>
      </c>
      <c r="I300" s="90">
        <v>44409</v>
      </c>
      <c r="J300" s="91">
        <f>EFEITO!$J$300*EFEITO!$Y$300</f>
        <v>0</v>
      </c>
      <c r="K300" s="91">
        <f ca="1">EFEITO!$L$300*EFEITO!$Z$300</f>
        <v>10303.12455712496</v>
      </c>
      <c r="L300" s="91">
        <f>EFEITO!$N$300*EFEITO!$AA$300</f>
        <v>4747.5881993854427</v>
      </c>
      <c r="M300" s="91">
        <f>$J$300-EFEITO!$K$300*EFEITO!$Y$300</f>
        <v>0</v>
      </c>
      <c r="N300" s="91">
        <f ca="1">$K$300-EFEITO!$M$300*EFEITO!$Z$300</f>
        <v>0</v>
      </c>
      <c r="O300" s="91">
        <f>$L$300-EFEITO!$O$300*EFEITO!$AA$300</f>
        <v>0</v>
      </c>
      <c r="P300" s="20"/>
      <c r="Q300" s="20"/>
      <c r="R300" s="20"/>
      <c r="S300" s="20"/>
      <c r="T300" s="20"/>
      <c r="U300" s="20"/>
      <c r="V300" s="20"/>
      <c r="W300" s="20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83" t="s">
        <v>28</v>
      </c>
      <c r="B301" s="83" t="s">
        <v>22</v>
      </c>
      <c r="C301" s="83" t="s">
        <v>23</v>
      </c>
      <c r="D301" s="83" t="s">
        <v>24</v>
      </c>
      <c r="E301" s="83" t="s">
        <v>24</v>
      </c>
      <c r="F301" s="83" t="s">
        <v>25</v>
      </c>
      <c r="G301" s="83" t="s">
        <v>25</v>
      </c>
      <c r="H301" s="83" t="s">
        <v>25</v>
      </c>
      <c r="I301" s="90">
        <v>44409</v>
      </c>
      <c r="J301" s="91">
        <f>EFEITO!$J$301*EFEITO!$Y$301</f>
        <v>0</v>
      </c>
      <c r="K301" s="91">
        <f ca="1">EFEITO!$L$301*EFEITO!$Z$301</f>
        <v>-3479.4231458931522</v>
      </c>
      <c r="L301" s="91">
        <f>EFEITO!$N$301*EFEITO!$AA$301</f>
        <v>-1603.2872529612916</v>
      </c>
      <c r="M301" s="91">
        <f>$J$301-EFEITO!$K$301*EFEITO!$Y$301</f>
        <v>0</v>
      </c>
      <c r="N301" s="91">
        <f ca="1">$K$301-EFEITO!$M$301*EFEITO!$Z$301</f>
        <v>0</v>
      </c>
      <c r="O301" s="91">
        <f>$L$301-EFEITO!$O$301*EFEITO!$AA$301</f>
        <v>0</v>
      </c>
      <c r="P301" s="20"/>
      <c r="Q301" s="20"/>
      <c r="R301" s="20"/>
      <c r="S301" s="20"/>
      <c r="T301" s="20"/>
      <c r="U301" s="20"/>
      <c r="V301" s="20"/>
      <c r="W301" s="20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83" t="s">
        <v>21</v>
      </c>
      <c r="B302" s="83" t="s">
        <v>22</v>
      </c>
      <c r="C302" s="83" t="s">
        <v>23</v>
      </c>
      <c r="D302" s="83" t="s">
        <v>24</v>
      </c>
      <c r="E302" s="83" t="s">
        <v>24</v>
      </c>
      <c r="F302" s="83" t="s">
        <v>25</v>
      </c>
      <c r="G302" s="83" t="s">
        <v>25</v>
      </c>
      <c r="H302" s="83" t="s">
        <v>25</v>
      </c>
      <c r="I302" s="90">
        <v>44440</v>
      </c>
      <c r="J302" s="91">
        <f>EFEITO!$J$302*EFEITO!$Y$302</f>
        <v>0</v>
      </c>
      <c r="K302" s="91">
        <f ca="1">EFEITO!$L$302*EFEITO!$Z$302</f>
        <v>639575.15432633983</v>
      </c>
      <c r="L302" s="91">
        <f>EFEITO!$N$302*EFEITO!$AA$302</f>
        <v>294710.54518117546</v>
      </c>
      <c r="M302" s="91">
        <f>$J$302-EFEITO!$K$302*EFEITO!$Y$302</f>
        <v>0</v>
      </c>
      <c r="N302" s="91">
        <f ca="1">$K$302-EFEITO!$M$302*EFEITO!$Z$302</f>
        <v>0</v>
      </c>
      <c r="O302" s="91">
        <f>$L$302-EFEITO!$O$302*EFEITO!$AA$302</f>
        <v>0</v>
      </c>
      <c r="P302" s="20"/>
      <c r="Q302" s="20"/>
      <c r="R302" s="20"/>
      <c r="S302" s="20"/>
      <c r="T302" s="20"/>
      <c r="U302" s="20"/>
      <c r="V302" s="20"/>
      <c r="W302" s="20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83" t="s">
        <v>27</v>
      </c>
      <c r="B303" s="83" t="s">
        <v>22</v>
      </c>
      <c r="C303" s="83" t="s">
        <v>23</v>
      </c>
      <c r="D303" s="83" t="s">
        <v>24</v>
      </c>
      <c r="E303" s="83" t="s">
        <v>24</v>
      </c>
      <c r="F303" s="83" t="s">
        <v>25</v>
      </c>
      <c r="G303" s="83" t="s">
        <v>25</v>
      </c>
      <c r="H303" s="83" t="s">
        <v>25</v>
      </c>
      <c r="I303" s="90">
        <v>44440</v>
      </c>
      <c r="J303" s="91">
        <f>EFEITO!$J$303*EFEITO!$Y$303</f>
        <v>0</v>
      </c>
      <c r="K303" s="91">
        <f ca="1">EFEITO!$L$303*EFEITO!$Z$303</f>
        <v>354.58805294001485</v>
      </c>
      <c r="L303" s="91">
        <f>EFEITO!$N$303*EFEITO!$AA$303</f>
        <v>163.39102244638212</v>
      </c>
      <c r="M303" s="91">
        <f>$J$303-EFEITO!$K$303*EFEITO!$Y$303</f>
        <v>0</v>
      </c>
      <c r="N303" s="91">
        <f ca="1">$K$303-EFEITO!$M$303*EFEITO!$Z$303</f>
        <v>0</v>
      </c>
      <c r="O303" s="91">
        <f>$L$303-EFEITO!$O$303*EFEITO!$AA$303</f>
        <v>0</v>
      </c>
      <c r="P303" s="20"/>
      <c r="Q303" s="20"/>
      <c r="R303" s="20"/>
      <c r="S303" s="20"/>
      <c r="T303" s="20"/>
      <c r="U303" s="20"/>
      <c r="V303" s="20"/>
      <c r="W303" s="20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83" t="s">
        <v>28</v>
      </c>
      <c r="B304" s="83" t="s">
        <v>22</v>
      </c>
      <c r="C304" s="83" t="s">
        <v>23</v>
      </c>
      <c r="D304" s="83" t="s">
        <v>24</v>
      </c>
      <c r="E304" s="83" t="s">
        <v>24</v>
      </c>
      <c r="F304" s="83" t="s">
        <v>25</v>
      </c>
      <c r="G304" s="83" t="s">
        <v>25</v>
      </c>
      <c r="H304" s="83" t="s">
        <v>25</v>
      </c>
      <c r="I304" s="90">
        <v>44440</v>
      </c>
      <c r="J304" s="91">
        <f>EFEITO!$J$304*EFEITO!$Y$304</f>
        <v>0</v>
      </c>
      <c r="K304" s="91">
        <f ca="1">EFEITO!$L$304*EFEITO!$Z$304</f>
        <v>9627.4001543524791</v>
      </c>
      <c r="L304" s="91">
        <f>EFEITO!$N$304*EFEITO!$AA$304</f>
        <v>4436.2204018932807</v>
      </c>
      <c r="M304" s="91">
        <f>$J$304-EFEITO!$K$304*EFEITO!$Y$304</f>
        <v>0</v>
      </c>
      <c r="N304" s="91">
        <f ca="1">$K$304-EFEITO!$M$304*EFEITO!$Z$304</f>
        <v>0</v>
      </c>
      <c r="O304" s="91">
        <f>$L$304-EFEITO!$O$304*EFEITO!$AA$304</f>
        <v>0</v>
      </c>
      <c r="P304" s="20"/>
      <c r="Q304" s="20"/>
      <c r="R304" s="20"/>
      <c r="S304" s="20"/>
      <c r="T304" s="20"/>
      <c r="U304" s="20"/>
      <c r="V304" s="20"/>
      <c r="W304" s="20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83" t="s">
        <v>21</v>
      </c>
      <c r="B305" s="83" t="s">
        <v>22</v>
      </c>
      <c r="C305" s="83" t="s">
        <v>23</v>
      </c>
      <c r="D305" s="83" t="s">
        <v>24</v>
      </c>
      <c r="E305" s="83" t="s">
        <v>24</v>
      </c>
      <c r="F305" s="83" t="s">
        <v>25</v>
      </c>
      <c r="G305" s="83" t="s">
        <v>25</v>
      </c>
      <c r="H305" s="83" t="s">
        <v>25</v>
      </c>
      <c r="I305" s="90">
        <v>44470</v>
      </c>
      <c r="J305" s="91">
        <f>EFEITO!$J$305*EFEITO!$Y$305</f>
        <v>0</v>
      </c>
      <c r="K305" s="91">
        <f ca="1">EFEITO!$L$305*EFEITO!$Z$305</f>
        <v>666370.41453819431</v>
      </c>
      <c r="L305" s="91">
        <f>EFEITO!$N$305*EFEITO!$AA$305</f>
        <v>307057.56287235644</v>
      </c>
      <c r="M305" s="91">
        <f>$J$305-EFEITO!$K$305*EFEITO!$Y$305</f>
        <v>0</v>
      </c>
      <c r="N305" s="91">
        <f ca="1">$K$305-EFEITO!$M$305*EFEITO!$Z$305</f>
        <v>0</v>
      </c>
      <c r="O305" s="91">
        <f>$L$305-EFEITO!$O$305*EFEITO!$AA$305</f>
        <v>0</v>
      </c>
      <c r="P305" s="20"/>
      <c r="Q305" s="20"/>
      <c r="R305" s="20"/>
      <c r="S305" s="20"/>
      <c r="T305" s="20"/>
      <c r="U305" s="20"/>
      <c r="V305" s="20"/>
      <c r="W305" s="20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83" t="s">
        <v>27</v>
      </c>
      <c r="B306" s="83" t="s">
        <v>22</v>
      </c>
      <c r="C306" s="83" t="s">
        <v>23</v>
      </c>
      <c r="D306" s="83" t="s">
        <v>24</v>
      </c>
      <c r="E306" s="83" t="s">
        <v>24</v>
      </c>
      <c r="F306" s="83" t="s">
        <v>25</v>
      </c>
      <c r="G306" s="83" t="s">
        <v>25</v>
      </c>
      <c r="H306" s="83" t="s">
        <v>25</v>
      </c>
      <c r="I306" s="90">
        <v>44470</v>
      </c>
      <c r="J306" s="91">
        <f>EFEITO!$J$306*EFEITO!$Y$306</f>
        <v>0</v>
      </c>
      <c r="K306" s="91">
        <f ca="1">EFEITO!$L$306*EFEITO!$Z$306</f>
        <v>-504.89770556993307</v>
      </c>
      <c r="L306" s="91">
        <f>EFEITO!$N$306*EFEITO!$AA$306</f>
        <v>-232.65237409975413</v>
      </c>
      <c r="M306" s="91">
        <f>$J$306-EFEITO!$K$306*EFEITO!$Y$306</f>
        <v>0</v>
      </c>
      <c r="N306" s="91">
        <f ca="1">$K$306-EFEITO!$M$306*EFEITO!$Z$306</f>
        <v>0</v>
      </c>
      <c r="O306" s="91">
        <f>$L$306-EFEITO!$O$306*EFEITO!$AA$306</f>
        <v>0</v>
      </c>
      <c r="P306" s="20"/>
      <c r="Q306" s="20"/>
      <c r="R306" s="20"/>
      <c r="S306" s="20"/>
      <c r="T306" s="20"/>
      <c r="U306" s="20"/>
      <c r="V306" s="20"/>
      <c r="W306" s="20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83" t="s">
        <v>28</v>
      </c>
      <c r="B307" s="83" t="s">
        <v>22</v>
      </c>
      <c r="C307" s="83" t="s">
        <v>23</v>
      </c>
      <c r="D307" s="83" t="s">
        <v>24</v>
      </c>
      <c r="E307" s="83" t="s">
        <v>24</v>
      </c>
      <c r="F307" s="83" t="s">
        <v>25</v>
      </c>
      <c r="G307" s="83" t="s">
        <v>25</v>
      </c>
      <c r="H307" s="83" t="s">
        <v>25</v>
      </c>
      <c r="I307" s="90">
        <v>44470</v>
      </c>
      <c r="J307" s="91">
        <f>EFEITO!$J$307*EFEITO!$Y$307</f>
        <v>0</v>
      </c>
      <c r="K307" s="91">
        <f ca="1">EFEITO!$L$307*EFEITO!$Z$307</f>
        <v>7937.4201133591241</v>
      </c>
      <c r="L307" s="91">
        <f>EFEITO!$N$307*EFEITO!$AA$307</f>
        <v>3657.4926232148628</v>
      </c>
      <c r="M307" s="91">
        <f>$J$307-EFEITO!$K$307*EFEITO!$Y$307</f>
        <v>0</v>
      </c>
      <c r="N307" s="91">
        <f ca="1">$K$307-EFEITO!$M$307*EFEITO!$Z$307</f>
        <v>0</v>
      </c>
      <c r="O307" s="91">
        <f>$L$307-EFEITO!$O$307*EFEITO!$AA$307</f>
        <v>0</v>
      </c>
      <c r="P307" s="20"/>
      <c r="Q307" s="20"/>
      <c r="R307" s="20"/>
      <c r="S307" s="20"/>
      <c r="T307" s="20"/>
      <c r="U307" s="20"/>
      <c r="V307" s="20"/>
      <c r="W307" s="20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83" t="s">
        <v>21</v>
      </c>
      <c r="B308" s="83" t="s">
        <v>22</v>
      </c>
      <c r="C308" s="83" t="s">
        <v>23</v>
      </c>
      <c r="D308" s="83" t="s">
        <v>24</v>
      </c>
      <c r="E308" s="83" t="s">
        <v>24</v>
      </c>
      <c r="F308" s="83" t="s">
        <v>25</v>
      </c>
      <c r="G308" s="83" t="s">
        <v>25</v>
      </c>
      <c r="H308" s="83" t="s">
        <v>25</v>
      </c>
      <c r="I308" s="90">
        <v>44501</v>
      </c>
      <c r="J308" s="91">
        <f>EFEITO!$J$308*EFEITO!$Y$308</f>
        <v>0</v>
      </c>
      <c r="K308" s="91">
        <f ca="1">EFEITO!$L$308*EFEITO!$Z$308</f>
        <v>717414.59132135671</v>
      </c>
      <c r="L308" s="91">
        <f>EFEITO!$N$308*EFEITO!$AA$308</f>
        <v>330578.26574258448</v>
      </c>
      <c r="M308" s="91">
        <f>$J$308-EFEITO!$K$308*EFEITO!$Y$308</f>
        <v>0</v>
      </c>
      <c r="N308" s="91">
        <f ca="1">$K$308-EFEITO!$M$308*EFEITO!$Z$308</f>
        <v>0</v>
      </c>
      <c r="O308" s="91">
        <f>$L$308-EFEITO!$O$308*EFEITO!$AA$308</f>
        <v>0</v>
      </c>
      <c r="P308" s="20"/>
      <c r="Q308" s="20"/>
      <c r="R308" s="20"/>
      <c r="S308" s="20"/>
      <c r="T308" s="20"/>
      <c r="U308" s="20"/>
      <c r="V308" s="20"/>
      <c r="W308" s="20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83" t="s">
        <v>27</v>
      </c>
      <c r="B309" s="83" t="s">
        <v>22</v>
      </c>
      <c r="C309" s="83" t="s">
        <v>23</v>
      </c>
      <c r="D309" s="83" t="s">
        <v>24</v>
      </c>
      <c r="E309" s="83" t="s">
        <v>24</v>
      </c>
      <c r="F309" s="83" t="s">
        <v>25</v>
      </c>
      <c r="G309" s="83" t="s">
        <v>25</v>
      </c>
      <c r="H309" s="83" t="s">
        <v>25</v>
      </c>
      <c r="I309" s="90">
        <v>44501</v>
      </c>
      <c r="J309" s="91">
        <f>EFEITO!$J$309*EFEITO!$Y$309</f>
        <v>0</v>
      </c>
      <c r="K309" s="91">
        <f ca="1">EFEITO!$L$309*EFEITO!$Z$309</f>
        <v>-60.21306559358743</v>
      </c>
      <c r="L309" s="91">
        <f>EFEITO!$N$309*EFEITO!$AA$309</f>
        <v>-27.745645321083757</v>
      </c>
      <c r="M309" s="91">
        <f>$J$309-EFEITO!$K$309*EFEITO!$Y$309</f>
        <v>0</v>
      </c>
      <c r="N309" s="91">
        <f ca="1">$K$309-EFEITO!$M$309*EFEITO!$Z$309</f>
        <v>0</v>
      </c>
      <c r="O309" s="91">
        <f>$L$309-EFEITO!$O$309*EFEITO!$AA$309</f>
        <v>0</v>
      </c>
      <c r="P309" s="20"/>
      <c r="Q309" s="20"/>
      <c r="R309" s="20"/>
      <c r="S309" s="20"/>
      <c r="T309" s="20"/>
      <c r="U309" s="20"/>
      <c r="V309" s="20"/>
      <c r="W309" s="20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83" t="s">
        <v>28</v>
      </c>
      <c r="B310" s="83" t="s">
        <v>22</v>
      </c>
      <c r="C310" s="83" t="s">
        <v>23</v>
      </c>
      <c r="D310" s="83" t="s">
        <v>24</v>
      </c>
      <c r="E310" s="83" t="s">
        <v>24</v>
      </c>
      <c r="F310" s="83" t="s">
        <v>25</v>
      </c>
      <c r="G310" s="83" t="s">
        <v>25</v>
      </c>
      <c r="H310" s="83" t="s">
        <v>25</v>
      </c>
      <c r="I310" s="90">
        <v>44501</v>
      </c>
      <c r="J310" s="91">
        <f>EFEITO!$J$310*EFEITO!$Y$310</f>
        <v>0</v>
      </c>
      <c r="K310" s="91">
        <f ca="1">EFEITO!$L$310*EFEITO!$Z$310</f>
        <v>8191.6530569764936</v>
      </c>
      <c r="L310" s="91">
        <f>EFEITO!$N$310*EFEITO!$AA$310</f>
        <v>3774.6409034594385</v>
      </c>
      <c r="M310" s="91">
        <f>$J$310-EFEITO!$K$310*EFEITO!$Y$310</f>
        <v>0</v>
      </c>
      <c r="N310" s="91">
        <f ca="1">$K$310-EFEITO!$M$310*EFEITO!$Z$310</f>
        <v>0</v>
      </c>
      <c r="O310" s="91">
        <f>$L$310-EFEITO!$O$310*EFEITO!$AA$310</f>
        <v>0</v>
      </c>
      <c r="P310" s="20"/>
      <c r="Q310" s="20"/>
      <c r="R310" s="20"/>
      <c r="S310" s="20"/>
      <c r="T310" s="20"/>
      <c r="U310" s="20"/>
      <c r="V310" s="20"/>
      <c r="W310" s="20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83" t="s">
        <v>21</v>
      </c>
      <c r="B311" s="83" t="s">
        <v>22</v>
      </c>
      <c r="C311" s="83" t="s">
        <v>23</v>
      </c>
      <c r="D311" s="83" t="s">
        <v>24</v>
      </c>
      <c r="E311" s="83" t="s">
        <v>24</v>
      </c>
      <c r="F311" s="83" t="s">
        <v>25</v>
      </c>
      <c r="G311" s="83" t="s">
        <v>25</v>
      </c>
      <c r="H311" s="83" t="s">
        <v>25</v>
      </c>
      <c r="I311" s="90">
        <v>44531</v>
      </c>
      <c r="J311" s="91">
        <f>EFEITO!$J$311*EFEITO!$Y$311</f>
        <v>0</v>
      </c>
      <c r="K311" s="91">
        <f ca="1">EFEITO!$L$311*EFEITO!$Z$311</f>
        <v>753295.78011992946</v>
      </c>
      <c r="L311" s="91">
        <f>EFEITO!$N$311*EFEITO!$AA$311</f>
        <v>347111.99855106761</v>
      </c>
      <c r="M311" s="91">
        <f>$J$311-EFEITO!$K$311*EFEITO!$Y$311</f>
        <v>0</v>
      </c>
      <c r="N311" s="91">
        <f ca="1">$K$311-EFEITO!$M$311*EFEITO!$Z$311</f>
        <v>0</v>
      </c>
      <c r="O311" s="91">
        <f>$L$311-EFEITO!$O$311*EFEITO!$AA$311</f>
        <v>0</v>
      </c>
      <c r="P311" s="20"/>
      <c r="Q311" s="20"/>
      <c r="R311" s="20"/>
      <c r="S311" s="20"/>
      <c r="T311" s="20"/>
      <c r="U311" s="20"/>
      <c r="V311" s="20"/>
      <c r="W311" s="20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83" t="s">
        <v>27</v>
      </c>
      <c r="B312" s="83" t="s">
        <v>22</v>
      </c>
      <c r="C312" s="83" t="s">
        <v>23</v>
      </c>
      <c r="D312" s="83" t="s">
        <v>24</v>
      </c>
      <c r="E312" s="83" t="s">
        <v>24</v>
      </c>
      <c r="F312" s="83" t="s">
        <v>25</v>
      </c>
      <c r="G312" s="83" t="s">
        <v>25</v>
      </c>
      <c r="H312" s="83" t="s">
        <v>25</v>
      </c>
      <c r="I312" s="90">
        <v>44531</v>
      </c>
      <c r="J312" s="91">
        <f>EFEITO!$J$312*EFEITO!$Y$312</f>
        <v>0</v>
      </c>
      <c r="K312" s="91">
        <f ca="1">EFEITO!$L$312*EFEITO!$Z$312</f>
        <v>37.019884772353755</v>
      </c>
      <c r="L312" s="91">
        <f>EFEITO!$N$312*EFEITO!$AA$312</f>
        <v>17.058433789999643</v>
      </c>
      <c r="M312" s="91">
        <f>$J$312-EFEITO!$K$312*EFEITO!$Y$312</f>
        <v>0</v>
      </c>
      <c r="N312" s="91">
        <f ca="1">$K$312-EFEITO!$M$312*EFEITO!$Z$312</f>
        <v>0</v>
      </c>
      <c r="O312" s="91">
        <f>$L$312-EFEITO!$O$312*EFEITO!$AA$312</f>
        <v>0</v>
      </c>
      <c r="P312" s="20"/>
      <c r="Q312" s="20"/>
      <c r="R312" s="20"/>
      <c r="S312" s="20"/>
      <c r="T312" s="20"/>
      <c r="U312" s="20"/>
      <c r="V312" s="20"/>
      <c r="W312" s="20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83" t="s">
        <v>28</v>
      </c>
      <c r="B313" s="83" t="s">
        <v>22</v>
      </c>
      <c r="C313" s="83" t="s">
        <v>23</v>
      </c>
      <c r="D313" s="83" t="s">
        <v>24</v>
      </c>
      <c r="E313" s="83" t="s">
        <v>24</v>
      </c>
      <c r="F313" s="83" t="s">
        <v>25</v>
      </c>
      <c r="G313" s="83" t="s">
        <v>25</v>
      </c>
      <c r="H313" s="83" t="s">
        <v>25</v>
      </c>
      <c r="I313" s="90">
        <v>44531</v>
      </c>
      <c r="J313" s="91">
        <f>EFEITO!$J$313*EFEITO!$Y$313</f>
        <v>0</v>
      </c>
      <c r="K313" s="91">
        <f ca="1">EFEITO!$L$313*EFEITO!$Z$313</f>
        <v>9874.0507119321373</v>
      </c>
      <c r="L313" s="91">
        <f>EFEITO!$N$313*EFEITO!$AA$313</f>
        <v>4549.8747860603862</v>
      </c>
      <c r="M313" s="91">
        <f>$J$313-EFEITO!$K$313*EFEITO!$Y$313</f>
        <v>0</v>
      </c>
      <c r="N313" s="91">
        <f ca="1">$K$313-EFEITO!$M$313*EFEITO!$Z$313</f>
        <v>0</v>
      </c>
      <c r="O313" s="91">
        <f>$L$313-EFEITO!$O$313*EFEITO!$AA$313</f>
        <v>0</v>
      </c>
      <c r="P313" s="20"/>
      <c r="Q313" s="20"/>
      <c r="R313" s="20"/>
      <c r="S313" s="20"/>
      <c r="T313" s="20"/>
      <c r="U313" s="20"/>
      <c r="V313" s="20"/>
      <c r="W313" s="20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83" t="s">
        <v>21</v>
      </c>
      <c r="B314" s="83" t="s">
        <v>22</v>
      </c>
      <c r="C314" s="83" t="s">
        <v>23</v>
      </c>
      <c r="D314" s="83" t="s">
        <v>24</v>
      </c>
      <c r="E314" s="83" t="s">
        <v>24</v>
      </c>
      <c r="F314" s="83" t="s">
        <v>25</v>
      </c>
      <c r="G314" s="83" t="s">
        <v>25</v>
      </c>
      <c r="H314" s="83" t="s">
        <v>25</v>
      </c>
      <c r="I314" s="90">
        <v>44562</v>
      </c>
      <c r="J314" s="91">
        <f>EFEITO!$J$314*EFEITO!$Y$314</f>
        <v>0</v>
      </c>
      <c r="K314" s="91">
        <f ca="1">EFEITO!$L$314*EFEITO!$Z$314</f>
        <v>939223.4681506413</v>
      </c>
      <c r="L314" s="91">
        <f>EFEITO!$N$314*EFEITO!$AA$314</f>
        <v>432785.82426670479</v>
      </c>
      <c r="M314" s="91">
        <f>$J$314-EFEITO!$K$314*EFEITO!$Y$314</f>
        <v>0</v>
      </c>
      <c r="N314" s="91">
        <f ca="1">$K$314-EFEITO!$M$314*EFEITO!$Z$314</f>
        <v>0</v>
      </c>
      <c r="O314" s="91">
        <f>$L$314-EFEITO!$O$314*EFEITO!$AA$314</f>
        <v>0</v>
      </c>
      <c r="P314" s="20"/>
      <c r="Q314" s="20"/>
      <c r="R314" s="20"/>
      <c r="S314" s="20"/>
      <c r="T314" s="20"/>
      <c r="U314" s="20"/>
      <c r="V314" s="20"/>
      <c r="W314" s="20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83" t="s">
        <v>27</v>
      </c>
      <c r="B315" s="83" t="s">
        <v>22</v>
      </c>
      <c r="C315" s="83" t="s">
        <v>23</v>
      </c>
      <c r="D315" s="83" t="s">
        <v>24</v>
      </c>
      <c r="E315" s="83" t="s">
        <v>24</v>
      </c>
      <c r="F315" s="83" t="s">
        <v>25</v>
      </c>
      <c r="G315" s="83" t="s">
        <v>25</v>
      </c>
      <c r="H315" s="83" t="s">
        <v>25</v>
      </c>
      <c r="I315" s="90">
        <v>44562</v>
      </c>
      <c r="J315" s="91">
        <f>EFEITO!$J$315*EFEITO!$Y$315</f>
        <v>0</v>
      </c>
      <c r="K315" s="91">
        <f ca="1">EFEITO!$L$315*EFEITO!$Z$315</f>
        <v>-300.17328255173584</v>
      </c>
      <c r="L315" s="91">
        <f>EFEITO!$N$315*EFEITO!$AA$315</f>
        <v>-138.31718000806939</v>
      </c>
      <c r="M315" s="91">
        <f>$J$315-EFEITO!$K$315*EFEITO!$Y$315</f>
        <v>0</v>
      </c>
      <c r="N315" s="91">
        <f ca="1">$K$315-EFEITO!$M$315*EFEITO!$Z$315</f>
        <v>0</v>
      </c>
      <c r="O315" s="91">
        <f>$L$315-EFEITO!$O$315*EFEITO!$AA$315</f>
        <v>0</v>
      </c>
      <c r="P315" s="20"/>
      <c r="Q315" s="20"/>
      <c r="R315" s="20"/>
      <c r="S315" s="20"/>
      <c r="T315" s="20"/>
      <c r="U315" s="20"/>
      <c r="V315" s="20"/>
      <c r="W315" s="20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83" t="s">
        <v>28</v>
      </c>
      <c r="B316" s="83" t="s">
        <v>22</v>
      </c>
      <c r="C316" s="83" t="s">
        <v>23</v>
      </c>
      <c r="D316" s="83" t="s">
        <v>24</v>
      </c>
      <c r="E316" s="83" t="s">
        <v>24</v>
      </c>
      <c r="F316" s="83" t="s">
        <v>25</v>
      </c>
      <c r="G316" s="83" t="s">
        <v>25</v>
      </c>
      <c r="H316" s="83" t="s">
        <v>25</v>
      </c>
      <c r="I316" s="90">
        <v>44562</v>
      </c>
      <c r="J316" s="91">
        <f>EFEITO!$J$316*EFEITO!$Y$316</f>
        <v>0</v>
      </c>
      <c r="K316" s="91">
        <f ca="1">EFEITO!$L$316*EFEITO!$Z$316</f>
        <v>14912.323222637051</v>
      </c>
      <c r="L316" s="91">
        <f>EFEITO!$N$316*EFEITO!$AA$316</f>
        <v>6871.4659678897342</v>
      </c>
      <c r="M316" s="91">
        <f>$J$316-EFEITO!$K$316*EFEITO!$Y$316</f>
        <v>0</v>
      </c>
      <c r="N316" s="91">
        <f ca="1">$K$316-EFEITO!$M$316*EFEITO!$Z$316</f>
        <v>0</v>
      </c>
      <c r="O316" s="91">
        <f>$L$316-EFEITO!$O$316*EFEITO!$AA$316</f>
        <v>0</v>
      </c>
      <c r="P316" s="20"/>
      <c r="Q316" s="20"/>
      <c r="R316" s="20"/>
      <c r="S316" s="20"/>
      <c r="T316" s="20"/>
      <c r="U316" s="20"/>
      <c r="V316" s="20"/>
      <c r="W316" s="20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83" t="s">
        <v>21</v>
      </c>
      <c r="B317" s="83" t="s">
        <v>22</v>
      </c>
      <c r="C317" s="83" t="s">
        <v>23</v>
      </c>
      <c r="D317" s="83" t="s">
        <v>24</v>
      </c>
      <c r="E317" s="83" t="s">
        <v>24</v>
      </c>
      <c r="F317" s="83" t="s">
        <v>25</v>
      </c>
      <c r="G317" s="83" t="s">
        <v>25</v>
      </c>
      <c r="H317" s="83" t="s">
        <v>25</v>
      </c>
      <c r="I317" s="90">
        <v>44593</v>
      </c>
      <c r="J317" s="91">
        <f>EFEITO!$J$317*EFEITO!$Y$317</f>
        <v>0</v>
      </c>
      <c r="K317" s="91">
        <f ca="1">EFEITO!$L$317*EFEITO!$Z$317</f>
        <v>1103625.2082429994</v>
      </c>
      <c r="L317" s="91">
        <f>EFEITO!$N$317*EFEITO!$AA$317</f>
        <v>508540.68454170373</v>
      </c>
      <c r="M317" s="91">
        <f>$J$317-EFEITO!$K$317*EFEITO!$Y$317</f>
        <v>0</v>
      </c>
      <c r="N317" s="91">
        <f ca="1">$K$317-EFEITO!$M$317*EFEITO!$Z$317</f>
        <v>0</v>
      </c>
      <c r="O317" s="91">
        <f>$L$317-EFEITO!$O$317*EFEITO!$AA$317</f>
        <v>0</v>
      </c>
      <c r="P317" s="20"/>
      <c r="Q317" s="20"/>
      <c r="R317" s="20"/>
      <c r="S317" s="20"/>
      <c r="T317" s="20"/>
      <c r="U317" s="20"/>
      <c r="V317" s="20"/>
      <c r="W317" s="20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83" t="s">
        <v>27</v>
      </c>
      <c r="B318" s="83" t="s">
        <v>22</v>
      </c>
      <c r="C318" s="83" t="s">
        <v>23</v>
      </c>
      <c r="D318" s="83" t="s">
        <v>24</v>
      </c>
      <c r="E318" s="83" t="s">
        <v>24</v>
      </c>
      <c r="F318" s="83" t="s">
        <v>25</v>
      </c>
      <c r="G318" s="83" t="s">
        <v>25</v>
      </c>
      <c r="H318" s="83" t="s">
        <v>25</v>
      </c>
      <c r="I318" s="90">
        <v>44593</v>
      </c>
      <c r="J318" s="91">
        <f>EFEITO!$J$318*EFEITO!$Y$318</f>
        <v>0</v>
      </c>
      <c r="K318" s="91">
        <f ca="1">EFEITO!$L$318*EFEITO!$Z$318</f>
        <v>30539.620846359445</v>
      </c>
      <c r="L318" s="91">
        <f>EFEITO!$N$318*EFEITO!$AA$318</f>
        <v>14072.385783555006</v>
      </c>
      <c r="M318" s="91">
        <f>$J$318-EFEITO!$K$318*EFEITO!$Y$318</f>
        <v>0</v>
      </c>
      <c r="N318" s="91">
        <f ca="1">$K$318-EFEITO!$M$318*EFEITO!$Z$318</f>
        <v>0</v>
      </c>
      <c r="O318" s="91">
        <f>$L$318-EFEITO!$O$318*EFEITO!$AA$318</f>
        <v>0</v>
      </c>
      <c r="P318" s="20"/>
      <c r="Q318" s="20"/>
      <c r="R318" s="20"/>
      <c r="S318" s="20"/>
      <c r="T318" s="20"/>
      <c r="U318" s="20"/>
      <c r="V318" s="20"/>
      <c r="W318" s="20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83" t="s">
        <v>28</v>
      </c>
      <c r="B319" s="83" t="s">
        <v>22</v>
      </c>
      <c r="C319" s="83" t="s">
        <v>23</v>
      </c>
      <c r="D319" s="83" t="s">
        <v>24</v>
      </c>
      <c r="E319" s="83" t="s">
        <v>24</v>
      </c>
      <c r="F319" s="83" t="s">
        <v>25</v>
      </c>
      <c r="G319" s="83" t="s">
        <v>25</v>
      </c>
      <c r="H319" s="83" t="s">
        <v>25</v>
      </c>
      <c r="I319" s="90">
        <v>44593</v>
      </c>
      <c r="J319" s="91">
        <f>EFEITO!$J$319*EFEITO!$Y$319</f>
        <v>0</v>
      </c>
      <c r="K319" s="91">
        <f ca="1">EFEITO!$L$319*EFEITO!$Z$319</f>
        <v>16836.911208091347</v>
      </c>
      <c r="L319" s="91">
        <f>EFEITO!$N$319*EFEITO!$AA$319</f>
        <v>7758.2990016710419</v>
      </c>
      <c r="M319" s="91">
        <f>$J$319-EFEITO!$K$319*EFEITO!$Y$319</f>
        <v>0</v>
      </c>
      <c r="N319" s="91">
        <f ca="1">$K$319-EFEITO!$M$319*EFEITO!$Z$319</f>
        <v>0</v>
      </c>
      <c r="O319" s="91">
        <f>$L$319-EFEITO!$O$319*EFEITO!$AA$319</f>
        <v>0</v>
      </c>
      <c r="P319" s="20"/>
      <c r="Q319" s="20"/>
      <c r="R319" s="20"/>
      <c r="S319" s="20"/>
      <c r="T319" s="20"/>
      <c r="U319" s="20"/>
      <c r="V319" s="20"/>
      <c r="W319" s="20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83" t="s">
        <v>21</v>
      </c>
      <c r="B320" s="83" t="s">
        <v>22</v>
      </c>
      <c r="C320" s="83" t="s">
        <v>23</v>
      </c>
      <c r="D320" s="83" t="s">
        <v>24</v>
      </c>
      <c r="E320" s="83" t="s">
        <v>24</v>
      </c>
      <c r="F320" s="83" t="s">
        <v>25</v>
      </c>
      <c r="G320" s="83" t="s">
        <v>25</v>
      </c>
      <c r="H320" s="83" t="s">
        <v>25</v>
      </c>
      <c r="I320" s="90">
        <v>44621</v>
      </c>
      <c r="J320" s="91">
        <f>EFEITO!$J$320*EFEITO!$Y$320</f>
        <v>0</v>
      </c>
      <c r="K320" s="91">
        <f ca="1">EFEITO!$L$320*EFEITO!$Z$320</f>
        <v>882409.54161548882</v>
      </c>
      <c r="L320" s="91">
        <f>EFEITO!$N$320*EFEITO!$AA$320</f>
        <v>406606.47200482083</v>
      </c>
      <c r="M320" s="91">
        <f>$J$320-EFEITO!$K$320*EFEITO!$Y$320</f>
        <v>0</v>
      </c>
      <c r="N320" s="91">
        <f ca="1">$K$320-EFEITO!$M$320*EFEITO!$Z$320</f>
        <v>0</v>
      </c>
      <c r="O320" s="91">
        <f>$L$320-EFEITO!$O$320*EFEITO!$AA$320</f>
        <v>0</v>
      </c>
      <c r="P320" s="20"/>
      <c r="Q320" s="20"/>
      <c r="R320" s="20"/>
      <c r="S320" s="20"/>
      <c r="T320" s="20"/>
      <c r="U320" s="20"/>
      <c r="V320" s="20"/>
      <c r="W320" s="20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83" t="s">
        <v>27</v>
      </c>
      <c r="B321" s="83" t="s">
        <v>22</v>
      </c>
      <c r="C321" s="83" t="s">
        <v>23</v>
      </c>
      <c r="D321" s="83" t="s">
        <v>24</v>
      </c>
      <c r="E321" s="83" t="s">
        <v>24</v>
      </c>
      <c r="F321" s="83" t="s">
        <v>25</v>
      </c>
      <c r="G321" s="83" t="s">
        <v>25</v>
      </c>
      <c r="H321" s="83" t="s">
        <v>25</v>
      </c>
      <c r="I321" s="90">
        <v>44621</v>
      </c>
      <c r="J321" s="91">
        <f>EFEITO!$J$321*EFEITO!$Y$321</f>
        <v>0</v>
      </c>
      <c r="K321" s="91">
        <f ca="1">EFEITO!$L$321*EFEITO!$Z$321</f>
        <v>-3943.7327850259262</v>
      </c>
      <c r="L321" s="91">
        <f>EFEITO!$N$321*EFEITO!$AA$321</f>
        <v>-1817.2370068816485</v>
      </c>
      <c r="M321" s="91">
        <f>$J$321-EFEITO!$K$321*EFEITO!$Y$321</f>
        <v>0</v>
      </c>
      <c r="N321" s="91">
        <f ca="1">$K$321-EFEITO!$M$321*EFEITO!$Z$321</f>
        <v>0</v>
      </c>
      <c r="O321" s="91">
        <f>$L$321-EFEITO!$O$321*EFEITO!$AA$321</f>
        <v>0</v>
      </c>
      <c r="P321" s="20"/>
      <c r="Q321" s="20"/>
      <c r="R321" s="20"/>
      <c r="S321" s="20"/>
      <c r="T321" s="20"/>
      <c r="U321" s="20"/>
      <c r="V321" s="20"/>
      <c r="W321" s="20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83" t="s">
        <v>28</v>
      </c>
      <c r="B322" s="83" t="s">
        <v>22</v>
      </c>
      <c r="C322" s="83" t="s">
        <v>23</v>
      </c>
      <c r="D322" s="83" t="s">
        <v>24</v>
      </c>
      <c r="E322" s="83" t="s">
        <v>24</v>
      </c>
      <c r="F322" s="83" t="s">
        <v>25</v>
      </c>
      <c r="G322" s="83" t="s">
        <v>25</v>
      </c>
      <c r="H322" s="83" t="s">
        <v>25</v>
      </c>
      <c r="I322" s="90">
        <v>44621</v>
      </c>
      <c r="J322" s="91">
        <f>EFEITO!$J$322*EFEITO!$Y$322</f>
        <v>0</v>
      </c>
      <c r="K322" s="91">
        <f ca="1">EFEITO!$L$322*EFEITO!$Z$322</f>
        <v>15342.735135954177</v>
      </c>
      <c r="L322" s="91">
        <f>EFEITO!$N$322*EFEITO!$AA$322</f>
        <v>7069.7959511108156</v>
      </c>
      <c r="M322" s="91">
        <f>$J$322-EFEITO!$K$322*EFEITO!$Y$322</f>
        <v>0</v>
      </c>
      <c r="N322" s="91">
        <f ca="1">$K$322-EFEITO!$M$322*EFEITO!$Z$322</f>
        <v>0</v>
      </c>
      <c r="O322" s="91">
        <f>$L$322-EFEITO!$O$322*EFEITO!$AA$322</f>
        <v>0</v>
      </c>
      <c r="P322" s="20"/>
      <c r="Q322" s="20"/>
      <c r="R322" s="20"/>
      <c r="S322" s="20"/>
      <c r="T322" s="20"/>
      <c r="U322" s="20"/>
      <c r="V322" s="20"/>
      <c r="W322" s="20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83" t="s">
        <v>21</v>
      </c>
      <c r="B323" s="83" t="s">
        <v>22</v>
      </c>
      <c r="C323" s="83" t="s">
        <v>23</v>
      </c>
      <c r="D323" s="83" t="s">
        <v>24</v>
      </c>
      <c r="E323" s="83" t="s">
        <v>24</v>
      </c>
      <c r="F323" s="83" t="s">
        <v>25</v>
      </c>
      <c r="G323" s="83" t="s">
        <v>25</v>
      </c>
      <c r="H323" s="83" t="s">
        <v>25</v>
      </c>
      <c r="I323" s="90">
        <v>44652</v>
      </c>
      <c r="J323" s="91">
        <f>EFEITO!$J$323*EFEITO!$Y$323</f>
        <v>0</v>
      </c>
      <c r="K323" s="91">
        <f ca="1">EFEITO!$L$323*EFEITO!$Z$323</f>
        <v>607225.57333050796</v>
      </c>
      <c r="L323" s="91">
        <f>EFEITO!$N$323*EFEITO!$AA$323</f>
        <v>279804.14585159859</v>
      </c>
      <c r="M323" s="91">
        <f>$J$323-EFEITO!$K$323*EFEITO!$Y$323</f>
        <v>0</v>
      </c>
      <c r="N323" s="91">
        <f ca="1">$K$323-EFEITO!$M$323*EFEITO!$Z$323</f>
        <v>0</v>
      </c>
      <c r="O323" s="91">
        <f>$L$323-EFEITO!$O$323*EFEITO!$AA$323</f>
        <v>0</v>
      </c>
      <c r="P323" s="20"/>
      <c r="Q323" s="20"/>
      <c r="R323" s="20"/>
      <c r="S323" s="20"/>
      <c r="T323" s="20"/>
      <c r="U323" s="20"/>
      <c r="V323" s="20"/>
      <c r="W323" s="20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83" t="s">
        <v>27</v>
      </c>
      <c r="B324" s="83" t="s">
        <v>22</v>
      </c>
      <c r="C324" s="83" t="s">
        <v>23</v>
      </c>
      <c r="D324" s="83" t="s">
        <v>24</v>
      </c>
      <c r="E324" s="83" t="s">
        <v>24</v>
      </c>
      <c r="F324" s="83" t="s">
        <v>25</v>
      </c>
      <c r="G324" s="83" t="s">
        <v>25</v>
      </c>
      <c r="H324" s="83" t="s">
        <v>25</v>
      </c>
      <c r="I324" s="90">
        <v>44652</v>
      </c>
      <c r="J324" s="91">
        <f>EFEITO!$J$324*EFEITO!$Y$324</f>
        <v>0</v>
      </c>
      <c r="K324" s="91">
        <f ca="1">EFEITO!$L$324*EFEITO!$Z$324</f>
        <v>-107.04544994415542</v>
      </c>
      <c r="L324" s="91">
        <f>EFEITO!$N$324*EFEITO!$AA$324</f>
        <v>-49.325591681926674</v>
      </c>
      <c r="M324" s="91">
        <f>$J$324-EFEITO!$K$324*EFEITO!$Y$324</f>
        <v>0</v>
      </c>
      <c r="N324" s="91">
        <f ca="1">$K$324-EFEITO!$M$324*EFEITO!$Z$324</f>
        <v>0</v>
      </c>
      <c r="O324" s="91">
        <f>$L$324-EFEITO!$O$324*EFEITO!$AA$324</f>
        <v>0</v>
      </c>
      <c r="P324" s="20"/>
      <c r="Q324" s="20"/>
      <c r="R324" s="20"/>
      <c r="S324" s="20"/>
      <c r="T324" s="20"/>
      <c r="U324" s="20"/>
      <c r="V324" s="20"/>
      <c r="W324" s="20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83" t="s">
        <v>28</v>
      </c>
      <c r="B325" s="83" t="s">
        <v>22</v>
      </c>
      <c r="C325" s="83" t="s">
        <v>23</v>
      </c>
      <c r="D325" s="83" t="s">
        <v>24</v>
      </c>
      <c r="E325" s="83" t="s">
        <v>24</v>
      </c>
      <c r="F325" s="83" t="s">
        <v>25</v>
      </c>
      <c r="G325" s="83" t="s">
        <v>25</v>
      </c>
      <c r="H325" s="83" t="s">
        <v>25</v>
      </c>
      <c r="I325" s="90">
        <v>44652</v>
      </c>
      <c r="J325" s="91">
        <f>EFEITO!$J$325*EFEITO!$Y$325</f>
        <v>0</v>
      </c>
      <c r="K325" s="91">
        <f ca="1">EFEITO!$L$325*EFEITO!$Z$325</f>
        <v>9996.260933951713</v>
      </c>
      <c r="L325" s="91">
        <f>EFEITO!$N$325*EFEITO!$AA$325</f>
        <v>4606.188169897252</v>
      </c>
      <c r="M325" s="91">
        <f>$J$325-EFEITO!$K$325*EFEITO!$Y$325</f>
        <v>0</v>
      </c>
      <c r="N325" s="91">
        <f ca="1">$K$325-EFEITO!$M$325*EFEITO!$Z$325</f>
        <v>0</v>
      </c>
      <c r="O325" s="91">
        <f>$L$325-EFEITO!$O$325*EFEITO!$AA$325</f>
        <v>0</v>
      </c>
      <c r="P325" s="20"/>
      <c r="Q325" s="20"/>
      <c r="R325" s="20"/>
      <c r="S325" s="20"/>
      <c r="T325" s="20"/>
      <c r="U325" s="20"/>
      <c r="V325" s="20"/>
      <c r="W325" s="20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83" t="s">
        <v>21</v>
      </c>
      <c r="B326" s="83" t="s">
        <v>22</v>
      </c>
      <c r="C326" s="83" t="s">
        <v>23</v>
      </c>
      <c r="D326" s="83" t="s">
        <v>24</v>
      </c>
      <c r="E326" s="83" t="s">
        <v>24</v>
      </c>
      <c r="F326" s="83" t="s">
        <v>25</v>
      </c>
      <c r="G326" s="83" t="s">
        <v>25</v>
      </c>
      <c r="H326" s="83" t="s">
        <v>25</v>
      </c>
      <c r="I326" s="90">
        <v>44682</v>
      </c>
      <c r="J326" s="91">
        <f>EFEITO!$J$326*EFEITO!$Y$326</f>
        <v>0</v>
      </c>
      <c r="K326" s="91">
        <f ca="1">EFEITO!$L$326*EFEITO!$Z$326</f>
        <v>602417.44853718299</v>
      </c>
      <c r="L326" s="91">
        <f>EFEITO!$N$326*EFEITO!$AA$326</f>
        <v>277588.60469188535</v>
      </c>
      <c r="M326" s="91">
        <f>$J$326-EFEITO!$K$326*EFEITO!$Y$326</f>
        <v>0</v>
      </c>
      <c r="N326" s="91">
        <f ca="1">$K$326-EFEITO!$M$326*EFEITO!$Z$326</f>
        <v>0</v>
      </c>
      <c r="O326" s="91">
        <f>$L$326-EFEITO!$O$326*EFEITO!$AA$326</f>
        <v>0</v>
      </c>
      <c r="P326" s="20"/>
      <c r="Q326" s="20"/>
      <c r="R326" s="20"/>
      <c r="S326" s="20"/>
      <c r="T326" s="20"/>
      <c r="U326" s="20"/>
      <c r="V326" s="20"/>
      <c r="W326" s="20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83" t="s">
        <v>27</v>
      </c>
      <c r="B327" s="83" t="s">
        <v>22</v>
      </c>
      <c r="C327" s="83" t="s">
        <v>23</v>
      </c>
      <c r="D327" s="83" t="s">
        <v>24</v>
      </c>
      <c r="E327" s="83" t="s">
        <v>24</v>
      </c>
      <c r="F327" s="83" t="s">
        <v>25</v>
      </c>
      <c r="G327" s="83" t="s">
        <v>25</v>
      </c>
      <c r="H327" s="83" t="s">
        <v>25</v>
      </c>
      <c r="I327" s="90">
        <v>44682</v>
      </c>
      <c r="J327" s="91">
        <f>EFEITO!$J$327*EFEITO!$Y$327</f>
        <v>0</v>
      </c>
      <c r="K327" s="91">
        <f ca="1">EFEITO!$L$327*EFEITO!$Z$327</f>
        <v>-658.32951715655588</v>
      </c>
      <c r="L327" s="91">
        <f>EFEITO!$N$327*EFEITO!$AA$327</f>
        <v>-303.35238884384904</v>
      </c>
      <c r="M327" s="91">
        <f>$J$327-EFEITO!$K$327*EFEITO!$Y$327</f>
        <v>0</v>
      </c>
      <c r="N327" s="91">
        <f ca="1">$K$327-EFEITO!$M$327*EFEITO!$Z$327</f>
        <v>0</v>
      </c>
      <c r="O327" s="91">
        <f>$L$327-EFEITO!$O$327*EFEITO!$AA$327</f>
        <v>0</v>
      </c>
      <c r="P327" s="20"/>
      <c r="Q327" s="20"/>
      <c r="R327" s="20"/>
      <c r="S327" s="20"/>
      <c r="T327" s="20"/>
      <c r="U327" s="20"/>
      <c r="V327" s="20"/>
      <c r="W327" s="20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83" t="s">
        <v>28</v>
      </c>
      <c r="B328" s="83" t="s">
        <v>22</v>
      </c>
      <c r="C328" s="83" t="s">
        <v>23</v>
      </c>
      <c r="D328" s="83" t="s">
        <v>24</v>
      </c>
      <c r="E328" s="83" t="s">
        <v>24</v>
      </c>
      <c r="F328" s="83" t="s">
        <v>25</v>
      </c>
      <c r="G328" s="83" t="s">
        <v>25</v>
      </c>
      <c r="H328" s="83" t="s">
        <v>25</v>
      </c>
      <c r="I328" s="90">
        <v>44682</v>
      </c>
      <c r="J328" s="91">
        <f>EFEITO!$J$328*EFEITO!$Y$328</f>
        <v>0</v>
      </c>
      <c r="K328" s="91">
        <f ca="1">EFEITO!$L$328*EFEITO!$Z$328</f>
        <v>11889.627329838962</v>
      </c>
      <c r="L328" s="91">
        <f>EFEITO!$N$328*EFEITO!$AA$328</f>
        <v>5478.6345727713306</v>
      </c>
      <c r="M328" s="91">
        <f>$J$328-EFEITO!$K$328*EFEITO!$Y$328</f>
        <v>0</v>
      </c>
      <c r="N328" s="91">
        <f ca="1">$K$328-EFEITO!$M$328*EFEITO!$Z$328</f>
        <v>0</v>
      </c>
      <c r="O328" s="91">
        <f>$L$328-EFEITO!$O$328*EFEITO!$AA$328</f>
        <v>0</v>
      </c>
      <c r="P328" s="20"/>
      <c r="Q328" s="20"/>
      <c r="R328" s="20"/>
      <c r="S328" s="20"/>
      <c r="T328" s="20"/>
      <c r="U328" s="20"/>
      <c r="V328" s="20"/>
      <c r="W328" s="20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83" t="s">
        <v>21</v>
      </c>
      <c r="B329" s="83" t="s">
        <v>22</v>
      </c>
      <c r="C329" s="83" t="s">
        <v>23</v>
      </c>
      <c r="D329" s="83" t="s">
        <v>24</v>
      </c>
      <c r="E329" s="83" t="s">
        <v>24</v>
      </c>
      <c r="F329" s="83" t="s">
        <v>25</v>
      </c>
      <c r="G329" s="83" t="s">
        <v>25</v>
      </c>
      <c r="H329" s="83" t="s">
        <v>25</v>
      </c>
      <c r="I329" s="90">
        <v>44713</v>
      </c>
      <c r="J329" s="91">
        <f>EFEITO!$J$329*EFEITO!$Y$329</f>
        <v>0</v>
      </c>
      <c r="K329" s="91">
        <f ca="1">EFEITO!$L$329*EFEITO!$Z$329</f>
        <v>659783.55118496402</v>
      </c>
      <c r="L329" s="91">
        <f>EFEITO!$N$329*EFEITO!$AA$329</f>
        <v>304022.39479752857</v>
      </c>
      <c r="M329" s="91">
        <f>$J$329-EFEITO!$K$329*EFEITO!$Y$329</f>
        <v>0</v>
      </c>
      <c r="N329" s="91">
        <f ca="1">$K$329-EFEITO!$M$329*EFEITO!$Z$329</f>
        <v>0</v>
      </c>
      <c r="O329" s="91">
        <f>$L$329-EFEITO!$O$329*EFEITO!$AA$329</f>
        <v>0</v>
      </c>
      <c r="P329" s="20"/>
      <c r="Q329" s="20"/>
      <c r="R329" s="20"/>
      <c r="S329" s="20"/>
      <c r="T329" s="20"/>
      <c r="U329" s="20"/>
      <c r="V329" s="20"/>
      <c r="W329" s="20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83" t="s">
        <v>28</v>
      </c>
      <c r="B330" s="83" t="s">
        <v>22</v>
      </c>
      <c r="C330" s="83" t="s">
        <v>23</v>
      </c>
      <c r="D330" s="83" t="s">
        <v>24</v>
      </c>
      <c r="E330" s="83" t="s">
        <v>24</v>
      </c>
      <c r="F330" s="83" t="s">
        <v>25</v>
      </c>
      <c r="G330" s="83" t="s">
        <v>25</v>
      </c>
      <c r="H330" s="83" t="s">
        <v>25</v>
      </c>
      <c r="I330" s="90">
        <v>44713</v>
      </c>
      <c r="J330" s="91">
        <f>EFEITO!$J$330*EFEITO!$Y$330</f>
        <v>0</v>
      </c>
      <c r="K330" s="91">
        <f ca="1">EFEITO!$L$330*EFEITO!$Z$330</f>
        <v>17248.590167668244</v>
      </c>
      <c r="L330" s="91">
        <f>EFEITO!$N$330*EFEITO!$AA$330</f>
        <v>7947.997006347784</v>
      </c>
      <c r="M330" s="91">
        <f>$J$330-EFEITO!$K$330*EFEITO!$Y$330</f>
        <v>0</v>
      </c>
      <c r="N330" s="91">
        <f ca="1">$K$330-EFEITO!$M$330*EFEITO!$Z$330</f>
        <v>0</v>
      </c>
      <c r="O330" s="91">
        <f>$L$330-EFEITO!$O$330*EFEITO!$AA$330</f>
        <v>0</v>
      </c>
      <c r="P330" s="20"/>
      <c r="Q330" s="20"/>
      <c r="R330" s="20"/>
      <c r="S330" s="20"/>
      <c r="T330" s="20"/>
      <c r="U330" s="20"/>
      <c r="V330" s="20"/>
      <c r="W330" s="20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83" t="s">
        <v>21</v>
      </c>
      <c r="B331" s="83" t="s">
        <v>22</v>
      </c>
      <c r="C331" s="83" t="s">
        <v>23</v>
      </c>
      <c r="D331" s="83" t="s">
        <v>24</v>
      </c>
      <c r="E331" s="83" t="s">
        <v>29</v>
      </c>
      <c r="F331" s="83" t="s">
        <v>25</v>
      </c>
      <c r="G331" s="83" t="s">
        <v>25</v>
      </c>
      <c r="H331" s="83" t="s">
        <v>25</v>
      </c>
      <c r="I331" s="90">
        <v>44378</v>
      </c>
      <c r="J331" s="91">
        <f>EFEITO!$J$331*EFEITO!$Y$295</f>
        <v>0</v>
      </c>
      <c r="K331" s="91">
        <f ca="1">EFEITO!$L$331*EFEITO!$Z$404</f>
        <v>10912.326776709153</v>
      </c>
      <c r="L331" s="91">
        <f>EFEITO!$N$331*EFEITO!$AA$404</f>
        <v>6615.7949843384149</v>
      </c>
      <c r="M331" s="91">
        <f>$J$331-EFEITO!$K$331*EFEITO!$Y$331</f>
        <v>0</v>
      </c>
      <c r="N331" s="91">
        <f ca="1">$K$331-EFEITO!$M$331*EFEITO!$Z$331</f>
        <v>7093.0124048609505</v>
      </c>
      <c r="O331" s="91">
        <f>$L$331-EFEITO!$O$331*EFEITO!$AA$331</f>
        <v>4300.2667398199701</v>
      </c>
      <c r="P331" s="20"/>
      <c r="Q331" s="20"/>
      <c r="R331" s="20"/>
      <c r="S331" s="20"/>
      <c r="T331" s="20"/>
      <c r="U331" s="20"/>
      <c r="V331" s="20"/>
      <c r="W331" s="20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83" t="s">
        <v>28</v>
      </c>
      <c r="B332" s="83" t="s">
        <v>22</v>
      </c>
      <c r="C332" s="83" t="s">
        <v>23</v>
      </c>
      <c r="D332" s="83" t="s">
        <v>24</v>
      </c>
      <c r="E332" s="83" t="s">
        <v>29</v>
      </c>
      <c r="F332" s="83" t="s">
        <v>25</v>
      </c>
      <c r="G332" s="83" t="s">
        <v>25</v>
      </c>
      <c r="H332" s="83" t="s">
        <v>25</v>
      </c>
      <c r="I332" s="90">
        <v>44378</v>
      </c>
      <c r="J332" s="91">
        <f>EFEITO!$J$332*EFEITO!$Y$295</f>
        <v>0</v>
      </c>
      <c r="K332" s="91">
        <f ca="1">EFEITO!$L$332*EFEITO!$Z$404</f>
        <v>20.339844877370275</v>
      </c>
      <c r="L332" s="91">
        <f>EFEITO!$N$332*EFEITO!$AA$404</f>
        <v>12.331397920481669</v>
      </c>
      <c r="M332" s="91">
        <f>$J$332-EFEITO!$K$332*EFEITO!$Y$332</f>
        <v>0</v>
      </c>
      <c r="N332" s="91">
        <f ca="1">$K$332-EFEITO!$M$332*EFEITO!$Z$332</f>
        <v>13.220899170290679</v>
      </c>
      <c r="O332" s="91">
        <f>$L$332-EFEITO!$O$332*EFEITO!$AA$332</f>
        <v>8.015408648313084</v>
      </c>
      <c r="P332" s="20"/>
      <c r="Q332" s="20"/>
      <c r="R332" s="20"/>
      <c r="S332" s="20"/>
      <c r="T332" s="20"/>
      <c r="U332" s="20"/>
      <c r="V332" s="20"/>
      <c r="W332" s="20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83" t="s">
        <v>21</v>
      </c>
      <c r="B333" s="83" t="s">
        <v>22</v>
      </c>
      <c r="C333" s="83" t="s">
        <v>23</v>
      </c>
      <c r="D333" s="83" t="s">
        <v>24</v>
      </c>
      <c r="E333" s="83" t="s">
        <v>29</v>
      </c>
      <c r="F333" s="83" t="s">
        <v>25</v>
      </c>
      <c r="G333" s="83" t="s">
        <v>25</v>
      </c>
      <c r="H333" s="83" t="s">
        <v>25</v>
      </c>
      <c r="I333" s="90">
        <v>44409</v>
      </c>
      <c r="J333" s="91">
        <f>EFEITO!$J$333*EFEITO!$Y$295</f>
        <v>0</v>
      </c>
      <c r="K333" s="91">
        <f ca="1">EFEITO!$L$333*EFEITO!$Z$404</f>
        <v>10953.006466463894</v>
      </c>
      <c r="L333" s="91">
        <f>EFEITO!$N$333*EFEITO!$AA$404</f>
        <v>6640.4577801793785</v>
      </c>
      <c r="M333" s="91">
        <f>$J$333-EFEITO!$K$333*EFEITO!$Y$333</f>
        <v>0</v>
      </c>
      <c r="N333" s="91">
        <f ca="1">$K$333-EFEITO!$M$333*EFEITO!$Z$333</f>
        <v>7119.4542032015306</v>
      </c>
      <c r="O333" s="91">
        <f>$L$333-EFEITO!$O$333*EFEITO!$AA$333</f>
        <v>4316.2975571165953</v>
      </c>
      <c r="P333" s="20"/>
      <c r="Q333" s="20"/>
      <c r="R333" s="20"/>
      <c r="S333" s="20"/>
      <c r="T333" s="20"/>
      <c r="U333" s="20"/>
      <c r="V333" s="20"/>
      <c r="W333" s="20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83" t="s">
        <v>28</v>
      </c>
      <c r="B334" s="83" t="s">
        <v>22</v>
      </c>
      <c r="C334" s="83" t="s">
        <v>23</v>
      </c>
      <c r="D334" s="83" t="s">
        <v>24</v>
      </c>
      <c r="E334" s="83" t="s">
        <v>29</v>
      </c>
      <c r="F334" s="83" t="s">
        <v>25</v>
      </c>
      <c r="G334" s="83" t="s">
        <v>25</v>
      </c>
      <c r="H334" s="83" t="s">
        <v>25</v>
      </c>
      <c r="I334" s="90">
        <v>44409</v>
      </c>
      <c r="J334" s="91">
        <f>EFEITO!$J$334*EFEITO!$Y$295</f>
        <v>0</v>
      </c>
      <c r="K334" s="91">
        <f ca="1">EFEITO!$L$334*EFEITO!$Z$404</f>
        <v>10.169922438685138</v>
      </c>
      <c r="L334" s="91">
        <f>EFEITO!$N$334*EFEITO!$AA$404</f>
        <v>6.1656989602408343</v>
      </c>
      <c r="M334" s="91">
        <f>$J$334-EFEITO!$K$334*EFEITO!$Y$334</f>
        <v>0</v>
      </c>
      <c r="N334" s="91">
        <f ca="1">$K$334-EFEITO!$M$334*EFEITO!$Z$334</f>
        <v>6.6104495851453393</v>
      </c>
      <c r="O334" s="91">
        <f>$L$334-EFEITO!$O$334*EFEITO!$AA$334</f>
        <v>4.007704324156542</v>
      </c>
      <c r="P334" s="20"/>
      <c r="Q334" s="20"/>
      <c r="R334" s="20"/>
      <c r="S334" s="20"/>
      <c r="T334" s="20"/>
      <c r="U334" s="20"/>
      <c r="V334" s="20"/>
      <c r="W334" s="20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83" t="s">
        <v>21</v>
      </c>
      <c r="B335" s="83" t="s">
        <v>22</v>
      </c>
      <c r="C335" s="83" t="s">
        <v>23</v>
      </c>
      <c r="D335" s="83" t="s">
        <v>24</v>
      </c>
      <c r="E335" s="83" t="s">
        <v>29</v>
      </c>
      <c r="F335" s="83" t="s">
        <v>25</v>
      </c>
      <c r="G335" s="83" t="s">
        <v>25</v>
      </c>
      <c r="H335" s="83" t="s">
        <v>25</v>
      </c>
      <c r="I335" s="90">
        <v>44440</v>
      </c>
      <c r="J335" s="91">
        <f>EFEITO!$J$335*EFEITO!$Y$295</f>
        <v>0</v>
      </c>
      <c r="K335" s="91">
        <f ca="1">EFEITO!$L$335*EFEITO!$Z$404</f>
        <v>11044.535768412059</v>
      </c>
      <c r="L335" s="91">
        <f>EFEITO!$N$335*EFEITO!$AA$404</f>
        <v>6695.9490708215453</v>
      </c>
      <c r="M335" s="91">
        <f>$J$335-EFEITO!$K$335*EFEITO!$Y$335</f>
        <v>0</v>
      </c>
      <c r="N335" s="91">
        <f ca="1">$K$335-EFEITO!$M$335*EFEITO!$Z$335</f>
        <v>7178.9482494678387</v>
      </c>
      <c r="O335" s="91">
        <f>$L$335-EFEITO!$O$335*EFEITO!$AA$335</f>
        <v>4352.3668960340037</v>
      </c>
      <c r="P335" s="20"/>
      <c r="Q335" s="20"/>
      <c r="R335" s="20"/>
      <c r="S335" s="20"/>
      <c r="T335" s="20"/>
      <c r="U335" s="20"/>
      <c r="V335" s="20"/>
      <c r="W335" s="20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83" t="s">
        <v>28</v>
      </c>
      <c r="B336" s="83" t="s">
        <v>22</v>
      </c>
      <c r="C336" s="83" t="s">
        <v>23</v>
      </c>
      <c r="D336" s="83" t="s">
        <v>24</v>
      </c>
      <c r="E336" s="83" t="s">
        <v>29</v>
      </c>
      <c r="F336" s="83" t="s">
        <v>25</v>
      </c>
      <c r="G336" s="83" t="s">
        <v>25</v>
      </c>
      <c r="H336" s="83" t="s">
        <v>25</v>
      </c>
      <c r="I336" s="90">
        <v>44440</v>
      </c>
      <c r="J336" s="91">
        <f>EFEITO!$J$336*EFEITO!$Y$295</f>
        <v>0</v>
      </c>
      <c r="K336" s="91">
        <f ca="1">EFEITO!$L$336*EFEITO!$Z$404</f>
        <v>10.169922438685138</v>
      </c>
      <c r="L336" s="91">
        <f>EFEITO!$N$336*EFEITO!$AA$404</f>
        <v>6.1656989602408343</v>
      </c>
      <c r="M336" s="91">
        <f>$J$336-EFEITO!$K$336*EFEITO!$Y$336</f>
        <v>0</v>
      </c>
      <c r="N336" s="91">
        <f ca="1">$K$336-EFEITO!$M$336*EFEITO!$Z$336</f>
        <v>6.6104495851453393</v>
      </c>
      <c r="O336" s="91">
        <f>$L$336-EFEITO!$O$336*EFEITO!$AA$336</f>
        <v>4.007704324156542</v>
      </c>
      <c r="P336" s="20"/>
      <c r="Q336" s="20"/>
      <c r="R336" s="20"/>
      <c r="S336" s="20"/>
      <c r="T336" s="20"/>
      <c r="U336" s="20"/>
      <c r="V336" s="20"/>
      <c r="W336" s="20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83" t="s">
        <v>21</v>
      </c>
      <c r="B337" s="83" t="s">
        <v>22</v>
      </c>
      <c r="C337" s="83" t="s">
        <v>23</v>
      </c>
      <c r="D337" s="83" t="s">
        <v>24</v>
      </c>
      <c r="E337" s="83" t="s">
        <v>29</v>
      </c>
      <c r="F337" s="83" t="s">
        <v>25</v>
      </c>
      <c r="G337" s="83" t="s">
        <v>25</v>
      </c>
      <c r="H337" s="83" t="s">
        <v>25</v>
      </c>
      <c r="I337" s="90">
        <v>44470</v>
      </c>
      <c r="J337" s="91">
        <f>EFEITO!$J$337*EFEITO!$Y$295</f>
        <v>0</v>
      </c>
      <c r="K337" s="91">
        <f ca="1">EFEITO!$L$337*EFEITO!$Z$404</f>
        <v>11085.215458166802</v>
      </c>
      <c r="L337" s="91">
        <f>EFEITO!$N$337*EFEITO!$AA$404</f>
        <v>6720.6118666625098</v>
      </c>
      <c r="M337" s="91">
        <f>$J$337-EFEITO!$K$337*EFEITO!$Y$337</f>
        <v>0</v>
      </c>
      <c r="N337" s="91">
        <f ca="1">$K$337-EFEITO!$M$337*EFEITO!$Z$337</f>
        <v>7205.3900478084215</v>
      </c>
      <c r="O337" s="91">
        <f>$L$337-EFEITO!$O$337*EFEITO!$AA$337</f>
        <v>4368.3977133306307</v>
      </c>
      <c r="P337" s="20"/>
      <c r="Q337" s="20"/>
      <c r="R337" s="20"/>
      <c r="S337" s="20"/>
      <c r="T337" s="20"/>
      <c r="U337" s="20"/>
      <c r="V337" s="20"/>
      <c r="W337" s="20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83" t="s">
        <v>28</v>
      </c>
      <c r="B338" s="83" t="s">
        <v>22</v>
      </c>
      <c r="C338" s="83" t="s">
        <v>23</v>
      </c>
      <c r="D338" s="83" t="s">
        <v>24</v>
      </c>
      <c r="E338" s="83" t="s">
        <v>29</v>
      </c>
      <c r="F338" s="83" t="s">
        <v>25</v>
      </c>
      <c r="G338" s="83" t="s">
        <v>25</v>
      </c>
      <c r="H338" s="83" t="s">
        <v>25</v>
      </c>
      <c r="I338" s="90">
        <v>44470</v>
      </c>
      <c r="J338" s="91">
        <f>EFEITO!$J$338*EFEITO!$Y$295</f>
        <v>0</v>
      </c>
      <c r="K338" s="91">
        <f ca="1">EFEITO!$L$338*EFEITO!$Z$404</f>
        <v>10.169922438685138</v>
      </c>
      <c r="L338" s="91">
        <f>EFEITO!$N$338*EFEITO!$AA$404</f>
        <v>6.1656989602408343</v>
      </c>
      <c r="M338" s="91">
        <f>$J$338-EFEITO!$K$338*EFEITO!$Y$338</f>
        <v>0</v>
      </c>
      <c r="N338" s="91">
        <f ca="1">$K$338-EFEITO!$M$338*EFEITO!$Z$338</f>
        <v>6.6104495851453393</v>
      </c>
      <c r="O338" s="91">
        <f>$L$338-EFEITO!$O$338*EFEITO!$AA$338</f>
        <v>4.007704324156542</v>
      </c>
      <c r="P338" s="20"/>
      <c r="Q338" s="20"/>
      <c r="R338" s="20"/>
      <c r="S338" s="20"/>
      <c r="T338" s="20"/>
      <c r="U338" s="20"/>
      <c r="V338" s="20"/>
      <c r="W338" s="20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83" t="s">
        <v>21</v>
      </c>
      <c r="B339" s="83" t="s">
        <v>22</v>
      </c>
      <c r="C339" s="83" t="s">
        <v>23</v>
      </c>
      <c r="D339" s="83" t="s">
        <v>24</v>
      </c>
      <c r="E339" s="83" t="s">
        <v>29</v>
      </c>
      <c r="F339" s="83" t="s">
        <v>25</v>
      </c>
      <c r="G339" s="83" t="s">
        <v>25</v>
      </c>
      <c r="H339" s="83" t="s">
        <v>25</v>
      </c>
      <c r="I339" s="90">
        <v>44501</v>
      </c>
      <c r="J339" s="91">
        <f>EFEITO!$J$339*EFEITO!$Y$295</f>
        <v>0</v>
      </c>
      <c r="K339" s="91">
        <f ca="1">EFEITO!$L$339*EFEITO!$Z$404</f>
        <v>11146.234992798913</v>
      </c>
      <c r="L339" s="91">
        <f>EFEITO!$N$339*EFEITO!$AA$404</f>
        <v>6757.6060604239547</v>
      </c>
      <c r="M339" s="91">
        <f>$J$339-EFEITO!$K$339*EFEITO!$Y$339</f>
        <v>0</v>
      </c>
      <c r="N339" s="91">
        <f ca="1">$K$339-EFEITO!$M$339*EFEITO!$Z$339</f>
        <v>7245.0527453192935</v>
      </c>
      <c r="O339" s="91">
        <f>$L$339-EFEITO!$O$339*EFEITO!$AA$339</f>
        <v>4392.4439392755703</v>
      </c>
      <c r="P339" s="20"/>
      <c r="Q339" s="20"/>
      <c r="R339" s="20"/>
      <c r="S339" s="20"/>
      <c r="T339" s="20"/>
      <c r="U339" s="20"/>
      <c r="V339" s="20"/>
      <c r="W339" s="20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83" t="s">
        <v>28</v>
      </c>
      <c r="B340" s="83" t="s">
        <v>22</v>
      </c>
      <c r="C340" s="83" t="s">
        <v>23</v>
      </c>
      <c r="D340" s="83" t="s">
        <v>24</v>
      </c>
      <c r="E340" s="83" t="s">
        <v>29</v>
      </c>
      <c r="F340" s="83" t="s">
        <v>25</v>
      </c>
      <c r="G340" s="83" t="s">
        <v>25</v>
      </c>
      <c r="H340" s="83" t="s">
        <v>25</v>
      </c>
      <c r="I340" s="90">
        <v>44501</v>
      </c>
      <c r="J340" s="91">
        <f>EFEITO!$J$340*EFEITO!$Y$295</f>
        <v>0</v>
      </c>
      <c r="K340" s="91">
        <f ca="1">EFEITO!$L$340*EFEITO!$Z$404</f>
        <v>10.169922438685138</v>
      </c>
      <c r="L340" s="91">
        <f>EFEITO!$N$340*EFEITO!$AA$404</f>
        <v>6.1656989602408343</v>
      </c>
      <c r="M340" s="91">
        <f>$J$340-EFEITO!$K$340*EFEITO!$Y$340</f>
        <v>0</v>
      </c>
      <c r="N340" s="91">
        <f ca="1">$K$340-EFEITO!$M$340*EFEITO!$Z$340</f>
        <v>6.6104495851453393</v>
      </c>
      <c r="O340" s="91">
        <f>$L$340-EFEITO!$O$340*EFEITO!$AA$340</f>
        <v>4.007704324156542</v>
      </c>
      <c r="P340" s="20"/>
      <c r="Q340" s="20"/>
      <c r="R340" s="20"/>
      <c r="S340" s="20"/>
      <c r="T340" s="20"/>
      <c r="U340" s="20"/>
      <c r="V340" s="20"/>
      <c r="W340" s="20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83" t="s">
        <v>21</v>
      </c>
      <c r="B341" s="83" t="s">
        <v>22</v>
      </c>
      <c r="C341" s="83" t="s">
        <v>23</v>
      </c>
      <c r="D341" s="83" t="s">
        <v>24</v>
      </c>
      <c r="E341" s="83" t="s">
        <v>29</v>
      </c>
      <c r="F341" s="83" t="s">
        <v>25</v>
      </c>
      <c r="G341" s="83" t="s">
        <v>25</v>
      </c>
      <c r="H341" s="83" t="s">
        <v>25</v>
      </c>
      <c r="I341" s="90">
        <v>44531</v>
      </c>
      <c r="J341" s="91">
        <f>EFEITO!$J$341*EFEITO!$Y$295</f>
        <v>0</v>
      </c>
      <c r="K341" s="91">
        <f ca="1">EFEITO!$L$341*EFEITO!$Z$404</f>
        <v>11365.227322645265</v>
      </c>
      <c r="L341" s="91">
        <f>EFEITO!$N$341*EFEITO!$AA$404</f>
        <v>6890.3741113678079</v>
      </c>
      <c r="M341" s="91">
        <f>$J$341-EFEITO!$K$341*EFEITO!$Y$341</f>
        <v>0</v>
      </c>
      <c r="N341" s="91">
        <f ca="1">$K$341-EFEITO!$M$341*EFEITO!$Z$341</f>
        <v>7387.3977597194225</v>
      </c>
      <c r="O341" s="91">
        <f>$L$341-EFEITO!$O$341*EFEITO!$AA$341</f>
        <v>4478.743172389075</v>
      </c>
      <c r="P341" s="20"/>
      <c r="Q341" s="20"/>
      <c r="R341" s="20"/>
      <c r="S341" s="20"/>
      <c r="T341" s="20"/>
      <c r="U341" s="20"/>
      <c r="V341" s="20"/>
      <c r="W341" s="20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83" t="s">
        <v>28</v>
      </c>
      <c r="B342" s="83" t="s">
        <v>22</v>
      </c>
      <c r="C342" s="83" t="s">
        <v>23</v>
      </c>
      <c r="D342" s="83" t="s">
        <v>24</v>
      </c>
      <c r="E342" s="83" t="s">
        <v>29</v>
      </c>
      <c r="F342" s="83" t="s">
        <v>25</v>
      </c>
      <c r="G342" s="83" t="s">
        <v>25</v>
      </c>
      <c r="H342" s="83" t="s">
        <v>25</v>
      </c>
      <c r="I342" s="90">
        <v>44531</v>
      </c>
      <c r="J342" s="91">
        <f>EFEITO!$J$342*EFEITO!$Y$295</f>
        <v>0</v>
      </c>
      <c r="K342" s="91">
        <f ca="1">EFEITO!$L$342*EFEITO!$Z$404</f>
        <v>10.169922438685138</v>
      </c>
      <c r="L342" s="91">
        <f>EFEITO!$N$342*EFEITO!$AA$404</f>
        <v>6.1656989602408343</v>
      </c>
      <c r="M342" s="91">
        <f>$J$342-EFEITO!$K$342*EFEITO!$Y$342</f>
        <v>0</v>
      </c>
      <c r="N342" s="91">
        <f ca="1">$K$342-EFEITO!$M$342*EFEITO!$Z$342</f>
        <v>8.9241069399462081</v>
      </c>
      <c r="O342" s="91">
        <f>$L$342-EFEITO!$O$342*EFEITO!$AA$342</f>
        <v>5.4104008376113324</v>
      </c>
      <c r="P342" s="20"/>
      <c r="Q342" s="20"/>
      <c r="R342" s="20"/>
      <c r="S342" s="20"/>
      <c r="T342" s="20"/>
      <c r="U342" s="20"/>
      <c r="V342" s="20"/>
      <c r="W342" s="20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83" t="s">
        <v>21</v>
      </c>
      <c r="B343" s="83" t="s">
        <v>22</v>
      </c>
      <c r="C343" s="83" t="s">
        <v>23</v>
      </c>
      <c r="D343" s="83" t="s">
        <v>24</v>
      </c>
      <c r="E343" s="83" t="s">
        <v>29</v>
      </c>
      <c r="F343" s="83" t="s">
        <v>25</v>
      </c>
      <c r="G343" s="83" t="s">
        <v>25</v>
      </c>
      <c r="H343" s="83" t="s">
        <v>25</v>
      </c>
      <c r="I343" s="90">
        <v>44562</v>
      </c>
      <c r="J343" s="91">
        <f>EFEITO!$J$343*EFEITO!$Y$295</f>
        <v>0</v>
      </c>
      <c r="K343" s="91">
        <f ca="1">EFEITO!$L$343*EFEITO!$Z$404</f>
        <v>11522.522123030261</v>
      </c>
      <c r="L343" s="91">
        <f>EFEITO!$N$343*EFEITO!$AA$404</f>
        <v>6985.7369219528655</v>
      </c>
      <c r="M343" s="91">
        <f>$J$343-EFEITO!$K$343*EFEITO!$Y$343</f>
        <v>0</v>
      </c>
      <c r="N343" s="91">
        <f ca="1">$K$343-EFEITO!$M$343*EFEITO!$Z$343</f>
        <v>7489.6393799696698</v>
      </c>
      <c r="O343" s="91">
        <f>$L$343-EFEITO!$O$343*EFEITO!$AA$343</f>
        <v>4540.7289992693622</v>
      </c>
      <c r="P343" s="20"/>
      <c r="Q343" s="20"/>
      <c r="R343" s="20"/>
      <c r="S343" s="20"/>
      <c r="T343" s="20"/>
      <c r="U343" s="20"/>
      <c r="V343" s="20"/>
      <c r="W343" s="20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83" t="s">
        <v>28</v>
      </c>
      <c r="B344" s="83" t="s">
        <v>22</v>
      </c>
      <c r="C344" s="83" t="s">
        <v>23</v>
      </c>
      <c r="D344" s="83" t="s">
        <v>24</v>
      </c>
      <c r="E344" s="83" t="s">
        <v>29</v>
      </c>
      <c r="F344" s="83" t="s">
        <v>25</v>
      </c>
      <c r="G344" s="83" t="s">
        <v>25</v>
      </c>
      <c r="H344" s="83" t="s">
        <v>25</v>
      </c>
      <c r="I344" s="90">
        <v>44562</v>
      </c>
      <c r="J344" s="91">
        <f>EFEITO!$J$344*EFEITO!$Y$295</f>
        <v>0</v>
      </c>
      <c r="K344" s="91">
        <f ca="1">EFEITO!$L$344*EFEITO!$Z$404</f>
        <v>10.169922438685138</v>
      </c>
      <c r="L344" s="91">
        <f>EFEITO!$N$344*EFEITO!$AA$404</f>
        <v>6.1656989602408343</v>
      </c>
      <c r="M344" s="91">
        <f>$J$344-EFEITO!$K$344*EFEITO!$Y$344</f>
        <v>0</v>
      </c>
      <c r="N344" s="91">
        <f ca="1">$K$344-EFEITO!$M$344*EFEITO!$Z$344</f>
        <v>8.9241069399462081</v>
      </c>
      <c r="O344" s="91">
        <f>$L$344-EFEITO!$O$344*EFEITO!$AA$344</f>
        <v>5.4104008376113324</v>
      </c>
      <c r="P344" s="20"/>
      <c r="Q344" s="20"/>
      <c r="R344" s="20"/>
      <c r="S344" s="20"/>
      <c r="T344" s="20"/>
      <c r="U344" s="20"/>
      <c r="V344" s="20"/>
      <c r="W344" s="20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83" t="s">
        <v>21</v>
      </c>
      <c r="B345" s="83" t="s">
        <v>22</v>
      </c>
      <c r="C345" s="83" t="s">
        <v>23</v>
      </c>
      <c r="D345" s="83" t="s">
        <v>24</v>
      </c>
      <c r="E345" s="83" t="s">
        <v>29</v>
      </c>
      <c r="F345" s="83" t="s">
        <v>25</v>
      </c>
      <c r="G345" s="83" t="s">
        <v>25</v>
      </c>
      <c r="H345" s="83" t="s">
        <v>25</v>
      </c>
      <c r="I345" s="90">
        <v>44593</v>
      </c>
      <c r="J345" s="91">
        <f>EFEITO!$J$345*EFEITO!$Y$295</f>
        <v>0</v>
      </c>
      <c r="K345" s="91">
        <f ca="1">EFEITO!$L$345*EFEITO!$Z$404</f>
        <v>11583.541657662372</v>
      </c>
      <c r="L345" s="91">
        <f>EFEITO!$N$345*EFEITO!$AA$404</f>
        <v>7022.7311157143104</v>
      </c>
      <c r="M345" s="91">
        <f>$J$345-EFEITO!$K$345*EFEITO!$Y$345</f>
        <v>0</v>
      </c>
      <c r="N345" s="91">
        <f ca="1">$K$345-EFEITO!$M$345*EFEITO!$Z$345</f>
        <v>7529.3020774805418</v>
      </c>
      <c r="O345" s="91">
        <f>$L$345-EFEITO!$O$345*EFEITO!$AA$345</f>
        <v>4564.7752252143018</v>
      </c>
      <c r="P345" s="20"/>
      <c r="Q345" s="20"/>
      <c r="R345" s="20"/>
      <c r="S345" s="20"/>
      <c r="T345" s="20"/>
      <c r="U345" s="20"/>
      <c r="V345" s="20"/>
      <c r="W345" s="20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83" t="s">
        <v>28</v>
      </c>
      <c r="B346" s="83" t="s">
        <v>22</v>
      </c>
      <c r="C346" s="83" t="s">
        <v>23</v>
      </c>
      <c r="D346" s="83" t="s">
        <v>24</v>
      </c>
      <c r="E346" s="83" t="s">
        <v>29</v>
      </c>
      <c r="F346" s="83" t="s">
        <v>25</v>
      </c>
      <c r="G346" s="83" t="s">
        <v>25</v>
      </c>
      <c r="H346" s="83" t="s">
        <v>25</v>
      </c>
      <c r="I346" s="90">
        <v>44593</v>
      </c>
      <c r="J346" s="91">
        <f>EFEITO!$J$346*EFEITO!$Y$295</f>
        <v>0</v>
      </c>
      <c r="K346" s="91">
        <f ca="1">EFEITO!$L$346*EFEITO!$Z$404</f>
        <v>10.169922438685138</v>
      </c>
      <c r="L346" s="91">
        <f>EFEITO!$N$346*EFEITO!$AA$404</f>
        <v>6.1656989602408343</v>
      </c>
      <c r="M346" s="91">
        <f>$J$346-EFEITO!$K$346*EFEITO!$Y$346</f>
        <v>0</v>
      </c>
      <c r="N346" s="91">
        <f ca="1">$K$346-EFEITO!$M$346*EFEITO!$Z$346</f>
        <v>8.9241069399462081</v>
      </c>
      <c r="O346" s="91">
        <f>$L$346-EFEITO!$O$346*EFEITO!$AA$346</f>
        <v>5.4104008376113324</v>
      </c>
      <c r="P346" s="20"/>
      <c r="Q346" s="20"/>
      <c r="R346" s="20"/>
      <c r="S346" s="20"/>
      <c r="T346" s="20"/>
      <c r="U346" s="20"/>
      <c r="V346" s="20"/>
      <c r="W346" s="20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83" t="s">
        <v>21</v>
      </c>
      <c r="B347" s="83" t="s">
        <v>22</v>
      </c>
      <c r="C347" s="83" t="s">
        <v>23</v>
      </c>
      <c r="D347" s="83" t="s">
        <v>24</v>
      </c>
      <c r="E347" s="83" t="s">
        <v>29</v>
      </c>
      <c r="F347" s="83" t="s">
        <v>25</v>
      </c>
      <c r="G347" s="83" t="s">
        <v>25</v>
      </c>
      <c r="H347" s="83" t="s">
        <v>25</v>
      </c>
      <c r="I347" s="90">
        <v>44621</v>
      </c>
      <c r="J347" s="91">
        <f>EFEITO!$J$347*EFEITO!$Y$295</f>
        <v>0</v>
      </c>
      <c r="K347" s="91">
        <f ca="1">EFEITO!$L$347*EFEITO!$Z$404</f>
        <v>11837.789718629501</v>
      </c>
      <c r="L347" s="91">
        <f>EFEITO!$N$347*EFEITO!$AA$404</f>
        <v>7176.8735897203314</v>
      </c>
      <c r="M347" s="91">
        <f>$J$347-EFEITO!$K$347*EFEITO!$Y$347</f>
        <v>0</v>
      </c>
      <c r="N347" s="91">
        <f ca="1">$K$347-EFEITO!$M$347*EFEITO!$Z$347</f>
        <v>7694.5633171091758</v>
      </c>
      <c r="O347" s="91">
        <f>$L$347-EFEITO!$O$347*EFEITO!$AA$347</f>
        <v>4664.9678333182155</v>
      </c>
      <c r="P347" s="20"/>
      <c r="Q347" s="20"/>
      <c r="R347" s="20"/>
      <c r="S347" s="20"/>
      <c r="T347" s="20"/>
      <c r="U347" s="20"/>
      <c r="V347" s="20"/>
      <c r="W347" s="20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83" t="s">
        <v>28</v>
      </c>
      <c r="B348" s="83" t="s">
        <v>22</v>
      </c>
      <c r="C348" s="83" t="s">
        <v>23</v>
      </c>
      <c r="D348" s="83" t="s">
        <v>24</v>
      </c>
      <c r="E348" s="83" t="s">
        <v>29</v>
      </c>
      <c r="F348" s="83" t="s">
        <v>25</v>
      </c>
      <c r="G348" s="83" t="s">
        <v>25</v>
      </c>
      <c r="H348" s="83" t="s">
        <v>25</v>
      </c>
      <c r="I348" s="90">
        <v>44621</v>
      </c>
      <c r="J348" s="91">
        <f>EFEITO!$J$348*EFEITO!$Y$295</f>
        <v>0</v>
      </c>
      <c r="K348" s="91">
        <f ca="1">EFEITO!$L$348*EFEITO!$Z$404</f>
        <v>10.169922438685138</v>
      </c>
      <c r="L348" s="91">
        <f>EFEITO!$N$348*EFEITO!$AA$404</f>
        <v>6.1656989602408343</v>
      </c>
      <c r="M348" s="91">
        <f>$J$348-EFEITO!$K$348*EFEITO!$Y$348</f>
        <v>0</v>
      </c>
      <c r="N348" s="91">
        <f ca="1">$K$348-EFEITO!$M$348*EFEITO!$Z$348</f>
        <v>8.9241069399462081</v>
      </c>
      <c r="O348" s="91">
        <f>$L$348-EFEITO!$O$348*EFEITO!$AA$348</f>
        <v>5.4104008376113324</v>
      </c>
      <c r="P348" s="20"/>
      <c r="Q348" s="20"/>
      <c r="R348" s="20"/>
      <c r="S348" s="20"/>
      <c r="T348" s="20"/>
      <c r="U348" s="20"/>
      <c r="V348" s="20"/>
      <c r="W348" s="20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83" t="s">
        <v>21</v>
      </c>
      <c r="B349" s="83" t="s">
        <v>22</v>
      </c>
      <c r="C349" s="83" t="s">
        <v>23</v>
      </c>
      <c r="D349" s="83" t="s">
        <v>24</v>
      </c>
      <c r="E349" s="83" t="s">
        <v>29</v>
      </c>
      <c r="F349" s="83" t="s">
        <v>25</v>
      </c>
      <c r="G349" s="83" t="s">
        <v>25</v>
      </c>
      <c r="H349" s="83" t="s">
        <v>25</v>
      </c>
      <c r="I349" s="90">
        <v>44652</v>
      </c>
      <c r="J349" s="91">
        <f>EFEITO!$J$349*EFEITO!$Y$295</f>
        <v>0</v>
      </c>
      <c r="K349" s="91">
        <f ca="1">EFEITO!$L$349*EFEITO!$Z$404</f>
        <v>12061.528012280573</v>
      </c>
      <c r="L349" s="91">
        <f>EFEITO!$N$349*EFEITO!$AA$404</f>
        <v>7312.5189668456287</v>
      </c>
      <c r="M349" s="91">
        <f>$J$349-EFEITO!$K$349*EFEITO!$Y$349</f>
        <v>0</v>
      </c>
      <c r="N349" s="91">
        <f ca="1">$K$349-EFEITO!$M$349*EFEITO!$Z$349</f>
        <v>7839.993207982372</v>
      </c>
      <c r="O349" s="91">
        <f>$L$349-EFEITO!$O$349*EFEITO!$AA$349</f>
        <v>4753.1373284496585</v>
      </c>
      <c r="P349" s="20"/>
      <c r="Q349" s="20"/>
      <c r="R349" s="20"/>
      <c r="S349" s="20"/>
      <c r="T349" s="20"/>
      <c r="U349" s="20"/>
      <c r="V349" s="20"/>
      <c r="W349" s="20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83" t="s">
        <v>28</v>
      </c>
      <c r="B350" s="83" t="s">
        <v>22</v>
      </c>
      <c r="C350" s="83" t="s">
        <v>23</v>
      </c>
      <c r="D350" s="83" t="s">
        <v>24</v>
      </c>
      <c r="E350" s="83" t="s">
        <v>29</v>
      </c>
      <c r="F350" s="83" t="s">
        <v>25</v>
      </c>
      <c r="G350" s="83" t="s">
        <v>25</v>
      </c>
      <c r="H350" s="83" t="s">
        <v>25</v>
      </c>
      <c r="I350" s="90">
        <v>44652</v>
      </c>
      <c r="J350" s="91">
        <f>EFEITO!$J$350*EFEITO!$Y$295</f>
        <v>0</v>
      </c>
      <c r="K350" s="91">
        <f ca="1">EFEITO!$L$350*EFEITO!$Z$404</f>
        <v>10.169922438685138</v>
      </c>
      <c r="L350" s="91">
        <f>EFEITO!$N$350*EFEITO!$AA$404</f>
        <v>6.1656989602408343</v>
      </c>
      <c r="M350" s="91">
        <f>$J$350-EFEITO!$K$350*EFEITO!$Y$350</f>
        <v>0</v>
      </c>
      <c r="N350" s="91">
        <f ca="1">$K$350-EFEITO!$M$350*EFEITO!$Z$350</f>
        <v>8.9241069399462081</v>
      </c>
      <c r="O350" s="91">
        <f>$L$350-EFEITO!$O$350*EFEITO!$AA$350</f>
        <v>5.4104008376113324</v>
      </c>
      <c r="P350" s="20"/>
      <c r="Q350" s="20"/>
      <c r="R350" s="20"/>
      <c r="S350" s="20"/>
      <c r="T350" s="20"/>
      <c r="U350" s="20"/>
      <c r="V350" s="20"/>
      <c r="W350" s="20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83" t="s">
        <v>21</v>
      </c>
      <c r="B351" s="83" t="s">
        <v>22</v>
      </c>
      <c r="C351" s="83" t="s">
        <v>23</v>
      </c>
      <c r="D351" s="83" t="s">
        <v>24</v>
      </c>
      <c r="E351" s="83" t="s">
        <v>29</v>
      </c>
      <c r="F351" s="83" t="s">
        <v>25</v>
      </c>
      <c r="G351" s="83" t="s">
        <v>25</v>
      </c>
      <c r="H351" s="83" t="s">
        <v>25</v>
      </c>
      <c r="I351" s="90">
        <v>44682</v>
      </c>
      <c r="J351" s="91">
        <f>EFEITO!$J$351*EFEITO!$Y$295</f>
        <v>0</v>
      </c>
      <c r="K351" s="91">
        <f ca="1">EFEITO!$L$351*EFEITO!$Z$404</f>
        <v>15495.910819824545</v>
      </c>
      <c r="L351" s="91">
        <f>EFEITO!$N$351*EFEITO!$AA$404</f>
        <v>9394.6755057189584</v>
      </c>
      <c r="M351" s="91">
        <f>$J$351-EFEITO!$K$351*EFEITO!$Y$351</f>
        <v>0</v>
      </c>
      <c r="N351" s="91">
        <f ca="1">$K$351-EFEITO!$M$351*EFEITO!$Z$351</f>
        <v>10072.342032885954</v>
      </c>
      <c r="O351" s="91">
        <f>$L$351-EFEITO!$O$351*EFEITO!$AA$351</f>
        <v>6106.5390787173228</v>
      </c>
      <c r="P351" s="20"/>
      <c r="Q351" s="20"/>
      <c r="R351" s="20"/>
      <c r="S351" s="20"/>
      <c r="T351" s="20"/>
      <c r="U351" s="20"/>
      <c r="V351" s="20"/>
      <c r="W351" s="20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83" t="s">
        <v>28</v>
      </c>
      <c r="B352" s="83" t="s">
        <v>22</v>
      </c>
      <c r="C352" s="83" t="s">
        <v>23</v>
      </c>
      <c r="D352" s="83" t="s">
        <v>24</v>
      </c>
      <c r="E352" s="83" t="s">
        <v>29</v>
      </c>
      <c r="F352" s="83" t="s">
        <v>25</v>
      </c>
      <c r="G352" s="83" t="s">
        <v>25</v>
      </c>
      <c r="H352" s="83" t="s">
        <v>25</v>
      </c>
      <c r="I352" s="90">
        <v>44682</v>
      </c>
      <c r="J352" s="91">
        <f>EFEITO!$J$352*EFEITO!$Y$295</f>
        <v>0</v>
      </c>
      <c r="K352" s="91">
        <f ca="1">EFEITO!$L$352*EFEITO!$Z$404</f>
        <v>10.169922438685138</v>
      </c>
      <c r="L352" s="91">
        <f>EFEITO!$N$352*EFEITO!$AA$404</f>
        <v>6.1656989602408343</v>
      </c>
      <c r="M352" s="91">
        <f>$J$352-EFEITO!$K$352*EFEITO!$Y$352</f>
        <v>0</v>
      </c>
      <c r="N352" s="91">
        <f ca="1">$K$352-EFEITO!$M$352*EFEITO!$Z$352</f>
        <v>8.9241069399462081</v>
      </c>
      <c r="O352" s="91">
        <f>$L$352-EFEITO!$O$352*EFEITO!$AA$352</f>
        <v>5.4104008376113324</v>
      </c>
      <c r="P352" s="20"/>
      <c r="Q352" s="20"/>
      <c r="R352" s="20"/>
      <c r="S352" s="20"/>
      <c r="T352" s="20"/>
      <c r="U352" s="20"/>
      <c r="V352" s="20"/>
      <c r="W352" s="20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83" t="s">
        <v>21</v>
      </c>
      <c r="B353" s="83" t="s">
        <v>22</v>
      </c>
      <c r="C353" s="83" t="s">
        <v>23</v>
      </c>
      <c r="D353" s="83" t="s">
        <v>24</v>
      </c>
      <c r="E353" s="83" t="s">
        <v>29</v>
      </c>
      <c r="F353" s="83" t="s">
        <v>25</v>
      </c>
      <c r="G353" s="83" t="s">
        <v>25</v>
      </c>
      <c r="H353" s="83" t="s">
        <v>25</v>
      </c>
      <c r="I353" s="90">
        <v>44713</v>
      </c>
      <c r="J353" s="91">
        <f>EFEITO!$J$353*EFEITO!$Y$295</f>
        <v>0</v>
      </c>
      <c r="K353" s="91">
        <f ca="1">EFEITO!$L$353*EFEITO!$Z$404</f>
        <v>14975.210790963865</v>
      </c>
      <c r="L353" s="91">
        <f>EFEITO!$N$353*EFEITO!$AA$404</f>
        <v>9078.9917189546286</v>
      </c>
      <c r="M353" s="91">
        <f>$J$353-EFEITO!$K$353*EFEITO!$Y$353</f>
        <v>0</v>
      </c>
      <c r="N353" s="91">
        <f ca="1">$K$353-EFEITO!$M$353*EFEITO!$Z$353</f>
        <v>9733.8870141265143</v>
      </c>
      <c r="O353" s="91">
        <f>$L$353-EFEITO!$O$353*EFEITO!$AA$353</f>
        <v>5901.3446173205084</v>
      </c>
      <c r="P353" s="20"/>
      <c r="Q353" s="20"/>
      <c r="R353" s="20"/>
      <c r="S353" s="20"/>
      <c r="T353" s="20"/>
      <c r="U353" s="20"/>
      <c r="V353" s="20"/>
      <c r="W353" s="20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83" t="s">
        <v>28</v>
      </c>
      <c r="B354" s="83" t="s">
        <v>22</v>
      </c>
      <c r="C354" s="83" t="s">
        <v>23</v>
      </c>
      <c r="D354" s="83" t="s">
        <v>24</v>
      </c>
      <c r="E354" s="83" t="s">
        <v>29</v>
      </c>
      <c r="F354" s="83" t="s">
        <v>25</v>
      </c>
      <c r="G354" s="83" t="s">
        <v>25</v>
      </c>
      <c r="H354" s="83" t="s">
        <v>25</v>
      </c>
      <c r="I354" s="90">
        <v>44713</v>
      </c>
      <c r="J354" s="91">
        <f>EFEITO!$J$354*EFEITO!$Y$295</f>
        <v>0</v>
      </c>
      <c r="K354" s="91">
        <f ca="1">EFEITO!$L$354*EFEITO!$Z$404</f>
        <v>10.169922438685138</v>
      </c>
      <c r="L354" s="91">
        <f>EFEITO!$N$354*EFEITO!$AA$404</f>
        <v>6.1656989602408343</v>
      </c>
      <c r="M354" s="91">
        <f>$J$354-EFEITO!$K$354*EFEITO!$Y$354</f>
        <v>0</v>
      </c>
      <c r="N354" s="91">
        <f ca="1">$K$354-EFEITO!$M$354*EFEITO!$Z$354</f>
        <v>11.237764294747077</v>
      </c>
      <c r="O354" s="91">
        <f>$L$354-EFEITO!$O$354*EFEITO!$AA$354</f>
        <v>6.8130973510661219</v>
      </c>
      <c r="P354" s="20"/>
      <c r="Q354" s="20"/>
      <c r="R354" s="20"/>
      <c r="S354" s="20"/>
      <c r="T354" s="20"/>
      <c r="U354" s="20"/>
      <c r="V354" s="20"/>
      <c r="W354" s="20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83" t="s">
        <v>21</v>
      </c>
      <c r="B355" s="83" t="s">
        <v>22</v>
      </c>
      <c r="C355" s="83" t="s">
        <v>23</v>
      </c>
      <c r="D355" s="83" t="s">
        <v>24</v>
      </c>
      <c r="E355" s="83" t="s">
        <v>30</v>
      </c>
      <c r="F355" s="83" t="s">
        <v>25</v>
      </c>
      <c r="G355" s="83" t="s">
        <v>25</v>
      </c>
      <c r="H355" s="83" t="s">
        <v>25</v>
      </c>
      <c r="I355" s="90">
        <v>44378</v>
      </c>
      <c r="J355" s="91">
        <f>EFEITO!$J$355*EFEITO!$Y$295</f>
        <v>0</v>
      </c>
      <c r="K355" s="91">
        <f ca="1">EFEITO!$L$355*EFEITO!$Z$404</f>
        <v>21353.786144507183</v>
      </c>
      <c r="L355" s="91">
        <f>EFEITO!$N$355*EFEITO!$AA$404</f>
        <v>12946.118106817679</v>
      </c>
      <c r="M355" s="91">
        <f>$J$355-EFEITO!$K$355*EFEITO!$Y$355</f>
        <v>0</v>
      </c>
      <c r="N355" s="91">
        <f ca="1">$K$355-EFEITO!$M$355*EFEITO!$Z$355</f>
        <v>8541.5144578028721</v>
      </c>
      <c r="O355" s="91">
        <f>$L$355-EFEITO!$O$355*EFEITO!$AA$355</f>
        <v>5178.4472427270721</v>
      </c>
      <c r="P355" s="20"/>
      <c r="Q355" s="20"/>
      <c r="R355" s="20"/>
      <c r="S355" s="20"/>
      <c r="T355" s="20"/>
      <c r="U355" s="20"/>
      <c r="V355" s="20"/>
      <c r="W355" s="20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83" t="s">
        <v>27</v>
      </c>
      <c r="B356" s="83" t="s">
        <v>22</v>
      </c>
      <c r="C356" s="83" t="s">
        <v>23</v>
      </c>
      <c r="D356" s="83" t="s">
        <v>24</v>
      </c>
      <c r="E356" s="83" t="s">
        <v>30</v>
      </c>
      <c r="F356" s="83" t="s">
        <v>25</v>
      </c>
      <c r="G356" s="83" t="s">
        <v>25</v>
      </c>
      <c r="H356" s="83" t="s">
        <v>25</v>
      </c>
      <c r="I356" s="90">
        <v>44378</v>
      </c>
      <c r="J356" s="91">
        <f>EFEITO!$J$356*EFEITO!$Y$295</f>
        <v>0</v>
      </c>
      <c r="K356" s="91">
        <f ca="1">EFEITO!$L$356*EFEITO!$Z$404</f>
        <v>-22.373829365107305</v>
      </c>
      <c r="L356" s="91">
        <f>EFEITO!$N$356*EFEITO!$AA$404</f>
        <v>-13.564537712529836</v>
      </c>
      <c r="M356" s="91">
        <f>$J$356-EFEITO!$K$356*EFEITO!$Y$356</f>
        <v>0</v>
      </c>
      <c r="N356" s="91">
        <f ca="1">$K$356-EFEITO!$M$356*EFEITO!$Z$356</f>
        <v>-8.949531746042922</v>
      </c>
      <c r="O356" s="91">
        <f>$L$356-EFEITO!$O$356*EFEITO!$AA$356</f>
        <v>-5.4258150850119353</v>
      </c>
      <c r="P356" s="20"/>
      <c r="Q356" s="20"/>
      <c r="R356" s="20"/>
      <c r="S356" s="20"/>
      <c r="T356" s="20"/>
      <c r="U356" s="20"/>
      <c r="V356" s="20"/>
      <c r="W356" s="20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83" t="s">
        <v>28</v>
      </c>
      <c r="B357" s="83" t="s">
        <v>22</v>
      </c>
      <c r="C357" s="83" t="s">
        <v>23</v>
      </c>
      <c r="D357" s="83" t="s">
        <v>24</v>
      </c>
      <c r="E357" s="83" t="s">
        <v>30</v>
      </c>
      <c r="F357" s="83" t="s">
        <v>25</v>
      </c>
      <c r="G357" s="83" t="s">
        <v>25</v>
      </c>
      <c r="H357" s="83" t="s">
        <v>25</v>
      </c>
      <c r="I357" s="90">
        <v>44378</v>
      </c>
      <c r="J357" s="91">
        <f>EFEITO!$J$357*EFEITO!$Y$295</f>
        <v>0</v>
      </c>
      <c r="K357" s="91">
        <f ca="1">EFEITO!$L$357*EFEITO!$Z$404</f>
        <v>47.459638047197316</v>
      </c>
      <c r="L357" s="91">
        <f>EFEITO!$N$357*EFEITO!$AA$404</f>
        <v>28.773261814457229</v>
      </c>
      <c r="M357" s="91">
        <f>$J$357-EFEITO!$K$357*EFEITO!$Y$357</f>
        <v>0</v>
      </c>
      <c r="N357" s="91">
        <f ca="1">$K$357-EFEITO!$M$357*EFEITO!$Z$357</f>
        <v>18.983855218878926</v>
      </c>
      <c r="O357" s="91">
        <f>$L$357-EFEITO!$O$357*EFEITO!$AA$357</f>
        <v>11.509304725782894</v>
      </c>
      <c r="P357" s="20"/>
      <c r="Q357" s="20"/>
      <c r="R357" s="20"/>
      <c r="S357" s="20"/>
      <c r="T357" s="20"/>
      <c r="U357" s="20"/>
      <c r="V357" s="20"/>
      <c r="W357" s="20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83" t="s">
        <v>21</v>
      </c>
      <c r="B358" s="83" t="s">
        <v>22</v>
      </c>
      <c r="C358" s="83" t="s">
        <v>23</v>
      </c>
      <c r="D358" s="83" t="s">
        <v>24</v>
      </c>
      <c r="E358" s="83" t="s">
        <v>30</v>
      </c>
      <c r="F358" s="83" t="s">
        <v>25</v>
      </c>
      <c r="G358" s="83" t="s">
        <v>25</v>
      </c>
      <c r="H358" s="83" t="s">
        <v>25</v>
      </c>
      <c r="I358" s="90">
        <v>44409</v>
      </c>
      <c r="J358" s="91">
        <f>EFEITO!$J$358*EFEITO!$Y$295</f>
        <v>0</v>
      </c>
      <c r="K358" s="91">
        <f ca="1">EFEITO!$L$358*EFEITO!$Z$404</f>
        <v>21877.53715009947</v>
      </c>
      <c r="L358" s="91">
        <f>EFEITO!$N$358*EFEITO!$AA$404</f>
        <v>13263.651603270082</v>
      </c>
      <c r="M358" s="91">
        <f>$J$358-EFEITO!$K$358*EFEITO!$Y$358</f>
        <v>0</v>
      </c>
      <c r="N358" s="91">
        <f ca="1">$K$358-EFEITO!$M$358*EFEITO!$Z$358</f>
        <v>8751.0148600397879</v>
      </c>
      <c r="O358" s="91">
        <f>$L$358-EFEITO!$O$358*EFEITO!$AA$358</f>
        <v>5305.4606413080328</v>
      </c>
      <c r="P358" s="20"/>
      <c r="Q358" s="20"/>
      <c r="R358" s="20"/>
      <c r="S358" s="20"/>
      <c r="T358" s="20"/>
      <c r="U358" s="20"/>
      <c r="V358" s="20"/>
      <c r="W358" s="20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83" t="s">
        <v>27</v>
      </c>
      <c r="B359" s="83" t="s">
        <v>22</v>
      </c>
      <c r="C359" s="83" t="s">
        <v>23</v>
      </c>
      <c r="D359" s="83" t="s">
        <v>24</v>
      </c>
      <c r="E359" s="83" t="s">
        <v>30</v>
      </c>
      <c r="F359" s="83" t="s">
        <v>25</v>
      </c>
      <c r="G359" s="83" t="s">
        <v>25</v>
      </c>
      <c r="H359" s="83" t="s">
        <v>25</v>
      </c>
      <c r="I359" s="90">
        <v>44409</v>
      </c>
      <c r="J359" s="91">
        <f>EFEITO!$J$359*EFEITO!$Y$295</f>
        <v>0</v>
      </c>
      <c r="K359" s="91">
        <f ca="1">EFEITO!$L$359*EFEITO!$Z$404</f>
        <v>47.459638047197316</v>
      </c>
      <c r="L359" s="91">
        <f>EFEITO!$N$359*EFEITO!$AA$404</f>
        <v>28.773261814457229</v>
      </c>
      <c r="M359" s="91">
        <f>$J$359-EFEITO!$K$359*EFEITO!$Y$359</f>
        <v>0</v>
      </c>
      <c r="N359" s="91">
        <f ca="1">$K$359-EFEITO!$M$359*EFEITO!$Z$359</f>
        <v>18.983855218878926</v>
      </c>
      <c r="O359" s="91">
        <f>$L$359-EFEITO!$O$359*EFEITO!$AA$359</f>
        <v>11.509304725782894</v>
      </c>
      <c r="P359" s="20"/>
      <c r="Q359" s="20"/>
      <c r="R359" s="20"/>
      <c r="S359" s="20"/>
      <c r="T359" s="20"/>
      <c r="U359" s="20"/>
      <c r="V359" s="20"/>
      <c r="W359" s="20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83" t="s">
        <v>28</v>
      </c>
      <c r="B360" s="83" t="s">
        <v>22</v>
      </c>
      <c r="C360" s="83" t="s">
        <v>23</v>
      </c>
      <c r="D360" s="83" t="s">
        <v>24</v>
      </c>
      <c r="E360" s="83" t="s">
        <v>30</v>
      </c>
      <c r="F360" s="83" t="s">
        <v>25</v>
      </c>
      <c r="G360" s="83" t="s">
        <v>25</v>
      </c>
      <c r="H360" s="83" t="s">
        <v>25</v>
      </c>
      <c r="I360" s="90">
        <v>44409</v>
      </c>
      <c r="J360" s="91">
        <f>EFEITO!$J$360*EFEITO!$Y$295</f>
        <v>0</v>
      </c>
      <c r="K360" s="91">
        <f ca="1">EFEITO!$L$360*EFEITO!$Z$404</f>
        <v>21.017839706615952</v>
      </c>
      <c r="L360" s="91">
        <f>EFEITO!$N$360*EFEITO!$AA$404</f>
        <v>12.742444517831057</v>
      </c>
      <c r="M360" s="91">
        <f>$J$360-EFEITO!$K$360*EFEITO!$Y$360</f>
        <v>0</v>
      </c>
      <c r="N360" s="91">
        <f ca="1">$K$360-EFEITO!$M$360*EFEITO!$Z$360</f>
        <v>8.4071358826463811</v>
      </c>
      <c r="O360" s="91">
        <f>$L$360-EFEITO!$O$360*EFEITO!$AA$360</f>
        <v>5.096977807132423</v>
      </c>
      <c r="P360" s="20"/>
      <c r="Q360" s="20"/>
      <c r="R360" s="20"/>
      <c r="S360" s="20"/>
      <c r="T360" s="20"/>
      <c r="U360" s="20"/>
      <c r="V360" s="20"/>
      <c r="W360" s="20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83" t="s">
        <v>21</v>
      </c>
      <c r="B361" s="83" t="s">
        <v>22</v>
      </c>
      <c r="C361" s="83" t="s">
        <v>23</v>
      </c>
      <c r="D361" s="83" t="s">
        <v>24</v>
      </c>
      <c r="E361" s="83" t="s">
        <v>30</v>
      </c>
      <c r="F361" s="83" t="s">
        <v>25</v>
      </c>
      <c r="G361" s="83" t="s">
        <v>25</v>
      </c>
      <c r="H361" s="83" t="s">
        <v>25</v>
      </c>
      <c r="I361" s="90">
        <v>44440</v>
      </c>
      <c r="J361" s="91">
        <f>EFEITO!$J$361*EFEITO!$Y$295</f>
        <v>0</v>
      </c>
      <c r="K361" s="91">
        <f ca="1">EFEITO!$L$361*EFEITO!$Z$404</f>
        <v>22363.320445253994</v>
      </c>
      <c r="L361" s="91">
        <f>EFEITO!$N$361*EFEITO!$AA$404</f>
        <v>13558.166490270918</v>
      </c>
      <c r="M361" s="91">
        <f>$J$361-EFEITO!$K$361*EFEITO!$Y$361</f>
        <v>0</v>
      </c>
      <c r="N361" s="91">
        <f ca="1">$K$361-EFEITO!$M$361*EFEITO!$Z$361</f>
        <v>8945.3281781015976</v>
      </c>
      <c r="O361" s="91">
        <f>$L$361-EFEITO!$O$361*EFEITO!$AA$361</f>
        <v>5423.2665961083676</v>
      </c>
      <c r="P361" s="20"/>
      <c r="Q361" s="20"/>
      <c r="R361" s="20"/>
      <c r="S361" s="20"/>
      <c r="T361" s="20"/>
      <c r="U361" s="20"/>
      <c r="V361" s="20"/>
      <c r="W361" s="20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83" t="s">
        <v>28</v>
      </c>
      <c r="B362" s="83" t="s">
        <v>22</v>
      </c>
      <c r="C362" s="83" t="s">
        <v>23</v>
      </c>
      <c r="D362" s="83" t="s">
        <v>24</v>
      </c>
      <c r="E362" s="83" t="s">
        <v>30</v>
      </c>
      <c r="F362" s="83" t="s">
        <v>25</v>
      </c>
      <c r="G362" s="83" t="s">
        <v>25</v>
      </c>
      <c r="H362" s="83" t="s">
        <v>25</v>
      </c>
      <c r="I362" s="90">
        <v>44440</v>
      </c>
      <c r="J362" s="91">
        <f>EFEITO!$J$362*EFEITO!$Y$295</f>
        <v>0</v>
      </c>
      <c r="K362" s="91">
        <f ca="1">EFEITO!$L$362*EFEITO!$Z$404</f>
        <v>23.729819023598658</v>
      </c>
      <c r="L362" s="91">
        <f>EFEITO!$N$362*EFEITO!$AA$404</f>
        <v>14.386630907228614</v>
      </c>
      <c r="M362" s="91">
        <f>$J$362-EFEITO!$K$362*EFEITO!$Y$362</f>
        <v>0</v>
      </c>
      <c r="N362" s="91">
        <f ca="1">$K$362-EFEITO!$M$362*EFEITO!$Z$362</f>
        <v>9.4919276094394629</v>
      </c>
      <c r="O362" s="91">
        <f>$L$362-EFEITO!$O$362*EFEITO!$AA$362</f>
        <v>5.7546523628914468</v>
      </c>
      <c r="P362" s="20"/>
      <c r="Q362" s="20"/>
      <c r="R362" s="20"/>
      <c r="S362" s="20"/>
      <c r="T362" s="20"/>
      <c r="U362" s="20"/>
      <c r="V362" s="20"/>
      <c r="W362" s="20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83" t="s">
        <v>21</v>
      </c>
      <c r="B363" s="83" t="s">
        <v>22</v>
      </c>
      <c r="C363" s="83" t="s">
        <v>23</v>
      </c>
      <c r="D363" s="83" t="s">
        <v>24</v>
      </c>
      <c r="E363" s="83" t="s">
        <v>30</v>
      </c>
      <c r="F363" s="83" t="s">
        <v>25</v>
      </c>
      <c r="G363" s="83" t="s">
        <v>25</v>
      </c>
      <c r="H363" s="83" t="s">
        <v>25</v>
      </c>
      <c r="I363" s="90">
        <v>44470</v>
      </c>
      <c r="J363" s="91">
        <f>EFEITO!$J$363*EFEITO!$Y$295</f>
        <v>0</v>
      </c>
      <c r="K363" s="91">
        <f ca="1">EFEITO!$L$363*EFEITO!$Z$404</f>
        <v>22876.901528407594</v>
      </c>
      <c r="L363" s="91">
        <f>EFEITO!$N$363*EFEITO!$AA$404</f>
        <v>13869.534287763081</v>
      </c>
      <c r="M363" s="91">
        <f>$J$363-EFEITO!$K$363*EFEITO!$Y$363</f>
        <v>0</v>
      </c>
      <c r="N363" s="91">
        <f ca="1">$K$363-EFEITO!$M$363*EFEITO!$Z$363</f>
        <v>9150.7606113630372</v>
      </c>
      <c r="O363" s="91">
        <f>$L$363-EFEITO!$O$363*EFEITO!$AA$363</f>
        <v>5547.8137151052324</v>
      </c>
      <c r="P363" s="20"/>
      <c r="Q363" s="20"/>
      <c r="R363" s="20"/>
      <c r="S363" s="20"/>
      <c r="T363" s="20"/>
      <c r="U363" s="20"/>
      <c r="V363" s="20"/>
      <c r="W363" s="20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83" t="s">
        <v>28</v>
      </c>
      <c r="B364" s="83" t="s">
        <v>22</v>
      </c>
      <c r="C364" s="83" t="s">
        <v>23</v>
      </c>
      <c r="D364" s="83" t="s">
        <v>24</v>
      </c>
      <c r="E364" s="83" t="s">
        <v>30</v>
      </c>
      <c r="F364" s="83" t="s">
        <v>25</v>
      </c>
      <c r="G364" s="83" t="s">
        <v>25</v>
      </c>
      <c r="H364" s="83" t="s">
        <v>25</v>
      </c>
      <c r="I364" s="90">
        <v>44470</v>
      </c>
      <c r="J364" s="91">
        <f>EFEITO!$J$364*EFEITO!$Y$295</f>
        <v>0</v>
      </c>
      <c r="K364" s="91">
        <f ca="1">EFEITO!$L$364*EFEITO!$Z$404</f>
        <v>23.729819023598658</v>
      </c>
      <c r="L364" s="91">
        <f>EFEITO!$N$364*EFEITO!$AA$404</f>
        <v>14.386630907228614</v>
      </c>
      <c r="M364" s="91">
        <f>$J$364-EFEITO!$K$364*EFEITO!$Y$364</f>
        <v>0</v>
      </c>
      <c r="N364" s="91">
        <f ca="1">$K$364-EFEITO!$M$364*EFEITO!$Z$364</f>
        <v>9.4919276094394629</v>
      </c>
      <c r="O364" s="91">
        <f>$L$364-EFEITO!$O$364*EFEITO!$AA$364</f>
        <v>5.7546523628914468</v>
      </c>
      <c r="P364" s="20"/>
      <c r="Q364" s="20"/>
      <c r="R364" s="20"/>
      <c r="S364" s="20"/>
      <c r="T364" s="20"/>
      <c r="U364" s="20"/>
      <c r="V364" s="20"/>
      <c r="W364" s="20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83" t="s">
        <v>21</v>
      </c>
      <c r="B365" s="83" t="s">
        <v>22</v>
      </c>
      <c r="C365" s="83" t="s">
        <v>23</v>
      </c>
      <c r="D365" s="83" t="s">
        <v>24</v>
      </c>
      <c r="E365" s="83" t="s">
        <v>30</v>
      </c>
      <c r="F365" s="83" t="s">
        <v>25</v>
      </c>
      <c r="G365" s="83" t="s">
        <v>25</v>
      </c>
      <c r="H365" s="83" t="s">
        <v>25</v>
      </c>
      <c r="I365" s="90">
        <v>44501</v>
      </c>
      <c r="J365" s="91">
        <f>EFEITO!$J$365*EFEITO!$Y$295</f>
        <v>0</v>
      </c>
      <c r="K365" s="91">
        <f ca="1">EFEITO!$L$365*EFEITO!$Z$404</f>
        <v>23311.15721653945</v>
      </c>
      <c r="L365" s="91">
        <f>EFEITO!$N$365*EFEITO!$AA$404</f>
        <v>14132.809633365365</v>
      </c>
      <c r="M365" s="91">
        <f>$J$365-EFEITO!$K$365*EFEITO!$Y$365</f>
        <v>0</v>
      </c>
      <c r="N365" s="91">
        <f ca="1">$K$365-EFEITO!$M$365*EFEITO!$Z$365</f>
        <v>9324.4628866157782</v>
      </c>
      <c r="O365" s="91">
        <f>$L$365-EFEITO!$O$365*EFEITO!$AA$365</f>
        <v>5653.1238533461456</v>
      </c>
      <c r="P365" s="20"/>
      <c r="Q365" s="20"/>
      <c r="R365" s="20"/>
      <c r="S365" s="20"/>
      <c r="T365" s="20"/>
      <c r="U365" s="20"/>
      <c r="V365" s="20"/>
      <c r="W365" s="20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83" t="s">
        <v>28</v>
      </c>
      <c r="B366" s="83" t="s">
        <v>22</v>
      </c>
      <c r="C366" s="83" t="s">
        <v>23</v>
      </c>
      <c r="D366" s="83" t="s">
        <v>24</v>
      </c>
      <c r="E366" s="83" t="s">
        <v>30</v>
      </c>
      <c r="F366" s="83" t="s">
        <v>25</v>
      </c>
      <c r="G366" s="83" t="s">
        <v>25</v>
      </c>
      <c r="H366" s="83" t="s">
        <v>25</v>
      </c>
      <c r="I366" s="90">
        <v>44501</v>
      </c>
      <c r="J366" s="91">
        <f>EFEITO!$J$366*EFEITO!$Y$295</f>
        <v>0</v>
      </c>
      <c r="K366" s="91">
        <f ca="1">EFEITO!$L$366*EFEITO!$Z$404</f>
        <v>47.459638047197316</v>
      </c>
      <c r="L366" s="91">
        <f>EFEITO!$N$366*EFEITO!$AA$404</f>
        <v>28.773261814457229</v>
      </c>
      <c r="M366" s="91">
        <f>$J$366-EFEITO!$K$366*EFEITO!$Y$366</f>
        <v>0</v>
      </c>
      <c r="N366" s="91">
        <f ca="1">$K$366-EFEITO!$M$366*EFEITO!$Z$366</f>
        <v>18.983855218878926</v>
      </c>
      <c r="O366" s="91">
        <f>$L$366-EFEITO!$O$366*EFEITO!$AA$366</f>
        <v>11.509304725782894</v>
      </c>
      <c r="P366" s="20"/>
      <c r="Q366" s="20"/>
      <c r="R366" s="20"/>
      <c r="S366" s="20"/>
      <c r="T366" s="20"/>
      <c r="U366" s="20"/>
      <c r="V366" s="20"/>
      <c r="W366" s="20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83" t="s">
        <v>21</v>
      </c>
      <c r="B367" s="83" t="s">
        <v>22</v>
      </c>
      <c r="C367" s="83" t="s">
        <v>23</v>
      </c>
      <c r="D367" s="83" t="s">
        <v>24</v>
      </c>
      <c r="E367" s="83" t="s">
        <v>30</v>
      </c>
      <c r="F367" s="83" t="s">
        <v>25</v>
      </c>
      <c r="G367" s="83" t="s">
        <v>25</v>
      </c>
      <c r="H367" s="83" t="s">
        <v>25</v>
      </c>
      <c r="I367" s="90">
        <v>44531</v>
      </c>
      <c r="J367" s="91">
        <f>EFEITO!$J$367*EFEITO!$Y$295</f>
        <v>0</v>
      </c>
      <c r="K367" s="91">
        <f ca="1">EFEITO!$L$367*EFEITO!$Z$404</f>
        <v>23937.96343617708</v>
      </c>
      <c r="L367" s="91">
        <f>EFEITO!$N$367*EFEITO!$AA$404</f>
        <v>14512.822212614876</v>
      </c>
      <c r="M367" s="91">
        <f>$J$367-EFEITO!$K$367*EFEITO!$Y$367</f>
        <v>0</v>
      </c>
      <c r="N367" s="91">
        <f ca="1">$K$367-EFEITO!$M$367*EFEITO!$Z$367</f>
        <v>9575.1853744708314</v>
      </c>
      <c r="O367" s="91">
        <f>$L$367-EFEITO!$O$367*EFEITO!$AA$367</f>
        <v>5805.1288850459514</v>
      </c>
      <c r="P367" s="20"/>
      <c r="Q367" s="20"/>
      <c r="R367" s="20"/>
      <c r="S367" s="20"/>
      <c r="T367" s="20"/>
      <c r="U367" s="20"/>
      <c r="V367" s="20"/>
      <c r="W367" s="20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83" t="s">
        <v>28</v>
      </c>
      <c r="B368" s="83" t="s">
        <v>22</v>
      </c>
      <c r="C368" s="83" t="s">
        <v>23</v>
      </c>
      <c r="D368" s="83" t="s">
        <v>24</v>
      </c>
      <c r="E368" s="83" t="s">
        <v>30</v>
      </c>
      <c r="F368" s="83" t="s">
        <v>25</v>
      </c>
      <c r="G368" s="83" t="s">
        <v>25</v>
      </c>
      <c r="H368" s="83" t="s">
        <v>25</v>
      </c>
      <c r="I368" s="90">
        <v>44531</v>
      </c>
      <c r="J368" s="91">
        <f>EFEITO!$J$368*EFEITO!$Y$295</f>
        <v>0</v>
      </c>
      <c r="K368" s="91">
        <f ca="1">EFEITO!$L$368*EFEITO!$Z$404</f>
        <v>10.508919853307976</v>
      </c>
      <c r="L368" s="91">
        <f>EFEITO!$N$368*EFEITO!$AA$404</f>
        <v>6.3712222589155285</v>
      </c>
      <c r="M368" s="91">
        <f>$J$368-EFEITO!$K$368*EFEITO!$Y$368</f>
        <v>0</v>
      </c>
      <c r="N368" s="91">
        <f ca="1">$K$368-EFEITO!$M$368*EFEITO!$Z$368</f>
        <v>6.7257087061171053</v>
      </c>
      <c r="O368" s="91">
        <f>$L$368-EFEITO!$O$368*EFEITO!$AA$368</f>
        <v>4.0775822457059387</v>
      </c>
      <c r="P368" s="20"/>
      <c r="Q368" s="20"/>
      <c r="R368" s="20"/>
      <c r="S368" s="20"/>
      <c r="T368" s="20"/>
      <c r="U368" s="20"/>
      <c r="V368" s="20"/>
      <c r="W368" s="20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83" t="s">
        <v>21</v>
      </c>
      <c r="B369" s="83" t="s">
        <v>22</v>
      </c>
      <c r="C369" s="83" t="s">
        <v>23</v>
      </c>
      <c r="D369" s="83" t="s">
        <v>24</v>
      </c>
      <c r="E369" s="83" t="s">
        <v>30</v>
      </c>
      <c r="F369" s="83" t="s">
        <v>25</v>
      </c>
      <c r="G369" s="83" t="s">
        <v>25</v>
      </c>
      <c r="H369" s="83" t="s">
        <v>25</v>
      </c>
      <c r="I369" s="90">
        <v>44562</v>
      </c>
      <c r="J369" s="91">
        <f>EFEITO!$J$369*EFEITO!$Y$295</f>
        <v>0</v>
      </c>
      <c r="K369" s="91">
        <f ca="1">EFEITO!$L$369*EFEITO!$Z$404</f>
        <v>24828.509644391273</v>
      </c>
      <c r="L369" s="91">
        <f>EFEITO!$N$369*EFEITO!$AA$404</f>
        <v>15052.731918233298</v>
      </c>
      <c r="M369" s="91">
        <f>$J$369-EFEITO!$K$369*EFEITO!$Y$369</f>
        <v>0</v>
      </c>
      <c r="N369" s="91">
        <f ca="1">$K$369-EFEITO!$M$369*EFEITO!$Z$369</f>
        <v>9931.4038577565098</v>
      </c>
      <c r="O369" s="91">
        <f>$L$369-EFEITO!$O$369*EFEITO!$AA$369</f>
        <v>6021.0927672933194</v>
      </c>
      <c r="P369" s="20"/>
      <c r="Q369" s="20"/>
      <c r="R369" s="20"/>
      <c r="S369" s="20"/>
      <c r="T369" s="20"/>
      <c r="U369" s="20"/>
      <c r="V369" s="20"/>
      <c r="W369" s="20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83" t="s">
        <v>28</v>
      </c>
      <c r="B370" s="83" t="s">
        <v>22</v>
      </c>
      <c r="C370" s="83" t="s">
        <v>23</v>
      </c>
      <c r="D370" s="83" t="s">
        <v>24</v>
      </c>
      <c r="E370" s="83" t="s">
        <v>30</v>
      </c>
      <c r="F370" s="83" t="s">
        <v>25</v>
      </c>
      <c r="G370" s="83" t="s">
        <v>25</v>
      </c>
      <c r="H370" s="83" t="s">
        <v>25</v>
      </c>
      <c r="I370" s="90">
        <v>44562</v>
      </c>
      <c r="J370" s="91">
        <f>EFEITO!$J$370*EFEITO!$Y$295</f>
        <v>0</v>
      </c>
      <c r="K370" s="91">
        <f ca="1">EFEITO!$L$370*EFEITO!$Z$404</f>
        <v>23.729819023598658</v>
      </c>
      <c r="L370" s="91">
        <f>EFEITO!$N$370*EFEITO!$AA$404</f>
        <v>14.386630907228614</v>
      </c>
      <c r="M370" s="91">
        <f>$J$370-EFEITO!$K$370*EFEITO!$Y$370</f>
        <v>0</v>
      </c>
      <c r="N370" s="91">
        <f ca="1">$K$370-EFEITO!$M$370*EFEITO!$Z$370</f>
        <v>15.187084175103141</v>
      </c>
      <c r="O370" s="91">
        <f>$L$370-EFEITO!$O$370*EFEITO!$AA$370</f>
        <v>9.2074437806263134</v>
      </c>
      <c r="P370" s="20"/>
      <c r="Q370" s="20"/>
      <c r="R370" s="20"/>
      <c r="S370" s="20"/>
      <c r="T370" s="20"/>
      <c r="U370" s="20"/>
      <c r="V370" s="20"/>
      <c r="W370" s="20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83" t="s">
        <v>21</v>
      </c>
      <c r="B371" s="83" t="s">
        <v>22</v>
      </c>
      <c r="C371" s="83" t="s">
        <v>23</v>
      </c>
      <c r="D371" s="83" t="s">
        <v>24</v>
      </c>
      <c r="E371" s="83" t="s">
        <v>30</v>
      </c>
      <c r="F371" s="83" t="s">
        <v>25</v>
      </c>
      <c r="G371" s="83" t="s">
        <v>25</v>
      </c>
      <c r="H371" s="83" t="s">
        <v>25</v>
      </c>
      <c r="I371" s="90">
        <v>44593</v>
      </c>
      <c r="J371" s="91">
        <f>EFEITO!$J$371*EFEITO!$Y$295</f>
        <v>0</v>
      </c>
      <c r="K371" s="91">
        <f ca="1">EFEITO!$L$371*EFEITO!$Z$404</f>
        <v>25402.093269933117</v>
      </c>
      <c r="L371" s="91">
        <f>EFEITO!$N$371*EFEITO!$AA$404</f>
        <v>15400.477339590883</v>
      </c>
      <c r="M371" s="91">
        <f>$J$371-EFEITO!$K$371*EFEITO!$Y$371</f>
        <v>0</v>
      </c>
      <c r="N371" s="91">
        <f ca="1">$K$371-EFEITO!$M$371*EFEITO!$Z$371</f>
        <v>10160.837307973246</v>
      </c>
      <c r="O371" s="91">
        <f>$L$371-EFEITO!$O$371*EFEITO!$AA$371</f>
        <v>6160.1909358363537</v>
      </c>
      <c r="P371" s="20"/>
      <c r="Q371" s="20"/>
      <c r="R371" s="20"/>
      <c r="S371" s="20"/>
      <c r="T371" s="20"/>
      <c r="U371" s="20"/>
      <c r="V371" s="20"/>
      <c r="W371" s="20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83" t="s">
        <v>28</v>
      </c>
      <c r="B372" s="83" t="s">
        <v>22</v>
      </c>
      <c r="C372" s="83" t="s">
        <v>23</v>
      </c>
      <c r="D372" s="83" t="s">
        <v>24</v>
      </c>
      <c r="E372" s="83" t="s">
        <v>30</v>
      </c>
      <c r="F372" s="83" t="s">
        <v>25</v>
      </c>
      <c r="G372" s="83" t="s">
        <v>25</v>
      </c>
      <c r="H372" s="83" t="s">
        <v>25</v>
      </c>
      <c r="I372" s="90">
        <v>44593</v>
      </c>
      <c r="J372" s="91">
        <f>EFEITO!$J$372*EFEITO!$Y$295</f>
        <v>0</v>
      </c>
      <c r="K372" s="91">
        <f ca="1">EFEITO!$L$372*EFEITO!$Z$404</f>
        <v>23.729819023598658</v>
      </c>
      <c r="L372" s="91">
        <f>EFEITO!$N$372*EFEITO!$AA$404</f>
        <v>14.386630907228614</v>
      </c>
      <c r="M372" s="91">
        <f>$J$372-EFEITO!$K$372*EFEITO!$Y$372</f>
        <v>0</v>
      </c>
      <c r="N372" s="91">
        <f ca="1">$K$372-EFEITO!$M$372*EFEITO!$Z$372</f>
        <v>15.187084175103141</v>
      </c>
      <c r="O372" s="91">
        <f>$L$372-EFEITO!$O$372*EFEITO!$AA$372</f>
        <v>9.2074437806263134</v>
      </c>
      <c r="P372" s="20"/>
      <c r="Q372" s="20"/>
      <c r="R372" s="20"/>
      <c r="S372" s="20"/>
      <c r="T372" s="20"/>
      <c r="U372" s="20"/>
      <c r="V372" s="20"/>
      <c r="W372" s="20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83" t="s">
        <v>21</v>
      </c>
      <c r="B373" s="83" t="s">
        <v>22</v>
      </c>
      <c r="C373" s="83" t="s">
        <v>23</v>
      </c>
      <c r="D373" s="83" t="s">
        <v>24</v>
      </c>
      <c r="E373" s="83" t="s">
        <v>30</v>
      </c>
      <c r="F373" s="83" t="s">
        <v>25</v>
      </c>
      <c r="G373" s="83" t="s">
        <v>25</v>
      </c>
      <c r="H373" s="83" t="s">
        <v>25</v>
      </c>
      <c r="I373" s="90">
        <v>44621</v>
      </c>
      <c r="J373" s="91">
        <f>EFEITO!$J$373*EFEITO!$Y$295</f>
        <v>0</v>
      </c>
      <c r="K373" s="91">
        <f ca="1">EFEITO!$L$373*EFEITO!$Z$404</f>
        <v>25428.196070859074</v>
      </c>
      <c r="L373" s="91">
        <f>EFEITO!$N$373*EFEITO!$AA$404</f>
        <v>15416.302633588833</v>
      </c>
      <c r="M373" s="91">
        <f>$J$373-EFEITO!$K$373*EFEITO!$Y$373</f>
        <v>0</v>
      </c>
      <c r="N373" s="91">
        <f ca="1">$K$373-EFEITO!$M$373*EFEITO!$Z$373</f>
        <v>10171.278428343629</v>
      </c>
      <c r="O373" s="91">
        <f>$L$373-EFEITO!$O$373*EFEITO!$AA$373</f>
        <v>6166.5210534355338</v>
      </c>
      <c r="P373" s="20"/>
      <c r="Q373" s="20"/>
      <c r="R373" s="20"/>
      <c r="S373" s="20"/>
      <c r="T373" s="20"/>
      <c r="U373" s="20"/>
      <c r="V373" s="20"/>
      <c r="W373" s="20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83" t="s">
        <v>28</v>
      </c>
      <c r="B374" s="83" t="s">
        <v>22</v>
      </c>
      <c r="C374" s="83" t="s">
        <v>23</v>
      </c>
      <c r="D374" s="83" t="s">
        <v>24</v>
      </c>
      <c r="E374" s="83" t="s">
        <v>30</v>
      </c>
      <c r="F374" s="83" t="s">
        <v>25</v>
      </c>
      <c r="G374" s="83" t="s">
        <v>25</v>
      </c>
      <c r="H374" s="83" t="s">
        <v>25</v>
      </c>
      <c r="I374" s="90">
        <v>44621</v>
      </c>
      <c r="J374" s="91">
        <f>EFEITO!$J$374*EFEITO!$Y$295</f>
        <v>0</v>
      </c>
      <c r="K374" s="91">
        <f ca="1">EFEITO!$L$374*EFEITO!$Z$404</f>
        <v>23.729819023598658</v>
      </c>
      <c r="L374" s="91">
        <f>EFEITO!$N$374*EFEITO!$AA$404</f>
        <v>14.386630907228614</v>
      </c>
      <c r="M374" s="91">
        <f>$J$374-EFEITO!$K$374*EFEITO!$Y$374</f>
        <v>0</v>
      </c>
      <c r="N374" s="91">
        <f ca="1">$K$374-EFEITO!$M$374*EFEITO!$Z$374</f>
        <v>15.187084175103141</v>
      </c>
      <c r="O374" s="91">
        <f>$L$374-EFEITO!$O$374*EFEITO!$AA$374</f>
        <v>9.2074437806263134</v>
      </c>
      <c r="P374" s="20"/>
      <c r="Q374" s="20"/>
      <c r="R374" s="20"/>
      <c r="S374" s="20"/>
      <c r="T374" s="20"/>
      <c r="U374" s="20"/>
      <c r="V374" s="20"/>
      <c r="W374" s="20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83" t="s">
        <v>21</v>
      </c>
      <c r="B375" s="83" t="s">
        <v>22</v>
      </c>
      <c r="C375" s="83" t="s">
        <v>23</v>
      </c>
      <c r="D375" s="83" t="s">
        <v>24</v>
      </c>
      <c r="E375" s="83" t="s">
        <v>30</v>
      </c>
      <c r="F375" s="83" t="s">
        <v>25</v>
      </c>
      <c r="G375" s="83" t="s">
        <v>25</v>
      </c>
      <c r="H375" s="83" t="s">
        <v>25</v>
      </c>
      <c r="I375" s="90">
        <v>44652</v>
      </c>
      <c r="J375" s="91">
        <f>EFEITO!$J$375*EFEITO!$Y$295</f>
        <v>0</v>
      </c>
      <c r="K375" s="91">
        <f ca="1">EFEITO!$L$375*EFEITO!$Z$404</f>
        <v>24761.388156295954</v>
      </c>
      <c r="L375" s="91">
        <f>EFEITO!$N$375*EFEITO!$AA$404</f>
        <v>15012.03830509571</v>
      </c>
      <c r="M375" s="91">
        <f>$J$375-EFEITO!$K$375*EFEITO!$Y$375</f>
        <v>0</v>
      </c>
      <c r="N375" s="91">
        <f ca="1">$K$375-EFEITO!$M$375*EFEITO!$Z$375</f>
        <v>9904.5552625183809</v>
      </c>
      <c r="O375" s="91">
        <f>$L$375-EFEITO!$O$375*EFEITO!$AA$375</f>
        <v>6004.8153220382846</v>
      </c>
      <c r="P375" s="20"/>
      <c r="Q375" s="20"/>
      <c r="R375" s="20"/>
      <c r="S375" s="20"/>
      <c r="T375" s="20"/>
      <c r="U375" s="20"/>
      <c r="V375" s="20"/>
      <c r="W375" s="20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83" t="s">
        <v>28</v>
      </c>
      <c r="B376" s="83" t="s">
        <v>22</v>
      </c>
      <c r="C376" s="83" t="s">
        <v>23</v>
      </c>
      <c r="D376" s="83" t="s">
        <v>24</v>
      </c>
      <c r="E376" s="83" t="s">
        <v>30</v>
      </c>
      <c r="F376" s="83" t="s">
        <v>25</v>
      </c>
      <c r="G376" s="83" t="s">
        <v>25</v>
      </c>
      <c r="H376" s="83" t="s">
        <v>25</v>
      </c>
      <c r="I376" s="90">
        <v>44652</v>
      </c>
      <c r="J376" s="91">
        <f>EFEITO!$J$376*EFEITO!$Y$295</f>
        <v>0</v>
      </c>
      <c r="K376" s="91">
        <f ca="1">EFEITO!$L$376*EFEITO!$Z$404</f>
        <v>20.000847462747437</v>
      </c>
      <c r="L376" s="91">
        <f>EFEITO!$N$376*EFEITO!$AA$404</f>
        <v>12.125874621806974</v>
      </c>
      <c r="M376" s="91">
        <f>$J$376-EFEITO!$K$376*EFEITO!$Y$376</f>
        <v>0</v>
      </c>
      <c r="N376" s="91">
        <f ca="1">$K$376-EFEITO!$M$376*EFEITO!$Z$376</f>
        <v>12.800542376158358</v>
      </c>
      <c r="O376" s="91">
        <f>$L$376-EFEITO!$O$376*EFEITO!$AA$376</f>
        <v>7.7605597579564627</v>
      </c>
      <c r="P376" s="20"/>
      <c r="Q376" s="20"/>
      <c r="R376" s="20"/>
      <c r="S376" s="20"/>
      <c r="T376" s="20"/>
      <c r="U376" s="20"/>
      <c r="V376" s="20"/>
      <c r="W376" s="20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83" t="s">
        <v>21</v>
      </c>
      <c r="B377" s="83" t="s">
        <v>22</v>
      </c>
      <c r="C377" s="83" t="s">
        <v>23</v>
      </c>
      <c r="D377" s="83" t="s">
        <v>24</v>
      </c>
      <c r="E377" s="83" t="s">
        <v>30</v>
      </c>
      <c r="F377" s="83" t="s">
        <v>25</v>
      </c>
      <c r="G377" s="83" t="s">
        <v>25</v>
      </c>
      <c r="H377" s="83" t="s">
        <v>25</v>
      </c>
      <c r="I377" s="90">
        <v>44682</v>
      </c>
      <c r="J377" s="91">
        <f>EFEITO!$J$377*EFEITO!$Y$295</f>
        <v>0</v>
      </c>
      <c r="K377" s="91">
        <f ca="1">EFEITO!$L$377*EFEITO!$Z$404</f>
        <v>30795.881133997089</v>
      </c>
      <c r="L377" s="91">
        <f>EFEITO!$N$377*EFEITO!$AA$404</f>
        <v>18670.558544803942</v>
      </c>
      <c r="M377" s="91">
        <f>$J$377-EFEITO!$K$377*EFEITO!$Y$377</f>
        <v>0</v>
      </c>
      <c r="N377" s="91">
        <f ca="1">$K$377-EFEITO!$M$377*EFEITO!$Z$377</f>
        <v>12318.352453598836</v>
      </c>
      <c r="O377" s="91">
        <f>$L$377-EFEITO!$O$377*EFEITO!$AA$377</f>
        <v>7468.2234179215757</v>
      </c>
      <c r="P377" s="20"/>
      <c r="Q377" s="20"/>
      <c r="R377" s="20"/>
      <c r="S377" s="20"/>
      <c r="T377" s="20"/>
      <c r="U377" s="20"/>
      <c r="V377" s="20"/>
      <c r="W377" s="20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83" t="s">
        <v>28</v>
      </c>
      <c r="B378" s="83" t="s">
        <v>22</v>
      </c>
      <c r="C378" s="83" t="s">
        <v>23</v>
      </c>
      <c r="D378" s="83" t="s">
        <v>24</v>
      </c>
      <c r="E378" s="83" t="s">
        <v>30</v>
      </c>
      <c r="F378" s="83" t="s">
        <v>25</v>
      </c>
      <c r="G378" s="83" t="s">
        <v>25</v>
      </c>
      <c r="H378" s="83" t="s">
        <v>25</v>
      </c>
      <c r="I378" s="90">
        <v>44682</v>
      </c>
      <c r="J378" s="91">
        <f>EFEITO!$J$378*EFEITO!$Y$295</f>
        <v>0</v>
      </c>
      <c r="K378" s="91">
        <f ca="1">EFEITO!$L$378*EFEITO!$Z$404</f>
        <v>23.729819023598658</v>
      </c>
      <c r="L378" s="91">
        <f>EFEITO!$N$378*EFEITO!$AA$404</f>
        <v>14.386630907228614</v>
      </c>
      <c r="M378" s="91">
        <f>$J$378-EFEITO!$K$378*EFEITO!$Y$378</f>
        <v>0</v>
      </c>
      <c r="N378" s="91">
        <f ca="1">$K$378-EFEITO!$M$378*EFEITO!$Z$378</f>
        <v>15.187084175103141</v>
      </c>
      <c r="O378" s="91">
        <f>$L$378-EFEITO!$O$378*EFEITO!$AA$378</f>
        <v>9.2074437806263134</v>
      </c>
      <c r="P378" s="20"/>
      <c r="Q378" s="20"/>
      <c r="R378" s="20"/>
      <c r="S378" s="20"/>
      <c r="T378" s="20"/>
      <c r="U378" s="20"/>
      <c r="V378" s="20"/>
      <c r="W378" s="20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83" t="s">
        <v>21</v>
      </c>
      <c r="B379" s="83" t="s">
        <v>22</v>
      </c>
      <c r="C379" s="83" t="s">
        <v>23</v>
      </c>
      <c r="D379" s="83" t="s">
        <v>24</v>
      </c>
      <c r="E379" s="83" t="s">
        <v>30</v>
      </c>
      <c r="F379" s="83" t="s">
        <v>25</v>
      </c>
      <c r="G379" s="83" t="s">
        <v>25</v>
      </c>
      <c r="H379" s="83" t="s">
        <v>25</v>
      </c>
      <c r="I379" s="90">
        <v>44713</v>
      </c>
      <c r="J379" s="91">
        <f>EFEITO!$J$379*EFEITO!$Y$295</f>
        <v>0</v>
      </c>
      <c r="K379" s="91">
        <f ca="1">EFEITO!$L$379*EFEITO!$Z$404</f>
        <v>29976.185385439068</v>
      </c>
      <c r="L379" s="91">
        <f>EFEITO!$N$379*EFEITO!$AA$404</f>
        <v>18173.603208608532</v>
      </c>
      <c r="M379" s="91">
        <f>$J$379-EFEITO!$K$379*EFEITO!$Y$379</f>
        <v>0</v>
      </c>
      <c r="N379" s="91">
        <f ca="1">$K$379-EFEITO!$M$379*EFEITO!$Z$379</f>
        <v>11990.474154175627</v>
      </c>
      <c r="O379" s="91">
        <f>$L$379-EFEITO!$O$379*EFEITO!$AA$379</f>
        <v>7269.4412834434133</v>
      </c>
      <c r="P379" s="20"/>
      <c r="Q379" s="20"/>
      <c r="R379" s="20"/>
      <c r="S379" s="20"/>
      <c r="T379" s="20"/>
      <c r="U379" s="20"/>
      <c r="V379" s="20"/>
      <c r="W379" s="20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83" t="s">
        <v>28</v>
      </c>
      <c r="B380" s="83" t="s">
        <v>22</v>
      </c>
      <c r="C380" s="83" t="s">
        <v>23</v>
      </c>
      <c r="D380" s="83" t="s">
        <v>24</v>
      </c>
      <c r="E380" s="83" t="s">
        <v>30</v>
      </c>
      <c r="F380" s="83" t="s">
        <v>25</v>
      </c>
      <c r="G380" s="83" t="s">
        <v>25</v>
      </c>
      <c r="H380" s="83" t="s">
        <v>25</v>
      </c>
      <c r="I380" s="90">
        <v>44713</v>
      </c>
      <c r="J380" s="91">
        <f>EFEITO!$J$380*EFEITO!$Y$295</f>
        <v>0</v>
      </c>
      <c r="K380" s="91">
        <f ca="1">EFEITO!$L$380*EFEITO!$Z$404</f>
        <v>23.729819023598658</v>
      </c>
      <c r="L380" s="91">
        <f>EFEITO!$N$380*EFEITO!$AA$404</f>
        <v>14.386630907228614</v>
      </c>
      <c r="M380" s="91">
        <f>$J$380-EFEITO!$K$380*EFEITO!$Y$380</f>
        <v>0</v>
      </c>
      <c r="N380" s="91">
        <f ca="1">$K$380-EFEITO!$M$380*EFEITO!$Z$380</f>
        <v>20.882240740766818</v>
      </c>
      <c r="O380" s="91">
        <f>$L$380-EFEITO!$O$380*EFEITO!$AA$380</f>
        <v>12.66023519836118</v>
      </c>
      <c r="P380" s="20"/>
      <c r="Q380" s="20"/>
      <c r="R380" s="20"/>
      <c r="S380" s="20"/>
      <c r="T380" s="20"/>
      <c r="U380" s="20"/>
      <c r="V380" s="20"/>
      <c r="W380" s="20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83" t="s">
        <v>21</v>
      </c>
      <c r="B381" s="83" t="s">
        <v>22</v>
      </c>
      <c r="C381" s="83" t="s">
        <v>23</v>
      </c>
      <c r="D381" s="83" t="s">
        <v>24</v>
      </c>
      <c r="E381" s="83" t="s">
        <v>31</v>
      </c>
      <c r="F381" s="83" t="s">
        <v>25</v>
      </c>
      <c r="G381" s="83" t="s">
        <v>25</v>
      </c>
      <c r="H381" s="83" t="s">
        <v>25</v>
      </c>
      <c r="I381" s="90">
        <v>44378</v>
      </c>
      <c r="J381" s="91">
        <f>EFEITO!$J$381*EFEITO!$Y$295</f>
        <v>0</v>
      </c>
      <c r="K381" s="91">
        <f ca="1">EFEITO!$L$381*EFEITO!$Z$404</f>
        <v>17953.642075840118</v>
      </c>
      <c r="L381" s="91">
        <f>EFEITO!$N$381*EFEITO!$AA$404</f>
        <v>10884.719421110494</v>
      </c>
      <c r="M381" s="91">
        <f>$J$381-EFEITO!$K$381*EFEITO!$Y$381</f>
        <v>0</v>
      </c>
      <c r="N381" s="91">
        <f ca="1">$K$381-EFEITO!$M$381*EFEITO!$Z$381</f>
        <v>1795.3642075840089</v>
      </c>
      <c r="O381" s="91">
        <f>$L$381-EFEITO!$O$381*EFEITO!$AA$381</f>
        <v>1088.4719421110494</v>
      </c>
      <c r="P381" s="20"/>
      <c r="Q381" s="20"/>
      <c r="R381" s="20"/>
      <c r="S381" s="20"/>
      <c r="T381" s="20"/>
      <c r="U381" s="20"/>
      <c r="V381" s="20"/>
      <c r="W381" s="20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83" t="s">
        <v>27</v>
      </c>
      <c r="B382" s="83" t="s">
        <v>22</v>
      </c>
      <c r="C382" s="83" t="s">
        <v>23</v>
      </c>
      <c r="D382" s="83" t="s">
        <v>24</v>
      </c>
      <c r="E382" s="83" t="s">
        <v>31</v>
      </c>
      <c r="F382" s="83" t="s">
        <v>25</v>
      </c>
      <c r="G382" s="83" t="s">
        <v>25</v>
      </c>
      <c r="H382" s="83" t="s">
        <v>25</v>
      </c>
      <c r="I382" s="90">
        <v>44378</v>
      </c>
      <c r="J382" s="91">
        <f>EFEITO!$J$382*EFEITO!$Y$295</f>
        <v>0</v>
      </c>
      <c r="K382" s="91">
        <f ca="1">EFEITO!$L$382*EFEITO!$Z$404</f>
        <v>-40.679689754740551</v>
      </c>
      <c r="L382" s="91">
        <f>EFEITO!$N$382*EFEITO!$AA$404</f>
        <v>-24.662795840963337</v>
      </c>
      <c r="M382" s="91">
        <f>$J$382-EFEITO!$K$382*EFEITO!$Y$382</f>
        <v>0</v>
      </c>
      <c r="N382" s="91">
        <f ca="1">$K$382-EFEITO!$M$382*EFEITO!$Z$382</f>
        <v>-4.0679689754740522</v>
      </c>
      <c r="O382" s="91">
        <f>$L$382-EFEITO!$O$382*EFEITO!$AA$382</f>
        <v>-2.4662795840963341</v>
      </c>
      <c r="P382" s="20"/>
      <c r="Q382" s="20"/>
      <c r="R382" s="20"/>
      <c r="S382" s="20"/>
      <c r="T382" s="20"/>
      <c r="U382" s="20"/>
      <c r="V382" s="20"/>
      <c r="W382" s="20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83" t="s">
        <v>28</v>
      </c>
      <c r="B383" s="83" t="s">
        <v>22</v>
      </c>
      <c r="C383" s="83" t="s">
        <v>23</v>
      </c>
      <c r="D383" s="83" t="s">
        <v>24</v>
      </c>
      <c r="E383" s="83" t="s">
        <v>31</v>
      </c>
      <c r="F383" s="83" t="s">
        <v>25</v>
      </c>
      <c r="G383" s="83" t="s">
        <v>25</v>
      </c>
      <c r="H383" s="83" t="s">
        <v>25</v>
      </c>
      <c r="I383" s="90">
        <v>44378</v>
      </c>
      <c r="J383" s="91">
        <f>EFEITO!$J$383*EFEITO!$Y$295</f>
        <v>0</v>
      </c>
      <c r="K383" s="91">
        <f ca="1">EFEITO!$L$383*EFEITO!$Z$404</f>
        <v>14.915886243404868</v>
      </c>
      <c r="L383" s="91">
        <f>EFEITO!$N$383*EFEITO!$AA$404</f>
        <v>9.0430251416865559</v>
      </c>
      <c r="M383" s="91">
        <f>$J$383-EFEITO!$K$383*EFEITO!$Y$383</f>
        <v>0</v>
      </c>
      <c r="N383" s="91">
        <f ca="1">$K$383-EFEITO!$M$383*EFEITO!$Z$383</f>
        <v>1.4915886243404852</v>
      </c>
      <c r="O383" s="91">
        <f>$L$383-EFEITO!$O$383*EFEITO!$AA$383</f>
        <v>0.90430251416865559</v>
      </c>
      <c r="P383" s="20"/>
      <c r="Q383" s="20"/>
      <c r="R383" s="20"/>
      <c r="S383" s="20"/>
      <c r="T383" s="20"/>
      <c r="U383" s="20"/>
      <c r="V383" s="20"/>
      <c r="W383" s="20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83" t="s">
        <v>21</v>
      </c>
      <c r="B384" s="83" t="s">
        <v>22</v>
      </c>
      <c r="C384" s="83" t="s">
        <v>23</v>
      </c>
      <c r="D384" s="83" t="s">
        <v>24</v>
      </c>
      <c r="E384" s="83" t="s">
        <v>31</v>
      </c>
      <c r="F384" s="83" t="s">
        <v>25</v>
      </c>
      <c r="G384" s="83" t="s">
        <v>25</v>
      </c>
      <c r="H384" s="83" t="s">
        <v>25</v>
      </c>
      <c r="I384" s="90">
        <v>44409</v>
      </c>
      <c r="J384" s="91">
        <f>EFEITO!$J$384*EFEITO!$Y$295</f>
        <v>0</v>
      </c>
      <c r="K384" s="91">
        <f ca="1">EFEITO!$L$384*EFEITO!$Z$404</f>
        <v>20786.643469843177</v>
      </c>
      <c r="L384" s="91">
        <f>EFEITO!$N$384*EFEITO!$AA$404</f>
        <v>12602.277628134916</v>
      </c>
      <c r="M384" s="91">
        <f>$J$384-EFEITO!$K$384*EFEITO!$Y$384</f>
        <v>0</v>
      </c>
      <c r="N384" s="91">
        <f ca="1">$K$384-EFEITO!$M$384*EFEITO!$Z$384</f>
        <v>2078.6643469843184</v>
      </c>
      <c r="O384" s="91">
        <f>$L$384-EFEITO!$O$384*EFEITO!$AA$384</f>
        <v>1260.2277628134925</v>
      </c>
      <c r="P384" s="20"/>
      <c r="Q384" s="20"/>
      <c r="R384" s="20"/>
      <c r="S384" s="20"/>
      <c r="T384" s="20"/>
      <c r="U384" s="20"/>
      <c r="V384" s="20"/>
      <c r="W384" s="20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83" t="s">
        <v>27</v>
      </c>
      <c r="B385" s="83" t="s">
        <v>22</v>
      </c>
      <c r="C385" s="83" t="s">
        <v>23</v>
      </c>
      <c r="D385" s="83" t="s">
        <v>24</v>
      </c>
      <c r="E385" s="83" t="s">
        <v>31</v>
      </c>
      <c r="F385" s="83" t="s">
        <v>25</v>
      </c>
      <c r="G385" s="83" t="s">
        <v>25</v>
      </c>
      <c r="H385" s="83" t="s">
        <v>25</v>
      </c>
      <c r="I385" s="90">
        <v>44409</v>
      </c>
      <c r="J385" s="91">
        <f>EFEITO!$J$385*EFEITO!$Y$295</f>
        <v>0</v>
      </c>
      <c r="K385" s="91">
        <f ca="1">EFEITO!$L$385*EFEITO!$Z$404</f>
        <v>80.681384680235425</v>
      </c>
      <c r="L385" s="91">
        <f>EFEITO!$N$385*EFEITO!$AA$404</f>
        <v>48.914545084577284</v>
      </c>
      <c r="M385" s="91">
        <f>$J$385-EFEITO!$K$385*EFEITO!$Y$385</f>
        <v>0</v>
      </c>
      <c r="N385" s="91">
        <f ca="1">$K$385-EFEITO!$M$385*EFEITO!$Z$385</f>
        <v>8.068138468023534</v>
      </c>
      <c r="O385" s="91">
        <f>$L$385-EFEITO!$O$385*EFEITO!$AA$385</f>
        <v>4.891454508457727</v>
      </c>
      <c r="P385" s="20"/>
      <c r="Q385" s="20"/>
      <c r="R385" s="20"/>
      <c r="S385" s="20"/>
      <c r="T385" s="20"/>
      <c r="U385" s="20"/>
      <c r="V385" s="20"/>
      <c r="W385" s="20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83" t="s">
        <v>21</v>
      </c>
      <c r="B386" s="83" t="s">
        <v>22</v>
      </c>
      <c r="C386" s="83" t="s">
        <v>23</v>
      </c>
      <c r="D386" s="83" t="s">
        <v>24</v>
      </c>
      <c r="E386" s="83" t="s">
        <v>31</v>
      </c>
      <c r="F386" s="83" t="s">
        <v>25</v>
      </c>
      <c r="G386" s="83" t="s">
        <v>25</v>
      </c>
      <c r="H386" s="83" t="s">
        <v>25</v>
      </c>
      <c r="I386" s="90">
        <v>44440</v>
      </c>
      <c r="J386" s="91">
        <f>EFEITO!$J$386*EFEITO!$Y$295</f>
        <v>0</v>
      </c>
      <c r="K386" s="91">
        <f ca="1">EFEITO!$L$386*EFEITO!$Z$404</f>
        <v>19887.622326263408</v>
      </c>
      <c r="L386" s="91">
        <f>EFEITO!$N$386*EFEITO!$AA$404</f>
        <v>12057.229840049626</v>
      </c>
      <c r="M386" s="91">
        <f>$J$386-EFEITO!$K$386*EFEITO!$Y$386</f>
        <v>0</v>
      </c>
      <c r="N386" s="91">
        <f ca="1">$K$386-EFEITO!$M$386*EFEITO!$Z$386</f>
        <v>1988.7622326263372</v>
      </c>
      <c r="O386" s="91">
        <f>$L$386-EFEITO!$O$386*EFEITO!$AA$386</f>
        <v>1205.7229840049622</v>
      </c>
      <c r="P386" s="20"/>
      <c r="Q386" s="20"/>
      <c r="R386" s="20"/>
      <c r="S386" s="20"/>
      <c r="T386" s="20"/>
      <c r="U386" s="20"/>
      <c r="V386" s="20"/>
      <c r="W386" s="20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83" t="s">
        <v>28</v>
      </c>
      <c r="B387" s="83" t="s">
        <v>22</v>
      </c>
      <c r="C387" s="83" t="s">
        <v>23</v>
      </c>
      <c r="D387" s="83" t="s">
        <v>24</v>
      </c>
      <c r="E387" s="83" t="s">
        <v>31</v>
      </c>
      <c r="F387" s="83" t="s">
        <v>25</v>
      </c>
      <c r="G387" s="83" t="s">
        <v>25</v>
      </c>
      <c r="H387" s="83" t="s">
        <v>25</v>
      </c>
      <c r="I387" s="90">
        <v>44440</v>
      </c>
      <c r="J387" s="91">
        <f>EFEITO!$J$387*EFEITO!$Y$295</f>
        <v>0</v>
      </c>
      <c r="K387" s="91">
        <f ca="1">EFEITO!$L$387*EFEITO!$Z$404</f>
        <v>1.0169922438685137</v>
      </c>
      <c r="L387" s="91">
        <f>EFEITO!$N$387*EFEITO!$AA$404</f>
        <v>0.61656989602408341</v>
      </c>
      <c r="M387" s="91">
        <f>$J$387-EFEITO!$K$387*EFEITO!$Y$387</f>
        <v>0</v>
      </c>
      <c r="N387" s="91">
        <f ca="1">$K$387-EFEITO!$M$387*EFEITO!$Z$387</f>
        <v>0.10169922438685119</v>
      </c>
      <c r="O387" s="91">
        <f>$L$387-EFEITO!$O$387*EFEITO!$AA$387</f>
        <v>6.1656989602408285E-2</v>
      </c>
      <c r="P387" s="20"/>
      <c r="Q387" s="20"/>
      <c r="R387" s="20"/>
      <c r="S387" s="20"/>
      <c r="T387" s="20"/>
      <c r="U387" s="20"/>
      <c r="V387" s="20"/>
      <c r="W387" s="20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83" t="s">
        <v>21</v>
      </c>
      <c r="B388" s="83" t="s">
        <v>22</v>
      </c>
      <c r="C388" s="83" t="s">
        <v>23</v>
      </c>
      <c r="D388" s="83" t="s">
        <v>24</v>
      </c>
      <c r="E388" s="83" t="s">
        <v>31</v>
      </c>
      <c r="F388" s="83" t="s">
        <v>25</v>
      </c>
      <c r="G388" s="83" t="s">
        <v>25</v>
      </c>
      <c r="H388" s="83" t="s">
        <v>25</v>
      </c>
      <c r="I388" s="90">
        <v>44470</v>
      </c>
      <c r="J388" s="91">
        <f>EFEITO!$J$388*EFEITO!$Y$295</f>
        <v>0</v>
      </c>
      <c r="K388" s="91">
        <f ca="1">EFEITO!$L$388*EFEITO!$Z$404</f>
        <v>21326.327353922734</v>
      </c>
      <c r="L388" s="91">
        <f>EFEITO!$N$388*EFEITO!$AA$404</f>
        <v>12929.470719625029</v>
      </c>
      <c r="M388" s="91">
        <f>$J$388-EFEITO!$K$388*EFEITO!$Y$388</f>
        <v>0</v>
      </c>
      <c r="N388" s="91">
        <f ca="1">$K$388-EFEITO!$M$388*EFEITO!$Z$388</f>
        <v>2132.6327353922716</v>
      </c>
      <c r="O388" s="91">
        <f>$L$388-EFEITO!$O$388*EFEITO!$AA$388</f>
        <v>1292.9470719625024</v>
      </c>
      <c r="P388" s="20"/>
      <c r="Q388" s="20"/>
      <c r="R388" s="20"/>
      <c r="S388" s="20"/>
      <c r="T388" s="20"/>
      <c r="U388" s="20"/>
      <c r="V388" s="20"/>
      <c r="W388" s="20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83" t="s">
        <v>21</v>
      </c>
      <c r="B389" s="83" t="s">
        <v>22</v>
      </c>
      <c r="C389" s="83" t="s">
        <v>23</v>
      </c>
      <c r="D389" s="83" t="s">
        <v>24</v>
      </c>
      <c r="E389" s="83" t="s">
        <v>31</v>
      </c>
      <c r="F389" s="83" t="s">
        <v>25</v>
      </c>
      <c r="G389" s="83" t="s">
        <v>25</v>
      </c>
      <c r="H389" s="83" t="s">
        <v>25</v>
      </c>
      <c r="I389" s="90">
        <v>44501</v>
      </c>
      <c r="J389" s="91">
        <f>EFEITO!$J$389*EFEITO!$Y$295</f>
        <v>0</v>
      </c>
      <c r="K389" s="91">
        <f ca="1">EFEITO!$L$389*EFEITO!$Z$404</f>
        <v>23944.065389640291</v>
      </c>
      <c r="L389" s="91">
        <f>EFEITO!$N$389*EFEITO!$AA$404</f>
        <v>14516.521631991021</v>
      </c>
      <c r="M389" s="91">
        <f>$J$389-EFEITO!$K$389*EFEITO!$Y$389</f>
        <v>0</v>
      </c>
      <c r="N389" s="91">
        <f ca="1">$K$389-EFEITO!$M$389*EFEITO!$Z$389</f>
        <v>2394.4065389640273</v>
      </c>
      <c r="O389" s="91">
        <f>$L$389-EFEITO!$O$389*EFEITO!$AA$389</f>
        <v>1451.6521631991018</v>
      </c>
      <c r="P389" s="20"/>
      <c r="Q389" s="20"/>
      <c r="R389" s="20"/>
      <c r="S389" s="20"/>
      <c r="T389" s="20"/>
      <c r="U389" s="20"/>
      <c r="V389" s="20"/>
      <c r="W389" s="20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83" t="s">
        <v>21</v>
      </c>
      <c r="B390" s="83" t="s">
        <v>22</v>
      </c>
      <c r="C390" s="83" t="s">
        <v>23</v>
      </c>
      <c r="D390" s="83" t="s">
        <v>24</v>
      </c>
      <c r="E390" s="83" t="s">
        <v>31</v>
      </c>
      <c r="F390" s="83" t="s">
        <v>25</v>
      </c>
      <c r="G390" s="83" t="s">
        <v>25</v>
      </c>
      <c r="H390" s="83" t="s">
        <v>25</v>
      </c>
      <c r="I390" s="90">
        <v>44531</v>
      </c>
      <c r="J390" s="91">
        <f>EFEITO!$J$390*EFEITO!$Y$295</f>
        <v>0</v>
      </c>
      <c r="K390" s="91">
        <f ca="1">EFEITO!$L$390*EFEITO!$Z$404</f>
        <v>25749.565619921523</v>
      </c>
      <c r="L390" s="91">
        <f>EFEITO!$N$390*EFEITO!$AA$404</f>
        <v>15611.138720732442</v>
      </c>
      <c r="M390" s="91">
        <f>$J$390-EFEITO!$K$390*EFEITO!$Y$390</f>
        <v>0</v>
      </c>
      <c r="N390" s="91">
        <f ca="1">$K$390-EFEITO!$M$390*EFEITO!$Z$390</f>
        <v>2574.9565619921486</v>
      </c>
      <c r="O390" s="91">
        <f>$L$390-EFEITO!$O$390*EFEITO!$AA$390</f>
        <v>1561.1138720732433</v>
      </c>
      <c r="P390" s="20"/>
      <c r="Q390" s="20"/>
      <c r="R390" s="20"/>
      <c r="S390" s="20"/>
      <c r="T390" s="20"/>
      <c r="U390" s="20"/>
      <c r="V390" s="20"/>
      <c r="W390" s="20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83" t="s">
        <v>21</v>
      </c>
      <c r="B391" s="83" t="s">
        <v>22</v>
      </c>
      <c r="C391" s="83" t="s">
        <v>23</v>
      </c>
      <c r="D391" s="83" t="s">
        <v>24</v>
      </c>
      <c r="E391" s="83" t="s">
        <v>31</v>
      </c>
      <c r="F391" s="83" t="s">
        <v>25</v>
      </c>
      <c r="G391" s="83" t="s">
        <v>25</v>
      </c>
      <c r="H391" s="83" t="s">
        <v>25</v>
      </c>
      <c r="I391" s="90">
        <v>44562</v>
      </c>
      <c r="J391" s="91">
        <f>EFEITO!$J$391*EFEITO!$Y$295</f>
        <v>0</v>
      </c>
      <c r="K391" s="91">
        <f ca="1">EFEITO!$L$391*EFEITO!$Z$404</f>
        <v>29329.717315753318</v>
      </c>
      <c r="L391" s="91">
        <f>EFEITO!$N$391*EFEITO!$AA$404</f>
        <v>17781.670278035894</v>
      </c>
      <c r="M391" s="91">
        <f>$J$391-EFEITO!$K$391*EFEITO!$Y$391</f>
        <v>0</v>
      </c>
      <c r="N391" s="91">
        <f ca="1">$K$391-EFEITO!$M$391*EFEITO!$Z$391</f>
        <v>2932.9717315753296</v>
      </c>
      <c r="O391" s="91">
        <f>$L$391-EFEITO!$O$391*EFEITO!$AA$391</f>
        <v>1778.1670278035908</v>
      </c>
      <c r="P391" s="20"/>
      <c r="Q391" s="20"/>
      <c r="R391" s="20"/>
      <c r="S391" s="20"/>
      <c r="T391" s="20"/>
      <c r="U391" s="20"/>
      <c r="V391" s="20"/>
      <c r="W391" s="20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83" t="s">
        <v>28</v>
      </c>
      <c r="B392" s="83" t="s">
        <v>22</v>
      </c>
      <c r="C392" s="83" t="s">
        <v>23</v>
      </c>
      <c r="D392" s="83" t="s">
        <v>24</v>
      </c>
      <c r="E392" s="83" t="s">
        <v>31</v>
      </c>
      <c r="F392" s="83" t="s">
        <v>25</v>
      </c>
      <c r="G392" s="83" t="s">
        <v>25</v>
      </c>
      <c r="H392" s="83" t="s">
        <v>25</v>
      </c>
      <c r="I392" s="90">
        <v>44562</v>
      </c>
      <c r="J392" s="91">
        <f>EFEITO!$J$392*EFEITO!$Y$295</f>
        <v>0</v>
      </c>
      <c r="K392" s="91">
        <f ca="1">EFEITO!$L$392*EFEITO!$Z$404</f>
        <v>8.4749353655709481</v>
      </c>
      <c r="L392" s="91">
        <f>EFEITO!$N$392*EFEITO!$AA$404</f>
        <v>5.1380824668673624</v>
      </c>
      <c r="M392" s="91">
        <f>$J$392-EFEITO!$K$392*EFEITO!$Y$392</f>
        <v>0</v>
      </c>
      <c r="N392" s="91">
        <f ca="1">$K$392-EFEITO!$M$392*EFEITO!$Z$392</f>
        <v>1.6102377194584792</v>
      </c>
      <c r="O392" s="91">
        <f>$L$392-EFEITO!$O$392*EFEITO!$AA$392</f>
        <v>0.97623566870479905</v>
      </c>
      <c r="P392" s="20"/>
      <c r="Q392" s="20"/>
      <c r="R392" s="20"/>
      <c r="S392" s="20"/>
      <c r="T392" s="20"/>
      <c r="U392" s="20"/>
      <c r="V392" s="20"/>
      <c r="W392" s="20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83" t="s">
        <v>21</v>
      </c>
      <c r="B393" s="83" t="s">
        <v>22</v>
      </c>
      <c r="C393" s="83" t="s">
        <v>23</v>
      </c>
      <c r="D393" s="83" t="s">
        <v>24</v>
      </c>
      <c r="E393" s="83" t="s">
        <v>31</v>
      </c>
      <c r="F393" s="83" t="s">
        <v>25</v>
      </c>
      <c r="G393" s="83" t="s">
        <v>25</v>
      </c>
      <c r="H393" s="83" t="s">
        <v>25</v>
      </c>
      <c r="I393" s="90">
        <v>44593</v>
      </c>
      <c r="J393" s="91">
        <f>EFEITO!$J$393*EFEITO!$Y$295</f>
        <v>0</v>
      </c>
      <c r="K393" s="91">
        <f ca="1">EFEITO!$L$393*EFEITO!$Z$404</f>
        <v>32696.300640372719</v>
      </c>
      <c r="L393" s="91">
        <f>EFEITO!$N$393*EFEITO!$AA$404</f>
        <v>19822.722157174281</v>
      </c>
      <c r="M393" s="91">
        <f>$J$393-EFEITO!$K$393*EFEITO!$Y$393</f>
        <v>0</v>
      </c>
      <c r="N393" s="91">
        <f ca="1">$K$393-EFEITO!$M$393*EFEITO!$Z$393</f>
        <v>3269.6300640372683</v>
      </c>
      <c r="O393" s="91">
        <f>$L$393-EFEITO!$O$393*EFEITO!$AA$393</f>
        <v>1982.2722157174248</v>
      </c>
      <c r="P393" s="20"/>
      <c r="Q393" s="20"/>
      <c r="R393" s="20"/>
      <c r="S393" s="20"/>
      <c r="T393" s="20"/>
      <c r="U393" s="20"/>
      <c r="V393" s="20"/>
      <c r="W393" s="20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83" t="s">
        <v>27</v>
      </c>
      <c r="B394" s="83" t="s">
        <v>22</v>
      </c>
      <c r="C394" s="83" t="s">
        <v>23</v>
      </c>
      <c r="D394" s="83" t="s">
        <v>24</v>
      </c>
      <c r="E394" s="83" t="s">
        <v>31</v>
      </c>
      <c r="F394" s="83" t="s">
        <v>25</v>
      </c>
      <c r="G394" s="83" t="s">
        <v>25</v>
      </c>
      <c r="H394" s="83" t="s">
        <v>25</v>
      </c>
      <c r="I394" s="90">
        <v>44593</v>
      </c>
      <c r="J394" s="91">
        <f>EFEITO!$J$394*EFEITO!$Y$295</f>
        <v>0</v>
      </c>
      <c r="K394" s="91">
        <f ca="1">EFEITO!$L$394*EFEITO!$Z$404</f>
        <v>-31.865756974546766</v>
      </c>
      <c r="L394" s="91">
        <f>EFEITO!$N$394*EFEITO!$AA$404</f>
        <v>-19.319190075421279</v>
      </c>
      <c r="M394" s="91">
        <f>$J$394-EFEITO!$K$394*EFEITO!$Y$394</f>
        <v>0</v>
      </c>
      <c r="N394" s="91">
        <f ca="1">$K$394-EFEITO!$M$394*EFEITO!$Z$394</f>
        <v>-3.1865756974546748</v>
      </c>
      <c r="O394" s="91">
        <f>$L$394-EFEITO!$O$394*EFEITO!$AA$394</f>
        <v>-1.931919007542124</v>
      </c>
      <c r="P394" s="20"/>
      <c r="Q394" s="20"/>
      <c r="R394" s="20"/>
      <c r="S394" s="20"/>
      <c r="T394" s="20"/>
      <c r="U394" s="20"/>
      <c r="V394" s="20"/>
      <c r="W394" s="20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83" t="s">
        <v>28</v>
      </c>
      <c r="B395" s="83" t="s">
        <v>22</v>
      </c>
      <c r="C395" s="83" t="s">
        <v>23</v>
      </c>
      <c r="D395" s="83" t="s">
        <v>24</v>
      </c>
      <c r="E395" s="83" t="s">
        <v>31</v>
      </c>
      <c r="F395" s="83" t="s">
        <v>25</v>
      </c>
      <c r="G395" s="83" t="s">
        <v>25</v>
      </c>
      <c r="H395" s="83" t="s">
        <v>25</v>
      </c>
      <c r="I395" s="90">
        <v>44593</v>
      </c>
      <c r="J395" s="91">
        <f>EFEITO!$J$395*EFEITO!$Y$295</f>
        <v>0</v>
      </c>
      <c r="K395" s="91">
        <f ca="1">EFEITO!$L$395*EFEITO!$Z$404</f>
        <v>40.679689754740551</v>
      </c>
      <c r="L395" s="91">
        <f>EFEITO!$N$395*EFEITO!$AA$404</f>
        <v>24.662795840963337</v>
      </c>
      <c r="M395" s="91">
        <f>$J$395-EFEITO!$K$395*EFEITO!$Y$395</f>
        <v>0</v>
      </c>
      <c r="N395" s="91">
        <f ca="1">$K$395-EFEITO!$M$395*EFEITO!$Z$395</f>
        <v>7.7291410534007028</v>
      </c>
      <c r="O395" s="91">
        <f>$L$395-EFEITO!$O$395*EFEITO!$AA$395</f>
        <v>4.6859312097830355</v>
      </c>
      <c r="P395" s="20"/>
      <c r="Q395" s="20"/>
      <c r="R395" s="20"/>
      <c r="S395" s="20"/>
      <c r="T395" s="20"/>
      <c r="U395" s="20"/>
      <c r="V395" s="20"/>
      <c r="W395" s="20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83" t="s">
        <v>21</v>
      </c>
      <c r="B396" s="83" t="s">
        <v>22</v>
      </c>
      <c r="C396" s="83" t="s">
        <v>23</v>
      </c>
      <c r="D396" s="83" t="s">
        <v>24</v>
      </c>
      <c r="E396" s="83" t="s">
        <v>31</v>
      </c>
      <c r="F396" s="83" t="s">
        <v>25</v>
      </c>
      <c r="G396" s="83" t="s">
        <v>25</v>
      </c>
      <c r="H396" s="83" t="s">
        <v>25</v>
      </c>
      <c r="I396" s="90">
        <v>44621</v>
      </c>
      <c r="J396" s="91">
        <f>EFEITO!$J$396*EFEITO!$Y$295</f>
        <v>0</v>
      </c>
      <c r="K396" s="91">
        <f ca="1">EFEITO!$L$396*EFEITO!$Z$404</f>
        <v>29712.106399447879</v>
      </c>
      <c r="L396" s="91">
        <f>EFEITO!$N$396*EFEITO!$AA$404</f>
        <v>18013.500558940948</v>
      </c>
      <c r="M396" s="91">
        <f>$J$396-EFEITO!$K$396*EFEITO!$Y$396</f>
        <v>0</v>
      </c>
      <c r="N396" s="91">
        <f ca="1">$K$396-EFEITO!$M$396*EFEITO!$Z$396</f>
        <v>2971.2106399447875</v>
      </c>
      <c r="O396" s="91">
        <f>$L$396-EFEITO!$O$396*EFEITO!$AA$396</f>
        <v>1801.3500558940941</v>
      </c>
      <c r="P396" s="20"/>
      <c r="Q396" s="20"/>
      <c r="R396" s="20"/>
      <c r="S396" s="20"/>
      <c r="T396" s="20"/>
      <c r="U396" s="20"/>
      <c r="V396" s="20"/>
      <c r="W396" s="20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83" t="s">
        <v>27</v>
      </c>
      <c r="B397" s="83" t="s">
        <v>22</v>
      </c>
      <c r="C397" s="83" t="s">
        <v>23</v>
      </c>
      <c r="D397" s="83" t="s">
        <v>24</v>
      </c>
      <c r="E397" s="83" t="s">
        <v>31</v>
      </c>
      <c r="F397" s="83" t="s">
        <v>25</v>
      </c>
      <c r="G397" s="83" t="s">
        <v>25</v>
      </c>
      <c r="H397" s="83" t="s">
        <v>25</v>
      </c>
      <c r="I397" s="90">
        <v>44621</v>
      </c>
      <c r="J397" s="91">
        <f>EFEITO!$J$397*EFEITO!$Y$295</f>
        <v>0</v>
      </c>
      <c r="K397" s="91">
        <f ca="1">EFEITO!$L$397*EFEITO!$Z$404</f>
        <v>-28.475782828318387</v>
      </c>
      <c r="L397" s="91">
        <f>EFEITO!$N$397*EFEITO!$AA$404</f>
        <v>-17.263957088674339</v>
      </c>
      <c r="M397" s="91">
        <f>$J$397-EFEITO!$K$397*EFEITO!$Y$397</f>
        <v>0</v>
      </c>
      <c r="N397" s="91">
        <f ca="1">$K$397-EFEITO!$M$397*EFEITO!$Z$397</f>
        <v>-2.8475782828318366</v>
      </c>
      <c r="O397" s="91">
        <f>$L$397-EFEITO!$O$397*EFEITO!$AA$397</f>
        <v>-1.7263957088674342</v>
      </c>
      <c r="P397" s="20"/>
      <c r="Q397" s="20"/>
      <c r="R397" s="20"/>
      <c r="S397" s="20"/>
      <c r="T397" s="20"/>
      <c r="U397" s="20"/>
      <c r="V397" s="20"/>
      <c r="W397" s="20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83" t="s">
        <v>28</v>
      </c>
      <c r="B398" s="83" t="s">
        <v>22</v>
      </c>
      <c r="C398" s="83" t="s">
        <v>23</v>
      </c>
      <c r="D398" s="83" t="s">
        <v>24</v>
      </c>
      <c r="E398" s="83" t="s">
        <v>31</v>
      </c>
      <c r="F398" s="83" t="s">
        <v>25</v>
      </c>
      <c r="G398" s="83" t="s">
        <v>25</v>
      </c>
      <c r="H398" s="83" t="s">
        <v>25</v>
      </c>
      <c r="I398" s="90">
        <v>44621</v>
      </c>
      <c r="J398" s="91">
        <f>EFEITO!$J$398*EFEITO!$Y$295</f>
        <v>0</v>
      </c>
      <c r="K398" s="91">
        <f ca="1">EFEITO!$L$398*EFEITO!$Z$404</f>
        <v>22.034831950484467</v>
      </c>
      <c r="L398" s="91">
        <f>EFEITO!$N$398*EFEITO!$AA$404</f>
        <v>13.359014413855141</v>
      </c>
      <c r="M398" s="91">
        <f>$J$398-EFEITO!$K$398*EFEITO!$Y$398</f>
        <v>0</v>
      </c>
      <c r="N398" s="91">
        <f ca="1">$K$398-EFEITO!$M$398*EFEITO!$Z$398</f>
        <v>4.186618070592047</v>
      </c>
      <c r="O398" s="91">
        <f>$L$398-EFEITO!$O$398*EFEITO!$AA$398</f>
        <v>2.5382127386324758</v>
      </c>
      <c r="P398" s="20"/>
      <c r="Q398" s="20"/>
      <c r="R398" s="20"/>
      <c r="S398" s="20"/>
      <c r="T398" s="20"/>
      <c r="U398" s="20"/>
      <c r="V398" s="20"/>
      <c r="W398" s="20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83" t="s">
        <v>21</v>
      </c>
      <c r="B399" s="83" t="s">
        <v>22</v>
      </c>
      <c r="C399" s="83" t="s">
        <v>23</v>
      </c>
      <c r="D399" s="83" t="s">
        <v>24</v>
      </c>
      <c r="E399" s="83" t="s">
        <v>31</v>
      </c>
      <c r="F399" s="83" t="s">
        <v>25</v>
      </c>
      <c r="G399" s="83" t="s">
        <v>25</v>
      </c>
      <c r="H399" s="83" t="s">
        <v>25</v>
      </c>
      <c r="I399" s="90">
        <v>44652</v>
      </c>
      <c r="J399" s="91">
        <f>EFEITO!$J$399*EFEITO!$Y$295</f>
        <v>0</v>
      </c>
      <c r="K399" s="91">
        <f ca="1">EFEITO!$L$399*EFEITO!$Z$404</f>
        <v>22202.635670722771</v>
      </c>
      <c r="L399" s="91">
        <f>EFEITO!$N$399*EFEITO!$AA$404</f>
        <v>13460.748446699115</v>
      </c>
      <c r="M399" s="91">
        <f>$J$399-EFEITO!$K$399*EFEITO!$Y$399</f>
        <v>0</v>
      </c>
      <c r="N399" s="91">
        <f ca="1">$K$399-EFEITO!$M$399*EFEITO!$Z$399</f>
        <v>2220.2635670722739</v>
      </c>
      <c r="O399" s="91">
        <f>$L$399-EFEITO!$O$399*EFEITO!$AA$399</f>
        <v>1346.0748446699108</v>
      </c>
      <c r="P399" s="20"/>
      <c r="Q399" s="20"/>
      <c r="R399" s="20"/>
      <c r="S399" s="20"/>
      <c r="T399" s="20"/>
      <c r="U399" s="20"/>
      <c r="V399" s="20"/>
      <c r="W399" s="20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83" t="s">
        <v>21</v>
      </c>
      <c r="B400" s="83" t="s">
        <v>22</v>
      </c>
      <c r="C400" s="83" t="s">
        <v>23</v>
      </c>
      <c r="D400" s="83" t="s">
        <v>24</v>
      </c>
      <c r="E400" s="83" t="s">
        <v>31</v>
      </c>
      <c r="F400" s="83" t="s">
        <v>25</v>
      </c>
      <c r="G400" s="83" t="s">
        <v>25</v>
      </c>
      <c r="H400" s="83" t="s">
        <v>25</v>
      </c>
      <c r="I400" s="90">
        <v>44682</v>
      </c>
      <c r="J400" s="91">
        <f>EFEITO!$J$400*EFEITO!$Y$295</f>
        <v>0</v>
      </c>
      <c r="K400" s="91">
        <f ca="1">EFEITO!$L$400*EFEITO!$Z$404</f>
        <v>26332.641173072803</v>
      </c>
      <c r="L400" s="91">
        <f>EFEITO!$N$400*EFEITO!$AA$404</f>
        <v>15964.638794452916</v>
      </c>
      <c r="M400" s="91">
        <f>$J$400-EFEITO!$K$400*EFEITO!$Y$400</f>
        <v>0</v>
      </c>
      <c r="N400" s="91">
        <f ca="1">$K$400-EFEITO!$M$400*EFEITO!$Z$400</f>
        <v>2633.264117307277</v>
      </c>
      <c r="O400" s="91">
        <f>$L$400-EFEITO!$O$400*EFEITO!$AA$400</f>
        <v>1596.4638794452894</v>
      </c>
      <c r="P400" s="20"/>
      <c r="Q400" s="20"/>
      <c r="R400" s="20"/>
      <c r="S400" s="20"/>
      <c r="T400" s="20"/>
      <c r="U400" s="20"/>
      <c r="V400" s="20"/>
      <c r="W400" s="20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83" t="s">
        <v>28</v>
      </c>
      <c r="B401" s="83" t="s">
        <v>22</v>
      </c>
      <c r="C401" s="83" t="s">
        <v>23</v>
      </c>
      <c r="D401" s="83" t="s">
        <v>24</v>
      </c>
      <c r="E401" s="83" t="s">
        <v>31</v>
      </c>
      <c r="F401" s="83" t="s">
        <v>25</v>
      </c>
      <c r="G401" s="83" t="s">
        <v>25</v>
      </c>
      <c r="H401" s="83" t="s">
        <v>25</v>
      </c>
      <c r="I401" s="90">
        <v>44682</v>
      </c>
      <c r="J401" s="91">
        <f>EFEITO!$J$401*EFEITO!$Y$295</f>
        <v>0</v>
      </c>
      <c r="K401" s="91">
        <f ca="1">EFEITO!$L$401*EFEITO!$Z$404</f>
        <v>15.932878487273383</v>
      </c>
      <c r="L401" s="91">
        <f>EFEITO!$N$401*EFEITO!$AA$404</f>
        <v>9.6595950377106394</v>
      </c>
      <c r="M401" s="91">
        <f>$J$401-EFEITO!$K$401*EFEITO!$Y$401</f>
        <v>0</v>
      </c>
      <c r="N401" s="91">
        <f ca="1">$K$401-EFEITO!$M$401*EFEITO!$Z$401</f>
        <v>3.0272469125819423</v>
      </c>
      <c r="O401" s="91">
        <f>$L$401-EFEITO!$O$401*EFEITO!$AA$401</f>
        <v>1.835323057165021</v>
      </c>
      <c r="P401" s="20"/>
      <c r="Q401" s="20"/>
      <c r="R401" s="20"/>
      <c r="S401" s="20"/>
      <c r="T401" s="20"/>
      <c r="U401" s="20"/>
      <c r="V401" s="20"/>
      <c r="W401" s="20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83" t="s">
        <v>21</v>
      </c>
      <c r="B402" s="83" t="s">
        <v>22</v>
      </c>
      <c r="C402" s="83" t="s">
        <v>23</v>
      </c>
      <c r="D402" s="83" t="s">
        <v>24</v>
      </c>
      <c r="E402" s="83" t="s">
        <v>31</v>
      </c>
      <c r="F402" s="83" t="s">
        <v>25</v>
      </c>
      <c r="G402" s="83" t="s">
        <v>25</v>
      </c>
      <c r="H402" s="83" t="s">
        <v>25</v>
      </c>
      <c r="I402" s="90">
        <v>44713</v>
      </c>
      <c r="J402" s="91">
        <f>EFEITO!$J$402*EFEITO!$Y$295</f>
        <v>0</v>
      </c>
      <c r="K402" s="91">
        <f ca="1">EFEITO!$L$402*EFEITO!$Z$404</f>
        <v>26928.937625394377</v>
      </c>
      <c r="L402" s="91">
        <f>EFEITO!$N$402*EFEITO!$AA$404</f>
        <v>16326.154276821704</v>
      </c>
      <c r="M402" s="91">
        <f>$J$402-EFEITO!$K$402*EFEITO!$Y$402</f>
        <v>0</v>
      </c>
      <c r="N402" s="91">
        <f ca="1">$K$402-EFEITO!$M$402*EFEITO!$Z$402</f>
        <v>2692.8937625394356</v>
      </c>
      <c r="O402" s="91">
        <f>$L$402-EFEITO!$O$402*EFEITO!$AA$402</f>
        <v>1632.615427682169</v>
      </c>
      <c r="P402" s="20"/>
      <c r="Q402" s="20"/>
      <c r="R402" s="20"/>
      <c r="S402" s="20"/>
      <c r="T402" s="20"/>
      <c r="U402" s="20"/>
      <c r="V402" s="20"/>
      <c r="W402" s="20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83" t="s">
        <v>28</v>
      </c>
      <c r="B403" s="83" t="s">
        <v>22</v>
      </c>
      <c r="C403" s="83" t="s">
        <v>23</v>
      </c>
      <c r="D403" s="83" t="s">
        <v>24</v>
      </c>
      <c r="E403" s="83" t="s">
        <v>31</v>
      </c>
      <c r="F403" s="83" t="s">
        <v>25</v>
      </c>
      <c r="G403" s="83" t="s">
        <v>25</v>
      </c>
      <c r="H403" s="83" t="s">
        <v>25</v>
      </c>
      <c r="I403" s="90">
        <v>44713</v>
      </c>
      <c r="J403" s="91">
        <f>EFEITO!$J$403*EFEITO!$Y$295</f>
        <v>0</v>
      </c>
      <c r="K403" s="91">
        <f ca="1">EFEITO!$L$403*EFEITO!$Z$404</f>
        <v>29.15377765756406</v>
      </c>
      <c r="L403" s="91">
        <f>EFEITO!$N$403*EFEITO!$AA$404</f>
        <v>17.675003686023722</v>
      </c>
      <c r="M403" s="91">
        <f>$J$403-EFEITO!$K$403*EFEITO!$Y$403</f>
        <v>0</v>
      </c>
      <c r="N403" s="91">
        <f ca="1">$K$403-EFEITO!$M$403*EFEITO!$Z$403</f>
        <v>8.1630577441179319</v>
      </c>
      <c r="O403" s="91">
        <f>$L$403-EFEITO!$O$403*EFEITO!$AA$403</f>
        <v>4.94900103208664</v>
      </c>
      <c r="P403" s="20"/>
      <c r="Q403" s="20"/>
      <c r="R403" s="20"/>
      <c r="S403" s="20"/>
      <c r="T403" s="20"/>
      <c r="U403" s="20"/>
      <c r="V403" s="20"/>
      <c r="W403" s="20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83" t="s">
        <v>21</v>
      </c>
      <c r="B404" s="83" t="s">
        <v>22</v>
      </c>
      <c r="C404" s="83" t="s">
        <v>23</v>
      </c>
      <c r="D404" s="83" t="s">
        <v>24</v>
      </c>
      <c r="E404" s="83" t="s">
        <v>32</v>
      </c>
      <c r="F404" s="83" t="s">
        <v>25</v>
      </c>
      <c r="G404" s="83" t="s">
        <v>25</v>
      </c>
      <c r="H404" s="83" t="s">
        <v>25</v>
      </c>
      <c r="I404" s="90">
        <v>44378</v>
      </c>
      <c r="J404" s="91">
        <f>EFEITO!$J$404*EFEITO!$Y$295</f>
        <v>0</v>
      </c>
      <c r="K404" s="91">
        <f ca="1">EFEITO!$L$404*EFEITO!$Z$404</f>
        <v>4168.6512076170384</v>
      </c>
      <c r="L404" s="91">
        <f>EFEITO!$N$404*EFEITO!$AA$404</f>
        <v>2527.320003802718</v>
      </c>
      <c r="M404" s="91">
        <f>$J$404-EFEITO!$K$404*EFEITO!$Y$404</f>
        <v>0</v>
      </c>
      <c r="N404" s="91">
        <f ca="1">$K$404-EFEITO!$M$404*EFEITO!$Z$404</f>
        <v>0</v>
      </c>
      <c r="O404" s="91">
        <f>$L$404-EFEITO!$O$404*EFEITO!$AA$404</f>
        <v>0</v>
      </c>
      <c r="P404" s="20"/>
      <c r="Q404" s="20"/>
      <c r="R404" s="20"/>
      <c r="S404" s="20"/>
      <c r="T404" s="20"/>
      <c r="U404" s="20"/>
      <c r="V404" s="20"/>
      <c r="W404" s="20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83" t="s">
        <v>27</v>
      </c>
      <c r="B405" s="83" t="s">
        <v>22</v>
      </c>
      <c r="C405" s="83" t="s">
        <v>23</v>
      </c>
      <c r="D405" s="83" t="s">
        <v>24</v>
      </c>
      <c r="E405" s="83" t="s">
        <v>32</v>
      </c>
      <c r="F405" s="83" t="s">
        <v>25</v>
      </c>
      <c r="G405" s="83" t="s">
        <v>25</v>
      </c>
      <c r="H405" s="83" t="s">
        <v>25</v>
      </c>
      <c r="I405" s="90">
        <v>44378</v>
      </c>
      <c r="J405" s="91">
        <f>EFEITO!$J$405*EFEITO!$Y$295</f>
        <v>0</v>
      </c>
      <c r="K405" s="91">
        <f ca="1">EFEITO!$L$405*EFEITO!$Z$404</f>
        <v>-10.169922438685138</v>
      </c>
      <c r="L405" s="91">
        <f>EFEITO!$N$405*EFEITO!$AA$404</f>
        <v>-6.1656989602408343</v>
      </c>
      <c r="M405" s="91">
        <f>$J$405-EFEITO!$K$405*EFEITO!$Y$405</f>
        <v>0</v>
      </c>
      <c r="N405" s="91">
        <f ca="1">$K$405-EFEITO!$M$405*EFEITO!$Z$405</f>
        <v>0</v>
      </c>
      <c r="O405" s="91">
        <f>$L$405-EFEITO!$O$405*EFEITO!$AA$405</f>
        <v>0</v>
      </c>
      <c r="P405" s="20"/>
      <c r="Q405" s="20"/>
      <c r="R405" s="20"/>
      <c r="S405" s="20"/>
      <c r="T405" s="20"/>
      <c r="U405" s="20"/>
      <c r="V405" s="20"/>
      <c r="W405" s="20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83" t="s">
        <v>21</v>
      </c>
      <c r="B406" s="83" t="s">
        <v>22</v>
      </c>
      <c r="C406" s="83" t="s">
        <v>23</v>
      </c>
      <c r="D406" s="83" t="s">
        <v>24</v>
      </c>
      <c r="E406" s="83" t="s">
        <v>32</v>
      </c>
      <c r="F406" s="83" t="s">
        <v>25</v>
      </c>
      <c r="G406" s="83" t="s">
        <v>25</v>
      </c>
      <c r="H406" s="83" t="s">
        <v>25</v>
      </c>
      <c r="I406" s="90">
        <v>44409</v>
      </c>
      <c r="J406" s="91">
        <f>EFEITO!$J$406*EFEITO!$Y$295</f>
        <v>0</v>
      </c>
      <c r="K406" s="91">
        <f ca="1">EFEITO!$L$406*EFEITO!$Z$404</f>
        <v>5604.6442559593797</v>
      </c>
      <c r="L406" s="91">
        <f>EFEITO!$N$406*EFEITO!$AA$404</f>
        <v>3397.9166969887242</v>
      </c>
      <c r="M406" s="91">
        <f>$J$406-EFEITO!$K$406*EFEITO!$Y$406</f>
        <v>0</v>
      </c>
      <c r="N406" s="91">
        <f ca="1">$K$406-EFEITO!$M$406*EFEITO!$Z$406</f>
        <v>0</v>
      </c>
      <c r="O406" s="91">
        <f>$L$406-EFEITO!$O$406*EFEITO!$AA$406</f>
        <v>0</v>
      </c>
      <c r="P406" s="20"/>
      <c r="Q406" s="20"/>
      <c r="R406" s="20"/>
      <c r="S406" s="20"/>
      <c r="T406" s="20"/>
      <c r="U406" s="20"/>
      <c r="V406" s="20"/>
      <c r="W406" s="20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83" t="s">
        <v>21</v>
      </c>
      <c r="B407" s="83" t="s">
        <v>22</v>
      </c>
      <c r="C407" s="83" t="s">
        <v>23</v>
      </c>
      <c r="D407" s="83" t="s">
        <v>24</v>
      </c>
      <c r="E407" s="83" t="s">
        <v>32</v>
      </c>
      <c r="F407" s="83" t="s">
        <v>25</v>
      </c>
      <c r="G407" s="83" t="s">
        <v>25</v>
      </c>
      <c r="H407" s="83" t="s">
        <v>25</v>
      </c>
      <c r="I407" s="90">
        <v>44440</v>
      </c>
      <c r="J407" s="91">
        <f>EFEITO!$J$407*EFEITO!$Y$295</f>
        <v>0</v>
      </c>
      <c r="K407" s="91">
        <f ca="1">EFEITO!$L$407*EFEITO!$Z$404</f>
        <v>4832.7471428631779</v>
      </c>
      <c r="L407" s="91">
        <f>EFEITO!$N$407*EFEITO!$AA$404</f>
        <v>2929.9401459064443</v>
      </c>
      <c r="M407" s="91">
        <f>$J$407-EFEITO!$K$407*EFEITO!$Y$407</f>
        <v>0</v>
      </c>
      <c r="N407" s="91">
        <f ca="1">$K$407-EFEITO!$M$407*EFEITO!$Z$407</f>
        <v>0</v>
      </c>
      <c r="O407" s="91">
        <f>$L$407-EFEITO!$O$407*EFEITO!$AA$407</f>
        <v>0</v>
      </c>
      <c r="P407" s="20"/>
      <c r="Q407" s="20"/>
      <c r="R407" s="20"/>
      <c r="S407" s="20"/>
      <c r="T407" s="20"/>
      <c r="U407" s="20"/>
      <c r="V407" s="20"/>
      <c r="W407" s="20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83" t="s">
        <v>21</v>
      </c>
      <c r="B408" s="83" t="s">
        <v>22</v>
      </c>
      <c r="C408" s="83" t="s">
        <v>23</v>
      </c>
      <c r="D408" s="83" t="s">
        <v>24</v>
      </c>
      <c r="E408" s="83" t="s">
        <v>32</v>
      </c>
      <c r="F408" s="83" t="s">
        <v>25</v>
      </c>
      <c r="G408" s="83" t="s">
        <v>25</v>
      </c>
      <c r="H408" s="83" t="s">
        <v>25</v>
      </c>
      <c r="I408" s="90">
        <v>44470</v>
      </c>
      <c r="J408" s="91">
        <f>EFEITO!$J$408*EFEITO!$Y$295</f>
        <v>0</v>
      </c>
      <c r="K408" s="91">
        <f ca="1">EFEITO!$L$408*EFEITO!$Z$404</f>
        <v>5423.280639136161</v>
      </c>
      <c r="L408" s="91">
        <f>EFEITO!$N$408*EFEITO!$AA$404</f>
        <v>3287.9617321977621</v>
      </c>
      <c r="M408" s="91">
        <f>$J$408-EFEITO!$K$408*EFEITO!$Y$408</f>
        <v>0</v>
      </c>
      <c r="N408" s="91">
        <f ca="1">$K$408-EFEITO!$M$408*EFEITO!$Z$408</f>
        <v>0</v>
      </c>
      <c r="O408" s="91">
        <f>$L$408-EFEITO!$O$408*EFEITO!$AA$408</f>
        <v>0</v>
      </c>
      <c r="P408" s="20"/>
      <c r="Q408" s="20"/>
      <c r="R408" s="20"/>
      <c r="S408" s="20"/>
      <c r="T408" s="20"/>
      <c r="U408" s="20"/>
      <c r="V408" s="20"/>
      <c r="W408" s="20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83" t="s">
        <v>21</v>
      </c>
      <c r="B409" s="83" t="s">
        <v>22</v>
      </c>
      <c r="C409" s="83" t="s">
        <v>23</v>
      </c>
      <c r="D409" s="83" t="s">
        <v>24</v>
      </c>
      <c r="E409" s="83" t="s">
        <v>32</v>
      </c>
      <c r="F409" s="83" t="s">
        <v>25</v>
      </c>
      <c r="G409" s="83" t="s">
        <v>25</v>
      </c>
      <c r="H409" s="83" t="s">
        <v>25</v>
      </c>
      <c r="I409" s="90">
        <v>44501</v>
      </c>
      <c r="J409" s="91">
        <f>EFEITO!$J$409*EFEITO!$Y$295</f>
        <v>0</v>
      </c>
      <c r="K409" s="91">
        <f ca="1">EFEITO!$L$409*EFEITO!$Z$404</f>
        <v>7461.6720932632852</v>
      </c>
      <c r="L409" s="91">
        <f>EFEITO!$N$409*EFEITO!$AA$404</f>
        <v>4523.7733271286997</v>
      </c>
      <c r="M409" s="91">
        <f>$J$409-EFEITO!$K$409*EFEITO!$Y$409</f>
        <v>0</v>
      </c>
      <c r="N409" s="91">
        <f ca="1">$K$409-EFEITO!$M$409*EFEITO!$Z$409</f>
        <v>0</v>
      </c>
      <c r="O409" s="91">
        <f>$L$409-EFEITO!$O$409*EFEITO!$AA$409</f>
        <v>0</v>
      </c>
      <c r="P409" s="20"/>
      <c r="Q409" s="20"/>
      <c r="R409" s="20"/>
      <c r="S409" s="20"/>
      <c r="T409" s="20"/>
      <c r="U409" s="20"/>
      <c r="V409" s="20"/>
      <c r="W409" s="20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83" t="s">
        <v>21</v>
      </c>
      <c r="B410" s="83" t="s">
        <v>22</v>
      </c>
      <c r="C410" s="83" t="s">
        <v>23</v>
      </c>
      <c r="D410" s="83" t="s">
        <v>24</v>
      </c>
      <c r="E410" s="83" t="s">
        <v>32</v>
      </c>
      <c r="F410" s="83" t="s">
        <v>25</v>
      </c>
      <c r="G410" s="83" t="s">
        <v>25</v>
      </c>
      <c r="H410" s="83" t="s">
        <v>25</v>
      </c>
      <c r="I410" s="90">
        <v>44531</v>
      </c>
      <c r="J410" s="91">
        <f>EFEITO!$J$410*EFEITO!$Y$295</f>
        <v>0</v>
      </c>
      <c r="K410" s="91">
        <f ca="1">EFEITO!$L$410*EFEITO!$Z$404</f>
        <v>8699.0126566366453</v>
      </c>
      <c r="L410" s="91">
        <f>EFEITO!$N$410*EFEITO!$AA$404</f>
        <v>5273.9333672913353</v>
      </c>
      <c r="M410" s="91">
        <f>$J$410-EFEITO!$K$410*EFEITO!$Y$410</f>
        <v>0</v>
      </c>
      <c r="N410" s="91">
        <f ca="1">$K$410-EFEITO!$M$410*EFEITO!$Z$410</f>
        <v>0</v>
      </c>
      <c r="O410" s="91">
        <f>$L$410-EFEITO!$O$410*EFEITO!$AA$410</f>
        <v>0</v>
      </c>
      <c r="P410" s="20"/>
      <c r="Q410" s="20"/>
      <c r="R410" s="20"/>
      <c r="S410" s="20"/>
      <c r="T410" s="20"/>
      <c r="U410" s="20"/>
      <c r="V410" s="20"/>
      <c r="W410" s="20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83" t="s">
        <v>21</v>
      </c>
      <c r="B411" s="83" t="s">
        <v>22</v>
      </c>
      <c r="C411" s="83" t="s">
        <v>23</v>
      </c>
      <c r="D411" s="83" t="s">
        <v>24</v>
      </c>
      <c r="E411" s="83" t="s">
        <v>32</v>
      </c>
      <c r="F411" s="83" t="s">
        <v>25</v>
      </c>
      <c r="G411" s="83" t="s">
        <v>25</v>
      </c>
      <c r="H411" s="83" t="s">
        <v>25</v>
      </c>
      <c r="I411" s="90">
        <v>44562</v>
      </c>
      <c r="J411" s="91">
        <f>EFEITO!$J$411*EFEITO!$Y$295</f>
        <v>0</v>
      </c>
      <c r="K411" s="91">
        <f ca="1">EFEITO!$L$411*EFEITO!$Z$404</f>
        <v>15967.456223564912</v>
      </c>
      <c r="L411" s="91">
        <f>EFEITO!$N$411*EFEITO!$AA$404</f>
        <v>9680.5584141754589</v>
      </c>
      <c r="M411" s="91">
        <f>$J$411-EFEITO!$K$411*EFEITO!$Y$411</f>
        <v>0</v>
      </c>
      <c r="N411" s="91">
        <f ca="1">$K$411-EFEITO!$M$411*EFEITO!$Z$411</f>
        <v>0</v>
      </c>
      <c r="O411" s="91">
        <f>$L$411-EFEITO!$O$411*EFEITO!$AA$411</f>
        <v>0</v>
      </c>
      <c r="P411" s="20"/>
      <c r="Q411" s="20"/>
      <c r="R411" s="20"/>
      <c r="S411" s="20"/>
      <c r="T411" s="20"/>
      <c r="U411" s="20"/>
      <c r="V411" s="20"/>
      <c r="W411" s="20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83" t="s">
        <v>27</v>
      </c>
      <c r="B412" s="83" t="s">
        <v>22</v>
      </c>
      <c r="C412" s="83" t="s">
        <v>23</v>
      </c>
      <c r="D412" s="83" t="s">
        <v>24</v>
      </c>
      <c r="E412" s="83" t="s">
        <v>32</v>
      </c>
      <c r="F412" s="83" t="s">
        <v>25</v>
      </c>
      <c r="G412" s="83" t="s">
        <v>25</v>
      </c>
      <c r="H412" s="83" t="s">
        <v>25</v>
      </c>
      <c r="I412" s="90">
        <v>44562</v>
      </c>
      <c r="J412" s="91">
        <f>EFEITO!$J$412*EFEITO!$Y$295</f>
        <v>0</v>
      </c>
      <c r="K412" s="91">
        <f ca="1">EFEITO!$L$412*EFEITO!$Z$404</f>
        <v>81.359379509481101</v>
      </c>
      <c r="L412" s="91">
        <f>EFEITO!$N$412*EFEITO!$AA$404</f>
        <v>49.325591681926674</v>
      </c>
      <c r="M412" s="91">
        <f>$J$412-EFEITO!$K$412*EFEITO!$Y$412</f>
        <v>0</v>
      </c>
      <c r="N412" s="91">
        <f ca="1">$K$412-EFEITO!$M$412*EFEITO!$Z$412</f>
        <v>0</v>
      </c>
      <c r="O412" s="91">
        <f>$L$412-EFEITO!$O$412*EFEITO!$AA$412</f>
        <v>0</v>
      </c>
      <c r="P412" s="20"/>
      <c r="Q412" s="20"/>
      <c r="R412" s="20"/>
      <c r="S412" s="20"/>
      <c r="T412" s="20"/>
      <c r="U412" s="20"/>
      <c r="V412" s="20"/>
      <c r="W412" s="20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83" t="s">
        <v>21</v>
      </c>
      <c r="B413" s="83" t="s">
        <v>22</v>
      </c>
      <c r="C413" s="83" t="s">
        <v>23</v>
      </c>
      <c r="D413" s="83" t="s">
        <v>24</v>
      </c>
      <c r="E413" s="83" t="s">
        <v>32</v>
      </c>
      <c r="F413" s="83" t="s">
        <v>25</v>
      </c>
      <c r="G413" s="83" t="s">
        <v>25</v>
      </c>
      <c r="H413" s="83" t="s">
        <v>25</v>
      </c>
      <c r="I413" s="90">
        <v>44593</v>
      </c>
      <c r="J413" s="91">
        <f>EFEITO!$J$413*EFEITO!$Y$295</f>
        <v>0</v>
      </c>
      <c r="K413" s="91">
        <f ca="1">EFEITO!$L$413*EFEITO!$Z$404</f>
        <v>23847.790123887404</v>
      </c>
      <c r="L413" s="91">
        <f>EFEITO!$N$413*EFEITO!$AA$404</f>
        <v>14458.153015167407</v>
      </c>
      <c r="M413" s="91">
        <f>$J$413-EFEITO!$K$413*EFEITO!$Y$413</f>
        <v>0</v>
      </c>
      <c r="N413" s="91">
        <f ca="1">$K$413-EFEITO!$M$413*EFEITO!$Z$413</f>
        <v>0</v>
      </c>
      <c r="O413" s="91">
        <f>$L$413-EFEITO!$O$413*EFEITO!$AA$413</f>
        <v>0</v>
      </c>
      <c r="P413" s="20"/>
      <c r="Q413" s="20"/>
      <c r="R413" s="20"/>
      <c r="S413" s="20"/>
      <c r="T413" s="20"/>
      <c r="U413" s="20"/>
      <c r="V413" s="20"/>
      <c r="W413" s="20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83" t="s">
        <v>27</v>
      </c>
      <c r="B414" s="83" t="s">
        <v>22</v>
      </c>
      <c r="C414" s="83" t="s">
        <v>23</v>
      </c>
      <c r="D414" s="83" t="s">
        <v>24</v>
      </c>
      <c r="E414" s="83" t="s">
        <v>32</v>
      </c>
      <c r="F414" s="83" t="s">
        <v>25</v>
      </c>
      <c r="G414" s="83" t="s">
        <v>25</v>
      </c>
      <c r="H414" s="83" t="s">
        <v>25</v>
      </c>
      <c r="I414" s="90">
        <v>44593</v>
      </c>
      <c r="J414" s="91">
        <f>EFEITO!$J$414*EFEITO!$Y$295</f>
        <v>0</v>
      </c>
      <c r="K414" s="91">
        <f ca="1">EFEITO!$L$414*EFEITO!$Z$404</f>
        <v>-208.48340999304534</v>
      </c>
      <c r="L414" s="91">
        <f>EFEITO!$N$414*EFEITO!$AA$404</f>
        <v>-126.39682868493711</v>
      </c>
      <c r="M414" s="91">
        <f>$J$414-EFEITO!$K$414*EFEITO!$Y$414</f>
        <v>0</v>
      </c>
      <c r="N414" s="91">
        <f ca="1">$K$414-EFEITO!$M$414*EFEITO!$Z$414</f>
        <v>0</v>
      </c>
      <c r="O414" s="91">
        <f>$L$414-EFEITO!$O$414*EFEITO!$AA$414</f>
        <v>0</v>
      </c>
      <c r="P414" s="20"/>
      <c r="Q414" s="20"/>
      <c r="R414" s="20"/>
      <c r="S414" s="20"/>
      <c r="T414" s="20"/>
      <c r="U414" s="20"/>
      <c r="V414" s="20"/>
      <c r="W414" s="20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83" t="s">
        <v>28</v>
      </c>
      <c r="B415" s="83" t="s">
        <v>22</v>
      </c>
      <c r="C415" s="83" t="s">
        <v>23</v>
      </c>
      <c r="D415" s="83" t="s">
        <v>24</v>
      </c>
      <c r="E415" s="83" t="s">
        <v>32</v>
      </c>
      <c r="F415" s="83" t="s">
        <v>25</v>
      </c>
      <c r="G415" s="83" t="s">
        <v>25</v>
      </c>
      <c r="H415" s="83" t="s">
        <v>25</v>
      </c>
      <c r="I415" s="90">
        <v>44593</v>
      </c>
      <c r="J415" s="91">
        <f>EFEITO!$J$415*EFEITO!$Y$295</f>
        <v>0</v>
      </c>
      <c r="K415" s="91">
        <f ca="1">EFEITO!$L$415*EFEITO!$Z$404</f>
        <v>4.7459638047197314</v>
      </c>
      <c r="L415" s="91">
        <f>EFEITO!$N$415*EFEITO!$AA$404</f>
        <v>2.8773261814457225</v>
      </c>
      <c r="M415" s="91">
        <f>$J$415-EFEITO!$K$415*EFEITO!$Y$415</f>
        <v>0</v>
      </c>
      <c r="N415" s="91">
        <f ca="1">$K$415-EFEITO!$M$415*EFEITO!$Z$415</f>
        <v>0</v>
      </c>
      <c r="O415" s="91">
        <f>$L$415-EFEITO!$O$415*EFEITO!$AA$415</f>
        <v>0</v>
      </c>
      <c r="P415" s="20"/>
      <c r="Q415" s="20"/>
      <c r="R415" s="20"/>
      <c r="S415" s="20"/>
      <c r="T415" s="20"/>
      <c r="U415" s="20"/>
      <c r="V415" s="20"/>
      <c r="W415" s="20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83" t="s">
        <v>21</v>
      </c>
      <c r="B416" s="83" t="s">
        <v>22</v>
      </c>
      <c r="C416" s="83" t="s">
        <v>23</v>
      </c>
      <c r="D416" s="83" t="s">
        <v>24</v>
      </c>
      <c r="E416" s="83" t="s">
        <v>32</v>
      </c>
      <c r="F416" s="83" t="s">
        <v>25</v>
      </c>
      <c r="G416" s="83" t="s">
        <v>25</v>
      </c>
      <c r="H416" s="83" t="s">
        <v>25</v>
      </c>
      <c r="I416" s="90">
        <v>44621</v>
      </c>
      <c r="J416" s="91">
        <f>EFEITO!$J$416*EFEITO!$Y$295</f>
        <v>0</v>
      </c>
      <c r="K416" s="91">
        <f ca="1">EFEITO!$L$416*EFEITO!$Z$404</f>
        <v>14719.945737752867</v>
      </c>
      <c r="L416" s="91">
        <f>EFEITO!$N$416*EFEITO!$AA$404</f>
        <v>8924.2326750525826</v>
      </c>
      <c r="M416" s="91">
        <f>$J$416-EFEITO!$K$416*EFEITO!$Y$416</f>
        <v>0</v>
      </c>
      <c r="N416" s="91">
        <f ca="1">$K$416-EFEITO!$M$416*EFEITO!$Z$416</f>
        <v>0</v>
      </c>
      <c r="O416" s="91">
        <f>$L$416-EFEITO!$O$416*EFEITO!$AA$416</f>
        <v>0</v>
      </c>
      <c r="P416" s="20"/>
      <c r="Q416" s="20"/>
      <c r="R416" s="20"/>
      <c r="S416" s="20"/>
      <c r="T416" s="20"/>
      <c r="U416" s="20"/>
      <c r="V416" s="20"/>
      <c r="W416" s="20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83" t="s">
        <v>27</v>
      </c>
      <c r="B417" s="83" t="s">
        <v>22</v>
      </c>
      <c r="C417" s="83" t="s">
        <v>23</v>
      </c>
      <c r="D417" s="83" t="s">
        <v>24</v>
      </c>
      <c r="E417" s="83" t="s">
        <v>32</v>
      </c>
      <c r="F417" s="83" t="s">
        <v>25</v>
      </c>
      <c r="G417" s="83" t="s">
        <v>25</v>
      </c>
      <c r="H417" s="83" t="s">
        <v>25</v>
      </c>
      <c r="I417" s="90">
        <v>44621</v>
      </c>
      <c r="J417" s="91">
        <f>EFEITO!$J$417*EFEITO!$Y$295</f>
        <v>0</v>
      </c>
      <c r="K417" s="91">
        <f ca="1">EFEITO!$L$417*EFEITO!$Z$404</f>
        <v>-146.10788570244316</v>
      </c>
      <c r="L417" s="91">
        <f>EFEITO!$N$417*EFEITO!$AA$404</f>
        <v>-88.580541728793321</v>
      </c>
      <c r="M417" s="91">
        <f>$J$417-EFEITO!$K$417*EFEITO!$Y$417</f>
        <v>0</v>
      </c>
      <c r="N417" s="91">
        <f ca="1">$K$417-EFEITO!$M$417*EFEITO!$Z$417</f>
        <v>0</v>
      </c>
      <c r="O417" s="91">
        <f>$L$417-EFEITO!$O$417*EFEITO!$AA$417</f>
        <v>0</v>
      </c>
      <c r="P417" s="20"/>
      <c r="Q417" s="20"/>
      <c r="R417" s="20"/>
      <c r="S417" s="20"/>
      <c r="T417" s="20"/>
      <c r="U417" s="20"/>
      <c r="V417" s="20"/>
      <c r="W417" s="20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83" t="s">
        <v>21</v>
      </c>
      <c r="B418" s="83" t="s">
        <v>22</v>
      </c>
      <c r="C418" s="83" t="s">
        <v>23</v>
      </c>
      <c r="D418" s="83" t="s">
        <v>24</v>
      </c>
      <c r="E418" s="83" t="s">
        <v>32</v>
      </c>
      <c r="F418" s="83" t="s">
        <v>25</v>
      </c>
      <c r="G418" s="83" t="s">
        <v>25</v>
      </c>
      <c r="H418" s="83" t="s">
        <v>25</v>
      </c>
      <c r="I418" s="90">
        <v>44652</v>
      </c>
      <c r="J418" s="91">
        <f>EFEITO!$J$418*EFEITO!$Y$295</f>
        <v>0</v>
      </c>
      <c r="K418" s="91">
        <f ca="1">EFEITO!$L$418*EFEITO!$Z$404</f>
        <v>5844.654425512349</v>
      </c>
      <c r="L418" s="91">
        <f>EFEITO!$N$418*EFEITO!$AA$404</f>
        <v>3543.4271924504073</v>
      </c>
      <c r="M418" s="91">
        <f>$J$418-EFEITO!$K$418*EFEITO!$Y$418</f>
        <v>0</v>
      </c>
      <c r="N418" s="91">
        <f ca="1">$K$418-EFEITO!$M$418*EFEITO!$Z$418</f>
        <v>0</v>
      </c>
      <c r="O418" s="91">
        <f>$L$418-EFEITO!$O$418*EFEITO!$AA$418</f>
        <v>0</v>
      </c>
      <c r="P418" s="20"/>
      <c r="Q418" s="20"/>
      <c r="R418" s="20"/>
      <c r="S418" s="20"/>
      <c r="T418" s="20"/>
      <c r="U418" s="20"/>
      <c r="V418" s="20"/>
      <c r="W418" s="20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83" t="s">
        <v>21</v>
      </c>
      <c r="B419" s="83" t="s">
        <v>22</v>
      </c>
      <c r="C419" s="83" t="s">
        <v>23</v>
      </c>
      <c r="D419" s="83" t="s">
        <v>24</v>
      </c>
      <c r="E419" s="83" t="s">
        <v>32</v>
      </c>
      <c r="F419" s="83" t="s">
        <v>25</v>
      </c>
      <c r="G419" s="83" t="s">
        <v>25</v>
      </c>
      <c r="H419" s="83" t="s">
        <v>25</v>
      </c>
      <c r="I419" s="90">
        <v>44682</v>
      </c>
      <c r="J419" s="91">
        <f>EFEITO!$J$419*EFEITO!$Y$295</f>
        <v>0</v>
      </c>
      <c r="K419" s="91">
        <f ca="1">EFEITO!$L$419*EFEITO!$Z$404</f>
        <v>7537.9465115534249</v>
      </c>
      <c r="L419" s="91">
        <f>EFEITO!$N$419*EFEITO!$AA$404</f>
        <v>4570.0160693305061</v>
      </c>
      <c r="M419" s="91">
        <f>$J$419-EFEITO!$K$419*EFEITO!$Y$419</f>
        <v>0</v>
      </c>
      <c r="N419" s="91">
        <f ca="1">$K$419-EFEITO!$M$419*EFEITO!$Z$419</f>
        <v>0</v>
      </c>
      <c r="O419" s="91">
        <f>$L$419-EFEITO!$O$419*EFEITO!$AA$419</f>
        <v>0</v>
      </c>
      <c r="P419" s="20"/>
      <c r="Q419" s="20"/>
      <c r="R419" s="20"/>
      <c r="S419" s="20"/>
      <c r="T419" s="20"/>
      <c r="U419" s="20"/>
      <c r="V419" s="20"/>
      <c r="W419" s="20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83" t="s">
        <v>21</v>
      </c>
      <c r="B420" s="83" t="s">
        <v>22</v>
      </c>
      <c r="C420" s="83" t="s">
        <v>23</v>
      </c>
      <c r="D420" s="83" t="s">
        <v>24</v>
      </c>
      <c r="E420" s="83" t="s">
        <v>32</v>
      </c>
      <c r="F420" s="83" t="s">
        <v>25</v>
      </c>
      <c r="G420" s="83" t="s">
        <v>25</v>
      </c>
      <c r="H420" s="83" t="s">
        <v>25</v>
      </c>
      <c r="I420" s="90">
        <v>44713</v>
      </c>
      <c r="J420" s="91">
        <f>EFEITO!$J$420*EFEITO!$Y$295</f>
        <v>0</v>
      </c>
      <c r="K420" s="91">
        <f ca="1">EFEITO!$L$420*EFEITO!$Z$404</f>
        <v>8524.7679855205042</v>
      </c>
      <c r="L420" s="91">
        <f>EFEITO!$N$420*EFEITO!$AA$404</f>
        <v>5168.2943917725415</v>
      </c>
      <c r="M420" s="91">
        <f>$J$420-EFEITO!$K$420*EFEITO!$Y$420</f>
        <v>0</v>
      </c>
      <c r="N420" s="91">
        <f ca="1">$K$420-EFEITO!$M$420*EFEITO!$Z$420</f>
        <v>0</v>
      </c>
      <c r="O420" s="91">
        <f>$L$420-EFEITO!$O$420*EFEITO!$AA$420</f>
        <v>0</v>
      </c>
      <c r="P420" s="20"/>
      <c r="Q420" s="20"/>
      <c r="R420" s="20"/>
      <c r="S420" s="20"/>
      <c r="T420" s="20"/>
      <c r="U420" s="20"/>
      <c r="V420" s="20"/>
      <c r="W420" s="20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83" t="s">
        <v>21</v>
      </c>
      <c r="B421" s="83" t="s">
        <v>42</v>
      </c>
      <c r="C421" s="83" t="s">
        <v>33</v>
      </c>
      <c r="D421" s="83" t="s">
        <v>43</v>
      </c>
      <c r="E421" s="83" t="s">
        <v>25</v>
      </c>
      <c r="F421" s="83" t="s">
        <v>25</v>
      </c>
      <c r="G421" s="83" t="s">
        <v>25</v>
      </c>
      <c r="H421" s="83" t="s">
        <v>35</v>
      </c>
      <c r="I421" s="90">
        <v>44409</v>
      </c>
      <c r="J421" s="91">
        <f>EFEITO!$J$421*EFEITO!$Y$421/(1-CUSTOS!$M$38)</f>
        <v>0</v>
      </c>
      <c r="K421" s="91">
        <f ca="1">EFEITO!$L$421*EFEITO!$Z$421/(1-CUSTOS!$M$38)</f>
        <v>44.999374914749126</v>
      </c>
      <c r="L421" s="91">
        <f>EFEITO!$N$421*EFEITO!$AA$421/(1-CUSTOS!$M$38)</f>
        <v>26.837898900715608</v>
      </c>
      <c r="M421" s="91">
        <f>$J$421-EFEITO!$K$421*EFEITO!$Y$421</f>
        <v>0</v>
      </c>
      <c r="N421" s="91">
        <f ca="1">$K$421-EFEITO!$M$421*EFEITO!$Z$421</f>
        <v>2.6999624948849501</v>
      </c>
      <c r="O421" s="91">
        <f>$L$421-EFEITO!$O$421*EFEITO!$AA$421</f>
        <v>1.6102739340429366</v>
      </c>
      <c r="P421" s="20"/>
      <c r="Q421" s="20"/>
      <c r="R421" s="20"/>
      <c r="S421" s="20"/>
      <c r="T421" s="20"/>
      <c r="U421" s="20"/>
      <c r="V421" s="20"/>
      <c r="W421" s="20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83" t="s">
        <v>21</v>
      </c>
      <c r="B422" s="83" t="s">
        <v>42</v>
      </c>
      <c r="C422" s="83" t="s">
        <v>33</v>
      </c>
      <c r="D422" s="83" t="s">
        <v>43</v>
      </c>
      <c r="E422" s="83" t="s">
        <v>25</v>
      </c>
      <c r="F422" s="83" t="s">
        <v>25</v>
      </c>
      <c r="G422" s="83" t="s">
        <v>25</v>
      </c>
      <c r="H422" s="83" t="s">
        <v>35</v>
      </c>
      <c r="I422" s="90">
        <v>44470</v>
      </c>
      <c r="J422" s="91">
        <f>EFEITO!$J$422*EFEITO!$Y$422/(1-CUSTOS!$M$38)</f>
        <v>0</v>
      </c>
      <c r="K422" s="91">
        <f ca="1">EFEITO!$L$422*EFEITO!$Z$422/(1-CUSTOS!$M$38)</f>
        <v>146.16585282528001</v>
      </c>
      <c r="L422" s="91">
        <f>EFEITO!$N$422*EFEITO!$AA$422/(1-CUSTOS!$M$38)</f>
        <v>87.174197159258739</v>
      </c>
      <c r="M422" s="91">
        <f>$J$422-EFEITO!$K$422*EFEITO!$Y$422</f>
        <v>0</v>
      </c>
      <c r="N422" s="91">
        <f ca="1">$K$422-EFEITO!$M$422*EFEITO!$Z$422</f>
        <v>8.7699511695168155</v>
      </c>
      <c r="O422" s="91">
        <f>$L$422-EFEITO!$O$422*EFEITO!$AA$422</f>
        <v>5.230451829555534</v>
      </c>
      <c r="P422" s="20"/>
      <c r="Q422" s="20"/>
      <c r="R422" s="20"/>
      <c r="S422" s="20"/>
      <c r="T422" s="20"/>
      <c r="U422" s="20"/>
      <c r="V422" s="20"/>
      <c r="W422" s="20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83" t="s">
        <v>21</v>
      </c>
      <c r="B423" s="83" t="s">
        <v>42</v>
      </c>
      <c r="C423" s="83" t="s">
        <v>33</v>
      </c>
      <c r="D423" s="83" t="s">
        <v>43</v>
      </c>
      <c r="E423" s="83" t="s">
        <v>25</v>
      </c>
      <c r="F423" s="83" t="s">
        <v>25</v>
      </c>
      <c r="G423" s="83" t="s">
        <v>25</v>
      </c>
      <c r="H423" s="83" t="s">
        <v>35</v>
      </c>
      <c r="I423" s="90">
        <v>44501</v>
      </c>
      <c r="J423" s="91">
        <f>EFEITO!$J$423*EFEITO!$Y$423/(1-CUSTOS!$M$38)</f>
        <v>0</v>
      </c>
      <c r="K423" s="91">
        <f ca="1">EFEITO!$L$423*EFEITO!$Z$423/(1-CUSTOS!$M$38)</f>
        <v>86.714123923312187</v>
      </c>
      <c r="L423" s="91">
        <f>EFEITO!$N$423*EFEITO!$AA$423/(1-CUSTOS!$M$38)</f>
        <v>51.716827078751244</v>
      </c>
      <c r="M423" s="91">
        <f>$J$423-EFEITO!$K$423*EFEITO!$Y$423</f>
        <v>0</v>
      </c>
      <c r="N423" s="91">
        <f ca="1">$K$423-EFEITO!$M$423*EFEITO!$Z$423</f>
        <v>5.2028474353987377</v>
      </c>
      <c r="O423" s="91">
        <f>$L$423-EFEITO!$O$423*EFEITO!$AA$423</f>
        <v>3.1030096247250754</v>
      </c>
      <c r="P423" s="20"/>
      <c r="Q423" s="20"/>
      <c r="R423" s="20"/>
      <c r="S423" s="20"/>
      <c r="T423" s="20"/>
      <c r="U423" s="20"/>
      <c r="V423" s="20"/>
      <c r="W423" s="20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83" t="s">
        <v>21</v>
      </c>
      <c r="B424" s="83" t="s">
        <v>42</v>
      </c>
      <c r="C424" s="83" t="s">
        <v>33</v>
      </c>
      <c r="D424" s="83" t="s">
        <v>43</v>
      </c>
      <c r="E424" s="83" t="s">
        <v>25</v>
      </c>
      <c r="F424" s="83" t="s">
        <v>25</v>
      </c>
      <c r="G424" s="83" t="s">
        <v>25</v>
      </c>
      <c r="H424" s="83" t="s">
        <v>35</v>
      </c>
      <c r="I424" s="90">
        <v>44531</v>
      </c>
      <c r="J424" s="91">
        <f>EFEITO!$J$424*EFEITO!$Y$424/(1-CUSTOS!$M$38)</f>
        <v>0</v>
      </c>
      <c r="K424" s="91">
        <f ca="1">EFEITO!$L$424*EFEITO!$Z$424/(1-CUSTOS!$M$38)</f>
        <v>109.04958008537744</v>
      </c>
      <c r="L424" s="91">
        <f>EFEITO!$N$424*EFEITO!$AA$424/(1-CUSTOS!$M$38)</f>
        <v>65.037827992975053</v>
      </c>
      <c r="M424" s="91">
        <f>$J$424-EFEITO!$K$424*EFEITO!$Y$424</f>
        <v>0</v>
      </c>
      <c r="N424" s="91">
        <f ca="1">$K$424-EFEITO!$M$424*EFEITO!$Z$424</f>
        <v>6.5429748051226539</v>
      </c>
      <c r="O424" s="91">
        <f>$L$424-EFEITO!$O$424*EFEITO!$AA$424</f>
        <v>3.9022696795785095</v>
      </c>
      <c r="P424" s="20"/>
      <c r="Q424" s="20"/>
      <c r="R424" s="20"/>
      <c r="S424" s="20"/>
      <c r="T424" s="20"/>
      <c r="U424" s="20"/>
      <c r="V424" s="20"/>
      <c r="W424" s="20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83" t="s">
        <v>21</v>
      </c>
      <c r="B425" s="83" t="s">
        <v>42</v>
      </c>
      <c r="C425" s="83" t="s">
        <v>33</v>
      </c>
      <c r="D425" s="83" t="s">
        <v>43</v>
      </c>
      <c r="E425" s="83" t="s">
        <v>25</v>
      </c>
      <c r="F425" s="83" t="s">
        <v>25</v>
      </c>
      <c r="G425" s="83" t="s">
        <v>25</v>
      </c>
      <c r="H425" s="83" t="s">
        <v>35</v>
      </c>
      <c r="I425" s="90">
        <v>44562</v>
      </c>
      <c r="J425" s="91">
        <f>EFEITO!$J$425*EFEITO!$Y$425/(1-CUSTOS!$M$38)</f>
        <v>0</v>
      </c>
      <c r="K425" s="91">
        <f ca="1">EFEITO!$L$425*EFEITO!$Z$425/(1-CUSTOS!$M$38)</f>
        <v>90.655675010735465</v>
      </c>
      <c r="L425" s="91">
        <f>EFEITO!$N$425*EFEITO!$AA$425/(1-CUSTOS!$M$38)</f>
        <v>54.067591945967216</v>
      </c>
      <c r="M425" s="91">
        <f>$J$425-EFEITO!$K$425*EFEITO!$Y$425</f>
        <v>0</v>
      </c>
      <c r="N425" s="91">
        <f ca="1">$K$425-EFEITO!$M$425*EFEITO!$Z$425</f>
        <v>5.4393405006441355</v>
      </c>
      <c r="O425" s="91">
        <f>$L$425-EFEITO!$O$425*EFEITO!$AA$425</f>
        <v>3.2440555167580385</v>
      </c>
      <c r="P425" s="20"/>
      <c r="Q425" s="20"/>
      <c r="R425" s="20"/>
      <c r="S425" s="20"/>
      <c r="T425" s="20"/>
      <c r="U425" s="20"/>
      <c r="V425" s="20"/>
      <c r="W425" s="20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83" t="s">
        <v>21</v>
      </c>
      <c r="B426" s="83" t="s">
        <v>42</v>
      </c>
      <c r="C426" s="83" t="s">
        <v>33</v>
      </c>
      <c r="D426" s="83" t="s">
        <v>43</v>
      </c>
      <c r="E426" s="83" t="s">
        <v>25</v>
      </c>
      <c r="F426" s="83" t="s">
        <v>25</v>
      </c>
      <c r="G426" s="83" t="s">
        <v>25</v>
      </c>
      <c r="H426" s="83" t="s">
        <v>35</v>
      </c>
      <c r="I426" s="90">
        <v>44593</v>
      </c>
      <c r="J426" s="91">
        <f>EFEITO!$J$426*EFEITO!$Y$426/(1-CUSTOS!$M$38)</f>
        <v>0</v>
      </c>
      <c r="K426" s="91">
        <f ca="1">EFEITO!$L$426*EFEITO!$Z$426/(1-CUSTOS!$M$38)</f>
        <v>92.297987963828504</v>
      </c>
      <c r="L426" s="91">
        <f>EFEITO!$N$426*EFEITO!$AA$426/(1-CUSTOS!$M$38)</f>
        <v>55.047077307307205</v>
      </c>
      <c r="M426" s="91">
        <f>$J$426-EFEITO!$K$426*EFEITO!$Y$426</f>
        <v>0</v>
      </c>
      <c r="N426" s="91">
        <f ca="1">$K$426-EFEITO!$M$426*EFEITO!$Z$426</f>
        <v>5.5378792778297168</v>
      </c>
      <c r="O426" s="91">
        <f>$L$426-EFEITO!$O$426*EFEITO!$AA$426</f>
        <v>3.3028246384384374</v>
      </c>
      <c r="P426" s="20"/>
      <c r="Q426" s="20"/>
      <c r="R426" s="20"/>
      <c r="S426" s="20"/>
      <c r="T426" s="20"/>
      <c r="U426" s="20"/>
      <c r="V426" s="20"/>
      <c r="W426" s="20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83" t="s">
        <v>21</v>
      </c>
      <c r="B427" s="83" t="s">
        <v>42</v>
      </c>
      <c r="C427" s="83" t="s">
        <v>33</v>
      </c>
      <c r="D427" s="83" t="s">
        <v>43</v>
      </c>
      <c r="E427" s="83" t="s">
        <v>25</v>
      </c>
      <c r="F427" s="83" t="s">
        <v>25</v>
      </c>
      <c r="G427" s="83" t="s">
        <v>25</v>
      </c>
      <c r="H427" s="83" t="s">
        <v>35</v>
      </c>
      <c r="I427" s="90">
        <v>44621</v>
      </c>
      <c r="J427" s="91">
        <f>EFEITO!$J$427*EFEITO!$Y$427/(1-CUSTOS!$M$38)</f>
        <v>0</v>
      </c>
      <c r="K427" s="91">
        <f ca="1">EFEITO!$L$427*EFEITO!$Z$427/(1-CUSTOS!$M$38)</f>
        <v>79.487946929702829</v>
      </c>
      <c r="L427" s="91">
        <f>EFEITO!$N$427*EFEITO!$AA$427/(1-CUSTOS!$M$38)</f>
        <v>47.407091488855308</v>
      </c>
      <c r="M427" s="91">
        <f>$J$427-EFEITO!$K$427*EFEITO!$Y$427</f>
        <v>0</v>
      </c>
      <c r="N427" s="91">
        <f ca="1">$K$427-EFEITO!$M$427*EFEITO!$Z$427</f>
        <v>4.7692768157821774</v>
      </c>
      <c r="O427" s="91">
        <f>$L$427-EFEITO!$O$427*EFEITO!$AA$427</f>
        <v>2.8444254893313214</v>
      </c>
      <c r="P427" s="20"/>
      <c r="Q427" s="20"/>
      <c r="R427" s="20"/>
      <c r="S427" s="20"/>
      <c r="T427" s="20"/>
      <c r="U427" s="20"/>
      <c r="V427" s="20"/>
      <c r="W427" s="20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83" t="s">
        <v>21</v>
      </c>
      <c r="B428" s="83" t="s">
        <v>42</v>
      </c>
      <c r="C428" s="83" t="s">
        <v>33</v>
      </c>
      <c r="D428" s="83" t="s">
        <v>43</v>
      </c>
      <c r="E428" s="83" t="s">
        <v>25</v>
      </c>
      <c r="F428" s="83" t="s">
        <v>25</v>
      </c>
      <c r="G428" s="83" t="s">
        <v>25</v>
      </c>
      <c r="H428" s="83" t="s">
        <v>35</v>
      </c>
      <c r="I428" s="90">
        <v>44652</v>
      </c>
      <c r="J428" s="91">
        <f>EFEITO!$J$428*EFEITO!$Y$428/(1-CUSTOS!$M$38)</f>
        <v>0</v>
      </c>
      <c r="K428" s="91">
        <f ca="1">EFEITO!$L$428*EFEITO!$Z$428/(1-CUSTOS!$M$38)</f>
        <v>65.692518123721342</v>
      </c>
      <c r="L428" s="91">
        <f>EFEITO!$N$428*EFEITO!$AA$428/(1-CUSTOS!$M$38)</f>
        <v>39.179414453599428</v>
      </c>
      <c r="M428" s="91">
        <f>$J$428-EFEITO!$K$428*EFEITO!$Y$428</f>
        <v>0</v>
      </c>
      <c r="N428" s="91">
        <f ca="1">$K$428-EFEITO!$M$428*EFEITO!$Z$428</f>
        <v>3.941551087423278</v>
      </c>
      <c r="O428" s="91">
        <f>$L$428-EFEITO!$O$428*EFEITO!$AA$428</f>
        <v>2.3507648672159647</v>
      </c>
      <c r="P428" s="20"/>
      <c r="Q428" s="20"/>
      <c r="R428" s="20"/>
      <c r="S428" s="20"/>
      <c r="T428" s="20"/>
      <c r="U428" s="20"/>
      <c r="V428" s="20"/>
      <c r="W428" s="20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83" t="s">
        <v>21</v>
      </c>
      <c r="B429" s="83" t="s">
        <v>42</v>
      </c>
      <c r="C429" s="83" t="s">
        <v>33</v>
      </c>
      <c r="D429" s="83" t="s">
        <v>43</v>
      </c>
      <c r="E429" s="83" t="s">
        <v>25</v>
      </c>
      <c r="F429" s="83" t="s">
        <v>25</v>
      </c>
      <c r="G429" s="83" t="s">
        <v>25</v>
      </c>
      <c r="H429" s="83" t="s">
        <v>35</v>
      </c>
      <c r="I429" s="90">
        <v>44682</v>
      </c>
      <c r="J429" s="91">
        <f>EFEITO!$J$429*EFEITO!$Y$429/(1-CUSTOS!$M$38)</f>
        <v>0</v>
      </c>
      <c r="K429" s="91">
        <f ca="1">EFEITO!$L$429*EFEITO!$Z$429/(1-CUSTOS!$M$38)</f>
        <v>52.554014498977075</v>
      </c>
      <c r="L429" s="91">
        <f>EFEITO!$N$429*EFEITO!$AA$429/(1-CUSTOS!$M$38)</f>
        <v>31.343531562879541</v>
      </c>
      <c r="M429" s="91">
        <f>$J$429-EFEITO!$K$429*EFEITO!$Y$429</f>
        <v>0</v>
      </c>
      <c r="N429" s="91">
        <f ca="1">$K$429-EFEITO!$M$429*EFEITO!$Z$429</f>
        <v>3.1532408699386281</v>
      </c>
      <c r="O429" s="91">
        <f>$L$429-EFEITO!$O$429*EFEITO!$AA$429</f>
        <v>1.8806118937727732</v>
      </c>
      <c r="P429" s="20"/>
      <c r="Q429" s="20"/>
      <c r="R429" s="20"/>
      <c r="S429" s="20"/>
      <c r="T429" s="20"/>
      <c r="U429" s="20"/>
      <c r="V429" s="20"/>
      <c r="W429" s="20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83" t="s">
        <v>21</v>
      </c>
      <c r="B430" s="83" t="s">
        <v>42</v>
      </c>
      <c r="C430" s="83" t="s">
        <v>33</v>
      </c>
      <c r="D430" s="83" t="s">
        <v>43</v>
      </c>
      <c r="E430" s="83" t="s">
        <v>25</v>
      </c>
      <c r="F430" s="83" t="s">
        <v>25</v>
      </c>
      <c r="G430" s="83" t="s">
        <v>25</v>
      </c>
      <c r="H430" s="83" t="s">
        <v>35</v>
      </c>
      <c r="I430" s="90">
        <v>44713</v>
      </c>
      <c r="J430" s="91">
        <f>EFEITO!$J$430*EFEITO!$Y$430/(1-CUSTOS!$M$38)</f>
        <v>0</v>
      </c>
      <c r="K430" s="91">
        <f ca="1">EFEITO!$L$430*EFEITO!$Z$430/(1-CUSTOS!$M$38)</f>
        <v>52.554014498977075</v>
      </c>
      <c r="L430" s="91">
        <f>EFEITO!$N$430*EFEITO!$AA$430/(1-CUSTOS!$M$38)</f>
        <v>31.343531562879541</v>
      </c>
      <c r="M430" s="91">
        <f>$J$430-EFEITO!$K$430*EFEITO!$Y$430</f>
        <v>0</v>
      </c>
      <c r="N430" s="91">
        <f ca="1">$K$430-EFEITO!$M$430*EFEITO!$Z$430</f>
        <v>3.1532408699386281</v>
      </c>
      <c r="O430" s="91">
        <f>$L$430-EFEITO!$O$430*EFEITO!$AA$430</f>
        <v>1.8806118937727732</v>
      </c>
      <c r="P430" s="20"/>
      <c r="Q430" s="20"/>
      <c r="R430" s="20"/>
      <c r="S430" s="20"/>
      <c r="T430" s="20"/>
      <c r="U430" s="20"/>
      <c r="V430" s="20"/>
      <c r="W430" s="20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83" t="s">
        <v>21</v>
      </c>
      <c r="B431" s="83" t="s">
        <v>42</v>
      </c>
      <c r="C431" s="83" t="s">
        <v>33</v>
      </c>
      <c r="D431" s="83" t="s">
        <v>43</v>
      </c>
      <c r="E431" s="83" t="s">
        <v>25</v>
      </c>
      <c r="F431" s="83" t="s">
        <v>25</v>
      </c>
      <c r="G431" s="83" t="s">
        <v>25</v>
      </c>
      <c r="H431" s="83" t="s">
        <v>36</v>
      </c>
      <c r="I431" s="90">
        <v>44409</v>
      </c>
      <c r="J431" s="91">
        <f>EFEITO!$J$431*EFEITO!$Y$431/(1-CUSTOS!$M$38)</f>
        <v>0</v>
      </c>
      <c r="K431" s="91">
        <f ca="1">EFEITO!$L$431*EFEITO!$Z$431/(1-CUSTOS!$M$38)</f>
        <v>12.389641138381842</v>
      </c>
      <c r="L431" s="91">
        <f>EFEITO!$N$431*EFEITO!$AA$431/(1-CUSTOS!$M$38)</f>
        <v>3.3302502285559514</v>
      </c>
      <c r="M431" s="91">
        <f>$J$431-EFEITO!$K$431*EFEITO!$Y$431</f>
        <v>0</v>
      </c>
      <c r="N431" s="91">
        <f ca="1">$K$431-EFEITO!$M$431*EFEITO!$Z$431</f>
        <v>0.74337846830291099</v>
      </c>
      <c r="O431" s="91">
        <f>$L$431-EFEITO!$O$431*EFEITO!$AA$431</f>
        <v>0.19981501371335719</v>
      </c>
      <c r="P431" s="20"/>
      <c r="Q431" s="20"/>
      <c r="R431" s="20"/>
      <c r="S431" s="20"/>
      <c r="T431" s="20"/>
      <c r="U431" s="20"/>
      <c r="V431" s="20"/>
      <c r="W431" s="20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83" t="s">
        <v>21</v>
      </c>
      <c r="B432" s="83" t="s">
        <v>42</v>
      </c>
      <c r="C432" s="83" t="s">
        <v>33</v>
      </c>
      <c r="D432" s="83" t="s">
        <v>43</v>
      </c>
      <c r="E432" s="83" t="s">
        <v>25</v>
      </c>
      <c r="F432" s="83" t="s">
        <v>25</v>
      </c>
      <c r="G432" s="83" t="s">
        <v>25</v>
      </c>
      <c r="H432" s="83" t="s">
        <v>36</v>
      </c>
      <c r="I432" s="90">
        <v>44470</v>
      </c>
      <c r="J432" s="91">
        <f>EFEITO!$J$432*EFEITO!$Y$432/(1-CUSTOS!$M$38)</f>
        <v>0</v>
      </c>
      <c r="K432" s="91">
        <f ca="1">EFEITO!$L$432*EFEITO!$Z$432/(1-CUSTOS!$M$38)</f>
        <v>10.932036298572211</v>
      </c>
      <c r="L432" s="91">
        <f>EFEITO!$N$432*EFEITO!$AA$432/(1-CUSTOS!$M$38)</f>
        <v>2.9384560840199572</v>
      </c>
      <c r="M432" s="91">
        <f>$J$432-EFEITO!$K$432*EFEITO!$Y$432</f>
        <v>0</v>
      </c>
      <c r="N432" s="91">
        <f ca="1">$K$432-EFEITO!$M$432*EFEITO!$Z$432</f>
        <v>0.65592217791433249</v>
      </c>
      <c r="O432" s="91">
        <f>$L$432-EFEITO!$O$432*EFEITO!$AA$432</f>
        <v>0.17630736504119771</v>
      </c>
      <c r="P432" s="20"/>
      <c r="Q432" s="20"/>
      <c r="R432" s="20"/>
      <c r="S432" s="20"/>
      <c r="T432" s="20"/>
      <c r="U432" s="20"/>
      <c r="V432" s="20"/>
      <c r="W432" s="20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83" t="s">
        <v>21</v>
      </c>
      <c r="B433" s="83" t="s">
        <v>42</v>
      </c>
      <c r="C433" s="83" t="s">
        <v>33</v>
      </c>
      <c r="D433" s="83" t="s">
        <v>43</v>
      </c>
      <c r="E433" s="83" t="s">
        <v>25</v>
      </c>
      <c r="F433" s="83" t="s">
        <v>25</v>
      </c>
      <c r="G433" s="83" t="s">
        <v>25</v>
      </c>
      <c r="H433" s="83" t="s">
        <v>36</v>
      </c>
      <c r="I433" s="90">
        <v>44501</v>
      </c>
      <c r="J433" s="91">
        <f>EFEITO!$J$433*EFEITO!$Y$433/(1-CUSTOS!$M$38)</f>
        <v>0</v>
      </c>
      <c r="K433" s="91">
        <f ca="1">EFEITO!$L$433*EFEITO!$Z$433/(1-CUSTOS!$M$38)</f>
        <v>18.948862917525169</v>
      </c>
      <c r="L433" s="91">
        <f>EFEITO!$N$433*EFEITO!$AA$433/(1-CUSTOS!$M$38)</f>
        <v>5.0933238789679249</v>
      </c>
      <c r="M433" s="91">
        <f>$J$433-EFEITO!$K$433*EFEITO!$Y$433</f>
        <v>0</v>
      </c>
      <c r="N433" s="91">
        <f ca="1">$K$433-EFEITO!$M$433*EFEITO!$Z$433</f>
        <v>1.1369317750515116</v>
      </c>
      <c r="O433" s="91">
        <f>$L$433-EFEITO!$O$433*EFEITO!$AA$433</f>
        <v>0.30559943273807555</v>
      </c>
      <c r="P433" s="20"/>
      <c r="Q433" s="20"/>
      <c r="R433" s="20"/>
      <c r="S433" s="20"/>
      <c r="T433" s="20"/>
      <c r="U433" s="20"/>
      <c r="V433" s="20"/>
      <c r="W433" s="20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83" t="s">
        <v>21</v>
      </c>
      <c r="B434" s="83" t="s">
        <v>42</v>
      </c>
      <c r="C434" s="83" t="s">
        <v>33</v>
      </c>
      <c r="D434" s="83" t="s">
        <v>43</v>
      </c>
      <c r="E434" s="83" t="s">
        <v>25</v>
      </c>
      <c r="F434" s="83" t="s">
        <v>25</v>
      </c>
      <c r="G434" s="83" t="s">
        <v>25</v>
      </c>
      <c r="H434" s="83" t="s">
        <v>36</v>
      </c>
      <c r="I434" s="90">
        <v>44531</v>
      </c>
      <c r="J434" s="91">
        <f>EFEITO!$J$434*EFEITO!$Y$434/(1-CUSTOS!$M$38)</f>
        <v>0</v>
      </c>
      <c r="K434" s="91">
        <f ca="1">EFEITO!$L$434*EFEITO!$Z$434/(1-CUSTOS!$M$38)</f>
        <v>24.050479856858868</v>
      </c>
      <c r="L434" s="91">
        <f>EFEITO!$N$434*EFEITO!$AA$434/(1-CUSTOS!$M$38)</f>
        <v>6.4646033848439055</v>
      </c>
      <c r="M434" s="91">
        <f>$J$434-EFEITO!$K$434*EFEITO!$Y$434</f>
        <v>0</v>
      </c>
      <c r="N434" s="91">
        <f ca="1">$K$434-EFEITO!$M$434*EFEITO!$Z$434</f>
        <v>1.4430287914115318</v>
      </c>
      <c r="O434" s="91">
        <f>$L$434-EFEITO!$O$434*EFEITO!$AA$434</f>
        <v>0.38787620309063442</v>
      </c>
      <c r="P434" s="20"/>
      <c r="Q434" s="20"/>
      <c r="R434" s="20"/>
      <c r="S434" s="20"/>
      <c r="T434" s="20"/>
      <c r="U434" s="20"/>
      <c r="V434" s="20"/>
      <c r="W434" s="20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83" t="s">
        <v>21</v>
      </c>
      <c r="B435" s="83" t="s">
        <v>42</v>
      </c>
      <c r="C435" s="83" t="s">
        <v>33</v>
      </c>
      <c r="D435" s="83" t="s">
        <v>43</v>
      </c>
      <c r="E435" s="83" t="s">
        <v>25</v>
      </c>
      <c r="F435" s="83" t="s">
        <v>25</v>
      </c>
      <c r="G435" s="83" t="s">
        <v>25</v>
      </c>
      <c r="H435" s="83" t="s">
        <v>36</v>
      </c>
      <c r="I435" s="90">
        <v>44562</v>
      </c>
      <c r="J435" s="91">
        <f>EFEITO!$J$435*EFEITO!$Y$435/(1-CUSTOS!$M$38)</f>
        <v>0</v>
      </c>
      <c r="K435" s="91">
        <f ca="1">EFEITO!$L$435*EFEITO!$Z$435/(1-CUSTOS!$M$38)</f>
        <v>17.491258077715543</v>
      </c>
      <c r="L435" s="91">
        <f>EFEITO!$N$435*EFEITO!$AA$435/(1-CUSTOS!$M$38)</f>
        <v>4.701529734431932</v>
      </c>
      <c r="M435" s="91">
        <f>$J$435-EFEITO!$K$435*EFEITO!$Y$435</f>
        <v>0</v>
      </c>
      <c r="N435" s="91">
        <f ca="1">$K$435-EFEITO!$M$435*EFEITO!$Z$435</f>
        <v>1.0494754846629348</v>
      </c>
      <c r="O435" s="91">
        <f>$L$435-EFEITO!$O$435*EFEITO!$AA$435</f>
        <v>0.28209178406591651</v>
      </c>
      <c r="P435" s="20"/>
      <c r="Q435" s="20"/>
      <c r="R435" s="20"/>
      <c r="S435" s="20"/>
      <c r="T435" s="20"/>
      <c r="U435" s="20"/>
      <c r="V435" s="20"/>
      <c r="W435" s="20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83" t="s">
        <v>21</v>
      </c>
      <c r="B436" s="83" t="s">
        <v>42</v>
      </c>
      <c r="C436" s="83" t="s">
        <v>33</v>
      </c>
      <c r="D436" s="83" t="s">
        <v>43</v>
      </c>
      <c r="E436" s="83" t="s">
        <v>25</v>
      </c>
      <c r="F436" s="83" t="s">
        <v>25</v>
      </c>
      <c r="G436" s="83" t="s">
        <v>25</v>
      </c>
      <c r="H436" s="83" t="s">
        <v>36</v>
      </c>
      <c r="I436" s="90">
        <v>44593</v>
      </c>
      <c r="J436" s="91">
        <f>EFEITO!$J$436*EFEITO!$Y$436/(1-CUSTOS!$M$38)</f>
        <v>0</v>
      </c>
      <c r="K436" s="91">
        <f ca="1">EFEITO!$L$436*EFEITO!$Z$436/(1-CUSTOS!$M$38)</f>
        <v>15.304850818001098</v>
      </c>
      <c r="L436" s="91">
        <f>EFEITO!$N$436*EFEITO!$AA$436/(1-CUSTOS!$M$38)</f>
        <v>4.1138385176279408</v>
      </c>
      <c r="M436" s="91">
        <f>$J$436-EFEITO!$K$436*EFEITO!$Y$436</f>
        <v>0</v>
      </c>
      <c r="N436" s="91">
        <f ca="1">$K$436-EFEITO!$M$436*EFEITO!$Z$436</f>
        <v>0.9182910490800662</v>
      </c>
      <c r="O436" s="91">
        <f>$L$436-EFEITO!$O$436*EFEITO!$AA$436</f>
        <v>0.24683031105767705</v>
      </c>
      <c r="P436" s="20"/>
      <c r="Q436" s="20"/>
      <c r="R436" s="20"/>
      <c r="S436" s="20"/>
      <c r="T436" s="20"/>
      <c r="U436" s="20"/>
      <c r="V436" s="20"/>
      <c r="W436" s="20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83" t="s">
        <v>21</v>
      </c>
      <c r="B437" s="83" t="s">
        <v>42</v>
      </c>
      <c r="C437" s="83" t="s">
        <v>33</v>
      </c>
      <c r="D437" s="83" t="s">
        <v>43</v>
      </c>
      <c r="E437" s="83" t="s">
        <v>25</v>
      </c>
      <c r="F437" s="83" t="s">
        <v>25</v>
      </c>
      <c r="G437" s="83" t="s">
        <v>25</v>
      </c>
      <c r="H437" s="83" t="s">
        <v>36</v>
      </c>
      <c r="I437" s="90">
        <v>44621</v>
      </c>
      <c r="J437" s="91">
        <f>EFEITO!$J$437*EFEITO!$Y$437/(1-CUSTOS!$M$38)</f>
        <v>0</v>
      </c>
      <c r="K437" s="91">
        <f ca="1">EFEITO!$L$437*EFEITO!$Z$437/(1-CUSTOS!$M$38)</f>
        <v>11.660838718477027</v>
      </c>
      <c r="L437" s="91">
        <f>EFEITO!$N$437*EFEITO!$AA$437/(1-CUSTOS!$M$38)</f>
        <v>3.1343531562879541</v>
      </c>
      <c r="M437" s="91">
        <f>$J$437-EFEITO!$K$437*EFEITO!$Y$437</f>
        <v>0</v>
      </c>
      <c r="N437" s="91">
        <f ca="1">$K$437-EFEITO!$M$437*EFEITO!$Z$437</f>
        <v>0.69965032310862263</v>
      </c>
      <c r="O437" s="91">
        <f>$L$437-EFEITO!$O$437*EFEITO!$AA$437</f>
        <v>0.18806118937727723</v>
      </c>
      <c r="P437" s="20"/>
      <c r="Q437" s="20"/>
      <c r="R437" s="20"/>
      <c r="S437" s="20"/>
      <c r="T437" s="20"/>
      <c r="U437" s="20"/>
      <c r="V437" s="20"/>
      <c r="W437" s="20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83" t="s">
        <v>21</v>
      </c>
      <c r="B438" s="83" t="s">
        <v>42</v>
      </c>
      <c r="C438" s="83" t="s">
        <v>33</v>
      </c>
      <c r="D438" s="83" t="s">
        <v>43</v>
      </c>
      <c r="E438" s="83" t="s">
        <v>25</v>
      </c>
      <c r="F438" s="83" t="s">
        <v>25</v>
      </c>
      <c r="G438" s="83" t="s">
        <v>25</v>
      </c>
      <c r="H438" s="83" t="s">
        <v>36</v>
      </c>
      <c r="I438" s="90">
        <v>44652</v>
      </c>
      <c r="J438" s="91">
        <f>EFEITO!$J$438*EFEITO!$Y$438/(1-CUSTOS!$M$38)</f>
        <v>0</v>
      </c>
      <c r="K438" s="91">
        <f ca="1">EFEITO!$L$438*EFEITO!$Z$438/(1-CUSTOS!$M$38)</f>
        <v>13.118443558286653</v>
      </c>
      <c r="L438" s="91">
        <f>EFEITO!$N$438*EFEITO!$AA$438/(1-CUSTOS!$M$38)</f>
        <v>3.5261473008239483</v>
      </c>
      <c r="M438" s="91">
        <f>$J$438-EFEITO!$K$438*EFEITO!$Y$438</f>
        <v>0</v>
      </c>
      <c r="N438" s="91">
        <f ca="1">$K$438-EFEITO!$M$438*EFEITO!$Z$438</f>
        <v>0.78710661349719935</v>
      </c>
      <c r="O438" s="91">
        <f>$L$438-EFEITO!$O$438*EFEITO!$AA$438</f>
        <v>0.21156883804943716</v>
      </c>
      <c r="P438" s="20"/>
      <c r="Q438" s="20"/>
      <c r="R438" s="20"/>
      <c r="S438" s="20"/>
      <c r="T438" s="20"/>
      <c r="U438" s="20"/>
      <c r="V438" s="20"/>
      <c r="W438" s="20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83" t="s">
        <v>21</v>
      </c>
      <c r="B439" s="83" t="s">
        <v>42</v>
      </c>
      <c r="C439" s="83" t="s">
        <v>33</v>
      </c>
      <c r="D439" s="83" t="s">
        <v>43</v>
      </c>
      <c r="E439" s="83" t="s">
        <v>25</v>
      </c>
      <c r="F439" s="83" t="s">
        <v>25</v>
      </c>
      <c r="G439" s="83" t="s">
        <v>25</v>
      </c>
      <c r="H439" s="83" t="s">
        <v>36</v>
      </c>
      <c r="I439" s="90">
        <v>44682</v>
      </c>
      <c r="J439" s="91">
        <f>EFEITO!$J$439*EFEITO!$Y$439/(1-CUSTOS!$M$38)</f>
        <v>0</v>
      </c>
      <c r="K439" s="91">
        <f ca="1">EFEITO!$L$439*EFEITO!$Z$439/(1-CUSTOS!$M$38)</f>
        <v>16.033653237905909</v>
      </c>
      <c r="L439" s="91">
        <f>EFEITO!$N$439*EFEITO!$AA$439/(1-CUSTOS!$M$38)</f>
        <v>4.3097355898959373</v>
      </c>
      <c r="M439" s="91">
        <f>$J$439-EFEITO!$K$439*EFEITO!$Y$439</f>
        <v>0</v>
      </c>
      <c r="N439" s="91">
        <f ca="1">$K$439-EFEITO!$M$439*EFEITO!$Z$439</f>
        <v>0.96201919427435456</v>
      </c>
      <c r="O439" s="91">
        <f>$L$439-EFEITO!$O$439*EFEITO!$AA$439</f>
        <v>0.25858413539375658</v>
      </c>
      <c r="P439" s="20"/>
      <c r="Q439" s="20"/>
      <c r="R439" s="20"/>
      <c r="S439" s="20"/>
      <c r="T439" s="20"/>
      <c r="U439" s="20"/>
      <c r="V439" s="20"/>
      <c r="W439" s="20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83" t="s">
        <v>21</v>
      </c>
      <c r="B440" s="83" t="s">
        <v>42</v>
      </c>
      <c r="C440" s="83" t="s">
        <v>33</v>
      </c>
      <c r="D440" s="83" t="s">
        <v>43</v>
      </c>
      <c r="E440" s="83" t="s">
        <v>25</v>
      </c>
      <c r="F440" s="83" t="s">
        <v>25</v>
      </c>
      <c r="G440" s="83" t="s">
        <v>25</v>
      </c>
      <c r="H440" s="83" t="s">
        <v>36</v>
      </c>
      <c r="I440" s="90">
        <v>44713</v>
      </c>
      <c r="J440" s="91">
        <f>EFEITO!$J$440*EFEITO!$Y$440/(1-CUSTOS!$M$38)</f>
        <v>0</v>
      </c>
      <c r="K440" s="91">
        <f ca="1">EFEITO!$L$440*EFEITO!$Z$440/(1-CUSTOS!$M$38)</f>
        <v>16.033653237905909</v>
      </c>
      <c r="L440" s="91">
        <f>EFEITO!$N$440*EFEITO!$AA$440/(1-CUSTOS!$M$38)</f>
        <v>4.3097355898959373</v>
      </c>
      <c r="M440" s="91">
        <f>$J$440-EFEITO!$K$440*EFEITO!$Y$440</f>
        <v>0</v>
      </c>
      <c r="N440" s="91">
        <f ca="1">$K$440-EFEITO!$M$440*EFEITO!$Z$440</f>
        <v>0.96201919427435456</v>
      </c>
      <c r="O440" s="91">
        <f>$L$440-EFEITO!$O$440*EFEITO!$AA$440</f>
        <v>0.25858413539375658</v>
      </c>
      <c r="P440" s="20"/>
      <c r="Q440" s="20"/>
      <c r="R440" s="20"/>
      <c r="S440" s="20"/>
      <c r="T440" s="20"/>
      <c r="U440" s="20"/>
      <c r="V440" s="20"/>
      <c r="W440" s="20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83" t="s">
        <v>21</v>
      </c>
      <c r="B441" s="83" t="s">
        <v>42</v>
      </c>
      <c r="C441" s="83" t="s">
        <v>33</v>
      </c>
      <c r="D441" s="83" t="s">
        <v>43</v>
      </c>
      <c r="E441" s="83" t="s">
        <v>25</v>
      </c>
      <c r="F441" s="83" t="s">
        <v>25</v>
      </c>
      <c r="G441" s="83" t="s">
        <v>25</v>
      </c>
      <c r="H441" s="83" t="s">
        <v>34</v>
      </c>
      <c r="I441" s="90">
        <v>44409</v>
      </c>
      <c r="J441" s="91">
        <f>EFEITO!$J$441*EFEITO!$Y$441/(1-CUSTOS!$M$38)</f>
        <v>0</v>
      </c>
      <c r="K441" s="91">
        <f ca="1">EFEITO!$L$441*EFEITO!$Z$441/(1-CUSTOS!$M$38)</f>
        <v>36.132555373079377</v>
      </c>
      <c r="L441" s="91">
        <f>EFEITO!$N$441*EFEITO!$AA$441/(1-CUSTOS!$M$38)</f>
        <v>9.9651772527476883</v>
      </c>
      <c r="M441" s="91">
        <f>$J$441-EFEITO!$K$441*EFEITO!$Y$441</f>
        <v>0</v>
      </c>
      <c r="N441" s="91">
        <f ca="1">$K$441-EFEITO!$M$441*EFEITO!$Z$441</f>
        <v>2.1679533223847613</v>
      </c>
      <c r="O441" s="91">
        <f>$L$441-EFEITO!$O$441*EFEITO!$AA$441</f>
        <v>0.59791063516486176</v>
      </c>
      <c r="P441" s="20"/>
      <c r="Q441" s="20"/>
      <c r="R441" s="20"/>
      <c r="S441" s="20"/>
      <c r="T441" s="20"/>
      <c r="U441" s="20"/>
      <c r="V441" s="20"/>
      <c r="W441" s="20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83" t="s">
        <v>21</v>
      </c>
      <c r="B442" s="83" t="s">
        <v>42</v>
      </c>
      <c r="C442" s="83" t="s">
        <v>33</v>
      </c>
      <c r="D442" s="83" t="s">
        <v>43</v>
      </c>
      <c r="E442" s="83" t="s">
        <v>25</v>
      </c>
      <c r="F442" s="83" t="s">
        <v>25</v>
      </c>
      <c r="G442" s="83" t="s">
        <v>25</v>
      </c>
      <c r="H442" s="83" t="s">
        <v>34</v>
      </c>
      <c r="I442" s="90">
        <v>44470</v>
      </c>
      <c r="J442" s="91">
        <f>EFEITO!$J$442*EFEITO!$Y$442/(1-CUSTOS!$M$38)</f>
        <v>0</v>
      </c>
      <c r="K442" s="91">
        <f ca="1">EFEITO!$L$442*EFEITO!$Z$442/(1-CUSTOS!$M$38)</f>
        <v>32.745128306853189</v>
      </c>
      <c r="L442" s="91">
        <f>EFEITO!$N$442*EFEITO!$AA$442/(1-CUSTOS!$M$38)</f>
        <v>9.0309418853025942</v>
      </c>
      <c r="M442" s="91">
        <f>$J$442-EFEITO!$K$442*EFEITO!$Y$442</f>
        <v>0</v>
      </c>
      <c r="N442" s="91">
        <f ca="1">$K$442-EFEITO!$M$442*EFEITO!$Z$442</f>
        <v>1.9647076984111926</v>
      </c>
      <c r="O442" s="91">
        <f>$L$442-EFEITO!$O$442*EFEITO!$AA$442</f>
        <v>0.54185651311815697</v>
      </c>
      <c r="P442" s="20"/>
      <c r="Q442" s="20"/>
      <c r="R442" s="20"/>
      <c r="S442" s="20"/>
      <c r="T442" s="20"/>
      <c r="U442" s="20"/>
      <c r="V442" s="20"/>
      <c r="W442" s="20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83" t="s">
        <v>21</v>
      </c>
      <c r="B443" s="83" t="s">
        <v>42</v>
      </c>
      <c r="C443" s="83" t="s">
        <v>33</v>
      </c>
      <c r="D443" s="83" t="s">
        <v>43</v>
      </c>
      <c r="E443" s="83" t="s">
        <v>25</v>
      </c>
      <c r="F443" s="83" t="s">
        <v>25</v>
      </c>
      <c r="G443" s="83" t="s">
        <v>25</v>
      </c>
      <c r="H443" s="83" t="s">
        <v>34</v>
      </c>
      <c r="I443" s="90">
        <v>44501</v>
      </c>
      <c r="J443" s="91">
        <f>EFEITO!$J$443*EFEITO!$Y$443/(1-CUSTOS!$M$38)</f>
        <v>0</v>
      </c>
      <c r="K443" s="91">
        <f ca="1">EFEITO!$L$443*EFEITO!$Z$443/(1-CUSTOS!$M$38)</f>
        <v>38.390840083896848</v>
      </c>
      <c r="L443" s="91">
        <f>EFEITO!$N$443*EFEITO!$AA$443/(1-CUSTOS!$M$38)</f>
        <v>10.58800083104442</v>
      </c>
      <c r="M443" s="91">
        <f>$J$443-EFEITO!$K$443*EFEITO!$Y$443</f>
        <v>0</v>
      </c>
      <c r="N443" s="91">
        <f ca="1">$K$443-EFEITO!$M$443*EFEITO!$Z$443</f>
        <v>2.3034504050338143</v>
      </c>
      <c r="O443" s="91">
        <f>$L$443-EFEITO!$O$443*EFEITO!$AA$443</f>
        <v>0.63528004986266495</v>
      </c>
      <c r="P443" s="20"/>
      <c r="Q443" s="20"/>
      <c r="R443" s="20"/>
      <c r="S443" s="20"/>
      <c r="T443" s="20"/>
      <c r="U443" s="20"/>
      <c r="V443" s="20"/>
      <c r="W443" s="20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83" t="s">
        <v>21</v>
      </c>
      <c r="B444" s="83" t="s">
        <v>42</v>
      </c>
      <c r="C444" s="83" t="s">
        <v>33</v>
      </c>
      <c r="D444" s="83" t="s">
        <v>43</v>
      </c>
      <c r="E444" s="83" t="s">
        <v>25</v>
      </c>
      <c r="F444" s="83" t="s">
        <v>25</v>
      </c>
      <c r="G444" s="83" t="s">
        <v>25</v>
      </c>
      <c r="H444" s="83" t="s">
        <v>34</v>
      </c>
      <c r="I444" s="90">
        <v>44531</v>
      </c>
      <c r="J444" s="91">
        <f>EFEITO!$J$444*EFEITO!$Y$444/(1-CUSTOS!$M$38)</f>
        <v>0</v>
      </c>
      <c r="K444" s="91">
        <f ca="1">EFEITO!$L$444*EFEITO!$Z$444/(1-CUSTOS!$M$38)</f>
        <v>56.457117770436533</v>
      </c>
      <c r="L444" s="91">
        <f>EFEITO!$N$444*EFEITO!$AA$444/(1-CUSTOS!$M$38)</f>
        <v>15.570589457418263</v>
      </c>
      <c r="M444" s="91">
        <f>$J$444-EFEITO!$K$444*EFEITO!$Y$444</f>
        <v>0</v>
      </c>
      <c r="N444" s="91">
        <f ca="1">$K$444-EFEITO!$M$444*EFEITO!$Z$444</f>
        <v>3.3874270662261949</v>
      </c>
      <c r="O444" s="91">
        <f>$L$444-EFEITO!$O$444*EFEITO!$AA$444</f>
        <v>0.93423536744509583</v>
      </c>
      <c r="P444" s="20"/>
      <c r="Q444" s="20"/>
      <c r="R444" s="20"/>
      <c r="S444" s="20"/>
      <c r="T444" s="20"/>
      <c r="U444" s="20"/>
      <c r="V444" s="20"/>
      <c r="W444" s="20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83" t="s">
        <v>21</v>
      </c>
      <c r="B445" s="83" t="s">
        <v>42</v>
      </c>
      <c r="C445" s="83" t="s">
        <v>33</v>
      </c>
      <c r="D445" s="83" t="s">
        <v>43</v>
      </c>
      <c r="E445" s="83" t="s">
        <v>25</v>
      </c>
      <c r="F445" s="83" t="s">
        <v>25</v>
      </c>
      <c r="G445" s="83" t="s">
        <v>25</v>
      </c>
      <c r="H445" s="83" t="s">
        <v>34</v>
      </c>
      <c r="I445" s="90">
        <v>44562</v>
      </c>
      <c r="J445" s="91">
        <f>EFEITO!$J$445*EFEITO!$Y$445/(1-CUSTOS!$M$38)</f>
        <v>0</v>
      </c>
      <c r="K445" s="91">
        <f ca="1">EFEITO!$L$445*EFEITO!$Z$445/(1-CUSTOS!$M$38)</f>
        <v>39.519982439305572</v>
      </c>
      <c r="L445" s="91">
        <f>EFEITO!$N$445*EFEITO!$AA$445/(1-CUSTOS!$M$38)</f>
        <v>10.899412620192786</v>
      </c>
      <c r="M445" s="91">
        <f>$J$445-EFEITO!$K$445*EFEITO!$Y$445</f>
        <v>0</v>
      </c>
      <c r="N445" s="91">
        <f ca="1">$K$445-EFEITO!$M$445*EFEITO!$Z$445</f>
        <v>2.3711989463583336</v>
      </c>
      <c r="O445" s="91">
        <f>$L$445-EFEITO!$O$445*EFEITO!$AA$445</f>
        <v>0.65396475721156833</v>
      </c>
      <c r="P445" s="20"/>
      <c r="Q445" s="20"/>
      <c r="R445" s="20"/>
      <c r="S445" s="20"/>
      <c r="T445" s="20"/>
      <c r="U445" s="20"/>
      <c r="V445" s="20"/>
      <c r="W445" s="20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83" t="s">
        <v>21</v>
      </c>
      <c r="B446" s="83" t="s">
        <v>42</v>
      </c>
      <c r="C446" s="83" t="s">
        <v>33</v>
      </c>
      <c r="D446" s="83" t="s">
        <v>43</v>
      </c>
      <c r="E446" s="83" t="s">
        <v>25</v>
      </c>
      <c r="F446" s="83" t="s">
        <v>25</v>
      </c>
      <c r="G446" s="83" t="s">
        <v>25</v>
      </c>
      <c r="H446" s="83" t="s">
        <v>34</v>
      </c>
      <c r="I446" s="90">
        <v>44593</v>
      </c>
      <c r="J446" s="91">
        <f>EFEITO!$J$446*EFEITO!$Y$446/(1-CUSTOS!$M$38)</f>
        <v>0</v>
      </c>
      <c r="K446" s="91">
        <f ca="1">EFEITO!$L$446*EFEITO!$Z$446/(1-CUSTOS!$M$38)</f>
        <v>40.649124794714297</v>
      </c>
      <c r="L446" s="91">
        <f>EFEITO!$N$446*EFEITO!$AA$446/(1-CUSTOS!$M$38)</f>
        <v>11.21082440934115</v>
      </c>
      <c r="M446" s="91">
        <f>$J$446-EFEITO!$K$446*EFEITO!$Y$446</f>
        <v>0</v>
      </c>
      <c r="N446" s="91">
        <f ca="1">$K$446-EFEITO!$M$446*EFEITO!$Z$446</f>
        <v>2.4389474876828601</v>
      </c>
      <c r="O446" s="91">
        <f>$L$446-EFEITO!$O$446*EFEITO!$AA$446</f>
        <v>0.67264946456046992</v>
      </c>
      <c r="P446" s="20"/>
      <c r="Q446" s="20"/>
      <c r="R446" s="20"/>
      <c r="S446" s="20"/>
      <c r="T446" s="20"/>
      <c r="U446" s="20"/>
      <c r="V446" s="20"/>
      <c r="W446" s="20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83" t="s">
        <v>21</v>
      </c>
      <c r="B447" s="83" t="s">
        <v>42</v>
      </c>
      <c r="C447" s="83" t="s">
        <v>33</v>
      </c>
      <c r="D447" s="83" t="s">
        <v>43</v>
      </c>
      <c r="E447" s="83" t="s">
        <v>25</v>
      </c>
      <c r="F447" s="83" t="s">
        <v>25</v>
      </c>
      <c r="G447" s="83" t="s">
        <v>25</v>
      </c>
      <c r="H447" s="83" t="s">
        <v>34</v>
      </c>
      <c r="I447" s="90">
        <v>44621</v>
      </c>
      <c r="J447" s="91">
        <f>EFEITO!$J$447*EFEITO!$Y$447/(1-CUSTOS!$M$38)</f>
        <v>0</v>
      </c>
      <c r="K447" s="91">
        <f ca="1">EFEITO!$L$447*EFEITO!$Z$447/(1-CUSTOS!$M$38)</f>
        <v>33.874270662261921</v>
      </c>
      <c r="L447" s="91">
        <f>EFEITO!$N$447*EFEITO!$AA$447/(1-CUSTOS!$M$38)</f>
        <v>9.3423536744509583</v>
      </c>
      <c r="M447" s="91">
        <f>$J$447-EFEITO!$K$447*EFEITO!$Y$447</f>
        <v>0</v>
      </c>
      <c r="N447" s="91">
        <f ca="1">$K$447-EFEITO!$M$447*EFEITO!$Z$447</f>
        <v>2.0324562397357191</v>
      </c>
      <c r="O447" s="91">
        <f>$L$447-EFEITO!$O$447*EFEITO!$AA$447</f>
        <v>0.56054122046705857</v>
      </c>
      <c r="P447" s="20"/>
      <c r="Q447" s="20"/>
      <c r="R447" s="20"/>
      <c r="S447" s="20"/>
      <c r="T447" s="20"/>
      <c r="U447" s="20"/>
      <c r="V447" s="20"/>
      <c r="W447" s="20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83" t="s">
        <v>21</v>
      </c>
      <c r="B448" s="83" t="s">
        <v>42</v>
      </c>
      <c r="C448" s="83" t="s">
        <v>33</v>
      </c>
      <c r="D448" s="83" t="s">
        <v>43</v>
      </c>
      <c r="E448" s="83" t="s">
        <v>25</v>
      </c>
      <c r="F448" s="83" t="s">
        <v>25</v>
      </c>
      <c r="G448" s="83" t="s">
        <v>25</v>
      </c>
      <c r="H448" s="83" t="s">
        <v>34</v>
      </c>
      <c r="I448" s="90">
        <v>44652</v>
      </c>
      <c r="J448" s="91">
        <f>EFEITO!$J$448*EFEITO!$Y$448/(1-CUSTOS!$M$38)</f>
        <v>0</v>
      </c>
      <c r="K448" s="91">
        <f ca="1">EFEITO!$L$448*EFEITO!$Z$448/(1-CUSTOS!$M$38)</f>
        <v>35.003413017670653</v>
      </c>
      <c r="L448" s="91">
        <f>EFEITO!$N$448*EFEITO!$AA$448/(1-CUSTOS!$M$38)</f>
        <v>9.6537654635993242</v>
      </c>
      <c r="M448" s="91">
        <f>$J$448-EFEITO!$K$448*EFEITO!$Y$448</f>
        <v>0</v>
      </c>
      <c r="N448" s="91">
        <f ca="1">$K$448-EFEITO!$M$448*EFEITO!$Z$448</f>
        <v>2.100204781060242</v>
      </c>
      <c r="O448" s="91">
        <f>$L$448-EFEITO!$O$448*EFEITO!$AA$448</f>
        <v>0.57922592781596016</v>
      </c>
      <c r="P448" s="20"/>
      <c r="Q448" s="20"/>
      <c r="R448" s="20"/>
      <c r="S448" s="20"/>
      <c r="T448" s="20"/>
      <c r="U448" s="20"/>
      <c r="V448" s="20"/>
      <c r="W448" s="20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83" t="s">
        <v>21</v>
      </c>
      <c r="B449" s="83" t="s">
        <v>42</v>
      </c>
      <c r="C449" s="83" t="s">
        <v>33</v>
      </c>
      <c r="D449" s="83" t="s">
        <v>43</v>
      </c>
      <c r="E449" s="83" t="s">
        <v>25</v>
      </c>
      <c r="F449" s="83" t="s">
        <v>25</v>
      </c>
      <c r="G449" s="83" t="s">
        <v>25</v>
      </c>
      <c r="H449" s="83" t="s">
        <v>34</v>
      </c>
      <c r="I449" s="90">
        <v>44682</v>
      </c>
      <c r="J449" s="91">
        <f>EFEITO!$J$449*EFEITO!$Y$449/(1-CUSTOS!$M$38)</f>
        <v>0</v>
      </c>
      <c r="K449" s="91">
        <f ca="1">EFEITO!$L$449*EFEITO!$Z$449/(1-CUSTOS!$M$38)</f>
        <v>47.423978927166687</v>
      </c>
      <c r="L449" s="91">
        <f>EFEITO!$N$449*EFEITO!$AA$449/(1-CUSTOS!$M$38)</f>
        <v>13.079295144231343</v>
      </c>
      <c r="M449" s="91">
        <f>$J$449-EFEITO!$K$449*EFEITO!$Y$449</f>
        <v>0</v>
      </c>
      <c r="N449" s="91">
        <f ca="1">$K$449-EFEITO!$M$449*EFEITO!$Z$449</f>
        <v>2.8454387356300046</v>
      </c>
      <c r="O449" s="91">
        <f>$L$449-EFEITO!$O$449*EFEITO!$AA$449</f>
        <v>0.78475770865388128</v>
      </c>
      <c r="P449" s="20"/>
      <c r="Q449" s="20"/>
      <c r="R449" s="20"/>
      <c r="S449" s="20"/>
      <c r="T449" s="20"/>
      <c r="U449" s="20"/>
      <c r="V449" s="20"/>
      <c r="W449" s="20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83" t="s">
        <v>21</v>
      </c>
      <c r="B450" s="83" t="s">
        <v>42</v>
      </c>
      <c r="C450" s="83" t="s">
        <v>33</v>
      </c>
      <c r="D450" s="83" t="s">
        <v>43</v>
      </c>
      <c r="E450" s="83" t="s">
        <v>25</v>
      </c>
      <c r="F450" s="83" t="s">
        <v>25</v>
      </c>
      <c r="G450" s="83" t="s">
        <v>25</v>
      </c>
      <c r="H450" s="83" t="s">
        <v>34</v>
      </c>
      <c r="I450" s="90">
        <v>44713</v>
      </c>
      <c r="J450" s="91">
        <f>EFEITO!$J$450*EFEITO!$Y$450/(1-CUSTOS!$M$38)</f>
        <v>0</v>
      </c>
      <c r="K450" s="91">
        <f ca="1">EFEITO!$L$450*EFEITO!$Z$450/(1-CUSTOS!$M$38)</f>
        <v>47.423978927166687</v>
      </c>
      <c r="L450" s="91">
        <f>EFEITO!$N$450*EFEITO!$AA$450/(1-CUSTOS!$M$38)</f>
        <v>13.079295144231343</v>
      </c>
      <c r="M450" s="91">
        <f>$J$450-EFEITO!$K$450*EFEITO!$Y$450</f>
        <v>0</v>
      </c>
      <c r="N450" s="91">
        <f ca="1">$K$450-EFEITO!$M$450*EFEITO!$Z$450</f>
        <v>2.8454387356300046</v>
      </c>
      <c r="O450" s="91">
        <f>$L$450-EFEITO!$O$450*EFEITO!$AA$450</f>
        <v>0.78475770865388128</v>
      </c>
      <c r="P450" s="20"/>
      <c r="Q450" s="20"/>
      <c r="R450" s="20"/>
      <c r="S450" s="20"/>
      <c r="T450" s="20"/>
      <c r="U450" s="20"/>
      <c r="V450" s="20"/>
      <c r="W450" s="20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83" t="s">
        <v>21</v>
      </c>
      <c r="B451" s="83" t="s">
        <v>42</v>
      </c>
      <c r="C451" s="83" t="s">
        <v>23</v>
      </c>
      <c r="D451" s="83" t="s">
        <v>43</v>
      </c>
      <c r="E451" s="83" t="s">
        <v>51</v>
      </c>
      <c r="F451" s="83" t="s">
        <v>52</v>
      </c>
      <c r="G451" s="83" t="s">
        <v>25</v>
      </c>
      <c r="H451" s="83" t="s">
        <v>25</v>
      </c>
      <c r="I451" s="90">
        <v>44378</v>
      </c>
      <c r="J451" s="91">
        <f>EFEITO!$J$451*EFEITO!$Y$295</f>
        <v>0</v>
      </c>
      <c r="K451" s="91">
        <f ca="1">EFEITO!$L$451*EFEITO!$Z$295</f>
        <v>1889.3521915143431</v>
      </c>
      <c r="L451" s="91">
        <f>EFEITO!$N$451*EFEITO!$AA$295</f>
        <v>870.59669318600572</v>
      </c>
      <c r="M451" s="91">
        <f>$J$451-EFEITO!$K$451*EFEITO!$Y$451</f>
        <v>0</v>
      </c>
      <c r="N451" s="91">
        <f ca="1">$K$451-EFEITO!$M$451*EFEITO!$Z$451</f>
        <v>113.36113149086054</v>
      </c>
      <c r="O451" s="91">
        <f>$L$451-EFEITO!$O$451*EFEITO!$AA$451</f>
        <v>52.235801591160453</v>
      </c>
      <c r="P451" s="20"/>
      <c r="Q451" s="20"/>
      <c r="R451" s="20"/>
      <c r="S451" s="20"/>
      <c r="T451" s="20"/>
      <c r="U451" s="20"/>
      <c r="V451" s="20"/>
      <c r="W451" s="20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83" t="s">
        <v>21</v>
      </c>
      <c r="B452" s="83" t="s">
        <v>42</v>
      </c>
      <c r="C452" s="83" t="s">
        <v>23</v>
      </c>
      <c r="D452" s="83" t="s">
        <v>43</v>
      </c>
      <c r="E452" s="83" t="s">
        <v>51</v>
      </c>
      <c r="F452" s="83" t="s">
        <v>52</v>
      </c>
      <c r="G452" s="83" t="s">
        <v>25</v>
      </c>
      <c r="H452" s="83" t="s">
        <v>25</v>
      </c>
      <c r="I452" s="90">
        <v>44409</v>
      </c>
      <c r="J452" s="91">
        <f>EFEITO!$J$452*EFEITO!$Y$295</f>
        <v>0</v>
      </c>
      <c r="K452" s="91">
        <f ca="1">EFEITO!$L$452*EFEITO!$Z$295</f>
        <v>2259.9970619459814</v>
      </c>
      <c r="L452" s="91">
        <f>EFEITO!$N$452*EFEITO!$AA$295</f>
        <v>1041.3865543846769</v>
      </c>
      <c r="M452" s="91">
        <f>$J$452-EFEITO!$K$452*EFEITO!$Y$452</f>
        <v>0</v>
      </c>
      <c r="N452" s="91">
        <f ca="1">$K$452-EFEITO!$M$452*EFEITO!$Z$452</f>
        <v>135.59982371675869</v>
      </c>
      <c r="O452" s="91">
        <f>$L$452-EFEITO!$O$452*EFEITO!$AA$452</f>
        <v>62.483193263080693</v>
      </c>
      <c r="P452" s="20"/>
      <c r="Q452" s="20"/>
      <c r="R452" s="20"/>
      <c r="S452" s="20"/>
      <c r="T452" s="20"/>
      <c r="U452" s="20"/>
      <c r="V452" s="20"/>
      <c r="W452" s="20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83" t="s">
        <v>21</v>
      </c>
      <c r="B453" s="83" t="s">
        <v>42</v>
      </c>
      <c r="C453" s="83" t="s">
        <v>23</v>
      </c>
      <c r="D453" s="83" t="s">
        <v>43</v>
      </c>
      <c r="E453" s="83" t="s">
        <v>51</v>
      </c>
      <c r="F453" s="83" t="s">
        <v>52</v>
      </c>
      <c r="G453" s="83" t="s">
        <v>25</v>
      </c>
      <c r="H453" s="83" t="s">
        <v>25</v>
      </c>
      <c r="I453" s="90">
        <v>44440</v>
      </c>
      <c r="J453" s="91">
        <f>EFEITO!$J$453*EFEITO!$Y$295</f>
        <v>0</v>
      </c>
      <c r="K453" s="91">
        <f ca="1">EFEITO!$L$453*EFEITO!$Z$295</f>
        <v>1265.8124455896379</v>
      </c>
      <c r="L453" s="91">
        <f>EFEITO!$N$453*EFEITO!$AA$295</f>
        <v>583.27512163878293</v>
      </c>
      <c r="M453" s="91">
        <f>$J$453-EFEITO!$K$453*EFEITO!$Y$453</f>
        <v>0</v>
      </c>
      <c r="N453" s="91">
        <f ca="1">$K$453-EFEITO!$M$453*EFEITO!$Z$453</f>
        <v>75.948746735378336</v>
      </c>
      <c r="O453" s="91">
        <f>$L$453-EFEITO!$O$453*EFEITO!$AA$453</f>
        <v>34.99650729832706</v>
      </c>
      <c r="P453" s="20"/>
      <c r="Q453" s="20"/>
      <c r="R453" s="20"/>
      <c r="S453" s="20"/>
      <c r="T453" s="20"/>
      <c r="U453" s="20"/>
      <c r="V453" s="20"/>
      <c r="W453" s="20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83" t="s">
        <v>21</v>
      </c>
      <c r="B454" s="83" t="s">
        <v>42</v>
      </c>
      <c r="C454" s="83" t="s">
        <v>23</v>
      </c>
      <c r="D454" s="83" t="s">
        <v>43</v>
      </c>
      <c r="E454" s="83" t="s">
        <v>51</v>
      </c>
      <c r="F454" s="83" t="s">
        <v>52</v>
      </c>
      <c r="G454" s="83" t="s">
        <v>25</v>
      </c>
      <c r="H454" s="83" t="s">
        <v>25</v>
      </c>
      <c r="I454" s="90">
        <v>44470</v>
      </c>
      <c r="J454" s="91">
        <f>EFEITO!$J$454*EFEITO!$Y$295</f>
        <v>0</v>
      </c>
      <c r="K454" s="91">
        <f ca="1">EFEITO!$L$454*EFEITO!$Z$295</f>
        <v>2500.8493243203311</v>
      </c>
      <c r="L454" s="91">
        <f>EFEITO!$N$454*EFEITO!$AA$295</f>
        <v>1152.3691356690119</v>
      </c>
      <c r="M454" s="91">
        <f>$J$454-EFEITO!$K$454*EFEITO!$Y$454</f>
        <v>0</v>
      </c>
      <c r="N454" s="91">
        <f ca="1">$K$454-EFEITO!$M$454*EFEITO!$Z$454</f>
        <v>150.05095945921994</v>
      </c>
      <c r="O454" s="91">
        <f>$L$454-EFEITO!$O$454*EFEITO!$AA$454</f>
        <v>69.142148140140762</v>
      </c>
      <c r="P454" s="20"/>
      <c r="Q454" s="20"/>
      <c r="R454" s="20"/>
      <c r="S454" s="20"/>
      <c r="T454" s="20"/>
      <c r="U454" s="20"/>
      <c r="V454" s="20"/>
      <c r="W454" s="20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83" t="s">
        <v>21</v>
      </c>
      <c r="B455" s="83" t="s">
        <v>42</v>
      </c>
      <c r="C455" s="83" t="s">
        <v>23</v>
      </c>
      <c r="D455" s="83" t="s">
        <v>43</v>
      </c>
      <c r="E455" s="83" t="s">
        <v>51</v>
      </c>
      <c r="F455" s="83" t="s">
        <v>52</v>
      </c>
      <c r="G455" s="83" t="s">
        <v>25</v>
      </c>
      <c r="H455" s="83" t="s">
        <v>25</v>
      </c>
      <c r="I455" s="90">
        <v>44501</v>
      </c>
      <c r="J455" s="91">
        <f>EFEITO!$J$455*EFEITO!$Y$295</f>
        <v>0</v>
      </c>
      <c r="K455" s="91">
        <f ca="1">EFEITO!$L$455*EFEITO!$Z$295</f>
        <v>13122.880117737253</v>
      </c>
      <c r="L455" s="91">
        <f>EFEITO!$N$455*EFEITO!$AA$295</f>
        <v>6046.9064936068607</v>
      </c>
      <c r="M455" s="91">
        <f>$J$455-EFEITO!$K$455*EFEITO!$Y$455</f>
        <v>0</v>
      </c>
      <c r="N455" s="91">
        <f ca="1">$K$455-EFEITO!$M$455*EFEITO!$Z$455</f>
        <v>787.37280706423553</v>
      </c>
      <c r="O455" s="91">
        <f>$L$455-EFEITO!$O$455*EFEITO!$AA$455</f>
        <v>362.81438961641197</v>
      </c>
      <c r="P455" s="20"/>
      <c r="Q455" s="20"/>
      <c r="R455" s="20"/>
      <c r="S455" s="20"/>
      <c r="T455" s="20"/>
      <c r="U455" s="20"/>
      <c r="V455" s="20"/>
      <c r="W455" s="20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83" t="s">
        <v>21</v>
      </c>
      <c r="B456" s="83" t="s">
        <v>42</v>
      </c>
      <c r="C456" s="83" t="s">
        <v>23</v>
      </c>
      <c r="D456" s="83" t="s">
        <v>43</v>
      </c>
      <c r="E456" s="83" t="s">
        <v>51</v>
      </c>
      <c r="F456" s="83" t="s">
        <v>52</v>
      </c>
      <c r="G456" s="83" t="s">
        <v>25</v>
      </c>
      <c r="H456" s="83" t="s">
        <v>25</v>
      </c>
      <c r="I456" s="90">
        <v>44531</v>
      </c>
      <c r="J456" s="91">
        <f>EFEITO!$J$456*EFEITO!$Y$295</f>
        <v>0</v>
      </c>
      <c r="K456" s="91">
        <f ca="1">EFEITO!$L$456*EFEITO!$Z$295</f>
        <v>18094.24922222707</v>
      </c>
      <c r="L456" s="91">
        <f>EFEITO!$N$456*EFEITO!$AA$295</f>
        <v>8337.6691806350045</v>
      </c>
      <c r="M456" s="91">
        <f>$J$456-EFEITO!$K$456*EFEITO!$Y$456</f>
        <v>0</v>
      </c>
      <c r="N456" s="91">
        <f ca="1">$K$456-EFEITO!$M$456*EFEITO!$Z$456</f>
        <v>1085.6549533336256</v>
      </c>
      <c r="O456" s="91">
        <f>$L$456-EFEITO!$O$456*EFEITO!$AA$456</f>
        <v>500.26015083810125</v>
      </c>
      <c r="P456" s="20"/>
      <c r="Q456" s="20"/>
      <c r="R456" s="20"/>
      <c r="S456" s="20"/>
      <c r="T456" s="20"/>
      <c r="U456" s="20"/>
      <c r="V456" s="20"/>
      <c r="W456" s="20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83" t="s">
        <v>21</v>
      </c>
      <c r="B457" s="83" t="s">
        <v>42</v>
      </c>
      <c r="C457" s="83" t="s">
        <v>23</v>
      </c>
      <c r="D457" s="83" t="s">
        <v>43</v>
      </c>
      <c r="E457" s="83" t="s">
        <v>51</v>
      </c>
      <c r="F457" s="83" t="s">
        <v>52</v>
      </c>
      <c r="G457" s="83" t="s">
        <v>25</v>
      </c>
      <c r="H457" s="83" t="s">
        <v>25</v>
      </c>
      <c r="I457" s="90">
        <v>44562</v>
      </c>
      <c r="J457" s="91">
        <f>EFEITO!$J$457*EFEITO!$Y$295</f>
        <v>0</v>
      </c>
      <c r="K457" s="91">
        <f ca="1">EFEITO!$L$457*EFEITO!$Z$295</f>
        <v>16990.78904238607</v>
      </c>
      <c r="L457" s="91">
        <f>EFEITO!$N$457*EFEITO!$AA$295</f>
        <v>7829.2045397138118</v>
      </c>
      <c r="M457" s="91">
        <f>$J$457-EFEITO!$K$457*EFEITO!$Y$457</f>
        <v>0</v>
      </c>
      <c r="N457" s="91">
        <f ca="1">$K$457-EFEITO!$M$457*EFEITO!$Z$457</f>
        <v>1019.4473425431643</v>
      </c>
      <c r="O457" s="91">
        <f>$L$457-EFEITO!$O$457*EFEITO!$AA$457</f>
        <v>469.75227238282969</v>
      </c>
      <c r="P457" s="20"/>
      <c r="Q457" s="20"/>
      <c r="R457" s="20"/>
      <c r="S457" s="20"/>
      <c r="T457" s="20"/>
      <c r="U457" s="20"/>
      <c r="V457" s="20"/>
      <c r="W457" s="20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83" t="s">
        <v>21</v>
      </c>
      <c r="B458" s="83" t="s">
        <v>42</v>
      </c>
      <c r="C458" s="83" t="s">
        <v>23</v>
      </c>
      <c r="D458" s="83" t="s">
        <v>43</v>
      </c>
      <c r="E458" s="83" t="s">
        <v>51</v>
      </c>
      <c r="F458" s="83" t="s">
        <v>52</v>
      </c>
      <c r="G458" s="83" t="s">
        <v>25</v>
      </c>
      <c r="H458" s="83" t="s">
        <v>25</v>
      </c>
      <c r="I458" s="90">
        <v>44593</v>
      </c>
      <c r="J458" s="91">
        <f>EFEITO!$J$458*EFEITO!$Y$295</f>
        <v>0</v>
      </c>
      <c r="K458" s="91">
        <f ca="1">EFEITO!$L$458*EFEITO!$Z$295</f>
        <v>12171.959704066672</v>
      </c>
      <c r="L458" s="91">
        <f>EFEITO!$N$458*EFEITO!$AA$295</f>
        <v>5608.7308208324121</v>
      </c>
      <c r="M458" s="91">
        <f>$J$458-EFEITO!$K$458*EFEITO!$Y$458</f>
        <v>0</v>
      </c>
      <c r="N458" s="91">
        <f ca="1">$K$458-EFEITO!$M$458*EFEITO!$Z$458</f>
        <v>730.31758224400073</v>
      </c>
      <c r="O458" s="91">
        <f>$L$458-EFEITO!$O$458*EFEITO!$AA$458</f>
        <v>336.52384924994567</v>
      </c>
      <c r="P458" s="20"/>
      <c r="Q458" s="20"/>
      <c r="R458" s="20"/>
      <c r="S458" s="20"/>
      <c r="T458" s="20"/>
      <c r="U458" s="20"/>
      <c r="V458" s="20"/>
      <c r="W458" s="20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83" t="s">
        <v>21</v>
      </c>
      <c r="B459" s="83" t="s">
        <v>42</v>
      </c>
      <c r="C459" s="83" t="s">
        <v>23</v>
      </c>
      <c r="D459" s="83" t="s">
        <v>43</v>
      </c>
      <c r="E459" s="83" t="s">
        <v>51</v>
      </c>
      <c r="F459" s="83" t="s">
        <v>52</v>
      </c>
      <c r="G459" s="83" t="s">
        <v>25</v>
      </c>
      <c r="H459" s="83" t="s">
        <v>25</v>
      </c>
      <c r="I459" s="90">
        <v>44621</v>
      </c>
      <c r="J459" s="91">
        <f>EFEITO!$J$459*EFEITO!$Y$295</f>
        <v>0</v>
      </c>
      <c r="K459" s="91">
        <f ca="1">EFEITO!$L$459*EFEITO!$Z$295</f>
        <v>1690.8720864095551</v>
      </c>
      <c r="L459" s="91">
        <f>EFEITO!$N$459*EFEITO!$AA$295</f>
        <v>779.13882527576675</v>
      </c>
      <c r="M459" s="91">
        <f>$J$459-EFEITO!$K$459*EFEITO!$Y$459</f>
        <v>0</v>
      </c>
      <c r="N459" s="91">
        <f ca="1">$K$459-EFEITO!$M$459*EFEITO!$Z$459</f>
        <v>101.45232518457351</v>
      </c>
      <c r="O459" s="91">
        <f>$L$459-EFEITO!$O$459*EFEITO!$AA$459</f>
        <v>46.748329516546164</v>
      </c>
      <c r="P459" s="20"/>
      <c r="Q459" s="20"/>
      <c r="R459" s="20"/>
      <c r="S459" s="20"/>
      <c r="T459" s="20"/>
      <c r="U459" s="20"/>
      <c r="V459" s="20"/>
      <c r="W459" s="20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83" t="s">
        <v>21</v>
      </c>
      <c r="B460" s="83" t="s">
        <v>42</v>
      </c>
      <c r="C460" s="83" t="s">
        <v>23</v>
      </c>
      <c r="D460" s="83" t="s">
        <v>43</v>
      </c>
      <c r="E460" s="83" t="s">
        <v>51</v>
      </c>
      <c r="F460" s="83" t="s">
        <v>52</v>
      </c>
      <c r="G460" s="83" t="s">
        <v>25</v>
      </c>
      <c r="H460" s="83" t="s">
        <v>25</v>
      </c>
      <c r="I460" s="90">
        <v>44652</v>
      </c>
      <c r="J460" s="91">
        <f>EFEITO!$J$460*EFEITO!$Y$295</f>
        <v>0</v>
      </c>
      <c r="K460" s="91">
        <f ca="1">EFEITO!$L$460*EFEITO!$Z$295</f>
        <v>838.07666852111686</v>
      </c>
      <c r="L460" s="91">
        <f>EFEITO!$N$460*EFEITO!$AA$295</f>
        <v>386.17827820975094</v>
      </c>
      <c r="M460" s="91">
        <f>$J$460-EFEITO!$K$460*EFEITO!$Y$460</f>
        <v>0</v>
      </c>
      <c r="N460" s="91">
        <f ca="1">$K$460-EFEITO!$M$460*EFEITO!$Z$460</f>
        <v>50.284600111267082</v>
      </c>
      <c r="O460" s="91">
        <f>$L$460-EFEITO!$O$460*EFEITO!$AA$460</f>
        <v>23.170696692585125</v>
      </c>
      <c r="P460" s="20"/>
      <c r="Q460" s="20"/>
      <c r="R460" s="20"/>
      <c r="S460" s="20"/>
      <c r="T460" s="20"/>
      <c r="U460" s="20"/>
      <c r="V460" s="20"/>
      <c r="W460" s="20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83" t="s">
        <v>21</v>
      </c>
      <c r="B461" s="83" t="s">
        <v>42</v>
      </c>
      <c r="C461" s="83" t="s">
        <v>23</v>
      </c>
      <c r="D461" s="83" t="s">
        <v>43</v>
      </c>
      <c r="E461" s="83" t="s">
        <v>51</v>
      </c>
      <c r="F461" s="83" t="s">
        <v>52</v>
      </c>
      <c r="G461" s="83" t="s">
        <v>25</v>
      </c>
      <c r="H461" s="83" t="s">
        <v>25</v>
      </c>
      <c r="I461" s="90">
        <v>44682</v>
      </c>
      <c r="J461" s="91">
        <f>EFEITO!$J$461*EFEITO!$Y$295</f>
        <v>0</v>
      </c>
      <c r="K461" s="91">
        <f ca="1">EFEITO!$L$461*EFEITO!$Z$295</f>
        <v>518.27838681295248</v>
      </c>
      <c r="L461" s="91">
        <f>EFEITO!$N$461*EFEITO!$AA$295</f>
        <v>238.81807305999496</v>
      </c>
      <c r="M461" s="91">
        <f>$J$461-EFEITO!$K$461*EFEITO!$Y$461</f>
        <v>0</v>
      </c>
      <c r="N461" s="91">
        <f ca="1">$K$461-EFEITO!$M$461*EFEITO!$Z$461</f>
        <v>31.096703208777171</v>
      </c>
      <c r="O461" s="91">
        <f>$L$461-EFEITO!$O$461*EFEITO!$AA$461</f>
        <v>14.329084383599735</v>
      </c>
      <c r="P461" s="20"/>
      <c r="Q461" s="20"/>
      <c r="R461" s="20"/>
      <c r="S461" s="20"/>
      <c r="T461" s="20"/>
      <c r="U461" s="20"/>
      <c r="V461" s="20"/>
      <c r="W461" s="20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83" t="s">
        <v>21</v>
      </c>
      <c r="B462" s="83" t="s">
        <v>42</v>
      </c>
      <c r="C462" s="83" t="s">
        <v>23</v>
      </c>
      <c r="D462" s="83" t="s">
        <v>43</v>
      </c>
      <c r="E462" s="83" t="s">
        <v>51</v>
      </c>
      <c r="F462" s="83" t="s">
        <v>52</v>
      </c>
      <c r="G462" s="83" t="s">
        <v>25</v>
      </c>
      <c r="H462" s="83" t="s">
        <v>25</v>
      </c>
      <c r="I462" s="90">
        <v>44713</v>
      </c>
      <c r="J462" s="91">
        <f>EFEITO!$J$462*EFEITO!$Y$295</f>
        <v>0</v>
      </c>
      <c r="K462" s="91">
        <f ca="1">EFEITO!$L$462*EFEITO!$Z$295</f>
        <v>356.81816648051813</v>
      </c>
      <c r="L462" s="91">
        <f>EFEITO!$N$462*EFEITO!$AA$295</f>
        <v>164.4186389397556</v>
      </c>
      <c r="M462" s="91">
        <f>$J$462-EFEITO!$K$462*EFEITO!$Y$462</f>
        <v>0</v>
      </c>
      <c r="N462" s="91">
        <f ca="1">$K$462-EFEITO!$M$462*EFEITO!$Z$462</f>
        <v>21.409089988831113</v>
      </c>
      <c r="O462" s="91">
        <f>$L$462-EFEITO!$O$462*EFEITO!$AA$462</f>
        <v>9.8651183363853647</v>
      </c>
      <c r="P462" s="20"/>
      <c r="Q462" s="20"/>
      <c r="R462" s="20"/>
      <c r="S462" s="20"/>
      <c r="T462" s="20"/>
      <c r="U462" s="20"/>
      <c r="V462" s="20"/>
      <c r="W462" s="20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83" t="s">
        <v>21</v>
      </c>
      <c r="B463" s="83" t="s">
        <v>42</v>
      </c>
      <c r="C463" s="83" t="s">
        <v>23</v>
      </c>
      <c r="D463" s="83" t="s">
        <v>43</v>
      </c>
      <c r="E463" s="83" t="s">
        <v>51</v>
      </c>
      <c r="F463" s="83" t="s">
        <v>53</v>
      </c>
      <c r="G463" s="83" t="s">
        <v>25</v>
      </c>
      <c r="H463" s="83" t="s">
        <v>25</v>
      </c>
      <c r="I463" s="90">
        <v>44378</v>
      </c>
      <c r="J463" s="91">
        <f>EFEITO!$J$463*EFEITO!$Y$295</f>
        <v>0</v>
      </c>
      <c r="K463" s="91">
        <f ca="1">EFEITO!$L$463*EFEITO!$Z$295</f>
        <v>367.07668876683294</v>
      </c>
      <c r="L463" s="91">
        <f>EFEITO!$N$463*EFEITO!$AA$295</f>
        <v>169.14567480927354</v>
      </c>
      <c r="M463" s="91">
        <f>$J$463-EFEITO!$K$463*EFEITO!$Y$463</f>
        <v>0</v>
      </c>
      <c r="N463" s="91">
        <f ca="1">$K$463-EFEITO!$M$463*EFEITO!$Z$463</f>
        <v>229.05585379050376</v>
      </c>
      <c r="O463" s="91">
        <f>$L$463-EFEITO!$O$463*EFEITO!$AA$463</f>
        <v>105.5469010809867</v>
      </c>
      <c r="P463" s="20"/>
      <c r="Q463" s="20"/>
      <c r="R463" s="20"/>
      <c r="S463" s="20"/>
      <c r="T463" s="20"/>
      <c r="U463" s="20"/>
      <c r="V463" s="20"/>
      <c r="W463" s="20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83" t="s">
        <v>21</v>
      </c>
      <c r="B464" s="83" t="s">
        <v>42</v>
      </c>
      <c r="C464" s="83" t="s">
        <v>23</v>
      </c>
      <c r="D464" s="83" t="s">
        <v>43</v>
      </c>
      <c r="E464" s="83" t="s">
        <v>51</v>
      </c>
      <c r="F464" s="83" t="s">
        <v>53</v>
      </c>
      <c r="G464" s="83" t="s">
        <v>25</v>
      </c>
      <c r="H464" s="83" t="s">
        <v>25</v>
      </c>
      <c r="I464" s="90">
        <v>44409</v>
      </c>
      <c r="J464" s="91">
        <f>EFEITO!$J$464*EFEITO!$Y$295</f>
        <v>0</v>
      </c>
      <c r="K464" s="91">
        <f ca="1">EFEITO!$L$464*EFEITO!$Z$295</f>
        <v>759.1306491873022</v>
      </c>
      <c r="L464" s="91">
        <f>EFEITO!$N$464*EFEITO!$AA$295</f>
        <v>349.80065434432998</v>
      </c>
      <c r="M464" s="91">
        <f>$J$464-EFEITO!$K$464*EFEITO!$Y$464</f>
        <v>0</v>
      </c>
      <c r="N464" s="91">
        <f ca="1">$K$464-EFEITO!$M$464*EFEITO!$Z$464</f>
        <v>473.69752509287662</v>
      </c>
      <c r="O464" s="91">
        <f>$L$464-EFEITO!$O$464*EFEITO!$AA$464</f>
        <v>218.27560831086194</v>
      </c>
      <c r="P464" s="20"/>
      <c r="Q464" s="20"/>
      <c r="R464" s="20"/>
      <c r="S464" s="20"/>
      <c r="T464" s="20"/>
      <c r="U464" s="20"/>
      <c r="V464" s="20"/>
      <c r="W464" s="20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83" t="s">
        <v>21</v>
      </c>
      <c r="B465" s="83" t="s">
        <v>42</v>
      </c>
      <c r="C465" s="83" t="s">
        <v>23</v>
      </c>
      <c r="D465" s="83" t="s">
        <v>43</v>
      </c>
      <c r="E465" s="83" t="s">
        <v>51</v>
      </c>
      <c r="F465" s="83" t="s">
        <v>53</v>
      </c>
      <c r="G465" s="83" t="s">
        <v>25</v>
      </c>
      <c r="H465" s="83" t="s">
        <v>25</v>
      </c>
      <c r="I465" s="90">
        <v>44440</v>
      </c>
      <c r="J465" s="91">
        <f>EFEITO!$J$465*EFEITO!$Y$295</f>
        <v>0</v>
      </c>
      <c r="K465" s="91">
        <f ca="1">EFEITO!$L$465*EFEITO!$Z$295</f>
        <v>550.39202179619917</v>
      </c>
      <c r="L465" s="91">
        <f>EFEITO!$N$465*EFEITO!$AA$295</f>
        <v>253.61575056457298</v>
      </c>
      <c r="M465" s="91">
        <f>$J$465-EFEITO!$K$465*EFEITO!$Y$465</f>
        <v>0</v>
      </c>
      <c r="N465" s="91">
        <f ca="1">$K$465-EFEITO!$M$465*EFEITO!$Z$465</f>
        <v>343.44462160082833</v>
      </c>
      <c r="O465" s="91">
        <f>$L$465-EFEITO!$O$465*EFEITO!$AA$465</f>
        <v>158.25622835229353</v>
      </c>
      <c r="P465" s="20"/>
      <c r="Q465" s="20"/>
      <c r="R465" s="20"/>
      <c r="S465" s="20"/>
      <c r="T465" s="20"/>
      <c r="U465" s="20"/>
      <c r="V465" s="20"/>
      <c r="W465" s="20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83" t="s">
        <v>21</v>
      </c>
      <c r="B466" s="83" t="s">
        <v>42</v>
      </c>
      <c r="C466" s="83" t="s">
        <v>23</v>
      </c>
      <c r="D466" s="83" t="s">
        <v>43</v>
      </c>
      <c r="E466" s="83" t="s">
        <v>51</v>
      </c>
      <c r="F466" s="83" t="s">
        <v>53</v>
      </c>
      <c r="G466" s="83" t="s">
        <v>25</v>
      </c>
      <c r="H466" s="83" t="s">
        <v>25</v>
      </c>
      <c r="I466" s="90">
        <v>44470</v>
      </c>
      <c r="J466" s="91">
        <f>EFEITO!$J$466*EFEITO!$Y$295</f>
        <v>0</v>
      </c>
      <c r="K466" s="91">
        <f ca="1">EFEITO!$L$466*EFEITO!$Z$295</f>
        <v>1108.3664296301092</v>
      </c>
      <c r="L466" s="91">
        <f>EFEITO!$N$466*EFEITO!$AA$295</f>
        <v>510.72539720661575</v>
      </c>
      <c r="M466" s="91">
        <f>$J$466-EFEITO!$K$466*EFEITO!$Y$466</f>
        <v>0</v>
      </c>
      <c r="N466" s="91">
        <f ca="1">$K$466-EFEITO!$M$466*EFEITO!$Z$466</f>
        <v>691.62065208918807</v>
      </c>
      <c r="O466" s="91">
        <f>$L$466-EFEITO!$O$466*EFEITO!$AA$466</f>
        <v>318.69264785692826</v>
      </c>
      <c r="P466" s="20"/>
      <c r="Q466" s="20"/>
      <c r="R466" s="20"/>
      <c r="S466" s="20"/>
      <c r="T466" s="20"/>
      <c r="U466" s="20"/>
      <c r="V466" s="20"/>
      <c r="W466" s="20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83" t="s">
        <v>21</v>
      </c>
      <c r="B467" s="83" t="s">
        <v>42</v>
      </c>
      <c r="C467" s="83" t="s">
        <v>23</v>
      </c>
      <c r="D467" s="83" t="s">
        <v>43</v>
      </c>
      <c r="E467" s="83" t="s">
        <v>51</v>
      </c>
      <c r="F467" s="83" t="s">
        <v>53</v>
      </c>
      <c r="G467" s="83" t="s">
        <v>25</v>
      </c>
      <c r="H467" s="83" t="s">
        <v>25</v>
      </c>
      <c r="I467" s="90">
        <v>44501</v>
      </c>
      <c r="J467" s="91">
        <f>EFEITO!$J$467*EFEITO!$Y$295</f>
        <v>0</v>
      </c>
      <c r="K467" s="91">
        <f ca="1">EFEITO!$L$467*EFEITO!$Z$295</f>
        <v>5553.8747612692641</v>
      </c>
      <c r="L467" s="91">
        <f>EFEITO!$N$467*EFEITO!$AA$295</f>
        <v>2559.1761150972957</v>
      </c>
      <c r="M467" s="91">
        <f>$J$467-EFEITO!$K$467*EFEITO!$Y$467</f>
        <v>0</v>
      </c>
      <c r="N467" s="91">
        <f ca="1">$K$467-EFEITO!$M$467*EFEITO!$Z$467</f>
        <v>3465.617851032021</v>
      </c>
      <c r="O467" s="91">
        <f>$L$467-EFEITO!$O$467*EFEITO!$AA$467</f>
        <v>1596.9258958207126</v>
      </c>
      <c r="P467" s="20"/>
      <c r="Q467" s="20"/>
      <c r="R467" s="20"/>
      <c r="S467" s="20"/>
      <c r="T467" s="20"/>
      <c r="U467" s="20"/>
      <c r="V467" s="20"/>
      <c r="W467" s="20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83" t="s">
        <v>21</v>
      </c>
      <c r="B468" s="83" t="s">
        <v>42</v>
      </c>
      <c r="C468" s="83" t="s">
        <v>23</v>
      </c>
      <c r="D468" s="83" t="s">
        <v>43</v>
      </c>
      <c r="E468" s="83" t="s">
        <v>51</v>
      </c>
      <c r="F468" s="83" t="s">
        <v>53</v>
      </c>
      <c r="G468" s="83" t="s">
        <v>25</v>
      </c>
      <c r="H468" s="83" t="s">
        <v>25</v>
      </c>
      <c r="I468" s="90">
        <v>44531</v>
      </c>
      <c r="J468" s="91">
        <f>EFEITO!$J$468*EFEITO!$Y$295</f>
        <v>0</v>
      </c>
      <c r="K468" s="91">
        <f ca="1">EFEITO!$L$468*EFEITO!$Z$295</f>
        <v>7856.6900031929072</v>
      </c>
      <c r="L468" s="91">
        <f>EFEITO!$N$468*EFEITO!$AA$295</f>
        <v>3620.2929061547429</v>
      </c>
      <c r="M468" s="91">
        <f>$J$468-EFEITO!$K$468*EFEITO!$Y$468</f>
        <v>0</v>
      </c>
      <c r="N468" s="91">
        <f ca="1">$K$468-EFEITO!$M$468*EFEITO!$Z$468</f>
        <v>4902.5745619923746</v>
      </c>
      <c r="O468" s="91">
        <f>$L$468-EFEITO!$O$468*EFEITO!$AA$468</f>
        <v>2259.0627734405598</v>
      </c>
      <c r="P468" s="20"/>
      <c r="Q468" s="20"/>
      <c r="R468" s="20"/>
      <c r="S468" s="20"/>
      <c r="T468" s="20"/>
      <c r="U468" s="20"/>
      <c r="V468" s="20"/>
      <c r="W468" s="20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83" t="s">
        <v>21</v>
      </c>
      <c r="B469" s="83" t="s">
        <v>42</v>
      </c>
      <c r="C469" s="83" t="s">
        <v>23</v>
      </c>
      <c r="D469" s="83" t="s">
        <v>43</v>
      </c>
      <c r="E469" s="83" t="s">
        <v>51</v>
      </c>
      <c r="F469" s="83" t="s">
        <v>53</v>
      </c>
      <c r="G469" s="83" t="s">
        <v>25</v>
      </c>
      <c r="H469" s="83" t="s">
        <v>25</v>
      </c>
      <c r="I469" s="90">
        <v>44562</v>
      </c>
      <c r="J469" s="91">
        <f>EFEITO!$J$469*EFEITO!$Y$295</f>
        <v>0</v>
      </c>
      <c r="K469" s="91">
        <f ca="1">EFEITO!$L$469*EFEITO!$Z$295</f>
        <v>8898.5990493160207</v>
      </c>
      <c r="L469" s="91">
        <f>EFEITO!$N$469*EFEITO!$AA$295</f>
        <v>4100.3953318588292</v>
      </c>
      <c r="M469" s="91">
        <f>$J$469-EFEITO!$K$469*EFEITO!$Y$469</f>
        <v>0</v>
      </c>
      <c r="N469" s="91">
        <f ca="1">$K$469-EFEITO!$M$469*EFEITO!$Z$469</f>
        <v>5552.7258067731964</v>
      </c>
      <c r="O469" s="91">
        <f>$L$469-EFEITO!$O$469*EFEITO!$AA$469</f>
        <v>2558.6466870799095</v>
      </c>
      <c r="P469" s="20"/>
      <c r="Q469" s="20"/>
      <c r="R469" s="20"/>
      <c r="S469" s="20"/>
      <c r="T469" s="20"/>
      <c r="U469" s="20"/>
      <c r="V469" s="20"/>
      <c r="W469" s="20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83" t="s">
        <v>21</v>
      </c>
      <c r="B470" s="83" t="s">
        <v>42</v>
      </c>
      <c r="C470" s="83" t="s">
        <v>23</v>
      </c>
      <c r="D470" s="83" t="s">
        <v>43</v>
      </c>
      <c r="E470" s="83" t="s">
        <v>51</v>
      </c>
      <c r="F470" s="83" t="s">
        <v>53</v>
      </c>
      <c r="G470" s="83" t="s">
        <v>25</v>
      </c>
      <c r="H470" s="83" t="s">
        <v>25</v>
      </c>
      <c r="I470" s="90">
        <v>44593</v>
      </c>
      <c r="J470" s="91">
        <f>EFEITO!$J$470*EFEITO!$Y$295</f>
        <v>0</v>
      </c>
      <c r="K470" s="91">
        <f ca="1">EFEITO!$L$470*EFEITO!$Z$295</f>
        <v>6111.8491691031741</v>
      </c>
      <c r="L470" s="91">
        <f>EFEITO!$N$470*EFEITO!$AA$295</f>
        <v>2816.2857617393383</v>
      </c>
      <c r="M470" s="91">
        <f>$J$470-EFEITO!$K$470*EFEITO!$Y$470</f>
        <v>0</v>
      </c>
      <c r="N470" s="91">
        <f ca="1">$K$470-EFEITO!$M$470*EFEITO!$Z$470</f>
        <v>3813.7938815203806</v>
      </c>
      <c r="O470" s="91">
        <f>$L$470-EFEITO!$O$470*EFEITO!$AA$470</f>
        <v>1757.3623153253473</v>
      </c>
      <c r="P470" s="20"/>
      <c r="Q470" s="20"/>
      <c r="R470" s="20"/>
      <c r="S470" s="20"/>
      <c r="T470" s="20"/>
      <c r="U470" s="20"/>
      <c r="V470" s="20"/>
      <c r="W470" s="20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83" t="s">
        <v>21</v>
      </c>
      <c r="B471" s="83" t="s">
        <v>42</v>
      </c>
      <c r="C471" s="83" t="s">
        <v>23</v>
      </c>
      <c r="D471" s="83" t="s">
        <v>43</v>
      </c>
      <c r="E471" s="83" t="s">
        <v>51</v>
      </c>
      <c r="F471" s="83" t="s">
        <v>53</v>
      </c>
      <c r="G471" s="83" t="s">
        <v>25</v>
      </c>
      <c r="H471" s="83" t="s">
        <v>25</v>
      </c>
      <c r="I471" s="90">
        <v>44621</v>
      </c>
      <c r="J471" s="91">
        <f>EFEITO!$J$471*EFEITO!$Y$295</f>
        <v>0</v>
      </c>
      <c r="K471" s="91">
        <f ca="1">EFEITO!$L$471*EFEITO!$Z$295</f>
        <v>673.49428923197786</v>
      </c>
      <c r="L471" s="91">
        <f>EFEITO!$N$471*EFEITO!$AA$295</f>
        <v>310.34018099878864</v>
      </c>
      <c r="M471" s="91">
        <f>$J$471-EFEITO!$K$471*EFEITO!$Y$471</f>
        <v>0</v>
      </c>
      <c r="N471" s="91">
        <f ca="1">$K$471-EFEITO!$M$471*EFEITO!$Z$471</f>
        <v>420.26043648075421</v>
      </c>
      <c r="O471" s="91">
        <f>$L$471-EFEITO!$O$471*EFEITO!$AA$471</f>
        <v>193.65227294324413</v>
      </c>
      <c r="P471" s="20"/>
      <c r="Q471" s="20"/>
      <c r="R471" s="20"/>
      <c r="S471" s="20"/>
      <c r="T471" s="20"/>
      <c r="U471" s="20"/>
      <c r="V471" s="20"/>
      <c r="W471" s="20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83" t="s">
        <v>21</v>
      </c>
      <c r="B472" s="83" t="s">
        <v>42</v>
      </c>
      <c r="C472" s="83" t="s">
        <v>23</v>
      </c>
      <c r="D472" s="83" t="s">
        <v>43</v>
      </c>
      <c r="E472" s="83" t="s">
        <v>51</v>
      </c>
      <c r="F472" s="83" t="s">
        <v>53</v>
      </c>
      <c r="G472" s="83" t="s">
        <v>25</v>
      </c>
      <c r="H472" s="83" t="s">
        <v>25</v>
      </c>
      <c r="I472" s="90">
        <v>44652</v>
      </c>
      <c r="J472" s="91">
        <f>EFEITO!$J$472*EFEITO!$Y$295</f>
        <v>0</v>
      </c>
      <c r="K472" s="91">
        <f ca="1">EFEITO!$L$472*EFEITO!$Z$295</f>
        <v>165.92044741344091</v>
      </c>
      <c r="L472" s="91">
        <f>EFEITO!$N$472*EFEITO!$AA$295</f>
        <v>76.454667106986349</v>
      </c>
      <c r="M472" s="91">
        <f>$J$472-EFEITO!$K$472*EFEITO!$Y$472</f>
        <v>0</v>
      </c>
      <c r="N472" s="91">
        <f ca="1">$K$472-EFEITO!$M$472*EFEITO!$Z$472</f>
        <v>103.53435918598714</v>
      </c>
      <c r="O472" s="91">
        <f>$L$472-EFEITO!$O$472*EFEITO!$AA$472</f>
        <v>47.707712274759487</v>
      </c>
      <c r="P472" s="20"/>
      <c r="Q472" s="20"/>
      <c r="R472" s="20"/>
      <c r="S472" s="20"/>
      <c r="T472" s="20"/>
      <c r="U472" s="20"/>
      <c r="V472" s="20"/>
      <c r="W472" s="20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83" t="s">
        <v>21</v>
      </c>
      <c r="B473" s="83" t="s">
        <v>42</v>
      </c>
      <c r="C473" s="83" t="s">
        <v>23</v>
      </c>
      <c r="D473" s="83" t="s">
        <v>43</v>
      </c>
      <c r="E473" s="83" t="s">
        <v>51</v>
      </c>
      <c r="F473" s="83" t="s">
        <v>53</v>
      </c>
      <c r="G473" s="83" t="s">
        <v>25</v>
      </c>
      <c r="H473" s="83" t="s">
        <v>25</v>
      </c>
      <c r="I473" s="90">
        <v>44682</v>
      </c>
      <c r="J473" s="91">
        <f>EFEITO!$J$473*EFEITO!$Y$295</f>
        <v>0</v>
      </c>
      <c r="K473" s="91">
        <f ca="1">EFEITO!$L$473*EFEITO!$Z$295</f>
        <v>67.795451631298434</v>
      </c>
      <c r="L473" s="91">
        <f>EFEITO!$N$473*EFEITO!$AA$295</f>
        <v>31.239541398553559</v>
      </c>
      <c r="M473" s="91">
        <f>$J$473-EFEITO!$K$473*EFEITO!$Y$473</f>
        <v>0</v>
      </c>
      <c r="N473" s="91">
        <f ca="1">$K$473-EFEITO!$M$473*EFEITO!$Z$473</f>
        <v>42.304361817930229</v>
      </c>
      <c r="O473" s="91">
        <f>$L$473-EFEITO!$O$473*EFEITO!$AA$473</f>
        <v>19.493473832697422</v>
      </c>
      <c r="P473" s="20"/>
      <c r="Q473" s="20"/>
      <c r="R473" s="20"/>
      <c r="S473" s="20"/>
      <c r="T473" s="20"/>
      <c r="U473" s="20"/>
      <c r="V473" s="20"/>
      <c r="W473" s="20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83" t="s">
        <v>21</v>
      </c>
      <c r="B474" s="83" t="s">
        <v>42</v>
      </c>
      <c r="C474" s="83" t="s">
        <v>23</v>
      </c>
      <c r="D474" s="83" t="s">
        <v>43</v>
      </c>
      <c r="E474" s="83" t="s">
        <v>25</v>
      </c>
      <c r="F474" s="83" t="s">
        <v>25</v>
      </c>
      <c r="G474" s="83" t="s">
        <v>25</v>
      </c>
      <c r="H474" s="83" t="s">
        <v>25</v>
      </c>
      <c r="I474" s="90">
        <v>44378</v>
      </c>
      <c r="J474" s="91">
        <f>EFEITO!$J$474*EFEITO!$Y$295</f>
        <v>0</v>
      </c>
      <c r="K474" s="91">
        <f ca="1">EFEITO!$L$474*EFEITO!$Z$295</f>
        <v>502522.18862658902</v>
      </c>
      <c r="L474" s="91">
        <f>EFEITO!$N$474*EFEITO!$AA$295</f>
        <v>231557.75701101273</v>
      </c>
      <c r="M474" s="91">
        <f>$J$474-EFEITO!$K$474*EFEITO!$Y$474</f>
        <v>0</v>
      </c>
      <c r="N474" s="91">
        <f ca="1">$K$474-EFEITO!$M$474*EFEITO!$Z$474</f>
        <v>30151.331317595381</v>
      </c>
      <c r="O474" s="91">
        <f>$L$474-EFEITO!$O$474*EFEITO!$AA$474</f>
        <v>13893.465420660796</v>
      </c>
      <c r="P474" s="20"/>
      <c r="Q474" s="20"/>
      <c r="R474" s="20"/>
      <c r="S474" s="20"/>
      <c r="T474" s="20"/>
      <c r="U474" s="20"/>
      <c r="V474" s="20"/>
      <c r="W474" s="20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83" t="s">
        <v>27</v>
      </c>
      <c r="B475" s="83" t="s">
        <v>42</v>
      </c>
      <c r="C475" s="83" t="s">
        <v>23</v>
      </c>
      <c r="D475" s="83" t="s">
        <v>43</v>
      </c>
      <c r="E475" s="83" t="s">
        <v>25</v>
      </c>
      <c r="F475" s="83" t="s">
        <v>25</v>
      </c>
      <c r="G475" s="83" t="s">
        <v>25</v>
      </c>
      <c r="H475" s="83" t="s">
        <v>25</v>
      </c>
      <c r="I475" s="90">
        <v>44378</v>
      </c>
      <c r="J475" s="91">
        <f>EFEITO!$J$475*EFEITO!$Y$295</f>
        <v>0</v>
      </c>
      <c r="K475" s="91">
        <f ca="1">EFEITO!$L$475*EFEITO!$Z$295</f>
        <v>-678.84656172918562</v>
      </c>
      <c r="L475" s="91">
        <f>EFEITO!$N$475*EFEITO!$AA$295</f>
        <v>-312.80646058288499</v>
      </c>
      <c r="M475" s="91">
        <f>$J$475-EFEITO!$K$475*EFEITO!$Y$475</f>
        <v>0</v>
      </c>
      <c r="N475" s="91">
        <f ca="1">$K$475-EFEITO!$M$475*EFEITO!$Z$475</f>
        <v>-40.730793703751146</v>
      </c>
      <c r="O475" s="91">
        <f>$L$475-EFEITO!$O$475*EFEITO!$AA$475</f>
        <v>-18.768387634973124</v>
      </c>
      <c r="P475" s="20"/>
      <c r="Q475" s="20"/>
      <c r="R475" s="20"/>
      <c r="S475" s="20"/>
      <c r="T475" s="20"/>
      <c r="U475" s="20"/>
      <c r="V475" s="20"/>
      <c r="W475" s="20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83" t="s">
        <v>28</v>
      </c>
      <c r="B476" s="83" t="s">
        <v>42</v>
      </c>
      <c r="C476" s="83" t="s">
        <v>23</v>
      </c>
      <c r="D476" s="83" t="s">
        <v>43</v>
      </c>
      <c r="E476" s="83" t="s">
        <v>25</v>
      </c>
      <c r="F476" s="83" t="s">
        <v>25</v>
      </c>
      <c r="G476" s="83" t="s">
        <v>25</v>
      </c>
      <c r="H476" s="83" t="s">
        <v>25</v>
      </c>
      <c r="I476" s="90">
        <v>44378</v>
      </c>
      <c r="J476" s="91">
        <f>EFEITO!$J$476*EFEITO!$Y$295</f>
        <v>0</v>
      </c>
      <c r="K476" s="91">
        <f ca="1">EFEITO!$L$476*EFEITO!$Z$295</f>
        <v>5687.2355509913577</v>
      </c>
      <c r="L476" s="91">
        <f>EFEITO!$N$476*EFEITO!$AA$295</f>
        <v>2620.6275814010291</v>
      </c>
      <c r="M476" s="91">
        <f>$J$476-EFEITO!$K$476*EFEITO!$Y$476</f>
        <v>0</v>
      </c>
      <c r="N476" s="91">
        <f ca="1">$K$476-EFEITO!$M$476*EFEITO!$Z$476</f>
        <v>341.23413305948179</v>
      </c>
      <c r="O476" s="91">
        <f>$L$476-EFEITO!$O$476*EFEITO!$AA$476</f>
        <v>157.23765488406207</v>
      </c>
      <c r="P476" s="20"/>
      <c r="Q476" s="20"/>
      <c r="R476" s="20"/>
      <c r="S476" s="20"/>
      <c r="T476" s="20"/>
      <c r="U476" s="20"/>
      <c r="V476" s="20"/>
      <c r="W476" s="20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83" t="s">
        <v>21</v>
      </c>
      <c r="B477" s="83" t="s">
        <v>42</v>
      </c>
      <c r="C477" s="83" t="s">
        <v>23</v>
      </c>
      <c r="D477" s="83" t="s">
        <v>43</v>
      </c>
      <c r="E477" s="83" t="s">
        <v>25</v>
      </c>
      <c r="F477" s="83" t="s">
        <v>25</v>
      </c>
      <c r="G477" s="83" t="s">
        <v>25</v>
      </c>
      <c r="H477" s="83" t="s">
        <v>25</v>
      </c>
      <c r="I477" s="90">
        <v>44409</v>
      </c>
      <c r="J477" s="91">
        <f>EFEITO!$J$477*EFEITO!$Y$295</f>
        <v>0</v>
      </c>
      <c r="K477" s="91">
        <f ca="1">EFEITO!$L$477*EFEITO!$Z$295</f>
        <v>501337.10629116563</v>
      </c>
      <c r="L477" s="91">
        <f>EFEITO!$N$477*EFEITO!$AA$295</f>
        <v>231011.68160643408</v>
      </c>
      <c r="M477" s="91">
        <f>$J$477-EFEITO!$K$477*EFEITO!$Y$477</f>
        <v>0</v>
      </c>
      <c r="N477" s="91">
        <f ca="1">$K$477-EFEITO!$M$477*EFEITO!$Z$477</f>
        <v>30080.226377469953</v>
      </c>
      <c r="O477" s="91">
        <f>$L$477-EFEITO!$O$477*EFEITO!$AA$477</f>
        <v>13860.700896386086</v>
      </c>
      <c r="P477" s="20"/>
      <c r="Q477" s="20"/>
      <c r="R477" s="20"/>
      <c r="S477" s="20"/>
      <c r="T477" s="20"/>
      <c r="U477" s="20"/>
      <c r="V477" s="20"/>
      <c r="W477" s="20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83" t="s">
        <v>27</v>
      </c>
      <c r="B478" s="83" t="s">
        <v>42</v>
      </c>
      <c r="C478" s="83" t="s">
        <v>23</v>
      </c>
      <c r="D478" s="83" t="s">
        <v>43</v>
      </c>
      <c r="E478" s="83" t="s">
        <v>25</v>
      </c>
      <c r="F478" s="83" t="s">
        <v>25</v>
      </c>
      <c r="G478" s="83" t="s">
        <v>25</v>
      </c>
      <c r="H478" s="83" t="s">
        <v>25</v>
      </c>
      <c r="I478" s="90">
        <v>44409</v>
      </c>
      <c r="J478" s="91">
        <f>EFEITO!$J$478*EFEITO!$Y$295</f>
        <v>0</v>
      </c>
      <c r="K478" s="91">
        <f ca="1">EFEITO!$L$478*EFEITO!$Z$295</f>
        <v>8.4744314539123042</v>
      </c>
      <c r="L478" s="91">
        <f>EFEITO!$N$478*EFEITO!$AA$295</f>
        <v>3.9049426748191949</v>
      </c>
      <c r="M478" s="91">
        <f>$J$478-EFEITO!$K$478*EFEITO!$Y$478</f>
        <v>0</v>
      </c>
      <c r="N478" s="91">
        <f ca="1">$K$478-EFEITO!$M$478*EFEITO!$Z$478</f>
        <v>0.50846588723473829</v>
      </c>
      <c r="O478" s="91">
        <f>$L$478-EFEITO!$O$478*EFEITO!$AA$478</f>
        <v>0.23429656048915204</v>
      </c>
      <c r="P478" s="20"/>
      <c r="Q478" s="20"/>
      <c r="R478" s="20"/>
      <c r="S478" s="20"/>
      <c r="T478" s="20"/>
      <c r="U478" s="20"/>
      <c r="V478" s="20"/>
      <c r="W478" s="20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83" t="s">
        <v>28</v>
      </c>
      <c r="B479" s="83" t="s">
        <v>42</v>
      </c>
      <c r="C479" s="83" t="s">
        <v>23</v>
      </c>
      <c r="D479" s="83" t="s">
        <v>43</v>
      </c>
      <c r="E479" s="83" t="s">
        <v>25</v>
      </c>
      <c r="F479" s="83" t="s">
        <v>25</v>
      </c>
      <c r="G479" s="83" t="s">
        <v>25</v>
      </c>
      <c r="H479" s="83" t="s">
        <v>25</v>
      </c>
      <c r="I479" s="90">
        <v>44409</v>
      </c>
      <c r="J479" s="91">
        <f>EFEITO!$J$479*EFEITO!$Y$295</f>
        <v>0</v>
      </c>
      <c r="K479" s="91">
        <f ca="1">EFEITO!$L$479*EFEITO!$Z$295</f>
        <v>5398.6588588502382</v>
      </c>
      <c r="L479" s="91">
        <f>EFEITO!$N$479*EFEITO!$AA$295</f>
        <v>2487.6540071585018</v>
      </c>
      <c r="M479" s="91">
        <f>$J$479-EFEITO!$K$479*EFEITO!$Y$479</f>
        <v>0</v>
      </c>
      <c r="N479" s="91">
        <f ca="1">$K$479-EFEITO!$M$479*EFEITO!$Z$479</f>
        <v>323.9195315310144</v>
      </c>
      <c r="O479" s="91">
        <f>$L$479-EFEITO!$O$479*EFEITO!$AA$479</f>
        <v>149.25924042951056</v>
      </c>
      <c r="P479" s="20"/>
      <c r="Q479" s="20"/>
      <c r="R479" s="20"/>
      <c r="S479" s="20"/>
      <c r="T479" s="20"/>
      <c r="U479" s="20"/>
      <c r="V479" s="20"/>
      <c r="W479" s="20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83" t="s">
        <v>21</v>
      </c>
      <c r="B480" s="83" t="s">
        <v>42</v>
      </c>
      <c r="C480" s="83" t="s">
        <v>23</v>
      </c>
      <c r="D480" s="83" t="s">
        <v>43</v>
      </c>
      <c r="E480" s="83" t="s">
        <v>25</v>
      </c>
      <c r="F480" s="83" t="s">
        <v>25</v>
      </c>
      <c r="G480" s="83" t="s">
        <v>25</v>
      </c>
      <c r="H480" s="83" t="s">
        <v>25</v>
      </c>
      <c r="I480" s="90">
        <v>44440</v>
      </c>
      <c r="J480" s="91">
        <f>EFEITO!$J$480*EFEITO!$Y$295</f>
        <v>0</v>
      </c>
      <c r="K480" s="91">
        <f ca="1">EFEITO!$L$480*EFEITO!$Z$295</f>
        <v>488909.12955264916</v>
      </c>
      <c r="L480" s="91">
        <f>EFEITO!$N$480*EFEITO!$AA$295</f>
        <v>225284.98041216237</v>
      </c>
      <c r="M480" s="91">
        <f>$J$480-EFEITO!$K$480*EFEITO!$Y$480</f>
        <v>0</v>
      </c>
      <c r="N480" s="91">
        <f ca="1">$K$480-EFEITO!$M$480*EFEITO!$Z$480</f>
        <v>29334.547773158934</v>
      </c>
      <c r="O480" s="91">
        <f>$L$480-EFEITO!$O$480*EFEITO!$AA$480</f>
        <v>13517.098824729765</v>
      </c>
      <c r="P480" s="20"/>
      <c r="Q480" s="20"/>
      <c r="R480" s="20"/>
      <c r="S480" s="20"/>
      <c r="T480" s="20"/>
      <c r="U480" s="20"/>
      <c r="V480" s="20"/>
      <c r="W480" s="20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83" t="s">
        <v>27</v>
      </c>
      <c r="B481" s="83" t="s">
        <v>42</v>
      </c>
      <c r="C481" s="83" t="s">
        <v>23</v>
      </c>
      <c r="D481" s="83" t="s">
        <v>43</v>
      </c>
      <c r="E481" s="83" t="s">
        <v>25</v>
      </c>
      <c r="F481" s="83" t="s">
        <v>25</v>
      </c>
      <c r="G481" s="83" t="s">
        <v>25</v>
      </c>
      <c r="H481" s="83" t="s">
        <v>25</v>
      </c>
      <c r="I481" s="90">
        <v>44440</v>
      </c>
      <c r="J481" s="91">
        <f>EFEITO!$J$481*EFEITO!$Y$295</f>
        <v>0</v>
      </c>
      <c r="K481" s="91">
        <f ca="1">EFEITO!$L$481*EFEITO!$Z$295</f>
        <v>-1085.6192715169764</v>
      </c>
      <c r="L481" s="91">
        <f>EFEITO!$N$481*EFEITO!$AA$295</f>
        <v>-500.24370897420636</v>
      </c>
      <c r="M481" s="91">
        <f>$J$481-EFEITO!$K$481*EFEITO!$Y$481</f>
        <v>0</v>
      </c>
      <c r="N481" s="91">
        <f ca="1">$K$481-EFEITO!$M$481*EFEITO!$Z$481</f>
        <v>-65.137156291018641</v>
      </c>
      <c r="O481" s="91">
        <f>$L$481-EFEITO!$O$481*EFEITO!$AA$481</f>
        <v>-30.014622538452443</v>
      </c>
      <c r="P481" s="20"/>
      <c r="Q481" s="20"/>
      <c r="R481" s="20"/>
      <c r="S481" s="20"/>
      <c r="T481" s="20"/>
      <c r="U481" s="20"/>
      <c r="V481" s="20"/>
      <c r="W481" s="20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83" t="s">
        <v>28</v>
      </c>
      <c r="B482" s="83" t="s">
        <v>42</v>
      </c>
      <c r="C482" s="83" t="s">
        <v>23</v>
      </c>
      <c r="D482" s="83" t="s">
        <v>43</v>
      </c>
      <c r="E482" s="83" t="s">
        <v>25</v>
      </c>
      <c r="F482" s="83" t="s">
        <v>25</v>
      </c>
      <c r="G482" s="83" t="s">
        <v>25</v>
      </c>
      <c r="H482" s="83" t="s">
        <v>25</v>
      </c>
      <c r="I482" s="90">
        <v>44440</v>
      </c>
      <c r="J482" s="91">
        <f>EFEITO!$J$482*EFEITO!$Y$295</f>
        <v>0</v>
      </c>
      <c r="K482" s="91">
        <f ca="1">EFEITO!$L$482*EFEITO!$Z$295</f>
        <v>4512.4117378542524</v>
      </c>
      <c r="L482" s="91">
        <f>EFEITO!$N$482*EFEITO!$AA$295</f>
        <v>2079.2792126918844</v>
      </c>
      <c r="M482" s="91">
        <f>$J$482-EFEITO!$K$482*EFEITO!$Y$482</f>
        <v>0</v>
      </c>
      <c r="N482" s="91">
        <f ca="1">$K$482-EFEITO!$M$482*EFEITO!$Z$482</f>
        <v>270.74470427125561</v>
      </c>
      <c r="O482" s="91">
        <f>$L$482-EFEITO!$O$482*EFEITO!$AA$482</f>
        <v>124.75675276151355</v>
      </c>
      <c r="P482" s="20"/>
      <c r="Q482" s="20"/>
      <c r="R482" s="20"/>
      <c r="S482" s="20"/>
      <c r="T482" s="20"/>
      <c r="U482" s="20"/>
      <c r="V482" s="20"/>
      <c r="W482" s="20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83" t="s">
        <v>21</v>
      </c>
      <c r="B483" s="83" t="s">
        <v>42</v>
      </c>
      <c r="C483" s="83" t="s">
        <v>23</v>
      </c>
      <c r="D483" s="83" t="s">
        <v>43</v>
      </c>
      <c r="E483" s="83" t="s">
        <v>25</v>
      </c>
      <c r="F483" s="83" t="s">
        <v>25</v>
      </c>
      <c r="G483" s="83" t="s">
        <v>25</v>
      </c>
      <c r="H483" s="83" t="s">
        <v>25</v>
      </c>
      <c r="I483" s="90">
        <v>44470</v>
      </c>
      <c r="J483" s="91">
        <f>EFEITO!$J$483*EFEITO!$Y$295</f>
        <v>0</v>
      </c>
      <c r="K483" s="91">
        <f ca="1">EFEITO!$L$483*EFEITO!$Z$295</f>
        <v>516880.105623057</v>
      </c>
      <c r="L483" s="91">
        <f>EFEITO!$N$483*EFEITO!$AA$295</f>
        <v>238173.7575186498</v>
      </c>
      <c r="M483" s="91">
        <f>$J$483-EFEITO!$K$483*EFEITO!$Y$483</f>
        <v>0</v>
      </c>
      <c r="N483" s="91">
        <f ca="1">$K$483-EFEITO!$M$483*EFEITO!$Z$483</f>
        <v>31012.806337383459</v>
      </c>
      <c r="O483" s="91">
        <f>$L$483-EFEITO!$O$483*EFEITO!$AA$483</f>
        <v>14290.425451118994</v>
      </c>
      <c r="P483" s="20"/>
      <c r="Q483" s="20"/>
      <c r="R483" s="20"/>
      <c r="S483" s="20"/>
      <c r="T483" s="20"/>
      <c r="U483" s="20"/>
      <c r="V483" s="20"/>
      <c r="W483" s="20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83" t="s">
        <v>27</v>
      </c>
      <c r="B484" s="83" t="s">
        <v>42</v>
      </c>
      <c r="C484" s="83" t="s">
        <v>23</v>
      </c>
      <c r="D484" s="83" t="s">
        <v>43</v>
      </c>
      <c r="E484" s="83" t="s">
        <v>25</v>
      </c>
      <c r="F484" s="83" t="s">
        <v>25</v>
      </c>
      <c r="G484" s="83" t="s">
        <v>25</v>
      </c>
      <c r="H484" s="83" t="s">
        <v>25</v>
      </c>
      <c r="I484" s="90">
        <v>44470</v>
      </c>
      <c r="J484" s="91">
        <f>EFEITO!$J$484*EFEITO!$Y$295</f>
        <v>0</v>
      </c>
      <c r="K484" s="91">
        <f ca="1">EFEITO!$L$484*EFEITO!$Z$295</f>
        <v>-722.11076441494845</v>
      </c>
      <c r="L484" s="91">
        <f>EFEITO!$N$484*EFEITO!$AA$295</f>
        <v>-332.74222055433034</v>
      </c>
      <c r="M484" s="91">
        <f>$J$484-EFEITO!$K$484*EFEITO!$Y$484</f>
        <v>0</v>
      </c>
      <c r="N484" s="91">
        <f ca="1">$K$484-EFEITO!$M$484*EFEITO!$Z$484</f>
        <v>-43.326645864896932</v>
      </c>
      <c r="O484" s="91">
        <f>$L$484-EFEITO!$O$484*EFEITO!$AA$484</f>
        <v>-19.964533233259829</v>
      </c>
      <c r="P484" s="20"/>
      <c r="Q484" s="20"/>
      <c r="R484" s="20"/>
      <c r="S484" s="20"/>
      <c r="T484" s="20"/>
      <c r="U484" s="20"/>
      <c r="V484" s="20"/>
      <c r="W484" s="20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83" t="s">
        <v>28</v>
      </c>
      <c r="B485" s="83" t="s">
        <v>42</v>
      </c>
      <c r="C485" s="83" t="s">
        <v>23</v>
      </c>
      <c r="D485" s="83" t="s">
        <v>43</v>
      </c>
      <c r="E485" s="83" t="s">
        <v>25</v>
      </c>
      <c r="F485" s="83" t="s">
        <v>25</v>
      </c>
      <c r="G485" s="83" t="s">
        <v>25</v>
      </c>
      <c r="H485" s="83" t="s">
        <v>25</v>
      </c>
      <c r="I485" s="90">
        <v>44470</v>
      </c>
      <c r="J485" s="91">
        <f>EFEITO!$J$485*EFEITO!$Y$295</f>
        <v>0</v>
      </c>
      <c r="K485" s="91">
        <f ca="1">EFEITO!$L$485*EFEITO!$Z$295</f>
        <v>5052.0992146560357</v>
      </c>
      <c r="L485" s="91">
        <f>EFEITO!$N$485*EFEITO!$AA$295</f>
        <v>2327.9624040882641</v>
      </c>
      <c r="M485" s="91">
        <f>$J$485-EFEITO!$K$485*EFEITO!$Y$485</f>
        <v>0</v>
      </c>
      <c r="N485" s="91">
        <f ca="1">$K$485-EFEITO!$M$485*EFEITO!$Z$485</f>
        <v>303.12595287936256</v>
      </c>
      <c r="O485" s="91">
        <f>$L$485-EFEITO!$O$485*EFEITO!$AA$485</f>
        <v>139.6777442452958</v>
      </c>
      <c r="P485" s="20"/>
      <c r="Q485" s="20"/>
      <c r="R485" s="20"/>
      <c r="S485" s="20"/>
      <c r="T485" s="20"/>
      <c r="U485" s="20"/>
      <c r="V485" s="20"/>
      <c r="W485" s="20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83" t="s">
        <v>21</v>
      </c>
      <c r="B486" s="83" t="s">
        <v>42</v>
      </c>
      <c r="C486" s="83" t="s">
        <v>23</v>
      </c>
      <c r="D486" s="83" t="s">
        <v>43</v>
      </c>
      <c r="E486" s="83" t="s">
        <v>25</v>
      </c>
      <c r="F486" s="83" t="s">
        <v>25</v>
      </c>
      <c r="G486" s="83" t="s">
        <v>25</v>
      </c>
      <c r="H486" s="83" t="s">
        <v>25</v>
      </c>
      <c r="I486" s="90">
        <v>44501</v>
      </c>
      <c r="J486" s="91">
        <f>EFEITO!$J$486*EFEITO!$Y$295</f>
        <v>0</v>
      </c>
      <c r="K486" s="91">
        <f ca="1">EFEITO!$L$486*EFEITO!$Z$295</f>
        <v>616897.12973296235</v>
      </c>
      <c r="L486" s="91">
        <f>EFEITO!$N$486*EFEITO!$AA$295</f>
        <v>284260.71306006063</v>
      </c>
      <c r="M486" s="91">
        <f>$J$486-EFEITO!$K$486*EFEITO!$Y$486</f>
        <v>0</v>
      </c>
      <c r="N486" s="91">
        <f ca="1">$K$486-EFEITO!$M$486*EFEITO!$Z$486</f>
        <v>37013.827783977729</v>
      </c>
      <c r="O486" s="91">
        <f>$L$486-EFEITO!$O$486*EFEITO!$AA$486</f>
        <v>17055.642783603689</v>
      </c>
      <c r="P486" s="20"/>
      <c r="Q486" s="20"/>
      <c r="R486" s="20"/>
      <c r="S486" s="20"/>
      <c r="T486" s="20"/>
      <c r="U486" s="20"/>
      <c r="V486" s="20"/>
      <c r="W486" s="20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83" t="s">
        <v>27</v>
      </c>
      <c r="B487" s="83" t="s">
        <v>42</v>
      </c>
      <c r="C487" s="83" t="s">
        <v>23</v>
      </c>
      <c r="D487" s="83" t="s">
        <v>43</v>
      </c>
      <c r="E487" s="83" t="s">
        <v>25</v>
      </c>
      <c r="F487" s="83" t="s">
        <v>25</v>
      </c>
      <c r="G487" s="83" t="s">
        <v>25</v>
      </c>
      <c r="H487" s="83" t="s">
        <v>25</v>
      </c>
      <c r="I487" s="90">
        <v>44501</v>
      </c>
      <c r="J487" s="91">
        <f>EFEITO!$J$487*EFEITO!$Y$295</f>
        <v>0</v>
      </c>
      <c r="K487" s="91">
        <f ca="1">EFEITO!$L$487*EFEITO!$Z$295</f>
        <v>-3899.1305142158617</v>
      </c>
      <c r="L487" s="91">
        <f>EFEITO!$N$487*EFEITO!$AA$295</f>
        <v>-1796.6846770141792</v>
      </c>
      <c r="M487" s="91">
        <f>$J$487-EFEITO!$K$487*EFEITO!$Y$487</f>
        <v>0</v>
      </c>
      <c r="N487" s="91">
        <f ca="1">$K$487-EFEITO!$M$487*EFEITO!$Z$487</f>
        <v>-233.94783085295194</v>
      </c>
      <c r="O487" s="91">
        <f>$L$487-EFEITO!$O$487*EFEITO!$AA$487</f>
        <v>-107.80108062085083</v>
      </c>
      <c r="P487" s="20"/>
      <c r="Q487" s="20"/>
      <c r="R487" s="20"/>
      <c r="S487" s="20"/>
      <c r="T487" s="20"/>
      <c r="U487" s="20"/>
      <c r="V487" s="20"/>
      <c r="W487" s="20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83" t="s">
        <v>28</v>
      </c>
      <c r="B488" s="83" t="s">
        <v>42</v>
      </c>
      <c r="C488" s="83" t="s">
        <v>23</v>
      </c>
      <c r="D488" s="83" t="s">
        <v>43</v>
      </c>
      <c r="E488" s="83" t="s">
        <v>25</v>
      </c>
      <c r="F488" s="83" t="s">
        <v>25</v>
      </c>
      <c r="G488" s="83" t="s">
        <v>25</v>
      </c>
      <c r="H488" s="83" t="s">
        <v>25</v>
      </c>
      <c r="I488" s="90">
        <v>44501</v>
      </c>
      <c r="J488" s="91">
        <f>EFEITO!$J$488*EFEITO!$Y$295</f>
        <v>0</v>
      </c>
      <c r="K488" s="91">
        <f ca="1">EFEITO!$L$488*EFEITO!$Z$295</f>
        <v>7209.9570764469681</v>
      </c>
      <c r="L488" s="91">
        <f>EFEITO!$N$488*EFEITO!$AA$295</f>
        <v>3322.2841230764361</v>
      </c>
      <c r="M488" s="91">
        <f>$J$488-EFEITO!$K$488*EFEITO!$Y$488</f>
        <v>0</v>
      </c>
      <c r="N488" s="91">
        <f ca="1">$K$488-EFEITO!$M$488*EFEITO!$Z$488</f>
        <v>432.59742458681831</v>
      </c>
      <c r="O488" s="91">
        <f>$L$488-EFEITO!$O$488*EFEITO!$AA$488</f>
        <v>199.33704738458664</v>
      </c>
      <c r="P488" s="20"/>
      <c r="Q488" s="20"/>
      <c r="R488" s="20"/>
      <c r="S488" s="20"/>
      <c r="T488" s="20"/>
      <c r="U488" s="20"/>
      <c r="V488" s="20"/>
      <c r="W488" s="20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83" t="s">
        <v>21</v>
      </c>
      <c r="B489" s="83" t="s">
        <v>42</v>
      </c>
      <c r="C489" s="83" t="s">
        <v>23</v>
      </c>
      <c r="D489" s="83" t="s">
        <v>43</v>
      </c>
      <c r="E489" s="83" t="s">
        <v>25</v>
      </c>
      <c r="F489" s="83" t="s">
        <v>25</v>
      </c>
      <c r="G489" s="83" t="s">
        <v>25</v>
      </c>
      <c r="H489" s="83" t="s">
        <v>25</v>
      </c>
      <c r="I489" s="90">
        <v>44531</v>
      </c>
      <c r="J489" s="91">
        <f>EFEITO!$J$489*EFEITO!$Y$295</f>
        <v>0</v>
      </c>
      <c r="K489" s="91">
        <f ca="1">EFEITO!$L$489*EFEITO!$Z$295</f>
        <v>780236.44373462489</v>
      </c>
      <c r="L489" s="91">
        <f>EFEITO!$N$489*EFEITO!$AA$295</f>
        <v>359526.01683761651</v>
      </c>
      <c r="M489" s="91">
        <f>$J$489-EFEITO!$K$489*EFEITO!$Y$489</f>
        <v>0</v>
      </c>
      <c r="N489" s="91">
        <f ca="1">$K$489-EFEITO!$M$489*EFEITO!$Z$489</f>
        <v>46814.186624077614</v>
      </c>
      <c r="O489" s="91">
        <f>$L$489-EFEITO!$O$489*EFEITO!$AA$489</f>
        <v>21571.561010256992</v>
      </c>
      <c r="P489" s="20"/>
      <c r="Q489" s="20"/>
      <c r="R489" s="20"/>
      <c r="S489" s="20"/>
      <c r="T489" s="20"/>
      <c r="U489" s="20"/>
      <c r="V489" s="20"/>
      <c r="W489" s="20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83" t="s">
        <v>27</v>
      </c>
      <c r="B490" s="83" t="s">
        <v>42</v>
      </c>
      <c r="C490" s="83" t="s">
        <v>23</v>
      </c>
      <c r="D490" s="83" t="s">
        <v>43</v>
      </c>
      <c r="E490" s="83" t="s">
        <v>25</v>
      </c>
      <c r="F490" s="83" t="s">
        <v>25</v>
      </c>
      <c r="G490" s="83" t="s">
        <v>25</v>
      </c>
      <c r="H490" s="83" t="s">
        <v>25</v>
      </c>
      <c r="I490" s="90">
        <v>44531</v>
      </c>
      <c r="J490" s="91">
        <f>EFEITO!$J$490*EFEITO!$Y$295</f>
        <v>0</v>
      </c>
      <c r="K490" s="91">
        <f ca="1">EFEITO!$L$490*EFEITO!$Z$295</f>
        <v>1536.548229406731</v>
      </c>
      <c r="L490" s="91">
        <f>EFEITO!$N$490*EFEITO!$AA$295</f>
        <v>708.02776393432248</v>
      </c>
      <c r="M490" s="91">
        <f>$J$490-EFEITO!$K$490*EFEITO!$Y$490</f>
        <v>0</v>
      </c>
      <c r="N490" s="91">
        <f ca="1">$K$490-EFEITO!$M$490*EFEITO!$Z$490</f>
        <v>92.192893764404062</v>
      </c>
      <c r="O490" s="91">
        <f>$L$490-EFEITO!$O$490*EFEITO!$AA$490</f>
        <v>42.481665836059506</v>
      </c>
      <c r="P490" s="20"/>
      <c r="Q490" s="20"/>
      <c r="R490" s="20"/>
      <c r="S490" s="20"/>
      <c r="T490" s="20"/>
      <c r="U490" s="20"/>
      <c r="V490" s="20"/>
      <c r="W490" s="20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83" t="s">
        <v>28</v>
      </c>
      <c r="B491" s="83" t="s">
        <v>42</v>
      </c>
      <c r="C491" s="83" t="s">
        <v>23</v>
      </c>
      <c r="D491" s="83" t="s">
        <v>43</v>
      </c>
      <c r="E491" s="83" t="s">
        <v>25</v>
      </c>
      <c r="F491" s="83" t="s">
        <v>25</v>
      </c>
      <c r="G491" s="83" t="s">
        <v>25</v>
      </c>
      <c r="H491" s="83" t="s">
        <v>25</v>
      </c>
      <c r="I491" s="90">
        <v>44531</v>
      </c>
      <c r="J491" s="91">
        <f>EFEITO!$J$491*EFEITO!$Y$295</f>
        <v>0</v>
      </c>
      <c r="K491" s="91">
        <f ca="1">EFEITO!$L$491*EFEITO!$Z$295</f>
        <v>11681.334725155961</v>
      </c>
      <c r="L491" s="91">
        <f>EFEITO!$N$491*EFEITO!$AA$295</f>
        <v>5382.6551922902481</v>
      </c>
      <c r="M491" s="91">
        <f>$J$491-EFEITO!$K$491*EFEITO!$Y$491</f>
        <v>0</v>
      </c>
      <c r="N491" s="91">
        <f ca="1">$K$491-EFEITO!$M$491*EFEITO!$Z$491</f>
        <v>700.88008350935706</v>
      </c>
      <c r="O491" s="91">
        <f>$L$491-EFEITO!$O$491*EFEITO!$AA$491</f>
        <v>322.95931153741549</v>
      </c>
      <c r="P491" s="20"/>
      <c r="Q491" s="20"/>
      <c r="R491" s="20"/>
      <c r="S491" s="20"/>
      <c r="T491" s="20"/>
      <c r="U491" s="20"/>
      <c r="V491" s="20"/>
      <c r="W491" s="20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83" t="s">
        <v>21</v>
      </c>
      <c r="B492" s="83" t="s">
        <v>42</v>
      </c>
      <c r="C492" s="83" t="s">
        <v>23</v>
      </c>
      <c r="D492" s="83" t="s">
        <v>43</v>
      </c>
      <c r="E492" s="83" t="s">
        <v>25</v>
      </c>
      <c r="F492" s="83" t="s">
        <v>25</v>
      </c>
      <c r="G492" s="83" t="s">
        <v>25</v>
      </c>
      <c r="H492" s="83" t="s">
        <v>25</v>
      </c>
      <c r="I492" s="90">
        <v>44562</v>
      </c>
      <c r="J492" s="91">
        <f>EFEITO!$J$492*EFEITO!$Y$295</f>
        <v>0</v>
      </c>
      <c r="K492" s="91">
        <f ca="1">EFEITO!$L$492*EFEITO!$Z$295</f>
        <v>939710.97097059514</v>
      </c>
      <c r="L492" s="91">
        <f>EFEITO!$N$492*EFEITO!$AA$295</f>
        <v>433010.4612321562</v>
      </c>
      <c r="M492" s="91">
        <f>$J$492-EFEITO!$K$492*EFEITO!$Y$492</f>
        <v>0</v>
      </c>
      <c r="N492" s="91">
        <f ca="1">$K$492-EFEITO!$M$492*EFEITO!$Z$492</f>
        <v>56382.658258235664</v>
      </c>
      <c r="O492" s="91">
        <f>$L$492-EFEITO!$O$492*EFEITO!$AA$492</f>
        <v>25980.627673929441</v>
      </c>
      <c r="P492" s="20"/>
      <c r="Q492" s="20"/>
      <c r="R492" s="20"/>
      <c r="S492" s="20"/>
      <c r="T492" s="20"/>
      <c r="U492" s="20"/>
      <c r="V492" s="20"/>
      <c r="W492" s="20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83" t="s">
        <v>27</v>
      </c>
      <c r="B493" s="83" t="s">
        <v>42</v>
      </c>
      <c r="C493" s="83" t="s">
        <v>23</v>
      </c>
      <c r="D493" s="83" t="s">
        <v>43</v>
      </c>
      <c r="E493" s="83" t="s">
        <v>25</v>
      </c>
      <c r="F493" s="83" t="s">
        <v>25</v>
      </c>
      <c r="G493" s="83" t="s">
        <v>25</v>
      </c>
      <c r="H493" s="83" t="s">
        <v>25</v>
      </c>
      <c r="I493" s="90">
        <v>44562</v>
      </c>
      <c r="J493" s="91">
        <f>EFEITO!$J$493*EFEITO!$Y$295</f>
        <v>0</v>
      </c>
      <c r="K493" s="91">
        <f ca="1">EFEITO!$L$493*EFEITO!$Z$295</f>
        <v>615.51133717889365</v>
      </c>
      <c r="L493" s="91">
        <f>EFEITO!$N$493*EFEITO!$AA$295</f>
        <v>283.62215217107837</v>
      </c>
      <c r="M493" s="91">
        <f>$J$493-EFEITO!$K$493*EFEITO!$Y$493</f>
        <v>0</v>
      </c>
      <c r="N493" s="91">
        <f ca="1">$K$493-EFEITO!$M$493*EFEITO!$Z$493</f>
        <v>36.930680230733628</v>
      </c>
      <c r="O493" s="91">
        <f>$L$493-EFEITO!$O$493*EFEITO!$AA$493</f>
        <v>17.017329130264727</v>
      </c>
      <c r="P493" s="20"/>
      <c r="Q493" s="20"/>
      <c r="R493" s="20"/>
      <c r="S493" s="20"/>
      <c r="T493" s="20"/>
      <c r="U493" s="20"/>
      <c r="V493" s="20"/>
      <c r="W493" s="20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83" t="s">
        <v>28</v>
      </c>
      <c r="B494" s="83" t="s">
        <v>42</v>
      </c>
      <c r="C494" s="83" t="s">
        <v>23</v>
      </c>
      <c r="D494" s="83" t="s">
        <v>43</v>
      </c>
      <c r="E494" s="83" t="s">
        <v>25</v>
      </c>
      <c r="F494" s="83" t="s">
        <v>25</v>
      </c>
      <c r="G494" s="83" t="s">
        <v>25</v>
      </c>
      <c r="H494" s="83" t="s">
        <v>25</v>
      </c>
      <c r="I494" s="90">
        <v>44562</v>
      </c>
      <c r="J494" s="91">
        <f>EFEITO!$J$494*EFEITO!$Y$295</f>
        <v>0</v>
      </c>
      <c r="K494" s="91">
        <f ca="1">EFEITO!$L$494*EFEITO!$Z$295</f>
        <v>11974.817667086187</v>
      </c>
      <c r="L494" s="91">
        <f>EFEITO!$N$494*EFEITO!$AA$295</f>
        <v>5517.8895228181973</v>
      </c>
      <c r="M494" s="91">
        <f>$J$494-EFEITO!$K$494*EFEITO!$Y$494</f>
        <v>0</v>
      </c>
      <c r="N494" s="91">
        <f ca="1">$K$494-EFEITO!$M$494*EFEITO!$Z$494</f>
        <v>718.48906002517288</v>
      </c>
      <c r="O494" s="91">
        <f>$L$494-EFEITO!$O$494*EFEITO!$AA$494</f>
        <v>331.07337136909246</v>
      </c>
      <c r="P494" s="20"/>
      <c r="Q494" s="20"/>
      <c r="R494" s="20"/>
      <c r="S494" s="20"/>
      <c r="T494" s="20"/>
      <c r="U494" s="20"/>
      <c r="V494" s="20"/>
      <c r="W494" s="20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83" t="s">
        <v>21</v>
      </c>
      <c r="B495" s="83" t="s">
        <v>42</v>
      </c>
      <c r="C495" s="83" t="s">
        <v>23</v>
      </c>
      <c r="D495" s="83" t="s">
        <v>43</v>
      </c>
      <c r="E495" s="83" t="s">
        <v>25</v>
      </c>
      <c r="F495" s="83" t="s">
        <v>25</v>
      </c>
      <c r="G495" s="83" t="s">
        <v>25</v>
      </c>
      <c r="H495" s="83" t="s">
        <v>25</v>
      </c>
      <c r="I495" s="90">
        <v>44593</v>
      </c>
      <c r="J495" s="91">
        <f>EFEITO!$J$495*EFEITO!$Y$295</f>
        <v>0</v>
      </c>
      <c r="K495" s="91">
        <f ca="1">EFEITO!$L$495*EFEITO!$Z$295</f>
        <v>938037.49376980157</v>
      </c>
      <c r="L495" s="91">
        <f>EFEITO!$N$495*EFEITO!$AA$295</f>
        <v>432239.33781552874</v>
      </c>
      <c r="M495" s="91">
        <f>$J$495-EFEITO!$K$495*EFEITO!$Y$495</f>
        <v>0</v>
      </c>
      <c r="N495" s="91">
        <f ca="1">$K$495-EFEITO!$M$495*EFEITO!$Z$495</f>
        <v>56282.249626188073</v>
      </c>
      <c r="O495" s="91">
        <f>$L$495-EFEITO!$O$495*EFEITO!$AA$495</f>
        <v>25934.360268931778</v>
      </c>
      <c r="P495" s="20"/>
      <c r="Q495" s="20"/>
      <c r="R495" s="20"/>
      <c r="S495" s="20"/>
      <c r="T495" s="20"/>
      <c r="U495" s="20"/>
      <c r="V495" s="20"/>
      <c r="W495" s="20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83" t="s">
        <v>27</v>
      </c>
      <c r="B496" s="83" t="s">
        <v>42</v>
      </c>
      <c r="C496" s="83" t="s">
        <v>23</v>
      </c>
      <c r="D496" s="83" t="s">
        <v>43</v>
      </c>
      <c r="E496" s="83" t="s">
        <v>25</v>
      </c>
      <c r="F496" s="83" t="s">
        <v>25</v>
      </c>
      <c r="G496" s="83" t="s">
        <v>25</v>
      </c>
      <c r="H496" s="83" t="s">
        <v>25</v>
      </c>
      <c r="I496" s="90">
        <v>44593</v>
      </c>
      <c r="J496" s="91">
        <f>EFEITO!$J$496*EFEITO!$Y$295</f>
        <v>0</v>
      </c>
      <c r="K496" s="91">
        <f ca="1">EFEITO!$L$496*EFEITO!$Z$295</f>
        <v>6989.6218586452487</v>
      </c>
      <c r="L496" s="91">
        <f>EFEITO!$N$496*EFEITO!$AA$295</f>
        <v>3220.755613531137</v>
      </c>
      <c r="M496" s="91">
        <f>$J$496-EFEITO!$K$496*EFEITO!$Y$496</f>
        <v>0</v>
      </c>
      <c r="N496" s="91">
        <f ca="1">$K$496-EFEITO!$M$496*EFEITO!$Z$496</f>
        <v>419.37731151871594</v>
      </c>
      <c r="O496" s="91">
        <f>$L$496-EFEITO!$O$496*EFEITO!$AA$496</f>
        <v>193.24533681186858</v>
      </c>
      <c r="P496" s="20"/>
      <c r="Q496" s="20"/>
      <c r="R496" s="20"/>
      <c r="S496" s="20"/>
      <c r="T496" s="20"/>
      <c r="U496" s="20"/>
      <c r="V496" s="20"/>
      <c r="W496" s="20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83" t="s">
        <v>28</v>
      </c>
      <c r="B497" s="83" t="s">
        <v>42</v>
      </c>
      <c r="C497" s="83" t="s">
        <v>23</v>
      </c>
      <c r="D497" s="83" t="s">
        <v>43</v>
      </c>
      <c r="E497" s="83" t="s">
        <v>25</v>
      </c>
      <c r="F497" s="83" t="s">
        <v>25</v>
      </c>
      <c r="G497" s="83" t="s">
        <v>25</v>
      </c>
      <c r="H497" s="83" t="s">
        <v>25</v>
      </c>
      <c r="I497" s="90">
        <v>44593</v>
      </c>
      <c r="J497" s="91">
        <f>EFEITO!$J$497*EFEITO!$Y$295</f>
        <v>0</v>
      </c>
      <c r="K497" s="91">
        <f ca="1">EFEITO!$L$497*EFEITO!$Z$295</f>
        <v>7985.1445431258935</v>
      </c>
      <c r="L497" s="91">
        <f>EFEITO!$N$497*EFEITO!$AA$295</f>
        <v>3679.483616173055</v>
      </c>
      <c r="M497" s="91">
        <f>$J$497-EFEITO!$K$497*EFEITO!$Y$497</f>
        <v>0</v>
      </c>
      <c r="N497" s="91">
        <f ca="1">$K$497-EFEITO!$M$497*EFEITO!$Z$497</f>
        <v>479.10867258755388</v>
      </c>
      <c r="O497" s="91">
        <f>$L$497-EFEITO!$O$497*EFEITO!$AA$497</f>
        <v>220.76901697038375</v>
      </c>
      <c r="P497" s="20"/>
      <c r="Q497" s="20"/>
      <c r="R497" s="20"/>
      <c r="S497" s="20"/>
      <c r="T497" s="20"/>
      <c r="U497" s="20"/>
      <c r="V497" s="20"/>
      <c r="W497" s="20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83" t="s">
        <v>21</v>
      </c>
      <c r="B498" s="83" t="s">
        <v>42</v>
      </c>
      <c r="C498" s="83" t="s">
        <v>23</v>
      </c>
      <c r="D498" s="83" t="s">
        <v>43</v>
      </c>
      <c r="E498" s="83" t="s">
        <v>25</v>
      </c>
      <c r="F498" s="83" t="s">
        <v>25</v>
      </c>
      <c r="G498" s="83" t="s">
        <v>25</v>
      </c>
      <c r="H498" s="83" t="s">
        <v>25</v>
      </c>
      <c r="I498" s="90">
        <v>44621</v>
      </c>
      <c r="J498" s="91">
        <f>EFEITO!$J$498*EFEITO!$Y$295</f>
        <v>0</v>
      </c>
      <c r="K498" s="91">
        <f ca="1">EFEITO!$L$498*EFEITO!$Z$295</f>
        <v>808651.21239959286</v>
      </c>
      <c r="L498" s="91">
        <f>EFEITO!$N$498*EFEITO!$AA$295</f>
        <v>372619.28962628532</v>
      </c>
      <c r="M498" s="91">
        <f>$J$498-EFEITO!$K$498*EFEITO!$Y$498</f>
        <v>0</v>
      </c>
      <c r="N498" s="91">
        <f ca="1">$K$498-EFEITO!$M$498*EFEITO!$Z$498</f>
        <v>48519.072743975674</v>
      </c>
      <c r="O498" s="91">
        <f>$L$498-EFEITO!$O$498*EFEITO!$AA$498</f>
        <v>22357.157377577154</v>
      </c>
      <c r="P498" s="20"/>
      <c r="Q498" s="20"/>
      <c r="R498" s="20"/>
      <c r="S498" s="20"/>
      <c r="T498" s="20"/>
      <c r="U498" s="20"/>
      <c r="V498" s="20"/>
      <c r="W498" s="20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83" t="s">
        <v>27</v>
      </c>
      <c r="B499" s="83" t="s">
        <v>42</v>
      </c>
      <c r="C499" s="83" t="s">
        <v>23</v>
      </c>
      <c r="D499" s="83" t="s">
        <v>43</v>
      </c>
      <c r="E499" s="83" t="s">
        <v>25</v>
      </c>
      <c r="F499" s="83" t="s">
        <v>25</v>
      </c>
      <c r="G499" s="83" t="s">
        <v>25</v>
      </c>
      <c r="H499" s="83" t="s">
        <v>25</v>
      </c>
      <c r="I499" s="90">
        <v>44621</v>
      </c>
      <c r="J499" s="91">
        <f>EFEITO!$J$499*EFEITO!$Y$295</f>
        <v>0</v>
      </c>
      <c r="K499" s="91">
        <f ca="1">EFEITO!$L$499*EFEITO!$Z$295</f>
        <v>575.36929344983548</v>
      </c>
      <c r="L499" s="91">
        <f>EFEITO!$N$499*EFEITO!$AA$295</f>
        <v>265.12505529035587</v>
      </c>
      <c r="M499" s="91">
        <f>$J$499-EFEITO!$K$499*EFEITO!$Y$499</f>
        <v>0</v>
      </c>
      <c r="N499" s="91">
        <f ca="1">$K$499-EFEITO!$M$499*EFEITO!$Z$499</f>
        <v>34.522157606990163</v>
      </c>
      <c r="O499" s="91">
        <f>$L$499-EFEITO!$O$499*EFEITO!$AA$499</f>
        <v>15.907503317421373</v>
      </c>
      <c r="P499" s="20"/>
      <c r="Q499" s="20"/>
      <c r="R499" s="20"/>
      <c r="S499" s="20"/>
      <c r="T499" s="20"/>
      <c r="U499" s="20"/>
      <c r="V499" s="20"/>
      <c r="W499" s="20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83" t="s">
        <v>28</v>
      </c>
      <c r="B500" s="83" t="s">
        <v>42</v>
      </c>
      <c r="C500" s="83" t="s">
        <v>23</v>
      </c>
      <c r="D500" s="83" t="s">
        <v>43</v>
      </c>
      <c r="E500" s="83" t="s">
        <v>25</v>
      </c>
      <c r="F500" s="83" t="s">
        <v>25</v>
      </c>
      <c r="G500" s="83" t="s">
        <v>25</v>
      </c>
      <c r="H500" s="83" t="s">
        <v>25</v>
      </c>
      <c r="I500" s="90">
        <v>44621</v>
      </c>
      <c r="J500" s="91">
        <f>EFEITO!$J$500*EFEITO!$Y$295</f>
        <v>0</v>
      </c>
      <c r="K500" s="91">
        <f ca="1">EFEITO!$L$500*EFEITO!$Z$295</f>
        <v>15429.709564033803</v>
      </c>
      <c r="L500" s="91">
        <f>EFEITO!$N$500*EFEITO!$AA$295</f>
        <v>7109.8729943523813</v>
      </c>
      <c r="M500" s="91">
        <f>$J$500-EFEITO!$K$500*EFEITO!$Y$500</f>
        <v>0</v>
      </c>
      <c r="N500" s="91">
        <f ca="1">$K$500-EFEITO!$M$500*EFEITO!$Z$500</f>
        <v>925.7825738420288</v>
      </c>
      <c r="O500" s="91">
        <f>$L$500-EFEITO!$O$500*EFEITO!$AA$500</f>
        <v>426.59237966114415</v>
      </c>
      <c r="P500" s="20"/>
      <c r="Q500" s="20"/>
      <c r="R500" s="20"/>
      <c r="S500" s="20"/>
      <c r="T500" s="20"/>
      <c r="U500" s="20"/>
      <c r="V500" s="20"/>
      <c r="W500" s="20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83" t="s">
        <v>21</v>
      </c>
      <c r="B501" s="83" t="s">
        <v>42</v>
      </c>
      <c r="C501" s="83" t="s">
        <v>23</v>
      </c>
      <c r="D501" s="83" t="s">
        <v>43</v>
      </c>
      <c r="E501" s="83" t="s">
        <v>25</v>
      </c>
      <c r="F501" s="83" t="s">
        <v>25</v>
      </c>
      <c r="G501" s="83" t="s">
        <v>25</v>
      </c>
      <c r="H501" s="83" t="s">
        <v>25</v>
      </c>
      <c r="I501" s="90">
        <v>44652</v>
      </c>
      <c r="J501" s="91">
        <f>EFEITO!$J$501*EFEITO!$Y$295</f>
        <v>0</v>
      </c>
      <c r="K501" s="91">
        <f ca="1">EFEITO!$L$501*EFEITO!$Z$295</f>
        <v>787201.98036703269</v>
      </c>
      <c r="L501" s="91">
        <f>EFEITO!$N$501*EFEITO!$AA$295</f>
        <v>362735.67419301922</v>
      </c>
      <c r="M501" s="91">
        <f>$J$501-EFEITO!$K$501*EFEITO!$Y$501</f>
        <v>0</v>
      </c>
      <c r="N501" s="91">
        <f ca="1">$K$501-EFEITO!$M$501*EFEITO!$Z$501</f>
        <v>47232.118822022108</v>
      </c>
      <c r="O501" s="91">
        <f>$L$501-EFEITO!$O$501*EFEITO!$AA$501</f>
        <v>21764.140451581217</v>
      </c>
      <c r="P501" s="20"/>
      <c r="Q501" s="20"/>
      <c r="R501" s="20"/>
      <c r="S501" s="20"/>
      <c r="T501" s="20"/>
      <c r="U501" s="20"/>
      <c r="V501" s="20"/>
      <c r="W501" s="20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83" t="s">
        <v>27</v>
      </c>
      <c r="B502" s="83" t="s">
        <v>42</v>
      </c>
      <c r="C502" s="83" t="s">
        <v>23</v>
      </c>
      <c r="D502" s="83" t="s">
        <v>43</v>
      </c>
      <c r="E502" s="83" t="s">
        <v>25</v>
      </c>
      <c r="F502" s="83" t="s">
        <v>25</v>
      </c>
      <c r="G502" s="83" t="s">
        <v>25</v>
      </c>
      <c r="H502" s="83" t="s">
        <v>25</v>
      </c>
      <c r="I502" s="90">
        <v>44652</v>
      </c>
      <c r="J502" s="91">
        <f>EFEITO!$J$502*EFEITO!$Y$295</f>
        <v>0</v>
      </c>
      <c r="K502" s="91">
        <f ca="1">EFEITO!$L$502*EFEITO!$Z$295</f>
        <v>-1704.6987903606753</v>
      </c>
      <c r="L502" s="91">
        <f>EFEITO!$N$502*EFEITO!$AA$295</f>
        <v>-785.51004753468226</v>
      </c>
      <c r="M502" s="91">
        <f>$J$502-EFEITO!$K$502*EFEITO!$Y$502</f>
        <v>0</v>
      </c>
      <c r="N502" s="91">
        <f ca="1">$K$502-EFEITO!$M$502*EFEITO!$Z$502</f>
        <v>-102.2819274216406</v>
      </c>
      <c r="O502" s="91">
        <f>$L$502-EFEITO!$O$502*EFEITO!$AA$502</f>
        <v>-47.130602852080983</v>
      </c>
      <c r="P502" s="20"/>
      <c r="Q502" s="20"/>
      <c r="R502" s="20"/>
      <c r="S502" s="20"/>
      <c r="T502" s="20"/>
      <c r="U502" s="20"/>
      <c r="V502" s="20"/>
      <c r="W502" s="20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83" t="s">
        <v>28</v>
      </c>
      <c r="B503" s="83" t="s">
        <v>42</v>
      </c>
      <c r="C503" s="83" t="s">
        <v>23</v>
      </c>
      <c r="D503" s="83" t="s">
        <v>43</v>
      </c>
      <c r="E503" s="83" t="s">
        <v>25</v>
      </c>
      <c r="F503" s="83" t="s">
        <v>25</v>
      </c>
      <c r="G503" s="83" t="s">
        <v>25</v>
      </c>
      <c r="H503" s="83" t="s">
        <v>25</v>
      </c>
      <c r="I503" s="90">
        <v>44652</v>
      </c>
      <c r="J503" s="91">
        <f>EFEITO!$J$503*EFEITO!$Y$295</f>
        <v>0</v>
      </c>
      <c r="K503" s="91">
        <f ca="1">EFEITO!$L$503*EFEITO!$Z$295</f>
        <v>11172.422815213122</v>
      </c>
      <c r="L503" s="91">
        <f>EFEITO!$N$503*EFEITO!$AA$295</f>
        <v>5148.1531085024217</v>
      </c>
      <c r="M503" s="91">
        <f>$J$503-EFEITO!$K$503*EFEITO!$Y$503</f>
        <v>0</v>
      </c>
      <c r="N503" s="91">
        <f ca="1">$K$503-EFEITO!$M$503*EFEITO!$Z$503</f>
        <v>670.34536891278731</v>
      </c>
      <c r="O503" s="91">
        <f>$L$503-EFEITO!$O$503*EFEITO!$AA$503</f>
        <v>308.88918651014592</v>
      </c>
      <c r="P503" s="20"/>
      <c r="Q503" s="20"/>
      <c r="R503" s="20"/>
      <c r="S503" s="20"/>
      <c r="T503" s="20"/>
      <c r="U503" s="20"/>
      <c r="V503" s="20"/>
      <c r="W503" s="20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83" t="s">
        <v>21</v>
      </c>
      <c r="B504" s="83" t="s">
        <v>42</v>
      </c>
      <c r="C504" s="83" t="s">
        <v>23</v>
      </c>
      <c r="D504" s="83" t="s">
        <v>43</v>
      </c>
      <c r="E504" s="83" t="s">
        <v>25</v>
      </c>
      <c r="F504" s="83" t="s">
        <v>25</v>
      </c>
      <c r="G504" s="83" t="s">
        <v>25</v>
      </c>
      <c r="H504" s="83" t="s">
        <v>25</v>
      </c>
      <c r="I504" s="90">
        <v>44682</v>
      </c>
      <c r="J504" s="91">
        <f>EFEITO!$J$504*EFEITO!$Y$295</f>
        <v>0</v>
      </c>
      <c r="K504" s="91">
        <f ca="1">EFEITO!$L$504*EFEITO!$Z$295</f>
        <v>653887.13098387339</v>
      </c>
      <c r="L504" s="91">
        <f>EFEITO!$N$504*EFEITO!$AA$295</f>
        <v>301305.37678904907</v>
      </c>
      <c r="M504" s="91">
        <f>$J$504-EFEITO!$K$504*EFEITO!$Y$504</f>
        <v>0</v>
      </c>
      <c r="N504" s="91">
        <f ca="1">$K$504-EFEITO!$M$504*EFEITO!$Z$504</f>
        <v>39233.227859032457</v>
      </c>
      <c r="O504" s="91">
        <f>$L$504-EFEITO!$O$504*EFEITO!$AA$504</f>
        <v>18078.322607342969</v>
      </c>
      <c r="P504" s="20"/>
      <c r="Q504" s="20"/>
      <c r="R504" s="20"/>
      <c r="S504" s="20"/>
      <c r="T504" s="20"/>
      <c r="U504" s="20"/>
      <c r="V504" s="20"/>
      <c r="W504" s="20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83" t="s">
        <v>27</v>
      </c>
      <c r="B505" s="83" t="s">
        <v>42</v>
      </c>
      <c r="C505" s="83" t="s">
        <v>23</v>
      </c>
      <c r="D505" s="83" t="s">
        <v>43</v>
      </c>
      <c r="E505" s="83" t="s">
        <v>25</v>
      </c>
      <c r="F505" s="83" t="s">
        <v>25</v>
      </c>
      <c r="G505" s="83" t="s">
        <v>25</v>
      </c>
      <c r="H505" s="83" t="s">
        <v>25</v>
      </c>
      <c r="I505" s="90">
        <v>44682</v>
      </c>
      <c r="J505" s="91">
        <f>EFEITO!$J$505*EFEITO!$Y$295</f>
        <v>0</v>
      </c>
      <c r="K505" s="91">
        <f ca="1">EFEITO!$L$505*EFEITO!$Z$295</f>
        <v>260.03123882267755</v>
      </c>
      <c r="L505" s="91">
        <f>EFEITO!$N$505*EFEITO!$AA$295</f>
        <v>119.82008312734688</v>
      </c>
      <c r="M505" s="91">
        <f>$J$505-EFEITO!$K$505*EFEITO!$Y$505</f>
        <v>0</v>
      </c>
      <c r="N505" s="91">
        <f ca="1">$K$505-EFEITO!$M$505*EFEITO!$Z$505</f>
        <v>15.601874329360669</v>
      </c>
      <c r="O505" s="91">
        <f>$L$505-EFEITO!$O$505*EFEITO!$AA$505</f>
        <v>7.189204987640835</v>
      </c>
      <c r="P505" s="20"/>
      <c r="Q505" s="20"/>
      <c r="R505" s="20"/>
      <c r="S505" s="20"/>
      <c r="T505" s="20"/>
      <c r="U505" s="20"/>
      <c r="V505" s="20"/>
      <c r="W505" s="20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83" t="s">
        <v>28</v>
      </c>
      <c r="B506" s="83" t="s">
        <v>42</v>
      </c>
      <c r="C506" s="83" t="s">
        <v>23</v>
      </c>
      <c r="D506" s="83" t="s">
        <v>43</v>
      </c>
      <c r="E506" s="83" t="s">
        <v>25</v>
      </c>
      <c r="F506" s="83" t="s">
        <v>25</v>
      </c>
      <c r="G506" s="83" t="s">
        <v>25</v>
      </c>
      <c r="H506" s="83" t="s">
        <v>25</v>
      </c>
      <c r="I506" s="90">
        <v>44682</v>
      </c>
      <c r="J506" s="91">
        <f>EFEITO!$J$506*EFEITO!$Y$295</f>
        <v>0</v>
      </c>
      <c r="K506" s="91">
        <f ca="1">EFEITO!$L$506*EFEITO!$Z$295</f>
        <v>6343.3349546074096</v>
      </c>
      <c r="L506" s="91">
        <f>EFEITO!$N$506*EFEITO!$AA$295</f>
        <v>2922.9523537515047</v>
      </c>
      <c r="M506" s="91">
        <f>$J$506-EFEITO!$K$506*EFEITO!$Y$506</f>
        <v>0</v>
      </c>
      <c r="N506" s="91">
        <f ca="1">$K$506-EFEITO!$M$506*EFEITO!$Z$506</f>
        <v>380.6000972764441</v>
      </c>
      <c r="O506" s="91">
        <f>$L$506-EFEITO!$O$506*EFEITO!$AA$506</f>
        <v>175.37714122509078</v>
      </c>
      <c r="P506" s="20"/>
      <c r="Q506" s="20"/>
      <c r="R506" s="20"/>
      <c r="S506" s="20"/>
      <c r="T506" s="20"/>
      <c r="U506" s="20"/>
      <c r="V506" s="20"/>
      <c r="W506" s="20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83" t="s">
        <v>21</v>
      </c>
      <c r="B507" s="83" t="s">
        <v>42</v>
      </c>
      <c r="C507" s="83" t="s">
        <v>23</v>
      </c>
      <c r="D507" s="83" t="s">
        <v>43</v>
      </c>
      <c r="E507" s="83" t="s">
        <v>25</v>
      </c>
      <c r="F507" s="83" t="s">
        <v>25</v>
      </c>
      <c r="G507" s="83" t="s">
        <v>25</v>
      </c>
      <c r="H507" s="83" t="s">
        <v>25</v>
      </c>
      <c r="I507" s="90">
        <v>44713</v>
      </c>
      <c r="J507" s="91">
        <f>EFEITO!$J$507*EFEITO!$Y$295</f>
        <v>0</v>
      </c>
      <c r="K507" s="91">
        <f ca="1">EFEITO!$L$507*EFEITO!$Z$295</f>
        <v>595792.67325376405</v>
      </c>
      <c r="L507" s="91">
        <f>EFEITO!$N$507*EFEITO!$AA$295</f>
        <v>274535.96713667014</v>
      </c>
      <c r="M507" s="91">
        <f>$J$507-EFEITO!$K$507*EFEITO!$Y$507</f>
        <v>0</v>
      </c>
      <c r="N507" s="91">
        <f ca="1">$K$507-EFEITO!$M$507*EFEITO!$Z$507</f>
        <v>35747.560395225883</v>
      </c>
      <c r="O507" s="91">
        <f>$L$507-EFEITO!$O$507*EFEITO!$AA$507</f>
        <v>16472.15802820024</v>
      </c>
      <c r="P507" s="20"/>
      <c r="Q507" s="20"/>
      <c r="R507" s="20"/>
      <c r="S507" s="20"/>
      <c r="T507" s="20"/>
      <c r="U507" s="20"/>
      <c r="V507" s="20"/>
      <c r="W507" s="20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83" t="s">
        <v>27</v>
      </c>
      <c r="B508" s="83" t="s">
        <v>42</v>
      </c>
      <c r="C508" s="83" t="s">
        <v>23</v>
      </c>
      <c r="D508" s="83" t="s">
        <v>43</v>
      </c>
      <c r="E508" s="83" t="s">
        <v>25</v>
      </c>
      <c r="F508" s="83" t="s">
        <v>25</v>
      </c>
      <c r="G508" s="83" t="s">
        <v>25</v>
      </c>
      <c r="H508" s="83" t="s">
        <v>25</v>
      </c>
      <c r="I508" s="90">
        <v>44713</v>
      </c>
      <c r="J508" s="91">
        <f>EFEITO!$J$508*EFEITO!$Y$295</f>
        <v>0</v>
      </c>
      <c r="K508" s="91">
        <f ca="1">EFEITO!$L$508*EFEITO!$Z$295</f>
        <v>-1256.891991427625</v>
      </c>
      <c r="L508" s="91">
        <f>EFEITO!$N$508*EFEITO!$AA$295</f>
        <v>-579.16465566528905</v>
      </c>
      <c r="M508" s="91">
        <f>$J$508-EFEITO!$K$508*EFEITO!$Y$508</f>
        <v>0</v>
      </c>
      <c r="N508" s="91">
        <f ca="1">$K$508-EFEITO!$M$508*EFEITO!$Z$508</f>
        <v>-75.413519485657616</v>
      </c>
      <c r="O508" s="91">
        <f>$L$508-EFEITO!$O$508*EFEITO!$AA$508</f>
        <v>-34.74987933991747</v>
      </c>
      <c r="P508" s="20"/>
      <c r="Q508" s="20"/>
      <c r="R508" s="20"/>
      <c r="S508" s="20"/>
      <c r="T508" s="20"/>
      <c r="U508" s="20"/>
      <c r="V508" s="20"/>
      <c r="W508" s="20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83" t="s">
        <v>28</v>
      </c>
      <c r="B509" s="83" t="s">
        <v>42</v>
      </c>
      <c r="C509" s="83" t="s">
        <v>23</v>
      </c>
      <c r="D509" s="83" t="s">
        <v>43</v>
      </c>
      <c r="E509" s="83" t="s">
        <v>25</v>
      </c>
      <c r="F509" s="83" t="s">
        <v>25</v>
      </c>
      <c r="G509" s="83" t="s">
        <v>25</v>
      </c>
      <c r="H509" s="83" t="s">
        <v>25</v>
      </c>
      <c r="I509" s="90">
        <v>44713</v>
      </c>
      <c r="J509" s="91">
        <f>EFEITO!$J$509*EFEITO!$Y$295</f>
        <v>0</v>
      </c>
      <c r="K509" s="91">
        <f ca="1">EFEITO!$L$509*EFEITO!$Z$295</f>
        <v>9969.0535487575744</v>
      </c>
      <c r="L509" s="91">
        <f>EFEITO!$N$509*EFEITO!$AA$295</f>
        <v>4593.6512486780957</v>
      </c>
      <c r="M509" s="91">
        <f>$J$509-EFEITO!$K$509*EFEITO!$Y$509</f>
        <v>0</v>
      </c>
      <c r="N509" s="91">
        <f ca="1">$K$509-EFEITO!$M$509*EFEITO!$Z$509</f>
        <v>598.14321292545537</v>
      </c>
      <c r="O509" s="91">
        <f>$L$509-EFEITO!$O$509*EFEITO!$AA$509</f>
        <v>275.61907492068622</v>
      </c>
      <c r="P509" s="20"/>
      <c r="Q509" s="20"/>
      <c r="R509" s="20"/>
      <c r="S509" s="20"/>
      <c r="T509" s="20"/>
      <c r="U509" s="20"/>
      <c r="V509" s="20"/>
      <c r="W509" s="20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83" t="s">
        <v>21</v>
      </c>
      <c r="B510" s="83" t="s">
        <v>37</v>
      </c>
      <c r="C510" s="83" t="s">
        <v>33</v>
      </c>
      <c r="D510" s="83" t="s">
        <v>41</v>
      </c>
      <c r="E510" s="83" t="s">
        <v>25</v>
      </c>
      <c r="F510" s="83" t="s">
        <v>25</v>
      </c>
      <c r="G510" s="83" t="s">
        <v>25</v>
      </c>
      <c r="H510" s="83" t="s">
        <v>35</v>
      </c>
      <c r="I510" s="90">
        <v>44378</v>
      </c>
      <c r="J510" s="91">
        <f>EFEITO!$J$510*EFEITO!$Y$510</f>
        <v>0</v>
      </c>
      <c r="K510" s="91">
        <f ca="1">EFEITO!$L$510*EFEITO!$Z$510</f>
        <v>153.17800497121362</v>
      </c>
      <c r="L510" s="91">
        <f>EFEITO!$N$510*EFEITO!$AA$510</f>
        <v>84.039844002970767</v>
      </c>
      <c r="M510" s="91">
        <f>$J$510-EFEITO!$K$510*EFEITO!$Y$510</f>
        <v>0</v>
      </c>
      <c r="N510" s="91">
        <f ca="1">$K$510-EFEITO!$M$510*EFEITO!$Z$510</f>
        <v>0</v>
      </c>
      <c r="O510" s="91">
        <f>$L$510-EFEITO!$O$510*EFEITO!$AA$510</f>
        <v>0</v>
      </c>
      <c r="P510" s="20"/>
      <c r="Q510" s="20"/>
      <c r="R510" s="20"/>
      <c r="S510" s="20"/>
      <c r="T510" s="20"/>
      <c r="U510" s="20"/>
      <c r="V510" s="20"/>
      <c r="W510" s="20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83" t="s">
        <v>21</v>
      </c>
      <c r="B511" s="83" t="s">
        <v>37</v>
      </c>
      <c r="C511" s="83" t="s">
        <v>33</v>
      </c>
      <c r="D511" s="83" t="s">
        <v>41</v>
      </c>
      <c r="E511" s="83" t="s">
        <v>25</v>
      </c>
      <c r="F511" s="83" t="s">
        <v>25</v>
      </c>
      <c r="G511" s="83" t="s">
        <v>25</v>
      </c>
      <c r="H511" s="83" t="s">
        <v>35</v>
      </c>
      <c r="I511" s="90">
        <v>44409</v>
      </c>
      <c r="J511" s="91">
        <f>EFEITO!$J$511*EFEITO!$Y$511</f>
        <v>0</v>
      </c>
      <c r="K511" s="91">
        <f ca="1">EFEITO!$L$511*EFEITO!$Z$511</f>
        <v>123.18510889293402</v>
      </c>
      <c r="L511" s="91">
        <f>EFEITO!$N$511*EFEITO!$AA$511</f>
        <v>67.584489932459007</v>
      </c>
      <c r="M511" s="91">
        <f>$J$511-EFEITO!$K$511*EFEITO!$Y$511</f>
        <v>0</v>
      </c>
      <c r="N511" s="91">
        <f ca="1">$K$511-EFEITO!$M$511*EFEITO!$Z$511</f>
        <v>0</v>
      </c>
      <c r="O511" s="91">
        <f>$L$511-EFEITO!$O$511*EFEITO!$AA$511</f>
        <v>0</v>
      </c>
      <c r="P511" s="20"/>
      <c r="Q511" s="20"/>
      <c r="R511" s="20"/>
      <c r="S511" s="20"/>
      <c r="T511" s="20"/>
      <c r="U511" s="20"/>
      <c r="V511" s="20"/>
      <c r="W511" s="20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83" t="s">
        <v>21</v>
      </c>
      <c r="B512" s="83" t="s">
        <v>37</v>
      </c>
      <c r="C512" s="83" t="s">
        <v>33</v>
      </c>
      <c r="D512" s="83" t="s">
        <v>41</v>
      </c>
      <c r="E512" s="83" t="s">
        <v>25</v>
      </c>
      <c r="F512" s="83" t="s">
        <v>25</v>
      </c>
      <c r="G512" s="83" t="s">
        <v>25</v>
      </c>
      <c r="H512" s="83" t="s">
        <v>35</v>
      </c>
      <c r="I512" s="90">
        <v>44440</v>
      </c>
      <c r="J512" s="91">
        <f>EFEITO!$J$512*EFEITO!$Y$512</f>
        <v>0</v>
      </c>
      <c r="K512" s="91">
        <f ca="1">EFEITO!$L$512*EFEITO!$Z$512</f>
        <v>69.983424182652385</v>
      </c>
      <c r="L512" s="91">
        <f>EFEITO!$N$512*EFEITO!$AA$512</f>
        <v>38.395826164527442</v>
      </c>
      <c r="M512" s="91">
        <f>$J$512-EFEITO!$K$512*EFEITO!$Y$512</f>
        <v>0</v>
      </c>
      <c r="N512" s="91">
        <f ca="1">$K$512-EFEITO!$M$512*EFEITO!$Z$512</f>
        <v>0</v>
      </c>
      <c r="O512" s="91">
        <f>$L$512-EFEITO!$O$512*EFEITO!$AA$512</f>
        <v>0</v>
      </c>
      <c r="P512" s="20"/>
      <c r="Q512" s="20"/>
      <c r="R512" s="20"/>
      <c r="S512" s="20"/>
      <c r="T512" s="20"/>
      <c r="U512" s="20"/>
      <c r="V512" s="20"/>
      <c r="W512" s="20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83" t="s">
        <v>21</v>
      </c>
      <c r="B513" s="83" t="s">
        <v>37</v>
      </c>
      <c r="C513" s="83" t="s">
        <v>33</v>
      </c>
      <c r="D513" s="83" t="s">
        <v>41</v>
      </c>
      <c r="E513" s="83" t="s">
        <v>25</v>
      </c>
      <c r="F513" s="83" t="s">
        <v>25</v>
      </c>
      <c r="G513" s="83" t="s">
        <v>25</v>
      </c>
      <c r="H513" s="83" t="s">
        <v>35</v>
      </c>
      <c r="I513" s="90">
        <v>44470</v>
      </c>
      <c r="J513" s="91">
        <f>EFEITO!$J$513*EFEITO!$Y$513</f>
        <v>0</v>
      </c>
      <c r="K513" s="91">
        <f ca="1">EFEITO!$L$513*EFEITO!$Z$513</f>
        <v>68.55519103606764</v>
      </c>
      <c r="L513" s="91">
        <f>EFEITO!$N$513*EFEITO!$AA$513</f>
        <v>37.612237875455456</v>
      </c>
      <c r="M513" s="91">
        <f>$J$513-EFEITO!$K$513*EFEITO!$Y$513</f>
        <v>0</v>
      </c>
      <c r="N513" s="91">
        <f ca="1">$K$513-EFEITO!$M$513*EFEITO!$Z$513</f>
        <v>0</v>
      </c>
      <c r="O513" s="91">
        <f>$L$513-EFEITO!$O$513*EFEITO!$AA$513</f>
        <v>0</v>
      </c>
      <c r="P513" s="20"/>
      <c r="Q513" s="20"/>
      <c r="R513" s="20"/>
      <c r="S513" s="20"/>
      <c r="T513" s="20"/>
      <c r="U513" s="20"/>
      <c r="V513" s="20"/>
      <c r="W513" s="20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83" t="s">
        <v>21</v>
      </c>
      <c r="B514" s="83" t="s">
        <v>37</v>
      </c>
      <c r="C514" s="83" t="s">
        <v>33</v>
      </c>
      <c r="D514" s="83" t="s">
        <v>41</v>
      </c>
      <c r="E514" s="83" t="s">
        <v>25</v>
      </c>
      <c r="F514" s="83" t="s">
        <v>25</v>
      </c>
      <c r="G514" s="83" t="s">
        <v>25</v>
      </c>
      <c r="H514" s="83" t="s">
        <v>35</v>
      </c>
      <c r="I514" s="90">
        <v>44501</v>
      </c>
      <c r="J514" s="91">
        <f>EFEITO!$J$514*EFEITO!$Y$514</f>
        <v>0</v>
      </c>
      <c r="K514" s="91">
        <f ca="1">EFEITO!$L$514*EFEITO!$Z$514</f>
        <v>102.11866998080907</v>
      </c>
      <c r="L514" s="91">
        <f>EFEITO!$N$514*EFEITO!$AA$514</f>
        <v>56.02656266864718</v>
      </c>
      <c r="M514" s="91">
        <f>$J$514-EFEITO!$K$514*EFEITO!$Y$514</f>
        <v>0</v>
      </c>
      <c r="N514" s="91">
        <f ca="1">$K$514-EFEITO!$M$514*EFEITO!$Z$514</f>
        <v>0</v>
      </c>
      <c r="O514" s="91">
        <f>$L$514-EFEITO!$O$514*EFEITO!$AA$514</f>
        <v>0</v>
      </c>
      <c r="P514" s="20"/>
      <c r="Q514" s="20"/>
      <c r="R514" s="20"/>
      <c r="S514" s="20"/>
      <c r="T514" s="20"/>
      <c r="U514" s="20"/>
      <c r="V514" s="20"/>
      <c r="W514" s="20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83" t="s">
        <v>21</v>
      </c>
      <c r="B515" s="83" t="s">
        <v>37</v>
      </c>
      <c r="C515" s="83" t="s">
        <v>33</v>
      </c>
      <c r="D515" s="83" t="s">
        <v>41</v>
      </c>
      <c r="E515" s="83" t="s">
        <v>25</v>
      </c>
      <c r="F515" s="83" t="s">
        <v>25</v>
      </c>
      <c r="G515" s="83" t="s">
        <v>25</v>
      </c>
      <c r="H515" s="83" t="s">
        <v>35</v>
      </c>
      <c r="I515" s="90">
        <v>44531</v>
      </c>
      <c r="J515" s="91">
        <f>EFEITO!$J$515*EFEITO!$Y$515</f>
        <v>0</v>
      </c>
      <c r="K515" s="91">
        <f ca="1">EFEITO!$L$515*EFEITO!$Z$515</f>
        <v>140.68096493859713</v>
      </c>
      <c r="L515" s="91">
        <f>EFEITO!$N$515*EFEITO!$AA$515</f>
        <v>77.183446473590877</v>
      </c>
      <c r="M515" s="91">
        <f>$J$515-EFEITO!$K$515*EFEITO!$Y$515</f>
        <v>0</v>
      </c>
      <c r="N515" s="91">
        <f ca="1">$K$515-EFEITO!$M$515*EFEITO!$Z$515</f>
        <v>0</v>
      </c>
      <c r="O515" s="91">
        <f>$L$515-EFEITO!$O$515*EFEITO!$AA$515</f>
        <v>0</v>
      </c>
      <c r="P515" s="20"/>
      <c r="Q515" s="20"/>
      <c r="R515" s="20"/>
      <c r="S515" s="20"/>
      <c r="T515" s="20"/>
      <c r="U515" s="20"/>
      <c r="V515" s="20"/>
      <c r="W515" s="20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83" t="s">
        <v>21</v>
      </c>
      <c r="B516" s="83" t="s">
        <v>37</v>
      </c>
      <c r="C516" s="83" t="s">
        <v>33</v>
      </c>
      <c r="D516" s="83" t="s">
        <v>41</v>
      </c>
      <c r="E516" s="83" t="s">
        <v>25</v>
      </c>
      <c r="F516" s="83" t="s">
        <v>25</v>
      </c>
      <c r="G516" s="83" t="s">
        <v>25</v>
      </c>
      <c r="H516" s="83" t="s">
        <v>35</v>
      </c>
      <c r="I516" s="90">
        <v>44562</v>
      </c>
      <c r="J516" s="91">
        <f>EFEITO!$J$516*EFEITO!$Y$516</f>
        <v>0</v>
      </c>
      <c r="K516" s="91">
        <f ca="1">EFEITO!$L$516*EFEITO!$Z$516</f>
        <v>169.24562787029197</v>
      </c>
      <c r="L516" s="91">
        <f>EFEITO!$N$516*EFEITO!$AA$516</f>
        <v>92.855212255030636</v>
      </c>
      <c r="M516" s="91">
        <f>$J$516-EFEITO!$K$516*EFEITO!$Y$516</f>
        <v>0</v>
      </c>
      <c r="N516" s="91">
        <f ca="1">$K$516-EFEITO!$M$516*EFEITO!$Z$516</f>
        <v>0</v>
      </c>
      <c r="O516" s="91">
        <f>$L$516-EFEITO!$O$516*EFEITO!$AA$516</f>
        <v>0</v>
      </c>
      <c r="P516" s="20"/>
      <c r="Q516" s="20"/>
      <c r="R516" s="20"/>
      <c r="S516" s="20"/>
      <c r="T516" s="20"/>
      <c r="U516" s="20"/>
      <c r="V516" s="20"/>
      <c r="W516" s="20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83" t="s">
        <v>21</v>
      </c>
      <c r="B517" s="83" t="s">
        <v>37</v>
      </c>
      <c r="C517" s="83" t="s">
        <v>33</v>
      </c>
      <c r="D517" s="83" t="s">
        <v>41</v>
      </c>
      <c r="E517" s="83" t="s">
        <v>25</v>
      </c>
      <c r="F517" s="83" t="s">
        <v>25</v>
      </c>
      <c r="G517" s="83" t="s">
        <v>25</v>
      </c>
      <c r="H517" s="83" t="s">
        <v>35</v>
      </c>
      <c r="I517" s="90">
        <v>44593</v>
      </c>
      <c r="J517" s="91">
        <f>EFEITO!$J$517*EFEITO!$Y$517</f>
        <v>0</v>
      </c>
      <c r="K517" s="91">
        <f ca="1">EFEITO!$L$517*EFEITO!$Z$517</f>
        <v>211.73556398118805</v>
      </c>
      <c r="L517" s="91">
        <f>EFEITO!$N$517*EFEITO!$AA$517</f>
        <v>116.1669638549223</v>
      </c>
      <c r="M517" s="91">
        <f>$J$517-EFEITO!$K$517*EFEITO!$Y$517</f>
        <v>0</v>
      </c>
      <c r="N517" s="91">
        <f ca="1">$K$517-EFEITO!$M$517*EFEITO!$Z$517</f>
        <v>0</v>
      </c>
      <c r="O517" s="91">
        <f>$L$517-EFEITO!$O$517*EFEITO!$AA$517</f>
        <v>0</v>
      </c>
      <c r="P517" s="20"/>
      <c r="Q517" s="20"/>
      <c r="R517" s="20"/>
      <c r="S517" s="20"/>
      <c r="T517" s="20"/>
      <c r="U517" s="20"/>
      <c r="V517" s="20"/>
      <c r="W517" s="20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83" t="s">
        <v>21</v>
      </c>
      <c r="B518" s="83" t="s">
        <v>37</v>
      </c>
      <c r="C518" s="83" t="s">
        <v>33</v>
      </c>
      <c r="D518" s="83" t="s">
        <v>41</v>
      </c>
      <c r="E518" s="83" t="s">
        <v>25</v>
      </c>
      <c r="F518" s="83" t="s">
        <v>25</v>
      </c>
      <c r="G518" s="83" t="s">
        <v>25</v>
      </c>
      <c r="H518" s="83" t="s">
        <v>35</v>
      </c>
      <c r="I518" s="90">
        <v>44621</v>
      </c>
      <c r="J518" s="91">
        <f>EFEITO!$J$518*EFEITO!$Y$518</f>
        <v>0</v>
      </c>
      <c r="K518" s="91">
        <f ca="1">EFEITO!$L$518*EFEITO!$Z$518</f>
        <v>164.24681185724538</v>
      </c>
      <c r="L518" s="91">
        <f>EFEITO!$N$518*EFEITO!$AA$518</f>
        <v>90.112653243278686</v>
      </c>
      <c r="M518" s="91">
        <f>$J$518-EFEITO!$K$518*EFEITO!$Y$518</f>
        <v>0</v>
      </c>
      <c r="N518" s="91">
        <f ca="1">$K$518-EFEITO!$M$518*EFEITO!$Z$518</f>
        <v>0</v>
      </c>
      <c r="O518" s="91">
        <f>$L$518-EFEITO!$O$518*EFEITO!$AA$518</f>
        <v>0</v>
      </c>
      <c r="P518" s="20"/>
      <c r="Q518" s="20"/>
      <c r="R518" s="20"/>
      <c r="S518" s="20"/>
      <c r="T518" s="20"/>
      <c r="U518" s="20"/>
      <c r="V518" s="20"/>
      <c r="W518" s="20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83" t="s">
        <v>21</v>
      </c>
      <c r="B519" s="83" t="s">
        <v>37</v>
      </c>
      <c r="C519" s="83" t="s">
        <v>33</v>
      </c>
      <c r="D519" s="83" t="s">
        <v>41</v>
      </c>
      <c r="E519" s="83" t="s">
        <v>25</v>
      </c>
      <c r="F519" s="83" t="s">
        <v>25</v>
      </c>
      <c r="G519" s="83" t="s">
        <v>25</v>
      </c>
      <c r="H519" s="83" t="s">
        <v>35</v>
      </c>
      <c r="I519" s="90">
        <v>44652</v>
      </c>
      <c r="J519" s="91">
        <f>EFEITO!$J$519*EFEITO!$Y$519</f>
        <v>0</v>
      </c>
      <c r="K519" s="91">
        <f ca="1">EFEITO!$L$519*EFEITO!$Z$519</f>
        <v>64.627549882959585</v>
      </c>
      <c r="L519" s="91">
        <f>EFEITO!$N$519*EFEITO!$AA$519</f>
        <v>35.457370080507481</v>
      </c>
      <c r="M519" s="91">
        <f>$J$519-EFEITO!$K$519*EFEITO!$Y$519</f>
        <v>0</v>
      </c>
      <c r="N519" s="91">
        <f ca="1">$K$519-EFEITO!$M$519*EFEITO!$Z$519</f>
        <v>0</v>
      </c>
      <c r="O519" s="91">
        <f>$L$519-EFEITO!$O$519*EFEITO!$AA$519</f>
        <v>0</v>
      </c>
      <c r="P519" s="20"/>
      <c r="Q519" s="20"/>
      <c r="R519" s="20"/>
      <c r="S519" s="20"/>
      <c r="T519" s="20"/>
      <c r="U519" s="20"/>
      <c r="V519" s="20"/>
      <c r="W519" s="20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83" t="s">
        <v>21</v>
      </c>
      <c r="B520" s="83" t="s">
        <v>37</v>
      </c>
      <c r="C520" s="83" t="s">
        <v>33</v>
      </c>
      <c r="D520" s="83" t="s">
        <v>41</v>
      </c>
      <c r="E520" s="83" t="s">
        <v>25</v>
      </c>
      <c r="F520" s="83" t="s">
        <v>25</v>
      </c>
      <c r="G520" s="83" t="s">
        <v>25</v>
      </c>
      <c r="H520" s="83" t="s">
        <v>35</v>
      </c>
      <c r="I520" s="90">
        <v>44682</v>
      </c>
      <c r="J520" s="91">
        <f>EFEITO!$J$520*EFEITO!$Y$520</f>
        <v>0</v>
      </c>
      <c r="K520" s="91">
        <f ca="1">EFEITO!$L$520*EFEITO!$Z$520</f>
        <v>49.988160130465985</v>
      </c>
      <c r="L520" s="91">
        <f>EFEITO!$N$520*EFEITO!$AA$520</f>
        <v>27.425590117519604</v>
      </c>
      <c r="M520" s="91">
        <f>$J$520-EFEITO!$K$520*EFEITO!$Y$520</f>
        <v>0</v>
      </c>
      <c r="N520" s="91">
        <f ca="1">$K$520-EFEITO!$M$520*EFEITO!$Z$520</f>
        <v>0</v>
      </c>
      <c r="O520" s="91">
        <f>$L$520-EFEITO!$O$520*EFEITO!$AA$520</f>
        <v>0</v>
      </c>
      <c r="P520" s="20"/>
      <c r="Q520" s="20"/>
      <c r="R520" s="20"/>
      <c r="S520" s="20"/>
      <c r="T520" s="20"/>
      <c r="U520" s="20"/>
      <c r="V520" s="20"/>
      <c r="W520" s="20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83" t="s">
        <v>21</v>
      </c>
      <c r="B521" s="83" t="s">
        <v>37</v>
      </c>
      <c r="C521" s="83" t="s">
        <v>33</v>
      </c>
      <c r="D521" s="83" t="s">
        <v>41</v>
      </c>
      <c r="E521" s="83" t="s">
        <v>25</v>
      </c>
      <c r="F521" s="83" t="s">
        <v>25</v>
      </c>
      <c r="G521" s="83" t="s">
        <v>25</v>
      </c>
      <c r="H521" s="83" t="s">
        <v>35</v>
      </c>
      <c r="I521" s="90">
        <v>44713</v>
      </c>
      <c r="J521" s="91">
        <f>EFEITO!$J$521*EFEITO!$Y$521</f>
        <v>0</v>
      </c>
      <c r="K521" s="91">
        <f ca="1">EFEITO!$L$521*EFEITO!$Z$521</f>
        <v>122.82805060628783</v>
      </c>
      <c r="L521" s="91">
        <f>EFEITO!$N$521*EFEITO!$AA$521</f>
        <v>67.388592860191011</v>
      </c>
      <c r="M521" s="91">
        <f>$J$521-EFEITO!$K$521*EFEITO!$Y$521</f>
        <v>0</v>
      </c>
      <c r="N521" s="91">
        <f ca="1">$K$521-EFEITO!$M$521*EFEITO!$Z$521</f>
        <v>0</v>
      </c>
      <c r="O521" s="91">
        <f>$L$521-EFEITO!$O$521*EFEITO!$AA$521</f>
        <v>0</v>
      </c>
      <c r="P521" s="20"/>
      <c r="Q521" s="20"/>
      <c r="R521" s="20"/>
      <c r="S521" s="20"/>
      <c r="T521" s="20"/>
      <c r="U521" s="20"/>
      <c r="V521" s="20"/>
      <c r="W521" s="20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83" t="s">
        <v>21</v>
      </c>
      <c r="B522" s="83" t="s">
        <v>37</v>
      </c>
      <c r="C522" s="83" t="s">
        <v>33</v>
      </c>
      <c r="D522" s="83" t="s">
        <v>41</v>
      </c>
      <c r="E522" s="83" t="s">
        <v>25</v>
      </c>
      <c r="F522" s="83" t="s">
        <v>25</v>
      </c>
      <c r="G522" s="83" t="s">
        <v>25</v>
      </c>
      <c r="H522" s="83" t="s">
        <v>36</v>
      </c>
      <c r="I522" s="90">
        <v>44378</v>
      </c>
      <c r="J522" s="91">
        <f>EFEITO!$J$522*EFEITO!$Y$522</f>
        <v>0</v>
      </c>
      <c r="K522" s="91">
        <f ca="1">EFEITO!$L$522*EFEITO!$Z$522</f>
        <v>26.066867654568316</v>
      </c>
      <c r="L522" s="91">
        <f>EFEITO!$N$522*EFEITO!$AA$522</f>
        <v>6.268706312575909</v>
      </c>
      <c r="M522" s="91">
        <f>$J$522-EFEITO!$K$522*EFEITO!$Y$522</f>
        <v>0</v>
      </c>
      <c r="N522" s="91">
        <f ca="1">$K$522-EFEITO!$M$522*EFEITO!$Z$522</f>
        <v>0</v>
      </c>
      <c r="O522" s="91">
        <f>$L$522-EFEITO!$O$522*EFEITO!$AA$522</f>
        <v>0</v>
      </c>
      <c r="P522" s="20"/>
      <c r="Q522" s="20"/>
      <c r="R522" s="20"/>
      <c r="S522" s="20"/>
      <c r="T522" s="20"/>
      <c r="U522" s="20"/>
      <c r="V522" s="20"/>
      <c r="W522" s="20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83" t="s">
        <v>21</v>
      </c>
      <c r="B523" s="83" t="s">
        <v>37</v>
      </c>
      <c r="C523" s="83" t="s">
        <v>33</v>
      </c>
      <c r="D523" s="83" t="s">
        <v>41</v>
      </c>
      <c r="E523" s="83" t="s">
        <v>25</v>
      </c>
      <c r="F523" s="83" t="s">
        <v>25</v>
      </c>
      <c r="G523" s="83" t="s">
        <v>25</v>
      </c>
      <c r="H523" s="83" t="s">
        <v>36</v>
      </c>
      <c r="I523" s="90">
        <v>44409</v>
      </c>
      <c r="J523" s="91">
        <f>EFEITO!$J$523*EFEITO!$Y$523</f>
        <v>0</v>
      </c>
      <c r="K523" s="91">
        <f ca="1">EFEITO!$L$523*EFEITO!$Z$523</f>
        <v>19.550150740926238</v>
      </c>
      <c r="L523" s="91">
        <f>EFEITO!$N$523*EFEITO!$AA$523</f>
        <v>4.701529734431932</v>
      </c>
      <c r="M523" s="91">
        <f>$J$523-EFEITO!$K$523*EFEITO!$Y$523</f>
        <v>0</v>
      </c>
      <c r="N523" s="91">
        <f ca="1">$K$523-EFEITO!$M$523*EFEITO!$Z$523</f>
        <v>0</v>
      </c>
      <c r="O523" s="91">
        <f>$L$523-EFEITO!$O$523*EFEITO!$AA$523</f>
        <v>0</v>
      </c>
      <c r="P523" s="20"/>
      <c r="Q523" s="20"/>
      <c r="R523" s="20"/>
      <c r="S523" s="20"/>
      <c r="T523" s="20"/>
      <c r="U523" s="20"/>
      <c r="V523" s="20"/>
      <c r="W523" s="20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83" t="s">
        <v>21</v>
      </c>
      <c r="B524" s="83" t="s">
        <v>37</v>
      </c>
      <c r="C524" s="83" t="s">
        <v>33</v>
      </c>
      <c r="D524" s="83" t="s">
        <v>41</v>
      </c>
      <c r="E524" s="83" t="s">
        <v>25</v>
      </c>
      <c r="F524" s="83" t="s">
        <v>25</v>
      </c>
      <c r="G524" s="83" t="s">
        <v>25</v>
      </c>
      <c r="H524" s="83" t="s">
        <v>36</v>
      </c>
      <c r="I524" s="90">
        <v>44440</v>
      </c>
      <c r="J524" s="91">
        <f>EFEITO!$J$524*EFEITO!$Y$524</f>
        <v>0</v>
      </c>
      <c r="K524" s="91">
        <f ca="1">EFEITO!$L$524*EFEITO!$Z$524</f>
        <v>10.589664984668378</v>
      </c>
      <c r="L524" s="91">
        <f>EFEITO!$N$524*EFEITO!$AA$524</f>
        <v>2.5466619394839629</v>
      </c>
      <c r="M524" s="91">
        <f>$J$524-EFEITO!$K$524*EFEITO!$Y$524</f>
        <v>0</v>
      </c>
      <c r="N524" s="91">
        <f ca="1">$K$524-EFEITO!$M$524*EFEITO!$Z$524</f>
        <v>0</v>
      </c>
      <c r="O524" s="91">
        <f>$L$524-EFEITO!$O$524*EFEITO!$AA$524</f>
        <v>0</v>
      </c>
      <c r="P524" s="20"/>
      <c r="Q524" s="20"/>
      <c r="R524" s="20"/>
      <c r="S524" s="20"/>
      <c r="T524" s="20"/>
      <c r="U524" s="20"/>
      <c r="V524" s="20"/>
      <c r="W524" s="20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83" t="s">
        <v>21</v>
      </c>
      <c r="B525" s="83" t="s">
        <v>37</v>
      </c>
      <c r="C525" s="83" t="s">
        <v>33</v>
      </c>
      <c r="D525" s="83" t="s">
        <v>41</v>
      </c>
      <c r="E525" s="83" t="s">
        <v>25</v>
      </c>
      <c r="F525" s="83" t="s">
        <v>25</v>
      </c>
      <c r="G525" s="83" t="s">
        <v>25</v>
      </c>
      <c r="H525" s="83" t="s">
        <v>36</v>
      </c>
      <c r="I525" s="90">
        <v>44470</v>
      </c>
      <c r="J525" s="91">
        <f>EFEITO!$J$525*EFEITO!$Y$525</f>
        <v>0</v>
      </c>
      <c r="K525" s="91">
        <f ca="1">EFEITO!$L$525*EFEITO!$Z$525</f>
        <v>13.848023441489419</v>
      </c>
      <c r="L525" s="91">
        <f>EFEITO!$N$525*EFEITO!$AA$525</f>
        <v>3.3302502285559519</v>
      </c>
      <c r="M525" s="91">
        <f>$J$525-EFEITO!$K$525*EFEITO!$Y$525</f>
        <v>0</v>
      </c>
      <c r="N525" s="91">
        <f ca="1">$K$525-EFEITO!$M$525*EFEITO!$Z$525</f>
        <v>0</v>
      </c>
      <c r="O525" s="91">
        <f>$L$525-EFEITO!$O$525*EFEITO!$AA$525</f>
        <v>0</v>
      </c>
      <c r="P525" s="20"/>
      <c r="Q525" s="20"/>
      <c r="R525" s="20"/>
      <c r="S525" s="20"/>
      <c r="T525" s="20"/>
      <c r="U525" s="20"/>
      <c r="V525" s="20"/>
      <c r="W525" s="20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83" t="s">
        <v>21</v>
      </c>
      <c r="B526" s="83" t="s">
        <v>37</v>
      </c>
      <c r="C526" s="83" t="s">
        <v>33</v>
      </c>
      <c r="D526" s="83" t="s">
        <v>41</v>
      </c>
      <c r="E526" s="83" t="s">
        <v>25</v>
      </c>
      <c r="F526" s="83" t="s">
        <v>25</v>
      </c>
      <c r="G526" s="83" t="s">
        <v>25</v>
      </c>
      <c r="H526" s="83" t="s">
        <v>36</v>
      </c>
      <c r="I526" s="90">
        <v>44501</v>
      </c>
      <c r="J526" s="91">
        <f>EFEITO!$J$526*EFEITO!$Y$526</f>
        <v>0</v>
      </c>
      <c r="K526" s="91">
        <f ca="1">EFEITO!$L$526*EFEITO!$Z$526</f>
        <v>32.583584568210398</v>
      </c>
      <c r="L526" s="91">
        <f>EFEITO!$N$526*EFEITO!$AA$526</f>
        <v>7.8358828907198861</v>
      </c>
      <c r="M526" s="91">
        <f>$J$526-EFEITO!$K$526*EFEITO!$Y$526</f>
        <v>0</v>
      </c>
      <c r="N526" s="91">
        <f ca="1">$K$526-EFEITO!$M$526*EFEITO!$Z$526</f>
        <v>0</v>
      </c>
      <c r="O526" s="91">
        <f>$L$526-EFEITO!$O$526*EFEITO!$AA$526</f>
        <v>0</v>
      </c>
      <c r="P526" s="20"/>
      <c r="Q526" s="20"/>
      <c r="R526" s="20"/>
      <c r="S526" s="20"/>
      <c r="T526" s="20"/>
      <c r="U526" s="20"/>
      <c r="V526" s="20"/>
      <c r="W526" s="20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83" t="s">
        <v>21</v>
      </c>
      <c r="B527" s="83" t="s">
        <v>37</v>
      </c>
      <c r="C527" s="83" t="s">
        <v>33</v>
      </c>
      <c r="D527" s="83" t="s">
        <v>41</v>
      </c>
      <c r="E527" s="83" t="s">
        <v>25</v>
      </c>
      <c r="F527" s="83" t="s">
        <v>25</v>
      </c>
      <c r="G527" s="83" t="s">
        <v>25</v>
      </c>
      <c r="H527" s="83" t="s">
        <v>36</v>
      </c>
      <c r="I527" s="90">
        <v>44531</v>
      </c>
      <c r="J527" s="91">
        <f>EFEITO!$J$527*EFEITO!$Y$527</f>
        <v>0</v>
      </c>
      <c r="K527" s="91">
        <f ca="1">EFEITO!$L$527*EFEITO!$Z$527</f>
        <v>42.358659938673512</v>
      </c>
      <c r="L527" s="91">
        <f>EFEITO!$N$527*EFEITO!$AA$527</f>
        <v>10.186647757935852</v>
      </c>
      <c r="M527" s="91">
        <f>$J$527-EFEITO!$K$527*EFEITO!$Y$527</f>
        <v>0</v>
      </c>
      <c r="N527" s="91">
        <f ca="1">$K$527-EFEITO!$M$527*EFEITO!$Z$527</f>
        <v>0</v>
      </c>
      <c r="O527" s="91">
        <f>$L$527-EFEITO!$O$527*EFEITO!$AA$527</f>
        <v>0</v>
      </c>
      <c r="P527" s="20"/>
      <c r="Q527" s="20"/>
      <c r="R527" s="20"/>
      <c r="S527" s="20"/>
      <c r="T527" s="20"/>
      <c r="U527" s="20"/>
      <c r="V527" s="20"/>
      <c r="W527" s="20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83" t="s">
        <v>21</v>
      </c>
      <c r="B528" s="83" t="s">
        <v>37</v>
      </c>
      <c r="C528" s="83" t="s">
        <v>33</v>
      </c>
      <c r="D528" s="83" t="s">
        <v>41</v>
      </c>
      <c r="E528" s="83" t="s">
        <v>25</v>
      </c>
      <c r="F528" s="83" t="s">
        <v>25</v>
      </c>
      <c r="G528" s="83" t="s">
        <v>25</v>
      </c>
      <c r="H528" s="83" t="s">
        <v>36</v>
      </c>
      <c r="I528" s="90">
        <v>44562</v>
      </c>
      <c r="J528" s="91">
        <f>EFEITO!$J$528*EFEITO!$Y$528</f>
        <v>0</v>
      </c>
      <c r="K528" s="91">
        <f ca="1">EFEITO!$L$528*EFEITO!$Z$528</f>
        <v>49.68996646652085</v>
      </c>
      <c r="L528" s="91">
        <f>EFEITO!$N$528*EFEITO!$AA$528</f>
        <v>11.949721408347825</v>
      </c>
      <c r="M528" s="91">
        <f>$J$528-EFEITO!$K$528*EFEITO!$Y$528</f>
        <v>0</v>
      </c>
      <c r="N528" s="91">
        <f ca="1">$K$528-EFEITO!$M$528*EFEITO!$Z$528</f>
        <v>0</v>
      </c>
      <c r="O528" s="91">
        <f>$L$528-EFEITO!$O$528*EFEITO!$AA$528</f>
        <v>0</v>
      </c>
      <c r="P528" s="20"/>
      <c r="Q528" s="20"/>
      <c r="R528" s="20"/>
      <c r="S528" s="20"/>
      <c r="T528" s="20"/>
      <c r="U528" s="20"/>
      <c r="V528" s="20"/>
      <c r="W528" s="20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83" t="s">
        <v>21</v>
      </c>
      <c r="B529" s="83" t="s">
        <v>37</v>
      </c>
      <c r="C529" s="83" t="s">
        <v>33</v>
      </c>
      <c r="D529" s="83" t="s">
        <v>41</v>
      </c>
      <c r="E529" s="83" t="s">
        <v>25</v>
      </c>
      <c r="F529" s="83" t="s">
        <v>25</v>
      </c>
      <c r="G529" s="83" t="s">
        <v>25</v>
      </c>
      <c r="H529" s="83" t="s">
        <v>36</v>
      </c>
      <c r="I529" s="90">
        <v>44593</v>
      </c>
      <c r="J529" s="91">
        <f>EFEITO!$J$529*EFEITO!$Y$529</f>
        <v>0</v>
      </c>
      <c r="K529" s="91">
        <f ca="1">EFEITO!$L$529*EFEITO!$Z$529</f>
        <v>56.206683380162936</v>
      </c>
      <c r="L529" s="91">
        <f>EFEITO!$N$529*EFEITO!$AA$529</f>
        <v>13.516897986491804</v>
      </c>
      <c r="M529" s="91">
        <f>$J$529-EFEITO!$K$529*EFEITO!$Y$529</f>
        <v>0</v>
      </c>
      <c r="N529" s="91">
        <f ca="1">$K$529-EFEITO!$M$529*EFEITO!$Z$529</f>
        <v>0</v>
      </c>
      <c r="O529" s="91">
        <f>$L$529-EFEITO!$O$529*EFEITO!$AA$529</f>
        <v>0</v>
      </c>
      <c r="P529" s="20"/>
      <c r="Q529" s="20"/>
      <c r="R529" s="20"/>
      <c r="S529" s="20"/>
      <c r="T529" s="20"/>
      <c r="U529" s="20"/>
      <c r="V529" s="20"/>
      <c r="W529" s="20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83" t="s">
        <v>21</v>
      </c>
      <c r="B530" s="83" t="s">
        <v>37</v>
      </c>
      <c r="C530" s="83" t="s">
        <v>33</v>
      </c>
      <c r="D530" s="83" t="s">
        <v>41</v>
      </c>
      <c r="E530" s="83" t="s">
        <v>25</v>
      </c>
      <c r="F530" s="83" t="s">
        <v>25</v>
      </c>
      <c r="G530" s="83" t="s">
        <v>25</v>
      </c>
      <c r="H530" s="83" t="s">
        <v>36</v>
      </c>
      <c r="I530" s="90">
        <v>44621</v>
      </c>
      <c r="J530" s="91">
        <f>EFEITO!$J$530*EFEITO!$Y$530</f>
        <v>0</v>
      </c>
      <c r="K530" s="91">
        <f ca="1">EFEITO!$L$530*EFEITO!$Z$530</f>
        <v>43.173249552878772</v>
      </c>
      <c r="L530" s="91">
        <f>EFEITO!$N$530*EFEITO!$AA$530</f>
        <v>10.382544830203848</v>
      </c>
      <c r="M530" s="91">
        <f>$J$530-EFEITO!$K$530*EFEITO!$Y$530</f>
        <v>0</v>
      </c>
      <c r="N530" s="91">
        <f ca="1">$K$530-EFEITO!$M$530*EFEITO!$Z$530</f>
        <v>0</v>
      </c>
      <c r="O530" s="91">
        <f>$L$530-EFEITO!$O$530*EFEITO!$AA$530</f>
        <v>0</v>
      </c>
      <c r="P530" s="20"/>
      <c r="Q530" s="20"/>
      <c r="R530" s="20"/>
      <c r="S530" s="20"/>
      <c r="T530" s="20"/>
      <c r="U530" s="20"/>
      <c r="V530" s="20"/>
      <c r="W530" s="20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83" t="s">
        <v>21</v>
      </c>
      <c r="B531" s="83" t="s">
        <v>37</v>
      </c>
      <c r="C531" s="83" t="s">
        <v>33</v>
      </c>
      <c r="D531" s="83" t="s">
        <v>41</v>
      </c>
      <c r="E531" s="83" t="s">
        <v>25</v>
      </c>
      <c r="F531" s="83" t="s">
        <v>25</v>
      </c>
      <c r="G531" s="83" t="s">
        <v>25</v>
      </c>
      <c r="H531" s="83" t="s">
        <v>36</v>
      </c>
      <c r="I531" s="90">
        <v>44652</v>
      </c>
      <c r="J531" s="91">
        <f>EFEITO!$J$531*EFEITO!$Y$531</f>
        <v>0</v>
      </c>
      <c r="K531" s="91">
        <f ca="1">EFEITO!$L$531*EFEITO!$Z$531</f>
        <v>19.550150740926238</v>
      </c>
      <c r="L531" s="91">
        <f>EFEITO!$N$531*EFEITO!$AA$531</f>
        <v>4.701529734431932</v>
      </c>
      <c r="M531" s="91">
        <f>$J$531-EFEITO!$K$531*EFEITO!$Y$531</f>
        <v>0</v>
      </c>
      <c r="N531" s="91">
        <f ca="1">$K$531-EFEITO!$M$531*EFEITO!$Z$531</f>
        <v>0</v>
      </c>
      <c r="O531" s="91">
        <f>$L$531-EFEITO!$O$531*EFEITO!$AA$531</f>
        <v>0</v>
      </c>
      <c r="P531" s="20"/>
      <c r="Q531" s="20"/>
      <c r="R531" s="20"/>
      <c r="S531" s="20"/>
      <c r="T531" s="20"/>
      <c r="U531" s="20"/>
      <c r="V531" s="20"/>
      <c r="W531" s="20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83" t="s">
        <v>21</v>
      </c>
      <c r="B532" s="83" t="s">
        <v>37</v>
      </c>
      <c r="C532" s="83" t="s">
        <v>33</v>
      </c>
      <c r="D532" s="83" t="s">
        <v>41</v>
      </c>
      <c r="E532" s="83" t="s">
        <v>25</v>
      </c>
      <c r="F532" s="83" t="s">
        <v>25</v>
      </c>
      <c r="G532" s="83" t="s">
        <v>25</v>
      </c>
      <c r="H532" s="83" t="s">
        <v>36</v>
      </c>
      <c r="I532" s="90">
        <v>44682</v>
      </c>
      <c r="J532" s="91">
        <f>EFEITO!$J$532*EFEITO!$Y$532</f>
        <v>0</v>
      </c>
      <c r="K532" s="91">
        <f ca="1">EFEITO!$L$532*EFEITO!$Z$532</f>
        <v>10.589664984668378</v>
      </c>
      <c r="L532" s="91">
        <f>EFEITO!$N$532*EFEITO!$AA$532</f>
        <v>2.5466619394839629</v>
      </c>
      <c r="M532" s="91">
        <f>$J$532-EFEITO!$K$532*EFEITO!$Y$532</f>
        <v>0</v>
      </c>
      <c r="N532" s="91">
        <f ca="1">$K$532-EFEITO!$M$532*EFEITO!$Z$532</f>
        <v>0</v>
      </c>
      <c r="O532" s="91">
        <f>$L$532-EFEITO!$O$532*EFEITO!$AA$532</f>
        <v>0</v>
      </c>
      <c r="P532" s="20"/>
      <c r="Q532" s="20"/>
      <c r="R532" s="20"/>
      <c r="S532" s="20"/>
      <c r="T532" s="20"/>
      <c r="U532" s="20"/>
      <c r="V532" s="20"/>
      <c r="W532" s="20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83" t="s">
        <v>21</v>
      </c>
      <c r="B533" s="83" t="s">
        <v>37</v>
      </c>
      <c r="C533" s="83" t="s">
        <v>33</v>
      </c>
      <c r="D533" s="83" t="s">
        <v>41</v>
      </c>
      <c r="E533" s="83" t="s">
        <v>25</v>
      </c>
      <c r="F533" s="83" t="s">
        <v>25</v>
      </c>
      <c r="G533" s="83" t="s">
        <v>25</v>
      </c>
      <c r="H533" s="83" t="s">
        <v>36</v>
      </c>
      <c r="I533" s="90">
        <v>44713</v>
      </c>
      <c r="J533" s="91">
        <f>EFEITO!$J$533*EFEITO!$Y$533</f>
        <v>0</v>
      </c>
      <c r="K533" s="91">
        <f ca="1">EFEITO!$L$533*EFEITO!$Z$533</f>
        <v>23.623098811952538</v>
      </c>
      <c r="L533" s="91">
        <f>EFEITO!$N$533*EFEITO!$AA$533</f>
        <v>5.6810150957719179</v>
      </c>
      <c r="M533" s="91">
        <f>$J$533-EFEITO!$K$533*EFEITO!$Y$533</f>
        <v>0</v>
      </c>
      <c r="N533" s="91">
        <f ca="1">$K$533-EFEITO!$M$533*EFEITO!$Z$533</f>
        <v>0</v>
      </c>
      <c r="O533" s="91">
        <f>$L$533-EFEITO!$O$533*EFEITO!$AA$533</f>
        <v>0</v>
      </c>
      <c r="P533" s="20"/>
      <c r="Q533" s="20"/>
      <c r="R533" s="20"/>
      <c r="S533" s="20"/>
      <c r="T533" s="20"/>
      <c r="U533" s="20"/>
      <c r="V533" s="20"/>
      <c r="W533" s="20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83" t="s">
        <v>21</v>
      </c>
      <c r="B534" s="83" t="s">
        <v>37</v>
      </c>
      <c r="C534" s="83" t="s">
        <v>33</v>
      </c>
      <c r="D534" s="83" t="s">
        <v>41</v>
      </c>
      <c r="E534" s="83" t="s">
        <v>25</v>
      </c>
      <c r="F534" s="83" t="s">
        <v>25</v>
      </c>
      <c r="G534" s="83" t="s">
        <v>25</v>
      </c>
      <c r="H534" s="83" t="s">
        <v>34</v>
      </c>
      <c r="I534" s="90">
        <v>44378</v>
      </c>
      <c r="J534" s="91">
        <f>EFEITO!$J$534*EFEITO!$Y$534</f>
        <v>0</v>
      </c>
      <c r="K534" s="91">
        <f ca="1">EFEITO!$L$534*EFEITO!$Z$534</f>
        <v>24.170296413086533</v>
      </c>
      <c r="L534" s="91">
        <f>EFEITO!$N$534*EFEITO!$AA$534</f>
        <v>5.9168239938189409</v>
      </c>
      <c r="M534" s="91">
        <f>$J$534-EFEITO!$K$534*EFEITO!$Y$534</f>
        <v>0</v>
      </c>
      <c r="N534" s="91">
        <f ca="1">$K$534-EFEITO!$M$534*EFEITO!$Z$534</f>
        <v>0</v>
      </c>
      <c r="O534" s="91">
        <f>$L$534-EFEITO!$O$534*EFEITO!$AA$534</f>
        <v>0</v>
      </c>
      <c r="P534" s="20"/>
      <c r="Q534" s="20"/>
      <c r="R534" s="20"/>
      <c r="S534" s="20"/>
      <c r="T534" s="20"/>
      <c r="U534" s="20"/>
      <c r="V534" s="20"/>
      <c r="W534" s="20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83" t="s">
        <v>21</v>
      </c>
      <c r="B535" s="83" t="s">
        <v>37</v>
      </c>
      <c r="C535" s="83" t="s">
        <v>33</v>
      </c>
      <c r="D535" s="83" t="s">
        <v>41</v>
      </c>
      <c r="E535" s="83" t="s">
        <v>25</v>
      </c>
      <c r="F535" s="83" t="s">
        <v>25</v>
      </c>
      <c r="G535" s="83" t="s">
        <v>25</v>
      </c>
      <c r="H535" s="83" t="s">
        <v>34</v>
      </c>
      <c r="I535" s="90">
        <v>44409</v>
      </c>
      <c r="J535" s="91">
        <f>EFEITO!$J$535*EFEITO!$Y$535</f>
        <v>0</v>
      </c>
      <c r="K535" s="91">
        <f ca="1">EFEITO!$L$535*EFEITO!$Z$535</f>
        <v>25.442417276933192</v>
      </c>
      <c r="L535" s="91">
        <f>EFEITO!$N$535*EFEITO!$AA$535</f>
        <v>6.2282357829673058</v>
      </c>
      <c r="M535" s="91">
        <f>$J$535-EFEITO!$K$535*EFEITO!$Y$535</f>
        <v>0</v>
      </c>
      <c r="N535" s="91">
        <f ca="1">$K$535-EFEITO!$M$535*EFEITO!$Z$535</f>
        <v>0</v>
      </c>
      <c r="O535" s="91">
        <f>$L$535-EFEITO!$O$535*EFEITO!$AA$535</f>
        <v>0</v>
      </c>
      <c r="P535" s="20"/>
      <c r="Q535" s="20"/>
      <c r="R535" s="20"/>
      <c r="S535" s="20"/>
      <c r="T535" s="20"/>
      <c r="U535" s="20"/>
      <c r="V535" s="20"/>
      <c r="W535" s="20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83" t="s">
        <v>21</v>
      </c>
      <c r="B536" s="83" t="s">
        <v>37</v>
      </c>
      <c r="C536" s="83" t="s">
        <v>33</v>
      </c>
      <c r="D536" s="83" t="s">
        <v>41</v>
      </c>
      <c r="E536" s="83" t="s">
        <v>25</v>
      </c>
      <c r="F536" s="83" t="s">
        <v>25</v>
      </c>
      <c r="G536" s="83" t="s">
        <v>25</v>
      </c>
      <c r="H536" s="83" t="s">
        <v>34</v>
      </c>
      <c r="I536" s="90">
        <v>44440</v>
      </c>
      <c r="J536" s="91">
        <f>EFEITO!$J$536*EFEITO!$Y$536</f>
        <v>0</v>
      </c>
      <c r="K536" s="91">
        <f ca="1">EFEITO!$L$536*EFEITO!$Z$536</f>
        <v>17.809692093853236</v>
      </c>
      <c r="L536" s="91">
        <f>EFEITO!$N$536*EFEITO!$AA$536</f>
        <v>4.3597650480771142</v>
      </c>
      <c r="M536" s="91">
        <f>$J$536-EFEITO!$K$536*EFEITO!$Y$536</f>
        <v>0</v>
      </c>
      <c r="N536" s="91">
        <f ca="1">$K$536-EFEITO!$M$536*EFEITO!$Z$536</f>
        <v>0</v>
      </c>
      <c r="O536" s="91">
        <f>$L$536-EFEITO!$O$536*EFEITO!$AA$536</f>
        <v>0</v>
      </c>
      <c r="P536" s="20"/>
      <c r="Q536" s="20"/>
      <c r="R536" s="20"/>
      <c r="S536" s="20"/>
      <c r="T536" s="20"/>
      <c r="U536" s="20"/>
      <c r="V536" s="20"/>
      <c r="W536" s="20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83" t="s">
        <v>21</v>
      </c>
      <c r="B537" s="83" t="s">
        <v>37</v>
      </c>
      <c r="C537" s="83" t="s">
        <v>33</v>
      </c>
      <c r="D537" s="83" t="s">
        <v>41</v>
      </c>
      <c r="E537" s="83" t="s">
        <v>25</v>
      </c>
      <c r="F537" s="83" t="s">
        <v>25</v>
      </c>
      <c r="G537" s="83" t="s">
        <v>25</v>
      </c>
      <c r="H537" s="83" t="s">
        <v>34</v>
      </c>
      <c r="I537" s="90">
        <v>44470</v>
      </c>
      <c r="J537" s="91">
        <f>EFEITO!$J$537*EFEITO!$Y$537</f>
        <v>0</v>
      </c>
      <c r="K537" s="91">
        <f ca="1">EFEITO!$L$537*EFEITO!$Z$537</f>
        <v>19.081812957699892</v>
      </c>
      <c r="L537" s="91">
        <f>EFEITO!$N$537*EFEITO!$AA$537</f>
        <v>4.6711768372254792</v>
      </c>
      <c r="M537" s="91">
        <f>$J$537-EFEITO!$K$537*EFEITO!$Y$537</f>
        <v>0</v>
      </c>
      <c r="N537" s="91">
        <f ca="1">$K$537-EFEITO!$M$537*EFEITO!$Z$537</f>
        <v>0</v>
      </c>
      <c r="O537" s="91">
        <f>$L$537-EFEITO!$O$537*EFEITO!$AA$537</f>
        <v>0</v>
      </c>
      <c r="P537" s="20"/>
      <c r="Q537" s="20"/>
      <c r="R537" s="20"/>
      <c r="S537" s="20"/>
      <c r="T537" s="20"/>
      <c r="U537" s="20"/>
      <c r="V537" s="20"/>
      <c r="W537" s="20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83" t="s">
        <v>21</v>
      </c>
      <c r="B538" s="83" t="s">
        <v>37</v>
      </c>
      <c r="C538" s="83" t="s">
        <v>33</v>
      </c>
      <c r="D538" s="83" t="s">
        <v>41</v>
      </c>
      <c r="E538" s="83" t="s">
        <v>25</v>
      </c>
      <c r="F538" s="83" t="s">
        <v>25</v>
      </c>
      <c r="G538" s="83" t="s">
        <v>25</v>
      </c>
      <c r="H538" s="83" t="s">
        <v>34</v>
      </c>
      <c r="I538" s="90">
        <v>44501</v>
      </c>
      <c r="J538" s="91">
        <f>EFEITO!$J$538*EFEITO!$Y$538</f>
        <v>0</v>
      </c>
      <c r="K538" s="91">
        <f ca="1">EFEITO!$L$538*EFEITO!$Z$538</f>
        <v>17.809692093853236</v>
      </c>
      <c r="L538" s="91">
        <f>EFEITO!$N$538*EFEITO!$AA$538</f>
        <v>4.3597650480771142</v>
      </c>
      <c r="M538" s="91">
        <f>$J$538-EFEITO!$K$538*EFEITO!$Y$538</f>
        <v>0</v>
      </c>
      <c r="N538" s="91">
        <f ca="1">$K$538-EFEITO!$M$538*EFEITO!$Z$538</f>
        <v>0</v>
      </c>
      <c r="O538" s="91">
        <f>$L$538-EFEITO!$O$538*EFEITO!$AA$538</f>
        <v>0</v>
      </c>
      <c r="P538" s="20"/>
      <c r="Q538" s="20"/>
      <c r="R538" s="20"/>
      <c r="S538" s="20"/>
      <c r="T538" s="20"/>
      <c r="U538" s="20"/>
      <c r="V538" s="20"/>
      <c r="W538" s="20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83" t="s">
        <v>21</v>
      </c>
      <c r="B539" s="83" t="s">
        <v>37</v>
      </c>
      <c r="C539" s="83" t="s">
        <v>33</v>
      </c>
      <c r="D539" s="83" t="s">
        <v>41</v>
      </c>
      <c r="E539" s="83" t="s">
        <v>25</v>
      </c>
      <c r="F539" s="83" t="s">
        <v>25</v>
      </c>
      <c r="G539" s="83" t="s">
        <v>25</v>
      </c>
      <c r="H539" s="83" t="s">
        <v>34</v>
      </c>
      <c r="I539" s="90">
        <v>44531</v>
      </c>
      <c r="J539" s="91">
        <f>EFEITO!$J$539*EFEITO!$Y$539</f>
        <v>0</v>
      </c>
      <c r="K539" s="91">
        <f ca="1">EFEITO!$L$539*EFEITO!$Z$539</f>
        <v>25.442417276933192</v>
      </c>
      <c r="L539" s="91">
        <f>EFEITO!$N$539*EFEITO!$AA$539</f>
        <v>6.2282357829673058</v>
      </c>
      <c r="M539" s="91">
        <f>$J$539-EFEITO!$K$539*EFEITO!$Y$539</f>
        <v>0</v>
      </c>
      <c r="N539" s="91">
        <f ca="1">$K$539-EFEITO!$M$539*EFEITO!$Z$539</f>
        <v>0</v>
      </c>
      <c r="O539" s="91">
        <f>$L$539-EFEITO!$O$539*EFEITO!$AA$539</f>
        <v>0</v>
      </c>
      <c r="P539" s="20"/>
      <c r="Q539" s="20"/>
      <c r="R539" s="20"/>
      <c r="S539" s="20"/>
      <c r="T539" s="20"/>
      <c r="U539" s="20"/>
      <c r="V539" s="20"/>
      <c r="W539" s="20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83" t="s">
        <v>21</v>
      </c>
      <c r="B540" s="83" t="s">
        <v>37</v>
      </c>
      <c r="C540" s="83" t="s">
        <v>33</v>
      </c>
      <c r="D540" s="83" t="s">
        <v>41</v>
      </c>
      <c r="E540" s="83" t="s">
        <v>25</v>
      </c>
      <c r="F540" s="83" t="s">
        <v>25</v>
      </c>
      <c r="G540" s="83" t="s">
        <v>25</v>
      </c>
      <c r="H540" s="83" t="s">
        <v>34</v>
      </c>
      <c r="I540" s="90">
        <v>44562</v>
      </c>
      <c r="J540" s="91">
        <f>EFEITO!$J$540*EFEITO!$Y$540</f>
        <v>0</v>
      </c>
      <c r="K540" s="91">
        <f ca="1">EFEITO!$L$540*EFEITO!$Z$540</f>
        <v>25.442417276933192</v>
      </c>
      <c r="L540" s="91">
        <f>EFEITO!$N$540*EFEITO!$AA$540</f>
        <v>6.2282357829673058</v>
      </c>
      <c r="M540" s="91">
        <f>$J$540-EFEITO!$K$540*EFEITO!$Y$540</f>
        <v>0</v>
      </c>
      <c r="N540" s="91">
        <f ca="1">$K$540-EFEITO!$M$540*EFEITO!$Z$540</f>
        <v>0</v>
      </c>
      <c r="O540" s="91">
        <f>$L$540-EFEITO!$O$540*EFEITO!$AA$540</f>
        <v>0</v>
      </c>
      <c r="P540" s="20"/>
      <c r="Q540" s="20"/>
      <c r="R540" s="20"/>
      <c r="S540" s="20"/>
      <c r="T540" s="20"/>
      <c r="U540" s="20"/>
      <c r="V540" s="20"/>
      <c r="W540" s="20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83" t="s">
        <v>21</v>
      </c>
      <c r="B541" s="83" t="s">
        <v>37</v>
      </c>
      <c r="C541" s="83" t="s">
        <v>33</v>
      </c>
      <c r="D541" s="83" t="s">
        <v>41</v>
      </c>
      <c r="E541" s="83" t="s">
        <v>25</v>
      </c>
      <c r="F541" s="83" t="s">
        <v>25</v>
      </c>
      <c r="G541" s="83" t="s">
        <v>25</v>
      </c>
      <c r="H541" s="83" t="s">
        <v>34</v>
      </c>
      <c r="I541" s="90">
        <v>44593</v>
      </c>
      <c r="J541" s="91">
        <f>EFEITO!$J$541*EFEITO!$Y$541</f>
        <v>0</v>
      </c>
      <c r="K541" s="91">
        <f ca="1">EFEITO!$L$541*EFEITO!$Z$541</f>
        <v>34.347263323859806</v>
      </c>
      <c r="L541" s="91">
        <f>EFEITO!$N$541*EFEITO!$AA$541</f>
        <v>8.4081183070058625</v>
      </c>
      <c r="M541" s="91">
        <f>$J$541-EFEITO!$K$541*EFEITO!$Y$541</f>
        <v>0</v>
      </c>
      <c r="N541" s="91">
        <f ca="1">$K$541-EFEITO!$M$541*EFEITO!$Z$541</f>
        <v>0</v>
      </c>
      <c r="O541" s="91">
        <f>$L$541-EFEITO!$O$541*EFEITO!$AA$541</f>
        <v>0</v>
      </c>
      <c r="P541" s="20"/>
      <c r="Q541" s="20"/>
      <c r="R541" s="20"/>
      <c r="S541" s="20"/>
      <c r="T541" s="20"/>
      <c r="U541" s="20"/>
      <c r="V541" s="20"/>
      <c r="W541" s="20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83" t="s">
        <v>21</v>
      </c>
      <c r="B542" s="83" t="s">
        <v>37</v>
      </c>
      <c r="C542" s="83" t="s">
        <v>33</v>
      </c>
      <c r="D542" s="83" t="s">
        <v>41</v>
      </c>
      <c r="E542" s="83" t="s">
        <v>25</v>
      </c>
      <c r="F542" s="83" t="s">
        <v>25</v>
      </c>
      <c r="G542" s="83" t="s">
        <v>25</v>
      </c>
      <c r="H542" s="83" t="s">
        <v>34</v>
      </c>
      <c r="I542" s="90">
        <v>44621</v>
      </c>
      <c r="J542" s="91">
        <f>EFEITO!$J$542*EFEITO!$Y$542</f>
        <v>0</v>
      </c>
      <c r="K542" s="91">
        <f ca="1">EFEITO!$L$542*EFEITO!$Z$542</f>
        <v>38.163625915399784</v>
      </c>
      <c r="L542" s="91">
        <f>EFEITO!$N$542*EFEITO!$AA$542</f>
        <v>9.3423536744509583</v>
      </c>
      <c r="M542" s="91">
        <f>$J$542-EFEITO!$K$542*EFEITO!$Y$542</f>
        <v>0</v>
      </c>
      <c r="N542" s="91">
        <f ca="1">$K$542-EFEITO!$M$542*EFEITO!$Z$542</f>
        <v>0</v>
      </c>
      <c r="O542" s="91">
        <f>$L$542-EFEITO!$O$542*EFEITO!$AA$542</f>
        <v>0</v>
      </c>
      <c r="P542" s="20"/>
      <c r="Q542" s="20"/>
      <c r="R542" s="20"/>
      <c r="S542" s="20"/>
      <c r="T542" s="20"/>
      <c r="U542" s="20"/>
      <c r="V542" s="20"/>
      <c r="W542" s="20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83" t="s">
        <v>21</v>
      </c>
      <c r="B543" s="83" t="s">
        <v>37</v>
      </c>
      <c r="C543" s="83" t="s">
        <v>33</v>
      </c>
      <c r="D543" s="83" t="s">
        <v>41</v>
      </c>
      <c r="E543" s="83" t="s">
        <v>25</v>
      </c>
      <c r="F543" s="83" t="s">
        <v>25</v>
      </c>
      <c r="G543" s="83" t="s">
        <v>25</v>
      </c>
      <c r="H543" s="83" t="s">
        <v>34</v>
      </c>
      <c r="I543" s="90">
        <v>44652</v>
      </c>
      <c r="J543" s="91">
        <f>EFEITO!$J$543*EFEITO!$Y$543</f>
        <v>0</v>
      </c>
      <c r="K543" s="91">
        <f ca="1">EFEITO!$L$543*EFEITO!$Z$543</f>
        <v>29.258779868473169</v>
      </c>
      <c r="L543" s="91">
        <f>EFEITO!$N$543*EFEITO!$AA$543</f>
        <v>7.1624711504124017</v>
      </c>
      <c r="M543" s="91">
        <f>$J$543-EFEITO!$K$543*EFEITO!$Y$543</f>
        <v>0</v>
      </c>
      <c r="N543" s="91">
        <f ca="1">$K$543-EFEITO!$M$543*EFEITO!$Z$543</f>
        <v>0</v>
      </c>
      <c r="O543" s="91">
        <f>$L$543-EFEITO!$O$543*EFEITO!$AA$543</f>
        <v>0</v>
      </c>
      <c r="P543" s="20"/>
      <c r="Q543" s="20"/>
      <c r="R543" s="20"/>
      <c r="S543" s="20"/>
      <c r="T543" s="20"/>
      <c r="U543" s="20"/>
      <c r="V543" s="20"/>
      <c r="W543" s="20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83" t="s">
        <v>21</v>
      </c>
      <c r="B544" s="83" t="s">
        <v>37</v>
      </c>
      <c r="C544" s="83" t="s">
        <v>33</v>
      </c>
      <c r="D544" s="83" t="s">
        <v>41</v>
      </c>
      <c r="E544" s="83" t="s">
        <v>25</v>
      </c>
      <c r="F544" s="83" t="s">
        <v>25</v>
      </c>
      <c r="G544" s="83" t="s">
        <v>25</v>
      </c>
      <c r="H544" s="83" t="s">
        <v>34</v>
      </c>
      <c r="I544" s="90">
        <v>44682</v>
      </c>
      <c r="J544" s="91">
        <f>EFEITO!$J$544*EFEITO!$Y$544</f>
        <v>0</v>
      </c>
      <c r="K544" s="91">
        <f ca="1">EFEITO!$L$544*EFEITO!$Z$544</f>
        <v>16.537571230006574</v>
      </c>
      <c r="L544" s="91">
        <f>EFEITO!$N$544*EFEITO!$AA$544</f>
        <v>4.0483532589287483</v>
      </c>
      <c r="M544" s="91">
        <f>$J$544-EFEITO!$K$544*EFEITO!$Y$544</f>
        <v>0</v>
      </c>
      <c r="N544" s="91">
        <f ca="1">$K$544-EFEITO!$M$544*EFEITO!$Z$544</f>
        <v>0</v>
      </c>
      <c r="O544" s="91">
        <f>$L$544-EFEITO!$O$544*EFEITO!$AA$544</f>
        <v>0</v>
      </c>
      <c r="P544" s="20"/>
      <c r="Q544" s="20"/>
      <c r="R544" s="20"/>
      <c r="S544" s="20"/>
      <c r="T544" s="20"/>
      <c r="U544" s="20"/>
      <c r="V544" s="20"/>
      <c r="W544" s="20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83" t="s">
        <v>21</v>
      </c>
      <c r="B545" s="83" t="s">
        <v>37</v>
      </c>
      <c r="C545" s="83" t="s">
        <v>33</v>
      </c>
      <c r="D545" s="83" t="s">
        <v>41</v>
      </c>
      <c r="E545" s="83" t="s">
        <v>25</v>
      </c>
      <c r="F545" s="83" t="s">
        <v>25</v>
      </c>
      <c r="G545" s="83" t="s">
        <v>25</v>
      </c>
      <c r="H545" s="83" t="s">
        <v>34</v>
      </c>
      <c r="I545" s="90">
        <v>44713</v>
      </c>
      <c r="J545" s="91">
        <f>EFEITO!$J$545*EFEITO!$Y$545</f>
        <v>0</v>
      </c>
      <c r="K545" s="91">
        <f ca="1">EFEITO!$L$545*EFEITO!$Z$545</f>
        <v>15.265450366159916</v>
      </c>
      <c r="L545" s="91">
        <f>EFEITO!$N$545*EFEITO!$AA$545</f>
        <v>3.7369414697803838</v>
      </c>
      <c r="M545" s="91">
        <f>$J$545-EFEITO!$K$545*EFEITO!$Y$545</f>
        <v>0</v>
      </c>
      <c r="N545" s="91">
        <f ca="1">$K$545-EFEITO!$M$545*EFEITO!$Z$545</f>
        <v>0</v>
      </c>
      <c r="O545" s="91">
        <f>$L$545-EFEITO!$O$545*EFEITO!$AA$545</f>
        <v>0</v>
      </c>
      <c r="P545" s="20"/>
      <c r="Q545" s="20"/>
      <c r="R545" s="20"/>
      <c r="S545" s="20"/>
      <c r="T545" s="20"/>
      <c r="U545" s="20"/>
      <c r="V545" s="20"/>
      <c r="W545" s="20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83" t="s">
        <v>21</v>
      </c>
      <c r="B546" s="83" t="s">
        <v>37</v>
      </c>
      <c r="C546" s="83" t="s">
        <v>33</v>
      </c>
      <c r="D546" s="83" t="s">
        <v>38</v>
      </c>
      <c r="E546" s="83" t="s">
        <v>25</v>
      </c>
      <c r="F546" s="83" t="s">
        <v>25</v>
      </c>
      <c r="G546" s="83" t="s">
        <v>25</v>
      </c>
      <c r="H546" s="83" t="s">
        <v>34</v>
      </c>
      <c r="I546" s="90">
        <v>44562</v>
      </c>
      <c r="J546" s="91">
        <f>EFEITO!$J$546*EFEITO!$Y$546</f>
        <v>0</v>
      </c>
      <c r="K546" s="91">
        <f ca="1">EFEITO!$L$546*EFEITO!$Z$546</f>
        <v>6794.3975338050095</v>
      </c>
      <c r="L546" s="91">
        <f>EFEITO!$N$546*EFEITO!$AA$546</f>
        <v>1663.2503658414191</v>
      </c>
      <c r="M546" s="91">
        <f>$J$546-EFEITO!$K$546*EFEITO!$Y$546</f>
        <v>0</v>
      </c>
      <c r="N546" s="91">
        <f ca="1">$K$546-EFEITO!$M$546*EFEITO!$Z$546</f>
        <v>0</v>
      </c>
      <c r="O546" s="91">
        <f>$L$546-EFEITO!$O$546*EFEITO!$AA$546</f>
        <v>0</v>
      </c>
      <c r="P546" s="20"/>
      <c r="Q546" s="20"/>
      <c r="R546" s="20"/>
      <c r="S546" s="20"/>
      <c r="T546" s="20"/>
      <c r="U546" s="20"/>
      <c r="V546" s="20"/>
      <c r="W546" s="20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83" t="s">
        <v>21</v>
      </c>
      <c r="B547" s="83" t="s">
        <v>37</v>
      </c>
      <c r="C547" s="83" t="s">
        <v>33</v>
      </c>
      <c r="D547" s="83" t="s">
        <v>44</v>
      </c>
      <c r="E547" s="83" t="s">
        <v>25</v>
      </c>
      <c r="F547" s="83" t="s">
        <v>25</v>
      </c>
      <c r="G547" s="83" t="s">
        <v>25</v>
      </c>
      <c r="H547" s="83" t="s">
        <v>35</v>
      </c>
      <c r="I547" s="90">
        <v>44652</v>
      </c>
      <c r="J547" s="91">
        <f>EFEITO!$J$547*EFEITO!$Y$547</f>
        <v>0</v>
      </c>
      <c r="K547" s="91">
        <f ca="1">EFEITO!$L$547*EFEITO!$Z$547</f>
        <v>154.60623811779837</v>
      </c>
      <c r="L547" s="91">
        <f>EFEITO!$N$547*EFEITO!$AA$547</f>
        <v>84.823432292042767</v>
      </c>
      <c r="M547" s="91">
        <f>$J$547-EFEITO!$K$547*EFEITO!$Y$547</f>
        <v>0</v>
      </c>
      <c r="N547" s="91">
        <f ca="1">$K$547-EFEITO!$M$547*EFEITO!$Z$547</f>
        <v>0</v>
      </c>
      <c r="O547" s="91">
        <f>$L$547-EFEITO!$O$547*EFEITO!$AA$547</f>
        <v>0</v>
      </c>
      <c r="P547" s="20"/>
      <c r="Q547" s="20"/>
      <c r="R547" s="20"/>
      <c r="S547" s="20"/>
      <c r="T547" s="20"/>
      <c r="U547" s="20"/>
      <c r="V547" s="20"/>
      <c r="W547" s="20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83" t="s">
        <v>21</v>
      </c>
      <c r="B548" s="83" t="s">
        <v>37</v>
      </c>
      <c r="C548" s="83" t="s">
        <v>33</v>
      </c>
      <c r="D548" s="83" t="s">
        <v>44</v>
      </c>
      <c r="E548" s="83" t="s">
        <v>25</v>
      </c>
      <c r="F548" s="83" t="s">
        <v>25</v>
      </c>
      <c r="G548" s="83" t="s">
        <v>25</v>
      </c>
      <c r="H548" s="83" t="s">
        <v>35</v>
      </c>
      <c r="I548" s="90">
        <v>44682</v>
      </c>
      <c r="J548" s="91">
        <f>EFEITO!$J$548*EFEITO!$Y$548</f>
        <v>0</v>
      </c>
      <c r="K548" s="91">
        <f ca="1">EFEITO!$L$548*EFEITO!$Z$548</f>
        <v>454.17814061394807</v>
      </c>
      <c r="L548" s="91">
        <f>EFEITO!$N$548*EFEITO!$AA$548</f>
        <v>249.18107592489238</v>
      </c>
      <c r="M548" s="91">
        <f>$J$548-EFEITO!$K$548*EFEITO!$Y$548</f>
        <v>0</v>
      </c>
      <c r="N548" s="91">
        <f ca="1">$K$548-EFEITO!$M$548*EFEITO!$Z$548</f>
        <v>0</v>
      </c>
      <c r="O548" s="91">
        <f>$L$548-EFEITO!$O$548*EFEITO!$AA$548</f>
        <v>0</v>
      </c>
      <c r="P548" s="20"/>
      <c r="Q548" s="20"/>
      <c r="R548" s="20"/>
      <c r="S548" s="20"/>
      <c r="T548" s="20"/>
      <c r="U548" s="20"/>
      <c r="V548" s="20"/>
      <c r="W548" s="20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83" t="s">
        <v>21</v>
      </c>
      <c r="B549" s="83" t="s">
        <v>37</v>
      </c>
      <c r="C549" s="83" t="s">
        <v>33</v>
      </c>
      <c r="D549" s="83" t="s">
        <v>44</v>
      </c>
      <c r="E549" s="83" t="s">
        <v>25</v>
      </c>
      <c r="F549" s="83" t="s">
        <v>25</v>
      </c>
      <c r="G549" s="83" t="s">
        <v>25</v>
      </c>
      <c r="H549" s="83" t="s">
        <v>35</v>
      </c>
      <c r="I549" s="90">
        <v>44713</v>
      </c>
      <c r="J549" s="91">
        <f>EFEITO!$J$549*EFEITO!$Y$549</f>
        <v>0</v>
      </c>
      <c r="K549" s="91">
        <f ca="1">EFEITO!$L$549*EFEITO!$Z$549</f>
        <v>623.06671019759392</v>
      </c>
      <c r="L549" s="91">
        <f>EFEITO!$N$549*EFEITO!$AA$549</f>
        <v>341.84039110765502</v>
      </c>
      <c r="M549" s="91">
        <f>$J$549-EFEITO!$K$549*EFEITO!$Y$549</f>
        <v>0</v>
      </c>
      <c r="N549" s="91">
        <f ca="1">$K$549-EFEITO!$M$549*EFEITO!$Z$549</f>
        <v>0</v>
      </c>
      <c r="O549" s="91">
        <f>$L$549-EFEITO!$O$549*EFEITO!$AA$549</f>
        <v>0</v>
      </c>
      <c r="P549" s="20"/>
      <c r="Q549" s="20"/>
      <c r="R549" s="20"/>
      <c r="S549" s="20"/>
      <c r="T549" s="20"/>
      <c r="U549" s="20"/>
      <c r="V549" s="20"/>
      <c r="W549" s="20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83" t="s">
        <v>21</v>
      </c>
      <c r="B550" s="83" t="s">
        <v>37</v>
      </c>
      <c r="C550" s="83" t="s">
        <v>33</v>
      </c>
      <c r="D550" s="83" t="s">
        <v>44</v>
      </c>
      <c r="E550" s="83" t="s">
        <v>25</v>
      </c>
      <c r="F550" s="83" t="s">
        <v>25</v>
      </c>
      <c r="G550" s="83" t="s">
        <v>25</v>
      </c>
      <c r="H550" s="83" t="s">
        <v>36</v>
      </c>
      <c r="I550" s="90">
        <v>44652</v>
      </c>
      <c r="J550" s="91">
        <f>EFEITO!$J$550*EFEITO!$Y$550</f>
        <v>0</v>
      </c>
      <c r="K550" s="91">
        <f ca="1">EFEITO!$L$550*EFEITO!$Z$550</f>
        <v>8.9604857562578584</v>
      </c>
      <c r="L550" s="91">
        <f>EFEITO!$N$550*EFEITO!$AA$550</f>
        <v>2.1548677949479687</v>
      </c>
      <c r="M550" s="91">
        <f>$J$550-EFEITO!$K$550*EFEITO!$Y$550</f>
        <v>0</v>
      </c>
      <c r="N550" s="91">
        <f ca="1">$K$550-EFEITO!$M$550*EFEITO!$Z$550</f>
        <v>0</v>
      </c>
      <c r="O550" s="91">
        <f>$L$550-EFEITO!$O$550*EFEITO!$AA$550</f>
        <v>0</v>
      </c>
      <c r="P550" s="20"/>
      <c r="Q550" s="20"/>
      <c r="R550" s="20"/>
      <c r="S550" s="20"/>
      <c r="T550" s="20"/>
      <c r="U550" s="20"/>
      <c r="V550" s="20"/>
      <c r="W550" s="20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83" t="s">
        <v>21</v>
      </c>
      <c r="B551" s="83" t="s">
        <v>37</v>
      </c>
      <c r="C551" s="83" t="s">
        <v>33</v>
      </c>
      <c r="D551" s="83" t="s">
        <v>44</v>
      </c>
      <c r="E551" s="83" t="s">
        <v>25</v>
      </c>
      <c r="F551" s="83" t="s">
        <v>25</v>
      </c>
      <c r="G551" s="83" t="s">
        <v>25</v>
      </c>
      <c r="H551" s="83" t="s">
        <v>36</v>
      </c>
      <c r="I551" s="90">
        <v>44682</v>
      </c>
      <c r="J551" s="91">
        <f>EFEITO!$J$551*EFEITO!$Y$551</f>
        <v>0</v>
      </c>
      <c r="K551" s="91">
        <f ca="1">EFEITO!$L$551*EFEITO!$Z$551</f>
        <v>61.908810679599746</v>
      </c>
      <c r="L551" s="91">
        <f>EFEITO!$N$551*EFEITO!$AA$551</f>
        <v>14.888177492367783</v>
      </c>
      <c r="M551" s="91">
        <f>$J$551-EFEITO!$K$551*EFEITO!$Y$551</f>
        <v>0</v>
      </c>
      <c r="N551" s="91">
        <f ca="1">$K$551-EFEITO!$M$551*EFEITO!$Z$551</f>
        <v>0</v>
      </c>
      <c r="O551" s="91">
        <f>$L$551-EFEITO!$O$551*EFEITO!$AA$551</f>
        <v>0</v>
      </c>
      <c r="P551" s="20"/>
      <c r="Q551" s="20"/>
      <c r="R551" s="20"/>
      <c r="S551" s="20"/>
      <c r="T551" s="20"/>
      <c r="U551" s="20"/>
      <c r="V551" s="20"/>
      <c r="W551" s="20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83" t="s">
        <v>21</v>
      </c>
      <c r="B552" s="83" t="s">
        <v>37</v>
      </c>
      <c r="C552" s="83" t="s">
        <v>33</v>
      </c>
      <c r="D552" s="83" t="s">
        <v>44</v>
      </c>
      <c r="E552" s="83" t="s">
        <v>25</v>
      </c>
      <c r="F552" s="83" t="s">
        <v>25</v>
      </c>
      <c r="G552" s="83" t="s">
        <v>25</v>
      </c>
      <c r="H552" s="83" t="s">
        <v>36</v>
      </c>
      <c r="I552" s="90">
        <v>44713</v>
      </c>
      <c r="J552" s="91">
        <f>EFEITO!$J$552*EFEITO!$Y$552</f>
        <v>0</v>
      </c>
      <c r="K552" s="91">
        <f ca="1">EFEITO!$L$552*EFEITO!$Z$552</f>
        <v>92.048626405194369</v>
      </c>
      <c r="L552" s="91">
        <f>EFEITO!$N$552*EFEITO!$AA$552</f>
        <v>22.136369166283679</v>
      </c>
      <c r="M552" s="91">
        <f>$J$552-EFEITO!$K$552*EFEITO!$Y$552</f>
        <v>0</v>
      </c>
      <c r="N552" s="91">
        <f ca="1">$K$552-EFEITO!$M$552*EFEITO!$Z$552</f>
        <v>0</v>
      </c>
      <c r="O552" s="91">
        <f>$L$552-EFEITO!$O$552*EFEITO!$AA$552</f>
        <v>0</v>
      </c>
      <c r="P552" s="20"/>
      <c r="Q552" s="20"/>
      <c r="R552" s="20"/>
      <c r="S552" s="20"/>
      <c r="T552" s="20"/>
      <c r="U552" s="20"/>
      <c r="V552" s="20"/>
      <c r="W552" s="20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83" t="s">
        <v>21</v>
      </c>
      <c r="B553" s="83" t="s">
        <v>37</v>
      </c>
      <c r="C553" s="83" t="s">
        <v>33</v>
      </c>
      <c r="D553" s="83" t="s">
        <v>44</v>
      </c>
      <c r="E553" s="83" t="s">
        <v>25</v>
      </c>
      <c r="F553" s="83" t="s">
        <v>25</v>
      </c>
      <c r="G553" s="83" t="s">
        <v>25</v>
      </c>
      <c r="H553" s="83" t="s">
        <v>34</v>
      </c>
      <c r="I553" s="90">
        <v>44562</v>
      </c>
      <c r="J553" s="91">
        <f>EFEITO!$J$553*EFEITO!$Y$553</f>
        <v>0</v>
      </c>
      <c r="K553" s="91">
        <f ca="1">EFEITO!$L$553*EFEITO!$Z$553</f>
        <v>3395.2905856067346</v>
      </c>
      <c r="L553" s="91">
        <f>EFEITO!$N$553*EFEITO!$AA$553</f>
        <v>831.158065236987</v>
      </c>
      <c r="M553" s="91">
        <f>$J$553-EFEITO!$K$553*EFEITO!$Y$553</f>
        <v>0</v>
      </c>
      <c r="N553" s="91">
        <f ca="1">$K$553-EFEITO!$M$553*EFEITO!$Z$553</f>
        <v>0</v>
      </c>
      <c r="O553" s="91">
        <f>$L$553-EFEITO!$O$553*EFEITO!$AA$553</f>
        <v>0</v>
      </c>
      <c r="P553" s="20"/>
      <c r="Q553" s="20"/>
      <c r="R553" s="20"/>
      <c r="S553" s="20"/>
      <c r="T553" s="20"/>
      <c r="U553" s="20"/>
      <c r="V553" s="20"/>
      <c r="W553" s="20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83" t="s">
        <v>21</v>
      </c>
      <c r="B554" s="83" t="s">
        <v>37</v>
      </c>
      <c r="C554" s="83" t="s">
        <v>33</v>
      </c>
      <c r="D554" s="83" t="s">
        <v>44</v>
      </c>
      <c r="E554" s="83" t="s">
        <v>25</v>
      </c>
      <c r="F554" s="83" t="s">
        <v>25</v>
      </c>
      <c r="G554" s="83" t="s">
        <v>25</v>
      </c>
      <c r="H554" s="83" t="s">
        <v>34</v>
      </c>
      <c r="I554" s="90">
        <v>44652</v>
      </c>
      <c r="J554" s="91">
        <f>EFEITO!$J$554*EFEITO!$Y$554</f>
        <v>0</v>
      </c>
      <c r="K554" s="91">
        <f ca="1">EFEITO!$L$554*EFEITO!$Z$554</f>
        <v>17.809692093853236</v>
      </c>
      <c r="L554" s="91">
        <f>EFEITO!$N$554*EFEITO!$AA$554</f>
        <v>4.3597650480771142</v>
      </c>
      <c r="M554" s="91">
        <f>$J$554-EFEITO!$K$554*EFEITO!$Y$554</f>
        <v>0</v>
      </c>
      <c r="N554" s="91">
        <f ca="1">$K$554-EFEITO!$M$554*EFEITO!$Z$554</f>
        <v>0</v>
      </c>
      <c r="O554" s="91">
        <f>$L$554-EFEITO!$O$554*EFEITO!$AA$554</f>
        <v>0</v>
      </c>
      <c r="P554" s="20"/>
      <c r="Q554" s="20"/>
      <c r="R554" s="20"/>
      <c r="S554" s="20"/>
      <c r="T554" s="20"/>
      <c r="U554" s="20"/>
      <c r="V554" s="20"/>
      <c r="W554" s="20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83" t="s">
        <v>21</v>
      </c>
      <c r="B555" s="83" t="s">
        <v>37</v>
      </c>
      <c r="C555" s="83" t="s">
        <v>33</v>
      </c>
      <c r="D555" s="83" t="s">
        <v>44</v>
      </c>
      <c r="E555" s="83" t="s">
        <v>25</v>
      </c>
      <c r="F555" s="83" t="s">
        <v>25</v>
      </c>
      <c r="G555" s="83" t="s">
        <v>25</v>
      </c>
      <c r="H555" s="83" t="s">
        <v>34</v>
      </c>
      <c r="I555" s="90">
        <v>44682</v>
      </c>
      <c r="J555" s="91">
        <f>EFEITO!$J$555*EFEITO!$Y$555</f>
        <v>0</v>
      </c>
      <c r="K555" s="91">
        <f ca="1">EFEITO!$L$555*EFEITO!$Z$555</f>
        <v>85.232097877726204</v>
      </c>
      <c r="L555" s="91">
        <f>EFEITO!$N$555*EFEITO!$AA$555</f>
        <v>20.864589872940478</v>
      </c>
      <c r="M555" s="91">
        <f>$J$555-EFEITO!$K$555*EFEITO!$Y$555</f>
        <v>0</v>
      </c>
      <c r="N555" s="91">
        <f ca="1">$K$555-EFEITO!$M$555*EFEITO!$Z$555</f>
        <v>0</v>
      </c>
      <c r="O555" s="91">
        <f>$L$555-EFEITO!$O$555*EFEITO!$AA$555</f>
        <v>0</v>
      </c>
      <c r="P555" s="20"/>
      <c r="Q555" s="20"/>
      <c r="R555" s="20"/>
      <c r="S555" s="20"/>
      <c r="T555" s="20"/>
      <c r="U555" s="20"/>
      <c r="V555" s="20"/>
      <c r="W555" s="20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83" t="s">
        <v>21</v>
      </c>
      <c r="B556" s="83" t="s">
        <v>37</v>
      </c>
      <c r="C556" s="83" t="s">
        <v>33</v>
      </c>
      <c r="D556" s="83" t="s">
        <v>44</v>
      </c>
      <c r="E556" s="83" t="s">
        <v>25</v>
      </c>
      <c r="F556" s="83" t="s">
        <v>25</v>
      </c>
      <c r="G556" s="83" t="s">
        <v>25</v>
      </c>
      <c r="H556" s="83" t="s">
        <v>34</v>
      </c>
      <c r="I556" s="90">
        <v>44713</v>
      </c>
      <c r="J556" s="91">
        <f>EFEITO!$J$556*EFEITO!$Y$556</f>
        <v>0</v>
      </c>
      <c r="K556" s="91">
        <f ca="1">EFEITO!$L$556*EFEITO!$Z$556</f>
        <v>122.12360292927933</v>
      </c>
      <c r="L556" s="91">
        <f>EFEITO!$N$556*EFEITO!$AA$556</f>
        <v>29.89553175824307</v>
      </c>
      <c r="M556" s="91">
        <f>$J$556-EFEITO!$K$556*EFEITO!$Y$556</f>
        <v>0</v>
      </c>
      <c r="N556" s="91">
        <f ca="1">$K$556-EFEITO!$M$556*EFEITO!$Z$556</f>
        <v>0</v>
      </c>
      <c r="O556" s="91">
        <f>$L$556-EFEITO!$O$556*EFEITO!$AA$556</f>
        <v>0</v>
      </c>
      <c r="P556" s="20"/>
      <c r="Q556" s="20"/>
      <c r="R556" s="20"/>
      <c r="S556" s="20"/>
      <c r="T556" s="20"/>
      <c r="U556" s="20"/>
      <c r="V556" s="20"/>
      <c r="W556" s="20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83" t="s">
        <v>21</v>
      </c>
      <c r="B557" s="83" t="s">
        <v>37</v>
      </c>
      <c r="C557" s="83" t="s">
        <v>33</v>
      </c>
      <c r="D557" s="83" t="s">
        <v>48</v>
      </c>
      <c r="E557" s="83" t="s">
        <v>49</v>
      </c>
      <c r="F557" s="83" t="s">
        <v>25</v>
      </c>
      <c r="G557" s="83" t="s">
        <v>25</v>
      </c>
      <c r="H557" s="83" t="s">
        <v>34</v>
      </c>
      <c r="I557" s="90">
        <v>44562</v>
      </c>
      <c r="J557" s="91">
        <f>EFEITO!$J$557*EFEITO!$Y$556</f>
        <v>0</v>
      </c>
      <c r="K557" s="91">
        <f ca="1">EFEITO!$L$557*EFEITO!$Z$556</f>
        <v>882.85187950958175</v>
      </c>
      <c r="L557" s="91">
        <f>EFEITO!$N$557*EFEITO!$AA$556</f>
        <v>216.11978166896552</v>
      </c>
      <c r="M557" s="91">
        <f>$J$557-EFEITO!$K$557*EFEITO!$Y$557</f>
        <v>0</v>
      </c>
      <c r="N557" s="91">
        <f ca="1">$K$557-EFEITO!$M$557*EFEITO!$Z$557</f>
        <v>26.485556385287396</v>
      </c>
      <c r="O557" s="91">
        <f>$L$557-EFEITO!$O$557*EFEITO!$AA$557</f>
        <v>6.4835934500689802</v>
      </c>
      <c r="P557" s="20"/>
      <c r="Q557" s="20"/>
      <c r="R557" s="20"/>
      <c r="S557" s="20"/>
      <c r="T557" s="20"/>
      <c r="U557" s="20"/>
      <c r="V557" s="20"/>
      <c r="W557" s="20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83" t="s">
        <v>21</v>
      </c>
      <c r="B558" s="83" t="s">
        <v>37</v>
      </c>
      <c r="C558" s="83" t="s">
        <v>23</v>
      </c>
      <c r="D558" s="83" t="s">
        <v>41</v>
      </c>
      <c r="E558" s="83" t="s">
        <v>25</v>
      </c>
      <c r="F558" s="83" t="s">
        <v>25</v>
      </c>
      <c r="G558" s="83" t="s">
        <v>25</v>
      </c>
      <c r="H558" s="83" t="s">
        <v>25</v>
      </c>
      <c r="I558" s="90">
        <v>44378</v>
      </c>
      <c r="J558" s="91">
        <f>EFEITO!$J$558*EFEITO!$Y$558</f>
        <v>0</v>
      </c>
      <c r="K558" s="91">
        <f ca="1">EFEITO!$L$558*EFEITO!$Z$558</f>
        <v>228090.21462746587</v>
      </c>
      <c r="L558" s="91">
        <f>EFEITO!$N$558*EFEITO!$AA$558</f>
        <v>105101.94313935598</v>
      </c>
      <c r="M558" s="91">
        <f>$J$558-EFEITO!$K$558*EFEITO!$Y$558</f>
        <v>0</v>
      </c>
      <c r="N558" s="91">
        <f ca="1">$K$558-EFEITO!$M$558*EFEITO!$Z$558</f>
        <v>0</v>
      </c>
      <c r="O558" s="91">
        <f>$L$558-EFEITO!$O$558*EFEITO!$AA$558</f>
        <v>0</v>
      </c>
      <c r="P558" s="20"/>
      <c r="Q558" s="20"/>
      <c r="R558" s="20"/>
      <c r="S558" s="20"/>
      <c r="T558" s="20"/>
      <c r="U558" s="20"/>
      <c r="V558" s="20"/>
      <c r="W558" s="20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83" t="s">
        <v>27</v>
      </c>
      <c r="B559" s="83" t="s">
        <v>37</v>
      </c>
      <c r="C559" s="83" t="s">
        <v>23</v>
      </c>
      <c r="D559" s="83" t="s">
        <v>41</v>
      </c>
      <c r="E559" s="83" t="s">
        <v>25</v>
      </c>
      <c r="F559" s="83" t="s">
        <v>25</v>
      </c>
      <c r="G559" s="83" t="s">
        <v>25</v>
      </c>
      <c r="H559" s="83" t="s">
        <v>25</v>
      </c>
      <c r="I559" s="90">
        <v>44378</v>
      </c>
      <c r="J559" s="91">
        <f>EFEITO!$J$559*EFEITO!$Y$559</f>
        <v>0</v>
      </c>
      <c r="K559" s="91">
        <f ca="1">EFEITO!$L$559*EFEITO!$Z$559</f>
        <v>-4497.6929884869305</v>
      </c>
      <c r="L559" s="91">
        <f>EFEITO!$N$559*EFEITO!$AA$559</f>
        <v>-2072.4969438356188</v>
      </c>
      <c r="M559" s="91">
        <f>$J$559-EFEITO!$K$559*EFEITO!$Y$559</f>
        <v>0</v>
      </c>
      <c r="N559" s="91">
        <f ca="1">$K$559-EFEITO!$M$559*EFEITO!$Z$559</f>
        <v>0</v>
      </c>
      <c r="O559" s="91">
        <f>$L$559-EFEITO!$O$559*EFEITO!$AA$559</f>
        <v>0</v>
      </c>
      <c r="P559" s="20"/>
      <c r="Q559" s="20"/>
      <c r="R559" s="20"/>
      <c r="S559" s="20"/>
      <c r="T559" s="20"/>
      <c r="U559" s="20"/>
      <c r="V559" s="20"/>
      <c r="W559" s="20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83" t="s">
        <v>28</v>
      </c>
      <c r="B560" s="83" t="s">
        <v>37</v>
      </c>
      <c r="C560" s="83" t="s">
        <v>23</v>
      </c>
      <c r="D560" s="83" t="s">
        <v>41</v>
      </c>
      <c r="E560" s="83" t="s">
        <v>25</v>
      </c>
      <c r="F560" s="83" t="s">
        <v>25</v>
      </c>
      <c r="G560" s="83" t="s">
        <v>25</v>
      </c>
      <c r="H560" s="83" t="s">
        <v>25</v>
      </c>
      <c r="I560" s="90">
        <v>44378</v>
      </c>
      <c r="J560" s="91">
        <f>EFEITO!$J$560*EFEITO!$Y$560</f>
        <v>0</v>
      </c>
      <c r="K560" s="91">
        <f ca="1">EFEITO!$L$560*EFEITO!$Z$560</f>
        <v>22412.195059349444</v>
      </c>
      <c r="L560" s="91">
        <f>EFEITO!$N$560*EFEITO!$AA$560</f>
        <v>10327.340235104723</v>
      </c>
      <c r="M560" s="91">
        <f>$J$560-EFEITO!$K$560*EFEITO!$Y$560</f>
        <v>0</v>
      </c>
      <c r="N560" s="91">
        <f ca="1">$K$560-EFEITO!$M$560*EFEITO!$Z$560</f>
        <v>0</v>
      </c>
      <c r="O560" s="91">
        <f>$L$560-EFEITO!$O$560*EFEITO!$AA$560</f>
        <v>0</v>
      </c>
      <c r="P560" s="20"/>
      <c r="Q560" s="20"/>
      <c r="R560" s="20"/>
      <c r="S560" s="20"/>
      <c r="T560" s="20"/>
      <c r="U560" s="20"/>
      <c r="V560" s="20"/>
      <c r="W560" s="20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83" t="s">
        <v>21</v>
      </c>
      <c r="B561" s="83" t="s">
        <v>37</v>
      </c>
      <c r="C561" s="83" t="s">
        <v>23</v>
      </c>
      <c r="D561" s="83" t="s">
        <v>41</v>
      </c>
      <c r="E561" s="83" t="s">
        <v>25</v>
      </c>
      <c r="F561" s="83" t="s">
        <v>25</v>
      </c>
      <c r="G561" s="83" t="s">
        <v>25</v>
      </c>
      <c r="H561" s="83" t="s">
        <v>25</v>
      </c>
      <c r="I561" s="90">
        <v>44409</v>
      </c>
      <c r="J561" s="91">
        <f>EFEITO!$J$561*EFEITO!$Y$561</f>
        <v>0</v>
      </c>
      <c r="K561" s="91">
        <f ca="1">EFEITO!$L$561*EFEITO!$Z$561</f>
        <v>245202.76786916342</v>
      </c>
      <c r="L561" s="91">
        <f>EFEITO!$N$561*EFEITO!$AA$561</f>
        <v>112987.25553960798</v>
      </c>
      <c r="M561" s="91">
        <f>$J$561-EFEITO!$K$561*EFEITO!$Y$561</f>
        <v>0</v>
      </c>
      <c r="N561" s="91">
        <f ca="1">$K$561-EFEITO!$M$561*EFEITO!$Z$561</f>
        <v>0</v>
      </c>
      <c r="O561" s="91">
        <f>$L$561-EFEITO!$O$561*EFEITO!$AA$561</f>
        <v>0</v>
      </c>
      <c r="P561" s="20"/>
      <c r="Q561" s="20"/>
      <c r="R561" s="20"/>
      <c r="S561" s="20"/>
      <c r="T561" s="20"/>
      <c r="U561" s="20"/>
      <c r="V561" s="20"/>
      <c r="W561" s="20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83" t="s">
        <v>27</v>
      </c>
      <c r="B562" s="83" t="s">
        <v>37</v>
      </c>
      <c r="C562" s="83" t="s">
        <v>23</v>
      </c>
      <c r="D562" s="83" t="s">
        <v>41</v>
      </c>
      <c r="E562" s="83" t="s">
        <v>25</v>
      </c>
      <c r="F562" s="83" t="s">
        <v>25</v>
      </c>
      <c r="G562" s="83" t="s">
        <v>25</v>
      </c>
      <c r="H562" s="83" t="s">
        <v>25</v>
      </c>
      <c r="I562" s="90">
        <v>44409</v>
      </c>
      <c r="J562" s="91">
        <f>EFEITO!$J$562*EFEITO!$Y$562</f>
        <v>0</v>
      </c>
      <c r="K562" s="91">
        <f ca="1">EFEITO!$L$562*EFEITO!$Z$562</f>
        <v>-28.991476026542095</v>
      </c>
      <c r="L562" s="91">
        <f>EFEITO!$N$562*EFEITO!$AA$562</f>
        <v>-13.359014413855141</v>
      </c>
      <c r="M562" s="91">
        <f>$J$562-EFEITO!$K$562*EFEITO!$Y$562</f>
        <v>0</v>
      </c>
      <c r="N562" s="91">
        <f ca="1">$K$562-EFEITO!$M$562*EFEITO!$Z$562</f>
        <v>0</v>
      </c>
      <c r="O562" s="91">
        <f>$L$562-EFEITO!$O$562*EFEITO!$AA$562</f>
        <v>0</v>
      </c>
      <c r="P562" s="20"/>
      <c r="Q562" s="20"/>
      <c r="R562" s="20"/>
      <c r="S562" s="20"/>
      <c r="T562" s="20"/>
      <c r="U562" s="20"/>
      <c r="V562" s="20"/>
      <c r="W562" s="20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83" t="s">
        <v>28</v>
      </c>
      <c r="B563" s="83" t="s">
        <v>37</v>
      </c>
      <c r="C563" s="83" t="s">
        <v>23</v>
      </c>
      <c r="D563" s="83" t="s">
        <v>41</v>
      </c>
      <c r="E563" s="83" t="s">
        <v>25</v>
      </c>
      <c r="F563" s="83" t="s">
        <v>25</v>
      </c>
      <c r="G563" s="83" t="s">
        <v>25</v>
      </c>
      <c r="H563" s="83" t="s">
        <v>25</v>
      </c>
      <c r="I563" s="90">
        <v>44409</v>
      </c>
      <c r="J563" s="91">
        <f>EFEITO!$J$563*EFEITO!$Y$563</f>
        <v>0</v>
      </c>
      <c r="K563" s="91">
        <f ca="1">EFEITO!$L$563*EFEITO!$Z$563</f>
        <v>19568.800295207813</v>
      </c>
      <c r="L563" s="91">
        <f>EFEITO!$N$563*EFEITO!$AA$563</f>
        <v>9017.1292060535452</v>
      </c>
      <c r="M563" s="91">
        <f>$J$563-EFEITO!$K$563*EFEITO!$Y$563</f>
        <v>0</v>
      </c>
      <c r="N563" s="91">
        <f ca="1">$K$563-EFEITO!$M$563*EFEITO!$Z$563</f>
        <v>0</v>
      </c>
      <c r="O563" s="91">
        <f>$L$563-EFEITO!$O$563*EFEITO!$AA$563</f>
        <v>0</v>
      </c>
      <c r="P563" s="20"/>
      <c r="Q563" s="20"/>
      <c r="R563" s="20"/>
      <c r="S563" s="20"/>
      <c r="T563" s="20"/>
      <c r="U563" s="20"/>
      <c r="V563" s="20"/>
      <c r="W563" s="20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83" t="s">
        <v>21</v>
      </c>
      <c r="B564" s="83" t="s">
        <v>37</v>
      </c>
      <c r="C564" s="83" t="s">
        <v>23</v>
      </c>
      <c r="D564" s="83" t="s">
        <v>41</v>
      </c>
      <c r="E564" s="83" t="s">
        <v>25</v>
      </c>
      <c r="F564" s="83" t="s">
        <v>25</v>
      </c>
      <c r="G564" s="83" t="s">
        <v>25</v>
      </c>
      <c r="H564" s="83" t="s">
        <v>25</v>
      </c>
      <c r="I564" s="90">
        <v>44440</v>
      </c>
      <c r="J564" s="91">
        <f>EFEITO!$J$564*EFEITO!$Y$564</f>
        <v>0</v>
      </c>
      <c r="K564" s="91">
        <f ca="1">EFEITO!$L$564*EFEITO!$Z$564</f>
        <v>226328.42493046832</v>
      </c>
      <c r="L564" s="91">
        <f>EFEITO!$N$564*EFEITO!$AA$564</f>
        <v>104290.12610959094</v>
      </c>
      <c r="M564" s="91">
        <f>$J$564-EFEITO!$K$564*EFEITO!$Y$564</f>
        <v>0</v>
      </c>
      <c r="N564" s="91">
        <f ca="1">$K$564-EFEITO!$M$564*EFEITO!$Z$564</f>
        <v>0</v>
      </c>
      <c r="O564" s="91">
        <f>$L$564-EFEITO!$O$564*EFEITO!$AA$564</f>
        <v>0</v>
      </c>
      <c r="P564" s="20"/>
      <c r="Q564" s="20"/>
      <c r="R564" s="20"/>
      <c r="S564" s="20"/>
      <c r="T564" s="20"/>
      <c r="U564" s="20"/>
      <c r="V564" s="20"/>
      <c r="W564" s="20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83" t="s">
        <v>28</v>
      </c>
      <c r="B565" s="83" t="s">
        <v>37</v>
      </c>
      <c r="C565" s="83" t="s">
        <v>23</v>
      </c>
      <c r="D565" s="83" t="s">
        <v>41</v>
      </c>
      <c r="E565" s="83" t="s">
        <v>25</v>
      </c>
      <c r="F565" s="83" t="s">
        <v>25</v>
      </c>
      <c r="G565" s="83" t="s">
        <v>25</v>
      </c>
      <c r="H565" s="83" t="s">
        <v>25</v>
      </c>
      <c r="I565" s="90">
        <v>44440</v>
      </c>
      <c r="J565" s="91">
        <f>EFEITO!$J$565*EFEITO!$Y$565</f>
        <v>0</v>
      </c>
      <c r="K565" s="91">
        <f ca="1">EFEITO!$L$565*EFEITO!$Z$565</f>
        <v>20847.993422040468</v>
      </c>
      <c r="L565" s="91">
        <f>EFEITO!$N$565*EFEITO!$AA$565</f>
        <v>9606.5700266525691</v>
      </c>
      <c r="M565" s="91">
        <f>$J$565-EFEITO!$K$565*EFEITO!$Y$565</f>
        <v>0</v>
      </c>
      <c r="N565" s="91">
        <f ca="1">$K$565-EFEITO!$M$565*EFEITO!$Z$565</f>
        <v>0</v>
      </c>
      <c r="O565" s="91">
        <f>$L$565-EFEITO!$O$565*EFEITO!$AA$565</f>
        <v>0</v>
      </c>
      <c r="P565" s="20"/>
      <c r="Q565" s="20"/>
      <c r="R565" s="20"/>
      <c r="S565" s="20"/>
      <c r="T565" s="20"/>
      <c r="U565" s="20"/>
      <c r="V565" s="20"/>
      <c r="W565" s="20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83" t="s">
        <v>21</v>
      </c>
      <c r="B566" s="83" t="s">
        <v>37</v>
      </c>
      <c r="C566" s="83" t="s">
        <v>23</v>
      </c>
      <c r="D566" s="83" t="s">
        <v>41</v>
      </c>
      <c r="E566" s="83" t="s">
        <v>25</v>
      </c>
      <c r="F566" s="83" t="s">
        <v>25</v>
      </c>
      <c r="G566" s="83" t="s">
        <v>25</v>
      </c>
      <c r="H566" s="83" t="s">
        <v>25</v>
      </c>
      <c r="I566" s="90">
        <v>44470</v>
      </c>
      <c r="J566" s="91">
        <f>EFEITO!$J$566*EFEITO!$Y$566</f>
        <v>0</v>
      </c>
      <c r="K566" s="91">
        <f ca="1">EFEITO!$L$566*EFEITO!$Z$566</f>
        <v>243294.23670120077</v>
      </c>
      <c r="L566" s="91">
        <f>EFEITO!$N$566*EFEITO!$AA$566</f>
        <v>112107.82134457897</v>
      </c>
      <c r="M566" s="91">
        <f>$J$566-EFEITO!$K$566*EFEITO!$Y$566</f>
        <v>0</v>
      </c>
      <c r="N566" s="91">
        <f ca="1">$K$566-EFEITO!$M$566*EFEITO!$Z$566</f>
        <v>0</v>
      </c>
      <c r="O566" s="91">
        <f>$L$566-EFEITO!$O$566*EFEITO!$AA$566</f>
        <v>0</v>
      </c>
      <c r="P566" s="20"/>
      <c r="Q566" s="20"/>
      <c r="R566" s="20"/>
      <c r="S566" s="20"/>
      <c r="T566" s="20"/>
      <c r="U566" s="20"/>
      <c r="V566" s="20"/>
      <c r="W566" s="20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83" t="s">
        <v>28</v>
      </c>
      <c r="B567" s="83" t="s">
        <v>37</v>
      </c>
      <c r="C567" s="83" t="s">
        <v>23</v>
      </c>
      <c r="D567" s="83" t="s">
        <v>41</v>
      </c>
      <c r="E567" s="83" t="s">
        <v>25</v>
      </c>
      <c r="F567" s="83" t="s">
        <v>25</v>
      </c>
      <c r="G567" s="83" t="s">
        <v>25</v>
      </c>
      <c r="H567" s="83" t="s">
        <v>25</v>
      </c>
      <c r="I567" s="90">
        <v>44470</v>
      </c>
      <c r="J567" s="91">
        <f>EFEITO!$J$567*EFEITO!$Y$567</f>
        <v>0</v>
      </c>
      <c r="K567" s="91">
        <f ca="1">EFEITO!$L$567*EFEITO!$Z$567</f>
        <v>19426.073028615607</v>
      </c>
      <c r="L567" s="91">
        <f>EFEITO!$N$567*EFEITO!$AA$567</f>
        <v>8951.361750477643</v>
      </c>
      <c r="M567" s="91">
        <f>$J$567-EFEITO!$K$567*EFEITO!$Y$567</f>
        <v>0</v>
      </c>
      <c r="N567" s="91">
        <f ca="1">$K$567-EFEITO!$M$567*EFEITO!$Z$567</f>
        <v>0</v>
      </c>
      <c r="O567" s="91">
        <f>$L$567-EFEITO!$O$567*EFEITO!$AA$567</f>
        <v>0</v>
      </c>
      <c r="P567" s="20"/>
      <c r="Q567" s="20"/>
      <c r="R567" s="20"/>
      <c r="S567" s="20"/>
      <c r="T567" s="20"/>
      <c r="U567" s="20"/>
      <c r="V567" s="20"/>
      <c r="W567" s="20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83" t="s">
        <v>21</v>
      </c>
      <c r="B568" s="83" t="s">
        <v>37</v>
      </c>
      <c r="C568" s="83" t="s">
        <v>23</v>
      </c>
      <c r="D568" s="83" t="s">
        <v>41</v>
      </c>
      <c r="E568" s="83" t="s">
        <v>25</v>
      </c>
      <c r="F568" s="83" t="s">
        <v>25</v>
      </c>
      <c r="G568" s="83" t="s">
        <v>25</v>
      </c>
      <c r="H568" s="83" t="s">
        <v>25</v>
      </c>
      <c r="I568" s="90">
        <v>44501</v>
      </c>
      <c r="J568" s="91">
        <f>EFEITO!$J$568*EFEITO!$Y$568</f>
        <v>0</v>
      </c>
      <c r="K568" s="91">
        <f ca="1">EFEITO!$L$568*EFEITO!$Z$568</f>
        <v>268254.11346922111</v>
      </c>
      <c r="L568" s="91">
        <f>EFEITO!$N$568*EFEITO!$AA$568</f>
        <v>123609.11066171355</v>
      </c>
      <c r="M568" s="91">
        <f>$J$568-EFEITO!$K$568*EFEITO!$Y$568</f>
        <v>0</v>
      </c>
      <c r="N568" s="91">
        <f ca="1">$K$568-EFEITO!$M$568*EFEITO!$Z$568</f>
        <v>0</v>
      </c>
      <c r="O568" s="91">
        <f>$L$568-EFEITO!$O$568*EFEITO!$AA$568</f>
        <v>0</v>
      </c>
      <c r="P568" s="20"/>
      <c r="Q568" s="20"/>
      <c r="R568" s="20"/>
      <c r="S568" s="20"/>
      <c r="T568" s="20"/>
      <c r="U568" s="20"/>
      <c r="V568" s="20"/>
      <c r="W568" s="20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83" t="s">
        <v>27</v>
      </c>
      <c r="B569" s="83" t="s">
        <v>37</v>
      </c>
      <c r="C569" s="83" t="s">
        <v>23</v>
      </c>
      <c r="D569" s="83" t="s">
        <v>41</v>
      </c>
      <c r="E569" s="83" t="s">
        <v>25</v>
      </c>
      <c r="F569" s="83" t="s">
        <v>25</v>
      </c>
      <c r="G569" s="83" t="s">
        <v>25</v>
      </c>
      <c r="H569" s="83" t="s">
        <v>25</v>
      </c>
      <c r="I569" s="90">
        <v>44501</v>
      </c>
      <c r="J569" s="91">
        <f>EFEITO!$J$569*EFEITO!$Y$569</f>
        <v>0</v>
      </c>
      <c r="K569" s="91">
        <f ca="1">EFEITO!$L$569*EFEITO!$Z$569</f>
        <v>-70.917610588002972</v>
      </c>
      <c r="L569" s="91">
        <f>EFEITO!$N$569*EFEITO!$AA$569</f>
        <v>-32.678204489276425</v>
      </c>
      <c r="M569" s="91">
        <f>$J$569-EFEITO!$K$569*EFEITO!$Y$569</f>
        <v>0</v>
      </c>
      <c r="N569" s="91">
        <f ca="1">$K$569-EFEITO!$M$569*EFEITO!$Z$569</f>
        <v>0</v>
      </c>
      <c r="O569" s="91">
        <f>$L$569-EFEITO!$O$569*EFEITO!$AA$569</f>
        <v>0</v>
      </c>
      <c r="P569" s="20"/>
      <c r="Q569" s="20"/>
      <c r="R569" s="20"/>
      <c r="S569" s="20"/>
      <c r="T569" s="20"/>
      <c r="U569" s="20"/>
      <c r="V569" s="20"/>
      <c r="W569" s="20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83" t="s">
        <v>28</v>
      </c>
      <c r="B570" s="83" t="s">
        <v>37</v>
      </c>
      <c r="C570" s="83" t="s">
        <v>23</v>
      </c>
      <c r="D570" s="83" t="s">
        <v>41</v>
      </c>
      <c r="E570" s="83" t="s">
        <v>25</v>
      </c>
      <c r="F570" s="83" t="s">
        <v>25</v>
      </c>
      <c r="G570" s="83" t="s">
        <v>25</v>
      </c>
      <c r="H570" s="83" t="s">
        <v>25</v>
      </c>
      <c r="I570" s="90">
        <v>44501</v>
      </c>
      <c r="J570" s="91">
        <f>EFEITO!$J$570*EFEITO!$Y$570</f>
        <v>0</v>
      </c>
      <c r="K570" s="91">
        <f ca="1">EFEITO!$L$570*EFEITO!$Z$570</f>
        <v>15311.067523679032</v>
      </c>
      <c r="L570" s="91">
        <f>EFEITO!$N$570*EFEITO!$AA$570</f>
        <v>7055.2037969049125</v>
      </c>
      <c r="M570" s="91">
        <f>$J$570-EFEITO!$K$570*EFEITO!$Y$570</f>
        <v>0</v>
      </c>
      <c r="N570" s="91">
        <f ca="1">$K$570-EFEITO!$M$570*EFEITO!$Z$570</f>
        <v>0</v>
      </c>
      <c r="O570" s="91">
        <f>$L$570-EFEITO!$O$570*EFEITO!$AA$570</f>
        <v>0</v>
      </c>
      <c r="P570" s="20"/>
      <c r="Q570" s="20"/>
      <c r="R570" s="20"/>
      <c r="S570" s="20"/>
      <c r="T570" s="20"/>
      <c r="U570" s="20"/>
      <c r="V570" s="20"/>
      <c r="W570" s="20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83" t="s">
        <v>28</v>
      </c>
      <c r="B571" s="83" t="s">
        <v>37</v>
      </c>
      <c r="C571" s="83" t="s">
        <v>23</v>
      </c>
      <c r="D571" s="83" t="s">
        <v>41</v>
      </c>
      <c r="E571" s="83" t="s">
        <v>25</v>
      </c>
      <c r="F571" s="83" t="s">
        <v>25</v>
      </c>
      <c r="G571" s="83" t="s">
        <v>25</v>
      </c>
      <c r="H571" s="83" t="s">
        <v>25</v>
      </c>
      <c r="I571" s="90">
        <v>44501</v>
      </c>
      <c r="J571" s="91">
        <f>EFEITO!$J$571*EFEITO!$Y$571</f>
        <v>0</v>
      </c>
      <c r="K571" s="91">
        <f ca="1">EFEITO!$L$571*EFEITO!$Z$571</f>
        <v>168.15056095394414</v>
      </c>
      <c r="L571" s="91">
        <f>EFEITO!$N$571*EFEITO!$AA$571</f>
        <v>77.482283600359821</v>
      </c>
      <c r="M571" s="91">
        <f>$J$571-EFEITO!$K$571*EFEITO!$Y$571</f>
        <v>0</v>
      </c>
      <c r="N571" s="91">
        <f ca="1">$K$571-EFEITO!$M$571*EFEITO!$Z$571</f>
        <v>0</v>
      </c>
      <c r="O571" s="91">
        <f>$L$571-EFEITO!$O$571*EFEITO!$AA$571</f>
        <v>0</v>
      </c>
      <c r="P571" s="20"/>
      <c r="Q571" s="20"/>
      <c r="R571" s="20"/>
      <c r="S571" s="20"/>
      <c r="T571" s="20"/>
      <c r="U571" s="20"/>
      <c r="V571" s="20"/>
      <c r="W571" s="20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83" t="s">
        <v>21</v>
      </c>
      <c r="B572" s="83" t="s">
        <v>37</v>
      </c>
      <c r="C572" s="83" t="s">
        <v>23</v>
      </c>
      <c r="D572" s="83" t="s">
        <v>41</v>
      </c>
      <c r="E572" s="83" t="s">
        <v>25</v>
      </c>
      <c r="F572" s="83" t="s">
        <v>25</v>
      </c>
      <c r="G572" s="83" t="s">
        <v>25</v>
      </c>
      <c r="H572" s="83" t="s">
        <v>25</v>
      </c>
      <c r="I572" s="90">
        <v>44531</v>
      </c>
      <c r="J572" s="91">
        <f>EFEITO!$J$572*EFEITO!$Y$572</f>
        <v>0</v>
      </c>
      <c r="K572" s="91">
        <f ca="1">EFEITO!$L$572*EFEITO!$Z$572</f>
        <v>293124.33967291319</v>
      </c>
      <c r="L572" s="91">
        <f>EFEITO!$N$572*EFEITO!$AA$572</f>
        <v>135069.08979581451</v>
      </c>
      <c r="M572" s="91">
        <f>$J$572-EFEITO!$K$572*EFEITO!$Y$572</f>
        <v>0</v>
      </c>
      <c r="N572" s="91">
        <f ca="1">$K$572-EFEITO!$M$572*EFEITO!$Z$572</f>
        <v>0</v>
      </c>
      <c r="O572" s="91">
        <f>$L$572-EFEITO!$O$572*EFEITO!$AA$572</f>
        <v>0</v>
      </c>
      <c r="P572" s="20"/>
      <c r="Q572" s="20"/>
      <c r="R572" s="20"/>
      <c r="S572" s="20"/>
      <c r="T572" s="20"/>
      <c r="U572" s="20"/>
      <c r="V572" s="20"/>
      <c r="W572" s="20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83" t="s">
        <v>28</v>
      </c>
      <c r="B573" s="83" t="s">
        <v>37</v>
      </c>
      <c r="C573" s="83" t="s">
        <v>23</v>
      </c>
      <c r="D573" s="83" t="s">
        <v>41</v>
      </c>
      <c r="E573" s="83" t="s">
        <v>25</v>
      </c>
      <c r="F573" s="83" t="s">
        <v>25</v>
      </c>
      <c r="G573" s="83" t="s">
        <v>25</v>
      </c>
      <c r="H573" s="83" t="s">
        <v>25</v>
      </c>
      <c r="I573" s="90">
        <v>44531</v>
      </c>
      <c r="J573" s="91">
        <f>EFEITO!$J$573*EFEITO!$Y$573</f>
        <v>0</v>
      </c>
      <c r="K573" s="91">
        <f ca="1">EFEITO!$L$573*EFEITO!$Z$573</f>
        <v>16341.826002099629</v>
      </c>
      <c r="L573" s="91">
        <f>EFEITO!$N$573*EFEITO!$AA$573</f>
        <v>7530.1681401421311</v>
      </c>
      <c r="M573" s="91">
        <f>$J$573-EFEITO!$K$573*EFEITO!$Y$573</f>
        <v>0</v>
      </c>
      <c r="N573" s="91">
        <f ca="1">$K$573-EFEITO!$M$573*EFEITO!$Z$573</f>
        <v>0</v>
      </c>
      <c r="O573" s="91">
        <f>$L$573-EFEITO!$O$573*EFEITO!$AA$573</f>
        <v>0</v>
      </c>
      <c r="P573" s="20"/>
      <c r="Q573" s="20"/>
      <c r="R573" s="20"/>
      <c r="S573" s="20"/>
      <c r="T573" s="20"/>
      <c r="U573" s="20"/>
      <c r="V573" s="20"/>
      <c r="W573" s="20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83" t="s">
        <v>21</v>
      </c>
      <c r="B574" s="83" t="s">
        <v>37</v>
      </c>
      <c r="C574" s="83" t="s">
        <v>23</v>
      </c>
      <c r="D574" s="83" t="s">
        <v>41</v>
      </c>
      <c r="E574" s="83" t="s">
        <v>25</v>
      </c>
      <c r="F574" s="83" t="s">
        <v>25</v>
      </c>
      <c r="G574" s="83" t="s">
        <v>25</v>
      </c>
      <c r="H574" s="83" t="s">
        <v>25</v>
      </c>
      <c r="I574" s="90">
        <v>44562</v>
      </c>
      <c r="J574" s="91">
        <f>EFEITO!$J$574*EFEITO!$Y$574</f>
        <v>0</v>
      </c>
      <c r="K574" s="91">
        <f ca="1">EFEITO!$L$574*EFEITO!$Z$574</f>
        <v>320958.38677193411</v>
      </c>
      <c r="L574" s="91">
        <f>EFEITO!$N$574*EFEITO!$AA$574</f>
        <v>147894.77124960881</v>
      </c>
      <c r="M574" s="91">
        <f>$J$574-EFEITO!$K$574*EFEITO!$Y$574</f>
        <v>0</v>
      </c>
      <c r="N574" s="91">
        <f ca="1">$K$574-EFEITO!$M$574*EFEITO!$Z$574</f>
        <v>0</v>
      </c>
      <c r="O574" s="91">
        <f>$L$574-EFEITO!$O$574*EFEITO!$AA$574</f>
        <v>0</v>
      </c>
      <c r="P574" s="20"/>
      <c r="Q574" s="20"/>
      <c r="R574" s="20"/>
      <c r="S574" s="20"/>
      <c r="T574" s="20"/>
      <c r="U574" s="20"/>
      <c r="V574" s="20"/>
      <c r="W574" s="20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83" t="s">
        <v>27</v>
      </c>
      <c r="B575" s="83" t="s">
        <v>37</v>
      </c>
      <c r="C575" s="83" t="s">
        <v>23</v>
      </c>
      <c r="D575" s="83" t="s">
        <v>41</v>
      </c>
      <c r="E575" s="83" t="s">
        <v>25</v>
      </c>
      <c r="F575" s="83" t="s">
        <v>25</v>
      </c>
      <c r="G575" s="83" t="s">
        <v>25</v>
      </c>
      <c r="H575" s="83" t="s">
        <v>25</v>
      </c>
      <c r="I575" s="90">
        <v>44562</v>
      </c>
      <c r="J575" s="91">
        <f>EFEITO!$J$575*EFEITO!$Y$575</f>
        <v>0</v>
      </c>
      <c r="K575" s="91">
        <f ca="1">EFEITO!$L$575*EFEITO!$Z$575</f>
        <v>1429.5027794625755</v>
      </c>
      <c r="L575" s="91">
        <f>EFEITO!$N$575*EFEITO!$AA$575</f>
        <v>658.70217225239583</v>
      </c>
      <c r="M575" s="91">
        <f>$J$575-EFEITO!$K$575*EFEITO!$Y$575</f>
        <v>0</v>
      </c>
      <c r="N575" s="91">
        <f ca="1">$K$575-EFEITO!$M$575*EFEITO!$Z$575</f>
        <v>0</v>
      </c>
      <c r="O575" s="91">
        <f>$L$575-EFEITO!$O$575*EFEITO!$AA$575</f>
        <v>0</v>
      </c>
      <c r="P575" s="20"/>
      <c r="Q575" s="20"/>
      <c r="R575" s="20"/>
      <c r="S575" s="20"/>
      <c r="T575" s="20"/>
      <c r="U575" s="20"/>
      <c r="V575" s="20"/>
      <c r="W575" s="20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83" t="s">
        <v>28</v>
      </c>
      <c r="B576" s="83" t="s">
        <v>37</v>
      </c>
      <c r="C576" s="83" t="s">
        <v>23</v>
      </c>
      <c r="D576" s="83" t="s">
        <v>41</v>
      </c>
      <c r="E576" s="83" t="s">
        <v>25</v>
      </c>
      <c r="F576" s="83" t="s">
        <v>25</v>
      </c>
      <c r="G576" s="83" t="s">
        <v>25</v>
      </c>
      <c r="H576" s="83" t="s">
        <v>25</v>
      </c>
      <c r="I576" s="90">
        <v>44562</v>
      </c>
      <c r="J576" s="91">
        <f>EFEITO!$J$576*EFEITO!$Y$576</f>
        <v>0</v>
      </c>
      <c r="K576" s="91">
        <f ca="1">EFEITO!$L$576*EFEITO!$Z$576</f>
        <v>19505.911093365619</v>
      </c>
      <c r="L576" s="91">
        <f>EFEITO!$N$576*EFEITO!$AA$576</f>
        <v>8988.150420940412</v>
      </c>
      <c r="M576" s="91">
        <f>$J$576-EFEITO!$K$576*EFEITO!$Y$576</f>
        <v>0</v>
      </c>
      <c r="N576" s="91">
        <f ca="1">$K$576-EFEITO!$M$576*EFEITO!$Z$576</f>
        <v>0</v>
      </c>
      <c r="O576" s="91">
        <f>$L$576-EFEITO!$O$576*EFEITO!$AA$576</f>
        <v>0</v>
      </c>
      <c r="P576" s="20"/>
      <c r="Q576" s="20"/>
      <c r="R576" s="20"/>
      <c r="S576" s="20"/>
      <c r="T576" s="20"/>
      <c r="U576" s="20"/>
      <c r="V576" s="20"/>
      <c r="W576" s="20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83" t="s">
        <v>21</v>
      </c>
      <c r="B577" s="83" t="s">
        <v>37</v>
      </c>
      <c r="C577" s="83" t="s">
        <v>23</v>
      </c>
      <c r="D577" s="83" t="s">
        <v>41</v>
      </c>
      <c r="E577" s="83" t="s">
        <v>25</v>
      </c>
      <c r="F577" s="83" t="s">
        <v>25</v>
      </c>
      <c r="G577" s="83" t="s">
        <v>25</v>
      </c>
      <c r="H577" s="83" t="s">
        <v>25</v>
      </c>
      <c r="I577" s="90">
        <v>44593</v>
      </c>
      <c r="J577" s="91">
        <f>EFEITO!$J$577*EFEITO!$Y$577</f>
        <v>0</v>
      </c>
      <c r="K577" s="91">
        <f ca="1">EFEITO!$L$577*EFEITO!$Z$577</f>
        <v>378896.73655420821</v>
      </c>
      <c r="L577" s="91">
        <f>EFEITO!$N$577*EFEITO!$AA$577</f>
        <v>174592.24774745162</v>
      </c>
      <c r="M577" s="91">
        <f>$J$577-EFEITO!$K$577*EFEITO!$Y$577</f>
        <v>0</v>
      </c>
      <c r="N577" s="91">
        <f ca="1">$K$577-EFEITO!$M$577*EFEITO!$Z$577</f>
        <v>0</v>
      </c>
      <c r="O577" s="91">
        <f>$L$577-EFEITO!$O$577*EFEITO!$AA$577</f>
        <v>0</v>
      </c>
      <c r="P577" s="20"/>
      <c r="Q577" s="20"/>
      <c r="R577" s="20"/>
      <c r="S577" s="20"/>
      <c r="T577" s="20"/>
      <c r="U577" s="20"/>
      <c r="V577" s="20"/>
      <c r="W577" s="20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83" t="s">
        <v>27</v>
      </c>
      <c r="B578" s="83" t="s">
        <v>37</v>
      </c>
      <c r="C578" s="83" t="s">
        <v>23</v>
      </c>
      <c r="D578" s="83" t="s">
        <v>41</v>
      </c>
      <c r="E578" s="83" t="s">
        <v>25</v>
      </c>
      <c r="F578" s="83" t="s">
        <v>25</v>
      </c>
      <c r="G578" s="83" t="s">
        <v>25</v>
      </c>
      <c r="H578" s="83" t="s">
        <v>25</v>
      </c>
      <c r="I578" s="90">
        <v>44593</v>
      </c>
      <c r="J578" s="91">
        <f>EFEITO!$J$578*EFEITO!$Y$578</f>
        <v>0</v>
      </c>
      <c r="K578" s="91">
        <f ca="1">EFEITO!$L$578*EFEITO!$Z$578</f>
        <v>20871.186602861704</v>
      </c>
      <c r="L578" s="91">
        <f>EFEITO!$N$578*EFEITO!$AA$578</f>
        <v>9617.2572381836526</v>
      </c>
      <c r="M578" s="91">
        <f>$J$578-EFEITO!$K$578*EFEITO!$Y$578</f>
        <v>0</v>
      </c>
      <c r="N578" s="91">
        <f ca="1">$K$578-EFEITO!$M$578*EFEITO!$Z$578</f>
        <v>0</v>
      </c>
      <c r="O578" s="91">
        <f>$L$578-EFEITO!$O$578*EFEITO!$AA$578</f>
        <v>0</v>
      </c>
      <c r="P578" s="20"/>
      <c r="Q578" s="20"/>
      <c r="R578" s="20"/>
      <c r="S578" s="20"/>
      <c r="T578" s="20"/>
      <c r="U578" s="20"/>
      <c r="V578" s="20"/>
      <c r="W578" s="20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83" t="s">
        <v>28</v>
      </c>
      <c r="B579" s="83" t="s">
        <v>37</v>
      </c>
      <c r="C579" s="83" t="s">
        <v>23</v>
      </c>
      <c r="D579" s="83" t="s">
        <v>41</v>
      </c>
      <c r="E579" s="83" t="s">
        <v>25</v>
      </c>
      <c r="F579" s="83" t="s">
        <v>25</v>
      </c>
      <c r="G579" s="83" t="s">
        <v>25</v>
      </c>
      <c r="H579" s="83" t="s">
        <v>25</v>
      </c>
      <c r="I579" s="90">
        <v>44593</v>
      </c>
      <c r="J579" s="91">
        <f>EFEITO!$J$579*EFEITO!$Y$579</f>
        <v>0</v>
      </c>
      <c r="K579" s="91">
        <f ca="1">EFEITO!$L$579*EFEITO!$Z$579</f>
        <v>26764.930667703662</v>
      </c>
      <c r="L579" s="91">
        <f>EFEITO!$N$579*EFEITO!$AA$579</f>
        <v>12333.042106871066</v>
      </c>
      <c r="M579" s="91">
        <f>$J$579-EFEITO!$K$579*EFEITO!$Y$579</f>
        <v>0</v>
      </c>
      <c r="N579" s="91">
        <f ca="1">$K$579-EFEITO!$M$579*EFEITO!$Z$579</f>
        <v>0</v>
      </c>
      <c r="O579" s="91">
        <f>$L$579-EFEITO!$O$579*EFEITO!$AA$579</f>
        <v>0</v>
      </c>
      <c r="P579" s="20"/>
      <c r="Q579" s="20"/>
      <c r="R579" s="20"/>
      <c r="S579" s="20"/>
      <c r="T579" s="20"/>
      <c r="U579" s="20"/>
      <c r="V579" s="20"/>
      <c r="W579" s="20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83" t="s">
        <v>21</v>
      </c>
      <c r="B580" s="83" t="s">
        <v>37</v>
      </c>
      <c r="C580" s="83" t="s">
        <v>23</v>
      </c>
      <c r="D580" s="83" t="s">
        <v>41</v>
      </c>
      <c r="E580" s="83" t="s">
        <v>25</v>
      </c>
      <c r="F580" s="83" t="s">
        <v>25</v>
      </c>
      <c r="G580" s="83" t="s">
        <v>25</v>
      </c>
      <c r="H580" s="83" t="s">
        <v>25</v>
      </c>
      <c r="I580" s="90">
        <v>44621</v>
      </c>
      <c r="J580" s="91">
        <f>EFEITO!$J$580*EFEITO!$Y$580</f>
        <v>0</v>
      </c>
      <c r="K580" s="91">
        <f ca="1">EFEITO!$L$580*EFEITO!$Z$580</f>
        <v>325937.33826246165</v>
      </c>
      <c r="L580" s="91">
        <f>EFEITO!$N$580*EFEITO!$AA$580</f>
        <v>150189.02783271443</v>
      </c>
      <c r="M580" s="91">
        <f>$J$580-EFEITO!$K$580*EFEITO!$Y$580</f>
        <v>0</v>
      </c>
      <c r="N580" s="91">
        <f ca="1">$K$580-EFEITO!$M$580*EFEITO!$Z$580</f>
        <v>0</v>
      </c>
      <c r="O580" s="91">
        <f>$L$580-EFEITO!$O$580*EFEITO!$AA$580</f>
        <v>0</v>
      </c>
      <c r="P580" s="20"/>
      <c r="Q580" s="20"/>
      <c r="R580" s="20"/>
      <c r="S580" s="20"/>
      <c r="T580" s="20"/>
      <c r="U580" s="20"/>
      <c r="V580" s="20"/>
      <c r="W580" s="20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83" t="s">
        <v>28</v>
      </c>
      <c r="B581" s="83" t="s">
        <v>37</v>
      </c>
      <c r="C581" s="83" t="s">
        <v>23</v>
      </c>
      <c r="D581" s="83" t="s">
        <v>41</v>
      </c>
      <c r="E581" s="83" t="s">
        <v>25</v>
      </c>
      <c r="F581" s="83" t="s">
        <v>25</v>
      </c>
      <c r="G581" s="83" t="s">
        <v>25</v>
      </c>
      <c r="H581" s="83" t="s">
        <v>25</v>
      </c>
      <c r="I581" s="90">
        <v>44621</v>
      </c>
      <c r="J581" s="91">
        <f>EFEITO!$J$581*EFEITO!$Y$581</f>
        <v>0</v>
      </c>
      <c r="K581" s="91">
        <f ca="1">EFEITO!$L$581*EFEITO!$Z$581</f>
        <v>30700.635043983773</v>
      </c>
      <c r="L581" s="91">
        <f>EFEITO!$N$581*EFEITO!$AA$581</f>
        <v>14146.579694376569</v>
      </c>
      <c r="M581" s="91">
        <f>$J$581-EFEITO!$K$581*EFEITO!$Y$581</f>
        <v>0</v>
      </c>
      <c r="N581" s="91">
        <f ca="1">$K$581-EFEITO!$M$581*EFEITO!$Z$581</f>
        <v>0</v>
      </c>
      <c r="O581" s="91">
        <f>$L$581-EFEITO!$O$581*EFEITO!$AA$581</f>
        <v>0</v>
      </c>
      <c r="P581" s="20"/>
      <c r="Q581" s="20"/>
      <c r="R581" s="20"/>
      <c r="S581" s="20"/>
      <c r="T581" s="20"/>
      <c r="U581" s="20"/>
      <c r="V581" s="20"/>
      <c r="W581" s="20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83" t="s">
        <v>21</v>
      </c>
      <c r="B582" s="83" t="s">
        <v>37</v>
      </c>
      <c r="C582" s="83" t="s">
        <v>23</v>
      </c>
      <c r="D582" s="83" t="s">
        <v>41</v>
      </c>
      <c r="E582" s="83" t="s">
        <v>25</v>
      </c>
      <c r="F582" s="83" t="s">
        <v>25</v>
      </c>
      <c r="G582" s="83" t="s">
        <v>25</v>
      </c>
      <c r="H582" s="83" t="s">
        <v>25</v>
      </c>
      <c r="I582" s="90">
        <v>44652</v>
      </c>
      <c r="J582" s="91">
        <f>EFEITO!$J$582*EFEITO!$Y$582</f>
        <v>0</v>
      </c>
      <c r="K582" s="91">
        <f ca="1">EFEITO!$L$582*EFEITO!$Z$582</f>
        <v>244311.16847567022</v>
      </c>
      <c r="L582" s="91">
        <f>EFEITO!$N$582*EFEITO!$AA$582</f>
        <v>112576.41446555727</v>
      </c>
      <c r="M582" s="91">
        <f>$J$582-EFEITO!$K$582*EFEITO!$Y$582</f>
        <v>0</v>
      </c>
      <c r="N582" s="91">
        <f ca="1">$K$582-EFEITO!$M$582*EFEITO!$Z$582</f>
        <v>0</v>
      </c>
      <c r="O582" s="91">
        <f>$L$582-EFEITO!$O$582*EFEITO!$AA$582</f>
        <v>0</v>
      </c>
      <c r="P582" s="20"/>
      <c r="Q582" s="20"/>
      <c r="R582" s="20"/>
      <c r="S582" s="20"/>
      <c r="T582" s="20"/>
      <c r="U582" s="20"/>
      <c r="V582" s="20"/>
      <c r="W582" s="20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83" t="s">
        <v>27</v>
      </c>
      <c r="B583" s="83" t="s">
        <v>37</v>
      </c>
      <c r="C583" s="83" t="s">
        <v>23</v>
      </c>
      <c r="D583" s="83" t="s">
        <v>41</v>
      </c>
      <c r="E583" s="83" t="s">
        <v>25</v>
      </c>
      <c r="F583" s="83" t="s">
        <v>25</v>
      </c>
      <c r="G583" s="83" t="s">
        <v>25</v>
      </c>
      <c r="H583" s="83" t="s">
        <v>25</v>
      </c>
      <c r="I583" s="90">
        <v>44652</v>
      </c>
      <c r="J583" s="91">
        <f>EFEITO!$J$583*EFEITO!$Y$583</f>
        <v>0</v>
      </c>
      <c r="K583" s="91">
        <f ca="1">EFEITO!$L$583*EFEITO!$Z$583</f>
        <v>371.0908931397388</v>
      </c>
      <c r="L583" s="91">
        <f>EFEITO!$N$583*EFEITO!$AA$583</f>
        <v>170.99538449734578</v>
      </c>
      <c r="M583" s="91">
        <f>$J$583-EFEITO!$K$583*EFEITO!$Y$583</f>
        <v>0</v>
      </c>
      <c r="N583" s="91">
        <f ca="1">$K$583-EFEITO!$M$583*EFEITO!$Z$583</f>
        <v>0</v>
      </c>
      <c r="O583" s="91">
        <f>$L$583-EFEITO!$O$583*EFEITO!$AA$583</f>
        <v>0</v>
      </c>
      <c r="P583" s="20"/>
      <c r="Q583" s="20"/>
      <c r="R583" s="20"/>
      <c r="S583" s="20"/>
      <c r="T583" s="20"/>
      <c r="U583" s="20"/>
      <c r="V583" s="20"/>
      <c r="W583" s="20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83" t="s">
        <v>28</v>
      </c>
      <c r="B584" s="83" t="s">
        <v>37</v>
      </c>
      <c r="C584" s="83" t="s">
        <v>23</v>
      </c>
      <c r="D584" s="83" t="s">
        <v>41</v>
      </c>
      <c r="E584" s="83" t="s">
        <v>25</v>
      </c>
      <c r="F584" s="83" t="s">
        <v>25</v>
      </c>
      <c r="G584" s="83" t="s">
        <v>25</v>
      </c>
      <c r="H584" s="83" t="s">
        <v>25</v>
      </c>
      <c r="I584" s="90">
        <v>44652</v>
      </c>
      <c r="J584" s="91">
        <f>EFEITO!$J$584*EFEITO!$Y$584</f>
        <v>0</v>
      </c>
      <c r="K584" s="91">
        <f ca="1">EFEITO!$L$584*EFEITO!$Z$584</f>
        <v>19805.192330501159</v>
      </c>
      <c r="L584" s="91">
        <f>EFEITO!$N$584*EFEITO!$AA$584</f>
        <v>9126.0565543511348</v>
      </c>
      <c r="M584" s="91">
        <f>$J$584-EFEITO!$K$584*EFEITO!$Y$584</f>
        <v>0</v>
      </c>
      <c r="N584" s="91">
        <f ca="1">$K$584-EFEITO!$M$584*EFEITO!$Z$584</f>
        <v>0</v>
      </c>
      <c r="O584" s="91">
        <f>$L$584-EFEITO!$O$584*EFEITO!$AA$584</f>
        <v>0</v>
      </c>
      <c r="P584" s="20"/>
      <c r="Q584" s="20"/>
      <c r="R584" s="20"/>
      <c r="S584" s="20"/>
      <c r="T584" s="20"/>
      <c r="U584" s="20"/>
      <c r="V584" s="20"/>
      <c r="W584" s="20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83" t="s">
        <v>21</v>
      </c>
      <c r="B585" s="83" t="s">
        <v>37</v>
      </c>
      <c r="C585" s="83" t="s">
        <v>23</v>
      </c>
      <c r="D585" s="83" t="s">
        <v>41</v>
      </c>
      <c r="E585" s="83" t="s">
        <v>25</v>
      </c>
      <c r="F585" s="83" t="s">
        <v>25</v>
      </c>
      <c r="G585" s="83" t="s">
        <v>25</v>
      </c>
      <c r="H585" s="83" t="s">
        <v>25</v>
      </c>
      <c r="I585" s="90">
        <v>44682</v>
      </c>
      <c r="J585" s="91">
        <f>EFEITO!$J$585*EFEITO!$Y$585</f>
        <v>0</v>
      </c>
      <c r="K585" s="91">
        <f ca="1">EFEITO!$L$585*EFEITO!$Z$585</f>
        <v>241351.80780742245</v>
      </c>
      <c r="L585" s="91">
        <f>EFEITO!$N$585*EFEITO!$AA$585</f>
        <v>111212.76737885068</v>
      </c>
      <c r="M585" s="91">
        <f>$J$585-EFEITO!$K$585*EFEITO!$Y$585</f>
        <v>0</v>
      </c>
      <c r="N585" s="91">
        <f ca="1">$K$585-EFEITO!$M$585*EFEITO!$Z$585</f>
        <v>0</v>
      </c>
      <c r="O585" s="91">
        <f>$L$585-EFEITO!$O$585*EFEITO!$AA$585</f>
        <v>0</v>
      </c>
      <c r="P585" s="20"/>
      <c r="Q585" s="20"/>
      <c r="R585" s="20"/>
      <c r="S585" s="20"/>
      <c r="T585" s="20"/>
      <c r="U585" s="20"/>
      <c r="V585" s="20"/>
      <c r="W585" s="20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83" t="s">
        <v>28</v>
      </c>
      <c r="B586" s="83" t="s">
        <v>37</v>
      </c>
      <c r="C586" s="83" t="s">
        <v>23</v>
      </c>
      <c r="D586" s="83" t="s">
        <v>41</v>
      </c>
      <c r="E586" s="83" t="s">
        <v>25</v>
      </c>
      <c r="F586" s="83" t="s">
        <v>25</v>
      </c>
      <c r="G586" s="83" t="s">
        <v>25</v>
      </c>
      <c r="H586" s="83" t="s">
        <v>25</v>
      </c>
      <c r="I586" s="90">
        <v>44682</v>
      </c>
      <c r="J586" s="91">
        <f>EFEITO!$J$586*EFEITO!$Y$586</f>
        <v>0</v>
      </c>
      <c r="K586" s="91">
        <f ca="1">EFEITO!$L$586*EFEITO!$Z$586</f>
        <v>29115.024316685973</v>
      </c>
      <c r="L586" s="91">
        <f>EFEITO!$N$586*EFEITO!$AA$586</f>
        <v>13415.944367588032</v>
      </c>
      <c r="M586" s="91">
        <f>$J$586-EFEITO!$K$586*EFEITO!$Y$586</f>
        <v>0</v>
      </c>
      <c r="N586" s="91">
        <f ca="1">$K$586-EFEITO!$M$586*EFEITO!$Z$586</f>
        <v>0</v>
      </c>
      <c r="O586" s="91">
        <f>$L$586-EFEITO!$O$586*EFEITO!$AA$586</f>
        <v>0</v>
      </c>
      <c r="P586" s="20"/>
      <c r="Q586" s="20"/>
      <c r="R586" s="20"/>
      <c r="S586" s="20"/>
      <c r="T586" s="20"/>
      <c r="U586" s="20"/>
      <c r="V586" s="20"/>
      <c r="W586" s="20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83" t="s">
        <v>21</v>
      </c>
      <c r="B587" s="83" t="s">
        <v>37</v>
      </c>
      <c r="C587" s="83" t="s">
        <v>23</v>
      </c>
      <c r="D587" s="83" t="s">
        <v>41</v>
      </c>
      <c r="E587" s="83" t="s">
        <v>25</v>
      </c>
      <c r="F587" s="83" t="s">
        <v>25</v>
      </c>
      <c r="G587" s="83" t="s">
        <v>25</v>
      </c>
      <c r="H587" s="83" t="s">
        <v>25</v>
      </c>
      <c r="I587" s="90">
        <v>44713</v>
      </c>
      <c r="J587" s="91">
        <f>EFEITO!$J$587*EFEITO!$Y$587</f>
        <v>0</v>
      </c>
      <c r="K587" s="91">
        <f ca="1">EFEITO!$L$587*EFEITO!$Z$587</f>
        <v>250700.88979192011</v>
      </c>
      <c r="L587" s="91">
        <f>EFEITO!$N$587*EFEITO!$AA$587</f>
        <v>115520.74124237095</v>
      </c>
      <c r="M587" s="91">
        <f>$J$587-EFEITO!$K$587*EFEITO!$Y$587</f>
        <v>0</v>
      </c>
      <c r="N587" s="91">
        <f ca="1">$K$587-EFEITO!$M$587*EFEITO!$Z$587</f>
        <v>0</v>
      </c>
      <c r="O587" s="91">
        <f>$L$587-EFEITO!$O$587*EFEITO!$AA$587</f>
        <v>0</v>
      </c>
      <c r="P587" s="20"/>
      <c r="Q587" s="20"/>
      <c r="R587" s="20"/>
      <c r="S587" s="20"/>
      <c r="T587" s="20"/>
      <c r="U587" s="20"/>
      <c r="V587" s="20"/>
      <c r="W587" s="20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83" t="s">
        <v>27</v>
      </c>
      <c r="B588" s="83" t="s">
        <v>37</v>
      </c>
      <c r="C588" s="83" t="s">
        <v>23</v>
      </c>
      <c r="D588" s="83" t="s">
        <v>41</v>
      </c>
      <c r="E588" s="83" t="s">
        <v>25</v>
      </c>
      <c r="F588" s="83" t="s">
        <v>25</v>
      </c>
      <c r="G588" s="83" t="s">
        <v>25</v>
      </c>
      <c r="H588" s="83" t="s">
        <v>25</v>
      </c>
      <c r="I588" s="90">
        <v>44713</v>
      </c>
      <c r="J588" s="91">
        <f>EFEITO!$J$588*EFEITO!$Y$588</f>
        <v>0</v>
      </c>
      <c r="K588" s="91">
        <f ca="1">EFEITO!$L$588*EFEITO!$Z$588</f>
        <v>137.82101680310012</v>
      </c>
      <c r="L588" s="91">
        <f>EFEITO!$N$588*EFEITO!$AA$588</f>
        <v>63.50669929048059</v>
      </c>
      <c r="M588" s="91">
        <f>$J$588-EFEITO!$K$588*EFEITO!$Y$588</f>
        <v>0</v>
      </c>
      <c r="N588" s="91">
        <f ca="1">$K$588-EFEITO!$M$588*EFEITO!$Z$588</f>
        <v>0</v>
      </c>
      <c r="O588" s="91">
        <f>$L$588-EFEITO!$O$588*EFEITO!$AA$588</f>
        <v>0</v>
      </c>
      <c r="P588" s="20"/>
      <c r="Q588" s="20"/>
      <c r="R588" s="20"/>
      <c r="S588" s="20"/>
      <c r="T588" s="20"/>
      <c r="U588" s="20"/>
      <c r="V588" s="20"/>
      <c r="W588" s="20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83" t="s">
        <v>28</v>
      </c>
      <c r="B589" s="83" t="s">
        <v>37</v>
      </c>
      <c r="C589" s="83" t="s">
        <v>23</v>
      </c>
      <c r="D589" s="83" t="s">
        <v>41</v>
      </c>
      <c r="E589" s="83" t="s">
        <v>25</v>
      </c>
      <c r="F589" s="83" t="s">
        <v>25</v>
      </c>
      <c r="G589" s="83" t="s">
        <v>25</v>
      </c>
      <c r="H589" s="83" t="s">
        <v>25</v>
      </c>
      <c r="I589" s="90">
        <v>44713</v>
      </c>
      <c r="J589" s="91">
        <f>EFEITO!$J$589*EFEITO!$Y$589</f>
        <v>0</v>
      </c>
      <c r="K589" s="91">
        <f ca="1">EFEITO!$L$589*EFEITO!$Z$589</f>
        <v>34828.575207455273</v>
      </c>
      <c r="L589" s="91">
        <f>EFEITO!$N$589*EFEITO!$AA$589</f>
        <v>16048.697823610868</v>
      </c>
      <c r="M589" s="91">
        <f>$J$589-EFEITO!$K$589*EFEITO!$Y$589</f>
        <v>0</v>
      </c>
      <c r="N589" s="91">
        <f ca="1">$K$589-EFEITO!$M$589*EFEITO!$Z$589</f>
        <v>0</v>
      </c>
      <c r="O589" s="91">
        <f>$L$589-EFEITO!$O$589*EFEITO!$AA$589</f>
        <v>0</v>
      </c>
      <c r="P589" s="20"/>
      <c r="Q589" s="20"/>
      <c r="R589" s="20"/>
      <c r="S589" s="20"/>
      <c r="T589" s="20"/>
      <c r="U589" s="20"/>
      <c r="V589" s="20"/>
      <c r="W589" s="20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83" t="s">
        <v>21</v>
      </c>
      <c r="B590" s="83" t="s">
        <v>37</v>
      </c>
      <c r="C590" s="83" t="s">
        <v>23</v>
      </c>
      <c r="D590" s="83" t="s">
        <v>50</v>
      </c>
      <c r="E590" s="83" t="s">
        <v>25</v>
      </c>
      <c r="F590" s="83" t="s">
        <v>25</v>
      </c>
      <c r="G590" s="83" t="s">
        <v>25</v>
      </c>
      <c r="H590" s="83" t="s">
        <v>25</v>
      </c>
      <c r="I590" s="90">
        <v>44378</v>
      </c>
      <c r="J590" s="91">
        <f>EFEITO!$J$590*EFEITO!$Y$590</f>
        <v>0</v>
      </c>
      <c r="K590" s="91">
        <f ca="1">EFEITO!$L$590*EFEITO!$Z$590</f>
        <v>2874.6163537086741</v>
      </c>
      <c r="L590" s="91">
        <f>EFEITO!$N$590*EFEITO!$AA$590</f>
        <v>1324.597659958406</v>
      </c>
      <c r="M590" s="91">
        <f>$J$590-EFEITO!$K$590*EFEITO!$Y$590</f>
        <v>0</v>
      </c>
      <c r="N590" s="91">
        <f ca="1">$K$590-EFEITO!$M$590*EFEITO!$Z$590</f>
        <v>0</v>
      </c>
      <c r="O590" s="91">
        <f>$L$590-EFEITO!$O$590*EFEITO!$AA$590</f>
        <v>0</v>
      </c>
      <c r="P590" s="20"/>
      <c r="Q590" s="20"/>
      <c r="R590" s="20"/>
      <c r="S590" s="20"/>
      <c r="T590" s="20"/>
      <c r="U590" s="20"/>
      <c r="V590" s="20"/>
      <c r="W590" s="20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83" t="s">
        <v>21</v>
      </c>
      <c r="B591" s="83" t="s">
        <v>37</v>
      </c>
      <c r="C591" s="83" t="s">
        <v>23</v>
      </c>
      <c r="D591" s="83" t="s">
        <v>50</v>
      </c>
      <c r="E591" s="83" t="s">
        <v>25</v>
      </c>
      <c r="F591" s="83" t="s">
        <v>25</v>
      </c>
      <c r="G591" s="83" t="s">
        <v>25</v>
      </c>
      <c r="H591" s="83" t="s">
        <v>25</v>
      </c>
      <c r="I591" s="90">
        <v>44409</v>
      </c>
      <c r="J591" s="91">
        <f>EFEITO!$J$591*EFEITO!$Y$591</f>
        <v>0</v>
      </c>
      <c r="K591" s="91">
        <f ca="1">EFEITO!$L$591*EFEITO!$Z$591</f>
        <v>2895.1333982813035</v>
      </c>
      <c r="L591" s="91">
        <f>EFEITO!$N$591*EFEITO!$AA$591</f>
        <v>1334.0517316974417</v>
      </c>
      <c r="M591" s="91">
        <f>$J$591-EFEITO!$K$591*EFEITO!$Y$591</f>
        <v>0</v>
      </c>
      <c r="N591" s="91">
        <f ca="1">$K$591-EFEITO!$M$591*EFEITO!$Z$591</f>
        <v>0</v>
      </c>
      <c r="O591" s="91">
        <f>$L$591-EFEITO!$O$591*EFEITO!$AA$591</f>
        <v>0</v>
      </c>
      <c r="P591" s="20"/>
      <c r="Q591" s="20"/>
      <c r="R591" s="20"/>
      <c r="S591" s="20"/>
      <c r="T591" s="20"/>
      <c r="U591" s="20"/>
      <c r="V591" s="20"/>
      <c r="W591" s="20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83" t="s">
        <v>21</v>
      </c>
      <c r="B592" s="83" t="s">
        <v>37</v>
      </c>
      <c r="C592" s="83" t="s">
        <v>23</v>
      </c>
      <c r="D592" s="83" t="s">
        <v>50</v>
      </c>
      <c r="E592" s="83" t="s">
        <v>25</v>
      </c>
      <c r="F592" s="83" t="s">
        <v>25</v>
      </c>
      <c r="G592" s="83" t="s">
        <v>25</v>
      </c>
      <c r="H592" s="83" t="s">
        <v>25</v>
      </c>
      <c r="I592" s="90">
        <v>44440</v>
      </c>
      <c r="J592" s="91">
        <f>EFEITO!$J$592*EFEITO!$Y$592</f>
        <v>0</v>
      </c>
      <c r="K592" s="91">
        <f ca="1">EFEITO!$L$592*EFEITO!$Z$592</f>
        <v>2293.0027423454294</v>
      </c>
      <c r="L592" s="91">
        <f>EFEITO!$N$592*EFEITO!$AA$592</f>
        <v>1056.5952784866042</v>
      </c>
      <c r="M592" s="91">
        <f>$J$592-EFEITO!$K$592*EFEITO!$Y$592</f>
        <v>0</v>
      </c>
      <c r="N592" s="91">
        <f ca="1">$K$592-EFEITO!$M$592*EFEITO!$Z$592</f>
        <v>0</v>
      </c>
      <c r="O592" s="91">
        <f>$L$592-EFEITO!$O$592*EFEITO!$AA$592</f>
        <v>0</v>
      </c>
      <c r="P592" s="20"/>
      <c r="Q592" s="20"/>
      <c r="R592" s="20"/>
      <c r="S592" s="20"/>
      <c r="T592" s="20"/>
      <c r="U592" s="20"/>
      <c r="V592" s="20"/>
      <c r="W592" s="20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83" t="s">
        <v>21</v>
      </c>
      <c r="B593" s="83" t="s">
        <v>37</v>
      </c>
      <c r="C593" s="83" t="s">
        <v>23</v>
      </c>
      <c r="D593" s="83" t="s">
        <v>50</v>
      </c>
      <c r="E593" s="83" t="s">
        <v>25</v>
      </c>
      <c r="F593" s="83" t="s">
        <v>25</v>
      </c>
      <c r="G593" s="83" t="s">
        <v>25</v>
      </c>
      <c r="H593" s="83" t="s">
        <v>25</v>
      </c>
      <c r="I593" s="90">
        <v>44470</v>
      </c>
      <c r="J593" s="91">
        <f>EFEITO!$J$593*EFEITO!$Y$593</f>
        <v>0</v>
      </c>
      <c r="K593" s="91">
        <f ca="1">EFEITO!$L$593*EFEITO!$Z$593</f>
        <v>2446.8805766401529</v>
      </c>
      <c r="L593" s="91">
        <f>EFEITO!$N$593*EFEITO!$AA$593</f>
        <v>1127.5008165293739</v>
      </c>
      <c r="M593" s="91">
        <f>$J$593-EFEITO!$K$593*EFEITO!$Y$593</f>
        <v>0</v>
      </c>
      <c r="N593" s="91">
        <f ca="1">$K$593-EFEITO!$M$593*EFEITO!$Z$593</f>
        <v>0</v>
      </c>
      <c r="O593" s="91">
        <f>$L$593-EFEITO!$O$593*EFEITO!$AA$593</f>
        <v>0</v>
      </c>
      <c r="P593" s="20"/>
      <c r="Q593" s="20"/>
      <c r="R593" s="20"/>
      <c r="S593" s="20"/>
      <c r="T593" s="20"/>
      <c r="U593" s="20"/>
      <c r="V593" s="20"/>
      <c r="W593" s="20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83" t="s">
        <v>21</v>
      </c>
      <c r="B594" s="83" t="s">
        <v>37</v>
      </c>
      <c r="C594" s="83" t="s">
        <v>23</v>
      </c>
      <c r="D594" s="83" t="s">
        <v>50</v>
      </c>
      <c r="E594" s="83" t="s">
        <v>25</v>
      </c>
      <c r="F594" s="83" t="s">
        <v>25</v>
      </c>
      <c r="G594" s="83" t="s">
        <v>25</v>
      </c>
      <c r="H594" s="83" t="s">
        <v>25</v>
      </c>
      <c r="I594" s="90">
        <v>44501</v>
      </c>
      <c r="J594" s="91">
        <f>EFEITO!$J$594*EFEITO!$Y$594</f>
        <v>0</v>
      </c>
      <c r="K594" s="91">
        <f ca="1">EFEITO!$L$594*EFEITO!$Z$594</f>
        <v>2584.7015934432529</v>
      </c>
      <c r="L594" s="91">
        <f>EFEITO!$N$594*EFEITO!$AA$594</f>
        <v>1191.0075158198545</v>
      </c>
      <c r="M594" s="91">
        <f>$J$594-EFEITO!$K$594*EFEITO!$Y$594</f>
        <v>0</v>
      </c>
      <c r="N594" s="91">
        <f ca="1">$K$594-EFEITO!$M$594*EFEITO!$Z$594</f>
        <v>0</v>
      </c>
      <c r="O594" s="91">
        <f>$L$594-EFEITO!$O$594*EFEITO!$AA$594</f>
        <v>0</v>
      </c>
      <c r="P594" s="20"/>
      <c r="Q594" s="20"/>
      <c r="R594" s="20"/>
      <c r="S594" s="20"/>
      <c r="T594" s="20"/>
      <c r="U594" s="20"/>
      <c r="V594" s="20"/>
      <c r="W594" s="20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1.25" customHeight="1" x14ac:dyDescent="0.2">
      <c r="A595" s="83" t="s">
        <v>21</v>
      </c>
      <c r="B595" s="83" t="s">
        <v>37</v>
      </c>
      <c r="C595" s="83" t="s">
        <v>23</v>
      </c>
      <c r="D595" s="83" t="s">
        <v>50</v>
      </c>
      <c r="E595" s="83" t="s">
        <v>25</v>
      </c>
      <c r="F595" s="83" t="s">
        <v>25</v>
      </c>
      <c r="G595" s="83" t="s">
        <v>25</v>
      </c>
      <c r="H595" s="83" t="s">
        <v>25</v>
      </c>
      <c r="I595" s="90">
        <v>44531</v>
      </c>
      <c r="J595" s="91">
        <f>EFEITO!$J$595*EFEITO!$Y$595</f>
        <v>0</v>
      </c>
      <c r="K595" s="91">
        <f ca="1">EFEITO!$L$595*EFEITO!$Z$595</f>
        <v>3313.5026984797114</v>
      </c>
      <c r="L595" s="91">
        <f>EFEITO!$N$595*EFEITO!$AA$595</f>
        <v>1526.8325858543053</v>
      </c>
      <c r="M595" s="91">
        <f>$J$595-EFEITO!$K$595*EFEITO!$Y$595</f>
        <v>0</v>
      </c>
      <c r="N595" s="91">
        <f ca="1">$K$595-EFEITO!$M$595*EFEITO!$Z$595</f>
        <v>0</v>
      </c>
      <c r="O595" s="91">
        <f>$L$595-EFEITO!$O$595*EFEITO!$AA$595</f>
        <v>0</v>
      </c>
      <c r="P595" s="20"/>
      <c r="Q595" s="20"/>
      <c r="R595" s="20"/>
      <c r="S595" s="20"/>
      <c r="T595" s="20"/>
      <c r="U595" s="20"/>
      <c r="V595" s="20"/>
      <c r="W595" s="20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1.25" customHeight="1" x14ac:dyDescent="0.2">
      <c r="A596" s="83" t="s">
        <v>21</v>
      </c>
      <c r="B596" s="83" t="s">
        <v>37</v>
      </c>
      <c r="C596" s="83" t="s">
        <v>23</v>
      </c>
      <c r="D596" s="83" t="s">
        <v>50</v>
      </c>
      <c r="E596" s="83" t="s">
        <v>25</v>
      </c>
      <c r="F596" s="83" t="s">
        <v>25</v>
      </c>
      <c r="G596" s="83" t="s">
        <v>25</v>
      </c>
      <c r="H596" s="83" t="s">
        <v>25</v>
      </c>
      <c r="I596" s="90">
        <v>44562</v>
      </c>
      <c r="J596" s="91">
        <f>EFEITO!$J$596*EFEITO!$Y$596</f>
        <v>0</v>
      </c>
      <c r="K596" s="91">
        <f ca="1">EFEITO!$L$596*EFEITO!$Z$596</f>
        <v>3935.7043762801145</v>
      </c>
      <c r="L596" s="91">
        <f>EFEITO!$N$596*EFEITO!$AA$596</f>
        <v>1813.537587505504</v>
      </c>
      <c r="M596" s="91">
        <f>$J$596-EFEITO!$K$596*EFEITO!$Y$596</f>
        <v>0</v>
      </c>
      <c r="N596" s="91">
        <f ca="1">$K$596-EFEITO!$M$596*EFEITO!$Z$596</f>
        <v>0</v>
      </c>
      <c r="O596" s="91">
        <f>$L$596-EFEITO!$O$596*EFEITO!$AA$596</f>
        <v>0</v>
      </c>
      <c r="P596" s="20"/>
      <c r="Q596" s="20"/>
      <c r="R596" s="20"/>
      <c r="S596" s="20"/>
      <c r="T596" s="20"/>
      <c r="U596" s="20"/>
      <c r="V596" s="20"/>
      <c r="W596" s="20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1.25" customHeight="1" x14ac:dyDescent="0.2">
      <c r="A597" s="83" t="s">
        <v>21</v>
      </c>
      <c r="B597" s="83" t="s">
        <v>37</v>
      </c>
      <c r="C597" s="83" t="s">
        <v>23</v>
      </c>
      <c r="D597" s="83" t="s">
        <v>50</v>
      </c>
      <c r="E597" s="83" t="s">
        <v>25</v>
      </c>
      <c r="F597" s="83" t="s">
        <v>25</v>
      </c>
      <c r="G597" s="83" t="s">
        <v>25</v>
      </c>
      <c r="H597" s="83" t="s">
        <v>25</v>
      </c>
      <c r="I597" s="90">
        <v>44593</v>
      </c>
      <c r="J597" s="91">
        <f>EFEITO!$J$597*EFEITO!$Y$597</f>
        <v>0</v>
      </c>
      <c r="K597" s="91">
        <f ca="1">EFEITO!$L$597*EFEITO!$Z$597</f>
        <v>4138.1986857578086</v>
      </c>
      <c r="L597" s="91">
        <f>EFEITO!$N$597*EFEITO!$AA$597</f>
        <v>1906.8451651038154</v>
      </c>
      <c r="M597" s="91">
        <f>$J$597-EFEITO!$K$597*EFEITO!$Y$597</f>
        <v>0</v>
      </c>
      <c r="N597" s="91">
        <f ca="1">$K$597-EFEITO!$M$597*EFEITO!$Z$597</f>
        <v>0</v>
      </c>
      <c r="O597" s="91">
        <f>$L$597-EFEITO!$O$597*EFEITO!$AA$597</f>
        <v>0</v>
      </c>
      <c r="P597" s="20"/>
      <c r="Q597" s="20"/>
      <c r="R597" s="20"/>
      <c r="S597" s="20"/>
      <c r="T597" s="20"/>
      <c r="U597" s="20"/>
      <c r="V597" s="20"/>
      <c r="W597" s="20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1.25" customHeight="1" x14ac:dyDescent="0.2">
      <c r="A598" s="83" t="s">
        <v>21</v>
      </c>
      <c r="B598" s="83" t="s">
        <v>37</v>
      </c>
      <c r="C598" s="83" t="s">
        <v>23</v>
      </c>
      <c r="D598" s="83" t="s">
        <v>50</v>
      </c>
      <c r="E598" s="83" t="s">
        <v>25</v>
      </c>
      <c r="F598" s="83" t="s">
        <v>25</v>
      </c>
      <c r="G598" s="83" t="s">
        <v>25</v>
      </c>
      <c r="H598" s="83" t="s">
        <v>25</v>
      </c>
      <c r="I598" s="90">
        <v>44621</v>
      </c>
      <c r="J598" s="91">
        <f>EFEITO!$J$598*EFEITO!$Y$598</f>
        <v>0</v>
      </c>
      <c r="K598" s="91">
        <f ca="1">EFEITO!$L$598*EFEITO!$Z$598</f>
        <v>3515.997007957405</v>
      </c>
      <c r="L598" s="91">
        <f>EFEITO!$N$598*EFEITO!$AA$598</f>
        <v>1620.1401634526164</v>
      </c>
      <c r="M598" s="91">
        <f>$J$598-EFEITO!$K$598*EFEITO!$Y$598</f>
        <v>0</v>
      </c>
      <c r="N598" s="91">
        <f ca="1">$K$598-EFEITO!$M$598*EFEITO!$Z$598</f>
        <v>0</v>
      </c>
      <c r="O598" s="91">
        <f>$L$598-EFEITO!$O$598*EFEITO!$AA$598</f>
        <v>0</v>
      </c>
      <c r="P598" s="20"/>
      <c r="Q598" s="20"/>
      <c r="R598" s="20"/>
      <c r="S598" s="20"/>
      <c r="T598" s="20"/>
      <c r="U598" s="20"/>
      <c r="V598" s="20"/>
      <c r="W598" s="20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1.25" customHeight="1" x14ac:dyDescent="0.2">
      <c r="A599" s="83" t="s">
        <v>21</v>
      </c>
      <c r="B599" s="83" t="s">
        <v>37</v>
      </c>
      <c r="C599" s="83" t="s">
        <v>23</v>
      </c>
      <c r="D599" s="83" t="s">
        <v>50</v>
      </c>
      <c r="E599" s="83" t="s">
        <v>25</v>
      </c>
      <c r="F599" s="83" t="s">
        <v>25</v>
      </c>
      <c r="G599" s="83" t="s">
        <v>25</v>
      </c>
      <c r="H599" s="83" t="s">
        <v>25</v>
      </c>
      <c r="I599" s="90">
        <v>44652</v>
      </c>
      <c r="J599" s="91">
        <f>EFEITO!$J$599*EFEITO!$Y$599</f>
        <v>0</v>
      </c>
      <c r="K599" s="91">
        <f ca="1">EFEITO!$L$599*EFEITO!$Z$599</f>
        <v>2331.3606952420851</v>
      </c>
      <c r="L599" s="91">
        <f>EFEITO!$N$599*EFEITO!$AA$599</f>
        <v>1074.2702821726282</v>
      </c>
      <c r="M599" s="91">
        <f>$J$599-EFEITO!$K$599*EFEITO!$Y$599</f>
        <v>0</v>
      </c>
      <c r="N599" s="91">
        <f ca="1">$K$599-EFEITO!$M$599*EFEITO!$Z$599</f>
        <v>0</v>
      </c>
      <c r="O599" s="91">
        <f>$L$599-EFEITO!$O$599*EFEITO!$AA$599</f>
        <v>0</v>
      </c>
      <c r="P599" s="20"/>
      <c r="Q599" s="20"/>
      <c r="R599" s="20"/>
      <c r="S599" s="20"/>
      <c r="T599" s="20"/>
      <c r="U599" s="20"/>
      <c r="V599" s="20"/>
      <c r="W599" s="20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1.25" customHeight="1" x14ac:dyDescent="0.2">
      <c r="A600" s="83" t="s">
        <v>21</v>
      </c>
      <c r="B600" s="83" t="s">
        <v>37</v>
      </c>
      <c r="C600" s="83" t="s">
        <v>23</v>
      </c>
      <c r="D600" s="83" t="s">
        <v>50</v>
      </c>
      <c r="E600" s="83" t="s">
        <v>25</v>
      </c>
      <c r="F600" s="83" t="s">
        <v>25</v>
      </c>
      <c r="G600" s="83" t="s">
        <v>25</v>
      </c>
      <c r="H600" s="83" t="s">
        <v>25</v>
      </c>
      <c r="I600" s="90">
        <v>44682</v>
      </c>
      <c r="J600" s="91">
        <f>EFEITO!$J$600*EFEITO!$Y$600</f>
        <v>0</v>
      </c>
      <c r="K600" s="91">
        <f ca="1">EFEITO!$L$600*EFEITO!$Z$600</f>
        <v>2538.7612545088864</v>
      </c>
      <c r="L600" s="91">
        <f>EFEITO!$N$600*EFEITO!$AA$600</f>
        <v>1169.8386160563609</v>
      </c>
      <c r="M600" s="91">
        <f>$J$600-EFEITO!$K$600*EFEITO!$Y$600</f>
        <v>0</v>
      </c>
      <c r="N600" s="91">
        <f ca="1">$K$600-EFEITO!$M$600*EFEITO!$Z$600</f>
        <v>0</v>
      </c>
      <c r="O600" s="91">
        <f>$L$600-EFEITO!$O$600*EFEITO!$AA$600</f>
        <v>0</v>
      </c>
      <c r="P600" s="20"/>
      <c r="Q600" s="20"/>
      <c r="R600" s="20"/>
      <c r="S600" s="20"/>
      <c r="T600" s="20"/>
      <c r="U600" s="20"/>
      <c r="V600" s="20"/>
      <c r="W600" s="20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1.25" customHeight="1" x14ac:dyDescent="0.2">
      <c r="A601" s="83" t="s">
        <v>21</v>
      </c>
      <c r="B601" s="83" t="s">
        <v>37</v>
      </c>
      <c r="C601" s="83" t="s">
        <v>23</v>
      </c>
      <c r="D601" s="83" t="s">
        <v>50</v>
      </c>
      <c r="E601" s="83" t="s">
        <v>25</v>
      </c>
      <c r="F601" s="83" t="s">
        <v>25</v>
      </c>
      <c r="G601" s="83" t="s">
        <v>25</v>
      </c>
      <c r="H601" s="83" t="s">
        <v>25</v>
      </c>
      <c r="I601" s="90">
        <v>44713</v>
      </c>
      <c r="J601" s="91">
        <f>EFEITO!$J$601*EFEITO!$Y$601</f>
        <v>0</v>
      </c>
      <c r="K601" s="91">
        <f ca="1">EFEITO!$L$601*EFEITO!$Z$601</f>
        <v>2715.3862469167425</v>
      </c>
      <c r="L601" s="91">
        <f>EFEITO!$N$601*EFEITO!$AA$601</f>
        <v>1251.22584233154</v>
      </c>
      <c r="M601" s="91">
        <f>$J$601-EFEITO!$K$601*EFEITO!$Y$601</f>
        <v>0</v>
      </c>
      <c r="N601" s="91">
        <f ca="1">$K$601-EFEITO!$M$601*EFEITO!$Z$601</f>
        <v>0</v>
      </c>
      <c r="O601" s="91">
        <f>$L$601-EFEITO!$O$601*EFEITO!$AA$601</f>
        <v>0</v>
      </c>
      <c r="P601" s="20"/>
      <c r="Q601" s="20"/>
      <c r="R601" s="20"/>
      <c r="S601" s="20"/>
      <c r="T601" s="20"/>
      <c r="U601" s="20"/>
      <c r="V601" s="20"/>
      <c r="W601" s="20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1.25" customHeight="1" x14ac:dyDescent="0.2">
      <c r="A602" s="83" t="s">
        <v>21</v>
      </c>
      <c r="B602" s="83" t="s">
        <v>37</v>
      </c>
      <c r="C602" s="83" t="s">
        <v>23</v>
      </c>
      <c r="D602" s="83" t="s">
        <v>38</v>
      </c>
      <c r="E602" s="83" t="s">
        <v>25</v>
      </c>
      <c r="F602" s="83" t="s">
        <v>25</v>
      </c>
      <c r="G602" s="83" t="s">
        <v>25</v>
      </c>
      <c r="H602" s="83" t="s">
        <v>25</v>
      </c>
      <c r="I602" s="90">
        <v>44378</v>
      </c>
      <c r="J602" s="91">
        <f>EFEITO!$J$602*EFEITO!$Y$602</f>
        <v>0</v>
      </c>
      <c r="K602" s="91">
        <f ca="1">EFEITO!$L$602*EFEITO!$Z$602</f>
        <v>26644.504536516488</v>
      </c>
      <c r="L602" s="91">
        <f>EFEITO!$N$602*EFEITO!$AA$602</f>
        <v>12277.550816228899</v>
      </c>
      <c r="M602" s="91">
        <f>$J$602-EFEITO!$K$602*EFEITO!$Y$602</f>
        <v>0</v>
      </c>
      <c r="N602" s="91">
        <f ca="1">$K$602-EFEITO!$M$602*EFEITO!$Z$602</f>
        <v>0</v>
      </c>
      <c r="O602" s="91">
        <f>$L$602-EFEITO!$O$602*EFEITO!$AA$602</f>
        <v>0</v>
      </c>
      <c r="P602" s="20"/>
      <c r="Q602" s="20"/>
      <c r="R602" s="20"/>
      <c r="S602" s="20"/>
      <c r="T602" s="20"/>
      <c r="U602" s="20"/>
      <c r="V602" s="20"/>
      <c r="W602" s="20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1.25" customHeight="1" x14ac:dyDescent="0.2">
      <c r="A603" s="83" t="s">
        <v>27</v>
      </c>
      <c r="B603" s="83" t="s">
        <v>37</v>
      </c>
      <c r="C603" s="83" t="s">
        <v>23</v>
      </c>
      <c r="D603" s="83" t="s">
        <v>38</v>
      </c>
      <c r="E603" s="83" t="s">
        <v>25</v>
      </c>
      <c r="F603" s="83" t="s">
        <v>25</v>
      </c>
      <c r="G603" s="83" t="s">
        <v>25</v>
      </c>
      <c r="H603" s="83" t="s">
        <v>25</v>
      </c>
      <c r="I603" s="90">
        <v>44378</v>
      </c>
      <c r="J603" s="91">
        <f>EFEITO!$J$603*EFEITO!$Y$603</f>
        <v>0</v>
      </c>
      <c r="K603" s="91">
        <f ca="1">EFEITO!$L$603*EFEITO!$Z$603</f>
        <v>289.46873755732031</v>
      </c>
      <c r="L603" s="91">
        <f>EFEITO!$N$603*EFEITO!$AA$603</f>
        <v>133.38462083987673</v>
      </c>
      <c r="M603" s="91">
        <f>$J$603-EFEITO!$K$603*EFEITO!$Y$603</f>
        <v>0</v>
      </c>
      <c r="N603" s="91">
        <f ca="1">$K$603-EFEITO!$M$603*EFEITO!$Z$603</f>
        <v>0</v>
      </c>
      <c r="O603" s="91">
        <f>$L$603-EFEITO!$O$603*EFEITO!$AA$603</f>
        <v>0</v>
      </c>
      <c r="P603" s="20"/>
      <c r="Q603" s="20"/>
      <c r="R603" s="20"/>
      <c r="S603" s="20"/>
      <c r="T603" s="20"/>
      <c r="U603" s="20"/>
      <c r="V603" s="20"/>
      <c r="W603" s="20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1.25" customHeight="1" x14ac:dyDescent="0.2">
      <c r="A604" s="83" t="s">
        <v>28</v>
      </c>
      <c r="B604" s="83" t="s">
        <v>37</v>
      </c>
      <c r="C604" s="83" t="s">
        <v>23</v>
      </c>
      <c r="D604" s="83" t="s">
        <v>38</v>
      </c>
      <c r="E604" s="83" t="s">
        <v>25</v>
      </c>
      <c r="F604" s="83" t="s">
        <v>25</v>
      </c>
      <c r="G604" s="83" t="s">
        <v>25</v>
      </c>
      <c r="H604" s="83" t="s">
        <v>25</v>
      </c>
      <c r="I604" s="90">
        <v>44378</v>
      </c>
      <c r="J604" s="91">
        <f>EFEITO!$J$604*EFEITO!$Y$604</f>
        <v>0</v>
      </c>
      <c r="K604" s="91">
        <f ca="1">EFEITO!$L$604*EFEITO!$Z$604</f>
        <v>2818.4174924879921</v>
      </c>
      <c r="L604" s="91">
        <f>EFEITO!$N$604*EFEITO!$AA$604</f>
        <v>1298.7017243253943</v>
      </c>
      <c r="M604" s="91">
        <f>$J$604-EFEITO!$K$604*EFEITO!$Y$604</f>
        <v>0</v>
      </c>
      <c r="N604" s="91">
        <f ca="1">$K$604-EFEITO!$M$604*EFEITO!$Z$604</f>
        <v>0</v>
      </c>
      <c r="O604" s="91">
        <f>$L$604-EFEITO!$O$604*EFEITO!$AA$604</f>
        <v>0</v>
      </c>
      <c r="P604" s="20"/>
      <c r="Q604" s="20"/>
      <c r="R604" s="20"/>
      <c r="S604" s="20"/>
      <c r="T604" s="20"/>
      <c r="U604" s="20"/>
      <c r="V604" s="20"/>
      <c r="W604" s="20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1.25" customHeight="1" x14ac:dyDescent="0.2">
      <c r="A605" s="83" t="s">
        <v>21</v>
      </c>
      <c r="B605" s="83" t="s">
        <v>37</v>
      </c>
      <c r="C605" s="83" t="s">
        <v>23</v>
      </c>
      <c r="D605" s="83" t="s">
        <v>38</v>
      </c>
      <c r="E605" s="83" t="s">
        <v>25</v>
      </c>
      <c r="F605" s="83" t="s">
        <v>25</v>
      </c>
      <c r="G605" s="83" t="s">
        <v>25</v>
      </c>
      <c r="H605" s="83" t="s">
        <v>25</v>
      </c>
      <c r="I605" s="90">
        <v>44409</v>
      </c>
      <c r="J605" s="91">
        <f>EFEITO!$J$605*EFEITO!$Y$605</f>
        <v>0</v>
      </c>
      <c r="K605" s="91">
        <f ca="1">EFEITO!$L$605*EFEITO!$Z$605</f>
        <v>30357.197558746277</v>
      </c>
      <c r="L605" s="91">
        <f>EFEITO!$N$605*EFEITO!$AA$605</f>
        <v>13988.326754397054</v>
      </c>
      <c r="M605" s="91">
        <f>$J$605-EFEITO!$K$605*EFEITO!$Y$605</f>
        <v>0</v>
      </c>
      <c r="N605" s="91">
        <f ca="1">$K$605-EFEITO!$M$605*EFEITO!$Z$605</f>
        <v>0</v>
      </c>
      <c r="O605" s="91">
        <f>$L$605-EFEITO!$O$605*EFEITO!$AA$605</f>
        <v>0</v>
      </c>
      <c r="P605" s="20"/>
      <c r="Q605" s="20"/>
      <c r="R605" s="20"/>
      <c r="S605" s="20"/>
      <c r="T605" s="20"/>
      <c r="U605" s="20"/>
      <c r="V605" s="20"/>
      <c r="W605" s="20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1.25" customHeight="1" x14ac:dyDescent="0.2">
      <c r="A606" s="83" t="s">
        <v>28</v>
      </c>
      <c r="B606" s="83" t="s">
        <v>37</v>
      </c>
      <c r="C606" s="83" t="s">
        <v>23</v>
      </c>
      <c r="D606" s="83" t="s">
        <v>38</v>
      </c>
      <c r="E606" s="83" t="s">
        <v>25</v>
      </c>
      <c r="F606" s="83" t="s">
        <v>25</v>
      </c>
      <c r="G606" s="83" t="s">
        <v>25</v>
      </c>
      <c r="H606" s="83" t="s">
        <v>25</v>
      </c>
      <c r="I606" s="90">
        <v>44409</v>
      </c>
      <c r="J606" s="91">
        <f>EFEITO!$J$606*EFEITO!$Y$606</f>
        <v>0</v>
      </c>
      <c r="K606" s="91">
        <f ca="1">EFEITO!$L$606*EFEITO!$Z$606</f>
        <v>1583.8266364653998</v>
      </c>
      <c r="L606" s="91">
        <f>EFEITO!$N$606*EFEITO!$AA$606</f>
        <v>729.8132335938401</v>
      </c>
      <c r="M606" s="91">
        <f>$J$606-EFEITO!$K$606*EFEITO!$Y$606</f>
        <v>0</v>
      </c>
      <c r="N606" s="91">
        <f ca="1">$K$606-EFEITO!$M$606*EFEITO!$Z$606</f>
        <v>0</v>
      </c>
      <c r="O606" s="91">
        <f>$L$606-EFEITO!$O$606*EFEITO!$AA$606</f>
        <v>0</v>
      </c>
      <c r="P606" s="20"/>
      <c r="Q606" s="20"/>
      <c r="R606" s="20"/>
      <c r="S606" s="20"/>
      <c r="T606" s="20"/>
      <c r="U606" s="20"/>
      <c r="V606" s="20"/>
      <c r="W606" s="20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1.25" customHeight="1" x14ac:dyDescent="0.2">
      <c r="A607" s="83" t="s">
        <v>21</v>
      </c>
      <c r="B607" s="83" t="s">
        <v>37</v>
      </c>
      <c r="C607" s="83" t="s">
        <v>23</v>
      </c>
      <c r="D607" s="83" t="s">
        <v>38</v>
      </c>
      <c r="E607" s="83" t="s">
        <v>25</v>
      </c>
      <c r="F607" s="83" t="s">
        <v>25</v>
      </c>
      <c r="G607" s="83" t="s">
        <v>25</v>
      </c>
      <c r="H607" s="83" t="s">
        <v>25</v>
      </c>
      <c r="I607" s="90">
        <v>44440</v>
      </c>
      <c r="J607" s="91">
        <f>EFEITO!$J$607*EFEITO!$Y$607</f>
        <v>0</v>
      </c>
      <c r="K607" s="91">
        <f ca="1">EFEITO!$L$607*EFEITO!$Z$607</f>
        <v>32014.171919340184</v>
      </c>
      <c r="L607" s="91">
        <f>EFEITO!$N$607*EFEITO!$AA$607</f>
        <v>14751.845808973545</v>
      </c>
      <c r="M607" s="91">
        <f>$J$607-EFEITO!$K$607*EFEITO!$Y$607</f>
        <v>0</v>
      </c>
      <c r="N607" s="91">
        <f ca="1">$K$607-EFEITO!$M$607*EFEITO!$Z$607</f>
        <v>0</v>
      </c>
      <c r="O607" s="91">
        <f>$L$607-EFEITO!$O$607*EFEITO!$AA$607</f>
        <v>0</v>
      </c>
      <c r="P607" s="20"/>
      <c r="Q607" s="20"/>
      <c r="R607" s="20"/>
      <c r="S607" s="20"/>
      <c r="T607" s="20"/>
      <c r="U607" s="20"/>
      <c r="V607" s="20"/>
      <c r="W607" s="20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1.25" customHeight="1" x14ac:dyDescent="0.2">
      <c r="A608" s="83" t="s">
        <v>28</v>
      </c>
      <c r="B608" s="83" t="s">
        <v>37</v>
      </c>
      <c r="C608" s="83" t="s">
        <v>23</v>
      </c>
      <c r="D608" s="83" t="s">
        <v>38</v>
      </c>
      <c r="E608" s="83" t="s">
        <v>25</v>
      </c>
      <c r="F608" s="83" t="s">
        <v>25</v>
      </c>
      <c r="G608" s="83" t="s">
        <v>25</v>
      </c>
      <c r="H608" s="83" t="s">
        <v>25</v>
      </c>
      <c r="I608" s="90">
        <v>44440</v>
      </c>
      <c r="J608" s="91">
        <f>EFEITO!$J$608*EFEITO!$Y$608</f>
        <v>0</v>
      </c>
      <c r="K608" s="91">
        <f ca="1">EFEITO!$L$608*EFEITO!$Z$608</f>
        <v>996.86075260494738</v>
      </c>
      <c r="L608" s="91">
        <f>EFEITO!$N$608*EFEITO!$AA$608</f>
        <v>459.3445725379421</v>
      </c>
      <c r="M608" s="91">
        <f>$J$608-EFEITO!$K$608*EFEITO!$Y$608</f>
        <v>0</v>
      </c>
      <c r="N608" s="91">
        <f ca="1">$K$608-EFEITO!$M$608*EFEITO!$Z$608</f>
        <v>0</v>
      </c>
      <c r="O608" s="91">
        <f>$L$608-EFEITO!$O$608*EFEITO!$AA$608</f>
        <v>0</v>
      </c>
      <c r="P608" s="20"/>
      <c r="Q608" s="20"/>
      <c r="R608" s="20"/>
      <c r="S608" s="20"/>
      <c r="T608" s="20"/>
      <c r="U608" s="20"/>
      <c r="V608" s="20"/>
      <c r="W608" s="20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1.25" customHeight="1" x14ac:dyDescent="0.2">
      <c r="A609" s="83" t="s">
        <v>21</v>
      </c>
      <c r="B609" s="83" t="s">
        <v>37</v>
      </c>
      <c r="C609" s="83" t="s">
        <v>23</v>
      </c>
      <c r="D609" s="83" t="s">
        <v>38</v>
      </c>
      <c r="E609" s="83" t="s">
        <v>25</v>
      </c>
      <c r="F609" s="83" t="s">
        <v>25</v>
      </c>
      <c r="G609" s="83" t="s">
        <v>25</v>
      </c>
      <c r="H609" s="83" t="s">
        <v>25</v>
      </c>
      <c r="I609" s="90">
        <v>44470</v>
      </c>
      <c r="J609" s="91">
        <f>EFEITO!$J$609*EFEITO!$Y$609</f>
        <v>0</v>
      </c>
      <c r="K609" s="91">
        <f ca="1">EFEITO!$L$609*EFEITO!$Z$609</f>
        <v>28776.939103945686</v>
      </c>
      <c r="L609" s="91">
        <f>EFEITO!$N$609*EFEITO!$AA$609</f>
        <v>13260.157707192613</v>
      </c>
      <c r="M609" s="91">
        <f>$J$609-EFEITO!$K$609*EFEITO!$Y$609</f>
        <v>0</v>
      </c>
      <c r="N609" s="91">
        <f ca="1">$K$609-EFEITO!$M$609*EFEITO!$Z$609</f>
        <v>0</v>
      </c>
      <c r="O609" s="91">
        <f>$L$609-EFEITO!$O$609*EFEITO!$AA$609</f>
        <v>0</v>
      </c>
      <c r="P609" s="20"/>
      <c r="Q609" s="20"/>
      <c r="R609" s="20"/>
      <c r="S609" s="20"/>
      <c r="T609" s="20"/>
      <c r="U609" s="20"/>
      <c r="V609" s="20"/>
      <c r="W609" s="20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1.25" customHeight="1" x14ac:dyDescent="0.2">
      <c r="A610" s="83" t="s">
        <v>28</v>
      </c>
      <c r="B610" s="83" t="s">
        <v>37</v>
      </c>
      <c r="C610" s="83" t="s">
        <v>23</v>
      </c>
      <c r="D610" s="83" t="s">
        <v>38</v>
      </c>
      <c r="E610" s="83" t="s">
        <v>25</v>
      </c>
      <c r="F610" s="83" t="s">
        <v>25</v>
      </c>
      <c r="G610" s="83" t="s">
        <v>25</v>
      </c>
      <c r="H610" s="83" t="s">
        <v>25</v>
      </c>
      <c r="I610" s="90">
        <v>44470</v>
      </c>
      <c r="J610" s="91">
        <f>EFEITO!$J$610*EFEITO!$Y$610</f>
        <v>0</v>
      </c>
      <c r="K610" s="91">
        <f ca="1">EFEITO!$L$610*EFEITO!$Z$610</f>
        <v>521.84656847775761</v>
      </c>
      <c r="L610" s="91">
        <f>EFEITO!$N$610*EFEITO!$AA$610</f>
        <v>240.46225944939252</v>
      </c>
      <c r="M610" s="91">
        <f>$J$610-EFEITO!$K$610*EFEITO!$Y$610</f>
        <v>0</v>
      </c>
      <c r="N610" s="91">
        <f ca="1">$K$610-EFEITO!$M$610*EFEITO!$Z$610</f>
        <v>0</v>
      </c>
      <c r="O610" s="91">
        <f>$L$610-EFEITO!$O$610*EFEITO!$AA$610</f>
        <v>0</v>
      </c>
      <c r="P610" s="20"/>
      <c r="Q610" s="20"/>
      <c r="R610" s="20"/>
      <c r="S610" s="20"/>
      <c r="T610" s="20"/>
      <c r="U610" s="20"/>
      <c r="V610" s="20"/>
      <c r="W610" s="20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1.25" customHeight="1" x14ac:dyDescent="0.2">
      <c r="A611" s="83" t="s">
        <v>21</v>
      </c>
      <c r="B611" s="83" t="s">
        <v>37</v>
      </c>
      <c r="C611" s="83" t="s">
        <v>23</v>
      </c>
      <c r="D611" s="83" t="s">
        <v>38</v>
      </c>
      <c r="E611" s="83" t="s">
        <v>25</v>
      </c>
      <c r="F611" s="83" t="s">
        <v>25</v>
      </c>
      <c r="G611" s="83" t="s">
        <v>25</v>
      </c>
      <c r="H611" s="83" t="s">
        <v>25</v>
      </c>
      <c r="I611" s="90">
        <v>44501</v>
      </c>
      <c r="J611" s="91">
        <f>EFEITO!$J$611*EFEITO!$Y$611</f>
        <v>0</v>
      </c>
      <c r="K611" s="91">
        <f ca="1">EFEITO!$L$611*EFEITO!$Z$611</f>
        <v>29121.268634599382</v>
      </c>
      <c r="L611" s="91">
        <f>EFEITO!$N$611*EFEITO!$AA$611</f>
        <v>13418.821693769476</v>
      </c>
      <c r="M611" s="91">
        <f>$J$611-EFEITO!$K$611*EFEITO!$Y$611</f>
        <v>0</v>
      </c>
      <c r="N611" s="91">
        <f ca="1">$K$611-EFEITO!$M$611*EFEITO!$Z$611</f>
        <v>0</v>
      </c>
      <c r="O611" s="91">
        <f>$L$611-EFEITO!$O$611*EFEITO!$AA$611</f>
        <v>0</v>
      </c>
      <c r="P611" s="20"/>
      <c r="Q611" s="20"/>
      <c r="R611" s="20"/>
      <c r="S611" s="20"/>
      <c r="T611" s="20"/>
      <c r="U611" s="20"/>
      <c r="V611" s="20"/>
      <c r="W611" s="20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1.25" customHeight="1" x14ac:dyDescent="0.2">
      <c r="A612" s="83" t="s">
        <v>28</v>
      </c>
      <c r="B612" s="83" t="s">
        <v>37</v>
      </c>
      <c r="C612" s="83" t="s">
        <v>23</v>
      </c>
      <c r="D612" s="83" t="s">
        <v>38</v>
      </c>
      <c r="E612" s="83" t="s">
        <v>25</v>
      </c>
      <c r="F612" s="83" t="s">
        <v>25</v>
      </c>
      <c r="G612" s="83" t="s">
        <v>25</v>
      </c>
      <c r="H612" s="83" t="s">
        <v>25</v>
      </c>
      <c r="I612" s="90">
        <v>44501</v>
      </c>
      <c r="J612" s="91">
        <f>EFEITO!$J$612*EFEITO!$Y$612</f>
        <v>0</v>
      </c>
      <c r="K612" s="91">
        <f ca="1">EFEITO!$L$612*EFEITO!$Z$612</f>
        <v>223.0113540503238</v>
      </c>
      <c r="L612" s="91">
        <f>EFEITO!$N$612*EFEITO!$AA$612</f>
        <v>102.76164933734724</v>
      </c>
      <c r="M612" s="91">
        <f>$J$612-EFEITO!$K$612*EFEITO!$Y$612</f>
        <v>0</v>
      </c>
      <c r="N612" s="91">
        <f ca="1">$K$612-EFEITO!$M$612*EFEITO!$Z$612</f>
        <v>0</v>
      </c>
      <c r="O612" s="91">
        <f>$L$612-EFEITO!$O$612*EFEITO!$AA$612</f>
        <v>0</v>
      </c>
      <c r="P612" s="20"/>
      <c r="Q612" s="20"/>
      <c r="R612" s="20"/>
      <c r="S612" s="20"/>
      <c r="T612" s="20"/>
      <c r="U612" s="20"/>
      <c r="V612" s="20"/>
      <c r="W612" s="20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1.25" customHeight="1" x14ac:dyDescent="0.2">
      <c r="A613" s="83" t="s">
        <v>21</v>
      </c>
      <c r="B613" s="83" t="s">
        <v>37</v>
      </c>
      <c r="C613" s="83" t="s">
        <v>23</v>
      </c>
      <c r="D613" s="83" t="s">
        <v>38</v>
      </c>
      <c r="E613" s="83" t="s">
        <v>25</v>
      </c>
      <c r="F613" s="83" t="s">
        <v>25</v>
      </c>
      <c r="G613" s="83" t="s">
        <v>25</v>
      </c>
      <c r="H613" s="83" t="s">
        <v>25</v>
      </c>
      <c r="I613" s="90">
        <v>44531</v>
      </c>
      <c r="J613" s="91">
        <f>EFEITO!$J$613*EFEITO!$Y$613</f>
        <v>0</v>
      </c>
      <c r="K613" s="91">
        <f ca="1">EFEITO!$L$613*EFEITO!$Z$613</f>
        <v>30930.782761363709</v>
      </c>
      <c r="L613" s="91">
        <f>EFEITO!$N$613*EFEITO!$AA$613</f>
        <v>14252.629716492713</v>
      </c>
      <c r="M613" s="91">
        <f>$J$613-EFEITO!$K$613*EFEITO!$Y$613</f>
        <v>0</v>
      </c>
      <c r="N613" s="91">
        <f ca="1">$K$613-EFEITO!$M$613*EFEITO!$Z$613</f>
        <v>0</v>
      </c>
      <c r="O613" s="91">
        <f>$L$613-EFEITO!$O$613*EFEITO!$AA$613</f>
        <v>0</v>
      </c>
      <c r="P613" s="20"/>
      <c r="Q613" s="20"/>
      <c r="R613" s="20"/>
      <c r="S613" s="20"/>
      <c r="T613" s="20"/>
      <c r="U613" s="20"/>
      <c r="V613" s="20"/>
      <c r="W613" s="20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1.25" customHeight="1" x14ac:dyDescent="0.2">
      <c r="A614" s="83" t="s">
        <v>28</v>
      </c>
      <c r="B614" s="83" t="s">
        <v>37</v>
      </c>
      <c r="C614" s="83" t="s">
        <v>23</v>
      </c>
      <c r="D614" s="83" t="s">
        <v>38</v>
      </c>
      <c r="E614" s="83" t="s">
        <v>25</v>
      </c>
      <c r="F614" s="83" t="s">
        <v>25</v>
      </c>
      <c r="G614" s="83" t="s">
        <v>25</v>
      </c>
      <c r="H614" s="83" t="s">
        <v>25</v>
      </c>
      <c r="I614" s="90">
        <v>44531</v>
      </c>
      <c r="J614" s="91">
        <f>EFEITO!$J$614*EFEITO!$Y$614</f>
        <v>0</v>
      </c>
      <c r="K614" s="91">
        <f ca="1">EFEITO!$L$614*EFEITO!$Z$614</f>
        <v>271.62782923329439</v>
      </c>
      <c r="L614" s="91">
        <f>EFEITO!$N$614*EFEITO!$AA$614</f>
        <v>125.16368889288893</v>
      </c>
      <c r="M614" s="91">
        <f>$J$614-EFEITO!$K$614*EFEITO!$Y$614</f>
        <v>0</v>
      </c>
      <c r="N614" s="91">
        <f ca="1">$K$614-EFEITO!$M$614*EFEITO!$Z$614</f>
        <v>0</v>
      </c>
      <c r="O614" s="91">
        <f>$L$614-EFEITO!$O$614*EFEITO!$AA$614</f>
        <v>0</v>
      </c>
      <c r="P614" s="20"/>
      <c r="Q614" s="20"/>
      <c r="R614" s="20"/>
      <c r="S614" s="20"/>
      <c r="T614" s="20"/>
      <c r="U614" s="20"/>
      <c r="V614" s="20"/>
      <c r="W614" s="20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1.25" customHeight="1" x14ac:dyDescent="0.2">
      <c r="A615" s="83" t="s">
        <v>21</v>
      </c>
      <c r="B615" s="83" t="s">
        <v>37</v>
      </c>
      <c r="C615" s="83" t="s">
        <v>23</v>
      </c>
      <c r="D615" s="83" t="s">
        <v>38</v>
      </c>
      <c r="E615" s="83" t="s">
        <v>25</v>
      </c>
      <c r="F615" s="83" t="s">
        <v>25</v>
      </c>
      <c r="G615" s="83" t="s">
        <v>25</v>
      </c>
      <c r="H615" s="83" t="s">
        <v>25</v>
      </c>
      <c r="I615" s="90">
        <v>44562</v>
      </c>
      <c r="J615" s="91">
        <f>EFEITO!$J$615*EFEITO!$Y$615</f>
        <v>0</v>
      </c>
      <c r="K615" s="91">
        <f ca="1">EFEITO!$L$615*EFEITO!$Z$615</f>
        <v>23503.166603363625</v>
      </c>
      <c r="L615" s="91">
        <f>EFEITO!$N$615*EFEITO!$AA$615</f>
        <v>10830.050223663025</v>
      </c>
      <c r="M615" s="91">
        <f>$J$615-EFEITO!$K$615*EFEITO!$Y$615</f>
        <v>0</v>
      </c>
      <c r="N615" s="91">
        <f ca="1">$K$615-EFEITO!$M$615*EFEITO!$Z$615</f>
        <v>0</v>
      </c>
      <c r="O615" s="91">
        <f>$L$615-EFEITO!$O$615*EFEITO!$AA$615</f>
        <v>0</v>
      </c>
      <c r="P615" s="20"/>
      <c r="Q615" s="20"/>
      <c r="R615" s="20"/>
      <c r="S615" s="20"/>
      <c r="T615" s="20"/>
      <c r="U615" s="20"/>
      <c r="V615" s="20"/>
      <c r="W615" s="20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1.25" customHeight="1" x14ac:dyDescent="0.2">
      <c r="A616" s="83" t="s">
        <v>28</v>
      </c>
      <c r="B616" s="83" t="s">
        <v>37</v>
      </c>
      <c r="C616" s="83" t="s">
        <v>23</v>
      </c>
      <c r="D616" s="83" t="s">
        <v>38</v>
      </c>
      <c r="E616" s="83" t="s">
        <v>25</v>
      </c>
      <c r="F616" s="83" t="s">
        <v>25</v>
      </c>
      <c r="G616" s="83" t="s">
        <v>25</v>
      </c>
      <c r="H616" s="83" t="s">
        <v>25</v>
      </c>
      <c r="I616" s="90">
        <v>44562</v>
      </c>
      <c r="J616" s="91">
        <f>EFEITO!$J$616*EFEITO!$Y$616</f>
        <v>0</v>
      </c>
      <c r="K616" s="91">
        <f ca="1">EFEITO!$L$616*EFEITO!$Z$616</f>
        <v>1063.3181361119439</v>
      </c>
      <c r="L616" s="91">
        <f>EFEITO!$N$616*EFEITO!$AA$616</f>
        <v>489.96754404047158</v>
      </c>
      <c r="M616" s="91">
        <f>$J$616-EFEITO!$K$616*EFEITO!$Y$616</f>
        <v>0</v>
      </c>
      <c r="N616" s="91">
        <f ca="1">$K$616-EFEITO!$M$616*EFEITO!$Z$616</f>
        <v>0</v>
      </c>
      <c r="O616" s="91">
        <f>$L$616-EFEITO!$O$616*EFEITO!$AA$616</f>
        <v>0</v>
      </c>
      <c r="P616" s="20"/>
      <c r="Q616" s="20"/>
      <c r="R616" s="20"/>
      <c r="S616" s="20"/>
      <c r="T616" s="20"/>
      <c r="U616" s="20"/>
      <c r="V616" s="20"/>
      <c r="W616" s="20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1.25" customHeight="1" x14ac:dyDescent="0.2">
      <c r="A617" s="83" t="s">
        <v>21</v>
      </c>
      <c r="B617" s="83" t="s">
        <v>37</v>
      </c>
      <c r="C617" s="83" t="s">
        <v>23</v>
      </c>
      <c r="D617" s="83" t="s">
        <v>38</v>
      </c>
      <c r="E617" s="83" t="s">
        <v>25</v>
      </c>
      <c r="F617" s="83" t="s">
        <v>25</v>
      </c>
      <c r="G617" s="83" t="s">
        <v>25</v>
      </c>
      <c r="H617" s="83" t="s">
        <v>25</v>
      </c>
      <c r="I617" s="90">
        <v>44593</v>
      </c>
      <c r="J617" s="91">
        <f>EFEITO!$J$617*EFEITO!$Y$617</f>
        <v>0</v>
      </c>
      <c r="K617" s="91">
        <f ca="1">EFEITO!$L$617*EFEITO!$Z$617</f>
        <v>32167.603730926803</v>
      </c>
      <c r="L617" s="91">
        <f>EFEITO!$N$617*EFEITO!$AA$617</f>
        <v>14822.545823717639</v>
      </c>
      <c r="M617" s="91">
        <f>$J$617-EFEITO!$K$617*EFEITO!$Y$617</f>
        <v>0</v>
      </c>
      <c r="N617" s="91">
        <f ca="1">$K$617-EFEITO!$M$617*EFEITO!$Z$617</f>
        <v>0</v>
      </c>
      <c r="O617" s="91">
        <f>$L$617-EFEITO!$O$617*EFEITO!$AA$617</f>
        <v>0</v>
      </c>
      <c r="P617" s="20"/>
      <c r="Q617" s="20"/>
      <c r="R617" s="20"/>
      <c r="S617" s="20"/>
      <c r="T617" s="20"/>
      <c r="U617" s="20"/>
      <c r="V617" s="20"/>
      <c r="W617" s="20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1.25" customHeight="1" x14ac:dyDescent="0.2">
      <c r="A618" s="83" t="s">
        <v>27</v>
      </c>
      <c r="B618" s="83" t="s">
        <v>37</v>
      </c>
      <c r="C618" s="83" t="s">
        <v>23</v>
      </c>
      <c r="D618" s="83" t="s">
        <v>38</v>
      </c>
      <c r="E618" s="83" t="s">
        <v>25</v>
      </c>
      <c r="F618" s="83" t="s">
        <v>25</v>
      </c>
      <c r="G618" s="83" t="s">
        <v>25</v>
      </c>
      <c r="H618" s="83" t="s">
        <v>25</v>
      </c>
      <c r="I618" s="90">
        <v>44593</v>
      </c>
      <c r="J618" s="91">
        <f>EFEITO!$J$618*EFEITO!$Y$618</f>
        <v>0</v>
      </c>
      <c r="K618" s="91">
        <f ca="1">EFEITO!$L$618*EFEITO!$Z$618</f>
        <v>2382.2072839655589</v>
      </c>
      <c r="L618" s="91">
        <f>EFEITO!$N$618*EFEITO!$AA$618</f>
        <v>1097.6999382215433</v>
      </c>
      <c r="M618" s="91">
        <f>$J$618-EFEITO!$K$618*EFEITO!$Y$618</f>
        <v>0</v>
      </c>
      <c r="N618" s="91">
        <f ca="1">$K$618-EFEITO!$M$618*EFEITO!$Z$618</f>
        <v>0</v>
      </c>
      <c r="O618" s="91">
        <f>$L$618-EFEITO!$O$618*EFEITO!$AA$618</f>
        <v>0</v>
      </c>
      <c r="P618" s="20"/>
      <c r="Q618" s="20"/>
      <c r="R618" s="20"/>
      <c r="S618" s="20"/>
      <c r="T618" s="20"/>
      <c r="U618" s="20"/>
      <c r="V618" s="20"/>
      <c r="W618" s="20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1.25" customHeight="1" x14ac:dyDescent="0.2">
      <c r="A619" s="83" t="s">
        <v>28</v>
      </c>
      <c r="B619" s="83" t="s">
        <v>37</v>
      </c>
      <c r="C619" s="83" t="s">
        <v>23</v>
      </c>
      <c r="D619" s="83" t="s">
        <v>38</v>
      </c>
      <c r="E619" s="83" t="s">
        <v>25</v>
      </c>
      <c r="F619" s="83" t="s">
        <v>25</v>
      </c>
      <c r="G619" s="83" t="s">
        <v>25</v>
      </c>
      <c r="H619" s="83" t="s">
        <v>25</v>
      </c>
      <c r="I619" s="90">
        <v>44593</v>
      </c>
      <c r="J619" s="91">
        <f>EFEITO!$J$619*EFEITO!$Y$619</f>
        <v>0</v>
      </c>
      <c r="K619" s="91">
        <f ca="1">EFEITO!$L$619*EFEITO!$Z$619</f>
        <v>1810.4061721805288</v>
      </c>
      <c r="L619" s="91">
        <f>EFEITO!$N$619*EFEITO!$AA$619</f>
        <v>834.21906932058494</v>
      </c>
      <c r="M619" s="91">
        <f>$J$619-EFEITO!$K$619*EFEITO!$Y$619</f>
        <v>0</v>
      </c>
      <c r="N619" s="91">
        <f ca="1">$K$619-EFEITO!$M$619*EFEITO!$Z$619</f>
        <v>0</v>
      </c>
      <c r="O619" s="91">
        <f>$L$619-EFEITO!$O$619*EFEITO!$AA$619</f>
        <v>0</v>
      </c>
      <c r="P619" s="20"/>
      <c r="Q619" s="20"/>
      <c r="R619" s="20"/>
      <c r="S619" s="20"/>
      <c r="T619" s="20"/>
      <c r="U619" s="20"/>
      <c r="V619" s="20"/>
      <c r="W619" s="20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1.25" customHeight="1" x14ac:dyDescent="0.2">
      <c r="A620" s="83" t="s">
        <v>21</v>
      </c>
      <c r="B620" s="83" t="s">
        <v>37</v>
      </c>
      <c r="C620" s="83" t="s">
        <v>23</v>
      </c>
      <c r="D620" s="83" t="s">
        <v>38</v>
      </c>
      <c r="E620" s="83" t="s">
        <v>25</v>
      </c>
      <c r="F620" s="83" t="s">
        <v>25</v>
      </c>
      <c r="G620" s="83" t="s">
        <v>25</v>
      </c>
      <c r="H620" s="83" t="s">
        <v>25</v>
      </c>
      <c r="I620" s="90">
        <v>44621</v>
      </c>
      <c r="J620" s="91">
        <f>EFEITO!$J$620*EFEITO!$Y$620</f>
        <v>0</v>
      </c>
      <c r="K620" s="91">
        <f ca="1">EFEITO!$L$620*EFEITO!$Z$620</f>
        <v>25537.030152302581</v>
      </c>
      <c r="L620" s="91">
        <f>EFEITO!$N$620*EFEITO!$AA$620</f>
        <v>11767.236465619633</v>
      </c>
      <c r="M620" s="91">
        <f>$J$620-EFEITO!$K$620*EFEITO!$Y$620</f>
        <v>0</v>
      </c>
      <c r="N620" s="91">
        <f ca="1">$K$620-EFEITO!$M$620*EFEITO!$Z$620</f>
        <v>0</v>
      </c>
      <c r="O620" s="91">
        <f>$L$620-EFEITO!$O$620*EFEITO!$AA$620</f>
        <v>0</v>
      </c>
      <c r="P620" s="20"/>
      <c r="Q620" s="20"/>
      <c r="R620" s="20"/>
      <c r="S620" s="20"/>
      <c r="T620" s="20"/>
      <c r="U620" s="20"/>
      <c r="V620" s="20"/>
      <c r="W620" s="20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1.25" customHeight="1" x14ac:dyDescent="0.2">
      <c r="A621" s="83" t="s">
        <v>28</v>
      </c>
      <c r="B621" s="83" t="s">
        <v>37</v>
      </c>
      <c r="C621" s="83" t="s">
        <v>23</v>
      </c>
      <c r="D621" s="83" t="s">
        <v>38</v>
      </c>
      <c r="E621" s="83" t="s">
        <v>25</v>
      </c>
      <c r="F621" s="83" t="s">
        <v>25</v>
      </c>
      <c r="G621" s="83" t="s">
        <v>25</v>
      </c>
      <c r="H621" s="83" t="s">
        <v>25</v>
      </c>
      <c r="I621" s="90">
        <v>44621</v>
      </c>
      <c r="J621" s="91">
        <f>EFEITO!$J$621*EFEITO!$Y$621</f>
        <v>0</v>
      </c>
      <c r="K621" s="91">
        <f ca="1">EFEITO!$L$621*EFEITO!$Z$621</f>
        <v>2078.0197970409172</v>
      </c>
      <c r="L621" s="91">
        <f>EFEITO!$N$621*EFEITO!$AA$621</f>
        <v>957.53304852540145</v>
      </c>
      <c r="M621" s="91">
        <f>$J$621-EFEITO!$K$621*EFEITO!$Y$621</f>
        <v>0</v>
      </c>
      <c r="N621" s="91">
        <f ca="1">$K$621-EFEITO!$M$621*EFEITO!$Z$621</f>
        <v>0</v>
      </c>
      <c r="O621" s="91">
        <f>$L$621-EFEITO!$O$621*EFEITO!$AA$621</f>
        <v>0</v>
      </c>
      <c r="P621" s="20"/>
      <c r="Q621" s="20"/>
      <c r="R621" s="20"/>
      <c r="S621" s="20"/>
      <c r="T621" s="20"/>
      <c r="U621" s="20"/>
      <c r="V621" s="20"/>
      <c r="W621" s="20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1.25" customHeight="1" x14ac:dyDescent="0.2">
      <c r="A622" s="83" t="s">
        <v>21</v>
      </c>
      <c r="B622" s="83" t="s">
        <v>37</v>
      </c>
      <c r="C622" s="83" t="s">
        <v>23</v>
      </c>
      <c r="D622" s="83" t="s">
        <v>38</v>
      </c>
      <c r="E622" s="83" t="s">
        <v>25</v>
      </c>
      <c r="F622" s="83" t="s">
        <v>25</v>
      </c>
      <c r="G622" s="83" t="s">
        <v>25</v>
      </c>
      <c r="H622" s="83" t="s">
        <v>25</v>
      </c>
      <c r="I622" s="90">
        <v>44652</v>
      </c>
      <c r="J622" s="91">
        <f>EFEITO!$J$622*EFEITO!$Y$622</f>
        <v>0</v>
      </c>
      <c r="K622" s="91">
        <f ca="1">EFEITO!$L$622*EFEITO!$Z$622</f>
        <v>29688.609519303409</v>
      </c>
      <c r="L622" s="91">
        <f>EFEITO!$N$622*EFEITO!$AA$622</f>
        <v>13680.247329683689</v>
      </c>
      <c r="M622" s="91">
        <f>$J$622-EFEITO!$K$622*EFEITO!$Y$622</f>
        <v>0</v>
      </c>
      <c r="N622" s="91">
        <f ca="1">$K$622-EFEITO!$M$622*EFEITO!$Z$622</f>
        <v>0</v>
      </c>
      <c r="O622" s="91">
        <f>$L$622-EFEITO!$O$622*EFEITO!$AA$622</f>
        <v>0</v>
      </c>
      <c r="P622" s="20"/>
      <c r="Q622" s="20"/>
      <c r="R622" s="20"/>
      <c r="S622" s="20"/>
      <c r="T622" s="20"/>
      <c r="U622" s="20"/>
      <c r="V622" s="20"/>
      <c r="W622" s="20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1.25" customHeight="1" x14ac:dyDescent="0.2">
      <c r="A623" s="83" t="s">
        <v>28</v>
      </c>
      <c r="B623" s="83" t="s">
        <v>37</v>
      </c>
      <c r="C623" s="83" t="s">
        <v>23</v>
      </c>
      <c r="D623" s="83" t="s">
        <v>38</v>
      </c>
      <c r="E623" s="83" t="s">
        <v>25</v>
      </c>
      <c r="F623" s="83" t="s">
        <v>25</v>
      </c>
      <c r="G623" s="83" t="s">
        <v>25</v>
      </c>
      <c r="H623" s="83" t="s">
        <v>25</v>
      </c>
      <c r="I623" s="90">
        <v>44652</v>
      </c>
      <c r="J623" s="91">
        <f>EFEITO!$J$623*EFEITO!$Y$623</f>
        <v>0</v>
      </c>
      <c r="K623" s="91">
        <f ca="1">EFEITO!$L$623*EFEITO!$Z$623</f>
        <v>877.32666683397383</v>
      </c>
      <c r="L623" s="91">
        <f>EFEITO!$N$623*EFEITO!$AA$623</f>
        <v>404.26432849312403</v>
      </c>
      <c r="M623" s="91">
        <f>$J$623-EFEITO!$K$623*EFEITO!$Y$623</f>
        <v>0</v>
      </c>
      <c r="N623" s="91">
        <f ca="1">$K$623-EFEITO!$M$623*EFEITO!$Z$623</f>
        <v>0</v>
      </c>
      <c r="O623" s="91">
        <f>$L$623-EFEITO!$O$623*EFEITO!$AA$623</f>
        <v>0</v>
      </c>
      <c r="P623" s="20"/>
      <c r="Q623" s="20"/>
      <c r="R623" s="20"/>
      <c r="S623" s="20"/>
      <c r="T623" s="20"/>
      <c r="U623" s="20"/>
      <c r="V623" s="20"/>
      <c r="W623" s="20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1.25" customHeight="1" x14ac:dyDescent="0.2">
      <c r="A624" s="83" t="s">
        <v>21</v>
      </c>
      <c r="B624" s="83" t="s">
        <v>37</v>
      </c>
      <c r="C624" s="83" t="s">
        <v>23</v>
      </c>
      <c r="D624" s="83" t="s">
        <v>38</v>
      </c>
      <c r="E624" s="83" t="s">
        <v>25</v>
      </c>
      <c r="F624" s="83" t="s">
        <v>25</v>
      </c>
      <c r="G624" s="83" t="s">
        <v>25</v>
      </c>
      <c r="H624" s="83" t="s">
        <v>25</v>
      </c>
      <c r="I624" s="90">
        <v>44682</v>
      </c>
      <c r="J624" s="91">
        <f>EFEITO!$J$624*EFEITO!$Y$624</f>
        <v>0</v>
      </c>
      <c r="K624" s="91">
        <f ca="1">EFEITO!$L$624*EFEITO!$Z$624</f>
        <v>25248.007437453358</v>
      </c>
      <c r="L624" s="91">
        <f>EFEITO!$N$624*EFEITO!$AA$624</f>
        <v>11634.057368078429</v>
      </c>
      <c r="M624" s="91">
        <f>$J$624-EFEITO!$K$624*EFEITO!$Y$624</f>
        <v>0</v>
      </c>
      <c r="N624" s="91">
        <f ca="1">$K$624-EFEITO!$M$624*EFEITO!$Z$624</f>
        <v>0</v>
      </c>
      <c r="O624" s="91">
        <f>$L$624-EFEITO!$O$624*EFEITO!$AA$624</f>
        <v>0</v>
      </c>
      <c r="P624" s="20"/>
      <c r="Q624" s="20"/>
      <c r="R624" s="20"/>
      <c r="S624" s="20"/>
      <c r="T624" s="20"/>
      <c r="U624" s="20"/>
      <c r="V624" s="20"/>
      <c r="W624" s="20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1.25" customHeight="1" x14ac:dyDescent="0.2">
      <c r="A625" s="83" t="s">
        <v>28</v>
      </c>
      <c r="B625" s="83" t="s">
        <v>37</v>
      </c>
      <c r="C625" s="83" t="s">
        <v>23</v>
      </c>
      <c r="D625" s="83" t="s">
        <v>38</v>
      </c>
      <c r="E625" s="83" t="s">
        <v>25</v>
      </c>
      <c r="F625" s="83" t="s">
        <v>25</v>
      </c>
      <c r="G625" s="83" t="s">
        <v>25</v>
      </c>
      <c r="H625" s="83" t="s">
        <v>25</v>
      </c>
      <c r="I625" s="90">
        <v>44682</v>
      </c>
      <c r="J625" s="91">
        <f>EFEITO!$J$625*EFEITO!$Y$625</f>
        <v>0</v>
      </c>
      <c r="K625" s="91">
        <f ca="1">EFEITO!$L$625*EFEITO!$Z$625</f>
        <v>1127.9914287865377</v>
      </c>
      <c r="L625" s="91">
        <f>EFEITO!$N$625*EFEITO!$AA$625</f>
        <v>519.76842234830235</v>
      </c>
      <c r="M625" s="91">
        <f>$J$625-EFEITO!$K$625*EFEITO!$Y$625</f>
        <v>0</v>
      </c>
      <c r="N625" s="91">
        <f ca="1">$K$625-EFEITO!$M$625*EFEITO!$Z$625</f>
        <v>0</v>
      </c>
      <c r="O625" s="91">
        <f>$L$625-EFEITO!$O$625*EFEITO!$AA$625</f>
        <v>0</v>
      </c>
      <c r="P625" s="20"/>
      <c r="Q625" s="20"/>
      <c r="R625" s="20"/>
      <c r="S625" s="20"/>
      <c r="T625" s="20"/>
      <c r="U625" s="20"/>
      <c r="V625" s="20"/>
      <c r="W625" s="20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1.25" customHeight="1" x14ac:dyDescent="0.2">
      <c r="A626" s="83" t="s">
        <v>21</v>
      </c>
      <c r="B626" s="83" t="s">
        <v>37</v>
      </c>
      <c r="C626" s="83" t="s">
        <v>23</v>
      </c>
      <c r="D626" s="83" t="s">
        <v>38</v>
      </c>
      <c r="E626" s="83" t="s">
        <v>25</v>
      </c>
      <c r="F626" s="83" t="s">
        <v>25</v>
      </c>
      <c r="G626" s="83" t="s">
        <v>25</v>
      </c>
      <c r="H626" s="83" t="s">
        <v>25</v>
      </c>
      <c r="I626" s="90">
        <v>44713</v>
      </c>
      <c r="J626" s="91">
        <f>EFEITO!$J$626*EFEITO!$Y$626</f>
        <v>0</v>
      </c>
      <c r="K626" s="91">
        <f ca="1">EFEITO!$L$626*EFEITO!$Z$626</f>
        <v>27903.626641484614</v>
      </c>
      <c r="L626" s="91">
        <f>EFEITO!$N$626*EFEITO!$AA$626</f>
        <v>12857.74308838756</v>
      </c>
      <c r="M626" s="91">
        <f>$J$626-EFEITO!$K$626*EFEITO!$Y$626</f>
        <v>0</v>
      </c>
      <c r="N626" s="91">
        <f ca="1">$K$626-EFEITO!$M$626*EFEITO!$Z$626</f>
        <v>0</v>
      </c>
      <c r="O626" s="91">
        <f>$L$626-EFEITO!$O$626*EFEITO!$AA$626</f>
        <v>0</v>
      </c>
      <c r="P626" s="20"/>
      <c r="Q626" s="20"/>
      <c r="R626" s="20"/>
      <c r="S626" s="20"/>
      <c r="T626" s="20"/>
      <c r="U626" s="20"/>
      <c r="V626" s="20"/>
      <c r="W626" s="20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1.25" customHeight="1" x14ac:dyDescent="0.2">
      <c r="A627" s="83" t="s">
        <v>28</v>
      </c>
      <c r="B627" s="83" t="s">
        <v>37</v>
      </c>
      <c r="C627" s="83" t="s">
        <v>23</v>
      </c>
      <c r="D627" s="83" t="s">
        <v>38</v>
      </c>
      <c r="E627" s="83" t="s">
        <v>25</v>
      </c>
      <c r="F627" s="83" t="s">
        <v>25</v>
      </c>
      <c r="G627" s="83" t="s">
        <v>25</v>
      </c>
      <c r="H627" s="83" t="s">
        <v>25</v>
      </c>
      <c r="I627" s="90">
        <v>44713</v>
      </c>
      <c r="J627" s="91">
        <f>EFEITO!$J$627*EFEITO!$Y$627</f>
        <v>0</v>
      </c>
      <c r="K627" s="91">
        <f ca="1">EFEITO!$L$627*EFEITO!$Z$627</f>
        <v>1599.4374312489222</v>
      </c>
      <c r="L627" s="91">
        <f>EFEITO!$N$627*EFEITO!$AA$627</f>
        <v>737.00654904745431</v>
      </c>
      <c r="M627" s="91">
        <f>$J$627-EFEITO!$K$627*EFEITO!$Y$627</f>
        <v>0</v>
      </c>
      <c r="N627" s="91">
        <f ca="1">$K$627-EFEITO!$M$627*EFEITO!$Z$627</f>
        <v>0</v>
      </c>
      <c r="O627" s="91">
        <f>$L$627-EFEITO!$O$627*EFEITO!$AA$627</f>
        <v>0</v>
      </c>
      <c r="P627" s="20"/>
      <c r="Q627" s="20"/>
      <c r="R627" s="20"/>
      <c r="S627" s="20"/>
      <c r="T627" s="20"/>
      <c r="U627" s="20"/>
      <c r="V627" s="20"/>
      <c r="W627" s="20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1.25" customHeight="1" x14ac:dyDescent="0.2">
      <c r="A628" s="83" t="s">
        <v>21</v>
      </c>
      <c r="B628" s="83" t="s">
        <v>37</v>
      </c>
      <c r="C628" s="83" t="s">
        <v>23</v>
      </c>
      <c r="D628" s="83" t="s">
        <v>44</v>
      </c>
      <c r="E628" s="83" t="s">
        <v>25</v>
      </c>
      <c r="F628" s="83" t="s">
        <v>25</v>
      </c>
      <c r="G628" s="83" t="s">
        <v>25</v>
      </c>
      <c r="H628" s="83" t="s">
        <v>25</v>
      </c>
      <c r="I628" s="90">
        <v>44378</v>
      </c>
      <c r="J628" s="91">
        <f>EFEITO!$J$628*EFEITO!$Y$628</f>
        <v>0</v>
      </c>
      <c r="K628" s="91">
        <f ca="1">EFEITO!$L$628*EFEITO!$Z$628</f>
        <v>63853.502937104917</v>
      </c>
      <c r="L628" s="91">
        <f>EFEITO!$N$628*EFEITO!$AA$628</f>
        <v>29423.126484866611</v>
      </c>
      <c r="M628" s="91">
        <f>$J$628-EFEITO!$K$628*EFEITO!$Y$628</f>
        <v>0</v>
      </c>
      <c r="N628" s="91">
        <f ca="1">$K$628-EFEITO!$M$628*EFEITO!$Z$628</f>
        <v>0</v>
      </c>
      <c r="O628" s="91">
        <f>$L$628-EFEITO!$O$628*EFEITO!$AA$628</f>
        <v>0</v>
      </c>
      <c r="P628" s="20"/>
      <c r="Q628" s="20"/>
      <c r="R628" s="20"/>
      <c r="S628" s="20"/>
      <c r="T628" s="20"/>
      <c r="U628" s="20"/>
      <c r="V628" s="20"/>
      <c r="W628" s="20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1.25" customHeight="1" x14ac:dyDescent="0.2">
      <c r="A629" s="83" t="s">
        <v>21</v>
      </c>
      <c r="B629" s="83" t="s">
        <v>37</v>
      </c>
      <c r="C629" s="83" t="s">
        <v>23</v>
      </c>
      <c r="D629" s="83" t="s">
        <v>44</v>
      </c>
      <c r="E629" s="83" t="s">
        <v>25</v>
      </c>
      <c r="F629" s="83" t="s">
        <v>25</v>
      </c>
      <c r="G629" s="83" t="s">
        <v>25</v>
      </c>
      <c r="H629" s="83" t="s">
        <v>25</v>
      </c>
      <c r="I629" s="90">
        <v>44409</v>
      </c>
      <c r="J629" s="91">
        <f>EFEITO!$J$629*EFEITO!$Y$629</f>
        <v>0</v>
      </c>
      <c r="K629" s="91">
        <f ca="1">EFEITO!$L$629*EFEITO!$Z$629</f>
        <v>68823.533973470432</v>
      </c>
      <c r="L629" s="91">
        <f>EFEITO!$N$629*EFEITO!$AA$629</f>
        <v>31713.272601998731</v>
      </c>
      <c r="M629" s="91">
        <f>$J$629-EFEITO!$K$629*EFEITO!$Y$629</f>
        <v>0</v>
      </c>
      <c r="N629" s="91">
        <f ca="1">$K$629-EFEITO!$M$629*EFEITO!$Z$629</f>
        <v>0</v>
      </c>
      <c r="O629" s="91">
        <f>$L$629-EFEITO!$O$629*EFEITO!$AA$629</f>
        <v>0</v>
      </c>
      <c r="P629" s="20"/>
      <c r="Q629" s="20"/>
      <c r="R629" s="20"/>
      <c r="S629" s="20"/>
      <c r="T629" s="20"/>
      <c r="U629" s="20"/>
      <c r="V629" s="20"/>
      <c r="W629" s="20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1.25" customHeight="1" x14ac:dyDescent="0.2">
      <c r="A630" s="83" t="s">
        <v>21</v>
      </c>
      <c r="B630" s="83" t="s">
        <v>37</v>
      </c>
      <c r="C630" s="83" t="s">
        <v>23</v>
      </c>
      <c r="D630" s="83" t="s">
        <v>44</v>
      </c>
      <c r="E630" s="83" t="s">
        <v>25</v>
      </c>
      <c r="F630" s="83" t="s">
        <v>25</v>
      </c>
      <c r="G630" s="83" t="s">
        <v>25</v>
      </c>
      <c r="H630" s="83" t="s">
        <v>25</v>
      </c>
      <c r="I630" s="90">
        <v>44440</v>
      </c>
      <c r="J630" s="91">
        <f>EFEITO!$J$630*EFEITO!$Y$630</f>
        <v>0</v>
      </c>
      <c r="K630" s="91">
        <f ca="1">EFEITO!$L$630*EFEITO!$Z$630</f>
        <v>58441.017374303548</v>
      </c>
      <c r="L630" s="91">
        <f>EFEITO!$N$630*EFEITO!$AA$630</f>
        <v>26929.10125544919</v>
      </c>
      <c r="M630" s="91">
        <f>$J$630-EFEITO!$K$630*EFEITO!$Y$630</f>
        <v>0</v>
      </c>
      <c r="N630" s="91">
        <f ca="1">$K$630-EFEITO!$M$630*EFEITO!$Z$630</f>
        <v>0</v>
      </c>
      <c r="O630" s="91">
        <f>$L$630-EFEITO!$O$630*EFEITO!$AA$630</f>
        <v>0</v>
      </c>
      <c r="P630" s="20"/>
      <c r="Q630" s="20"/>
      <c r="R630" s="20"/>
      <c r="S630" s="20"/>
      <c r="T630" s="20"/>
      <c r="U630" s="20"/>
      <c r="V630" s="20"/>
      <c r="W630" s="20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1.25" customHeight="1" x14ac:dyDescent="0.2">
      <c r="A631" s="83" t="s">
        <v>21</v>
      </c>
      <c r="B631" s="83" t="s">
        <v>37</v>
      </c>
      <c r="C631" s="83" t="s">
        <v>23</v>
      </c>
      <c r="D631" s="83" t="s">
        <v>44</v>
      </c>
      <c r="E631" s="83" t="s">
        <v>25</v>
      </c>
      <c r="F631" s="83" t="s">
        <v>25</v>
      </c>
      <c r="G631" s="83" t="s">
        <v>25</v>
      </c>
      <c r="H631" s="83" t="s">
        <v>25</v>
      </c>
      <c r="I631" s="90">
        <v>44470</v>
      </c>
      <c r="J631" s="91">
        <f>EFEITO!$J$631*EFEITO!$Y$631</f>
        <v>0</v>
      </c>
      <c r="K631" s="91">
        <f ca="1">EFEITO!$L$631*EFEITO!$Z$631</f>
        <v>57351.383898413675</v>
      </c>
      <c r="L631" s="91">
        <f>EFEITO!$N$631*EFEITO!$AA$631</f>
        <v>26427.007836786914</v>
      </c>
      <c r="M631" s="91">
        <f>$J$631-EFEITO!$K$631*EFEITO!$Y$631</f>
        <v>0</v>
      </c>
      <c r="N631" s="91">
        <f ca="1">$K$631-EFEITO!$M$631*EFEITO!$Z$631</f>
        <v>0</v>
      </c>
      <c r="O631" s="91">
        <f>$L$631-EFEITO!$O$631*EFEITO!$AA$631</f>
        <v>0</v>
      </c>
      <c r="P631" s="20"/>
      <c r="Q631" s="20"/>
      <c r="R631" s="20"/>
      <c r="S631" s="20"/>
      <c r="T631" s="20"/>
      <c r="U631" s="20"/>
      <c r="V631" s="20"/>
      <c r="W631" s="20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1.25" customHeight="1" x14ac:dyDescent="0.2">
      <c r="A632" s="83" t="s">
        <v>21</v>
      </c>
      <c r="B632" s="83" t="s">
        <v>37</v>
      </c>
      <c r="C632" s="83" t="s">
        <v>23</v>
      </c>
      <c r="D632" s="83" t="s">
        <v>44</v>
      </c>
      <c r="E632" s="83" t="s">
        <v>25</v>
      </c>
      <c r="F632" s="83" t="s">
        <v>25</v>
      </c>
      <c r="G632" s="83" t="s">
        <v>25</v>
      </c>
      <c r="H632" s="83" t="s">
        <v>25</v>
      </c>
      <c r="I632" s="90">
        <v>44501</v>
      </c>
      <c r="J632" s="91">
        <f>EFEITO!$J$632*EFEITO!$Y$632</f>
        <v>0</v>
      </c>
      <c r="K632" s="91">
        <f ca="1">EFEITO!$L$632*EFEITO!$Z$632</f>
        <v>69263.312363657664</v>
      </c>
      <c r="L632" s="91">
        <f>EFEITO!$N$632*EFEITO!$AA$632</f>
        <v>31915.918574491978</v>
      </c>
      <c r="M632" s="91">
        <f>$J$632-EFEITO!$K$632*EFEITO!$Y$632</f>
        <v>0</v>
      </c>
      <c r="N632" s="91">
        <f ca="1">$K$632-EFEITO!$M$632*EFEITO!$Z$632</f>
        <v>0</v>
      </c>
      <c r="O632" s="91">
        <f>$L$632-EFEITO!$O$632*EFEITO!$AA$632</f>
        <v>0</v>
      </c>
      <c r="P632" s="20"/>
      <c r="Q632" s="20"/>
      <c r="R632" s="20"/>
      <c r="S632" s="20"/>
      <c r="T632" s="20"/>
      <c r="U632" s="20"/>
      <c r="V632" s="20"/>
      <c r="W632" s="20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1.25" customHeight="1" x14ac:dyDescent="0.2">
      <c r="A633" s="83" t="s">
        <v>21</v>
      </c>
      <c r="B633" s="83" t="s">
        <v>37</v>
      </c>
      <c r="C633" s="83" t="s">
        <v>23</v>
      </c>
      <c r="D633" s="83" t="s">
        <v>44</v>
      </c>
      <c r="E633" s="83" t="s">
        <v>25</v>
      </c>
      <c r="F633" s="83" t="s">
        <v>25</v>
      </c>
      <c r="G633" s="83" t="s">
        <v>25</v>
      </c>
      <c r="H633" s="83" t="s">
        <v>25</v>
      </c>
      <c r="I633" s="90">
        <v>44531</v>
      </c>
      <c r="J633" s="91">
        <f>EFEITO!$J$633*EFEITO!$Y$633</f>
        <v>0</v>
      </c>
      <c r="K633" s="91">
        <f ca="1">EFEITO!$L$633*EFEITO!$Z$633</f>
        <v>76507.613188628384</v>
      </c>
      <c r="L633" s="91">
        <f>EFEITO!$N$633*EFEITO!$AA$633</f>
        <v>35254.027991566363</v>
      </c>
      <c r="M633" s="91">
        <f>$J$633-EFEITO!$K$633*EFEITO!$Y$633</f>
        <v>0</v>
      </c>
      <c r="N633" s="91">
        <f ca="1">$K$633-EFEITO!$M$633*EFEITO!$Z$633</f>
        <v>0</v>
      </c>
      <c r="O633" s="91">
        <f>$L$633-EFEITO!$O$633*EFEITO!$AA$633</f>
        <v>0</v>
      </c>
      <c r="P633" s="20"/>
      <c r="Q633" s="20"/>
      <c r="R633" s="20"/>
      <c r="S633" s="20"/>
      <c r="T633" s="20"/>
      <c r="U633" s="20"/>
      <c r="V633" s="20"/>
      <c r="W633" s="20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1.25" customHeight="1" x14ac:dyDescent="0.2">
      <c r="A634" s="83" t="s">
        <v>21</v>
      </c>
      <c r="B634" s="83" t="s">
        <v>37</v>
      </c>
      <c r="C634" s="83" t="s">
        <v>23</v>
      </c>
      <c r="D634" s="83" t="s">
        <v>44</v>
      </c>
      <c r="E634" s="83" t="s">
        <v>25</v>
      </c>
      <c r="F634" s="83" t="s">
        <v>25</v>
      </c>
      <c r="G634" s="83" t="s">
        <v>25</v>
      </c>
      <c r="H634" s="83" t="s">
        <v>25</v>
      </c>
      <c r="I634" s="90">
        <v>44562</v>
      </c>
      <c r="J634" s="91">
        <f>EFEITO!$J$634*EFEITO!$Y$634</f>
        <v>0</v>
      </c>
      <c r="K634" s="91">
        <f ca="1">EFEITO!$L$634*EFEITO!$Z$634</f>
        <v>87207.251933254811</v>
      </c>
      <c r="L634" s="91">
        <f>EFEITO!$N$634*EFEITO!$AA$634</f>
        <v>40184.326403473613</v>
      </c>
      <c r="M634" s="91">
        <f>$J$634-EFEITO!$K$634*EFEITO!$Y$634</f>
        <v>0</v>
      </c>
      <c r="N634" s="91">
        <f ca="1">$K$634-EFEITO!$M$634*EFEITO!$Z$634</f>
        <v>0</v>
      </c>
      <c r="O634" s="91">
        <f>$L$634-EFEITO!$O$634*EFEITO!$AA$634</f>
        <v>0</v>
      </c>
      <c r="P634" s="20"/>
      <c r="Q634" s="20"/>
      <c r="R634" s="20"/>
      <c r="S634" s="20"/>
      <c r="T634" s="20"/>
      <c r="U634" s="20"/>
      <c r="V634" s="20"/>
      <c r="W634" s="20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1.25" customHeight="1" x14ac:dyDescent="0.2">
      <c r="A635" s="83" t="s">
        <v>27</v>
      </c>
      <c r="B635" s="83" t="s">
        <v>37</v>
      </c>
      <c r="C635" s="83" t="s">
        <v>23</v>
      </c>
      <c r="D635" s="83" t="s">
        <v>44</v>
      </c>
      <c r="E635" s="83" t="s">
        <v>25</v>
      </c>
      <c r="F635" s="83" t="s">
        <v>25</v>
      </c>
      <c r="G635" s="83" t="s">
        <v>25</v>
      </c>
      <c r="H635" s="83" t="s">
        <v>25</v>
      </c>
      <c r="I635" s="90">
        <v>44562</v>
      </c>
      <c r="J635" s="91">
        <f>EFEITO!$J$635*EFEITO!$Y$635</f>
        <v>0</v>
      </c>
      <c r="K635" s="91">
        <f ca="1">EFEITO!$L$635*EFEITO!$Z$635</f>
        <v>-382.24146084225498</v>
      </c>
      <c r="L635" s="91">
        <f>EFEITO!$N$635*EFEITO!$AA$635</f>
        <v>-176.13346696421317</v>
      </c>
      <c r="M635" s="91">
        <f>$J$635-EFEITO!$K$635*EFEITO!$Y$635</f>
        <v>0</v>
      </c>
      <c r="N635" s="91">
        <f ca="1">$K$635-EFEITO!$M$635*EFEITO!$Z$635</f>
        <v>0</v>
      </c>
      <c r="O635" s="91">
        <f>$L$635-EFEITO!$O$635*EFEITO!$AA$635</f>
        <v>0</v>
      </c>
      <c r="P635" s="20"/>
      <c r="Q635" s="20"/>
      <c r="R635" s="20"/>
      <c r="S635" s="20"/>
      <c r="T635" s="20"/>
      <c r="U635" s="20"/>
      <c r="V635" s="20"/>
      <c r="W635" s="20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1.25" customHeight="1" x14ac:dyDescent="0.2">
      <c r="A636" s="83" t="s">
        <v>21</v>
      </c>
      <c r="B636" s="83" t="s">
        <v>37</v>
      </c>
      <c r="C636" s="83" t="s">
        <v>23</v>
      </c>
      <c r="D636" s="83" t="s">
        <v>44</v>
      </c>
      <c r="E636" s="83" t="s">
        <v>25</v>
      </c>
      <c r="F636" s="83" t="s">
        <v>25</v>
      </c>
      <c r="G636" s="83" t="s">
        <v>25</v>
      </c>
      <c r="H636" s="83" t="s">
        <v>25</v>
      </c>
      <c r="I636" s="90">
        <v>44593</v>
      </c>
      <c r="J636" s="91">
        <f>EFEITO!$J$636*EFEITO!$Y$636</f>
        <v>0</v>
      </c>
      <c r="K636" s="91">
        <f ca="1">EFEITO!$L$636*EFEITO!$Z$636</f>
        <v>103599.47850136983</v>
      </c>
      <c r="L636" s="91">
        <f>EFEITO!$N$636*EFEITO!$AA$636</f>
        <v>47737.718676365985</v>
      </c>
      <c r="M636" s="91">
        <f>$J$636-EFEITO!$K$636*EFEITO!$Y$636</f>
        <v>0</v>
      </c>
      <c r="N636" s="91">
        <f ca="1">$K$636-EFEITO!$M$636*EFEITO!$Z$636</f>
        <v>0</v>
      </c>
      <c r="O636" s="91">
        <f>$L$636-EFEITO!$O$636*EFEITO!$AA$636</f>
        <v>0</v>
      </c>
      <c r="P636" s="20"/>
      <c r="Q636" s="20"/>
      <c r="R636" s="20"/>
      <c r="S636" s="20"/>
      <c r="T636" s="20"/>
      <c r="U636" s="20"/>
      <c r="V636" s="20"/>
      <c r="W636" s="20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1.25" customHeight="1" x14ac:dyDescent="0.2">
      <c r="A637" s="83" t="s">
        <v>27</v>
      </c>
      <c r="B637" s="83" t="s">
        <v>37</v>
      </c>
      <c r="C637" s="83" t="s">
        <v>23</v>
      </c>
      <c r="D637" s="83" t="s">
        <v>44</v>
      </c>
      <c r="E637" s="83" t="s">
        <v>25</v>
      </c>
      <c r="F637" s="83" t="s">
        <v>25</v>
      </c>
      <c r="G637" s="83" t="s">
        <v>25</v>
      </c>
      <c r="H637" s="83" t="s">
        <v>25</v>
      </c>
      <c r="I637" s="90">
        <v>44593</v>
      </c>
      <c r="J637" s="91">
        <f>EFEITO!$J$637*EFEITO!$Y$637</f>
        <v>0</v>
      </c>
      <c r="K637" s="91">
        <f ca="1">EFEITO!$L$637*EFEITO!$Z$637</f>
        <v>479.47441120819616</v>
      </c>
      <c r="L637" s="91">
        <f>EFEITO!$N$637*EFEITO!$AA$637</f>
        <v>220.93754607529655</v>
      </c>
      <c r="M637" s="91">
        <f>$J$637-EFEITO!$K$637*EFEITO!$Y$637</f>
        <v>0</v>
      </c>
      <c r="N637" s="91">
        <f ca="1">$K$637-EFEITO!$M$637*EFEITO!$Z$637</f>
        <v>0</v>
      </c>
      <c r="O637" s="91">
        <f>$L$637-EFEITO!$O$637*EFEITO!$AA$637</f>
        <v>0</v>
      </c>
      <c r="P637" s="20"/>
      <c r="Q637" s="20"/>
      <c r="R637" s="20"/>
      <c r="S637" s="20"/>
      <c r="T637" s="20"/>
      <c r="U637" s="20"/>
      <c r="V637" s="20"/>
      <c r="W637" s="20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1.25" customHeight="1" x14ac:dyDescent="0.2">
      <c r="A638" s="83" t="s">
        <v>21</v>
      </c>
      <c r="B638" s="83" t="s">
        <v>37</v>
      </c>
      <c r="C638" s="83" t="s">
        <v>23</v>
      </c>
      <c r="D638" s="83" t="s">
        <v>44</v>
      </c>
      <c r="E638" s="83" t="s">
        <v>25</v>
      </c>
      <c r="F638" s="83" t="s">
        <v>25</v>
      </c>
      <c r="G638" s="83" t="s">
        <v>25</v>
      </c>
      <c r="H638" s="83" t="s">
        <v>25</v>
      </c>
      <c r="I638" s="90">
        <v>44621</v>
      </c>
      <c r="J638" s="91">
        <f>EFEITO!$J$638*EFEITO!$Y$638</f>
        <v>0</v>
      </c>
      <c r="K638" s="91">
        <f ca="1">EFEITO!$L$638*EFEITO!$Z$638</f>
        <v>95237.444769898881</v>
      </c>
      <c r="L638" s="91">
        <f>EFEITO!$N$638*EFEITO!$AA$638</f>
        <v>43884.567872812811</v>
      </c>
      <c r="M638" s="91">
        <f>$J$638-EFEITO!$K$638*EFEITO!$Y$638</f>
        <v>0</v>
      </c>
      <c r="N638" s="91">
        <f ca="1">$K$638-EFEITO!$M$638*EFEITO!$Z$638</f>
        <v>0</v>
      </c>
      <c r="O638" s="91">
        <f>$L$638-EFEITO!$O$638*EFEITO!$AA$638</f>
        <v>0</v>
      </c>
      <c r="P638" s="20"/>
      <c r="Q638" s="20"/>
      <c r="R638" s="20"/>
      <c r="S638" s="20"/>
      <c r="T638" s="20"/>
      <c r="U638" s="20"/>
      <c r="V638" s="20"/>
      <c r="W638" s="20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1.25" customHeight="1" x14ac:dyDescent="0.2">
      <c r="A639" s="83" t="s">
        <v>21</v>
      </c>
      <c r="B639" s="83" t="s">
        <v>37</v>
      </c>
      <c r="C639" s="83" t="s">
        <v>23</v>
      </c>
      <c r="D639" s="83" t="s">
        <v>44</v>
      </c>
      <c r="E639" s="83" t="s">
        <v>25</v>
      </c>
      <c r="F639" s="83" t="s">
        <v>25</v>
      </c>
      <c r="G639" s="83" t="s">
        <v>25</v>
      </c>
      <c r="H639" s="83" t="s">
        <v>25</v>
      </c>
      <c r="I639" s="90">
        <v>44652</v>
      </c>
      <c r="J639" s="91">
        <f>EFEITO!$J$639*EFEITO!$Y$639</f>
        <v>0</v>
      </c>
      <c r="K639" s="91">
        <f ca="1">EFEITO!$L$639*EFEITO!$Z$639</f>
        <v>64253.13928356309</v>
      </c>
      <c r="L639" s="91">
        <f>EFEITO!$N$639*EFEITO!$AA$639</f>
        <v>29607.275360479136</v>
      </c>
      <c r="M639" s="91">
        <f>$J$639-EFEITO!$K$639*EFEITO!$Y$639</f>
        <v>0</v>
      </c>
      <c r="N639" s="91">
        <f ca="1">$K$639-EFEITO!$M$639*EFEITO!$Z$639</f>
        <v>0</v>
      </c>
      <c r="O639" s="91">
        <f>$L$639-EFEITO!$O$639*EFEITO!$AA$639</f>
        <v>0</v>
      </c>
      <c r="P639" s="20"/>
      <c r="Q639" s="20"/>
      <c r="R639" s="20"/>
      <c r="S639" s="20"/>
      <c r="T639" s="20"/>
      <c r="U639" s="20"/>
      <c r="V639" s="20"/>
      <c r="W639" s="20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1.25" customHeight="1" x14ac:dyDescent="0.2">
      <c r="A640" s="83" t="s">
        <v>21</v>
      </c>
      <c r="B640" s="83" t="s">
        <v>37</v>
      </c>
      <c r="C640" s="83" t="s">
        <v>23</v>
      </c>
      <c r="D640" s="83" t="s">
        <v>44</v>
      </c>
      <c r="E640" s="83" t="s">
        <v>25</v>
      </c>
      <c r="F640" s="83" t="s">
        <v>25</v>
      </c>
      <c r="G640" s="83" t="s">
        <v>25</v>
      </c>
      <c r="H640" s="83" t="s">
        <v>25</v>
      </c>
      <c r="I640" s="90">
        <v>44682</v>
      </c>
      <c r="J640" s="91">
        <f>EFEITO!$J$640*EFEITO!$Y$640</f>
        <v>0</v>
      </c>
      <c r="K640" s="91">
        <f ca="1">EFEITO!$L$640*EFEITO!$Z$640</f>
        <v>61953.000177888054</v>
      </c>
      <c r="L640" s="91">
        <f>EFEITO!$N$640*EFEITO!$AA$640</f>
        <v>28547.391709213738</v>
      </c>
      <c r="M640" s="91">
        <f>$J$640-EFEITO!$K$640*EFEITO!$Y$640</f>
        <v>0</v>
      </c>
      <c r="N640" s="91">
        <f ca="1">$K$640-EFEITO!$M$640*EFEITO!$Z$640</f>
        <v>0</v>
      </c>
      <c r="O640" s="91">
        <f>$L$640-EFEITO!$O$640*EFEITO!$AA$640</f>
        <v>0</v>
      </c>
      <c r="P640" s="20"/>
      <c r="Q640" s="20"/>
      <c r="R640" s="20"/>
      <c r="S640" s="20"/>
      <c r="T640" s="20"/>
      <c r="U640" s="20"/>
      <c r="V640" s="20"/>
      <c r="W640" s="20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1.25" customHeight="1" x14ac:dyDescent="0.2">
      <c r="A641" s="83" t="s">
        <v>21</v>
      </c>
      <c r="B641" s="83" t="s">
        <v>37</v>
      </c>
      <c r="C641" s="83" t="s">
        <v>23</v>
      </c>
      <c r="D641" s="83" t="s">
        <v>44</v>
      </c>
      <c r="E641" s="83" t="s">
        <v>25</v>
      </c>
      <c r="F641" s="83" t="s">
        <v>25</v>
      </c>
      <c r="G641" s="83" t="s">
        <v>25</v>
      </c>
      <c r="H641" s="83" t="s">
        <v>25</v>
      </c>
      <c r="I641" s="90">
        <v>44713</v>
      </c>
      <c r="J641" s="91">
        <f>EFEITO!$J$641*EFEITO!$Y$641</f>
        <v>0</v>
      </c>
      <c r="K641" s="91">
        <f ca="1">EFEITO!$L$641*EFEITO!$Z$641</f>
        <v>75241.800743038752</v>
      </c>
      <c r="L641" s="91">
        <f>EFEITO!$N$641*EFEITO!$AA$641</f>
        <v>34670.752869927586</v>
      </c>
      <c r="M641" s="91">
        <f>$J$641-EFEITO!$K$641*EFEITO!$Y$641</f>
        <v>0</v>
      </c>
      <c r="N641" s="91">
        <f ca="1">$K$641-EFEITO!$M$641*EFEITO!$Z$641</f>
        <v>0</v>
      </c>
      <c r="O641" s="91">
        <f>$L$641-EFEITO!$O$641*EFEITO!$AA$641</f>
        <v>0</v>
      </c>
      <c r="P641" s="20"/>
      <c r="Q641" s="20"/>
      <c r="R641" s="20"/>
      <c r="S641" s="20"/>
      <c r="T641" s="20"/>
      <c r="U641" s="20"/>
      <c r="V641" s="20"/>
      <c r="W641" s="20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1.25" customHeight="1" x14ac:dyDescent="0.2">
      <c r="A642" s="83" t="s">
        <v>21</v>
      </c>
      <c r="B642" s="83" t="s">
        <v>37</v>
      </c>
      <c r="C642" s="83" t="s">
        <v>23</v>
      </c>
      <c r="D642" s="83" t="s">
        <v>48</v>
      </c>
      <c r="E642" s="83" t="s">
        <v>49</v>
      </c>
      <c r="F642" s="83" t="s">
        <v>25</v>
      </c>
      <c r="G642" s="83" t="s">
        <v>25</v>
      </c>
      <c r="H642" s="83" t="s">
        <v>25</v>
      </c>
      <c r="I642" s="90">
        <v>44378</v>
      </c>
      <c r="J642" s="91">
        <f>EFEITO!$J$642*EFEITO!$Y$641</f>
        <v>0</v>
      </c>
      <c r="K642" s="91">
        <f ca="1">EFEITO!$L$642*EFEITO!$Z$641</f>
        <v>33258.575274940988</v>
      </c>
      <c r="L642" s="91">
        <f>EFEITO!$N$642*EFEITO!$AA$641</f>
        <v>15325.255812275942</v>
      </c>
      <c r="M642" s="91">
        <f>$J$642-EFEITO!$K$642*EFEITO!$Y$642</f>
        <v>0</v>
      </c>
      <c r="N642" s="91">
        <f ca="1">$K$642-EFEITO!$M$642*EFEITO!$Z$642</f>
        <v>997.75725824823166</v>
      </c>
      <c r="O642" s="91">
        <f>$L$642-EFEITO!$O$642*EFEITO!$AA$642</f>
        <v>459.75767436827846</v>
      </c>
      <c r="P642" s="20"/>
      <c r="Q642" s="20"/>
      <c r="R642" s="20"/>
      <c r="S642" s="20"/>
      <c r="T642" s="20"/>
      <c r="U642" s="20"/>
      <c r="V642" s="20"/>
      <c r="W642" s="20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1.25" customHeight="1" x14ac:dyDescent="0.2">
      <c r="A643" s="83" t="s">
        <v>21</v>
      </c>
      <c r="B643" s="83" t="s">
        <v>37</v>
      </c>
      <c r="C643" s="83" t="s">
        <v>23</v>
      </c>
      <c r="D643" s="83" t="s">
        <v>48</v>
      </c>
      <c r="E643" s="83" t="s">
        <v>49</v>
      </c>
      <c r="F643" s="83" t="s">
        <v>25</v>
      </c>
      <c r="G643" s="83" t="s">
        <v>25</v>
      </c>
      <c r="H643" s="83" t="s">
        <v>25</v>
      </c>
      <c r="I643" s="90">
        <v>44409</v>
      </c>
      <c r="J643" s="91">
        <f>EFEITO!$J$643*EFEITO!$Y$641</f>
        <v>0</v>
      </c>
      <c r="K643" s="91">
        <f ca="1">EFEITO!$L$643*EFEITO!$Z$641</f>
        <v>32495.876444088881</v>
      </c>
      <c r="L643" s="91">
        <f>EFEITO!$N$643*EFEITO!$AA$641</f>
        <v>14973.810971542214</v>
      </c>
      <c r="M643" s="91">
        <f>$J$643-EFEITO!$K$643*EFEITO!$Y$643</f>
        <v>0</v>
      </c>
      <c r="N643" s="91">
        <f ca="1">$K$643-EFEITO!$M$643*EFEITO!$Z$643</f>
        <v>974.87629332266806</v>
      </c>
      <c r="O643" s="91">
        <f>$L$643-EFEITO!$O$643*EFEITO!$AA$643</f>
        <v>449.2143291462653</v>
      </c>
      <c r="P643" s="20"/>
      <c r="Q643" s="20"/>
      <c r="R643" s="20"/>
      <c r="S643" s="20"/>
      <c r="T643" s="20"/>
      <c r="U643" s="20"/>
      <c r="V643" s="20"/>
      <c r="W643" s="20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1.25" customHeight="1" x14ac:dyDescent="0.2">
      <c r="A644" s="83" t="s">
        <v>21</v>
      </c>
      <c r="B644" s="83" t="s">
        <v>37</v>
      </c>
      <c r="C644" s="83" t="s">
        <v>23</v>
      </c>
      <c r="D644" s="83" t="s">
        <v>48</v>
      </c>
      <c r="E644" s="83" t="s">
        <v>49</v>
      </c>
      <c r="F644" s="83" t="s">
        <v>25</v>
      </c>
      <c r="G644" s="83" t="s">
        <v>25</v>
      </c>
      <c r="H644" s="83" t="s">
        <v>25</v>
      </c>
      <c r="I644" s="90">
        <v>44440</v>
      </c>
      <c r="J644" s="91">
        <f>EFEITO!$J$644*EFEITO!$Y$641</f>
        <v>0</v>
      </c>
      <c r="K644" s="91">
        <f ca="1">EFEITO!$L$644*EFEITO!$Z$641</f>
        <v>32855.816769526107</v>
      </c>
      <c r="L644" s="91">
        <f>EFEITO!$N$644*EFEITO!$AA$641</f>
        <v>15139.668273572694</v>
      </c>
      <c r="M644" s="91">
        <f>$J$644-EFEITO!$K$644*EFEITO!$Y$644</f>
        <v>0</v>
      </c>
      <c r="N644" s="91">
        <f ca="1">$K$644-EFEITO!$M$644*EFEITO!$Z$644</f>
        <v>985.67450308578918</v>
      </c>
      <c r="O644" s="91">
        <f>$L$644-EFEITO!$O$644*EFEITO!$AA$644</f>
        <v>454.19004820717964</v>
      </c>
      <c r="P644" s="20"/>
      <c r="Q644" s="20"/>
      <c r="R644" s="20"/>
      <c r="S644" s="20"/>
      <c r="T644" s="20"/>
      <c r="U644" s="20"/>
      <c r="V644" s="20"/>
      <c r="W644" s="20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1.25" customHeight="1" x14ac:dyDescent="0.2">
      <c r="A645" s="83" t="s">
        <v>21</v>
      </c>
      <c r="B645" s="83" t="s">
        <v>37</v>
      </c>
      <c r="C645" s="83" t="s">
        <v>23</v>
      </c>
      <c r="D645" s="83" t="s">
        <v>48</v>
      </c>
      <c r="E645" s="83" t="s">
        <v>49</v>
      </c>
      <c r="F645" s="83" t="s">
        <v>25</v>
      </c>
      <c r="G645" s="83" t="s">
        <v>25</v>
      </c>
      <c r="H645" s="83" t="s">
        <v>25</v>
      </c>
      <c r="I645" s="90">
        <v>44470</v>
      </c>
      <c r="J645" s="91">
        <f>EFEITO!$J$645*EFEITO!$Y$641</f>
        <v>0</v>
      </c>
      <c r="K645" s="91">
        <f ca="1">EFEITO!$L$645*EFEITO!$Z$641</f>
        <v>34146.160464061279</v>
      </c>
      <c r="L645" s="91">
        <f>EFEITO!$N$645*EFEITO!$AA$641</f>
        <v>15734.247176638586</v>
      </c>
      <c r="M645" s="91">
        <f>$J$645-EFEITO!$K$645*EFEITO!$Y$645</f>
        <v>0</v>
      </c>
      <c r="N645" s="91">
        <f ca="1">$K$645-EFEITO!$M$645*EFEITO!$Z$645</f>
        <v>1024.3848139218389</v>
      </c>
      <c r="O645" s="91">
        <f>$L$645-EFEITO!$O$645*EFEITO!$AA$645</f>
        <v>472.02741529915875</v>
      </c>
      <c r="P645" s="20"/>
      <c r="Q645" s="20"/>
      <c r="R645" s="20"/>
      <c r="S645" s="20"/>
      <c r="T645" s="20"/>
      <c r="U645" s="20"/>
      <c r="V645" s="20"/>
      <c r="W645" s="20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1.25" customHeight="1" x14ac:dyDescent="0.2">
      <c r="A646" s="83" t="s">
        <v>21</v>
      </c>
      <c r="B646" s="83" t="s">
        <v>37</v>
      </c>
      <c r="C646" s="83" t="s">
        <v>23</v>
      </c>
      <c r="D646" s="83" t="s">
        <v>48</v>
      </c>
      <c r="E646" s="83" t="s">
        <v>49</v>
      </c>
      <c r="F646" s="83" t="s">
        <v>25</v>
      </c>
      <c r="G646" s="83" t="s">
        <v>25</v>
      </c>
      <c r="H646" s="83" t="s">
        <v>25</v>
      </c>
      <c r="I646" s="90">
        <v>44501</v>
      </c>
      <c r="J646" s="91">
        <f>EFEITO!$J$646*EFEITO!$Y$641</f>
        <v>0</v>
      </c>
      <c r="K646" s="91">
        <f ca="1">EFEITO!$L$646*EFEITO!$Z$641</f>
        <v>31964.66339874101</v>
      </c>
      <c r="L646" s="91">
        <f>EFEITO!$N$646*EFEITO!$AA$641</f>
        <v>14729.032722820653</v>
      </c>
      <c r="M646" s="91">
        <f>$J$646-EFEITO!$K$646*EFEITO!$Y$646</f>
        <v>0</v>
      </c>
      <c r="N646" s="91">
        <f ca="1">$K$646-EFEITO!$M$646*EFEITO!$Z$646</f>
        <v>958.9399019622324</v>
      </c>
      <c r="O646" s="91">
        <f>$L$646-EFEITO!$O$646*EFEITO!$AA$646</f>
        <v>441.87098168461853</v>
      </c>
      <c r="P646" s="20"/>
      <c r="Q646" s="20"/>
      <c r="R646" s="20"/>
      <c r="S646" s="20"/>
      <c r="T646" s="20"/>
      <c r="U646" s="20"/>
      <c r="V646" s="20"/>
      <c r="W646" s="20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1.25" customHeight="1" x14ac:dyDescent="0.2">
      <c r="A647" s="83" t="s">
        <v>21</v>
      </c>
      <c r="B647" s="83" t="s">
        <v>37</v>
      </c>
      <c r="C647" s="83" t="s">
        <v>23</v>
      </c>
      <c r="D647" s="83" t="s">
        <v>48</v>
      </c>
      <c r="E647" s="83" t="s">
        <v>49</v>
      </c>
      <c r="F647" s="83" t="s">
        <v>25</v>
      </c>
      <c r="G647" s="83" t="s">
        <v>25</v>
      </c>
      <c r="H647" s="83" t="s">
        <v>25</v>
      </c>
      <c r="I647" s="90">
        <v>44531</v>
      </c>
      <c r="J647" s="91">
        <f>EFEITO!$J$647*EFEITO!$Y$641</f>
        <v>0</v>
      </c>
      <c r="K647" s="91">
        <f ca="1">EFEITO!$L$647*EFEITO!$Z$641</f>
        <v>35252.296780150886</v>
      </c>
      <c r="L647" s="91">
        <f>EFEITO!$N$647*EFEITO!$AA$641</f>
        <v>16243.944957351829</v>
      </c>
      <c r="M647" s="91">
        <f>$J$647-EFEITO!$K$647*EFEITO!$Y$647</f>
        <v>0</v>
      </c>
      <c r="N647" s="91">
        <f ca="1">$K$647-EFEITO!$M$647*EFEITO!$Z$647</f>
        <v>1057.5689034045281</v>
      </c>
      <c r="O647" s="91">
        <f>$L$647-EFEITO!$O$647*EFEITO!$AA$647</f>
        <v>487.31834872055515</v>
      </c>
      <c r="P647" s="20"/>
      <c r="Q647" s="20"/>
      <c r="R647" s="20"/>
      <c r="S647" s="20"/>
      <c r="T647" s="20"/>
      <c r="U647" s="20"/>
      <c r="V647" s="20"/>
      <c r="W647" s="20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1.25" customHeight="1" x14ac:dyDescent="0.2">
      <c r="A648" s="83" t="s">
        <v>21</v>
      </c>
      <c r="B648" s="83" t="s">
        <v>37</v>
      </c>
      <c r="C648" s="83" t="s">
        <v>23</v>
      </c>
      <c r="D648" s="83" t="s">
        <v>48</v>
      </c>
      <c r="E648" s="83" t="s">
        <v>49</v>
      </c>
      <c r="F648" s="83" t="s">
        <v>25</v>
      </c>
      <c r="G648" s="83" t="s">
        <v>25</v>
      </c>
      <c r="H648" s="83" t="s">
        <v>25</v>
      </c>
      <c r="I648" s="90">
        <v>44562</v>
      </c>
      <c r="J648" s="91">
        <f>EFEITO!$J$648*EFEITO!$Y$641</f>
        <v>0</v>
      </c>
      <c r="K648" s="91">
        <f ca="1">EFEITO!$L$648*EFEITO!$Z$641</f>
        <v>36990.001250911009</v>
      </c>
      <c r="L648" s="91">
        <f>EFEITO!$N$648*EFEITO!$AA$641</f>
        <v>17044.663728988438</v>
      </c>
      <c r="M648" s="91">
        <f>$J$648-EFEITO!$K$648*EFEITO!$Y$648</f>
        <v>0</v>
      </c>
      <c r="N648" s="91">
        <f ca="1">$K$648-EFEITO!$M$648*EFEITO!$Z$648</f>
        <v>1109.7000375273346</v>
      </c>
      <c r="O648" s="91">
        <f>$L$648-EFEITO!$O$648*EFEITO!$AA$648</f>
        <v>511.33991186965432</v>
      </c>
      <c r="P648" s="20"/>
      <c r="Q648" s="20"/>
      <c r="R648" s="20"/>
      <c r="S648" s="20"/>
      <c r="T648" s="20"/>
      <c r="U648" s="20"/>
      <c r="V648" s="20"/>
      <c r="W648" s="20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1.25" customHeight="1" x14ac:dyDescent="0.2">
      <c r="A649" s="83" t="s">
        <v>21</v>
      </c>
      <c r="B649" s="83" t="s">
        <v>37</v>
      </c>
      <c r="C649" s="83" t="s">
        <v>23</v>
      </c>
      <c r="D649" s="83" t="s">
        <v>48</v>
      </c>
      <c r="E649" s="83" t="s">
        <v>49</v>
      </c>
      <c r="F649" s="83" t="s">
        <v>25</v>
      </c>
      <c r="G649" s="83" t="s">
        <v>25</v>
      </c>
      <c r="H649" s="83" t="s">
        <v>25</v>
      </c>
      <c r="I649" s="90">
        <v>44593</v>
      </c>
      <c r="J649" s="91">
        <f>EFEITO!$J$649*EFEITO!$Y$641</f>
        <v>0</v>
      </c>
      <c r="K649" s="91">
        <f ca="1">EFEITO!$L$649*EFEITO!$Z$641</f>
        <v>45553.191223735346</v>
      </c>
      <c r="L649" s="91">
        <f>EFEITO!$N$649*EFEITO!$AA$641</f>
        <v>20990.505540243896</v>
      </c>
      <c r="M649" s="91">
        <f>$J$649-EFEITO!$K$649*EFEITO!$Y$649</f>
        <v>0</v>
      </c>
      <c r="N649" s="91">
        <f ca="1">$K$649-EFEITO!$M$649*EFEITO!$Z$649</f>
        <v>1366.5957367120645</v>
      </c>
      <c r="O649" s="91">
        <f>$L$649-EFEITO!$O$649*EFEITO!$AA$649</f>
        <v>629.71516620731563</v>
      </c>
      <c r="P649" s="20"/>
      <c r="Q649" s="20"/>
      <c r="R649" s="20"/>
      <c r="S649" s="20"/>
      <c r="T649" s="20"/>
      <c r="U649" s="20"/>
      <c r="V649" s="20"/>
      <c r="W649" s="20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1.25" customHeight="1" x14ac:dyDescent="0.2">
      <c r="A650" s="83" t="s">
        <v>27</v>
      </c>
      <c r="B650" s="83" t="s">
        <v>37</v>
      </c>
      <c r="C650" s="83" t="s">
        <v>23</v>
      </c>
      <c r="D650" s="83" t="s">
        <v>48</v>
      </c>
      <c r="E650" s="83" t="s">
        <v>49</v>
      </c>
      <c r="F650" s="83" t="s">
        <v>25</v>
      </c>
      <c r="G650" s="83" t="s">
        <v>25</v>
      </c>
      <c r="H650" s="83" t="s">
        <v>25</v>
      </c>
      <c r="I650" s="90">
        <v>44593</v>
      </c>
      <c r="J650" s="91">
        <f>EFEITO!$J$650*EFEITO!$Y$641</f>
        <v>0</v>
      </c>
      <c r="K650" s="91">
        <f ca="1">EFEITO!$L$650*EFEITO!$Z$641</f>
        <v>309.5397594218494</v>
      </c>
      <c r="L650" s="91">
        <f>EFEITO!$N$650*EFEITO!$AA$641</f>
        <v>142.63316928023795</v>
      </c>
      <c r="M650" s="91">
        <f>$J$650-EFEITO!$K$650*EFEITO!$Y$650</f>
        <v>0</v>
      </c>
      <c r="N650" s="91">
        <f ca="1">$K$650-EFEITO!$M$650*EFEITO!$Z$650</f>
        <v>9.286192782655462</v>
      </c>
      <c r="O650" s="91">
        <f>$L$650-EFEITO!$O$650*EFEITO!$AA$650</f>
        <v>4.2789950784071209</v>
      </c>
      <c r="P650" s="20"/>
      <c r="Q650" s="20"/>
      <c r="R650" s="20"/>
      <c r="S650" s="20"/>
      <c r="T650" s="20"/>
      <c r="U650" s="20"/>
      <c r="V650" s="20"/>
      <c r="W650" s="20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1.25" customHeight="1" x14ac:dyDescent="0.2">
      <c r="A651" s="83" t="s">
        <v>21</v>
      </c>
      <c r="B651" s="83" t="s">
        <v>37</v>
      </c>
      <c r="C651" s="83" t="s">
        <v>23</v>
      </c>
      <c r="D651" s="83" t="s">
        <v>48</v>
      </c>
      <c r="E651" s="83" t="s">
        <v>49</v>
      </c>
      <c r="F651" s="83" t="s">
        <v>25</v>
      </c>
      <c r="G651" s="83" t="s">
        <v>25</v>
      </c>
      <c r="H651" s="83" t="s">
        <v>25</v>
      </c>
      <c r="I651" s="90">
        <v>44621</v>
      </c>
      <c r="J651" s="91">
        <f>EFEITO!$J$651*EFEITO!$Y$641</f>
        <v>0</v>
      </c>
      <c r="K651" s="91">
        <f ca="1">EFEITO!$L$651*EFEITO!$Z$641</f>
        <v>42124.168643857563</v>
      </c>
      <c r="L651" s="91">
        <f>EFEITO!$N$651*EFEITO!$AA$641</f>
        <v>19410.442420032847</v>
      </c>
      <c r="M651" s="91">
        <f>$J$651-EFEITO!$K$651*EFEITO!$Y$651</f>
        <v>0</v>
      </c>
      <c r="N651" s="91">
        <f ca="1">$K$651-EFEITO!$M$651*EFEITO!$Z$651</f>
        <v>1263.7250593157296</v>
      </c>
      <c r="O651" s="91">
        <f>$L$651-EFEITO!$O$651*EFEITO!$AA$651</f>
        <v>582.31327260098624</v>
      </c>
      <c r="P651" s="20"/>
      <c r="Q651" s="20"/>
      <c r="R651" s="20"/>
      <c r="S651" s="20"/>
      <c r="T651" s="20"/>
      <c r="U651" s="20"/>
      <c r="V651" s="20"/>
      <c r="W651" s="20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1.25" customHeight="1" x14ac:dyDescent="0.2">
      <c r="A652" s="83" t="s">
        <v>21</v>
      </c>
      <c r="B652" s="83" t="s">
        <v>37</v>
      </c>
      <c r="C652" s="83" t="s">
        <v>23</v>
      </c>
      <c r="D652" s="83" t="s">
        <v>48</v>
      </c>
      <c r="E652" s="83" t="s">
        <v>49</v>
      </c>
      <c r="F652" s="83" t="s">
        <v>25</v>
      </c>
      <c r="G652" s="83" t="s">
        <v>25</v>
      </c>
      <c r="H652" s="83" t="s">
        <v>25</v>
      </c>
      <c r="I652" s="90">
        <v>44652</v>
      </c>
      <c r="J652" s="91">
        <f>EFEITO!$J$652*EFEITO!$Y$641</f>
        <v>0</v>
      </c>
      <c r="K652" s="91">
        <f ca="1">EFEITO!$L$652*EFEITO!$Z$641</f>
        <v>36465.032523476548</v>
      </c>
      <c r="L652" s="91">
        <f>EFEITO!$N$652*EFEITO!$AA$641</f>
        <v>16802.762806448321</v>
      </c>
      <c r="M652" s="91">
        <f>$J$652-EFEITO!$K$652*EFEITO!$Y$652</f>
        <v>0</v>
      </c>
      <c r="N652" s="91">
        <f ca="1">$K$652-EFEITO!$M$652*EFEITO!$Z$652</f>
        <v>1093.9509757043052</v>
      </c>
      <c r="O652" s="91">
        <f>$L$652-EFEITO!$O$652*EFEITO!$AA$652</f>
        <v>504.08288419344899</v>
      </c>
      <c r="P652" s="20"/>
      <c r="Q652" s="20"/>
      <c r="R652" s="20"/>
      <c r="S652" s="20"/>
      <c r="T652" s="20"/>
      <c r="U652" s="20"/>
      <c r="V652" s="20"/>
      <c r="W652" s="20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1.25" customHeight="1" x14ac:dyDescent="0.2">
      <c r="A653" s="83" t="s">
        <v>21</v>
      </c>
      <c r="B653" s="83" t="s">
        <v>37</v>
      </c>
      <c r="C653" s="83" t="s">
        <v>23</v>
      </c>
      <c r="D653" s="83" t="s">
        <v>48</v>
      </c>
      <c r="E653" s="83" t="s">
        <v>49</v>
      </c>
      <c r="F653" s="83" t="s">
        <v>25</v>
      </c>
      <c r="G653" s="83" t="s">
        <v>25</v>
      </c>
      <c r="H653" s="83" t="s">
        <v>25</v>
      </c>
      <c r="I653" s="90">
        <v>44682</v>
      </c>
      <c r="J653" s="91">
        <f>EFEITO!$J$653*EFEITO!$Y$641</f>
        <v>0</v>
      </c>
      <c r="K653" s="91">
        <f ca="1">EFEITO!$L$653*EFEITO!$Z$641</f>
        <v>35980.205839771137</v>
      </c>
      <c r="L653" s="91">
        <f>EFEITO!$N$653*EFEITO!$AA$641</f>
        <v>16579.358980788929</v>
      </c>
      <c r="M653" s="91">
        <f>$J$653-EFEITO!$K$653*EFEITO!$Y$653</f>
        <v>0</v>
      </c>
      <c r="N653" s="91">
        <f ca="1">$K$653-EFEITO!$M$653*EFEITO!$Z$653</f>
        <v>1079.4061751931367</v>
      </c>
      <c r="O653" s="91">
        <f>$L$653-EFEITO!$O$653*EFEITO!$AA$653</f>
        <v>497.38076942366934</v>
      </c>
      <c r="P653" s="20"/>
      <c r="Q653" s="20"/>
      <c r="R653" s="20"/>
      <c r="S653" s="20"/>
      <c r="T653" s="20"/>
      <c r="U653" s="20"/>
      <c r="V653" s="20"/>
      <c r="W653" s="20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1.25" customHeight="1" x14ac:dyDescent="0.2">
      <c r="A654" s="83" t="s">
        <v>21</v>
      </c>
      <c r="B654" s="83" t="s">
        <v>37</v>
      </c>
      <c r="C654" s="83" t="s">
        <v>23</v>
      </c>
      <c r="D654" s="83" t="s">
        <v>48</v>
      </c>
      <c r="E654" s="83" t="s">
        <v>49</v>
      </c>
      <c r="F654" s="83" t="s">
        <v>25</v>
      </c>
      <c r="G654" s="83" t="s">
        <v>25</v>
      </c>
      <c r="H654" s="83" t="s">
        <v>25</v>
      </c>
      <c r="I654" s="90">
        <v>44713</v>
      </c>
      <c r="J654" s="91">
        <f>EFEITO!$J$654*EFEITO!$Y$641</f>
        <v>0</v>
      </c>
      <c r="K654" s="91">
        <f ca="1">EFEITO!$L$654*EFEITO!$Z$641</f>
        <v>34634.109306723389</v>
      </c>
      <c r="L654" s="91">
        <f>EFEITO!$N$654*EFEITO!$AA$641</f>
        <v>15959.089665388699</v>
      </c>
      <c r="M654" s="91">
        <f>$J$654-EFEITO!$K$654*EFEITO!$Y$654</f>
        <v>0</v>
      </c>
      <c r="N654" s="91">
        <f ca="1">$K$654-EFEITO!$M$654*EFEITO!$Z$654</f>
        <v>1039.023279201705</v>
      </c>
      <c r="O654" s="91">
        <f>$L$654-EFEITO!$O$654*EFEITO!$AA$654</f>
        <v>478.77268996166094</v>
      </c>
      <c r="P654" s="20"/>
      <c r="Q654" s="20"/>
      <c r="R654" s="20"/>
      <c r="S654" s="20"/>
      <c r="T654" s="20"/>
      <c r="U654" s="20"/>
      <c r="V654" s="20"/>
      <c r="W654" s="20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1.25" customHeight="1" x14ac:dyDescent="0.2">
      <c r="A655" s="83" t="s">
        <v>21</v>
      </c>
      <c r="B655" s="83" t="s">
        <v>45</v>
      </c>
      <c r="C655" s="83" t="s">
        <v>23</v>
      </c>
      <c r="D655" s="83" t="s">
        <v>46</v>
      </c>
      <c r="E655" s="83" t="s">
        <v>47</v>
      </c>
      <c r="F655" s="83" t="s">
        <v>25</v>
      </c>
      <c r="G655" s="83" t="s">
        <v>25</v>
      </c>
      <c r="H655" s="83" t="s">
        <v>25</v>
      </c>
      <c r="I655" s="90">
        <v>44378</v>
      </c>
      <c r="J655" s="91">
        <f>EFEITO!$J$655*EFEITO!$Y$655</f>
        <v>0</v>
      </c>
      <c r="K655" s="91">
        <f ca="1">EFEITO!$L$655*EFEITO!$Z$655</f>
        <v>89509.621152470383</v>
      </c>
      <c r="L655" s="91">
        <f>EFEITO!$N$655*EFEITO!$AA$655</f>
        <v>41245.237671232389</v>
      </c>
      <c r="M655" s="91">
        <f>$J$655-EFEITO!$K$655*EFEITO!$Y$655</f>
        <v>0</v>
      </c>
      <c r="N655" s="91">
        <f ca="1">$K$655-EFEITO!$M$655*EFEITO!$Z$655</f>
        <v>0</v>
      </c>
      <c r="O655" s="91">
        <f>$L$655-EFEITO!$O$655*EFEITO!$AA$655</f>
        <v>0</v>
      </c>
      <c r="P655" s="20"/>
      <c r="Q655" s="20"/>
      <c r="R655" s="20"/>
      <c r="S655" s="20"/>
      <c r="T655" s="20"/>
      <c r="U655" s="20"/>
      <c r="V655" s="20"/>
      <c r="W655" s="20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1.25" customHeight="1" x14ac:dyDescent="0.2">
      <c r="A656" s="83" t="s">
        <v>21</v>
      </c>
      <c r="B656" s="83" t="s">
        <v>45</v>
      </c>
      <c r="C656" s="83" t="s">
        <v>23</v>
      </c>
      <c r="D656" s="83" t="s">
        <v>46</v>
      </c>
      <c r="E656" s="83" t="s">
        <v>47</v>
      </c>
      <c r="F656" s="83" t="s">
        <v>25</v>
      </c>
      <c r="G656" s="83" t="s">
        <v>25</v>
      </c>
      <c r="H656" s="83" t="s">
        <v>25</v>
      </c>
      <c r="I656" s="90">
        <v>44409</v>
      </c>
      <c r="J656" s="91">
        <f>EFEITO!$J$656*EFEITO!$Y$656</f>
        <v>0</v>
      </c>
      <c r="K656" s="91">
        <f ca="1">EFEITO!$L$656*EFEITO!$Z$656</f>
        <v>90420.711738307567</v>
      </c>
      <c r="L656" s="91">
        <f>EFEITO!$N$656*EFEITO!$AA$656</f>
        <v>41665.060113435189</v>
      </c>
      <c r="M656" s="91">
        <f>$J$656-EFEITO!$K$656*EFEITO!$Y$656</f>
        <v>0</v>
      </c>
      <c r="N656" s="91">
        <f ca="1">$K$656-EFEITO!$M$656*EFEITO!$Z$656</f>
        <v>0</v>
      </c>
      <c r="O656" s="91">
        <f>$L$656-EFEITO!$O$656*EFEITO!$AA$656</f>
        <v>0</v>
      </c>
      <c r="P656" s="20"/>
      <c r="Q656" s="20"/>
      <c r="R656" s="20"/>
      <c r="S656" s="20"/>
      <c r="T656" s="20"/>
      <c r="U656" s="20"/>
      <c r="V656" s="20"/>
      <c r="W656" s="20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1.25" customHeight="1" x14ac:dyDescent="0.2">
      <c r="A657" s="83" t="s">
        <v>21</v>
      </c>
      <c r="B657" s="83" t="s">
        <v>45</v>
      </c>
      <c r="C657" s="83" t="s">
        <v>23</v>
      </c>
      <c r="D657" s="83" t="s">
        <v>46</v>
      </c>
      <c r="E657" s="83" t="s">
        <v>47</v>
      </c>
      <c r="F657" s="83" t="s">
        <v>25</v>
      </c>
      <c r="G657" s="83" t="s">
        <v>25</v>
      </c>
      <c r="H657" s="83" t="s">
        <v>25</v>
      </c>
      <c r="I657" s="90">
        <v>44440</v>
      </c>
      <c r="J657" s="91">
        <f>EFEITO!$J$657*EFEITO!$Y$657</f>
        <v>0</v>
      </c>
      <c r="K657" s="91">
        <f ca="1">EFEITO!$L$657*EFEITO!$Z$657</f>
        <v>87484.075927037498</v>
      </c>
      <c r="L657" s="91">
        <f>EFEITO!$N$657*EFEITO!$AA$657</f>
        <v>40311.884438796063</v>
      </c>
      <c r="M657" s="91">
        <f>$J$657-EFEITO!$K$657*EFEITO!$Y$657</f>
        <v>0</v>
      </c>
      <c r="N657" s="91">
        <f ca="1">$K$657-EFEITO!$M$657*EFEITO!$Z$657</f>
        <v>0</v>
      </c>
      <c r="O657" s="91">
        <f>$L$657-EFEITO!$O$657*EFEITO!$AA$657</f>
        <v>0</v>
      </c>
      <c r="P657" s="20"/>
      <c r="Q657" s="20"/>
      <c r="R657" s="20"/>
      <c r="S657" s="20"/>
      <c r="T657" s="20"/>
      <c r="U657" s="20"/>
      <c r="V657" s="20"/>
      <c r="W657" s="20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1.25" customHeight="1" x14ac:dyDescent="0.2">
      <c r="A658" s="83" t="s">
        <v>21</v>
      </c>
      <c r="B658" s="83" t="s">
        <v>45</v>
      </c>
      <c r="C658" s="83" t="s">
        <v>23</v>
      </c>
      <c r="D658" s="83" t="s">
        <v>46</v>
      </c>
      <c r="E658" s="83" t="s">
        <v>47</v>
      </c>
      <c r="F658" s="83" t="s">
        <v>25</v>
      </c>
      <c r="G658" s="83" t="s">
        <v>25</v>
      </c>
      <c r="H658" s="83" t="s">
        <v>25</v>
      </c>
      <c r="I658" s="90">
        <v>44470</v>
      </c>
      <c r="J658" s="91">
        <f>EFEITO!$J$658*EFEITO!$Y$658</f>
        <v>0</v>
      </c>
      <c r="K658" s="91">
        <f ca="1">EFEITO!$L$658*EFEITO!$Z$658</f>
        <v>89311.899285969368</v>
      </c>
      <c r="L658" s="91">
        <f>EFEITO!$N$658*EFEITO!$AA$658</f>
        <v>41154.129192929897</v>
      </c>
      <c r="M658" s="91">
        <f>$J$658-EFEITO!$K$658*EFEITO!$Y$658</f>
        <v>0</v>
      </c>
      <c r="N658" s="91">
        <f ca="1">$K$658-EFEITO!$M$658*EFEITO!$Z$658</f>
        <v>0</v>
      </c>
      <c r="O658" s="91">
        <f>$L$658-EFEITO!$O$658*EFEITO!$AA$658</f>
        <v>0</v>
      </c>
      <c r="P658" s="20"/>
      <c r="Q658" s="20"/>
      <c r="R658" s="20"/>
      <c r="S658" s="20"/>
      <c r="T658" s="20"/>
      <c r="U658" s="20"/>
      <c r="V658" s="20"/>
      <c r="W658" s="20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1.25" customHeight="1" x14ac:dyDescent="0.2">
      <c r="A659" s="83" t="s">
        <v>21</v>
      </c>
      <c r="B659" s="83" t="s">
        <v>45</v>
      </c>
      <c r="C659" s="83" t="s">
        <v>23</v>
      </c>
      <c r="D659" s="83" t="s">
        <v>46</v>
      </c>
      <c r="E659" s="83" t="s">
        <v>47</v>
      </c>
      <c r="F659" s="83" t="s">
        <v>25</v>
      </c>
      <c r="G659" s="83" t="s">
        <v>25</v>
      </c>
      <c r="H659" s="83" t="s">
        <v>25</v>
      </c>
      <c r="I659" s="90">
        <v>44501</v>
      </c>
      <c r="J659" s="91">
        <f>EFEITO!$J$659*EFEITO!$Y$659</f>
        <v>0</v>
      </c>
      <c r="K659" s="91">
        <f ca="1">EFEITO!$L$659*EFEITO!$Z$659</f>
        <v>86255.796292334533</v>
      </c>
      <c r="L659" s="91">
        <f>EFEITO!$N$659*EFEITO!$AA$659</f>
        <v>39745.904102740758</v>
      </c>
      <c r="M659" s="91">
        <f>$J$659-EFEITO!$K$659*EFEITO!$Y$659</f>
        <v>0</v>
      </c>
      <c r="N659" s="91">
        <f ca="1">$K$659-EFEITO!$M$659*EFEITO!$Z$659</f>
        <v>0</v>
      </c>
      <c r="O659" s="91">
        <f>$L$659-EFEITO!$O$659*EFEITO!$AA$659</f>
        <v>0</v>
      </c>
      <c r="P659" s="20"/>
      <c r="Q659" s="20"/>
      <c r="R659" s="20"/>
      <c r="S659" s="20"/>
      <c r="T659" s="20"/>
      <c r="U659" s="20"/>
      <c r="V659" s="20"/>
      <c r="W659" s="20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1.25" customHeight="1" x14ac:dyDescent="0.2">
      <c r="A660" s="83" t="s">
        <v>21</v>
      </c>
      <c r="B660" s="83" t="s">
        <v>45</v>
      </c>
      <c r="C660" s="83" t="s">
        <v>23</v>
      </c>
      <c r="D660" s="83" t="s">
        <v>46</v>
      </c>
      <c r="E660" s="83" t="s">
        <v>47</v>
      </c>
      <c r="F660" s="83" t="s">
        <v>25</v>
      </c>
      <c r="G660" s="83" t="s">
        <v>25</v>
      </c>
      <c r="H660" s="83" t="s">
        <v>25</v>
      </c>
      <c r="I660" s="90">
        <v>44531</v>
      </c>
      <c r="J660" s="91">
        <f>EFEITO!$J$660*EFEITO!$Y$660</f>
        <v>0</v>
      </c>
      <c r="K660" s="91">
        <f ca="1">EFEITO!$L$660*EFEITO!$Z$660</f>
        <v>88901.000866131639</v>
      </c>
      <c r="L660" s="91">
        <f>EFEITO!$N$660*EFEITO!$AA$660</f>
        <v>40964.790854025836</v>
      </c>
      <c r="M660" s="91">
        <f>$J$660-EFEITO!$K$660*EFEITO!$Y$660</f>
        <v>0</v>
      </c>
      <c r="N660" s="91">
        <f ca="1">$K$660-EFEITO!$M$660*EFEITO!$Z$660</f>
        <v>0</v>
      </c>
      <c r="O660" s="91">
        <f>$L$660-EFEITO!$O$660*EFEITO!$AA$660</f>
        <v>0</v>
      </c>
      <c r="P660" s="20"/>
      <c r="Q660" s="20"/>
      <c r="R660" s="20"/>
      <c r="S660" s="20"/>
      <c r="T660" s="20"/>
      <c r="U660" s="20"/>
      <c r="V660" s="20"/>
      <c r="W660" s="20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1.25" customHeight="1" x14ac:dyDescent="0.2">
      <c r="A661" s="83" t="s">
        <v>21</v>
      </c>
      <c r="B661" s="83" t="s">
        <v>45</v>
      </c>
      <c r="C661" s="83" t="s">
        <v>23</v>
      </c>
      <c r="D661" s="83" t="s">
        <v>46</v>
      </c>
      <c r="E661" s="83" t="s">
        <v>47</v>
      </c>
      <c r="F661" s="83" t="s">
        <v>25</v>
      </c>
      <c r="G661" s="83" t="s">
        <v>25</v>
      </c>
      <c r="H661" s="83" t="s">
        <v>25</v>
      </c>
      <c r="I661" s="90">
        <v>44562</v>
      </c>
      <c r="J661" s="91">
        <f>EFEITO!$J$661*EFEITO!$Y$661</f>
        <v>0</v>
      </c>
      <c r="K661" s="91">
        <f ca="1">EFEITO!$L$661*EFEITO!$Z$661</f>
        <v>88909.586803262588</v>
      </c>
      <c r="L661" s="91">
        <f>EFEITO!$N$661*EFEITO!$AA$661</f>
        <v>40968.747177525329</v>
      </c>
      <c r="M661" s="91">
        <f>$J$661-EFEITO!$K$661*EFEITO!$Y$661</f>
        <v>0</v>
      </c>
      <c r="N661" s="91">
        <f ca="1">$K$661-EFEITO!$M$661*EFEITO!$Z$661</f>
        <v>0</v>
      </c>
      <c r="O661" s="91">
        <f>$L$661-EFEITO!$O$661*EFEITO!$AA$661</f>
        <v>0</v>
      </c>
      <c r="P661" s="20"/>
      <c r="Q661" s="20"/>
      <c r="R661" s="20"/>
      <c r="S661" s="20"/>
      <c r="T661" s="20"/>
      <c r="U661" s="20"/>
      <c r="V661" s="20"/>
      <c r="W661" s="20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1.25" customHeight="1" x14ac:dyDescent="0.2">
      <c r="A662" s="83" t="s">
        <v>21</v>
      </c>
      <c r="B662" s="83" t="s">
        <v>45</v>
      </c>
      <c r="C662" s="83" t="s">
        <v>23</v>
      </c>
      <c r="D662" s="83" t="s">
        <v>46</v>
      </c>
      <c r="E662" s="83" t="s">
        <v>47</v>
      </c>
      <c r="F662" s="83" t="s">
        <v>25</v>
      </c>
      <c r="G662" s="83" t="s">
        <v>25</v>
      </c>
      <c r="H662" s="83" t="s">
        <v>25</v>
      </c>
      <c r="I662" s="90">
        <v>44593</v>
      </c>
      <c r="J662" s="91">
        <f>EFEITO!$J$662*EFEITO!$Y$662</f>
        <v>0</v>
      </c>
      <c r="K662" s="91">
        <f ca="1">EFEITO!$L$662*EFEITO!$Z$662</f>
        <v>80852.052774611948</v>
      </c>
      <c r="L662" s="91">
        <f>EFEITO!$N$662*EFEITO!$AA$662</f>
        <v>37255.907129977364</v>
      </c>
      <c r="M662" s="91">
        <f>$J$662-EFEITO!$K$662*EFEITO!$Y$662</f>
        <v>0</v>
      </c>
      <c r="N662" s="91">
        <f ca="1">$K$662-EFEITO!$M$662*EFEITO!$Z$662</f>
        <v>0</v>
      </c>
      <c r="O662" s="91">
        <f>$L$662-EFEITO!$O$662*EFEITO!$AA$662</f>
        <v>0</v>
      </c>
      <c r="P662" s="20"/>
      <c r="Q662" s="20"/>
      <c r="R662" s="20"/>
      <c r="S662" s="20"/>
      <c r="T662" s="20"/>
      <c r="U662" s="20"/>
      <c r="V662" s="20"/>
      <c r="W662" s="20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1.25" customHeight="1" x14ac:dyDescent="0.2">
      <c r="A663" s="83" t="s">
        <v>21</v>
      </c>
      <c r="B663" s="83" t="s">
        <v>45</v>
      </c>
      <c r="C663" s="83" t="s">
        <v>23</v>
      </c>
      <c r="D663" s="83" t="s">
        <v>46</v>
      </c>
      <c r="E663" s="83" t="s">
        <v>47</v>
      </c>
      <c r="F663" s="83" t="s">
        <v>25</v>
      </c>
      <c r="G663" s="83" t="s">
        <v>25</v>
      </c>
      <c r="H663" s="83" t="s">
        <v>25</v>
      </c>
      <c r="I663" s="90">
        <v>44621</v>
      </c>
      <c r="J663" s="91">
        <f>EFEITO!$J$663*EFEITO!$Y$663</f>
        <v>0</v>
      </c>
      <c r="K663" s="91">
        <f ca="1">EFEITO!$L$663*EFEITO!$Z$663</f>
        <v>93067.878812020324</v>
      </c>
      <c r="L663" s="91">
        <f>EFEITO!$N$663*EFEITO!$AA$663</f>
        <v>42884.851167234432</v>
      </c>
      <c r="M663" s="91">
        <f>$J$663-EFEITO!$K$663*EFEITO!$Y$663</f>
        <v>0</v>
      </c>
      <c r="N663" s="91">
        <f ca="1">$K$663-EFEITO!$M$663*EFEITO!$Z$663</f>
        <v>0</v>
      </c>
      <c r="O663" s="91">
        <f>$L$663-EFEITO!$O$663*EFEITO!$AA$663</f>
        <v>0</v>
      </c>
      <c r="P663" s="20"/>
      <c r="Q663" s="20"/>
      <c r="R663" s="20"/>
      <c r="S663" s="20"/>
      <c r="T663" s="20"/>
      <c r="U663" s="20"/>
      <c r="V663" s="20"/>
      <c r="W663" s="20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1.25" customHeight="1" x14ac:dyDescent="0.2">
      <c r="A664" s="83" t="s">
        <v>27</v>
      </c>
      <c r="B664" s="83" t="s">
        <v>45</v>
      </c>
      <c r="C664" s="83" t="s">
        <v>23</v>
      </c>
      <c r="D664" s="83" t="s">
        <v>46</v>
      </c>
      <c r="E664" s="83" t="s">
        <v>47</v>
      </c>
      <c r="F664" s="83" t="s">
        <v>25</v>
      </c>
      <c r="G664" s="83" t="s">
        <v>25</v>
      </c>
      <c r="H664" s="83" t="s">
        <v>25</v>
      </c>
      <c r="I664" s="90">
        <v>44621</v>
      </c>
      <c r="J664" s="91">
        <f>EFEITO!$J$664*EFEITO!$Y$664</f>
        <v>0</v>
      </c>
      <c r="K664" s="91">
        <f ca="1">EFEITO!$L$664*EFEITO!$Z$664</f>
        <v>983.21245773706778</v>
      </c>
      <c r="L664" s="91">
        <f>EFEITO!$N$664*EFEITO!$AA$664</f>
        <v>453.05555959849653</v>
      </c>
      <c r="M664" s="91">
        <f>$J$664-EFEITO!$K$664*EFEITO!$Y$664</f>
        <v>0</v>
      </c>
      <c r="N664" s="91">
        <f ca="1">$K$664-EFEITO!$M$664*EFEITO!$Z$664</f>
        <v>0</v>
      </c>
      <c r="O664" s="91">
        <f>$L$664-EFEITO!$O$664*EFEITO!$AA$664</f>
        <v>0</v>
      </c>
      <c r="P664" s="20"/>
      <c r="Q664" s="20"/>
      <c r="R664" s="20"/>
      <c r="S664" s="20"/>
      <c r="T664" s="20"/>
      <c r="U664" s="20"/>
      <c r="V664" s="20"/>
      <c r="W664" s="20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1.25" customHeight="1" x14ac:dyDescent="0.2">
      <c r="A665" s="83" t="s">
        <v>21</v>
      </c>
      <c r="B665" s="83" t="s">
        <v>45</v>
      </c>
      <c r="C665" s="83" t="s">
        <v>23</v>
      </c>
      <c r="D665" s="83" t="s">
        <v>46</v>
      </c>
      <c r="E665" s="83" t="s">
        <v>47</v>
      </c>
      <c r="F665" s="83" t="s">
        <v>25</v>
      </c>
      <c r="G665" s="83" t="s">
        <v>25</v>
      </c>
      <c r="H665" s="83" t="s">
        <v>25</v>
      </c>
      <c r="I665" s="90">
        <v>44652</v>
      </c>
      <c r="J665" s="91">
        <f>EFEITO!$J$665*EFEITO!$Y$665</f>
        <v>0</v>
      </c>
      <c r="K665" s="91">
        <f ca="1">EFEITO!$L$665*EFEITO!$Z$665</f>
        <v>90360.119553412093</v>
      </c>
      <c r="L665" s="91">
        <f>EFEITO!$N$665*EFEITO!$AA$665</f>
        <v>41637.139773310228</v>
      </c>
      <c r="M665" s="91">
        <f>$J$665-EFEITO!$K$665*EFEITO!$Y$665</f>
        <v>0</v>
      </c>
      <c r="N665" s="91">
        <f ca="1">$K$665-EFEITO!$M$665*EFEITO!$Z$665</f>
        <v>0</v>
      </c>
      <c r="O665" s="91">
        <f>$L$665-EFEITO!$O$665*EFEITO!$AA$665</f>
        <v>0</v>
      </c>
      <c r="P665" s="20"/>
      <c r="Q665" s="20"/>
      <c r="R665" s="20"/>
      <c r="S665" s="20"/>
      <c r="T665" s="20"/>
      <c r="U665" s="20"/>
      <c r="V665" s="20"/>
      <c r="W665" s="20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1.25" customHeight="1" x14ac:dyDescent="0.2">
      <c r="A666" s="83" t="s">
        <v>21</v>
      </c>
      <c r="B666" s="83" t="s">
        <v>45</v>
      </c>
      <c r="C666" s="83" t="s">
        <v>23</v>
      </c>
      <c r="D666" s="83" t="s">
        <v>46</v>
      </c>
      <c r="E666" s="83" t="s">
        <v>47</v>
      </c>
      <c r="F666" s="83" t="s">
        <v>25</v>
      </c>
      <c r="G666" s="83" t="s">
        <v>25</v>
      </c>
      <c r="H666" s="83" t="s">
        <v>25</v>
      </c>
      <c r="I666" s="90">
        <v>44682</v>
      </c>
      <c r="J666" s="91">
        <f>EFEITO!$J$666*EFEITO!$Y$666</f>
        <v>0</v>
      </c>
      <c r="K666" s="91">
        <f ca="1">EFEITO!$L$666*EFEITO!$Z$666</f>
        <v>93753.527220048039</v>
      </c>
      <c r="L666" s="91">
        <f>EFEITO!$N$666*EFEITO!$AA$666</f>
        <v>43200.791858122109</v>
      </c>
      <c r="M666" s="91">
        <f>$J$666-EFEITO!$K$666*EFEITO!$Y$666</f>
        <v>0</v>
      </c>
      <c r="N666" s="91">
        <f ca="1">$K$666-EFEITO!$M$666*EFEITO!$Z$666</f>
        <v>0</v>
      </c>
      <c r="O666" s="91">
        <f>$L$666-EFEITO!$O$666*EFEITO!$AA$666</f>
        <v>0</v>
      </c>
      <c r="P666" s="20"/>
      <c r="Q666" s="20"/>
      <c r="R666" s="20"/>
      <c r="S666" s="20"/>
      <c r="T666" s="20"/>
      <c r="U666" s="20"/>
      <c r="V666" s="20"/>
      <c r="W666" s="20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1.25" customHeight="1" x14ac:dyDescent="0.2">
      <c r="A667" s="83" t="s">
        <v>21</v>
      </c>
      <c r="B667" s="83" t="s">
        <v>45</v>
      </c>
      <c r="C667" s="83" t="s">
        <v>23</v>
      </c>
      <c r="D667" s="83" t="s">
        <v>46</v>
      </c>
      <c r="E667" s="83" t="s">
        <v>47</v>
      </c>
      <c r="F667" s="83" t="s">
        <v>25</v>
      </c>
      <c r="G667" s="83" t="s">
        <v>25</v>
      </c>
      <c r="H667" s="83" t="s">
        <v>25</v>
      </c>
      <c r="I667" s="90">
        <v>44713</v>
      </c>
      <c r="J667" s="91">
        <f>EFEITO!$J$667*EFEITO!$Y$667</f>
        <v>0</v>
      </c>
      <c r="K667" s="91">
        <f ca="1">EFEITO!$L$667*EFEITO!$Z$667</f>
        <v>91084.77264726322</v>
      </c>
      <c r="L667" s="91">
        <f>EFEITO!$N$667*EFEITO!$AA$667</f>
        <v>41971.053476667003</v>
      </c>
      <c r="M667" s="91">
        <f>$J$667-EFEITO!$K$667*EFEITO!$Y$667</f>
        <v>0</v>
      </c>
      <c r="N667" s="91">
        <f ca="1">$K$667-EFEITO!$M$667*EFEITO!$Z$667</f>
        <v>0</v>
      </c>
      <c r="O667" s="91">
        <f>$L$667-EFEITO!$O$667*EFEITO!$AA$667</f>
        <v>0</v>
      </c>
      <c r="P667" s="20"/>
      <c r="Q667" s="20"/>
      <c r="R667" s="20"/>
      <c r="S667" s="20"/>
      <c r="T667" s="20"/>
      <c r="U667" s="20"/>
      <c r="V667" s="20"/>
      <c r="W667" s="20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50732-25F1-48ED-831C-BD79CA7268D6}">
  <sheetPr codeName="Planilha18"/>
  <dimension ref="A1:BD109"/>
  <sheetViews>
    <sheetView showGridLines="0" topLeftCell="C38" workbookViewId="0">
      <selection activeCell="L56" sqref="L56:BD109"/>
    </sheetView>
  </sheetViews>
  <sheetFormatPr defaultColWidth="9.109375" defaultRowHeight="11.25" customHeight="1" x14ac:dyDescent="0.3"/>
  <cols>
    <col min="1" max="1" width="9.33203125" style="9" bestFit="1" customWidth="1"/>
    <col min="2" max="2" width="23.44140625" style="9" bestFit="1" customWidth="1"/>
    <col min="3" max="3" width="33" style="9" bestFit="1" customWidth="1"/>
    <col min="4" max="4" width="56.109375" style="9" bestFit="1" customWidth="1"/>
    <col min="5" max="5" width="65.6640625" style="9" bestFit="1" customWidth="1"/>
    <col min="6" max="6" width="75.44140625" style="9" bestFit="1" customWidth="1"/>
    <col min="7" max="7" width="76.33203125" style="9" bestFit="1" customWidth="1"/>
    <col min="8" max="8" width="7.44140625" style="9" bestFit="1" customWidth="1"/>
    <col min="9" max="9" width="8.6640625" style="9" bestFit="1" customWidth="1"/>
    <col min="10" max="10" width="9.109375" style="9"/>
    <col min="11" max="11" width="14.33203125" style="9" bestFit="1" customWidth="1"/>
    <col min="12" max="12" width="13.44140625" style="9" bestFit="1" customWidth="1"/>
    <col min="13" max="14" width="7.88671875" style="9" bestFit="1" customWidth="1"/>
    <col min="15" max="15" width="4.109375" style="9" bestFit="1" customWidth="1"/>
    <col min="16" max="16" width="4.44140625" style="9" bestFit="1" customWidth="1"/>
    <col min="17" max="17" width="10" style="9" bestFit="1" customWidth="1"/>
    <col min="18" max="19" width="8.6640625" style="9" bestFit="1" customWidth="1"/>
    <col min="20" max="20" width="7.44140625" style="9" bestFit="1" customWidth="1"/>
    <col min="21" max="21" width="7.33203125" style="9" bestFit="1" customWidth="1"/>
    <col min="22" max="23" width="9.88671875" style="9" bestFit="1" customWidth="1"/>
    <col min="24" max="24" width="10" style="9" bestFit="1" customWidth="1"/>
    <col min="25" max="25" width="7.6640625" style="9" bestFit="1" customWidth="1"/>
    <col min="26" max="26" width="9.88671875" style="9" bestFit="1" customWidth="1"/>
    <col min="27" max="27" width="11.6640625" style="9" bestFit="1" customWidth="1"/>
    <col min="28" max="28" width="8" style="9" bestFit="1" customWidth="1"/>
    <col min="29" max="29" width="7.33203125" style="9" bestFit="1" customWidth="1"/>
    <col min="30" max="30" width="15.33203125" style="9" bestFit="1" customWidth="1"/>
    <col min="31" max="31" width="18" style="9" bestFit="1" customWidth="1"/>
    <col min="32" max="32" width="19.109375" style="9" bestFit="1" customWidth="1"/>
    <col min="33" max="33" width="4" style="9" bestFit="1" customWidth="1"/>
    <col min="34" max="34" width="9.109375" style="9"/>
    <col min="35" max="35" width="13.44140625" style="9" bestFit="1" customWidth="1"/>
    <col min="36" max="37" width="7.88671875" style="9" bestFit="1" customWidth="1"/>
    <col min="38" max="38" width="4.109375" style="9" bestFit="1" customWidth="1"/>
    <col min="39" max="39" width="4.44140625" style="9" bestFit="1" customWidth="1"/>
    <col min="40" max="40" width="10" style="9" bestFit="1" customWidth="1"/>
    <col min="41" max="42" width="8.6640625" style="9" bestFit="1" customWidth="1"/>
    <col min="43" max="43" width="7.44140625" style="9" bestFit="1" customWidth="1"/>
    <col min="44" max="44" width="7.33203125" style="9" bestFit="1" customWidth="1"/>
    <col min="45" max="46" width="9.88671875" style="9" bestFit="1" customWidth="1"/>
    <col min="47" max="47" width="10" style="9" bestFit="1" customWidth="1"/>
    <col min="48" max="48" width="7.6640625" style="9" bestFit="1" customWidth="1"/>
    <col min="49" max="49" width="9.88671875" style="9" bestFit="1" customWidth="1"/>
    <col min="50" max="50" width="11.6640625" style="9" bestFit="1" customWidth="1"/>
    <col min="51" max="51" width="8" style="9" bestFit="1" customWidth="1"/>
    <col min="52" max="52" width="7.33203125" style="9" bestFit="1" customWidth="1"/>
    <col min="53" max="53" width="15.33203125" style="9" bestFit="1" customWidth="1"/>
    <col min="54" max="54" width="18" style="9" bestFit="1" customWidth="1"/>
    <col min="55" max="55" width="19.109375" style="9" bestFit="1" customWidth="1"/>
    <col min="56" max="56" width="4" style="9" bestFit="1" customWidth="1"/>
    <col min="57" max="16384" width="9.109375" style="9"/>
  </cols>
  <sheetData>
    <row r="1" spans="1:56" ht="11.25" customHeight="1" x14ac:dyDescent="0.3">
      <c r="A1" s="134" t="s">
        <v>66</v>
      </c>
      <c r="B1" s="134" t="s">
        <v>67</v>
      </c>
      <c r="C1" s="134" t="s">
        <v>68</v>
      </c>
      <c r="D1" s="134" t="s">
        <v>69</v>
      </c>
      <c r="E1" s="134" t="s">
        <v>70</v>
      </c>
      <c r="F1" s="134" t="s">
        <v>15</v>
      </c>
      <c r="G1" s="134" t="s">
        <v>72</v>
      </c>
      <c r="H1" s="134" t="s">
        <v>73</v>
      </c>
      <c r="I1" s="134" t="s">
        <v>700</v>
      </c>
      <c r="J1" s="125"/>
      <c r="L1" s="133" t="s">
        <v>883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I1" s="133" t="s">
        <v>884</v>
      </c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</row>
    <row r="2" spans="1:56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5"/>
      <c r="L2" s="133" t="s">
        <v>610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I2" s="133" t="s">
        <v>610</v>
      </c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</row>
    <row r="3" spans="1:56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5"/>
      <c r="L3" s="133" t="s">
        <v>611</v>
      </c>
      <c r="M3" s="133"/>
      <c r="N3" s="133"/>
      <c r="O3" s="133"/>
      <c r="P3" s="133"/>
      <c r="Q3" s="133"/>
      <c r="R3" s="133"/>
      <c r="S3" s="133"/>
      <c r="T3" s="133" t="s">
        <v>620</v>
      </c>
      <c r="U3" s="133"/>
      <c r="V3" s="133"/>
      <c r="W3" s="133"/>
      <c r="X3" s="133"/>
      <c r="Y3" s="133"/>
      <c r="Z3" s="133"/>
      <c r="AA3" s="57" t="s">
        <v>628</v>
      </c>
      <c r="AB3" s="133" t="s">
        <v>630</v>
      </c>
      <c r="AC3" s="133"/>
      <c r="AD3" s="133" t="s">
        <v>633</v>
      </c>
      <c r="AE3" s="133"/>
      <c r="AF3" s="133"/>
      <c r="AG3" s="133"/>
      <c r="AI3" s="133" t="s">
        <v>611</v>
      </c>
      <c r="AJ3" s="133"/>
      <c r="AK3" s="133"/>
      <c r="AL3" s="133"/>
      <c r="AM3" s="133"/>
      <c r="AN3" s="133"/>
      <c r="AO3" s="133"/>
      <c r="AP3" s="133"/>
      <c r="AQ3" s="133" t="s">
        <v>620</v>
      </c>
      <c r="AR3" s="133"/>
      <c r="AS3" s="133"/>
      <c r="AT3" s="133"/>
      <c r="AU3" s="133"/>
      <c r="AV3" s="133"/>
      <c r="AW3" s="133"/>
      <c r="AX3" s="57" t="s">
        <v>628</v>
      </c>
      <c r="AY3" s="133" t="s">
        <v>630</v>
      </c>
      <c r="AZ3" s="133"/>
      <c r="BA3" s="133" t="s">
        <v>633</v>
      </c>
      <c r="BB3" s="133"/>
      <c r="BC3" s="133"/>
      <c r="BD3" s="133"/>
    </row>
    <row r="4" spans="1:56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5"/>
      <c r="L4" s="57" t="s">
        <v>696</v>
      </c>
      <c r="M4" s="57" t="s">
        <v>612</v>
      </c>
      <c r="N4" s="57" t="s">
        <v>613</v>
      </c>
      <c r="O4" s="57" t="s">
        <v>614</v>
      </c>
      <c r="P4" s="57" t="s">
        <v>615</v>
      </c>
      <c r="Q4" s="57" t="s">
        <v>616</v>
      </c>
      <c r="R4" s="57" t="s">
        <v>617</v>
      </c>
      <c r="S4" s="57" t="s">
        <v>618</v>
      </c>
      <c r="T4" s="57" t="s">
        <v>621</v>
      </c>
      <c r="U4" s="57" t="s">
        <v>622</v>
      </c>
      <c r="V4" s="57" t="s">
        <v>623</v>
      </c>
      <c r="W4" s="57" t="s">
        <v>624</v>
      </c>
      <c r="X4" s="57" t="s">
        <v>625</v>
      </c>
      <c r="Y4" s="57" t="s">
        <v>626</v>
      </c>
      <c r="Z4" s="57" t="s">
        <v>627</v>
      </c>
      <c r="AA4" s="57" t="s">
        <v>629</v>
      </c>
      <c r="AB4" s="57" t="s">
        <v>631</v>
      </c>
      <c r="AC4" s="57" t="s">
        <v>632</v>
      </c>
      <c r="AD4" s="57" t="s">
        <v>634</v>
      </c>
      <c r="AE4" s="57" t="s">
        <v>635</v>
      </c>
      <c r="AF4" s="57" t="s">
        <v>636</v>
      </c>
      <c r="AG4" s="57" t="s">
        <v>637</v>
      </c>
      <c r="AI4" s="57" t="s">
        <v>696</v>
      </c>
      <c r="AJ4" s="57" t="s">
        <v>612</v>
      </c>
      <c r="AK4" s="57" t="s">
        <v>613</v>
      </c>
      <c r="AL4" s="57" t="s">
        <v>614</v>
      </c>
      <c r="AM4" s="57" t="s">
        <v>615</v>
      </c>
      <c r="AN4" s="57" t="s">
        <v>616</v>
      </c>
      <c r="AO4" s="57" t="s">
        <v>617</v>
      </c>
      <c r="AP4" s="57" t="s">
        <v>618</v>
      </c>
      <c r="AQ4" s="57" t="s">
        <v>621</v>
      </c>
      <c r="AR4" s="57" t="s">
        <v>622</v>
      </c>
      <c r="AS4" s="57" t="s">
        <v>623</v>
      </c>
      <c r="AT4" s="57" t="s">
        <v>624</v>
      </c>
      <c r="AU4" s="57" t="s">
        <v>625</v>
      </c>
      <c r="AV4" s="57" t="s">
        <v>626</v>
      </c>
      <c r="AW4" s="57" t="s">
        <v>627</v>
      </c>
      <c r="AX4" s="57" t="s">
        <v>629</v>
      </c>
      <c r="AY4" s="57" t="s">
        <v>631</v>
      </c>
      <c r="AZ4" s="57" t="s">
        <v>632</v>
      </c>
      <c r="BA4" s="57" t="s">
        <v>634</v>
      </c>
      <c r="BB4" s="57" t="s">
        <v>635</v>
      </c>
      <c r="BC4" s="57" t="s">
        <v>636</v>
      </c>
      <c r="BD4" s="57" t="s">
        <v>637</v>
      </c>
    </row>
    <row r="5" spans="1:56" ht="11.25" customHeight="1" x14ac:dyDescent="0.3">
      <c r="A5" s="132" t="s">
        <v>39</v>
      </c>
      <c r="B5" s="132" t="s">
        <v>83</v>
      </c>
      <c r="C5" s="132" t="s">
        <v>25</v>
      </c>
      <c r="D5" s="132" t="s">
        <v>25</v>
      </c>
      <c r="E5" s="132" t="s">
        <v>25</v>
      </c>
      <c r="F5" s="132" t="s">
        <v>25</v>
      </c>
      <c r="G5" s="66" t="s">
        <v>85</v>
      </c>
      <c r="H5" s="66" t="s">
        <v>84</v>
      </c>
      <c r="I5" s="66">
        <f>'MERCADO TUSD'!$U$2</f>
        <v>0</v>
      </c>
      <c r="J5" s="15"/>
      <c r="L5" s="61">
        <f>('TUSD BE'!$L$5+'TUSD BF'!$L$5+'TUSD CVA'!$L$5)*1</f>
        <v>0</v>
      </c>
      <c r="M5" s="61">
        <f>('TUSD BE'!$M$5+'TUSD BF'!$M$5+'TUSD CVA'!$M$5)*1</f>
        <v>0</v>
      </c>
      <c r="N5" s="61">
        <f ca="1">('TUSD BE'!$N$5+'TUSD BF'!$N$5+'TUSD CVA'!$N$5)*1</f>
        <v>0</v>
      </c>
      <c r="O5" s="61">
        <f>('TUSD BE'!$O$5+'TUSD BF'!$O$5+'TUSD CVA'!$O$5)*1</f>
        <v>0</v>
      </c>
      <c r="P5" s="61">
        <f>('TUSD BE'!$P$5+'TUSD BF'!$P$5+'TUSD CVA'!$P$5)*1</f>
        <v>0</v>
      </c>
      <c r="Q5" s="61">
        <f>('TUSD BE'!$Q$5+'TUSD BF'!$Q$5+'TUSD CVA'!$Q$5)*1</f>
        <v>0</v>
      </c>
      <c r="R5" s="61">
        <f>('TUSD BE'!$R$5+'TUSD BF'!$R$5+'TUSD CVA'!$R$5)*1</f>
        <v>0</v>
      </c>
      <c r="S5" s="61">
        <f>('TUSD BE'!$S$5+'TUSD BF'!$S$5+'TUSD CVA'!$S$5)*1</f>
        <v>0</v>
      </c>
      <c r="T5" s="61">
        <f>('TUSD BE'!$U$5+'TUSD BF'!$U$5+'TUSD CVA'!$U$5)*1</f>
        <v>0</v>
      </c>
      <c r="U5" s="61">
        <f>('TUSD BE'!$V$5+'TUSD BF'!$V$5+'TUSD CVA'!$V$5)*1</f>
        <v>0</v>
      </c>
      <c r="V5" s="61">
        <f>('TUSD BE'!$W$5+'TUSD BF'!$W$5+'TUSD CVA'!$W$5)*1</f>
        <v>0</v>
      </c>
      <c r="W5" s="61">
        <f>('TUSD BE'!$X$5+'TUSD BF'!$X$5+'TUSD CVA'!$X$5)*1</f>
        <v>0</v>
      </c>
      <c r="X5" s="61">
        <f>('TUSD BE'!$Y$5+'TUSD BF'!$Y$5+'TUSD CVA'!$Y$5)*1</f>
        <v>33.200770051230293</v>
      </c>
      <c r="Y5" s="61">
        <f>('TUSD BE'!$Z$5+'TUSD BF'!$Z$5+'TUSD CVA'!$Z$5)*1</f>
        <v>0</v>
      </c>
      <c r="Z5" s="61">
        <f>('TUSD BE'!$AA$5+'TUSD BF'!$AA$5+'TUSD CVA'!$AA$5)*1</f>
        <v>0</v>
      </c>
      <c r="AA5" s="61">
        <f>('TUSD BE'!$AC$5+'TUSD BF'!$AC$5+'TUSD CVA'!$AC$5)*1</f>
        <v>51.048694156153495</v>
      </c>
      <c r="AB5" s="61">
        <f ca="1">('TUSD BE'!$AE$5+'TUSD BF'!$AE$5+'TUSD CVA'!$AE$5)*1</f>
        <v>-10.634409965924327</v>
      </c>
      <c r="AC5" s="61">
        <f ca="1">('TUSD BE'!$AF$5+'TUSD BF'!$AF$5+'TUSD CVA'!$AF$5)*1</f>
        <v>0</v>
      </c>
      <c r="AD5" s="61">
        <f>('TUSD BE'!$AH$5+'TUSD BF'!$AH$5+'TUSD CVA'!$AH$5)*1</f>
        <v>0</v>
      </c>
      <c r="AE5" s="61">
        <f>('TUSD BE'!$AI$5+'TUSD BF'!$AI$5+'TUSD CVA'!$AI$5)*1</f>
        <v>0</v>
      </c>
      <c r="AF5" s="61">
        <f ca="1">('TUSD BE'!$AJ$5+'TUSD BF'!$AJ$5+'TUSD CVA'!$AJ$5)*1</f>
        <v>0</v>
      </c>
      <c r="AG5" s="61">
        <f ca="1">('TUSD BE'!$AK$5+'TUSD BF'!$AK$5+'TUSD CVA'!$AK$5)*1</f>
        <v>0</v>
      </c>
      <c r="AI5" s="61">
        <v>0</v>
      </c>
      <c r="AJ5" s="61">
        <v>0</v>
      </c>
      <c r="AK5" s="61">
        <v>0</v>
      </c>
      <c r="AL5" s="61">
        <v>0</v>
      </c>
      <c r="AM5" s="61">
        <v>0</v>
      </c>
      <c r="AN5" s="61">
        <v>0</v>
      </c>
      <c r="AO5" s="61">
        <v>0</v>
      </c>
      <c r="AP5" s="61">
        <v>0</v>
      </c>
      <c r="AQ5" s="61">
        <v>0</v>
      </c>
      <c r="AR5" s="61">
        <v>0</v>
      </c>
      <c r="AS5" s="61">
        <v>0</v>
      </c>
      <c r="AT5" s="61">
        <v>0</v>
      </c>
      <c r="AU5" s="61">
        <v>23.226903282033099</v>
      </c>
      <c r="AV5" s="61">
        <v>0</v>
      </c>
      <c r="AW5" s="61">
        <v>0</v>
      </c>
      <c r="AX5" s="61">
        <v>51.775407242546699</v>
      </c>
      <c r="AY5" s="61">
        <v>-6.4525262798548404</v>
      </c>
      <c r="AZ5" s="61">
        <v>0</v>
      </c>
      <c r="BA5" s="61">
        <v>0</v>
      </c>
      <c r="BB5" s="61">
        <v>0</v>
      </c>
      <c r="BC5" s="61">
        <v>0</v>
      </c>
      <c r="BD5" s="61">
        <v>0</v>
      </c>
    </row>
    <row r="6" spans="1:56" ht="11.25" customHeight="1" x14ac:dyDescent="0.3">
      <c r="A6" s="132"/>
      <c r="B6" s="132"/>
      <c r="C6" s="132"/>
      <c r="D6" s="132"/>
      <c r="E6" s="132"/>
      <c r="F6" s="132"/>
      <c r="G6" s="66" t="s">
        <v>86</v>
      </c>
      <c r="H6" s="66" t="s">
        <v>84</v>
      </c>
      <c r="I6" s="66">
        <f>'MERCADO TUSD'!$U$3</f>
        <v>0</v>
      </c>
      <c r="J6" s="15"/>
      <c r="L6" s="61">
        <f>('TUSD BE'!$L$6+'TUSD BF'!$L$6+'TUSD CVA'!$L$6)*1</f>
        <v>0</v>
      </c>
      <c r="M6" s="61">
        <f>('TUSD BE'!$M$6+'TUSD BF'!$M$6+'TUSD CVA'!$M$6)*1</f>
        <v>0</v>
      </c>
      <c r="N6" s="61">
        <f ca="1">('TUSD BE'!$N$6+'TUSD BF'!$N$6+'TUSD CVA'!$N$6)*1</f>
        <v>0</v>
      </c>
      <c r="O6" s="61">
        <f>('TUSD BE'!$O$6+'TUSD BF'!$O$6+'TUSD CVA'!$O$6)*1</f>
        <v>0</v>
      </c>
      <c r="P6" s="61">
        <f>('TUSD BE'!$P$6+'TUSD BF'!$P$6+'TUSD CVA'!$P$6)*1</f>
        <v>0</v>
      </c>
      <c r="Q6" s="61">
        <f>('TUSD BE'!$Q$6+'TUSD BF'!$Q$6+'TUSD CVA'!$Q$6)*1</f>
        <v>0</v>
      </c>
      <c r="R6" s="61">
        <f>('TUSD BE'!$R$6+'TUSD BF'!$R$6+'TUSD CVA'!$R$6)*1</f>
        <v>0</v>
      </c>
      <c r="S6" s="61">
        <f>('TUSD BE'!$S$6+'TUSD BF'!$S$6+'TUSD CVA'!$S$6)*1</f>
        <v>0</v>
      </c>
      <c r="T6" s="61">
        <f>('TUSD BE'!$U$6+'TUSD BF'!$U$6+'TUSD CVA'!$U$6)*1</f>
        <v>0</v>
      </c>
      <c r="U6" s="61">
        <f>('TUSD BE'!$V$6+'TUSD BF'!$V$6+'TUSD CVA'!$V$6)*1</f>
        <v>0</v>
      </c>
      <c r="V6" s="61">
        <f>('TUSD BE'!$W$6+'TUSD BF'!$W$6+'TUSD CVA'!$W$6)*1</f>
        <v>0</v>
      </c>
      <c r="W6" s="61">
        <f>('TUSD BE'!$X$6+'TUSD BF'!$X$6+'TUSD CVA'!$X$6)*1</f>
        <v>0</v>
      </c>
      <c r="X6" s="61">
        <f>('TUSD BE'!$Y$6+'TUSD BF'!$Y$6+'TUSD CVA'!$Y$6)*1</f>
        <v>19.311294162947057</v>
      </c>
      <c r="Y6" s="61">
        <f>('TUSD BE'!$Z$6+'TUSD BF'!$Z$6+'TUSD CVA'!$Z$6)*1</f>
        <v>0</v>
      </c>
      <c r="Z6" s="61">
        <f>('TUSD BE'!$AA$6+'TUSD BF'!$AA$6+'TUSD CVA'!$AA$6)*1</f>
        <v>0</v>
      </c>
      <c r="AA6" s="61">
        <f>('TUSD BE'!$AC$6+'TUSD BF'!$AC$6+'TUSD CVA'!$AC$6)*1</f>
        <v>25.524406394674145</v>
      </c>
      <c r="AB6" s="61">
        <f ca="1">('TUSD BE'!$AE$6+'TUSD BF'!$AE$6+'TUSD CVA'!$AE$6)*1</f>
        <v>-5.7184661749981665</v>
      </c>
      <c r="AC6" s="61">
        <f ca="1">('TUSD BE'!$AF$6+'TUSD BF'!$AF$6+'TUSD CVA'!$AF$6)*1</f>
        <v>0</v>
      </c>
      <c r="AD6" s="61">
        <f>('TUSD BE'!$AH$6+'TUSD BF'!$AH$6+'TUSD CVA'!$AH$6)*1</f>
        <v>0</v>
      </c>
      <c r="AE6" s="61">
        <f>('TUSD BE'!$AI$6+'TUSD BF'!$AI$6+'TUSD CVA'!$AI$6)*1</f>
        <v>0</v>
      </c>
      <c r="AF6" s="61">
        <f ca="1">('TUSD BE'!$AJ$6+'TUSD BF'!$AJ$6+'TUSD CVA'!$AJ$6)*1</f>
        <v>0</v>
      </c>
      <c r="AG6" s="61">
        <f ca="1">('TUSD BE'!$AK$6+'TUSD BF'!$AK$6+'TUSD CVA'!$AK$6)*1</f>
        <v>0</v>
      </c>
      <c r="AI6" s="61">
        <v>0</v>
      </c>
      <c r="AJ6" s="61">
        <v>0</v>
      </c>
      <c r="AK6" s="61">
        <v>0</v>
      </c>
      <c r="AL6" s="61">
        <v>0</v>
      </c>
      <c r="AM6" s="61">
        <v>0</v>
      </c>
      <c r="AN6" s="61">
        <v>0</v>
      </c>
      <c r="AO6" s="61">
        <v>0</v>
      </c>
      <c r="AP6" s="61">
        <v>0</v>
      </c>
      <c r="AQ6" s="61">
        <v>0</v>
      </c>
      <c r="AR6" s="61">
        <v>0</v>
      </c>
      <c r="AS6" s="61">
        <v>0</v>
      </c>
      <c r="AT6" s="61">
        <v>0</v>
      </c>
      <c r="AU6" s="61">
        <v>23.366446181066799</v>
      </c>
      <c r="AV6" s="61">
        <v>0</v>
      </c>
      <c r="AW6" s="61">
        <v>0</v>
      </c>
      <c r="AX6" s="61">
        <v>13.4774598772318</v>
      </c>
      <c r="AY6" s="61">
        <v>-2.8757578443254701</v>
      </c>
      <c r="AZ6" s="61">
        <v>0</v>
      </c>
      <c r="BA6" s="61">
        <v>0</v>
      </c>
      <c r="BB6" s="61">
        <v>0</v>
      </c>
      <c r="BC6" s="61">
        <v>0</v>
      </c>
      <c r="BD6" s="61">
        <v>0</v>
      </c>
    </row>
    <row r="7" spans="1:56" ht="11.25" customHeight="1" x14ac:dyDescent="0.3">
      <c r="A7" s="132"/>
      <c r="B7" s="132"/>
      <c r="C7" s="132"/>
      <c r="D7" s="132"/>
      <c r="E7" s="132"/>
      <c r="F7" s="132"/>
      <c r="G7" s="66" t="s">
        <v>81</v>
      </c>
      <c r="H7" s="66" t="s">
        <v>76</v>
      </c>
      <c r="I7" s="66">
        <f>'MERCADO TUSD'!$U$4</f>
        <v>0</v>
      </c>
      <c r="J7" s="15"/>
      <c r="L7" s="61">
        <f>('TUSD BE'!$L$7+'TUSD BF'!$L$7+'TUSD CVA'!$L$7)*1</f>
        <v>2.9593256974143847</v>
      </c>
      <c r="M7" s="61">
        <f>('TUSD BE'!$M$7+'TUSD BF'!$M$7+'TUSD CVA'!$M$7)*1</f>
        <v>0.92580847106997421</v>
      </c>
      <c r="N7" s="61">
        <f ca="1">('TUSD BE'!$N$7+'TUSD BF'!$N$7+'TUSD CVA'!$N$7)*1</f>
        <v>0.37114469547588347</v>
      </c>
      <c r="O7" s="61">
        <f>('TUSD BE'!$O$7+'TUSD BF'!$O$7+'TUSD CVA'!$O$7)*1</f>
        <v>0</v>
      </c>
      <c r="P7" s="61">
        <f>('TUSD BE'!$P$7+'TUSD BF'!$P$7+'TUSD CVA'!$P$7)*1</f>
        <v>0</v>
      </c>
      <c r="Q7" s="61">
        <f>('TUSD BE'!$Q$7+'TUSD BF'!$Q$7+'TUSD CVA'!$Q$7)*1</f>
        <v>83.797894696981146</v>
      </c>
      <c r="R7" s="61">
        <f>('TUSD BE'!$R$7+'TUSD BF'!$R$7+'TUSD CVA'!$R$7)*1</f>
        <v>16.867208127539318</v>
      </c>
      <c r="S7" s="61">
        <f>('TUSD BE'!$S$7+'TUSD BF'!$S$7+'TUSD CVA'!$S$7)*1</f>
        <v>0</v>
      </c>
      <c r="T7" s="61">
        <f>('TUSD BE'!$U$7+'TUSD BF'!$U$7+'TUSD CVA'!$U$7)*1</f>
        <v>0</v>
      </c>
      <c r="U7" s="61">
        <f>('TUSD BE'!$V$7+'TUSD BF'!$V$7+'TUSD CVA'!$V$7)*1</f>
        <v>0</v>
      </c>
      <c r="V7" s="61">
        <f>('TUSD BE'!$W$7+'TUSD BF'!$W$7+'TUSD CVA'!$W$7)*1</f>
        <v>0</v>
      </c>
      <c r="W7" s="61">
        <f>('TUSD BE'!$X$7+'TUSD BF'!$X$7+'TUSD CVA'!$X$7)*1</f>
        <v>0</v>
      </c>
      <c r="X7" s="61">
        <f>('TUSD BE'!$Y$7+'TUSD BF'!$Y$7+'TUSD CVA'!$Y$7)*1</f>
        <v>0</v>
      </c>
      <c r="Y7" s="61">
        <f>('TUSD BE'!$Z$7+'TUSD BF'!$Z$7+'TUSD CVA'!$Z$7)*1</f>
        <v>0</v>
      </c>
      <c r="Z7" s="61">
        <f>('TUSD BE'!$AA$7+'TUSD BF'!$AA$7+'TUSD CVA'!$AA$7)*1</f>
        <v>0</v>
      </c>
      <c r="AA7" s="61">
        <f>('TUSD BE'!$AC$7+'TUSD BF'!$AC$7+'TUSD CVA'!$AC$7)*1</f>
        <v>0</v>
      </c>
      <c r="AB7" s="61">
        <f ca="1">('TUSD BE'!$AE$7+'TUSD BF'!$AE$7+'TUSD CVA'!$AE$7)*1</f>
        <v>-13.040528959779035</v>
      </c>
      <c r="AC7" s="61">
        <f ca="1">('TUSD BE'!$AF$7+'TUSD BF'!$AF$7+'TUSD CVA'!$AF$7)*1</f>
        <v>0</v>
      </c>
      <c r="AD7" s="61">
        <f>('TUSD BE'!$AH$7+'TUSD BF'!$AH$7+'TUSD CVA'!$AH$7)*1</f>
        <v>10.991514579284878</v>
      </c>
      <c r="AE7" s="61">
        <f>('TUSD BE'!$AI$7+'TUSD BF'!$AI$7+'TUSD CVA'!$AI$7)*1</f>
        <v>0.11241258582665123</v>
      </c>
      <c r="AF7" s="61">
        <f ca="1">('TUSD BE'!$AJ$7+'TUSD BF'!$AJ$7+'TUSD CVA'!$AJ$7)*1</f>
        <v>0.81951484521528617</v>
      </c>
      <c r="AG7" s="61">
        <f ca="1">('TUSD BE'!$AK$7+'TUSD BF'!$AK$7+'TUSD CVA'!$AK$7)*1</f>
        <v>0.34221718071340951</v>
      </c>
      <c r="AI7" s="61">
        <v>2.9659033343218</v>
      </c>
      <c r="AJ7" s="61">
        <v>0.88588328038786002</v>
      </c>
      <c r="AK7" s="61">
        <v>0.40357614333477398</v>
      </c>
      <c r="AL7" s="61">
        <v>0</v>
      </c>
      <c r="AM7" s="61">
        <v>0</v>
      </c>
      <c r="AN7" s="61">
        <v>67.4939877039793</v>
      </c>
      <c r="AO7" s="61">
        <v>11.642427400448</v>
      </c>
      <c r="AP7" s="61">
        <v>0</v>
      </c>
      <c r="AQ7" s="61">
        <v>0</v>
      </c>
      <c r="AR7" s="61">
        <v>0</v>
      </c>
      <c r="AS7" s="61">
        <v>0</v>
      </c>
      <c r="AT7" s="61">
        <v>0</v>
      </c>
      <c r="AU7" s="61">
        <v>0</v>
      </c>
      <c r="AV7" s="61">
        <v>0</v>
      </c>
      <c r="AW7" s="61">
        <v>0</v>
      </c>
      <c r="AX7" s="61">
        <v>0</v>
      </c>
      <c r="AY7" s="61">
        <v>-7.2068703430738399</v>
      </c>
      <c r="AZ7" s="61">
        <v>0</v>
      </c>
      <c r="BA7" s="61">
        <v>12.863828594835001</v>
      </c>
      <c r="BB7" s="61">
        <v>9.6626149409971496E-2</v>
      </c>
      <c r="BC7" s="61">
        <v>1.08173818720201</v>
      </c>
      <c r="BD7" s="61">
        <v>0.31537325145650502</v>
      </c>
    </row>
    <row r="8" spans="1:56" ht="11.25" customHeight="1" x14ac:dyDescent="0.3">
      <c r="A8" s="132"/>
      <c r="B8" s="132"/>
      <c r="C8" s="132"/>
      <c r="D8" s="132"/>
      <c r="E8" s="65" t="s">
        <v>87</v>
      </c>
      <c r="F8" s="65" t="s">
        <v>25</v>
      </c>
      <c r="G8" s="66" t="s">
        <v>81</v>
      </c>
      <c r="H8" s="66" t="s">
        <v>76</v>
      </c>
      <c r="I8" s="66">
        <f>'MERCADO TUSD'!$U$5</f>
        <v>0</v>
      </c>
      <c r="J8" s="15"/>
      <c r="L8" s="61">
        <f>('TUSD BE'!$L$8+'TUSD BF'!$L$8+'TUSD CVA'!$L$8)*1</f>
        <v>0</v>
      </c>
      <c r="M8" s="61">
        <f>('TUSD BE'!$M$8+'TUSD BF'!$M$8+'TUSD CVA'!$M$8)*1</f>
        <v>0.92580847106997421</v>
      </c>
      <c r="N8" s="61">
        <f ca="1">('TUSD BE'!$N$8+'TUSD BF'!$N$8+'TUSD CVA'!$N$8)*1</f>
        <v>0.36114096345688224</v>
      </c>
      <c r="O8" s="61">
        <f>('TUSD BE'!$O$8+'TUSD BF'!$O$8+'TUSD CVA'!$O$8)*1</f>
        <v>0</v>
      </c>
      <c r="P8" s="61">
        <f>('TUSD BE'!$P$8+'TUSD BF'!$P$8+'TUSD CVA'!$P$8)*1</f>
        <v>0</v>
      </c>
      <c r="Q8" s="61">
        <f>('TUSD BE'!$Q$8+'TUSD BF'!$Q$8+'TUSD CVA'!$Q$8)*1</f>
        <v>0</v>
      </c>
      <c r="R8" s="61">
        <f>('TUSD BE'!$R$8+'TUSD BF'!$R$8+'TUSD CVA'!$R$8)*1</f>
        <v>0</v>
      </c>
      <c r="S8" s="61">
        <f>('TUSD BE'!$S$8+'TUSD BF'!$S$8+'TUSD CVA'!$S$8)*1</f>
        <v>0</v>
      </c>
      <c r="T8" s="61">
        <f>('TUSD BE'!$U$8+'TUSD BF'!$U$8+'TUSD CVA'!$U$8)*1</f>
        <v>0</v>
      </c>
      <c r="U8" s="61">
        <f>('TUSD BE'!$V$8+'TUSD BF'!$V$8+'TUSD CVA'!$V$8)*1</f>
        <v>0</v>
      </c>
      <c r="V8" s="61">
        <f>('TUSD BE'!$W$8+'TUSD BF'!$W$8+'TUSD CVA'!$W$8)*1</f>
        <v>0</v>
      </c>
      <c r="W8" s="61">
        <f>('TUSD BE'!$X$8+'TUSD BF'!$X$8+'TUSD CVA'!$X$8)*1</f>
        <v>0</v>
      </c>
      <c r="X8" s="61">
        <f>('TUSD BE'!$Y$8+'TUSD BF'!$Y$8+'TUSD CVA'!$Y$8)*1</f>
        <v>0</v>
      </c>
      <c r="Y8" s="61">
        <f>('TUSD BE'!$Z$8+'TUSD BF'!$Z$8+'TUSD CVA'!$Z$8)*1</f>
        <v>0</v>
      </c>
      <c r="Z8" s="61">
        <f>('TUSD BE'!$AA$8+'TUSD BF'!$AA$8+'TUSD CVA'!$AA$8)*1</f>
        <v>0</v>
      </c>
      <c r="AA8" s="61">
        <f>('TUSD BE'!$AC$8+'TUSD BF'!$AC$8+'TUSD CVA'!$AC$8)*1</f>
        <v>0</v>
      </c>
      <c r="AB8" s="61">
        <f ca="1">('TUSD BE'!$AE$8+'TUSD BF'!$AE$8+'TUSD CVA'!$AE$8)*1</f>
        <v>-1.7294346181213043</v>
      </c>
      <c r="AC8" s="61">
        <f ca="1">('TUSD BE'!$AF$8+'TUSD BF'!$AF$8+'TUSD CVA'!$AF$8)*1</f>
        <v>0</v>
      </c>
      <c r="AD8" s="61">
        <f>('TUSD BE'!$AH$8+'TUSD BF'!$AH$8+'TUSD CVA'!$AH$8)*1</f>
        <v>10.991514579284878</v>
      </c>
      <c r="AE8" s="61">
        <f>('TUSD BE'!$AI$8+'TUSD BF'!$AI$8+'TUSD CVA'!$AI$8)*1</f>
        <v>0.11241258582665123</v>
      </c>
      <c r="AF8" s="61">
        <f ca="1">('TUSD BE'!$AJ$8+'TUSD BF'!$AJ$8+'TUSD CVA'!$AJ$8)*1</f>
        <v>0.81951484521528617</v>
      </c>
      <c r="AG8" s="61">
        <f ca="1">('TUSD BE'!$AK$8+'TUSD BF'!$AK$8+'TUSD CVA'!$AK$8)*1</f>
        <v>0.34221718071340951</v>
      </c>
      <c r="AI8" s="61">
        <v>0</v>
      </c>
      <c r="AJ8" s="61">
        <v>0.88588328038786002</v>
      </c>
      <c r="AK8" s="61">
        <v>0.39027995853712</v>
      </c>
      <c r="AL8" s="61">
        <v>0</v>
      </c>
      <c r="AM8" s="61">
        <v>0</v>
      </c>
      <c r="AN8" s="61">
        <v>0</v>
      </c>
      <c r="AO8" s="61">
        <v>0</v>
      </c>
      <c r="AP8" s="61">
        <v>0</v>
      </c>
      <c r="AQ8" s="61">
        <v>0</v>
      </c>
      <c r="AR8" s="61">
        <v>0</v>
      </c>
      <c r="AS8" s="61">
        <v>0</v>
      </c>
      <c r="AT8" s="61">
        <v>0</v>
      </c>
      <c r="AU8" s="61">
        <v>0</v>
      </c>
      <c r="AV8" s="61">
        <v>0</v>
      </c>
      <c r="AW8" s="61">
        <v>0</v>
      </c>
      <c r="AX8" s="61">
        <v>0</v>
      </c>
      <c r="AY8" s="61">
        <v>-1.3914211887624801</v>
      </c>
      <c r="AZ8" s="61">
        <v>0</v>
      </c>
      <c r="BA8" s="61">
        <v>12.863828594835001</v>
      </c>
      <c r="BB8" s="61">
        <v>9.6626149409971496E-2</v>
      </c>
      <c r="BC8" s="61">
        <v>1.08173818720201</v>
      </c>
      <c r="BD8" s="61">
        <v>0.31537325145650502</v>
      </c>
    </row>
    <row r="9" spans="1:56" ht="11.25" customHeight="1" x14ac:dyDescent="0.3">
      <c r="A9" s="132"/>
      <c r="B9" s="132" t="s">
        <v>56</v>
      </c>
      <c r="C9" s="132" t="s">
        <v>25</v>
      </c>
      <c r="D9" s="132" t="s">
        <v>25</v>
      </c>
      <c r="E9" s="132" t="s">
        <v>25</v>
      </c>
      <c r="F9" s="132" t="s">
        <v>58</v>
      </c>
      <c r="G9" s="66" t="s">
        <v>85</v>
      </c>
      <c r="H9" s="66" t="s">
        <v>84</v>
      </c>
      <c r="I9" s="66">
        <f>'MERCADO TUSD'!$U$6</f>
        <v>16540</v>
      </c>
      <c r="J9" s="15"/>
      <c r="L9" s="61">
        <f>('TUSD BE'!$L$9+'TUSD BF'!$L$9+'TUSD CVA'!$L$9)*1</f>
        <v>0</v>
      </c>
      <c r="M9" s="61">
        <f>('TUSD BE'!$M$9+'TUSD BF'!$M$9+'TUSD CVA'!$M$9)*1</f>
        <v>0</v>
      </c>
      <c r="N9" s="61">
        <f ca="1">('TUSD BE'!$N$9+'TUSD BF'!$N$9+'TUSD CVA'!$N$9)*1</f>
        <v>0</v>
      </c>
      <c r="O9" s="61">
        <f>('TUSD BE'!$O$9+'TUSD BF'!$O$9+'TUSD CVA'!$O$9)*1</f>
        <v>0</v>
      </c>
      <c r="P9" s="61">
        <f>('TUSD BE'!$P$9+'TUSD BF'!$P$9+'TUSD CVA'!$P$9)*1</f>
        <v>0</v>
      </c>
      <c r="Q9" s="61">
        <f>('TUSD BE'!$Q$9+'TUSD BF'!$Q$9+'TUSD CVA'!$Q$9)*1</f>
        <v>0</v>
      </c>
      <c r="R9" s="61">
        <f>('TUSD BE'!$R$9+'TUSD BF'!$R$9+'TUSD CVA'!$R$9)*1</f>
        <v>0</v>
      </c>
      <c r="S9" s="61">
        <f>('TUSD BE'!$S$9+'TUSD BF'!$S$9+'TUSD CVA'!$S$9)*1</f>
        <v>0</v>
      </c>
      <c r="T9" s="61">
        <f>('TUSD BE'!$U$9+'TUSD BF'!$U$9+'TUSD CVA'!$U$9)*1</f>
        <v>0</v>
      </c>
      <c r="U9" s="61">
        <f>('TUSD BE'!$V$9+'TUSD BF'!$V$9+'TUSD CVA'!$V$9)*1</f>
        <v>0</v>
      </c>
      <c r="V9" s="61">
        <f>('TUSD BE'!$W$9+'TUSD BF'!$W$9+'TUSD CVA'!$W$9)*1</f>
        <v>0</v>
      </c>
      <c r="W9" s="61">
        <f>('TUSD BE'!$X$9+'TUSD BF'!$X$9+'TUSD CVA'!$X$9)*1</f>
        <v>0</v>
      </c>
      <c r="X9" s="61">
        <f>('TUSD BE'!$Y$9+'TUSD BF'!$Y$9+'TUSD CVA'!$Y$9)*1</f>
        <v>33.200770051230293</v>
      </c>
      <c r="Y9" s="61">
        <f>('TUSD BE'!$Z$9+'TUSD BF'!$Z$9+'TUSD CVA'!$Z$9)*1</f>
        <v>0</v>
      </c>
      <c r="Z9" s="61">
        <f>('TUSD BE'!$AA$9+'TUSD BF'!$AA$9+'TUSD CVA'!$AA$9)*1</f>
        <v>0</v>
      </c>
      <c r="AA9" s="61">
        <f>('TUSD BE'!$AC$9+'TUSD BF'!$AC$9+'TUSD CVA'!$AC$9)*1</f>
        <v>9.0168346042072329</v>
      </c>
      <c r="AB9" s="61">
        <f>('TUSD BE'!$AE$9+'TUSD BF'!$AE$9+'TUSD CVA'!$AE$9)*1</f>
        <v>0</v>
      </c>
      <c r="AC9" s="61">
        <f ca="1">('TUSD BE'!$AF$9+'TUSD BF'!$AF$9+'TUSD CVA'!$AF$9)*1</f>
        <v>0</v>
      </c>
      <c r="AD9" s="61">
        <f>('TUSD BE'!$AH$9+'TUSD BF'!$AH$9+'TUSD CVA'!$AH$9)*1</f>
        <v>0</v>
      </c>
      <c r="AE9" s="61">
        <f>('TUSD BE'!$AI$9+'TUSD BF'!$AI$9+'TUSD CVA'!$AI$9)*1</f>
        <v>0</v>
      </c>
      <c r="AF9" s="61">
        <f ca="1">('TUSD BE'!$AJ$9+'TUSD BF'!$AJ$9+'TUSD CVA'!$AJ$9)*1</f>
        <v>0</v>
      </c>
      <c r="AG9" s="61">
        <f ca="1">('TUSD BE'!$AK$9+'TUSD BF'!$AK$9+'TUSD CVA'!$AK$9)*1</f>
        <v>0</v>
      </c>
      <c r="AI9" s="61">
        <v>0</v>
      </c>
      <c r="AJ9" s="61">
        <v>0</v>
      </c>
      <c r="AK9" s="61">
        <v>0</v>
      </c>
      <c r="AL9" s="61">
        <v>0</v>
      </c>
      <c r="AM9" s="61">
        <v>0</v>
      </c>
      <c r="AN9" s="61">
        <v>0</v>
      </c>
      <c r="AO9" s="61">
        <v>0</v>
      </c>
      <c r="AP9" s="61">
        <v>0</v>
      </c>
      <c r="AQ9" s="61">
        <v>0</v>
      </c>
      <c r="AR9" s="61">
        <v>0</v>
      </c>
      <c r="AS9" s="61">
        <v>0</v>
      </c>
      <c r="AT9" s="61">
        <v>0</v>
      </c>
      <c r="AU9" s="61">
        <v>23.226903282033099</v>
      </c>
      <c r="AV9" s="61">
        <v>0</v>
      </c>
      <c r="AW9" s="61">
        <v>0</v>
      </c>
      <c r="AX9" s="61">
        <v>0</v>
      </c>
      <c r="AY9" s="61">
        <v>0</v>
      </c>
      <c r="AZ9" s="61">
        <v>0</v>
      </c>
      <c r="BA9" s="61">
        <v>0</v>
      </c>
      <c r="BB9" s="61">
        <v>0</v>
      </c>
      <c r="BC9" s="61">
        <v>0</v>
      </c>
      <c r="BD9" s="61">
        <v>0</v>
      </c>
    </row>
    <row r="10" spans="1:56" ht="11.25" customHeight="1" x14ac:dyDescent="0.3">
      <c r="A10" s="132"/>
      <c r="B10" s="132"/>
      <c r="C10" s="132"/>
      <c r="D10" s="132"/>
      <c r="E10" s="132"/>
      <c r="F10" s="132"/>
      <c r="G10" s="66" t="s">
        <v>86</v>
      </c>
      <c r="H10" s="66" t="s">
        <v>84</v>
      </c>
      <c r="I10" s="66">
        <f>'MERCADO TUSD'!$U$7</f>
        <v>16454</v>
      </c>
      <c r="J10" s="15"/>
      <c r="L10" s="61">
        <f>('TUSD BE'!$L$10+'TUSD BF'!$L$10+'TUSD CVA'!$L$10)*1</f>
        <v>0</v>
      </c>
      <c r="M10" s="61">
        <f>('TUSD BE'!$M$10+'TUSD BF'!$M$10+'TUSD CVA'!$M$10)*1</f>
        <v>0</v>
      </c>
      <c r="N10" s="61">
        <f ca="1">('TUSD BE'!$N$10+'TUSD BF'!$N$10+'TUSD CVA'!$N$10)*1</f>
        <v>0</v>
      </c>
      <c r="O10" s="61">
        <f>('TUSD BE'!$O$10+'TUSD BF'!$O$10+'TUSD CVA'!$O$10)*1</f>
        <v>0</v>
      </c>
      <c r="P10" s="61">
        <f>('TUSD BE'!$P$10+'TUSD BF'!$P$10+'TUSD CVA'!$P$10)*1</f>
        <v>0</v>
      </c>
      <c r="Q10" s="61">
        <f>('TUSD BE'!$Q$10+'TUSD BF'!$Q$10+'TUSD CVA'!$Q$10)*1</f>
        <v>0</v>
      </c>
      <c r="R10" s="61">
        <f>('TUSD BE'!$R$10+'TUSD BF'!$R$10+'TUSD CVA'!$R$10)*1</f>
        <v>0</v>
      </c>
      <c r="S10" s="61">
        <f>('TUSD BE'!$S$10+'TUSD BF'!$S$10+'TUSD CVA'!$S$10)*1</f>
        <v>0</v>
      </c>
      <c r="T10" s="61">
        <f>('TUSD BE'!$U$10+'TUSD BF'!$U$10+'TUSD CVA'!$U$10)*1</f>
        <v>0</v>
      </c>
      <c r="U10" s="61">
        <f>('TUSD BE'!$V$10+'TUSD BF'!$V$10+'TUSD CVA'!$V$10)*1</f>
        <v>0</v>
      </c>
      <c r="V10" s="61">
        <f>('TUSD BE'!$W$10+'TUSD BF'!$W$10+'TUSD CVA'!$W$10)*1</f>
        <v>0</v>
      </c>
      <c r="W10" s="61">
        <f>('TUSD BE'!$X$10+'TUSD BF'!$X$10+'TUSD CVA'!$X$10)*1</f>
        <v>0</v>
      </c>
      <c r="X10" s="61">
        <f>('TUSD BE'!$Y$10+'TUSD BF'!$Y$10+'TUSD CVA'!$Y$10)*1</f>
        <v>19.311294162947057</v>
      </c>
      <c r="Y10" s="61">
        <f>('TUSD BE'!$Z$10+'TUSD BF'!$Z$10+'TUSD CVA'!$Z$10)*1</f>
        <v>0</v>
      </c>
      <c r="Z10" s="61">
        <f>('TUSD BE'!$AA$10+'TUSD BF'!$AA$10+'TUSD CVA'!$AA$10)*1</f>
        <v>0</v>
      </c>
      <c r="AA10" s="61">
        <f>('TUSD BE'!$AC$10+'TUSD BF'!$AC$10+'TUSD CVA'!$AC$10)*1</f>
        <v>4.5084173021036165</v>
      </c>
      <c r="AB10" s="61">
        <f>('TUSD BE'!$AE$10+'TUSD BF'!$AE$10+'TUSD CVA'!$AE$10)*1</f>
        <v>0</v>
      </c>
      <c r="AC10" s="61">
        <f ca="1">('TUSD BE'!$AF$10+'TUSD BF'!$AF$10+'TUSD CVA'!$AF$10)*1</f>
        <v>0</v>
      </c>
      <c r="AD10" s="61">
        <f>('TUSD BE'!$AH$10+'TUSD BF'!$AH$10+'TUSD CVA'!$AH$10)*1</f>
        <v>0</v>
      </c>
      <c r="AE10" s="61">
        <f>('TUSD BE'!$AI$10+'TUSD BF'!$AI$10+'TUSD CVA'!$AI$10)*1</f>
        <v>0</v>
      </c>
      <c r="AF10" s="61">
        <f ca="1">('TUSD BE'!$AJ$10+'TUSD BF'!$AJ$10+'TUSD CVA'!$AJ$10)*1</f>
        <v>0</v>
      </c>
      <c r="AG10" s="61">
        <f ca="1">('TUSD BE'!$AK$10+'TUSD BF'!$AK$10+'TUSD CVA'!$AK$10)*1</f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23.366446181066799</v>
      </c>
      <c r="AV10" s="61">
        <v>0</v>
      </c>
      <c r="AW10" s="61">
        <v>0</v>
      </c>
      <c r="AX10" s="61">
        <v>0</v>
      </c>
      <c r="AY10" s="61">
        <v>0</v>
      </c>
      <c r="AZ10" s="61">
        <v>0</v>
      </c>
      <c r="BA10" s="61">
        <v>0</v>
      </c>
      <c r="BB10" s="61">
        <v>0</v>
      </c>
      <c r="BC10" s="61">
        <v>0</v>
      </c>
      <c r="BD10" s="61">
        <v>0</v>
      </c>
    </row>
    <row r="11" spans="1:56" ht="11.25" customHeight="1" x14ac:dyDescent="0.3">
      <c r="A11" s="132"/>
      <c r="B11" s="132"/>
      <c r="C11" s="132"/>
      <c r="D11" s="132"/>
      <c r="E11" s="132"/>
      <c r="F11" s="132"/>
      <c r="G11" s="66" t="s">
        <v>81</v>
      </c>
      <c r="H11" s="66" t="s">
        <v>76</v>
      </c>
      <c r="I11" s="66">
        <f>'MERCADO TUSD'!$U$8</f>
        <v>5489.0889999999999</v>
      </c>
      <c r="J11" s="15"/>
      <c r="L11" s="61">
        <f>('TUSD BE'!$L$11+'TUSD BF'!$L$11+'TUSD CVA'!$L$11)*1</f>
        <v>0</v>
      </c>
      <c r="M11" s="61">
        <f>('TUSD BE'!$M$11+'TUSD BF'!$M$11+'TUSD CVA'!$M$11)*1</f>
        <v>0</v>
      </c>
      <c r="N11" s="61">
        <f ca="1">('TUSD BE'!$N$11+'TUSD BF'!$N$11+'TUSD CVA'!$N$11)*1</f>
        <v>0</v>
      </c>
      <c r="O11" s="61">
        <f>('TUSD BE'!$O$11+'TUSD BF'!$O$11+'TUSD CVA'!$O$11)*1</f>
        <v>0</v>
      </c>
      <c r="P11" s="61">
        <f>('TUSD BE'!$P$11+'TUSD BF'!$P$11+'TUSD CVA'!$P$11)*1</f>
        <v>0</v>
      </c>
      <c r="Q11" s="61">
        <f>('TUSD BE'!$Q$11+'TUSD BF'!$Q$11+'TUSD CVA'!$Q$11)*1</f>
        <v>0</v>
      </c>
      <c r="R11" s="61">
        <f>('TUSD BE'!$R$11+'TUSD BF'!$R$11+'TUSD CVA'!$R$11)*1</f>
        <v>0</v>
      </c>
      <c r="S11" s="61">
        <f>('TUSD BE'!$S$11+'TUSD BF'!$S$11+'TUSD CVA'!$S$11)*1</f>
        <v>0</v>
      </c>
      <c r="T11" s="61">
        <f>('TUSD BE'!$U$11+'TUSD BF'!$U$11+'TUSD CVA'!$U$11)*1</f>
        <v>0</v>
      </c>
      <c r="U11" s="61">
        <f>('TUSD BE'!$V$11+'TUSD BF'!$V$11+'TUSD CVA'!$V$11)*1</f>
        <v>0</v>
      </c>
      <c r="V11" s="61">
        <f>('TUSD BE'!$W$11+'TUSD BF'!$W$11+'TUSD CVA'!$W$11)*1</f>
        <v>0</v>
      </c>
      <c r="W11" s="61">
        <f>('TUSD BE'!$X$11+'TUSD BF'!$X$11+'TUSD CVA'!$X$11)*1</f>
        <v>0</v>
      </c>
      <c r="X11" s="61">
        <f>('TUSD BE'!$Y$11+'TUSD BF'!$Y$11+'TUSD CVA'!$Y$11)*1</f>
        <v>0</v>
      </c>
      <c r="Y11" s="61">
        <f>('TUSD BE'!$Z$11+'TUSD BF'!$Z$11+'TUSD CVA'!$Z$11)*1</f>
        <v>0</v>
      </c>
      <c r="Z11" s="61">
        <f>('TUSD BE'!$AA$11+'TUSD BF'!$AA$11+'TUSD CVA'!$AA$11)*1</f>
        <v>0</v>
      </c>
      <c r="AA11" s="61">
        <f>('TUSD BE'!$AC$11+'TUSD BF'!$AC$11+'TUSD CVA'!$AC$11)*1</f>
        <v>0</v>
      </c>
      <c r="AB11" s="61">
        <f>('TUSD BE'!$AE$11+'TUSD BF'!$AE$11+'TUSD CVA'!$AE$11)*1</f>
        <v>0</v>
      </c>
      <c r="AC11" s="61">
        <f ca="1">('TUSD BE'!$AF$11+'TUSD BF'!$AF$11+'TUSD CVA'!$AF$11)*1</f>
        <v>0</v>
      </c>
      <c r="AD11" s="61">
        <f>('TUSD BE'!$AH$11+'TUSD BF'!$AH$11+'TUSD CVA'!$AH$11)*1</f>
        <v>10.991514579284878</v>
      </c>
      <c r="AE11" s="61">
        <f>('TUSD BE'!$AI$11+'TUSD BF'!$AI$11+'TUSD CVA'!$AI$11)*1</f>
        <v>0.11241258582665123</v>
      </c>
      <c r="AF11" s="61">
        <f ca="1">('TUSD BE'!$AJ$11+'TUSD BF'!$AJ$11+'TUSD CVA'!$AJ$11)*1</f>
        <v>0</v>
      </c>
      <c r="AG11" s="61">
        <f ca="1">('TUSD BE'!$AK$11+'TUSD BF'!$AK$11+'TUSD CVA'!$AK$11)*1</f>
        <v>0</v>
      </c>
      <c r="AI11" s="61">
        <v>0</v>
      </c>
      <c r="AJ11" s="61">
        <v>0</v>
      </c>
      <c r="AK11" s="61">
        <v>0</v>
      </c>
      <c r="AL11" s="61">
        <v>0</v>
      </c>
      <c r="AM11" s="61">
        <v>0</v>
      </c>
      <c r="AN11" s="61">
        <v>0</v>
      </c>
      <c r="AO11" s="61">
        <v>0</v>
      </c>
      <c r="AP11" s="61">
        <v>0</v>
      </c>
      <c r="AQ11" s="61">
        <v>0</v>
      </c>
      <c r="AR11" s="61">
        <v>0</v>
      </c>
      <c r="AS11" s="61">
        <v>0</v>
      </c>
      <c r="AT11" s="61">
        <v>0</v>
      </c>
      <c r="AU11" s="61">
        <v>0</v>
      </c>
      <c r="AV11" s="61">
        <v>0</v>
      </c>
      <c r="AW11" s="61">
        <v>0</v>
      </c>
      <c r="AX11" s="61">
        <v>0</v>
      </c>
      <c r="AY11" s="61">
        <v>0</v>
      </c>
      <c r="AZ11" s="61">
        <v>0</v>
      </c>
      <c r="BA11" s="61">
        <v>12.863828594835001</v>
      </c>
      <c r="BB11" s="61">
        <v>9.6626149409971496E-2</v>
      </c>
      <c r="BC11" s="61">
        <v>0</v>
      </c>
      <c r="BD11" s="61">
        <v>0</v>
      </c>
    </row>
    <row r="12" spans="1:56" ht="11.25" customHeight="1" x14ac:dyDescent="0.3">
      <c r="A12" s="132"/>
      <c r="B12" s="65" t="s">
        <v>88</v>
      </c>
      <c r="C12" s="65" t="s">
        <v>25</v>
      </c>
      <c r="D12" s="65" t="s">
        <v>25</v>
      </c>
      <c r="E12" s="65" t="s">
        <v>25</v>
      </c>
      <c r="F12" s="65" t="s">
        <v>25</v>
      </c>
      <c r="G12" s="66" t="s">
        <v>9</v>
      </c>
      <c r="H12" s="66" t="s">
        <v>84</v>
      </c>
      <c r="I12" s="66">
        <f>'MERCADO TUSD'!$U$9</f>
        <v>0</v>
      </c>
      <c r="J12" s="15"/>
      <c r="L12" s="61">
        <f>('TUSD BE'!$L$12+'TUSD BF'!$L$12+'TUSD CVA'!$L$12)*1</f>
        <v>0</v>
      </c>
      <c r="M12" s="61">
        <f>('TUSD BE'!$M$12+'TUSD BF'!$M$12+'TUSD CVA'!$M$12)*1</f>
        <v>7.8345304808328492E-2</v>
      </c>
      <c r="N12" s="61">
        <f ca="1">('TUSD BE'!$N$12+'TUSD BF'!$N$12+'TUSD CVA'!$N$12)*1</f>
        <v>0.19567299829166337</v>
      </c>
      <c r="O12" s="61">
        <f>('TUSD BE'!$O$12+'TUSD BF'!$O$12+'TUSD CVA'!$O$12)*1</f>
        <v>0</v>
      </c>
      <c r="P12" s="61">
        <f>('TUSD BE'!$P$12+'TUSD BF'!$P$12+'TUSD CVA'!$P$12)*1</f>
        <v>0</v>
      </c>
      <c r="Q12" s="61">
        <f>('TUSD BE'!$Q$12+'TUSD BF'!$Q$12+'TUSD CVA'!$Q$12)*1</f>
        <v>0</v>
      </c>
      <c r="R12" s="61">
        <f>('TUSD BE'!$R$12+'TUSD BF'!$R$12+'TUSD CVA'!$R$12)*1</f>
        <v>0</v>
      </c>
      <c r="S12" s="61">
        <f>('TUSD BE'!$S$12+'TUSD BF'!$S$12+'TUSD CVA'!$S$12)*1</f>
        <v>0</v>
      </c>
      <c r="T12" s="61">
        <f>('TUSD BE'!$U$12+'TUSD BF'!$U$12+'TUSD CVA'!$U$12)*1</f>
        <v>0</v>
      </c>
      <c r="U12" s="61">
        <f>('TUSD BE'!$V$12+'TUSD BF'!$V$12+'TUSD CVA'!$V$12)*1</f>
        <v>0</v>
      </c>
      <c r="V12" s="61">
        <f>('TUSD BE'!$W$12+'TUSD BF'!$W$12+'TUSD CVA'!$W$12)*1</f>
        <v>0</v>
      </c>
      <c r="W12" s="61">
        <f>('TUSD BE'!$X$12+'TUSD BF'!$X$12+'TUSD CVA'!$X$12)*1</f>
        <v>0</v>
      </c>
      <c r="X12" s="61">
        <f>('TUSD BE'!$Y$12+'TUSD BF'!$Y$12+'TUSD CVA'!$Y$12)*1</f>
        <v>0</v>
      </c>
      <c r="Y12" s="61">
        <f>('TUSD BE'!$Z$12+'TUSD BF'!$Z$12+'TUSD CVA'!$Z$12)*1</f>
        <v>0</v>
      </c>
      <c r="Z12" s="61">
        <f>('TUSD BE'!$AA$12+'TUSD BF'!$AA$12+'TUSD CVA'!$AA$12)*1</f>
        <v>0</v>
      </c>
      <c r="AA12" s="61">
        <f>('TUSD BE'!$AC$12+'TUSD BF'!$AC$12+'TUSD CVA'!$AC$12)*1</f>
        <v>23.1174575053133</v>
      </c>
      <c r="AB12" s="61">
        <f ca="1">('TUSD BE'!$AE$12+'TUSD BF'!$AE$12+'TUSD CVA'!$AE$12)*1</f>
        <v>-2.6241638300324204</v>
      </c>
      <c r="AC12" s="61">
        <f ca="1">('TUSD BE'!$AF$12+'TUSD BF'!$AF$12+'TUSD CVA'!$AF$12)*1</f>
        <v>0</v>
      </c>
      <c r="AD12" s="61">
        <f>('TUSD BE'!$AH$12+'TUSD BF'!$AH$12+'TUSD CVA'!$AH$12)*1</f>
        <v>0</v>
      </c>
      <c r="AE12" s="61">
        <f>('TUSD BE'!$AI$12+'TUSD BF'!$AI$12+'TUSD CVA'!$AI$12)*1</f>
        <v>0</v>
      </c>
      <c r="AF12" s="61">
        <f ca="1">('TUSD BE'!$AJ$12+'TUSD BF'!$AJ$12+'TUSD CVA'!$AJ$12)*1</f>
        <v>0</v>
      </c>
      <c r="AG12" s="61">
        <f ca="1">('TUSD BE'!$AK$12+'TUSD BF'!$AK$12+'TUSD CVA'!$AK$12)*1</f>
        <v>0</v>
      </c>
      <c r="AI12" s="61">
        <v>0</v>
      </c>
      <c r="AJ12" s="61">
        <v>6.7049381100872704E-2</v>
      </c>
      <c r="AK12" s="61">
        <v>0.20675567360352101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17.307276968520998</v>
      </c>
      <c r="AY12" s="61">
        <v>-1.6430742650755801</v>
      </c>
      <c r="AZ12" s="61">
        <v>0</v>
      </c>
      <c r="BA12" s="61">
        <v>0</v>
      </c>
      <c r="BB12" s="61">
        <v>0</v>
      </c>
      <c r="BC12" s="61">
        <v>0</v>
      </c>
      <c r="BD12" s="61">
        <v>0</v>
      </c>
    </row>
    <row r="13" spans="1:56" ht="11.25" customHeight="1" x14ac:dyDescent="0.3">
      <c r="A13" s="132"/>
      <c r="B13" s="132" t="s">
        <v>40</v>
      </c>
      <c r="C13" s="132" t="s">
        <v>25</v>
      </c>
      <c r="D13" s="132" t="s">
        <v>25</v>
      </c>
      <c r="E13" s="132" t="s">
        <v>25</v>
      </c>
      <c r="F13" s="132" t="s">
        <v>25</v>
      </c>
      <c r="G13" s="66" t="s">
        <v>9</v>
      </c>
      <c r="H13" s="66" t="s">
        <v>84</v>
      </c>
      <c r="I13" s="66">
        <f>'MERCADO TUSD'!$U$10</f>
        <v>119147</v>
      </c>
      <c r="J13" s="15"/>
      <c r="L13" s="61">
        <f>('TUSD BE'!$L$13+'TUSD BF'!$L$13+'TUSD CVA'!$L$13)*1</f>
        <v>0</v>
      </c>
      <c r="M13" s="61">
        <f>('TUSD BE'!$M$13+'TUSD BF'!$M$13+'TUSD CVA'!$M$13)*1</f>
        <v>0</v>
      </c>
      <c r="N13" s="61">
        <f ca="1">('TUSD BE'!$N$13+'TUSD BF'!$N$13+'TUSD CVA'!$N$13)*1</f>
        <v>0</v>
      </c>
      <c r="O13" s="61">
        <f>('TUSD BE'!$O$13+'TUSD BF'!$O$13+'TUSD CVA'!$O$13)*1</f>
        <v>0</v>
      </c>
      <c r="P13" s="61">
        <f>('TUSD BE'!$P$13+'TUSD BF'!$P$13+'TUSD CVA'!$P$13)*1</f>
        <v>0</v>
      </c>
      <c r="Q13" s="61">
        <f>('TUSD BE'!$Q$13+'TUSD BF'!$Q$13+'TUSD CVA'!$Q$13)*1</f>
        <v>0</v>
      </c>
      <c r="R13" s="61">
        <f>('TUSD BE'!$R$13+'TUSD BF'!$R$13+'TUSD CVA'!$R$13)*1</f>
        <v>0</v>
      </c>
      <c r="S13" s="61">
        <f>('TUSD BE'!$S$13+'TUSD BF'!$S$13+'TUSD CVA'!$S$13)*1</f>
        <v>0</v>
      </c>
      <c r="T13" s="61">
        <f>('TUSD BE'!$U$13+'TUSD BF'!$U$13+'TUSD CVA'!$U$13)*1</f>
        <v>0</v>
      </c>
      <c r="U13" s="61">
        <f>('TUSD BE'!$V$13+'TUSD BF'!$V$13+'TUSD CVA'!$V$13)*1</f>
        <v>0</v>
      </c>
      <c r="V13" s="61">
        <f>('TUSD BE'!$W$13+'TUSD BF'!$W$13+'TUSD CVA'!$W$13)*1</f>
        <v>0</v>
      </c>
      <c r="W13" s="61">
        <f>('TUSD BE'!$X$13+'TUSD BF'!$X$13+'TUSD CVA'!$X$13)*1</f>
        <v>0</v>
      </c>
      <c r="X13" s="61">
        <f>('TUSD BE'!$Y$13+'TUSD BF'!$Y$13+'TUSD CVA'!$Y$13)*1</f>
        <v>19.311294162947057</v>
      </c>
      <c r="Y13" s="61">
        <f>('TUSD BE'!$Z$13+'TUSD BF'!$Z$13+'TUSD CVA'!$Z$13)*1</f>
        <v>0</v>
      </c>
      <c r="Z13" s="61">
        <f>('TUSD BE'!$AA$13+'TUSD BF'!$AA$13+'TUSD CVA'!$AA$13)*1</f>
        <v>0</v>
      </c>
      <c r="AA13" s="61">
        <f>('TUSD BE'!$AC$13+'TUSD BF'!$AC$13+'TUSD CVA'!$AC$13)*1</f>
        <v>25.524406394674145</v>
      </c>
      <c r="AB13" s="61">
        <f ca="1">('TUSD BE'!$AE$13+'TUSD BF'!$AE$13+'TUSD CVA'!$AE$13)*1</f>
        <v>-5.7184661749981665</v>
      </c>
      <c r="AC13" s="61">
        <f ca="1">('TUSD BE'!$AF$13+'TUSD BF'!$AF$13+'TUSD CVA'!$AF$13)*1</f>
        <v>0</v>
      </c>
      <c r="AD13" s="61">
        <f>('TUSD BE'!$AH$13+'TUSD BF'!$AH$13+'TUSD CVA'!$AH$13)*1</f>
        <v>0</v>
      </c>
      <c r="AE13" s="61">
        <f>('TUSD BE'!$AI$13+'TUSD BF'!$AI$13+'TUSD CVA'!$AI$13)*1</f>
        <v>0</v>
      </c>
      <c r="AF13" s="61">
        <f ca="1">('TUSD BE'!$AJ$13+'TUSD BF'!$AJ$13+'TUSD CVA'!$AJ$13)*1</f>
        <v>0</v>
      </c>
      <c r="AG13" s="61">
        <f ca="1">('TUSD BE'!$AK$13+'TUSD BF'!$AK$13+'TUSD CVA'!$AK$13)*1</f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23.366446181066799</v>
      </c>
      <c r="AV13" s="61">
        <v>0</v>
      </c>
      <c r="AW13" s="61">
        <v>0</v>
      </c>
      <c r="AX13" s="61">
        <v>13.4774598772318</v>
      </c>
      <c r="AY13" s="61">
        <v>-2.8757578443254701</v>
      </c>
      <c r="AZ13" s="61">
        <v>0</v>
      </c>
      <c r="BA13" s="61">
        <v>0</v>
      </c>
      <c r="BB13" s="61">
        <v>0</v>
      </c>
      <c r="BC13" s="61">
        <v>0</v>
      </c>
      <c r="BD13" s="61">
        <v>0</v>
      </c>
    </row>
    <row r="14" spans="1:56" ht="11.25" customHeight="1" x14ac:dyDescent="0.3">
      <c r="A14" s="132"/>
      <c r="B14" s="132"/>
      <c r="C14" s="132"/>
      <c r="D14" s="132"/>
      <c r="E14" s="132"/>
      <c r="F14" s="132"/>
      <c r="G14" s="66" t="s">
        <v>77</v>
      </c>
      <c r="H14" s="66" t="s">
        <v>76</v>
      </c>
      <c r="I14" s="66">
        <f>'MERCADO TUSD'!$U$11</f>
        <v>964.50799999999992</v>
      </c>
      <c r="J14" s="15"/>
      <c r="L14" s="61">
        <f>('TUSD BE'!$L$14+'TUSD BF'!$L$14+'TUSD CVA'!$L$14)*1</f>
        <v>2.9593256974143847</v>
      </c>
      <c r="M14" s="61">
        <f>('TUSD BE'!$M$14+'TUSD BF'!$M$14+'TUSD CVA'!$M$14)*1</f>
        <v>0.92580847106997421</v>
      </c>
      <c r="N14" s="61">
        <f ca="1">('TUSD BE'!$N$14+'TUSD BF'!$N$14+'TUSD CVA'!$N$14)*1</f>
        <v>19.557595444066436</v>
      </c>
      <c r="O14" s="61">
        <f>('TUSD BE'!$O$14+'TUSD BF'!$O$14+'TUSD CVA'!$O$14)*1</f>
        <v>0</v>
      </c>
      <c r="P14" s="61">
        <f>('TUSD BE'!$P$14+'TUSD BF'!$P$14+'TUSD CVA'!$P$14)*1</f>
        <v>0</v>
      </c>
      <c r="Q14" s="61">
        <f>('TUSD BE'!$Q$14+'TUSD BF'!$Q$14+'TUSD CVA'!$Q$14)*1</f>
        <v>83.797894696981146</v>
      </c>
      <c r="R14" s="61">
        <f>('TUSD BE'!$R$14+'TUSD BF'!$R$14+'TUSD CVA'!$R$14)*1</f>
        <v>16.867208127539318</v>
      </c>
      <c r="S14" s="61">
        <f>('TUSD BE'!$S$14+'TUSD BF'!$S$14+'TUSD CVA'!$S$14)*1</f>
        <v>0</v>
      </c>
      <c r="T14" s="61">
        <f>('TUSD BE'!$U$14+'TUSD BF'!$U$14+'TUSD CVA'!$U$14)*1</f>
        <v>0</v>
      </c>
      <c r="U14" s="61">
        <f>('TUSD BE'!$V$14+'TUSD BF'!$V$14+'TUSD CVA'!$V$14)*1</f>
        <v>0</v>
      </c>
      <c r="V14" s="61">
        <f>('TUSD BE'!$W$14+'TUSD BF'!$W$14+'TUSD CVA'!$W$14)*1</f>
        <v>0</v>
      </c>
      <c r="W14" s="61">
        <f>('TUSD BE'!$X$14+'TUSD BF'!$X$14+'TUSD CVA'!$X$14)*1</f>
        <v>0</v>
      </c>
      <c r="X14" s="61">
        <f>('TUSD BE'!$Y$14+'TUSD BF'!$Y$14+'TUSD CVA'!$Y$14)*1</f>
        <v>798.47866441036138</v>
      </c>
      <c r="Y14" s="61">
        <f>('TUSD BE'!$Z$14+'TUSD BF'!$Z$14+'TUSD CVA'!$Z$14)*1</f>
        <v>0</v>
      </c>
      <c r="Z14" s="61">
        <f>('TUSD BE'!$AA$14+'TUSD BF'!$AA$14+'TUSD CVA'!$AA$14)*1</f>
        <v>0</v>
      </c>
      <c r="AA14" s="61">
        <f>('TUSD BE'!$AC$14+'TUSD BF'!$AC$14+'TUSD CVA'!$AC$14)*1</f>
        <v>1227.7231883313798</v>
      </c>
      <c r="AB14" s="61">
        <f ca="1">('TUSD BE'!$AE$14+'TUSD BF'!$AE$14+'TUSD CVA'!$AE$14)*1</f>
        <v>-271.14866684111485</v>
      </c>
      <c r="AC14" s="61">
        <f ca="1">('TUSD BE'!$AF$14+'TUSD BF'!$AF$14+'TUSD CVA'!$AF$14)*1</f>
        <v>0</v>
      </c>
      <c r="AD14" s="61">
        <f>('TUSD BE'!$AH$14+'TUSD BF'!$AH$14+'TUSD CVA'!$AH$14)*1</f>
        <v>10.991514579284878</v>
      </c>
      <c r="AE14" s="61">
        <f>('TUSD BE'!$AI$14+'TUSD BF'!$AI$14+'TUSD CVA'!$AI$14)*1</f>
        <v>0.11241258582665123</v>
      </c>
      <c r="AF14" s="61">
        <f ca="1">('TUSD BE'!$AJ$14+'TUSD BF'!$AJ$14+'TUSD CVA'!$AJ$14)*1</f>
        <v>0.81951484521528617</v>
      </c>
      <c r="AG14" s="61">
        <f ca="1">('TUSD BE'!$AK$14+'TUSD BF'!$AK$14+'TUSD CVA'!$AK$14)*1</f>
        <v>0.34221718071340951</v>
      </c>
      <c r="AI14" s="61">
        <v>2.9659033343218</v>
      </c>
      <c r="AJ14" s="61">
        <v>0.88588328038786002</v>
      </c>
      <c r="AK14" s="61">
        <v>18.2445910291251</v>
      </c>
      <c r="AL14" s="61">
        <v>0</v>
      </c>
      <c r="AM14" s="61">
        <v>0</v>
      </c>
      <c r="AN14" s="61">
        <v>67.4939877039793</v>
      </c>
      <c r="AO14" s="61">
        <v>11.642427400448</v>
      </c>
      <c r="AP14" s="61">
        <v>0</v>
      </c>
      <c r="AQ14" s="61">
        <v>0</v>
      </c>
      <c r="AR14" s="61">
        <v>0</v>
      </c>
      <c r="AS14" s="61">
        <v>0</v>
      </c>
      <c r="AT14" s="61">
        <v>0</v>
      </c>
      <c r="AU14" s="61">
        <v>558.60763703878001</v>
      </c>
      <c r="AV14" s="61">
        <v>0</v>
      </c>
      <c r="AW14" s="61">
        <v>0</v>
      </c>
      <c r="AX14" s="61">
        <v>1245.2011373351399</v>
      </c>
      <c r="AY14" s="61">
        <v>-163.86383035507501</v>
      </c>
      <c r="AZ14" s="61">
        <v>0</v>
      </c>
      <c r="BA14" s="61">
        <v>12.863828594835001</v>
      </c>
      <c r="BB14" s="61">
        <v>9.6626149409971496E-2</v>
      </c>
      <c r="BC14" s="61">
        <v>1.08173818720201</v>
      </c>
      <c r="BD14" s="61">
        <v>0.31537325145650502</v>
      </c>
    </row>
    <row r="15" spans="1:56" ht="11.25" customHeight="1" x14ac:dyDescent="0.3">
      <c r="A15" s="132"/>
      <c r="B15" s="132"/>
      <c r="C15" s="132"/>
      <c r="D15" s="132"/>
      <c r="E15" s="132"/>
      <c r="F15" s="132"/>
      <c r="G15" s="66" t="s">
        <v>78</v>
      </c>
      <c r="H15" s="66" t="s">
        <v>76</v>
      </c>
      <c r="I15" s="66">
        <f>'MERCADO TUSD'!$U$12</f>
        <v>18843.148999999998</v>
      </c>
      <c r="J15" s="15"/>
      <c r="L15" s="61">
        <f>('TUSD BE'!$L$15+'TUSD BF'!$L$15+'TUSD CVA'!$L$15)*1</f>
        <v>2.9593256974143847</v>
      </c>
      <c r="M15" s="61">
        <f>('TUSD BE'!$M$15+'TUSD BF'!$M$15+'TUSD CVA'!$M$15)*1</f>
        <v>0.92580847106997421</v>
      </c>
      <c r="N15" s="61">
        <f ca="1">('TUSD BE'!$N$15+'TUSD BF'!$N$15+'TUSD CVA'!$N$15)*1</f>
        <v>0.37114469547588347</v>
      </c>
      <c r="O15" s="61">
        <f>('TUSD BE'!$O$15+'TUSD BF'!$O$15+'TUSD CVA'!$O$15)*1</f>
        <v>0</v>
      </c>
      <c r="P15" s="61">
        <f>('TUSD BE'!$P$15+'TUSD BF'!$P$15+'TUSD CVA'!$P$15)*1</f>
        <v>0</v>
      </c>
      <c r="Q15" s="61">
        <f>('TUSD BE'!$Q$15+'TUSD BF'!$Q$15+'TUSD CVA'!$Q$15)*1</f>
        <v>83.797894696981146</v>
      </c>
      <c r="R15" s="61">
        <f>('TUSD BE'!$R$15+'TUSD BF'!$R$15+'TUSD CVA'!$R$15)*1</f>
        <v>16.867208127539318</v>
      </c>
      <c r="S15" s="61">
        <f>('TUSD BE'!$S$15+'TUSD BF'!$S$15+'TUSD CVA'!$S$15)*1</f>
        <v>0</v>
      </c>
      <c r="T15" s="61">
        <f>('TUSD BE'!$U$15+'TUSD BF'!$U$15+'TUSD CVA'!$U$15)*1</f>
        <v>0</v>
      </c>
      <c r="U15" s="61">
        <f>('TUSD BE'!$V$15+'TUSD BF'!$V$15+'TUSD CVA'!$V$15)*1</f>
        <v>0</v>
      </c>
      <c r="V15" s="61">
        <f>('TUSD BE'!$W$15+'TUSD BF'!$W$15+'TUSD CVA'!$W$15)*1</f>
        <v>0</v>
      </c>
      <c r="W15" s="61">
        <f>('TUSD BE'!$X$15+'TUSD BF'!$X$15+'TUSD CVA'!$X$15)*1</f>
        <v>0</v>
      </c>
      <c r="X15" s="61">
        <f>('TUSD BE'!$Y$15+'TUSD BF'!$Y$15+'TUSD CVA'!$Y$15)*1</f>
        <v>0</v>
      </c>
      <c r="Y15" s="61">
        <f>('TUSD BE'!$Z$15+'TUSD BF'!$Z$15+'TUSD CVA'!$Z$15)*1</f>
        <v>0</v>
      </c>
      <c r="Z15" s="61">
        <f>('TUSD BE'!$AA$15+'TUSD BF'!$AA$15+'TUSD CVA'!$AA$15)*1</f>
        <v>0</v>
      </c>
      <c r="AA15" s="61">
        <f>('TUSD BE'!$AC$15+'TUSD BF'!$AC$15+'TUSD CVA'!$AC$15)*1</f>
        <v>0</v>
      </c>
      <c r="AB15" s="61">
        <f ca="1">('TUSD BE'!$AE$15+'TUSD BF'!$AE$15+'TUSD CVA'!$AE$15)*1</f>
        <v>-13.040528959779035</v>
      </c>
      <c r="AC15" s="61">
        <f ca="1">('TUSD BE'!$AF$15+'TUSD BF'!$AF$15+'TUSD CVA'!$AF$15)*1</f>
        <v>0</v>
      </c>
      <c r="AD15" s="61">
        <f>('TUSD BE'!$AH$15+'TUSD BF'!$AH$15+'TUSD CVA'!$AH$15)*1</f>
        <v>10.991514579284878</v>
      </c>
      <c r="AE15" s="61">
        <f>('TUSD BE'!$AI$15+'TUSD BF'!$AI$15+'TUSD CVA'!$AI$15)*1</f>
        <v>0.11241258582665123</v>
      </c>
      <c r="AF15" s="61">
        <f ca="1">('TUSD BE'!$AJ$15+'TUSD BF'!$AJ$15+'TUSD CVA'!$AJ$15)*1</f>
        <v>0.81951484521528617</v>
      </c>
      <c r="AG15" s="61">
        <f ca="1">('TUSD BE'!$AK$15+'TUSD BF'!$AK$15+'TUSD CVA'!$AK$15)*1</f>
        <v>0.34221718071340951</v>
      </c>
      <c r="AI15" s="61">
        <v>2.9659033343218</v>
      </c>
      <c r="AJ15" s="61">
        <v>0.88588328038786002</v>
      </c>
      <c r="AK15" s="61">
        <v>0.40357614333477398</v>
      </c>
      <c r="AL15" s="61">
        <v>0</v>
      </c>
      <c r="AM15" s="61">
        <v>0</v>
      </c>
      <c r="AN15" s="61">
        <v>67.4939877039793</v>
      </c>
      <c r="AO15" s="61">
        <v>11.642427400448</v>
      </c>
      <c r="AP15" s="61">
        <v>0</v>
      </c>
      <c r="AQ15" s="61">
        <v>0</v>
      </c>
      <c r="AR15" s="61">
        <v>0</v>
      </c>
      <c r="AS15" s="61">
        <v>0</v>
      </c>
      <c r="AT15" s="61">
        <v>0</v>
      </c>
      <c r="AU15" s="61">
        <v>0</v>
      </c>
      <c r="AV15" s="61">
        <v>0</v>
      </c>
      <c r="AW15" s="61">
        <v>0</v>
      </c>
      <c r="AX15" s="61">
        <v>0</v>
      </c>
      <c r="AY15" s="61">
        <v>-7.2068703430738399</v>
      </c>
      <c r="AZ15" s="61">
        <v>0</v>
      </c>
      <c r="BA15" s="61">
        <v>12.863828594835001</v>
      </c>
      <c r="BB15" s="61">
        <v>9.6626149409971496E-2</v>
      </c>
      <c r="BC15" s="61">
        <v>1.08173818720201</v>
      </c>
      <c r="BD15" s="61">
        <v>0.31537325145650502</v>
      </c>
    </row>
    <row r="16" spans="1:56" ht="11.25" customHeight="1" x14ac:dyDescent="0.3">
      <c r="A16" s="132"/>
      <c r="B16" s="132"/>
      <c r="C16" s="132"/>
      <c r="D16" s="132"/>
      <c r="E16" s="132" t="s">
        <v>87</v>
      </c>
      <c r="F16" s="132" t="s">
        <v>25</v>
      </c>
      <c r="G16" s="66" t="s">
        <v>77</v>
      </c>
      <c r="H16" s="66" t="s">
        <v>76</v>
      </c>
      <c r="I16" s="66">
        <f>'MERCADO TUSD'!$U$13</f>
        <v>0</v>
      </c>
      <c r="J16" s="15"/>
      <c r="L16" s="61">
        <f>('TUSD BE'!$L$16+'TUSD BF'!$L$16+'TUSD CVA'!$L$16)*1</f>
        <v>0</v>
      </c>
      <c r="M16" s="61">
        <f>('TUSD BE'!$M$16+'TUSD BF'!$M$16+'TUSD CVA'!$M$16)*1</f>
        <v>0.92580847106997421</v>
      </c>
      <c r="N16" s="61">
        <f ca="1">('TUSD BE'!$N$16+'TUSD BF'!$N$16+'TUSD CVA'!$N$16)*1</f>
        <v>19.547591712047435</v>
      </c>
      <c r="O16" s="61">
        <f>('TUSD BE'!$O$16+'TUSD BF'!$O$16+'TUSD CVA'!$O$16)*1</f>
        <v>0</v>
      </c>
      <c r="P16" s="61">
        <f>('TUSD BE'!$P$16+'TUSD BF'!$P$16+'TUSD CVA'!$P$16)*1</f>
        <v>0</v>
      </c>
      <c r="Q16" s="61">
        <f>('TUSD BE'!$Q$16+'TUSD BF'!$Q$16+'TUSD CVA'!$Q$16)*1</f>
        <v>0</v>
      </c>
      <c r="R16" s="61">
        <f>('TUSD BE'!$R$16+'TUSD BF'!$R$16+'TUSD CVA'!$R$16)*1</f>
        <v>0</v>
      </c>
      <c r="S16" s="61">
        <f>('TUSD BE'!$S$16+'TUSD BF'!$S$16+'TUSD CVA'!$S$16)*1</f>
        <v>0</v>
      </c>
      <c r="T16" s="61">
        <f>('TUSD BE'!$U$16+'TUSD BF'!$U$16+'TUSD CVA'!$U$16)*1</f>
        <v>0</v>
      </c>
      <c r="U16" s="61">
        <f>('TUSD BE'!$V$16+'TUSD BF'!$V$16+'TUSD CVA'!$V$16)*1</f>
        <v>0</v>
      </c>
      <c r="V16" s="61">
        <f>('TUSD BE'!$W$16+'TUSD BF'!$W$16+'TUSD CVA'!$W$16)*1</f>
        <v>0</v>
      </c>
      <c r="W16" s="61">
        <f>('TUSD BE'!$X$16+'TUSD BF'!$X$16+'TUSD CVA'!$X$16)*1</f>
        <v>0</v>
      </c>
      <c r="X16" s="61">
        <f>('TUSD BE'!$Y$16+'TUSD BF'!$Y$16+'TUSD CVA'!$Y$16)*1</f>
        <v>798.47866441036138</v>
      </c>
      <c r="Y16" s="61">
        <f>('TUSD BE'!$Z$16+'TUSD BF'!$Z$16+'TUSD CVA'!$Z$16)*1</f>
        <v>0</v>
      </c>
      <c r="Z16" s="61">
        <f>('TUSD BE'!$AA$16+'TUSD BF'!$AA$16+'TUSD CVA'!$AA$16)*1</f>
        <v>0</v>
      </c>
      <c r="AA16" s="61">
        <f>('TUSD BE'!$AC$16+'TUSD BF'!$AC$16+'TUSD CVA'!$AC$16)*1</f>
        <v>1227.7231883313798</v>
      </c>
      <c r="AB16" s="61">
        <f ca="1">('TUSD BE'!$AE$16+'TUSD BF'!$AE$16+'TUSD CVA'!$AE$16)*1</f>
        <v>-259.83757249945705</v>
      </c>
      <c r="AC16" s="61">
        <f ca="1">('TUSD BE'!$AF$16+'TUSD BF'!$AF$16+'TUSD CVA'!$AF$16)*1</f>
        <v>0</v>
      </c>
      <c r="AD16" s="61">
        <f>('TUSD BE'!$AH$16+'TUSD BF'!$AH$16+'TUSD CVA'!$AH$16)*1</f>
        <v>10.991514579284878</v>
      </c>
      <c r="AE16" s="61">
        <f>('TUSD BE'!$AI$16+'TUSD BF'!$AI$16+'TUSD CVA'!$AI$16)*1</f>
        <v>0.11241258582665123</v>
      </c>
      <c r="AF16" s="61">
        <f ca="1">('TUSD BE'!$AJ$16+'TUSD BF'!$AJ$16+'TUSD CVA'!$AJ$16)*1</f>
        <v>0.81951484521528617</v>
      </c>
      <c r="AG16" s="61">
        <f ca="1">('TUSD BE'!$AK$16+'TUSD BF'!$AK$16+'TUSD CVA'!$AK$16)*1</f>
        <v>0.34221718071340951</v>
      </c>
      <c r="AI16" s="61">
        <v>0</v>
      </c>
      <c r="AJ16" s="61">
        <v>0.88588328038786002</v>
      </c>
      <c r="AK16" s="61">
        <v>18.231294844327401</v>
      </c>
      <c r="AL16" s="61">
        <v>0</v>
      </c>
      <c r="AM16" s="61">
        <v>0</v>
      </c>
      <c r="AN16" s="61">
        <v>0</v>
      </c>
      <c r="AO16" s="61">
        <v>0</v>
      </c>
      <c r="AP16" s="61">
        <v>0</v>
      </c>
      <c r="AQ16" s="61">
        <v>0</v>
      </c>
      <c r="AR16" s="61">
        <v>0</v>
      </c>
      <c r="AS16" s="61">
        <v>0</v>
      </c>
      <c r="AT16" s="61">
        <v>0</v>
      </c>
      <c r="AU16" s="61">
        <v>558.60763703878001</v>
      </c>
      <c r="AV16" s="61">
        <v>0</v>
      </c>
      <c r="AW16" s="61">
        <v>0</v>
      </c>
      <c r="AX16" s="61">
        <v>1245.2011373351399</v>
      </c>
      <c r="AY16" s="61">
        <v>-158.048381200763</v>
      </c>
      <c r="AZ16" s="61">
        <v>0</v>
      </c>
      <c r="BA16" s="61">
        <v>12.863828594835001</v>
      </c>
      <c r="BB16" s="61">
        <v>9.6626149409971496E-2</v>
      </c>
      <c r="BC16" s="61">
        <v>1.08173818720201</v>
      </c>
      <c r="BD16" s="61">
        <v>0.31537325145650502</v>
      </c>
    </row>
    <row r="17" spans="1:56" ht="11.25" customHeight="1" x14ac:dyDescent="0.3">
      <c r="A17" s="132"/>
      <c r="B17" s="132"/>
      <c r="C17" s="132"/>
      <c r="D17" s="132"/>
      <c r="E17" s="132"/>
      <c r="F17" s="132"/>
      <c r="G17" s="66" t="s">
        <v>78</v>
      </c>
      <c r="H17" s="66" t="s">
        <v>76</v>
      </c>
      <c r="I17" s="66">
        <f>'MERCADO TUSD'!$U$14</f>
        <v>0</v>
      </c>
      <c r="J17" s="15"/>
      <c r="L17" s="61">
        <f>('TUSD BE'!$L$17+'TUSD BF'!$L$17+'TUSD CVA'!$L$17)*1</f>
        <v>0</v>
      </c>
      <c r="M17" s="61">
        <f>('TUSD BE'!$M$17+'TUSD BF'!$M$17+'TUSD CVA'!$M$17)*1</f>
        <v>0.92580847106997421</v>
      </c>
      <c r="N17" s="61">
        <f ca="1">('TUSD BE'!$N$17+'TUSD BF'!$N$17+'TUSD CVA'!$N$17)*1</f>
        <v>0.36114096345688224</v>
      </c>
      <c r="O17" s="61">
        <f>('TUSD BE'!$O$17+'TUSD BF'!$O$17+'TUSD CVA'!$O$17)*1</f>
        <v>0</v>
      </c>
      <c r="P17" s="61">
        <f>('TUSD BE'!$P$17+'TUSD BF'!$P$17+'TUSD CVA'!$P$17)*1</f>
        <v>0</v>
      </c>
      <c r="Q17" s="61">
        <f>('TUSD BE'!$Q$17+'TUSD BF'!$Q$17+'TUSD CVA'!$Q$17)*1</f>
        <v>0</v>
      </c>
      <c r="R17" s="61">
        <f>('TUSD BE'!$R$17+'TUSD BF'!$R$17+'TUSD CVA'!$R$17)*1</f>
        <v>0</v>
      </c>
      <c r="S17" s="61">
        <f>('TUSD BE'!$S$17+'TUSD BF'!$S$17+'TUSD CVA'!$S$17)*1</f>
        <v>0</v>
      </c>
      <c r="T17" s="61">
        <f>('TUSD BE'!$U$17+'TUSD BF'!$U$17+'TUSD CVA'!$U$17)*1</f>
        <v>0</v>
      </c>
      <c r="U17" s="61">
        <f>('TUSD BE'!$V$17+'TUSD BF'!$V$17+'TUSD CVA'!$V$17)*1</f>
        <v>0</v>
      </c>
      <c r="V17" s="61">
        <f>('TUSD BE'!$W$17+'TUSD BF'!$W$17+'TUSD CVA'!$W$17)*1</f>
        <v>0</v>
      </c>
      <c r="W17" s="61">
        <f>('TUSD BE'!$X$17+'TUSD BF'!$X$17+'TUSD CVA'!$X$17)*1</f>
        <v>0</v>
      </c>
      <c r="X17" s="61">
        <f>('TUSD BE'!$Y$17+'TUSD BF'!$Y$17+'TUSD CVA'!$Y$17)*1</f>
        <v>0</v>
      </c>
      <c r="Y17" s="61">
        <f>('TUSD BE'!$Z$17+'TUSD BF'!$Z$17+'TUSD CVA'!$Z$17)*1</f>
        <v>0</v>
      </c>
      <c r="Z17" s="61">
        <f>('TUSD BE'!$AA$17+'TUSD BF'!$AA$17+'TUSD CVA'!$AA$17)*1</f>
        <v>0</v>
      </c>
      <c r="AA17" s="61">
        <f>('TUSD BE'!$AC$17+'TUSD BF'!$AC$17+'TUSD CVA'!$AC$17)*1</f>
        <v>0</v>
      </c>
      <c r="AB17" s="61">
        <f ca="1">('TUSD BE'!$AE$17+'TUSD BF'!$AE$17+'TUSD CVA'!$AE$17)*1</f>
        <v>-1.7294346181213043</v>
      </c>
      <c r="AC17" s="61">
        <f ca="1">('TUSD BE'!$AF$17+'TUSD BF'!$AF$17+'TUSD CVA'!$AF$17)*1</f>
        <v>0</v>
      </c>
      <c r="AD17" s="61">
        <f>('TUSD BE'!$AH$17+'TUSD BF'!$AH$17+'TUSD CVA'!$AH$17)*1</f>
        <v>10.991514579284878</v>
      </c>
      <c r="AE17" s="61">
        <f>('TUSD BE'!$AI$17+'TUSD BF'!$AI$17+'TUSD CVA'!$AI$17)*1</f>
        <v>0.11241258582665123</v>
      </c>
      <c r="AF17" s="61">
        <f ca="1">('TUSD BE'!$AJ$17+'TUSD BF'!$AJ$17+'TUSD CVA'!$AJ$17)*1</f>
        <v>0.81951484521528617</v>
      </c>
      <c r="AG17" s="61">
        <f ca="1">('TUSD BE'!$AK$17+'TUSD BF'!$AK$17+'TUSD CVA'!$AK$17)*1</f>
        <v>0.34221718071340951</v>
      </c>
      <c r="AI17" s="61">
        <v>0</v>
      </c>
      <c r="AJ17" s="61">
        <v>0.88588328038786002</v>
      </c>
      <c r="AK17" s="61">
        <v>0.39027995853712</v>
      </c>
      <c r="AL17" s="61">
        <v>0</v>
      </c>
      <c r="AM17" s="61">
        <v>0</v>
      </c>
      <c r="AN17" s="61">
        <v>0</v>
      </c>
      <c r="AO17" s="61">
        <v>0</v>
      </c>
      <c r="AP17" s="61">
        <v>0</v>
      </c>
      <c r="AQ17" s="61">
        <v>0</v>
      </c>
      <c r="AR17" s="61">
        <v>0</v>
      </c>
      <c r="AS17" s="61">
        <v>0</v>
      </c>
      <c r="AT17" s="61">
        <v>0</v>
      </c>
      <c r="AU17" s="61">
        <v>0</v>
      </c>
      <c r="AV17" s="61">
        <v>0</v>
      </c>
      <c r="AW17" s="61">
        <v>0</v>
      </c>
      <c r="AX17" s="61">
        <v>0</v>
      </c>
      <c r="AY17" s="61">
        <v>-1.3914211887624801</v>
      </c>
      <c r="AZ17" s="61">
        <v>0</v>
      </c>
      <c r="BA17" s="61">
        <v>12.863828594835001</v>
      </c>
      <c r="BB17" s="61">
        <v>9.6626149409971496E-2</v>
      </c>
      <c r="BC17" s="61">
        <v>1.08173818720201</v>
      </c>
      <c r="BD17" s="61">
        <v>0.31537325145650502</v>
      </c>
    </row>
    <row r="18" spans="1:56" ht="11.25" customHeight="1" x14ac:dyDescent="0.3">
      <c r="A18" s="132" t="s">
        <v>90</v>
      </c>
      <c r="B18" s="132" t="s">
        <v>88</v>
      </c>
      <c r="C18" s="132" t="s">
        <v>25</v>
      </c>
      <c r="D18" s="132" t="s">
        <v>25</v>
      </c>
      <c r="E18" s="65" t="s">
        <v>91</v>
      </c>
      <c r="F18" s="65" t="s">
        <v>25</v>
      </c>
      <c r="G18" s="66" t="s">
        <v>9</v>
      </c>
      <c r="H18" s="66" t="s">
        <v>84</v>
      </c>
      <c r="I18" s="66">
        <f>'MERCADO TUSD'!$U$15+0.00000001</f>
        <v>1E-8</v>
      </c>
      <c r="J18" s="15"/>
      <c r="L18" s="61">
        <f>('TUSD BE'!$L$18+'TUSD BF'!$L$18+'TUSD CVA'!$L$18)*1</f>
        <v>0</v>
      </c>
      <c r="M18" s="61">
        <f>('TUSD BE'!$M$18+'TUSD BF'!$M$18+'TUSD CVA'!$M$18)*1</f>
        <v>2.3030904751100419E-2</v>
      </c>
      <c r="N18" s="61">
        <f ca="1">('TUSD BE'!$N$18+'TUSD BF'!$N$18+'TUSD CVA'!$N$18)*1</f>
        <v>5.7421421789066861E-2</v>
      </c>
      <c r="O18" s="61">
        <f>('TUSD BE'!$O$18+'TUSD BF'!$O$18+'TUSD CVA'!$O$18)*1</f>
        <v>0</v>
      </c>
      <c r="P18" s="61">
        <f>('TUSD BE'!$P$18+'TUSD BF'!$P$18+'TUSD CVA'!$P$18)*1</f>
        <v>0</v>
      </c>
      <c r="Q18" s="61">
        <f>('TUSD BE'!$Q$18+'TUSD BF'!$Q$18+'TUSD CVA'!$Q$18)*1</f>
        <v>0</v>
      </c>
      <c r="R18" s="61">
        <f>('TUSD BE'!$R$18+'TUSD BF'!$R$18+'TUSD CVA'!$R$18)*1</f>
        <v>0</v>
      </c>
      <c r="S18" s="61">
        <f>('TUSD BE'!$S$18+'TUSD BF'!$S$18+'TUSD CVA'!$S$18)*1</f>
        <v>0</v>
      </c>
      <c r="T18" s="61">
        <f>('TUSD BE'!$U$18+'TUSD BF'!$U$18+'TUSD CVA'!$U$18)*1</f>
        <v>0</v>
      </c>
      <c r="U18" s="61">
        <f>('TUSD BE'!$V$18+'TUSD BF'!$V$18+'TUSD CVA'!$V$18)*1</f>
        <v>0</v>
      </c>
      <c r="V18" s="61">
        <f>('TUSD BE'!$W$18+'TUSD BF'!$W$18+'TUSD CVA'!$W$18)*1</f>
        <v>0</v>
      </c>
      <c r="W18" s="61">
        <f>('TUSD BE'!$X$18+'TUSD BF'!$X$18+'TUSD CVA'!$X$18)*1</f>
        <v>0</v>
      </c>
      <c r="X18" s="61">
        <f>('TUSD BE'!$Y$18+'TUSD BF'!$Y$18+'TUSD CVA'!$Y$18)*1</f>
        <v>0</v>
      </c>
      <c r="Y18" s="61">
        <f>('TUSD BE'!$Z$18+'TUSD BF'!$Z$18+'TUSD CVA'!$Z$18)*1</f>
        <v>0</v>
      </c>
      <c r="Z18" s="61">
        <f>('TUSD BE'!$AA$18+'TUSD BF'!$AA$18+'TUSD CVA'!$AA$18)*1</f>
        <v>0</v>
      </c>
      <c r="AA18" s="61">
        <f>('TUSD BE'!$AC$18+'TUSD BF'!$AC$18+'TUSD CVA'!$AC$18)*1</f>
        <v>6.7871237078822739</v>
      </c>
      <c r="AB18" s="61">
        <f ca="1">('TUSD BE'!$AE$18+'TUSD BF'!$AE$18+'TUSD CVA'!$AE$18)*1</f>
        <v>-0.77043650767604388</v>
      </c>
      <c r="AC18" s="61">
        <f ca="1">('TUSD BE'!$AF$18+'TUSD BF'!$AF$18+'TUSD CVA'!$AF$18)*1</f>
        <v>0</v>
      </c>
      <c r="AD18" s="61">
        <f>('TUSD BE'!$AH$18+'TUSD BF'!$AH$18+'TUSD CVA'!$AH$18)*1</f>
        <v>0</v>
      </c>
      <c r="AE18" s="61">
        <f>('TUSD BE'!$AI$18+'TUSD BF'!$AI$18+'TUSD CVA'!$AI$18)*1</f>
        <v>0</v>
      </c>
      <c r="AF18" s="61">
        <f ca="1">('TUSD BE'!$AJ$18+'TUSD BF'!$AJ$18+'TUSD CVA'!$AJ$18)*1</f>
        <v>0</v>
      </c>
      <c r="AG18" s="61">
        <f ca="1">('TUSD BE'!$AK$18+'TUSD BF'!$AK$18+'TUSD CVA'!$AK$18)*1</f>
        <v>0</v>
      </c>
      <c r="AI18" s="61">
        <v>0</v>
      </c>
      <c r="AJ18" s="61">
        <v>2.63214856341067E-2</v>
      </c>
      <c r="AK18" s="61">
        <v>8.0973765417713298E-2</v>
      </c>
      <c r="AL18" s="61">
        <v>0</v>
      </c>
      <c r="AM18" s="61">
        <v>0</v>
      </c>
      <c r="AN18" s="61">
        <v>0</v>
      </c>
      <c r="AO18" s="61">
        <v>0</v>
      </c>
      <c r="AP18" s="61">
        <v>0</v>
      </c>
      <c r="AQ18" s="61">
        <v>0</v>
      </c>
      <c r="AR18" s="61">
        <v>0</v>
      </c>
      <c r="AS18" s="61">
        <v>0</v>
      </c>
      <c r="AT18" s="61">
        <v>0</v>
      </c>
      <c r="AU18" s="61">
        <v>0</v>
      </c>
      <c r="AV18" s="61">
        <v>0</v>
      </c>
      <c r="AW18" s="61">
        <v>0</v>
      </c>
      <c r="AX18" s="61">
        <v>6.7827688113093298</v>
      </c>
      <c r="AY18" s="61">
        <v>-0.64392427947122699</v>
      </c>
      <c r="AZ18" s="61">
        <v>0</v>
      </c>
      <c r="BA18" s="61">
        <v>0</v>
      </c>
      <c r="BB18" s="61">
        <v>0</v>
      </c>
      <c r="BC18" s="61">
        <v>0</v>
      </c>
      <c r="BD18" s="61">
        <v>0</v>
      </c>
    </row>
    <row r="19" spans="1:56" ht="11.25" customHeight="1" x14ac:dyDescent="0.3">
      <c r="A19" s="132"/>
      <c r="B19" s="132"/>
      <c r="C19" s="132"/>
      <c r="D19" s="132"/>
      <c r="E19" s="65" t="s">
        <v>92</v>
      </c>
      <c r="F19" s="65" t="s">
        <v>25</v>
      </c>
      <c r="G19" s="66" t="s">
        <v>9</v>
      </c>
      <c r="H19" s="66" t="s">
        <v>84</v>
      </c>
      <c r="I19" s="66">
        <f>'MERCADO TUSD'!$U$16+0.00000001</f>
        <v>1E-8</v>
      </c>
      <c r="J19" s="15"/>
      <c r="L19" s="61">
        <f>('TUSD BE'!$L$19+'TUSD BF'!$L$19+'TUSD CVA'!$L$19)*1</f>
        <v>0</v>
      </c>
      <c r="M19" s="61">
        <f>('TUSD BE'!$M$19+'TUSD BF'!$M$19+'TUSD CVA'!$M$19)*1</f>
        <v>2.3030904751100419E-2</v>
      </c>
      <c r="N19" s="61">
        <f ca="1">('TUSD BE'!$N$19+'TUSD BF'!$N$19+'TUSD CVA'!$N$19)*1</f>
        <v>5.7421421789066861E-2</v>
      </c>
      <c r="O19" s="61">
        <f>('TUSD BE'!$O$19+'TUSD BF'!$O$19+'TUSD CVA'!$O$19)*1</f>
        <v>0</v>
      </c>
      <c r="P19" s="61">
        <f>('TUSD BE'!$P$19+'TUSD BF'!$P$19+'TUSD CVA'!$P$19)*1</f>
        <v>0</v>
      </c>
      <c r="Q19" s="61">
        <f>('TUSD BE'!$Q$19+'TUSD BF'!$Q$19+'TUSD CVA'!$Q$19)*1</f>
        <v>0</v>
      </c>
      <c r="R19" s="61">
        <f>('TUSD BE'!$R$19+'TUSD BF'!$R$19+'TUSD CVA'!$R$19)*1</f>
        <v>0</v>
      </c>
      <c r="S19" s="61">
        <f>('TUSD BE'!$S$19+'TUSD BF'!$S$19+'TUSD CVA'!$S$19)*1</f>
        <v>0</v>
      </c>
      <c r="T19" s="61">
        <f>('TUSD BE'!$U$19+'TUSD BF'!$U$19+'TUSD CVA'!$U$19)*1</f>
        <v>0</v>
      </c>
      <c r="U19" s="61">
        <f>('TUSD BE'!$V$19+'TUSD BF'!$V$19+'TUSD CVA'!$V$19)*1</f>
        <v>0</v>
      </c>
      <c r="V19" s="61">
        <f>('TUSD BE'!$W$19+'TUSD BF'!$W$19+'TUSD CVA'!$W$19)*1</f>
        <v>0</v>
      </c>
      <c r="W19" s="61">
        <f>('TUSD BE'!$X$19+'TUSD BF'!$X$19+'TUSD CVA'!$X$19)*1</f>
        <v>0</v>
      </c>
      <c r="X19" s="61">
        <f>('TUSD BE'!$Y$19+'TUSD BF'!$Y$19+'TUSD CVA'!$Y$19)*1</f>
        <v>0</v>
      </c>
      <c r="Y19" s="61">
        <f>('TUSD BE'!$Z$19+'TUSD BF'!$Z$19+'TUSD CVA'!$Z$19)*1</f>
        <v>0</v>
      </c>
      <c r="Z19" s="61">
        <f>('TUSD BE'!$AA$19+'TUSD BF'!$AA$19+'TUSD CVA'!$AA$19)*1</f>
        <v>0</v>
      </c>
      <c r="AA19" s="61">
        <f>('TUSD BE'!$AC$19+'TUSD BF'!$AC$19+'TUSD CVA'!$AC$19)*1</f>
        <v>17.535172523851685</v>
      </c>
      <c r="AB19" s="61">
        <f ca="1">('TUSD BE'!$AE$19+'TUSD BF'!$AE$19+'TUSD CVA'!$AE$19)*1</f>
        <v>-1.9747974905736347</v>
      </c>
      <c r="AC19" s="61">
        <f ca="1">('TUSD BE'!$AF$19+'TUSD BF'!$AF$19+'TUSD CVA'!$AF$19)*1</f>
        <v>0</v>
      </c>
      <c r="AD19" s="61">
        <f>('TUSD BE'!$AH$19+'TUSD BF'!$AH$19+'TUSD CVA'!$AH$19)*1</f>
        <v>0</v>
      </c>
      <c r="AE19" s="61">
        <f>('TUSD BE'!$AI$19+'TUSD BF'!$AI$19+'TUSD CVA'!$AI$19)*1</f>
        <v>0</v>
      </c>
      <c r="AF19" s="61">
        <f ca="1">('TUSD BE'!$AJ$19+'TUSD BF'!$AJ$19+'TUSD CVA'!$AJ$19)*1</f>
        <v>0</v>
      </c>
      <c r="AG19" s="61">
        <f ca="1">('TUSD BE'!$AK$19+'TUSD BF'!$AK$19+'TUSD CVA'!$AK$19)*1</f>
        <v>0</v>
      </c>
      <c r="AI19" s="61">
        <v>0</v>
      </c>
      <c r="AJ19" s="61">
        <v>2.63214856341067E-2</v>
      </c>
      <c r="AK19" s="61">
        <v>8.0973765417713298E-2</v>
      </c>
      <c r="AL19" s="61">
        <v>0</v>
      </c>
      <c r="AM19" s="61">
        <v>0</v>
      </c>
      <c r="AN19" s="61">
        <v>0</v>
      </c>
      <c r="AO19" s="61">
        <v>0</v>
      </c>
      <c r="AP19" s="61">
        <v>0</v>
      </c>
      <c r="AQ19" s="61">
        <v>0</v>
      </c>
      <c r="AR19" s="61">
        <v>0</v>
      </c>
      <c r="AS19" s="61">
        <v>0</v>
      </c>
      <c r="AT19" s="61">
        <v>0</v>
      </c>
      <c r="AU19" s="61">
        <v>0</v>
      </c>
      <c r="AV19" s="61">
        <v>0</v>
      </c>
      <c r="AW19" s="61">
        <v>0</v>
      </c>
      <c r="AX19" s="61">
        <v>12.433604465850999</v>
      </c>
      <c r="AY19" s="61">
        <v>-1.1730958764416299</v>
      </c>
      <c r="AZ19" s="61">
        <v>0</v>
      </c>
      <c r="BA19" s="61">
        <v>0</v>
      </c>
      <c r="BB19" s="61">
        <v>0</v>
      </c>
      <c r="BC19" s="61">
        <v>0</v>
      </c>
      <c r="BD19" s="61">
        <v>0</v>
      </c>
    </row>
    <row r="20" spans="1:56" ht="11.25" customHeight="1" x14ac:dyDescent="0.3">
      <c r="A20" s="132" t="s">
        <v>22</v>
      </c>
      <c r="B20" s="132" t="s">
        <v>33</v>
      </c>
      <c r="C20" s="132" t="s">
        <v>24</v>
      </c>
      <c r="D20" s="132" t="s">
        <v>24</v>
      </c>
      <c r="E20" s="132" t="s">
        <v>25</v>
      </c>
      <c r="F20" s="132" t="s">
        <v>25</v>
      </c>
      <c r="G20" s="66" t="s">
        <v>77</v>
      </c>
      <c r="H20" s="66" t="s">
        <v>76</v>
      </c>
      <c r="I20" s="66">
        <f>'MERCADO TUSD'!$U$17</f>
        <v>0.68800000000000017</v>
      </c>
      <c r="J20" s="15"/>
      <c r="L20" s="61">
        <f>('TUSD BE'!$L$20+'TUSD BF'!$L$20+'TUSD CVA'!$L$20)*1</f>
        <v>3.5230067826361724</v>
      </c>
      <c r="M20" s="61">
        <f>('TUSD BE'!$M$20+'TUSD BF'!$M$20+'TUSD CVA'!$M$20)*1</f>
        <v>0.95818034924925599</v>
      </c>
      <c r="N20" s="61">
        <f ca="1">('TUSD BE'!$N$20+'TUSD BF'!$N$20+'TUSD CVA'!$N$20)*1</f>
        <v>10.782045828255242</v>
      </c>
      <c r="O20" s="61">
        <f>('TUSD BE'!$O$20+'TUSD BF'!$O$20+'TUSD CVA'!$O$20)*1</f>
        <v>0</v>
      </c>
      <c r="P20" s="61">
        <f>('TUSD BE'!$P$20+'TUSD BF'!$P$20+'TUSD CVA'!$P$20)*1</f>
        <v>0</v>
      </c>
      <c r="Q20" s="61">
        <f>('TUSD BE'!$Q$20+'TUSD BF'!$Q$20+'TUSD CVA'!$Q$20)*1</f>
        <v>99.759398448787096</v>
      </c>
      <c r="R20" s="61">
        <f>('TUSD BE'!$R$20+'TUSD BF'!$R$20+'TUSD CVA'!$R$20)*1</f>
        <v>16.867208127539318</v>
      </c>
      <c r="S20" s="61">
        <f>('TUSD BE'!$S$20+'TUSD BF'!$S$20+'TUSD CVA'!$S$20)*1</f>
        <v>0</v>
      </c>
      <c r="T20" s="61">
        <f>('TUSD BE'!$U$20+'TUSD BF'!$U$20+'TUSD CVA'!$U$20)*1</f>
        <v>0</v>
      </c>
      <c r="U20" s="61">
        <f>('TUSD BE'!$V$20+'TUSD BF'!$V$20+'TUSD CVA'!$V$20)*1</f>
        <v>0</v>
      </c>
      <c r="V20" s="61">
        <f>('TUSD BE'!$W$20+'TUSD BF'!$W$20+'TUSD CVA'!$W$20)*1</f>
        <v>0</v>
      </c>
      <c r="W20" s="61">
        <f>('TUSD BE'!$X$20+'TUSD BF'!$X$20+'TUSD CVA'!$X$20)*1</f>
        <v>0</v>
      </c>
      <c r="X20" s="61">
        <f>('TUSD BE'!$Y$20+'TUSD BF'!$Y$20+'TUSD CVA'!$Y$20)*1</f>
        <v>381.88969457409746</v>
      </c>
      <c r="Y20" s="61">
        <f>('TUSD BE'!$Z$20+'TUSD BF'!$Z$20+'TUSD CVA'!$Z$20)*1</f>
        <v>0</v>
      </c>
      <c r="Z20" s="61">
        <f>('TUSD BE'!$AA$20+'TUSD BF'!$AA$20+'TUSD CVA'!$AA$20)*1</f>
        <v>0</v>
      </c>
      <c r="AA20" s="61">
        <f>('TUSD BE'!$AC$20+'TUSD BF'!$AC$20+'TUSD CVA'!$AC$20)*1</f>
        <v>697.06990861845441</v>
      </c>
      <c r="AB20" s="61">
        <f ca="1">('TUSD BE'!$AE$20+'TUSD BF'!$AE$20+'TUSD CVA'!$AE$20)*1</f>
        <v>-152.12744438035693</v>
      </c>
      <c r="AC20" s="61">
        <f ca="1">('TUSD BE'!$AF$20+'TUSD BF'!$AF$20+'TUSD CVA'!$AF$20)*1</f>
        <v>0</v>
      </c>
      <c r="AD20" s="61">
        <f>('TUSD BE'!$AH$20+'TUSD BF'!$AH$20+'TUSD CVA'!$AH$20)*1</f>
        <v>21.401513345551315</v>
      </c>
      <c r="AE20" s="61">
        <f>('TUSD BE'!$AI$20+'TUSD BF'!$AI$20+'TUSD CVA'!$AI$20)*1</f>
        <v>0.21887788424637047</v>
      </c>
      <c r="AF20" s="61">
        <f ca="1">('TUSD BE'!$AJ$20+'TUSD BF'!$AJ$20+'TUSD CVA'!$AJ$20)*1</f>
        <v>0.80452947616297366</v>
      </c>
      <c r="AG20" s="61">
        <f ca="1">('TUSD BE'!$AK$20+'TUSD BF'!$AK$20+'TUSD CVA'!$AK$20)*1</f>
        <v>0.3359595140232044</v>
      </c>
      <c r="AI20" s="61">
        <v>3.40908429232391</v>
      </c>
      <c r="AJ20" s="61">
        <v>1.0991896086108199</v>
      </c>
      <c r="AK20" s="61">
        <v>8.4422316452749104</v>
      </c>
      <c r="AL20" s="61">
        <v>0</v>
      </c>
      <c r="AM20" s="61">
        <v>0</v>
      </c>
      <c r="AN20" s="61">
        <v>77.579296211470407</v>
      </c>
      <c r="AO20" s="61">
        <v>11.642427400448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386.25891364514501</v>
      </c>
      <c r="AV20" s="61">
        <v>0</v>
      </c>
      <c r="AW20" s="61">
        <v>0</v>
      </c>
      <c r="AX20" s="61">
        <v>472.592879121078</v>
      </c>
      <c r="AY20" s="61">
        <v>-80.676129454286595</v>
      </c>
      <c r="AZ20" s="61">
        <v>0</v>
      </c>
      <c r="BA20" s="61">
        <v>25.047127837942899</v>
      </c>
      <c r="BB20" s="61">
        <v>0.18814052899705699</v>
      </c>
      <c r="BC20" s="61">
        <v>1.1572523862194799</v>
      </c>
      <c r="BD20" s="61">
        <v>0.33738889143023498</v>
      </c>
    </row>
    <row r="21" spans="1:56" ht="11.25" customHeight="1" x14ac:dyDescent="0.3">
      <c r="A21" s="132"/>
      <c r="B21" s="132"/>
      <c r="C21" s="132"/>
      <c r="D21" s="132"/>
      <c r="E21" s="132"/>
      <c r="F21" s="132"/>
      <c r="G21" s="66" t="s">
        <v>93</v>
      </c>
      <c r="H21" s="66" t="s">
        <v>76</v>
      </c>
      <c r="I21" s="66">
        <f>'MERCADO TUSD'!$U$18</f>
        <v>0.46</v>
      </c>
      <c r="J21" s="15"/>
      <c r="L21" s="61">
        <f>('TUSD BE'!$L$21+'TUSD BF'!$L$21+'TUSD CVA'!$L$21)*1</f>
        <v>3.5230067826361724</v>
      </c>
      <c r="M21" s="61">
        <f>('TUSD BE'!$M$21+'TUSD BF'!$M$21+'TUSD CVA'!$M$21)*1</f>
        <v>0.95818034924925599</v>
      </c>
      <c r="N21" s="61">
        <f ca="1">('TUSD BE'!$N$21+'TUSD BF'!$N$21+'TUSD CVA'!$N$21)*1</f>
        <v>6.740871216854992</v>
      </c>
      <c r="O21" s="61">
        <f>('TUSD BE'!$O$21+'TUSD BF'!$O$21+'TUSD CVA'!$O$21)*1</f>
        <v>0</v>
      </c>
      <c r="P21" s="61">
        <f>('TUSD BE'!$P$21+'TUSD BF'!$P$21+'TUSD CVA'!$P$21)*1</f>
        <v>0</v>
      </c>
      <c r="Q21" s="61">
        <f>('TUSD BE'!$Q$21+'TUSD BF'!$Q$21+'TUSD CVA'!$Q$21)*1</f>
        <v>99.759398448787096</v>
      </c>
      <c r="R21" s="61">
        <f>('TUSD BE'!$R$21+'TUSD BF'!$R$21+'TUSD CVA'!$R$21)*1</f>
        <v>16.867208127539318</v>
      </c>
      <c r="S21" s="61">
        <f>('TUSD BE'!$S$21+'TUSD BF'!$S$21+'TUSD CVA'!$S$21)*1</f>
        <v>0</v>
      </c>
      <c r="T21" s="61">
        <f>('TUSD BE'!$U$21+'TUSD BF'!$U$21+'TUSD CVA'!$U$21)*1</f>
        <v>0</v>
      </c>
      <c r="U21" s="61">
        <f>('TUSD BE'!$V$21+'TUSD BF'!$V$21+'TUSD CVA'!$V$21)*1</f>
        <v>0</v>
      </c>
      <c r="V21" s="61">
        <f>('TUSD BE'!$W$21+'TUSD BF'!$W$21+'TUSD CVA'!$W$21)*1</f>
        <v>0</v>
      </c>
      <c r="W21" s="61">
        <f>('TUSD BE'!$X$21+'TUSD BF'!$X$21+'TUSD CVA'!$X$21)*1</f>
        <v>0</v>
      </c>
      <c r="X21" s="61">
        <f>('TUSD BE'!$Y$21+'TUSD BF'!$Y$21+'TUSD CVA'!$Y$21)*1</f>
        <v>229.13385291402665</v>
      </c>
      <c r="Y21" s="61">
        <f>('TUSD BE'!$Z$21+'TUSD BF'!$Z$21+'TUSD CVA'!$Z$21)*1</f>
        <v>0</v>
      </c>
      <c r="Z21" s="61">
        <f>('TUSD BE'!$AA$21+'TUSD BF'!$AA$21+'TUSD CVA'!$AA$21)*1</f>
        <v>0</v>
      </c>
      <c r="AA21" s="61">
        <f>('TUSD BE'!$AC$21+'TUSD BF'!$AC$21+'TUSD CVA'!$AC$21)*1</f>
        <v>418.24192144443367</v>
      </c>
      <c r="AB21" s="61">
        <f ca="1">('TUSD BE'!$AE$21+'TUSD BF'!$AE$21+'TUSD CVA'!$AE$21)*1</f>
        <v>-97.778517708601072</v>
      </c>
      <c r="AC21" s="61">
        <f ca="1">('TUSD BE'!$AF$21+'TUSD BF'!$AF$21+'TUSD CVA'!$AF$21)*1</f>
        <v>0</v>
      </c>
      <c r="AD21" s="61">
        <f>('TUSD BE'!$AH$21+'TUSD BF'!$AH$21+'TUSD CVA'!$AH$21)*1</f>
        <v>21.401513345551315</v>
      </c>
      <c r="AE21" s="61">
        <f>('TUSD BE'!$AI$21+'TUSD BF'!$AI$21+'TUSD CVA'!$AI$21)*1</f>
        <v>0.21887788424637047</v>
      </c>
      <c r="AF21" s="61">
        <f ca="1">('TUSD BE'!$AJ$21+'TUSD BF'!$AJ$21+'TUSD CVA'!$AJ$21)*1</f>
        <v>0.80452947616297366</v>
      </c>
      <c r="AG21" s="61">
        <f ca="1">('TUSD BE'!$AK$21+'TUSD BF'!$AK$21+'TUSD CVA'!$AK$21)*1</f>
        <v>0.3359595140232044</v>
      </c>
      <c r="AI21" s="61">
        <v>3.40908429232391</v>
      </c>
      <c r="AJ21" s="61">
        <v>1.0991896086108199</v>
      </c>
      <c r="AK21" s="61">
        <v>5.3558520898825002</v>
      </c>
      <c r="AL21" s="61">
        <v>0</v>
      </c>
      <c r="AM21" s="61">
        <v>0</v>
      </c>
      <c r="AN21" s="61">
        <v>77.579296211470407</v>
      </c>
      <c r="AO21" s="61">
        <v>11.642427400448</v>
      </c>
      <c r="AP21" s="61">
        <v>0</v>
      </c>
      <c r="AQ21" s="61">
        <v>0</v>
      </c>
      <c r="AR21" s="61">
        <v>0</v>
      </c>
      <c r="AS21" s="61">
        <v>0</v>
      </c>
      <c r="AT21" s="61">
        <v>0</v>
      </c>
      <c r="AU21" s="61">
        <v>231.75525009014601</v>
      </c>
      <c r="AV21" s="61">
        <v>0</v>
      </c>
      <c r="AW21" s="61">
        <v>0</v>
      </c>
      <c r="AX21" s="61">
        <v>283.55568276313102</v>
      </c>
      <c r="AY21" s="61">
        <v>-52.049012214920303</v>
      </c>
      <c r="AZ21" s="61">
        <v>0</v>
      </c>
      <c r="BA21" s="61">
        <v>25.047127837942899</v>
      </c>
      <c r="BB21" s="61">
        <v>0.18814052899705699</v>
      </c>
      <c r="BC21" s="61">
        <v>1.1572523862194799</v>
      </c>
      <c r="BD21" s="61">
        <v>0.33738889143023498</v>
      </c>
    </row>
    <row r="22" spans="1:56" ht="11.25" customHeight="1" x14ac:dyDescent="0.3">
      <c r="A22" s="132"/>
      <c r="B22" s="132"/>
      <c r="C22" s="132"/>
      <c r="D22" s="132"/>
      <c r="E22" s="132"/>
      <c r="F22" s="132"/>
      <c r="G22" s="66" t="s">
        <v>78</v>
      </c>
      <c r="H22" s="66" t="s">
        <v>76</v>
      </c>
      <c r="I22" s="66">
        <f>'MERCADO TUSD'!$U$19</f>
        <v>5.6850000000000005</v>
      </c>
      <c r="J22" s="15"/>
      <c r="L22" s="61">
        <f>('TUSD BE'!$L$22+'TUSD BF'!$L$22+'TUSD CVA'!$L$22)*1</f>
        <v>3.5230067826361724</v>
      </c>
      <c r="M22" s="61">
        <f>('TUSD BE'!$M$22+'TUSD BF'!$M$22+'TUSD CVA'!$M$22)*1</f>
        <v>0.95818034924925599</v>
      </c>
      <c r="N22" s="61">
        <f ca="1">('TUSD BE'!$N$22+'TUSD BF'!$N$22+'TUSD CVA'!$N$22)*1</f>
        <v>2.6996956050815402</v>
      </c>
      <c r="O22" s="61">
        <f>('TUSD BE'!$O$22+'TUSD BF'!$O$22+'TUSD CVA'!$O$22)*1</f>
        <v>0</v>
      </c>
      <c r="P22" s="61">
        <f>('TUSD BE'!$P$22+'TUSD BF'!$P$22+'TUSD CVA'!$P$22)*1</f>
        <v>0</v>
      </c>
      <c r="Q22" s="61">
        <f>('TUSD BE'!$Q$22+'TUSD BF'!$Q$22+'TUSD CVA'!$Q$22)*1</f>
        <v>99.759398448787096</v>
      </c>
      <c r="R22" s="61">
        <f>('TUSD BE'!$R$22+'TUSD BF'!$R$22+'TUSD CVA'!$R$22)*1</f>
        <v>16.867208127539318</v>
      </c>
      <c r="S22" s="61">
        <f>('TUSD BE'!$S$22+'TUSD BF'!$S$22+'TUSD CVA'!$S$22)*1</f>
        <v>0</v>
      </c>
      <c r="T22" s="61">
        <f>('TUSD BE'!$U$22+'TUSD BF'!$U$22+'TUSD CVA'!$U$22)*1</f>
        <v>0</v>
      </c>
      <c r="U22" s="61">
        <f>('TUSD BE'!$V$22+'TUSD BF'!$V$22+'TUSD CVA'!$V$22)*1</f>
        <v>0</v>
      </c>
      <c r="V22" s="61">
        <f>('TUSD BE'!$W$22+'TUSD BF'!$W$22+'TUSD CVA'!$W$22)*1</f>
        <v>0</v>
      </c>
      <c r="W22" s="61">
        <f>('TUSD BE'!$X$22+'TUSD BF'!$X$22+'TUSD CVA'!$X$22)*1</f>
        <v>0</v>
      </c>
      <c r="X22" s="61">
        <f>('TUSD BE'!$Y$22+'TUSD BF'!$Y$22+'TUSD CVA'!$Y$22)*1</f>
        <v>76.377920830035379</v>
      </c>
      <c r="Y22" s="61">
        <f>('TUSD BE'!$Z$22+'TUSD BF'!$Z$22+'TUSD CVA'!$Z$22)*1</f>
        <v>0</v>
      </c>
      <c r="Z22" s="61">
        <f>('TUSD BE'!$AA$22+'TUSD BF'!$AA$22+'TUSD CVA'!$AA$22)*1</f>
        <v>0</v>
      </c>
      <c r="AA22" s="61">
        <f>('TUSD BE'!$AC$22+'TUSD BF'!$AC$22+'TUSD CVA'!$AC$22)*1</f>
        <v>139.41393427041297</v>
      </c>
      <c r="AB22" s="61">
        <f ca="1">('TUSD BE'!$AE$22+'TUSD BF'!$AE$22+'TUSD CVA'!$AE$22)*1</f>
        <v>-43.429577530226247</v>
      </c>
      <c r="AC22" s="61">
        <f ca="1">('TUSD BE'!$AF$22+'TUSD BF'!$AF$22+'TUSD CVA'!$AF$22)*1</f>
        <v>0</v>
      </c>
      <c r="AD22" s="61">
        <f>('TUSD BE'!$AH$22+'TUSD BF'!$AH$22+'TUSD CVA'!$AH$22)*1</f>
        <v>21.401513345551315</v>
      </c>
      <c r="AE22" s="61">
        <f>('TUSD BE'!$AI$22+'TUSD BF'!$AI$22+'TUSD CVA'!$AI$22)*1</f>
        <v>0.21887788424637047</v>
      </c>
      <c r="AF22" s="61">
        <f ca="1">('TUSD BE'!$AJ$22+'TUSD BF'!$AJ$22+'TUSD CVA'!$AJ$22)*1</f>
        <v>0.80452947616297366</v>
      </c>
      <c r="AG22" s="61">
        <f ca="1">('TUSD BE'!$AK$22+'TUSD BF'!$AK$22+'TUSD CVA'!$AK$22)*1</f>
        <v>0.3359595140232044</v>
      </c>
      <c r="AI22" s="61">
        <v>3.40908429232391</v>
      </c>
      <c r="AJ22" s="61">
        <v>1.0991896086108199</v>
      </c>
      <c r="AK22" s="61">
        <v>2.2694751937270499</v>
      </c>
      <c r="AL22" s="61">
        <v>0</v>
      </c>
      <c r="AM22" s="61">
        <v>0</v>
      </c>
      <c r="AN22" s="61">
        <v>77.579296211470407</v>
      </c>
      <c r="AO22" s="61">
        <v>11.642427400448</v>
      </c>
      <c r="AP22" s="61">
        <v>0</v>
      </c>
      <c r="AQ22" s="61">
        <v>0</v>
      </c>
      <c r="AR22" s="61">
        <v>0</v>
      </c>
      <c r="AS22" s="61">
        <v>0</v>
      </c>
      <c r="AT22" s="61">
        <v>0</v>
      </c>
      <c r="AU22" s="61">
        <v>77.251831777499802</v>
      </c>
      <c r="AV22" s="61">
        <v>0</v>
      </c>
      <c r="AW22" s="61">
        <v>0</v>
      </c>
      <c r="AX22" s="61">
        <v>94.518598178973306</v>
      </c>
      <c r="AY22" s="61">
        <v>-23.421922598398499</v>
      </c>
      <c r="AZ22" s="61">
        <v>0</v>
      </c>
      <c r="BA22" s="61">
        <v>25.047127837942899</v>
      </c>
      <c r="BB22" s="61">
        <v>0.18814052899705699</v>
      </c>
      <c r="BC22" s="61">
        <v>1.1572523862194799</v>
      </c>
      <c r="BD22" s="61">
        <v>0.33738889143023498</v>
      </c>
    </row>
    <row r="23" spans="1:56" ht="11.25" customHeight="1" x14ac:dyDescent="0.3">
      <c r="A23" s="132"/>
      <c r="B23" s="132" t="s">
        <v>23</v>
      </c>
      <c r="C23" s="132" t="s">
        <v>24</v>
      </c>
      <c r="D23" s="65" t="s">
        <v>24</v>
      </c>
      <c r="E23" s="65" t="s">
        <v>25</v>
      </c>
      <c r="F23" s="65" t="s">
        <v>25</v>
      </c>
      <c r="G23" s="66" t="s">
        <v>81</v>
      </c>
      <c r="H23" s="66" t="s">
        <v>76</v>
      </c>
      <c r="I23" s="66">
        <f>'MERCADO TUSD'!$U$20</f>
        <v>20470.671000000002</v>
      </c>
      <c r="J23" s="15"/>
      <c r="L23" s="61">
        <f>('TUSD BE'!$L$23+'TUSD BF'!$L$23+'TUSD CVA'!$L$23)*1</f>
        <v>3.5230067826361724</v>
      </c>
      <c r="M23" s="61">
        <f>('TUSD BE'!$M$23+'TUSD BF'!$M$23+'TUSD CVA'!$M$23)*1</f>
        <v>0.95818034924925599</v>
      </c>
      <c r="N23" s="61">
        <f ca="1">('TUSD BE'!$N$23+'TUSD BF'!$N$23+'TUSD CVA'!$N$23)*1</f>
        <v>4.0467541423393572</v>
      </c>
      <c r="O23" s="61">
        <f>('TUSD BE'!$O$23+'TUSD BF'!$O$23+'TUSD CVA'!$O$23)*1</f>
        <v>0</v>
      </c>
      <c r="P23" s="61">
        <f>('TUSD BE'!$P$23+'TUSD BF'!$P$23+'TUSD CVA'!$P$23)*1</f>
        <v>0</v>
      </c>
      <c r="Q23" s="61">
        <f>('TUSD BE'!$Q$23+'TUSD BF'!$Q$23+'TUSD CVA'!$Q$23)*1</f>
        <v>99.759398448787096</v>
      </c>
      <c r="R23" s="61">
        <f>('TUSD BE'!$R$23+'TUSD BF'!$R$23+'TUSD CVA'!$R$23)*1</f>
        <v>16.867208127539318</v>
      </c>
      <c r="S23" s="61">
        <f>('TUSD BE'!$S$23+'TUSD BF'!$S$23+'TUSD CVA'!$S$23)*1</f>
        <v>0</v>
      </c>
      <c r="T23" s="61">
        <f>('TUSD BE'!$U$23+'TUSD BF'!$U$23+'TUSD CVA'!$U$23)*1</f>
        <v>0</v>
      </c>
      <c r="U23" s="61">
        <f>('TUSD BE'!$V$23+'TUSD BF'!$V$23+'TUSD CVA'!$V$23)*1</f>
        <v>0</v>
      </c>
      <c r="V23" s="61">
        <f>('TUSD BE'!$W$23+'TUSD BF'!$W$23+'TUSD CVA'!$W$23)*1</f>
        <v>0</v>
      </c>
      <c r="W23" s="61">
        <f>('TUSD BE'!$X$23+'TUSD BF'!$X$23+'TUSD CVA'!$X$23)*1</f>
        <v>0</v>
      </c>
      <c r="X23" s="61">
        <f>('TUSD BE'!$Y$23+'TUSD BF'!$Y$23+'TUSD CVA'!$Y$23)*1</f>
        <v>127.29653471672565</v>
      </c>
      <c r="Y23" s="61">
        <f>('TUSD BE'!$Z$23+'TUSD BF'!$Z$23+'TUSD CVA'!$Z$23)*1</f>
        <v>0</v>
      </c>
      <c r="Z23" s="61">
        <f>('TUSD BE'!$AA$23+'TUSD BF'!$AA$23+'TUSD CVA'!$AA$23)*1</f>
        <v>0</v>
      </c>
      <c r="AA23" s="61">
        <f>('TUSD BE'!$AC$23+'TUSD BF'!$AC$23+'TUSD CVA'!$AC$23)*1</f>
        <v>232.35663620615145</v>
      </c>
      <c r="AB23" s="61">
        <f ca="1">('TUSD BE'!$AE$23+'TUSD BF'!$AE$23+'TUSD CVA'!$AE$23)*1</f>
        <v>-61.545890892764554</v>
      </c>
      <c r="AC23" s="61">
        <f ca="1">('TUSD BE'!$AF$23+'TUSD BF'!$AF$23+'TUSD CVA'!$AF$23)*1</f>
        <v>0</v>
      </c>
      <c r="AD23" s="61">
        <f>('TUSD BE'!$AH$23+'TUSD BF'!$AH$23+'TUSD CVA'!$AH$23)*1</f>
        <v>21.401513345551315</v>
      </c>
      <c r="AE23" s="61">
        <f>('TUSD BE'!$AI$23+'TUSD BF'!$AI$23+'TUSD CVA'!$AI$23)*1</f>
        <v>0.21887788424637047</v>
      </c>
      <c r="AF23" s="61">
        <f ca="1">('TUSD BE'!$AJ$23+'TUSD BF'!$AJ$23+'TUSD CVA'!$AJ$23)*1</f>
        <v>0.80452947616297366</v>
      </c>
      <c r="AG23" s="61">
        <f ca="1">('TUSD BE'!$AK$23+'TUSD BF'!$AK$23+'TUSD CVA'!$AK$23)*1</f>
        <v>0.3359595140232044</v>
      </c>
      <c r="AI23" s="61">
        <v>3.40908429232391</v>
      </c>
      <c r="AJ23" s="61">
        <v>1.0991896086108199</v>
      </c>
      <c r="AK23" s="61">
        <v>3.5840437219199899</v>
      </c>
      <c r="AL23" s="61">
        <v>0</v>
      </c>
      <c r="AM23" s="61">
        <v>0</v>
      </c>
      <c r="AN23" s="61">
        <v>77.579296211470407</v>
      </c>
      <c r="AO23" s="61">
        <v>11.642427400448</v>
      </c>
      <c r="AP23" s="61">
        <v>0</v>
      </c>
      <c r="AQ23" s="61">
        <v>0</v>
      </c>
      <c r="AR23" s="61">
        <v>0</v>
      </c>
      <c r="AS23" s="61">
        <v>0</v>
      </c>
      <c r="AT23" s="61">
        <v>0</v>
      </c>
      <c r="AU23" s="61">
        <v>143.05893865306101</v>
      </c>
      <c r="AV23" s="61">
        <v>0</v>
      </c>
      <c r="AW23" s="61">
        <v>0</v>
      </c>
      <c r="AX23" s="61">
        <v>175.03439967447301</v>
      </c>
      <c r="AY23" s="61">
        <v>-35.614949466481903</v>
      </c>
      <c r="AZ23" s="61">
        <v>0</v>
      </c>
      <c r="BA23" s="61">
        <v>25.047127837942899</v>
      </c>
      <c r="BB23" s="61">
        <v>0.18814052899705699</v>
      </c>
      <c r="BC23" s="61">
        <v>1.1572523862194799</v>
      </c>
      <c r="BD23" s="61">
        <v>0.33738889143023498</v>
      </c>
    </row>
    <row r="24" spans="1:56" ht="11.25" customHeight="1" x14ac:dyDescent="0.3">
      <c r="A24" s="132"/>
      <c r="B24" s="132"/>
      <c r="C24" s="132"/>
      <c r="D24" s="65" t="s">
        <v>29</v>
      </c>
      <c r="E24" s="65" t="s">
        <v>25</v>
      </c>
      <c r="F24" s="65" t="s">
        <v>25</v>
      </c>
      <c r="G24" s="66" t="s">
        <v>81</v>
      </c>
      <c r="H24" s="66" t="s">
        <v>76</v>
      </c>
      <c r="I24" s="66">
        <f>'MERCADO TUSD'!$U$21</f>
        <v>425.12200000000001</v>
      </c>
      <c r="J24" s="15"/>
      <c r="L24" s="61">
        <f>('TUSD BE'!$L$24+'TUSD BF'!$L$24+'TUSD CVA'!$L$24)*(1 - 0.65)</f>
        <v>0</v>
      </c>
      <c r="M24" s="61">
        <f>('TUSD BE'!$M$24+'TUSD BF'!$M$24+'TUSD CVA'!$M$24)*(1 - 0.65)</f>
        <v>0.33536312223723957</v>
      </c>
      <c r="N24" s="61">
        <f ca="1">('TUSD BE'!$N$24+'TUSD BF'!$N$24+'TUSD CVA'!$N$24)*(1 - 0.65)</f>
        <v>1.4128626436121245</v>
      </c>
      <c r="O24" s="61">
        <f>('TUSD BE'!$O$24+'TUSD BF'!$O$24+'TUSD CVA'!$O$24)*(1 - 0.65)</f>
        <v>0</v>
      </c>
      <c r="P24" s="61">
        <v>0</v>
      </c>
      <c r="Q24" s="61">
        <f>('TUSD BE'!$Q$24+'TUSD BF'!$Q$24+'TUSD CVA'!$Q$24)*(1 - 0.65)</f>
        <v>0</v>
      </c>
      <c r="R24" s="61">
        <v>0</v>
      </c>
      <c r="S24" s="61">
        <f>('TUSD BE'!$S$24+'TUSD BF'!$S$24+'TUSD CVA'!$S$24)*(1 - 0.65)</f>
        <v>0</v>
      </c>
      <c r="T24" s="61">
        <f>('TUSD BE'!$U$24+'TUSD BF'!$U$24+'TUSD CVA'!$U$24)*(1 - 0.65)</f>
        <v>0</v>
      </c>
      <c r="U24" s="61">
        <f>('TUSD BE'!$V$24+'TUSD BF'!$V$24+'TUSD CVA'!$V$24)*(1 - 0.65)</f>
        <v>0</v>
      </c>
      <c r="V24" s="61">
        <f>('TUSD BE'!$W$24+'TUSD BF'!$W$24+'TUSD CVA'!$W$24)*(1 - 0.65)</f>
        <v>0</v>
      </c>
      <c r="W24" s="61">
        <f>('TUSD BE'!$X$24+'TUSD BF'!$X$24+'TUSD CVA'!$X$24)*(1 - 0.65)</f>
        <v>0</v>
      </c>
      <c r="X24" s="61">
        <f>('TUSD BE'!$Y$24+'TUSD BF'!$Y$24+'TUSD CVA'!$Y$24)*(1 - 0.65)</f>
        <v>44.553787150853971</v>
      </c>
      <c r="Y24" s="61">
        <f>('TUSD BE'!$Z$24+'TUSD BF'!$Z$24+'TUSD CVA'!$Z$24)*(1 - 0.65)</f>
        <v>0</v>
      </c>
      <c r="Z24" s="61">
        <f>('TUSD BE'!$AA$24+'TUSD BF'!$AA$24+'TUSD CVA'!$AA$24)*(1 - 0.65)</f>
        <v>0</v>
      </c>
      <c r="AA24" s="61">
        <f>('TUSD BE'!$AC$24+'TUSD BF'!$AC$24+'TUSD CVA'!$AC$24)*(1 - 0.65)</f>
        <v>81.324822672153005</v>
      </c>
      <c r="AB24" s="61">
        <f ca="1">('TUSD BE'!$AE$24+'TUSD BF'!$AE$24+'TUSD CVA'!$AE$24)*(1 - 0.65)</f>
        <v>-16.944048547857438</v>
      </c>
      <c r="AC24" s="61">
        <f ca="1">('TUSD BE'!$AF$24+'TUSD BF'!$AF$24+'TUSD CVA'!$AF$24)*(1 - 0.65)</f>
        <v>0</v>
      </c>
      <c r="AD24" s="61">
        <f>('TUSD BE'!$AH$24+'TUSD BF'!$AH$24+'TUSD CVA'!$AH$24)*(1 - 0.65)</f>
        <v>7.4905296709429594</v>
      </c>
      <c r="AE24" s="61">
        <f>('TUSD BE'!$AI$24+'TUSD BF'!$AI$24+'TUSD CVA'!$AI$24)*(1 - 0.65)</f>
        <v>7.6607259486229665E-2</v>
      </c>
      <c r="AF24" s="61">
        <f ca="1">('TUSD BE'!$AJ$24+'TUSD BF'!$AJ$24+'TUSD CVA'!$AJ$24)*(1 - 0.65)</f>
        <v>0.28158531665704079</v>
      </c>
      <c r="AG24" s="61">
        <f ca="1">('TUSD BE'!$AK$24+'TUSD BF'!$AK$24+'TUSD CVA'!$AK$24)*(1 - 0.65)</f>
        <v>0.11758582990812153</v>
      </c>
      <c r="AI24" s="61">
        <v>0</v>
      </c>
      <c r="AJ24" s="61">
        <v>0.38471636301378798</v>
      </c>
      <c r="AK24" s="61">
        <v>1.24976163799282</v>
      </c>
      <c r="AL24" s="61">
        <v>0</v>
      </c>
      <c r="AM24" s="61">
        <v>0</v>
      </c>
      <c r="AN24" s="61">
        <v>0</v>
      </c>
      <c r="AO24" s="61">
        <v>0</v>
      </c>
      <c r="AP24" s="61">
        <v>0</v>
      </c>
      <c r="AQ24" s="61">
        <v>0</v>
      </c>
      <c r="AR24" s="61">
        <v>0</v>
      </c>
      <c r="AS24" s="61">
        <v>0</v>
      </c>
      <c r="AT24" s="61">
        <v>0</v>
      </c>
      <c r="AU24" s="61">
        <v>50.070628528571199</v>
      </c>
      <c r="AV24" s="61">
        <v>0</v>
      </c>
      <c r="AW24" s="61">
        <v>0</v>
      </c>
      <c r="AX24" s="61">
        <v>61.262039886065701</v>
      </c>
      <c r="AY24" s="61">
        <v>-10.167903449859899</v>
      </c>
      <c r="AZ24" s="61">
        <v>0</v>
      </c>
      <c r="BA24" s="61">
        <v>8.7664947432800293</v>
      </c>
      <c r="BB24" s="61">
        <v>6.5849185148969896E-2</v>
      </c>
      <c r="BC24" s="61">
        <v>0.40503833517681798</v>
      </c>
      <c r="BD24" s="61">
        <v>0.118086112000582</v>
      </c>
    </row>
    <row r="25" spans="1:56" ht="11.25" customHeight="1" x14ac:dyDescent="0.3">
      <c r="A25" s="132"/>
      <c r="B25" s="132"/>
      <c r="C25" s="132"/>
      <c r="D25" s="65" t="s">
        <v>30</v>
      </c>
      <c r="E25" s="65" t="s">
        <v>25</v>
      </c>
      <c r="F25" s="65" t="s">
        <v>25</v>
      </c>
      <c r="G25" s="66" t="s">
        <v>81</v>
      </c>
      <c r="H25" s="66" t="s">
        <v>76</v>
      </c>
      <c r="I25" s="66">
        <f>'MERCADO TUSD'!$U$22</f>
        <v>876.85199999999986</v>
      </c>
      <c r="J25" s="15"/>
      <c r="L25" s="61">
        <f>('TUSD BE'!$L$25+'TUSD BF'!$L$25+'TUSD CVA'!$L$25)*(1 - 0.4)</f>
        <v>0</v>
      </c>
      <c r="M25" s="61">
        <f>('TUSD BE'!$M$25+'TUSD BF'!$M$25+'TUSD CVA'!$M$25)*(1 - 0.4)</f>
        <v>0.57490820954955357</v>
      </c>
      <c r="N25" s="61">
        <f ca="1">('TUSD BE'!$N$25+'TUSD BF'!$N$25+'TUSD CVA'!$N$25)*(1 - 0.4)</f>
        <v>2.4220502461922133</v>
      </c>
      <c r="O25" s="61">
        <f>('TUSD BE'!$O$25+'TUSD BF'!$O$25+'TUSD CVA'!$O$25)*(1 - 0.4)</f>
        <v>0</v>
      </c>
      <c r="P25" s="61">
        <v>0</v>
      </c>
      <c r="Q25" s="61">
        <f>('TUSD BE'!$Q$25+'TUSD BF'!$Q$25+'TUSD CVA'!$Q$25)*(1 - 0.4)</f>
        <v>0</v>
      </c>
      <c r="R25" s="61">
        <v>0</v>
      </c>
      <c r="S25" s="61">
        <f>('TUSD BE'!$S$25+'TUSD BF'!$S$25+'TUSD CVA'!$S$25)*(1 - 0.4)</f>
        <v>0</v>
      </c>
      <c r="T25" s="61">
        <f>('TUSD BE'!$U$25+'TUSD BF'!$U$25+'TUSD CVA'!$U$25)*(1 - 0.4)</f>
        <v>0</v>
      </c>
      <c r="U25" s="61">
        <f>('TUSD BE'!$V$25+'TUSD BF'!$V$25+'TUSD CVA'!$V$25)*(1 - 0.4)</f>
        <v>0</v>
      </c>
      <c r="V25" s="61">
        <f>('TUSD BE'!$W$25+'TUSD BF'!$W$25+'TUSD CVA'!$W$25)*(1 - 0.4)</f>
        <v>0</v>
      </c>
      <c r="W25" s="61">
        <f>('TUSD BE'!$X$25+'TUSD BF'!$X$25+'TUSD CVA'!$X$25)*(1 - 0.4)</f>
        <v>0</v>
      </c>
      <c r="X25" s="61">
        <f>('TUSD BE'!$Y$25+'TUSD BF'!$Y$25+'TUSD CVA'!$Y$25)*(1 - 0.4)</f>
        <v>76.377920830035379</v>
      </c>
      <c r="Y25" s="61">
        <f>('TUSD BE'!$Z$25+'TUSD BF'!$Z$25+'TUSD CVA'!$Z$25)*(1 - 0.4)</f>
        <v>0</v>
      </c>
      <c r="Z25" s="61">
        <f>('TUSD BE'!$AA$25+'TUSD BF'!$AA$25+'TUSD CVA'!$AA$25)*(1 - 0.4)</f>
        <v>0</v>
      </c>
      <c r="AA25" s="61">
        <f>('TUSD BE'!$AC$25+'TUSD BF'!$AC$25+'TUSD CVA'!$AC$25)*(1 - 0.4)</f>
        <v>139.41398172369085</v>
      </c>
      <c r="AB25" s="61">
        <f ca="1">('TUSD BE'!$AE$25+'TUSD BF'!$AE$25+'TUSD CVA'!$AE$25)*(1 - 0.4)</f>
        <v>-29.046940367755607</v>
      </c>
      <c r="AC25" s="61">
        <f ca="1">('TUSD BE'!$AF$25+'TUSD BF'!$AF$25+'TUSD CVA'!$AF$25)*(1 - 0.4)</f>
        <v>0</v>
      </c>
      <c r="AD25" s="61">
        <f>('TUSD BE'!$AH$25+'TUSD BF'!$AH$25+'TUSD CVA'!$AH$25)*(1 - 0.4)</f>
        <v>12.840908007330789</v>
      </c>
      <c r="AE25" s="61">
        <f>('TUSD BE'!$AI$25+'TUSD BF'!$AI$25+'TUSD CVA'!$AI$25)*(1 - 0.4)</f>
        <v>0.13132673054782229</v>
      </c>
      <c r="AF25" s="61">
        <f ca="1">('TUSD BE'!$AJ$25+'TUSD BF'!$AJ$25+'TUSD CVA'!$AJ$25)*(1 - 0.4)</f>
        <v>0.48271768569778417</v>
      </c>
      <c r="AG25" s="61">
        <f ca="1">('TUSD BE'!$AK$25+'TUSD BF'!$AK$25+'TUSD CVA'!$AK$25)*(1 - 0.4)</f>
        <v>0.20157570841392264</v>
      </c>
      <c r="AI25" s="61">
        <v>0</v>
      </c>
      <c r="AJ25" s="61">
        <v>0.65951376516649296</v>
      </c>
      <c r="AK25" s="61">
        <v>2.1424485222734</v>
      </c>
      <c r="AL25" s="61">
        <v>0</v>
      </c>
      <c r="AM25" s="61">
        <v>0</v>
      </c>
      <c r="AN25" s="61">
        <v>0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85.835363191836294</v>
      </c>
      <c r="AV25" s="61">
        <v>0</v>
      </c>
      <c r="AW25" s="61">
        <v>0</v>
      </c>
      <c r="AX25" s="61">
        <v>105.020639804684</v>
      </c>
      <c r="AY25" s="61">
        <v>-17.430691628331299</v>
      </c>
      <c r="AZ25" s="61">
        <v>0</v>
      </c>
      <c r="BA25" s="61">
        <v>15.028276702765799</v>
      </c>
      <c r="BB25" s="61">
        <v>0.112884317398234</v>
      </c>
      <c r="BC25" s="61">
        <v>0.69435143173168701</v>
      </c>
      <c r="BD25" s="61">
        <v>0.202433334858141</v>
      </c>
    </row>
    <row r="26" spans="1:56" ht="11.25" customHeight="1" x14ac:dyDescent="0.3">
      <c r="A26" s="132"/>
      <c r="B26" s="132"/>
      <c r="C26" s="132"/>
      <c r="D26" s="65" t="s">
        <v>31</v>
      </c>
      <c r="E26" s="65" t="s">
        <v>25</v>
      </c>
      <c r="F26" s="65" t="s">
        <v>25</v>
      </c>
      <c r="G26" s="66" t="s">
        <v>81</v>
      </c>
      <c r="H26" s="66" t="s">
        <v>76</v>
      </c>
      <c r="I26" s="66">
        <f>'MERCADO TUSD'!$U$23</f>
        <v>876.00100000000009</v>
      </c>
      <c r="J26" s="15"/>
      <c r="L26" s="61">
        <f>('TUSD BE'!$L$26+'TUSD BF'!$L$26+'TUSD CVA'!$L$26)*(1 - 0.1)</f>
        <v>0</v>
      </c>
      <c r="M26" s="61">
        <f>('TUSD BE'!$M$26+'TUSD BF'!$M$26+'TUSD CVA'!$M$26)*(1 - 0.1)</f>
        <v>0.86236231432433041</v>
      </c>
      <c r="N26" s="61">
        <f ca="1">('TUSD BE'!$N$26+'TUSD BF'!$N$26+'TUSD CVA'!$N$26)*(1 - 0.1)</f>
        <v>3.6330753692883206</v>
      </c>
      <c r="O26" s="61">
        <f>('TUSD BE'!$O$26+'TUSD BF'!$O$26+'TUSD CVA'!$O$26)*(1 - 0.1)</f>
        <v>0</v>
      </c>
      <c r="P26" s="61">
        <v>0</v>
      </c>
      <c r="Q26" s="61">
        <f>('TUSD BE'!$Q$26+'TUSD BF'!$Q$26+'TUSD CVA'!$Q$26)*(1 - 0.1)</f>
        <v>0</v>
      </c>
      <c r="R26" s="61">
        <v>0</v>
      </c>
      <c r="S26" s="61">
        <f>('TUSD BE'!$S$26+'TUSD BF'!$S$26+'TUSD CVA'!$S$26)*(1 - 0.1)</f>
        <v>0</v>
      </c>
      <c r="T26" s="61">
        <f>('TUSD BE'!$U$26+'TUSD BF'!$U$26+'TUSD CVA'!$U$26)*(1 - 0.1)</f>
        <v>0</v>
      </c>
      <c r="U26" s="61">
        <f>('TUSD BE'!$V$26+'TUSD BF'!$V$26+'TUSD CVA'!$V$26)*(1 - 0.1)</f>
        <v>0</v>
      </c>
      <c r="V26" s="61">
        <f>('TUSD BE'!$W$26+'TUSD BF'!$W$26+'TUSD CVA'!$W$26)*(1 - 0.1)</f>
        <v>0</v>
      </c>
      <c r="W26" s="61">
        <f>('TUSD BE'!$X$26+'TUSD BF'!$X$26+'TUSD CVA'!$X$26)*(1 - 0.1)</f>
        <v>0</v>
      </c>
      <c r="X26" s="61">
        <f>('TUSD BE'!$Y$26+'TUSD BF'!$Y$26+'TUSD CVA'!$Y$26)*(1 - 0.1)</f>
        <v>114.56688124505308</v>
      </c>
      <c r="Y26" s="61">
        <f>('TUSD BE'!$Z$26+'TUSD BF'!$Z$26+'TUSD CVA'!$Z$26)*(1 - 0.1)</f>
        <v>0</v>
      </c>
      <c r="Z26" s="61">
        <f>('TUSD BE'!$AA$26+'TUSD BF'!$AA$26+'TUSD CVA'!$AA$26)*(1 - 0.1)</f>
        <v>0</v>
      </c>
      <c r="AA26" s="61">
        <f>('TUSD BE'!$AC$26+'TUSD BF'!$AC$26+'TUSD CVA'!$AC$26)*(1 - 0.1)</f>
        <v>209.12097258553632</v>
      </c>
      <c r="AB26" s="61">
        <f ca="1">('TUSD BE'!$AE$26+'TUSD BF'!$AE$26+'TUSD CVA'!$AE$26)*(1 - 0.1)</f>
        <v>-43.570410551633415</v>
      </c>
      <c r="AC26" s="61">
        <f ca="1">('TUSD BE'!$AF$26+'TUSD BF'!$AF$26+'TUSD CVA'!$AF$26)*(1 - 0.1)</f>
        <v>0</v>
      </c>
      <c r="AD26" s="61">
        <f>('TUSD BE'!$AH$26+'TUSD BF'!$AH$26+'TUSD CVA'!$AH$26)*(1 - 0.1)</f>
        <v>19.261362010996184</v>
      </c>
      <c r="AE26" s="61">
        <f>('TUSD BE'!$AI$26+'TUSD BF'!$AI$26+'TUSD CVA'!$AI$26)*(1 - 0.1)</f>
        <v>0.19699009582173344</v>
      </c>
      <c r="AF26" s="61">
        <f ca="1">('TUSD BE'!$AJ$26+'TUSD BF'!$AJ$26+'TUSD CVA'!$AJ$26)*(1 - 0.1)</f>
        <v>0.72407652854667626</v>
      </c>
      <c r="AG26" s="61">
        <f ca="1">('TUSD BE'!$AK$26+'TUSD BF'!$AK$26+'TUSD CVA'!$AK$26)*(1 - 0.1)</f>
        <v>0.30236356262088399</v>
      </c>
      <c r="AI26" s="61">
        <v>0</v>
      </c>
      <c r="AJ26" s="61">
        <v>0.98927064774974005</v>
      </c>
      <c r="AK26" s="61">
        <v>3.2136727834101002</v>
      </c>
      <c r="AL26" s="61">
        <v>0</v>
      </c>
      <c r="AM26" s="61">
        <v>0</v>
      </c>
      <c r="AN26" s="61">
        <v>0</v>
      </c>
      <c r="AO26" s="61">
        <v>0</v>
      </c>
      <c r="AP26" s="61">
        <v>0</v>
      </c>
      <c r="AQ26" s="61">
        <v>0</v>
      </c>
      <c r="AR26" s="61">
        <v>0</v>
      </c>
      <c r="AS26" s="61">
        <v>0</v>
      </c>
      <c r="AT26" s="61">
        <v>0</v>
      </c>
      <c r="AU26" s="61">
        <v>128.75304478775499</v>
      </c>
      <c r="AV26" s="61">
        <v>0</v>
      </c>
      <c r="AW26" s="61">
        <v>0</v>
      </c>
      <c r="AX26" s="61">
        <v>157.530959707026</v>
      </c>
      <c r="AY26" s="61">
        <v>-26.146037442496901</v>
      </c>
      <c r="AZ26" s="61">
        <v>0</v>
      </c>
      <c r="BA26" s="61">
        <v>22.542415054148599</v>
      </c>
      <c r="BB26" s="61">
        <v>0.16932647609735099</v>
      </c>
      <c r="BC26" s="61">
        <v>1.0415271475975301</v>
      </c>
      <c r="BD26" s="61">
        <v>0.30365000228721101</v>
      </c>
    </row>
    <row r="27" spans="1:56" ht="11.25" customHeight="1" x14ac:dyDescent="0.3">
      <c r="A27" s="132"/>
      <c r="B27" s="132"/>
      <c r="C27" s="132"/>
      <c r="D27" s="65" t="s">
        <v>32</v>
      </c>
      <c r="E27" s="65" t="s">
        <v>25</v>
      </c>
      <c r="F27" s="65" t="s">
        <v>25</v>
      </c>
      <c r="G27" s="66" t="s">
        <v>81</v>
      </c>
      <c r="H27" s="66" t="s">
        <v>76</v>
      </c>
      <c r="I27" s="66">
        <f>'MERCADO TUSD'!$U$24</f>
        <v>331.42999999999995</v>
      </c>
      <c r="J27" s="15"/>
      <c r="L27" s="61">
        <f>('TUSD BE'!$L$27+'TUSD BF'!$L$27+'TUSD CVA'!$L$27)*1</f>
        <v>0</v>
      </c>
      <c r="M27" s="61">
        <f>('TUSD BE'!$M$27+'TUSD BF'!$M$27+'TUSD CVA'!$M$27)*1</f>
        <v>0.95818034924925599</v>
      </c>
      <c r="N27" s="61">
        <f ca="1">('TUSD BE'!$N$27+'TUSD BF'!$N$27+'TUSD CVA'!$N$27)*1</f>
        <v>4.036750410320356</v>
      </c>
      <c r="O27" s="61">
        <f>('TUSD BE'!$O$27+'TUSD BF'!$O$27+'TUSD CVA'!$O$27)*1</f>
        <v>0</v>
      </c>
      <c r="P27" s="61">
        <v>0</v>
      </c>
      <c r="Q27" s="61">
        <f>('TUSD BE'!$Q$27+'TUSD BF'!$Q$27+'TUSD CVA'!$Q$27)*1</f>
        <v>0</v>
      </c>
      <c r="R27" s="61">
        <v>0</v>
      </c>
      <c r="S27" s="61">
        <f>('TUSD BE'!$S$27+'TUSD BF'!$S$27+'TUSD CVA'!$S$27)*1</f>
        <v>0</v>
      </c>
      <c r="T27" s="61">
        <f>('TUSD BE'!$U$27+'TUSD BF'!$U$27+'TUSD CVA'!$U$27)*1</f>
        <v>0</v>
      </c>
      <c r="U27" s="61">
        <f>('TUSD BE'!$V$27+'TUSD BF'!$V$27+'TUSD CVA'!$V$27)*1</f>
        <v>0</v>
      </c>
      <c r="V27" s="61">
        <f>('TUSD BE'!$W$27+'TUSD BF'!$W$27+'TUSD CVA'!$W$27)*1</f>
        <v>0</v>
      </c>
      <c r="W27" s="61">
        <f>('TUSD BE'!$X$27+'TUSD BF'!$X$27+'TUSD CVA'!$X$27)*1</f>
        <v>0</v>
      </c>
      <c r="X27" s="61">
        <f>('TUSD BE'!$Y$27+'TUSD BF'!$Y$27+'TUSD CVA'!$Y$27)*1</f>
        <v>127.29653471672565</v>
      </c>
      <c r="Y27" s="61">
        <f>('TUSD BE'!$Z$27+'TUSD BF'!$Z$27+'TUSD CVA'!$Z$27)*1</f>
        <v>0</v>
      </c>
      <c r="Z27" s="61">
        <f>('TUSD BE'!$AA$27+'TUSD BF'!$AA$27+'TUSD CVA'!$AA$27)*1</f>
        <v>0</v>
      </c>
      <c r="AA27" s="61">
        <f>('TUSD BE'!$AC$27+'TUSD BF'!$AC$27+'TUSD CVA'!$AC$27)*1</f>
        <v>232.35663620615145</v>
      </c>
      <c r="AB27" s="61">
        <f ca="1">('TUSD BE'!$AE$27+'TUSD BF'!$AE$27+'TUSD CVA'!$AE$27)*1</f>
        <v>-48.411567279592681</v>
      </c>
      <c r="AC27" s="61">
        <f ca="1">('TUSD BE'!$AF$27+'TUSD BF'!$AF$27+'TUSD CVA'!$AF$27)*1</f>
        <v>0</v>
      </c>
      <c r="AD27" s="61">
        <f>('TUSD BE'!$AH$27+'TUSD BF'!$AH$27+'TUSD CVA'!$AH$27)*1</f>
        <v>21.401513345551315</v>
      </c>
      <c r="AE27" s="61">
        <f>('TUSD BE'!$AI$27+'TUSD BF'!$AI$27+'TUSD CVA'!$AI$27)*1</f>
        <v>0.21887788424637047</v>
      </c>
      <c r="AF27" s="61">
        <f ca="1">('TUSD BE'!$AJ$27+'TUSD BF'!$AJ$27+'TUSD CVA'!$AJ$27)*1</f>
        <v>0.80452947616297366</v>
      </c>
      <c r="AG27" s="61">
        <f ca="1">('TUSD BE'!$AK$27+'TUSD BF'!$AK$27+'TUSD CVA'!$AK$27)*1</f>
        <v>0.3359595140232044</v>
      </c>
      <c r="AI27" s="61">
        <v>0</v>
      </c>
      <c r="AJ27" s="61">
        <v>1.0991896086108199</v>
      </c>
      <c r="AK27" s="61">
        <v>3.5707475371223398</v>
      </c>
      <c r="AL27" s="61">
        <v>0</v>
      </c>
      <c r="AM27" s="61">
        <v>0</v>
      </c>
      <c r="AN27" s="61">
        <v>0</v>
      </c>
      <c r="AO27" s="61">
        <v>0</v>
      </c>
      <c r="AP27" s="61">
        <v>0</v>
      </c>
      <c r="AQ27" s="61">
        <v>0</v>
      </c>
      <c r="AR27" s="61">
        <v>0</v>
      </c>
      <c r="AS27" s="61">
        <v>0</v>
      </c>
      <c r="AT27" s="61">
        <v>0</v>
      </c>
      <c r="AU27" s="61">
        <v>143.05893865306101</v>
      </c>
      <c r="AV27" s="61">
        <v>0</v>
      </c>
      <c r="AW27" s="61">
        <v>0</v>
      </c>
      <c r="AX27" s="61">
        <v>175.03439967447301</v>
      </c>
      <c r="AY27" s="61">
        <v>-29.0511527138855</v>
      </c>
      <c r="AZ27" s="61">
        <v>0</v>
      </c>
      <c r="BA27" s="61">
        <v>25.047127837942899</v>
      </c>
      <c r="BB27" s="61">
        <v>0.18814052899705699</v>
      </c>
      <c r="BC27" s="61">
        <v>1.1572523862194799</v>
      </c>
      <c r="BD27" s="61">
        <v>0.33738889143023498</v>
      </c>
    </row>
    <row r="28" spans="1:56" ht="11.25" customHeight="1" x14ac:dyDescent="0.3">
      <c r="A28" s="132"/>
      <c r="B28" s="132" t="s">
        <v>95</v>
      </c>
      <c r="C28" s="132" t="s">
        <v>24</v>
      </c>
      <c r="D28" s="65" t="s">
        <v>24</v>
      </c>
      <c r="E28" s="65" t="s">
        <v>25</v>
      </c>
      <c r="F28" s="65" t="s">
        <v>25</v>
      </c>
      <c r="G28" s="66" t="s">
        <v>81</v>
      </c>
      <c r="H28" s="66" t="s">
        <v>76</v>
      </c>
      <c r="I28" s="66">
        <f>'MERCADO TUSD'!$U$25</f>
        <v>0</v>
      </c>
      <c r="J28" s="15"/>
      <c r="L28" s="61">
        <f>('TUSD BE'!$L$28+'TUSD BF'!$L$28+'TUSD CVA'!$L$28)*1</f>
        <v>3.5230067826361724</v>
      </c>
      <c r="M28" s="61">
        <f>('TUSD BE'!$M$28+'TUSD BF'!$M$28+'TUSD CVA'!$M$28)*1</f>
        <v>0.95818034924925599</v>
      </c>
      <c r="N28" s="61">
        <f ca="1">('TUSD BE'!$N$28+'TUSD BF'!$N$28+'TUSD CVA'!$N$28)*1</f>
        <v>4.0467541423393572</v>
      </c>
      <c r="O28" s="61">
        <f>('TUSD BE'!$O$28+'TUSD BF'!$O$28+'TUSD CVA'!$O$28)*1</f>
        <v>0</v>
      </c>
      <c r="P28" s="61">
        <f>('TUSD BE'!$P$28+'TUSD BF'!$P$28+'TUSD CVA'!$P$28)*1</f>
        <v>0</v>
      </c>
      <c r="Q28" s="61">
        <f>('TUSD BE'!$Q$28+'TUSD BF'!$Q$28+'TUSD CVA'!$Q$28)*1</f>
        <v>99.759398448787096</v>
      </c>
      <c r="R28" s="61">
        <f>('TUSD BE'!$R$28+'TUSD BF'!$R$28+'TUSD CVA'!$R$28)*1</f>
        <v>16.867208127539318</v>
      </c>
      <c r="S28" s="61">
        <f>('TUSD BE'!$S$28+'TUSD BF'!$S$28+'TUSD CVA'!$S$28)*1</f>
        <v>0</v>
      </c>
      <c r="T28" s="61">
        <f>('TUSD BE'!$U$28+'TUSD BF'!$U$28+'TUSD CVA'!$U$28)*1</f>
        <v>0</v>
      </c>
      <c r="U28" s="61">
        <f>('TUSD BE'!$V$28+'TUSD BF'!$V$28+'TUSD CVA'!$V$28)*1</f>
        <v>0</v>
      </c>
      <c r="V28" s="61">
        <f>('TUSD BE'!$W$28+'TUSD BF'!$W$28+'TUSD CVA'!$W$28)*1</f>
        <v>0</v>
      </c>
      <c r="W28" s="61">
        <f>('TUSD BE'!$X$28+'TUSD BF'!$X$28+'TUSD CVA'!$X$28)*1</f>
        <v>0</v>
      </c>
      <c r="X28" s="61">
        <f>('TUSD BE'!$Y$28+'TUSD BF'!$Y$28+'TUSD CVA'!$Y$28)*1</f>
        <v>127.29653471672565</v>
      </c>
      <c r="Y28" s="61">
        <f>('TUSD BE'!$Z$28+'TUSD BF'!$Z$28+'TUSD CVA'!$Z$28)*1</f>
        <v>0</v>
      </c>
      <c r="Z28" s="61">
        <f>('TUSD BE'!$AA$28+'TUSD BF'!$AA$28+'TUSD CVA'!$AA$28)*1</f>
        <v>0</v>
      </c>
      <c r="AA28" s="61">
        <f>('TUSD BE'!$AC$28+'TUSD BF'!$AC$28+'TUSD CVA'!$AC$28)*1</f>
        <v>232.35663620615145</v>
      </c>
      <c r="AB28" s="61">
        <f ca="1">('TUSD BE'!$AE$28+'TUSD BF'!$AE$28+'TUSD CVA'!$AE$28)*1</f>
        <v>-61.545890892764554</v>
      </c>
      <c r="AC28" s="61">
        <f ca="1">('TUSD BE'!$AF$28+'TUSD BF'!$AF$28+'TUSD CVA'!$AF$28)*1</f>
        <v>0</v>
      </c>
      <c r="AD28" s="61">
        <f>('TUSD BE'!$AH$28+'TUSD BF'!$AH$28+'TUSD CVA'!$AH$28)*1</f>
        <v>21.401513345551315</v>
      </c>
      <c r="AE28" s="61">
        <f>('TUSD BE'!$AI$28+'TUSD BF'!$AI$28+'TUSD CVA'!$AI$28)*1</f>
        <v>0.21887788424637047</v>
      </c>
      <c r="AF28" s="61">
        <f ca="1">('TUSD BE'!$AJ$28+'TUSD BF'!$AJ$28+'TUSD CVA'!$AJ$28)*1</f>
        <v>0.80452947616297366</v>
      </c>
      <c r="AG28" s="61">
        <f ca="1">('TUSD BE'!$AK$28+'TUSD BF'!$AK$28+'TUSD CVA'!$AK$28)*1</f>
        <v>0.3359595140232044</v>
      </c>
      <c r="AI28" s="61">
        <v>3.40908429232391</v>
      </c>
      <c r="AJ28" s="61">
        <v>1.0991896086108199</v>
      </c>
      <c r="AK28" s="61">
        <v>3.5840437219199899</v>
      </c>
      <c r="AL28" s="61">
        <v>0</v>
      </c>
      <c r="AM28" s="61">
        <v>0</v>
      </c>
      <c r="AN28" s="61">
        <v>77.579296211470407</v>
      </c>
      <c r="AO28" s="61">
        <v>11.642427400448</v>
      </c>
      <c r="AP28" s="61">
        <v>0</v>
      </c>
      <c r="AQ28" s="61">
        <v>0</v>
      </c>
      <c r="AR28" s="61">
        <v>0</v>
      </c>
      <c r="AS28" s="61">
        <v>0</v>
      </c>
      <c r="AT28" s="61">
        <v>0</v>
      </c>
      <c r="AU28" s="61">
        <v>143.05893865306101</v>
      </c>
      <c r="AV28" s="61">
        <v>0</v>
      </c>
      <c r="AW28" s="61">
        <v>0</v>
      </c>
      <c r="AX28" s="61">
        <v>175.03439967447301</v>
      </c>
      <c r="AY28" s="61">
        <v>-35.614949466481903</v>
      </c>
      <c r="AZ28" s="61">
        <v>0</v>
      </c>
      <c r="BA28" s="61">
        <v>25.047127837942899</v>
      </c>
      <c r="BB28" s="61">
        <v>0.18814052899705699</v>
      </c>
      <c r="BC28" s="61">
        <v>1.1572523862194799</v>
      </c>
      <c r="BD28" s="61">
        <v>0.33738889143023498</v>
      </c>
    </row>
    <row r="29" spans="1:56" ht="11.25" customHeight="1" x14ac:dyDescent="0.3">
      <c r="A29" s="132"/>
      <c r="B29" s="132"/>
      <c r="C29" s="132"/>
      <c r="D29" s="65" t="s">
        <v>29</v>
      </c>
      <c r="E29" s="65" t="s">
        <v>25</v>
      </c>
      <c r="F29" s="65" t="s">
        <v>25</v>
      </c>
      <c r="G29" s="66" t="s">
        <v>81</v>
      </c>
      <c r="H29" s="66" t="s">
        <v>76</v>
      </c>
      <c r="I29" s="66">
        <f>'MERCADO TUSD'!$U$26</f>
        <v>0</v>
      </c>
      <c r="J29" s="15"/>
      <c r="L29" s="61">
        <f>('TUSD BE'!$L$29+'TUSD BF'!$L$29+'TUSD CVA'!$L$29)*(1 - 0.65)</f>
        <v>0</v>
      </c>
      <c r="M29" s="61">
        <f>('TUSD BE'!$M$29+'TUSD BF'!$M$29+'TUSD CVA'!$M$29)*(1 - 0.65)</f>
        <v>0.33536312223723957</v>
      </c>
      <c r="N29" s="61">
        <f ca="1">('TUSD BE'!$N$29+'TUSD BF'!$N$29+'TUSD CVA'!$N$29)*(1 - 0.65)</f>
        <v>1.4128626436121245</v>
      </c>
      <c r="O29" s="61">
        <f>('TUSD BE'!$O$29+'TUSD BF'!$O$29+'TUSD CVA'!$O$29)*(1 - 0.65)</f>
        <v>0</v>
      </c>
      <c r="P29" s="61">
        <v>0</v>
      </c>
      <c r="Q29" s="61">
        <f>('TUSD BE'!$Q$29+'TUSD BF'!$Q$29+'TUSD CVA'!$Q$29)*(1 - 0.65)</f>
        <v>0</v>
      </c>
      <c r="R29" s="61">
        <v>0</v>
      </c>
      <c r="S29" s="61">
        <f>('TUSD BE'!$S$29+'TUSD BF'!$S$29+'TUSD CVA'!$S$29)*(1 - 0.65)</f>
        <v>0</v>
      </c>
      <c r="T29" s="61">
        <f>('TUSD BE'!$U$29+'TUSD BF'!$U$29+'TUSD CVA'!$U$29)*(1 - 0.65)</f>
        <v>0</v>
      </c>
      <c r="U29" s="61">
        <f>('TUSD BE'!$V$29+'TUSD BF'!$V$29+'TUSD CVA'!$V$29)*(1 - 0.65)</f>
        <v>0</v>
      </c>
      <c r="V29" s="61">
        <f>('TUSD BE'!$W$29+'TUSD BF'!$W$29+'TUSD CVA'!$W$29)*(1 - 0.65)</f>
        <v>0</v>
      </c>
      <c r="W29" s="61">
        <f>('TUSD BE'!$X$29+'TUSD BF'!$X$29+'TUSD CVA'!$X$29)*(1 - 0.65)</f>
        <v>0</v>
      </c>
      <c r="X29" s="61">
        <f>('TUSD BE'!$Y$29+'TUSD BF'!$Y$29+'TUSD CVA'!$Y$29)*(1 - 0.65)</f>
        <v>44.553787150853971</v>
      </c>
      <c r="Y29" s="61">
        <f>('TUSD BE'!$Z$29+'TUSD BF'!$Z$29+'TUSD CVA'!$Z$29)*(1 - 0.65)</f>
        <v>0</v>
      </c>
      <c r="Z29" s="61">
        <f>('TUSD BE'!$AA$29+'TUSD BF'!$AA$29+'TUSD CVA'!$AA$29)*(1 - 0.65)</f>
        <v>0</v>
      </c>
      <c r="AA29" s="61">
        <f>('TUSD BE'!$AC$29+'TUSD BF'!$AC$29+'TUSD CVA'!$AC$29)*(1 - 0.65)</f>
        <v>81.324822672153005</v>
      </c>
      <c r="AB29" s="61">
        <f ca="1">('TUSD BE'!$AE$29+'TUSD BF'!$AE$29+'TUSD CVA'!$AE$29)*(1 - 0.65)</f>
        <v>-16.944048547857438</v>
      </c>
      <c r="AC29" s="61">
        <f ca="1">('TUSD BE'!$AF$29+'TUSD BF'!$AF$29+'TUSD CVA'!$AF$29)*(1 - 0.65)</f>
        <v>0</v>
      </c>
      <c r="AD29" s="61">
        <f>('TUSD BE'!$AH$29+'TUSD BF'!$AH$29+'TUSD CVA'!$AH$29)*(1 - 0.65)</f>
        <v>7.4905296709429594</v>
      </c>
      <c r="AE29" s="61">
        <f>('TUSD BE'!$AI$29+'TUSD BF'!$AI$29+'TUSD CVA'!$AI$29)*(1 - 0.65)</f>
        <v>7.6607259486229665E-2</v>
      </c>
      <c r="AF29" s="61">
        <f ca="1">('TUSD BE'!$AJ$29+'TUSD BF'!$AJ$29+'TUSD CVA'!$AJ$29)*(1 - 0.65)</f>
        <v>0.28158531665704079</v>
      </c>
      <c r="AG29" s="61">
        <f ca="1">('TUSD BE'!$AK$29+'TUSD BF'!$AK$29+'TUSD CVA'!$AK$29)*(1 - 0.65)</f>
        <v>0.11758582990812153</v>
      </c>
      <c r="AI29" s="61">
        <v>0</v>
      </c>
      <c r="AJ29" s="61">
        <v>0.38471636301378798</v>
      </c>
      <c r="AK29" s="61">
        <v>1.24976163799282</v>
      </c>
      <c r="AL29" s="61">
        <v>0</v>
      </c>
      <c r="AM29" s="61">
        <v>0</v>
      </c>
      <c r="AN29" s="61">
        <v>0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50.070628528571199</v>
      </c>
      <c r="AV29" s="61">
        <v>0</v>
      </c>
      <c r="AW29" s="61">
        <v>0</v>
      </c>
      <c r="AX29" s="61">
        <v>61.262039886065701</v>
      </c>
      <c r="AY29" s="61">
        <v>-10.167903449859899</v>
      </c>
      <c r="AZ29" s="61">
        <v>0</v>
      </c>
      <c r="BA29" s="61">
        <v>8.7664947432800293</v>
      </c>
      <c r="BB29" s="61">
        <v>6.5849185148969896E-2</v>
      </c>
      <c r="BC29" s="61">
        <v>0.40503833517681798</v>
      </c>
      <c r="BD29" s="61">
        <v>0.118086112000582</v>
      </c>
    </row>
    <row r="30" spans="1:56" ht="11.25" customHeight="1" x14ac:dyDescent="0.3">
      <c r="A30" s="132"/>
      <c r="B30" s="132"/>
      <c r="C30" s="132"/>
      <c r="D30" s="65" t="s">
        <v>30</v>
      </c>
      <c r="E30" s="65" t="s">
        <v>25</v>
      </c>
      <c r="F30" s="65" t="s">
        <v>25</v>
      </c>
      <c r="G30" s="66" t="s">
        <v>81</v>
      </c>
      <c r="H30" s="66" t="s">
        <v>76</v>
      </c>
      <c r="I30" s="66">
        <f>'MERCADO TUSD'!$U$27</f>
        <v>0</v>
      </c>
      <c r="J30" s="15"/>
      <c r="L30" s="61">
        <f>('TUSD BE'!$L$30+'TUSD BF'!$L$30+'TUSD CVA'!$L$30)*(1 - 0.4)</f>
        <v>0</v>
      </c>
      <c r="M30" s="61">
        <f>('TUSD BE'!$M$30+'TUSD BF'!$M$30+'TUSD CVA'!$M$30)*(1 - 0.4)</f>
        <v>0.57490820954955357</v>
      </c>
      <c r="N30" s="61">
        <f ca="1">('TUSD BE'!$N$30+'TUSD BF'!$N$30+'TUSD CVA'!$N$30)*(1 - 0.4)</f>
        <v>2.4220502461922133</v>
      </c>
      <c r="O30" s="61">
        <f>('TUSD BE'!$O$30+'TUSD BF'!$O$30+'TUSD CVA'!$O$30)*(1 - 0.4)</f>
        <v>0</v>
      </c>
      <c r="P30" s="61">
        <v>0</v>
      </c>
      <c r="Q30" s="61">
        <f>('TUSD BE'!$Q$30+'TUSD BF'!$Q$30+'TUSD CVA'!$Q$30)*(1 - 0.4)</f>
        <v>0</v>
      </c>
      <c r="R30" s="61">
        <v>0</v>
      </c>
      <c r="S30" s="61">
        <f>('TUSD BE'!$S$30+'TUSD BF'!$S$30+'TUSD CVA'!$S$30)*(1 - 0.4)</f>
        <v>0</v>
      </c>
      <c r="T30" s="61">
        <f>('TUSD BE'!$U$30+'TUSD BF'!$U$30+'TUSD CVA'!$U$30)*(1 - 0.4)</f>
        <v>0</v>
      </c>
      <c r="U30" s="61">
        <f>('TUSD BE'!$V$30+'TUSD BF'!$V$30+'TUSD CVA'!$V$30)*(1 - 0.4)</f>
        <v>0</v>
      </c>
      <c r="V30" s="61">
        <f>('TUSD BE'!$W$30+'TUSD BF'!$W$30+'TUSD CVA'!$W$30)*(1 - 0.4)</f>
        <v>0</v>
      </c>
      <c r="W30" s="61">
        <f>('TUSD BE'!$X$30+'TUSD BF'!$X$30+'TUSD CVA'!$X$30)*(1 - 0.4)</f>
        <v>0</v>
      </c>
      <c r="X30" s="61">
        <f>('TUSD BE'!$Y$30+'TUSD BF'!$Y$30+'TUSD CVA'!$Y$30)*(1 - 0.4)</f>
        <v>76.377920830035379</v>
      </c>
      <c r="Y30" s="61">
        <f>('TUSD BE'!$Z$30+'TUSD BF'!$Z$30+'TUSD CVA'!$Z$30)*(1 - 0.4)</f>
        <v>0</v>
      </c>
      <c r="Z30" s="61">
        <f>('TUSD BE'!$AA$30+'TUSD BF'!$AA$30+'TUSD CVA'!$AA$30)*(1 - 0.4)</f>
        <v>0</v>
      </c>
      <c r="AA30" s="61">
        <f>('TUSD BE'!$AC$30+'TUSD BF'!$AC$30+'TUSD CVA'!$AC$30)*(1 - 0.4)</f>
        <v>139.41398172369085</v>
      </c>
      <c r="AB30" s="61">
        <f ca="1">('TUSD BE'!$AE$30+'TUSD BF'!$AE$30+'TUSD CVA'!$AE$30)*(1 - 0.4)</f>
        <v>-29.046940367755607</v>
      </c>
      <c r="AC30" s="61">
        <f ca="1">('TUSD BE'!$AF$30+'TUSD BF'!$AF$30+'TUSD CVA'!$AF$30)*(1 - 0.4)</f>
        <v>0</v>
      </c>
      <c r="AD30" s="61">
        <f>('TUSD BE'!$AH$30+'TUSD BF'!$AH$30+'TUSD CVA'!$AH$30)*(1 - 0.4)</f>
        <v>12.840908007330789</v>
      </c>
      <c r="AE30" s="61">
        <f>('TUSD BE'!$AI$30+'TUSD BF'!$AI$30+'TUSD CVA'!$AI$30)*(1 - 0.4)</f>
        <v>0.13132673054782229</v>
      </c>
      <c r="AF30" s="61">
        <f ca="1">('TUSD BE'!$AJ$30+'TUSD BF'!$AJ$30+'TUSD CVA'!$AJ$30)*(1 - 0.4)</f>
        <v>0.48271768569778417</v>
      </c>
      <c r="AG30" s="61">
        <f ca="1">('TUSD BE'!$AK$30+'TUSD BF'!$AK$30+'TUSD CVA'!$AK$30)*(1 - 0.4)</f>
        <v>0.20157570841392264</v>
      </c>
      <c r="AI30" s="61">
        <v>0</v>
      </c>
      <c r="AJ30" s="61">
        <v>0.65951376516649296</v>
      </c>
      <c r="AK30" s="61">
        <v>2.1424485222734</v>
      </c>
      <c r="AL30" s="61">
        <v>0</v>
      </c>
      <c r="AM30" s="61">
        <v>0</v>
      </c>
      <c r="AN30" s="61">
        <v>0</v>
      </c>
      <c r="AO30" s="61">
        <v>0</v>
      </c>
      <c r="AP30" s="61">
        <v>0</v>
      </c>
      <c r="AQ30" s="61">
        <v>0</v>
      </c>
      <c r="AR30" s="61">
        <v>0</v>
      </c>
      <c r="AS30" s="61">
        <v>0</v>
      </c>
      <c r="AT30" s="61">
        <v>0</v>
      </c>
      <c r="AU30" s="61">
        <v>85.835363191836294</v>
      </c>
      <c r="AV30" s="61">
        <v>0</v>
      </c>
      <c r="AW30" s="61">
        <v>0</v>
      </c>
      <c r="AX30" s="61">
        <v>105.020639804684</v>
      </c>
      <c r="AY30" s="61">
        <v>-17.430691628331299</v>
      </c>
      <c r="AZ30" s="61">
        <v>0</v>
      </c>
      <c r="BA30" s="61">
        <v>15.028276702765799</v>
      </c>
      <c r="BB30" s="61">
        <v>0.112884317398234</v>
      </c>
      <c r="BC30" s="61">
        <v>0.69435143173168701</v>
      </c>
      <c r="BD30" s="61">
        <v>0.202433334858141</v>
      </c>
    </row>
    <row r="31" spans="1:56" ht="11.25" customHeight="1" x14ac:dyDescent="0.3">
      <c r="A31" s="132"/>
      <c r="B31" s="132"/>
      <c r="C31" s="132"/>
      <c r="D31" s="65" t="s">
        <v>31</v>
      </c>
      <c r="E31" s="65" t="s">
        <v>25</v>
      </c>
      <c r="F31" s="65" t="s">
        <v>25</v>
      </c>
      <c r="G31" s="66" t="s">
        <v>81</v>
      </c>
      <c r="H31" s="66" t="s">
        <v>76</v>
      </c>
      <c r="I31" s="66">
        <f>'MERCADO TUSD'!$U$28</f>
        <v>0</v>
      </c>
      <c r="J31" s="15"/>
      <c r="L31" s="61">
        <f>('TUSD BE'!$L$31+'TUSD BF'!$L$31+'TUSD CVA'!$L$31)*(1 - 0.1)</f>
        <v>0</v>
      </c>
      <c r="M31" s="61">
        <f>('TUSD BE'!$M$31+'TUSD BF'!$M$31+'TUSD CVA'!$M$31)*(1 - 0.1)</f>
        <v>0.86236231432433041</v>
      </c>
      <c r="N31" s="61">
        <f ca="1">('TUSD BE'!$N$31+'TUSD BF'!$N$31+'TUSD CVA'!$N$31)*(1 - 0.1)</f>
        <v>3.6330753692883206</v>
      </c>
      <c r="O31" s="61">
        <f>('TUSD BE'!$O$31+'TUSD BF'!$O$31+'TUSD CVA'!$O$31)*(1 - 0.1)</f>
        <v>0</v>
      </c>
      <c r="P31" s="61">
        <v>0</v>
      </c>
      <c r="Q31" s="61">
        <f>('TUSD BE'!$Q$31+'TUSD BF'!$Q$31+'TUSD CVA'!$Q$31)*(1 - 0.1)</f>
        <v>0</v>
      </c>
      <c r="R31" s="61">
        <v>0</v>
      </c>
      <c r="S31" s="61">
        <f>('TUSD BE'!$S$31+'TUSD BF'!$S$31+'TUSD CVA'!$S$31)*(1 - 0.1)</f>
        <v>0</v>
      </c>
      <c r="T31" s="61">
        <f>('TUSD BE'!$U$31+'TUSD BF'!$U$31+'TUSD CVA'!$U$31)*(1 - 0.1)</f>
        <v>0</v>
      </c>
      <c r="U31" s="61">
        <f>('TUSD BE'!$V$31+'TUSD BF'!$V$31+'TUSD CVA'!$V$31)*(1 - 0.1)</f>
        <v>0</v>
      </c>
      <c r="V31" s="61">
        <f>('TUSD BE'!$W$31+'TUSD BF'!$W$31+'TUSD CVA'!$W$31)*(1 - 0.1)</f>
        <v>0</v>
      </c>
      <c r="W31" s="61">
        <f>('TUSD BE'!$X$31+'TUSD BF'!$X$31+'TUSD CVA'!$X$31)*(1 - 0.1)</f>
        <v>0</v>
      </c>
      <c r="X31" s="61">
        <f>('TUSD BE'!$Y$31+'TUSD BF'!$Y$31+'TUSD CVA'!$Y$31)*(1 - 0.1)</f>
        <v>114.56688124505308</v>
      </c>
      <c r="Y31" s="61">
        <f>('TUSD BE'!$Z$31+'TUSD BF'!$Z$31+'TUSD CVA'!$Z$31)*(1 - 0.1)</f>
        <v>0</v>
      </c>
      <c r="Z31" s="61">
        <f>('TUSD BE'!$AA$31+'TUSD BF'!$AA$31+'TUSD CVA'!$AA$31)*(1 - 0.1)</f>
        <v>0</v>
      </c>
      <c r="AA31" s="61">
        <f>('TUSD BE'!$AC$31+'TUSD BF'!$AC$31+'TUSD CVA'!$AC$31)*(1 - 0.1)</f>
        <v>209.12097258553632</v>
      </c>
      <c r="AB31" s="61">
        <f ca="1">('TUSD BE'!$AE$31+'TUSD BF'!$AE$31+'TUSD CVA'!$AE$31)*(1 - 0.1)</f>
        <v>-43.570410551633415</v>
      </c>
      <c r="AC31" s="61">
        <f ca="1">('TUSD BE'!$AF$31+'TUSD BF'!$AF$31+'TUSD CVA'!$AF$31)*(1 - 0.1)</f>
        <v>0</v>
      </c>
      <c r="AD31" s="61">
        <f>('TUSD BE'!$AH$31+'TUSD BF'!$AH$31+'TUSD CVA'!$AH$31)*(1 - 0.1)</f>
        <v>19.261362010996184</v>
      </c>
      <c r="AE31" s="61">
        <f>('TUSD BE'!$AI$31+'TUSD BF'!$AI$31+'TUSD CVA'!$AI$31)*(1 - 0.1)</f>
        <v>0.19699009582173344</v>
      </c>
      <c r="AF31" s="61">
        <f ca="1">('TUSD BE'!$AJ$31+'TUSD BF'!$AJ$31+'TUSD CVA'!$AJ$31)*(1 - 0.1)</f>
        <v>0.72407652854667626</v>
      </c>
      <c r="AG31" s="61">
        <f ca="1">('TUSD BE'!$AK$31+'TUSD BF'!$AK$31+'TUSD CVA'!$AK$31)*(1 - 0.1)</f>
        <v>0.30236356262088399</v>
      </c>
      <c r="AI31" s="61">
        <v>0</v>
      </c>
      <c r="AJ31" s="61">
        <v>0.98927064774974005</v>
      </c>
      <c r="AK31" s="61">
        <v>3.2136727834101002</v>
      </c>
      <c r="AL31" s="61">
        <v>0</v>
      </c>
      <c r="AM31" s="61">
        <v>0</v>
      </c>
      <c r="AN31" s="61">
        <v>0</v>
      </c>
      <c r="AO31" s="61">
        <v>0</v>
      </c>
      <c r="AP31" s="61">
        <v>0</v>
      </c>
      <c r="AQ31" s="61">
        <v>0</v>
      </c>
      <c r="AR31" s="61">
        <v>0</v>
      </c>
      <c r="AS31" s="61">
        <v>0</v>
      </c>
      <c r="AT31" s="61">
        <v>0</v>
      </c>
      <c r="AU31" s="61">
        <v>128.75304478775499</v>
      </c>
      <c r="AV31" s="61">
        <v>0</v>
      </c>
      <c r="AW31" s="61">
        <v>0</v>
      </c>
      <c r="AX31" s="61">
        <v>157.530959707026</v>
      </c>
      <c r="AY31" s="61">
        <v>-26.146037442496901</v>
      </c>
      <c r="AZ31" s="61">
        <v>0</v>
      </c>
      <c r="BA31" s="61">
        <v>22.542415054148599</v>
      </c>
      <c r="BB31" s="61">
        <v>0.16932647609735099</v>
      </c>
      <c r="BC31" s="61">
        <v>1.0415271475975301</v>
      </c>
      <c r="BD31" s="61">
        <v>0.30365000228721101</v>
      </c>
    </row>
    <row r="32" spans="1:56" ht="11.25" customHeight="1" x14ac:dyDescent="0.3">
      <c r="A32" s="132"/>
      <c r="B32" s="132"/>
      <c r="C32" s="132"/>
      <c r="D32" s="65" t="s">
        <v>32</v>
      </c>
      <c r="E32" s="65" t="s">
        <v>25</v>
      </c>
      <c r="F32" s="65" t="s">
        <v>25</v>
      </c>
      <c r="G32" s="66" t="s">
        <v>81</v>
      </c>
      <c r="H32" s="66" t="s">
        <v>76</v>
      </c>
      <c r="I32" s="66">
        <f>'MERCADO TUSD'!$U$29</f>
        <v>0</v>
      </c>
      <c r="J32" s="15"/>
      <c r="L32" s="61">
        <f>('TUSD BE'!$L$32+'TUSD BF'!$L$32+'TUSD CVA'!$L$32)*1</f>
        <v>0</v>
      </c>
      <c r="M32" s="61">
        <f>('TUSD BE'!$M$32+'TUSD BF'!$M$32+'TUSD CVA'!$M$32)*1</f>
        <v>0.95818034924925599</v>
      </c>
      <c r="N32" s="61">
        <f ca="1">('TUSD BE'!$N$32+'TUSD BF'!$N$32+'TUSD CVA'!$N$32)*1</f>
        <v>4.036750410320356</v>
      </c>
      <c r="O32" s="61">
        <f>('TUSD BE'!$O$32+'TUSD BF'!$O$32+'TUSD CVA'!$O$32)*1</f>
        <v>0</v>
      </c>
      <c r="P32" s="61">
        <v>0</v>
      </c>
      <c r="Q32" s="61">
        <f>('TUSD BE'!$Q$32+'TUSD BF'!$Q$32+'TUSD CVA'!$Q$32)*1</f>
        <v>0</v>
      </c>
      <c r="R32" s="61">
        <v>0</v>
      </c>
      <c r="S32" s="61">
        <f>('TUSD BE'!$S$32+'TUSD BF'!$S$32+'TUSD CVA'!$S$32)*1</f>
        <v>0</v>
      </c>
      <c r="T32" s="61">
        <f>('TUSD BE'!$U$32+'TUSD BF'!$U$32+'TUSD CVA'!$U$32)*1</f>
        <v>0</v>
      </c>
      <c r="U32" s="61">
        <f>('TUSD BE'!$V$32+'TUSD BF'!$V$32+'TUSD CVA'!$V$32)*1</f>
        <v>0</v>
      </c>
      <c r="V32" s="61">
        <f>('TUSD BE'!$W$32+'TUSD BF'!$W$32+'TUSD CVA'!$W$32)*1</f>
        <v>0</v>
      </c>
      <c r="W32" s="61">
        <f>('TUSD BE'!$X$32+'TUSD BF'!$X$32+'TUSD CVA'!$X$32)*1</f>
        <v>0</v>
      </c>
      <c r="X32" s="61">
        <f>('TUSD BE'!$Y$32+'TUSD BF'!$Y$32+'TUSD CVA'!$Y$32)*1</f>
        <v>127.29653471672565</v>
      </c>
      <c r="Y32" s="61">
        <f>('TUSD BE'!$Z$32+'TUSD BF'!$Z$32+'TUSD CVA'!$Z$32)*1</f>
        <v>0</v>
      </c>
      <c r="Z32" s="61">
        <f>('TUSD BE'!$AA$32+'TUSD BF'!$AA$32+'TUSD CVA'!$AA$32)*1</f>
        <v>0</v>
      </c>
      <c r="AA32" s="61">
        <f>('TUSD BE'!$AC$32+'TUSD BF'!$AC$32+'TUSD CVA'!$AC$32)*1</f>
        <v>232.35663620615145</v>
      </c>
      <c r="AB32" s="61">
        <f ca="1">('TUSD BE'!$AE$32+'TUSD BF'!$AE$32+'TUSD CVA'!$AE$32)*1</f>
        <v>-48.411567279592681</v>
      </c>
      <c r="AC32" s="61">
        <f ca="1">('TUSD BE'!$AF$32+'TUSD BF'!$AF$32+'TUSD CVA'!$AF$32)*1</f>
        <v>0</v>
      </c>
      <c r="AD32" s="61">
        <f>('TUSD BE'!$AH$32+'TUSD BF'!$AH$32+'TUSD CVA'!$AH$32)*1</f>
        <v>21.401513345551315</v>
      </c>
      <c r="AE32" s="61">
        <f>('TUSD BE'!$AI$32+'TUSD BF'!$AI$32+'TUSD CVA'!$AI$32)*1</f>
        <v>0.21887788424637047</v>
      </c>
      <c r="AF32" s="61">
        <f ca="1">('TUSD BE'!$AJ$32+'TUSD BF'!$AJ$32+'TUSD CVA'!$AJ$32)*1</f>
        <v>0.80452947616297366</v>
      </c>
      <c r="AG32" s="61">
        <f ca="1">('TUSD BE'!$AK$32+'TUSD BF'!$AK$32+'TUSD CVA'!$AK$32)*1</f>
        <v>0.3359595140232044</v>
      </c>
      <c r="AI32" s="61">
        <v>0</v>
      </c>
      <c r="AJ32" s="61">
        <v>1.0991896086108199</v>
      </c>
      <c r="AK32" s="61">
        <v>3.5707475371223398</v>
      </c>
      <c r="AL32" s="61">
        <v>0</v>
      </c>
      <c r="AM32" s="61">
        <v>0</v>
      </c>
      <c r="AN32" s="61">
        <v>0</v>
      </c>
      <c r="AO32" s="61">
        <v>0</v>
      </c>
      <c r="AP32" s="61">
        <v>0</v>
      </c>
      <c r="AQ32" s="61">
        <v>0</v>
      </c>
      <c r="AR32" s="61">
        <v>0</v>
      </c>
      <c r="AS32" s="61">
        <v>0</v>
      </c>
      <c r="AT32" s="61">
        <v>0</v>
      </c>
      <c r="AU32" s="61">
        <v>143.05893865306101</v>
      </c>
      <c r="AV32" s="61">
        <v>0</v>
      </c>
      <c r="AW32" s="61">
        <v>0</v>
      </c>
      <c r="AX32" s="61">
        <v>175.03439967447301</v>
      </c>
      <c r="AY32" s="61">
        <v>-29.0511527138855</v>
      </c>
      <c r="AZ32" s="61">
        <v>0</v>
      </c>
      <c r="BA32" s="61">
        <v>25.047127837942899</v>
      </c>
      <c r="BB32" s="61">
        <v>0.18814052899705699</v>
      </c>
      <c r="BC32" s="61">
        <v>1.1572523862194799</v>
      </c>
      <c r="BD32" s="61">
        <v>0.33738889143023498</v>
      </c>
    </row>
    <row r="33" spans="1:56" ht="11.25" customHeight="1" x14ac:dyDescent="0.3">
      <c r="A33" s="132" t="s">
        <v>42</v>
      </c>
      <c r="B33" s="132" t="s">
        <v>33</v>
      </c>
      <c r="C33" s="132" t="s">
        <v>43</v>
      </c>
      <c r="D33" s="132" t="s">
        <v>25</v>
      </c>
      <c r="E33" s="132" t="s">
        <v>25</v>
      </c>
      <c r="F33" s="132" t="s">
        <v>25</v>
      </c>
      <c r="G33" s="66" t="s">
        <v>77</v>
      </c>
      <c r="H33" s="66" t="s">
        <v>76</v>
      </c>
      <c r="I33" s="66">
        <f>'MERCADO TUSD'!$U$30</f>
        <v>0.36099999999999999</v>
      </c>
      <c r="J33" s="15"/>
      <c r="L33" s="61">
        <f>('TUSD BE'!$L$33+'TUSD BF'!$L$33+'TUSD CVA'!$L$33)*(1 - CUSTOS!$M$38)</f>
        <v>3.311626375678002</v>
      </c>
      <c r="M33" s="61">
        <f>('TUSD BE'!$M$33+'TUSD BF'!$M$33+'TUSD CVA'!$M$33)*(1 - CUSTOS!$M$38)</f>
        <v>0.9006895282943006</v>
      </c>
      <c r="N33" s="61">
        <f ca="1">('TUSD BE'!$N$33+'TUSD BF'!$N$33+'TUSD CVA'!$N$33)*(1 - CUSTOS!$M$38)</f>
        <v>10.609960742767901</v>
      </c>
      <c r="O33" s="61">
        <f>('TUSD BE'!$O$33+'TUSD BF'!$O$33+'TUSD CVA'!$O$33)*(1 - CUSTOS!$M$38)</f>
        <v>0</v>
      </c>
      <c r="P33" s="61">
        <f>('TUSD BE'!$P$33+'TUSD BF'!$P$33+'TUSD CVA'!$P$33)*(1 - CUSTOS!$M$38)</f>
        <v>0</v>
      </c>
      <c r="Q33" s="61">
        <f>('TUSD BE'!$Q$33+'TUSD BF'!$Q$33+'TUSD CVA'!$Q$33)*(1 - CUSTOS!$M$38)</f>
        <v>93.77383454185987</v>
      </c>
      <c r="R33" s="61">
        <f>('TUSD BE'!$R$33+'TUSD BF'!$R$33+'TUSD CVA'!$R$33)*(1 - CUSTOS!$M$38)</f>
        <v>15.855175639886957</v>
      </c>
      <c r="S33" s="61">
        <f>('TUSD BE'!$S$33+'TUSD BF'!$S$33+'TUSD CVA'!$S$33)*(1 - CUSTOS!$M$38)</f>
        <v>0</v>
      </c>
      <c r="T33" s="61">
        <f>('TUSD BE'!$U$33+'TUSD BF'!$U$33+'TUSD CVA'!$U$33)*(1 - CUSTOS!$M$38)</f>
        <v>0</v>
      </c>
      <c r="U33" s="61">
        <f>('TUSD BE'!$V$33+'TUSD BF'!$V$33+'TUSD CVA'!$V$33)*(1 - CUSTOS!$M$38)</f>
        <v>0</v>
      </c>
      <c r="V33" s="61">
        <f>('TUSD BE'!$W$33+'TUSD BF'!$W$33+'TUSD CVA'!$W$33)*(1 - CUSTOS!$M$38)</f>
        <v>0</v>
      </c>
      <c r="W33" s="61">
        <f>('TUSD BE'!$X$33+'TUSD BF'!$X$33+'TUSD CVA'!$X$33)*(1 - CUSTOS!$M$38)</f>
        <v>0</v>
      </c>
      <c r="X33" s="61">
        <f>('TUSD BE'!$Y$33+'TUSD BF'!$Y$33+'TUSD CVA'!$Y$33)*(1 - CUSTOS!$M$38)</f>
        <v>376.92510304508863</v>
      </c>
      <c r="Y33" s="61">
        <f>('TUSD BE'!$Z$33+'TUSD BF'!$Z$33+'TUSD CVA'!$Z$33)*(1 - CUSTOS!$M$38)</f>
        <v>0</v>
      </c>
      <c r="Z33" s="61">
        <f>('TUSD BE'!$AA$33+'TUSD BF'!$AA$33+'TUSD CVA'!$AA$33)*(1 - CUSTOS!$M$38)</f>
        <v>0</v>
      </c>
      <c r="AA33" s="61">
        <f>('TUSD BE'!$AC$33+'TUSD BF'!$AC$33+'TUSD CVA'!$AC$33)*(1 - CUSTOS!$M$38)</f>
        <v>688.00798865489412</v>
      </c>
      <c r="AB33" s="61">
        <f ca="1">('TUSD BE'!$AE$33+'TUSD BF'!$AE$33+'TUSD CVA'!$AE$33)*(1 - CUSTOS!$M$38)</f>
        <v>-149.38579185104791</v>
      </c>
      <c r="AC33" s="61">
        <f ca="1">('TUSD BE'!$AF$33+'TUSD BF'!$AF$33+'TUSD CVA'!$AF$33)*(1 - CUSTOS!$M$38)</f>
        <v>0</v>
      </c>
      <c r="AD33" s="61">
        <f>('TUSD BE'!$AH$33+'TUSD BF'!$AH$33+'TUSD CVA'!$AH$33)*(1 - CUSTOS!$M$38)</f>
        <v>20.117422544818236</v>
      </c>
      <c r="AE33" s="61">
        <f>('TUSD BE'!$AI$33+'TUSD BF'!$AI$33+'TUSD CVA'!$AI$33)*(1 - CUSTOS!$M$38)</f>
        <v>0.20574521119158823</v>
      </c>
      <c r="AF33" s="61">
        <f ca="1">('TUSD BE'!$AJ$33+'TUSD BF'!$AJ$33+'TUSD CVA'!$AJ$33)*(1 - CUSTOS!$M$38)</f>
        <v>0.75625770759319522</v>
      </c>
      <c r="AG33" s="61">
        <f ca="1">('TUSD BE'!$AK$33+'TUSD BF'!$AK$33+'TUSD CVA'!$AK$33)*(1 - CUSTOS!$M$38)</f>
        <v>0.31580194318181209</v>
      </c>
      <c r="AI33" s="61">
        <v>2.99999417724504</v>
      </c>
      <c r="AJ33" s="61">
        <v>0.96728685557752303</v>
      </c>
      <c r="AK33" s="61">
        <v>7.6806457597151896</v>
      </c>
      <c r="AL33" s="61">
        <v>0</v>
      </c>
      <c r="AM33" s="61">
        <v>0</v>
      </c>
      <c r="AN33" s="61">
        <v>68.269780666093993</v>
      </c>
      <c r="AO33" s="61">
        <v>10.245336112394201</v>
      </c>
      <c r="AP33" s="61">
        <v>0</v>
      </c>
      <c r="AQ33" s="61">
        <v>0</v>
      </c>
      <c r="AR33" s="61">
        <v>0</v>
      </c>
      <c r="AS33" s="61">
        <v>0</v>
      </c>
      <c r="AT33" s="61">
        <v>0</v>
      </c>
      <c r="AU33" s="61">
        <v>352.49687953990798</v>
      </c>
      <c r="AV33" s="61">
        <v>0</v>
      </c>
      <c r="AW33" s="61">
        <v>0</v>
      </c>
      <c r="AX33" s="61">
        <v>431.28476079790198</v>
      </c>
      <c r="AY33" s="61">
        <v>-73.3275629423607</v>
      </c>
      <c r="AZ33" s="61">
        <v>0</v>
      </c>
      <c r="BA33" s="61">
        <v>22.041472497389801</v>
      </c>
      <c r="BB33" s="61">
        <v>0.16556366551741</v>
      </c>
      <c r="BC33" s="61">
        <v>1.0183820998731401</v>
      </c>
      <c r="BD33" s="61">
        <v>0.29690222445860698</v>
      </c>
    </row>
    <row r="34" spans="1:56" ht="11.25" customHeight="1" x14ac:dyDescent="0.3">
      <c r="A34" s="132"/>
      <c r="B34" s="132"/>
      <c r="C34" s="132"/>
      <c r="D34" s="132"/>
      <c r="E34" s="132"/>
      <c r="F34" s="132"/>
      <c r="G34" s="66" t="s">
        <v>93</v>
      </c>
      <c r="H34" s="66" t="s">
        <v>76</v>
      </c>
      <c r="I34" s="66">
        <f>'MERCADO TUSD'!$U$31</f>
        <v>0.21399999999999994</v>
      </c>
      <c r="J34" s="15"/>
      <c r="L34" s="61">
        <f>('TUSD BE'!$L$34+'TUSD BF'!$L$34+'TUSD CVA'!$L$34)*(1 - CUSTOS!$M$38)</f>
        <v>3.311626375678002</v>
      </c>
      <c r="M34" s="61">
        <f>('TUSD BE'!$M$34+'TUSD BF'!$M$34+'TUSD CVA'!$M$34)*(1 - CUSTOS!$M$38)</f>
        <v>0.9006895282943006</v>
      </c>
      <c r="N34" s="61">
        <f ca="1">('TUSD BE'!$N$34+'TUSD BF'!$N$34+'TUSD CVA'!$N$34)*(1 - CUSTOS!$M$38)</f>
        <v>6.6213207900878306</v>
      </c>
      <c r="O34" s="61">
        <f>('TUSD BE'!$O$34+'TUSD BF'!$O$34+'TUSD CVA'!$O$34)*(1 - CUSTOS!$M$38)</f>
        <v>0</v>
      </c>
      <c r="P34" s="61">
        <f>('TUSD BE'!$P$34+'TUSD BF'!$P$34+'TUSD CVA'!$P$34)*(1 - CUSTOS!$M$38)</f>
        <v>0</v>
      </c>
      <c r="Q34" s="61">
        <f>('TUSD BE'!$Q$34+'TUSD BF'!$Q$34+'TUSD CVA'!$Q$34)*(1 - CUSTOS!$M$38)</f>
        <v>93.77383454185987</v>
      </c>
      <c r="R34" s="61">
        <f>('TUSD BE'!$R$34+'TUSD BF'!$R$34+'TUSD CVA'!$R$34)*(1 - CUSTOS!$M$38)</f>
        <v>15.855175639886957</v>
      </c>
      <c r="S34" s="61">
        <f>('TUSD BE'!$S$34+'TUSD BF'!$S$34+'TUSD CVA'!$S$34)*(1 - CUSTOS!$M$38)</f>
        <v>0</v>
      </c>
      <c r="T34" s="61">
        <f>('TUSD BE'!$U$34+'TUSD BF'!$U$34+'TUSD CVA'!$U$34)*(1 - CUSTOS!$M$38)</f>
        <v>0</v>
      </c>
      <c r="U34" s="61">
        <f>('TUSD BE'!$V$34+'TUSD BF'!$V$34+'TUSD CVA'!$V$34)*(1 - CUSTOS!$M$38)</f>
        <v>0</v>
      </c>
      <c r="V34" s="61">
        <f>('TUSD BE'!$W$34+'TUSD BF'!$W$34+'TUSD CVA'!$W$34)*(1 - CUSTOS!$M$38)</f>
        <v>0</v>
      </c>
      <c r="W34" s="61">
        <f>('TUSD BE'!$X$34+'TUSD BF'!$X$34+'TUSD CVA'!$X$34)*(1 - CUSTOS!$M$38)</f>
        <v>0</v>
      </c>
      <c r="X34" s="61">
        <f>('TUSD BE'!$Y$34+'TUSD BF'!$Y$34+'TUSD CVA'!$Y$34)*(1 - CUSTOS!$M$38)</f>
        <v>226.15504482735611</v>
      </c>
      <c r="Y34" s="61">
        <f>('TUSD BE'!$Z$34+'TUSD BF'!$Z$34+'TUSD CVA'!$Z$34)*(1 - CUSTOS!$M$38)</f>
        <v>0</v>
      </c>
      <c r="Z34" s="61">
        <f>('TUSD BE'!$AA$34+'TUSD BF'!$AA$34+'TUSD CVA'!$AA$34)*(1 - CUSTOS!$M$38)</f>
        <v>0</v>
      </c>
      <c r="AA34" s="61">
        <f>('TUSD BE'!$AC$34+'TUSD BF'!$AC$34+'TUSD CVA'!$AC$34)*(1 - CUSTOS!$M$38)</f>
        <v>412.80474858685528</v>
      </c>
      <c r="AB34" s="61">
        <f ca="1">('TUSD BE'!$AE$34+'TUSD BF'!$AE$34+'TUSD CVA'!$AE$34)*(1 - CUSTOS!$M$38)</f>
        <v>-95.74339298627784</v>
      </c>
      <c r="AC34" s="61">
        <f ca="1">('TUSD BE'!$AF$34+'TUSD BF'!$AF$34+'TUSD CVA'!$AF$34)*(1 - CUSTOS!$M$38)</f>
        <v>0</v>
      </c>
      <c r="AD34" s="61">
        <f>('TUSD BE'!$AH$34+'TUSD BF'!$AH$34+'TUSD CVA'!$AH$34)*(1 - CUSTOS!$M$38)</f>
        <v>20.117422544818236</v>
      </c>
      <c r="AE34" s="61">
        <f>('TUSD BE'!$AI$34+'TUSD BF'!$AI$34+'TUSD CVA'!$AI$34)*(1 - CUSTOS!$M$38)</f>
        <v>0.20574521119158823</v>
      </c>
      <c r="AF34" s="61">
        <f ca="1">('TUSD BE'!$AJ$34+'TUSD BF'!$AJ$34+'TUSD CVA'!$AJ$34)*(1 - CUSTOS!$M$38)</f>
        <v>0.75625770759319522</v>
      </c>
      <c r="AG34" s="61">
        <f ca="1">('TUSD BE'!$AK$34+'TUSD BF'!$AK$34+'TUSD CVA'!$AK$34)*(1 - CUSTOS!$M$38)</f>
        <v>0.31580194318181209</v>
      </c>
      <c r="AI34" s="61">
        <v>2.99999417724504</v>
      </c>
      <c r="AJ34" s="61">
        <v>0.96728685557752303</v>
      </c>
      <c r="AK34" s="61">
        <v>4.8640389862205602</v>
      </c>
      <c r="AL34" s="61">
        <v>0</v>
      </c>
      <c r="AM34" s="61">
        <v>0</v>
      </c>
      <c r="AN34" s="61">
        <v>68.269780666093993</v>
      </c>
      <c r="AO34" s="61">
        <v>10.245336112394201</v>
      </c>
      <c r="AP34" s="61">
        <v>0</v>
      </c>
      <c r="AQ34" s="61">
        <v>0</v>
      </c>
      <c r="AR34" s="61">
        <v>0</v>
      </c>
      <c r="AS34" s="61">
        <v>0</v>
      </c>
      <c r="AT34" s="61">
        <v>0</v>
      </c>
      <c r="AU34" s="61">
        <v>211.49808456129</v>
      </c>
      <c r="AV34" s="61">
        <v>0</v>
      </c>
      <c r="AW34" s="61">
        <v>0</v>
      </c>
      <c r="AX34" s="61">
        <v>258.77079746218101</v>
      </c>
      <c r="AY34" s="61">
        <v>-47.202673301253697</v>
      </c>
      <c r="AZ34" s="61">
        <v>0</v>
      </c>
      <c r="BA34" s="61">
        <v>22.041472497389801</v>
      </c>
      <c r="BB34" s="61">
        <v>0.16556366551741</v>
      </c>
      <c r="BC34" s="61">
        <v>1.0183820998731401</v>
      </c>
      <c r="BD34" s="61">
        <v>0.29690222445860698</v>
      </c>
    </row>
    <row r="35" spans="1:56" ht="11.25" customHeight="1" x14ac:dyDescent="0.3">
      <c r="A35" s="132"/>
      <c r="B35" s="132"/>
      <c r="C35" s="132"/>
      <c r="D35" s="132"/>
      <c r="E35" s="132"/>
      <c r="F35" s="132"/>
      <c r="G35" s="66" t="s">
        <v>78</v>
      </c>
      <c r="H35" s="66" t="s">
        <v>76</v>
      </c>
      <c r="I35" s="66">
        <f>'MERCADO TUSD'!$U$32</f>
        <v>2.4970000000000008</v>
      </c>
      <c r="J35" s="15"/>
      <c r="L35" s="61">
        <f>('TUSD BE'!$L$35+'TUSD BF'!$L$35+'TUSD CVA'!$L$35)*(1 - CUSTOS!$M$38)</f>
        <v>3.311626375678002</v>
      </c>
      <c r="M35" s="61">
        <f>('TUSD BE'!$M$35+'TUSD BF'!$M$35+'TUSD CVA'!$M$35)*(1 - CUSTOS!$M$38)</f>
        <v>0.9006895282943006</v>
      </c>
      <c r="N35" s="61">
        <f ca="1">('TUSD BE'!$N$35+'TUSD BF'!$N$35+'TUSD CVA'!$N$35)*(1 - CUSTOS!$M$38)</f>
        <v>2.6326817777585667</v>
      </c>
      <c r="O35" s="61">
        <f>('TUSD BE'!$O$35+'TUSD BF'!$O$35+'TUSD CVA'!$O$35)*(1 - CUSTOS!$M$38)</f>
        <v>0</v>
      </c>
      <c r="P35" s="61">
        <f>('TUSD BE'!$P$35+'TUSD BF'!$P$35+'TUSD CVA'!$P$35)*(1 - CUSTOS!$M$38)</f>
        <v>0</v>
      </c>
      <c r="Q35" s="61">
        <f>('TUSD BE'!$Q$35+'TUSD BF'!$Q$35+'TUSD CVA'!$Q$35)*(1 - CUSTOS!$M$38)</f>
        <v>93.77383454185987</v>
      </c>
      <c r="R35" s="61">
        <f>('TUSD BE'!$R$35+'TUSD BF'!$R$35+'TUSD CVA'!$R$35)*(1 - CUSTOS!$M$38)</f>
        <v>15.855175639886957</v>
      </c>
      <c r="S35" s="61">
        <f>('TUSD BE'!$S$35+'TUSD BF'!$S$35+'TUSD CVA'!$S$35)*(1 - CUSTOS!$M$38)</f>
        <v>0</v>
      </c>
      <c r="T35" s="61">
        <f>('TUSD BE'!$U$35+'TUSD BF'!$U$35+'TUSD CVA'!$U$35)*(1 - CUSTOS!$M$38)</f>
        <v>0</v>
      </c>
      <c r="U35" s="61">
        <f>('TUSD BE'!$V$35+'TUSD BF'!$V$35+'TUSD CVA'!$V$35)*(1 - CUSTOS!$M$38)</f>
        <v>0</v>
      </c>
      <c r="V35" s="61">
        <f>('TUSD BE'!$W$35+'TUSD BF'!$W$35+'TUSD CVA'!$W$35)*(1 - CUSTOS!$M$38)</f>
        <v>0</v>
      </c>
      <c r="W35" s="61">
        <f>('TUSD BE'!$X$35+'TUSD BF'!$X$35+'TUSD CVA'!$X$35)*(1 - CUSTOS!$M$38)</f>
        <v>0</v>
      </c>
      <c r="X35" s="61">
        <f>('TUSD BE'!$Y$35+'TUSD BF'!$Y$35+'TUSD CVA'!$Y$35)*(1 - CUSTOS!$M$38)</f>
        <v>75.38498660962361</v>
      </c>
      <c r="Y35" s="61">
        <f>('TUSD BE'!$Z$35+'TUSD BF'!$Z$35+'TUSD CVA'!$Z$35)*(1 - CUSTOS!$M$38)</f>
        <v>0</v>
      </c>
      <c r="Z35" s="61">
        <f>('TUSD BE'!$AA$35+'TUSD BF'!$AA$35+'TUSD CVA'!$AA$35)*(1 - CUSTOS!$M$38)</f>
        <v>0</v>
      </c>
      <c r="AA35" s="61">
        <f>('TUSD BE'!$AC$35+'TUSD BF'!$AC$35+'TUSD CVA'!$AC$35)*(1 - CUSTOS!$M$38)</f>
        <v>137.60162003401945</v>
      </c>
      <c r="AB35" s="61">
        <f ca="1">('TUSD BE'!$AE$35+'TUSD BF'!$AE$35+'TUSD CVA'!$AE$35)*(1 - CUSTOS!$M$38)</f>
        <v>-42.1010067324153</v>
      </c>
      <c r="AC35" s="61">
        <f ca="1">('TUSD BE'!$AF$35+'TUSD BF'!$AF$35+'TUSD CVA'!$AF$35)*(1 - CUSTOS!$M$38)</f>
        <v>0</v>
      </c>
      <c r="AD35" s="61">
        <f>('TUSD BE'!$AH$35+'TUSD BF'!$AH$35+'TUSD CVA'!$AH$35)*(1 - CUSTOS!$M$38)</f>
        <v>20.117422544818236</v>
      </c>
      <c r="AE35" s="61">
        <f>('TUSD BE'!$AI$35+'TUSD BF'!$AI$35+'TUSD CVA'!$AI$35)*(1 - CUSTOS!$M$38)</f>
        <v>0.20574521119158823</v>
      </c>
      <c r="AF35" s="61">
        <f ca="1">('TUSD BE'!$AJ$35+'TUSD BF'!$AJ$35+'TUSD CVA'!$AJ$35)*(1 - CUSTOS!$M$38)</f>
        <v>0.75625770759319522</v>
      </c>
      <c r="AG35" s="61">
        <f ca="1">('TUSD BE'!$AK$35+'TUSD BF'!$AK$35+'TUSD CVA'!$AK$35)*(1 - CUSTOS!$M$38)</f>
        <v>0.31580194318181209</v>
      </c>
      <c r="AI35" s="61">
        <v>2.99999417724504</v>
      </c>
      <c r="AJ35" s="61">
        <v>0.96728685557752303</v>
      </c>
      <c r="AK35" s="61">
        <v>2.04743338279019</v>
      </c>
      <c r="AL35" s="61">
        <v>0</v>
      </c>
      <c r="AM35" s="61">
        <v>0</v>
      </c>
      <c r="AN35" s="61">
        <v>68.269780666093993</v>
      </c>
      <c r="AO35" s="61">
        <v>10.245336112394201</v>
      </c>
      <c r="AP35" s="61">
        <v>0</v>
      </c>
      <c r="AQ35" s="61">
        <v>0</v>
      </c>
      <c r="AR35" s="61">
        <v>0</v>
      </c>
      <c r="AS35" s="61">
        <v>0</v>
      </c>
      <c r="AT35" s="61">
        <v>0</v>
      </c>
      <c r="AU35" s="61">
        <v>70.4992895826732</v>
      </c>
      <c r="AV35" s="61">
        <v>0</v>
      </c>
      <c r="AW35" s="61">
        <v>0</v>
      </c>
      <c r="AX35" s="61">
        <v>86.256932487393698</v>
      </c>
      <c r="AY35" s="61">
        <v>-21.077792967771401</v>
      </c>
      <c r="AZ35" s="61">
        <v>0</v>
      </c>
      <c r="BA35" s="61">
        <v>22.041472497389801</v>
      </c>
      <c r="BB35" s="61">
        <v>0.16556366551741</v>
      </c>
      <c r="BC35" s="61">
        <v>1.0183820998731401</v>
      </c>
      <c r="BD35" s="61">
        <v>0.29690222445860698</v>
      </c>
    </row>
    <row r="36" spans="1:56" ht="11.25" customHeight="1" x14ac:dyDescent="0.3">
      <c r="A36" s="132"/>
      <c r="B36" s="65" t="s">
        <v>23</v>
      </c>
      <c r="C36" s="65" t="s">
        <v>43</v>
      </c>
      <c r="D36" s="65" t="s">
        <v>25</v>
      </c>
      <c r="E36" s="65" t="s">
        <v>25</v>
      </c>
      <c r="F36" s="65" t="s">
        <v>25</v>
      </c>
      <c r="G36" s="66" t="s">
        <v>81</v>
      </c>
      <c r="H36" s="66" t="s">
        <v>76</v>
      </c>
      <c r="I36" s="66">
        <f>'MERCADO TUSD'!$U$33</f>
        <v>18691.718999999997</v>
      </c>
      <c r="J36" s="15"/>
      <c r="L36" s="61">
        <f>('TUSD BE'!$L$36+'TUSD BF'!$L$36+'TUSD CVA'!$L$36)*(1 - CUSTOS!$M$38)</f>
        <v>3.311626375678002</v>
      </c>
      <c r="M36" s="61">
        <f>('TUSD BE'!$M$36+'TUSD BF'!$M$36+'TUSD CVA'!$M$36)*(1 - CUSTOS!$M$38)</f>
        <v>0.9006895282943006</v>
      </c>
      <c r="N36" s="61">
        <f ca="1">('TUSD BE'!$N$36+'TUSD BF'!$N$36+'TUSD CVA'!$N$36)*(1 - CUSTOS!$M$38)</f>
        <v>3.8039488937989954</v>
      </c>
      <c r="O36" s="61">
        <f>('TUSD BE'!$O$36+'TUSD BF'!$O$36+'TUSD CVA'!$O$36)*(1 - CUSTOS!$M$38)</f>
        <v>0</v>
      </c>
      <c r="P36" s="61">
        <f>('TUSD BE'!$P$36+'TUSD BF'!$P$36+'TUSD CVA'!$P$36)*(1 - CUSTOS!$M$38)</f>
        <v>0</v>
      </c>
      <c r="Q36" s="61">
        <f>('TUSD BE'!$Q$36+'TUSD BF'!$Q$36+'TUSD CVA'!$Q$36)*(1 - CUSTOS!$M$38)</f>
        <v>93.77383454185987</v>
      </c>
      <c r="R36" s="61">
        <f>('TUSD BE'!$R$36+'TUSD BF'!$R$36+'TUSD CVA'!$R$36)*(1 - CUSTOS!$M$38)</f>
        <v>15.855175639886957</v>
      </c>
      <c r="S36" s="61">
        <f>('TUSD BE'!$S$36+'TUSD BF'!$S$36+'TUSD CVA'!$S$36)*(1 - CUSTOS!$M$38)</f>
        <v>0</v>
      </c>
      <c r="T36" s="61">
        <f>('TUSD BE'!$U$36+'TUSD BF'!$U$36+'TUSD CVA'!$U$36)*(1 - CUSTOS!$M$38)</f>
        <v>0</v>
      </c>
      <c r="U36" s="61">
        <f>('TUSD BE'!$V$36+'TUSD BF'!$V$36+'TUSD CVA'!$V$36)*(1 - CUSTOS!$M$38)</f>
        <v>0</v>
      </c>
      <c r="V36" s="61">
        <f>('TUSD BE'!$W$36+'TUSD BF'!$W$36+'TUSD CVA'!$W$36)*(1 - CUSTOS!$M$38)</f>
        <v>0</v>
      </c>
      <c r="W36" s="61">
        <f>('TUSD BE'!$X$36+'TUSD BF'!$X$36+'TUSD CVA'!$X$36)*(1 - CUSTOS!$M$38)</f>
        <v>0</v>
      </c>
      <c r="X36" s="61">
        <f>('TUSD BE'!$Y$36+'TUSD BF'!$Y$36+'TUSD CVA'!$Y$36)*(1 - CUSTOS!$M$38)</f>
        <v>119.6587426337221</v>
      </c>
      <c r="Y36" s="61">
        <f>('TUSD BE'!$Z$36+'TUSD BF'!$Z$36+'TUSD CVA'!$Z$36)*(1 - CUSTOS!$M$38)</f>
        <v>0</v>
      </c>
      <c r="Z36" s="61">
        <f>('TUSD BE'!$AA$36+'TUSD BF'!$AA$36+'TUSD CVA'!$AA$36)*(1 - CUSTOS!$M$38)</f>
        <v>0</v>
      </c>
      <c r="AA36" s="61">
        <f>('TUSD BE'!$AC$36+'TUSD BF'!$AC$36+'TUSD CVA'!$AC$36)*(1 - CUSTOS!$M$38)</f>
        <v>218.41523803378234</v>
      </c>
      <c r="AB36" s="61">
        <f ca="1">('TUSD BE'!$AE$36+'TUSD BF'!$AE$36+'TUSD CVA'!$AE$36)*(1 - CUSTOS!$M$38)</f>
        <v>-57.853137439198676</v>
      </c>
      <c r="AC36" s="61">
        <f ca="1">('TUSD BE'!$AF$36+'TUSD BF'!$AF$36+'TUSD CVA'!$AF$36)*(1 - CUSTOS!$M$38)</f>
        <v>0</v>
      </c>
      <c r="AD36" s="61">
        <f>('TUSD BE'!$AH$36+'TUSD BF'!$AH$36+'TUSD CVA'!$AH$36)*(1 - CUSTOS!$M$38)</f>
        <v>20.117422544818236</v>
      </c>
      <c r="AE36" s="61">
        <f>('TUSD BE'!$AI$36+'TUSD BF'!$AI$36+'TUSD CVA'!$AI$36)*(1 - CUSTOS!$M$38)</f>
        <v>0.20574521119158823</v>
      </c>
      <c r="AF36" s="61">
        <f ca="1">('TUSD BE'!$AJ$36+'TUSD BF'!$AJ$36+'TUSD CVA'!$AJ$36)*(1 - CUSTOS!$M$38)</f>
        <v>0.75625770759319522</v>
      </c>
      <c r="AG36" s="61">
        <f ca="1">('TUSD BE'!$AK$36+'TUSD BF'!$AK$36+'TUSD CVA'!$AK$36)*(1 - CUSTOS!$M$38)</f>
        <v>0.31580194318181209</v>
      </c>
      <c r="AI36" s="61">
        <v>2.99999417724504</v>
      </c>
      <c r="AJ36" s="61">
        <v>0.96728685557752303</v>
      </c>
      <c r="AK36" s="61">
        <v>3.1539584752895902</v>
      </c>
      <c r="AL36" s="61">
        <v>0</v>
      </c>
      <c r="AM36" s="61">
        <v>0</v>
      </c>
      <c r="AN36" s="61">
        <v>68.269780666093993</v>
      </c>
      <c r="AO36" s="61">
        <v>10.245336112394201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125.89186601469299</v>
      </c>
      <c r="AV36" s="61">
        <v>0</v>
      </c>
      <c r="AW36" s="61">
        <v>0</v>
      </c>
      <c r="AX36" s="61">
        <v>154.03027171353699</v>
      </c>
      <c r="AY36" s="61">
        <v>-31.341155530504</v>
      </c>
      <c r="AZ36" s="61">
        <v>0</v>
      </c>
      <c r="BA36" s="61">
        <v>22.041472497389801</v>
      </c>
      <c r="BB36" s="61">
        <v>0.16556366551741</v>
      </c>
      <c r="BC36" s="61">
        <v>1.0183820998731401</v>
      </c>
      <c r="BD36" s="61">
        <v>0.29690222445860698</v>
      </c>
    </row>
    <row r="37" spans="1:56" ht="11.25" customHeight="1" x14ac:dyDescent="0.3">
      <c r="A37" s="132"/>
      <c r="B37" s="132" t="s">
        <v>33</v>
      </c>
      <c r="C37" s="132" t="s">
        <v>43</v>
      </c>
      <c r="D37" s="132" t="s">
        <v>96</v>
      </c>
      <c r="E37" s="132" t="s">
        <v>25</v>
      </c>
      <c r="F37" s="132" t="s">
        <v>25</v>
      </c>
      <c r="G37" s="66" t="s">
        <v>77</v>
      </c>
      <c r="H37" s="66" t="s">
        <v>76</v>
      </c>
      <c r="I37" s="66">
        <f>'MERCADO TUSD'!$U$34</f>
        <v>0</v>
      </c>
      <c r="J37" s="15"/>
      <c r="L37" s="61">
        <f>('TUSD BE'!$L$37+'TUSD BF'!$L$37+'TUSD CVA'!$L$37)*(1 - CUSTOS!$M$39)</f>
        <v>3.2411662400252785</v>
      </c>
      <c r="M37" s="61">
        <f>('TUSD BE'!$M$37+'TUSD BF'!$M$37+'TUSD CVA'!$M$37)*(1 - CUSTOS!$M$39)</f>
        <v>0.88152592130931551</v>
      </c>
      <c r="N37" s="61">
        <f ca="1">('TUSD BE'!$N$37+'TUSD BF'!$N$37+'TUSD CVA'!$N$37)*(1 - CUSTOS!$M$39)</f>
        <v>10.384216897177096</v>
      </c>
      <c r="O37" s="61">
        <f>('TUSD BE'!$O$37+'TUSD BF'!$O$37+'TUSD CVA'!$O$37)*(1 - CUSTOS!$M$39)</f>
        <v>0</v>
      </c>
      <c r="P37" s="61">
        <f>('TUSD BE'!$P$37+'TUSD BF'!$P$37+'TUSD CVA'!$P$37)*(1 - CUSTOS!$M$39)</f>
        <v>0</v>
      </c>
      <c r="Q37" s="61">
        <f>('TUSD BE'!$Q$37+'TUSD BF'!$Q$37+'TUSD CVA'!$Q$37)*(1 - CUSTOS!$M$39)</f>
        <v>91.778646572884128</v>
      </c>
      <c r="R37" s="61">
        <f>('TUSD BE'!$R$37+'TUSD BF'!$R$37+'TUSD CVA'!$R$37)*(1 - CUSTOS!$M$39)</f>
        <v>15.517831477336173</v>
      </c>
      <c r="S37" s="61">
        <f>('TUSD BE'!$S$37+'TUSD BF'!$S$37+'TUSD CVA'!$S$37)*(1 - CUSTOS!$M$39)</f>
        <v>0</v>
      </c>
      <c r="T37" s="61">
        <f>('TUSD BE'!$U$37+'TUSD BF'!$U$37+'TUSD CVA'!$U$37)*(1 - CUSTOS!$M$39)</f>
        <v>0</v>
      </c>
      <c r="U37" s="61">
        <f>('TUSD BE'!$V$37+'TUSD BF'!$V$37+'TUSD CVA'!$V$37)*(1 - CUSTOS!$M$39)</f>
        <v>0</v>
      </c>
      <c r="V37" s="61">
        <f>('TUSD BE'!$W$37+'TUSD BF'!$W$37+'TUSD CVA'!$W$37)*(1 - CUSTOS!$M$39)</f>
        <v>0</v>
      </c>
      <c r="W37" s="61">
        <f>('TUSD BE'!$X$37+'TUSD BF'!$X$37+'TUSD CVA'!$X$37)*(1 - CUSTOS!$M$39)</f>
        <v>0</v>
      </c>
      <c r="X37" s="61">
        <f>('TUSD BE'!$Y$37+'TUSD BF'!$Y$37+'TUSD CVA'!$Y$37)*(1 - CUSTOS!$M$39)</f>
        <v>368.90542000157615</v>
      </c>
      <c r="Y37" s="61">
        <f>('TUSD BE'!$Z$37+'TUSD BF'!$Z$37+'TUSD CVA'!$Z$37)*(1 - CUSTOS!$M$39)</f>
        <v>0</v>
      </c>
      <c r="Z37" s="61">
        <f>('TUSD BE'!$AA$37+'TUSD BF'!$AA$37+'TUSD CVA'!$AA$37)*(1 - CUSTOS!$M$39)</f>
        <v>0</v>
      </c>
      <c r="AA37" s="61">
        <f>('TUSD BE'!$AC$37+'TUSD BF'!$AC$37+'TUSD CVA'!$AC$37)*(1 - CUSTOS!$M$39)</f>
        <v>673.36952081117306</v>
      </c>
      <c r="AB37" s="61">
        <f ca="1">('TUSD BE'!$AE$37+'TUSD BF'!$AE$37+'TUSD CVA'!$AE$37)*(1 - CUSTOS!$M$39)</f>
        <v>-146.20737074783412</v>
      </c>
      <c r="AC37" s="61">
        <f ca="1">('TUSD BE'!$AF$37+'TUSD BF'!$AF$37+'TUSD CVA'!$AF$37)*(1 - CUSTOS!$M$39)</f>
        <v>0</v>
      </c>
      <c r="AD37" s="61">
        <f>('TUSD BE'!$AH$37+'TUSD BF'!$AH$37+'TUSD CVA'!$AH$37)*(1 - CUSTOS!$M$39)</f>
        <v>19.68939227790721</v>
      </c>
      <c r="AE37" s="61">
        <f>('TUSD BE'!$AI$37+'TUSD BF'!$AI$37+'TUSD CVA'!$AI$37)*(1 - CUSTOS!$M$39)</f>
        <v>0.20136765350666083</v>
      </c>
      <c r="AF37" s="61">
        <f ca="1">('TUSD BE'!$AJ$37+'TUSD BF'!$AJ$37+'TUSD CVA'!$AJ$37)*(1 - CUSTOS!$M$39)</f>
        <v>0.74016711806993585</v>
      </c>
      <c r="AG37" s="61">
        <f ca="1">('TUSD BE'!$AK$37+'TUSD BF'!$AK$37+'TUSD CVA'!$AK$37)*(1 - CUSTOS!$M$39)</f>
        <v>0.30908275290134807</v>
      </c>
      <c r="AI37" s="61">
        <v>2.8636308055520798</v>
      </c>
      <c r="AJ37" s="61">
        <v>0.92331927123308999</v>
      </c>
      <c r="AK37" s="61">
        <v>7.3315254979099498</v>
      </c>
      <c r="AL37" s="61">
        <v>0</v>
      </c>
      <c r="AM37" s="61">
        <v>0</v>
      </c>
      <c r="AN37" s="61">
        <v>65.166608817635193</v>
      </c>
      <c r="AO37" s="61">
        <v>9.7796390163763203</v>
      </c>
      <c r="AP37" s="61">
        <v>0</v>
      </c>
      <c r="AQ37" s="61">
        <v>0</v>
      </c>
      <c r="AR37" s="61">
        <v>0</v>
      </c>
      <c r="AS37" s="61">
        <v>0</v>
      </c>
      <c r="AT37" s="61">
        <v>0</v>
      </c>
      <c r="AU37" s="61">
        <v>336.47429410627598</v>
      </c>
      <c r="AV37" s="61">
        <v>0</v>
      </c>
      <c r="AW37" s="61">
        <v>0</v>
      </c>
      <c r="AX37" s="61">
        <v>411.68090803436098</v>
      </c>
      <c r="AY37" s="61">
        <v>-69.994491899526196</v>
      </c>
      <c r="AZ37" s="61">
        <v>0</v>
      </c>
      <c r="BA37" s="61">
        <v>21.039587383872099</v>
      </c>
      <c r="BB37" s="61">
        <v>0.158038044357528</v>
      </c>
      <c r="BC37" s="61">
        <v>0.97209200442436305</v>
      </c>
      <c r="BD37" s="61">
        <v>0.28340666880139698</v>
      </c>
    </row>
    <row r="38" spans="1:56" ht="11.25" customHeight="1" x14ac:dyDescent="0.3">
      <c r="A38" s="132"/>
      <c r="B38" s="132"/>
      <c r="C38" s="132"/>
      <c r="D38" s="132"/>
      <c r="E38" s="132"/>
      <c r="F38" s="132"/>
      <c r="G38" s="66" t="s">
        <v>93</v>
      </c>
      <c r="H38" s="66" t="s">
        <v>76</v>
      </c>
      <c r="I38" s="66">
        <f>'MERCADO TUSD'!$U$35</f>
        <v>0</v>
      </c>
      <c r="J38" s="15"/>
      <c r="L38" s="61">
        <f>('TUSD BE'!$L$38+'TUSD BF'!$L$38+'TUSD CVA'!$L$38)*(1 - CUSTOS!$M$39)</f>
        <v>3.2411662400252785</v>
      </c>
      <c r="M38" s="61">
        <f>('TUSD BE'!$M$38+'TUSD BF'!$M$38+'TUSD CVA'!$M$38)*(1 - CUSTOS!$M$39)</f>
        <v>0.88152592130931551</v>
      </c>
      <c r="N38" s="61">
        <f ca="1">('TUSD BE'!$N$38+'TUSD BF'!$N$38+'TUSD CVA'!$N$38)*(1 - CUSTOS!$M$39)</f>
        <v>6.4804416243412817</v>
      </c>
      <c r="O38" s="61">
        <f>('TUSD BE'!$O$38+'TUSD BF'!$O$38+'TUSD CVA'!$O$38)*(1 - CUSTOS!$M$39)</f>
        <v>0</v>
      </c>
      <c r="P38" s="61">
        <f>('TUSD BE'!$P$38+'TUSD BF'!$P$38+'TUSD CVA'!$P$38)*(1 - CUSTOS!$M$39)</f>
        <v>0</v>
      </c>
      <c r="Q38" s="61">
        <f>('TUSD BE'!$Q$38+'TUSD BF'!$Q$38+'TUSD CVA'!$Q$38)*(1 - CUSTOS!$M$39)</f>
        <v>91.778646572884128</v>
      </c>
      <c r="R38" s="61">
        <f>('TUSD BE'!$R$38+'TUSD BF'!$R$38+'TUSD CVA'!$R$38)*(1 - CUSTOS!$M$39)</f>
        <v>15.517831477336173</v>
      </c>
      <c r="S38" s="61">
        <f>('TUSD BE'!$S$38+'TUSD BF'!$S$38+'TUSD CVA'!$S$38)*(1 - CUSTOS!$M$39)</f>
        <v>0</v>
      </c>
      <c r="T38" s="61">
        <f>('TUSD BE'!$U$38+'TUSD BF'!$U$38+'TUSD CVA'!$U$38)*(1 - CUSTOS!$M$39)</f>
        <v>0</v>
      </c>
      <c r="U38" s="61">
        <f>('TUSD BE'!$V$38+'TUSD BF'!$V$38+'TUSD CVA'!$V$38)*(1 - CUSTOS!$M$39)</f>
        <v>0</v>
      </c>
      <c r="V38" s="61">
        <f>('TUSD BE'!$W$38+'TUSD BF'!$W$38+'TUSD CVA'!$W$38)*(1 - CUSTOS!$M$39)</f>
        <v>0</v>
      </c>
      <c r="W38" s="61">
        <f>('TUSD BE'!$X$38+'TUSD BF'!$X$38+'TUSD CVA'!$X$38)*(1 - CUSTOS!$M$39)</f>
        <v>0</v>
      </c>
      <c r="X38" s="61">
        <f>('TUSD BE'!$Y$38+'TUSD BF'!$Y$38+'TUSD CVA'!$Y$38)*(1 - CUSTOS!$M$39)</f>
        <v>221.34323536294428</v>
      </c>
      <c r="Y38" s="61">
        <f>('TUSD BE'!$Z$38+'TUSD BF'!$Z$38+'TUSD CVA'!$Z$38)*(1 - CUSTOS!$M$39)</f>
        <v>0</v>
      </c>
      <c r="Z38" s="61">
        <f>('TUSD BE'!$AA$38+'TUSD BF'!$AA$38+'TUSD CVA'!$AA$38)*(1 - CUSTOS!$M$39)</f>
        <v>0</v>
      </c>
      <c r="AA38" s="61">
        <f>('TUSD BE'!$AC$38+'TUSD BF'!$AC$38+'TUSD CVA'!$AC$38)*(1 - CUSTOS!$M$39)</f>
        <v>404.02166882968817</v>
      </c>
      <c r="AB38" s="61">
        <f ca="1">('TUSD BE'!$AE$38+'TUSD BF'!$AE$38+'TUSD CVA'!$AE$38)*(1 - CUSTOS!$M$39)</f>
        <v>-93.706299518484698</v>
      </c>
      <c r="AC38" s="61">
        <f ca="1">('TUSD BE'!$AF$38+'TUSD BF'!$AF$38+'TUSD CVA'!$AF$38)*(1 - CUSTOS!$M$39)</f>
        <v>0</v>
      </c>
      <c r="AD38" s="61">
        <f>('TUSD BE'!$AH$38+'TUSD BF'!$AH$38+'TUSD CVA'!$AH$38)*(1 - CUSTOS!$M$39)</f>
        <v>19.68939227790721</v>
      </c>
      <c r="AE38" s="61">
        <f>('TUSD BE'!$AI$38+'TUSD BF'!$AI$38+'TUSD CVA'!$AI$38)*(1 - CUSTOS!$M$39)</f>
        <v>0.20136765350666083</v>
      </c>
      <c r="AF38" s="61">
        <f ca="1">('TUSD BE'!$AJ$38+'TUSD BF'!$AJ$38+'TUSD CVA'!$AJ$38)*(1 - CUSTOS!$M$39)</f>
        <v>0.74016711806993585</v>
      </c>
      <c r="AG38" s="61">
        <f ca="1">('TUSD BE'!$AK$38+'TUSD BF'!$AK$38+'TUSD CVA'!$AK$38)*(1 - CUSTOS!$M$39)</f>
        <v>0.30908275290134807</v>
      </c>
      <c r="AI38" s="61">
        <v>2.8636308055520798</v>
      </c>
      <c r="AJ38" s="61">
        <v>0.92331927123308999</v>
      </c>
      <c r="AK38" s="61">
        <v>4.6429463050287101</v>
      </c>
      <c r="AL38" s="61">
        <v>0</v>
      </c>
      <c r="AM38" s="61">
        <v>0</v>
      </c>
      <c r="AN38" s="61">
        <v>65.166608817635193</v>
      </c>
      <c r="AO38" s="61">
        <v>9.7796390163763203</v>
      </c>
      <c r="AP38" s="61">
        <v>0</v>
      </c>
      <c r="AQ38" s="61">
        <v>0</v>
      </c>
      <c r="AR38" s="61">
        <v>0</v>
      </c>
      <c r="AS38" s="61">
        <v>0</v>
      </c>
      <c r="AT38" s="61">
        <v>0</v>
      </c>
      <c r="AU38" s="61">
        <v>201.88453526305</v>
      </c>
      <c r="AV38" s="61">
        <v>0</v>
      </c>
      <c r="AW38" s="61">
        <v>0</v>
      </c>
      <c r="AX38" s="61">
        <v>247.00848848662699</v>
      </c>
      <c r="AY38" s="61">
        <v>-45.057097242105797</v>
      </c>
      <c r="AZ38" s="61">
        <v>0</v>
      </c>
      <c r="BA38" s="61">
        <v>21.039587383872099</v>
      </c>
      <c r="BB38" s="61">
        <v>0.158038044357528</v>
      </c>
      <c r="BC38" s="61">
        <v>0.97209200442436305</v>
      </c>
      <c r="BD38" s="61">
        <v>0.28340666880139698</v>
      </c>
    </row>
    <row r="39" spans="1:56" ht="11.25" customHeight="1" x14ac:dyDescent="0.3">
      <c r="A39" s="132"/>
      <c r="B39" s="132"/>
      <c r="C39" s="132"/>
      <c r="D39" s="132"/>
      <c r="E39" s="132"/>
      <c r="F39" s="132"/>
      <c r="G39" s="66" t="s">
        <v>78</v>
      </c>
      <c r="H39" s="66" t="s">
        <v>76</v>
      </c>
      <c r="I39" s="66">
        <f>'MERCADO TUSD'!$U$36</f>
        <v>0</v>
      </c>
      <c r="J39" s="15"/>
      <c r="L39" s="61">
        <f>('TUSD BE'!$L$39+'TUSD BF'!$L$39+'TUSD CVA'!$L$39)*(1 - CUSTOS!$M$39)</f>
        <v>3.2411662400252785</v>
      </c>
      <c r="M39" s="61">
        <f>('TUSD BE'!$M$39+'TUSD BF'!$M$39+'TUSD CVA'!$M$39)*(1 - CUSTOS!$M$39)</f>
        <v>0.88152592130931551</v>
      </c>
      <c r="N39" s="61">
        <f ca="1">('TUSD BE'!$N$39+'TUSD BF'!$N$39+'TUSD CVA'!$N$39)*(1 - CUSTOS!$M$39)</f>
        <v>2.5766672718488102</v>
      </c>
      <c r="O39" s="61">
        <f>('TUSD BE'!$O$39+'TUSD BF'!$O$39+'TUSD CVA'!$O$39)*(1 - CUSTOS!$M$39)</f>
        <v>0</v>
      </c>
      <c r="P39" s="61">
        <f>('TUSD BE'!$P$39+'TUSD BF'!$P$39+'TUSD CVA'!$P$39)*(1 - CUSTOS!$M$39)</f>
        <v>0</v>
      </c>
      <c r="Q39" s="61">
        <f>('TUSD BE'!$Q$39+'TUSD BF'!$Q$39+'TUSD CVA'!$Q$39)*(1 - CUSTOS!$M$39)</f>
        <v>91.778646572884128</v>
      </c>
      <c r="R39" s="61">
        <f>('TUSD BE'!$R$39+'TUSD BF'!$R$39+'TUSD CVA'!$R$39)*(1 - CUSTOS!$M$39)</f>
        <v>15.517831477336173</v>
      </c>
      <c r="S39" s="61">
        <f>('TUSD BE'!$S$39+'TUSD BF'!$S$39+'TUSD CVA'!$S$39)*(1 - CUSTOS!$M$39)</f>
        <v>0</v>
      </c>
      <c r="T39" s="61">
        <f>('TUSD BE'!$U$39+'TUSD BF'!$U$39+'TUSD CVA'!$U$39)*(1 - CUSTOS!$M$39)</f>
        <v>0</v>
      </c>
      <c r="U39" s="61">
        <f>('TUSD BE'!$V$39+'TUSD BF'!$V$39+'TUSD CVA'!$V$39)*(1 - CUSTOS!$M$39)</f>
        <v>0</v>
      </c>
      <c r="V39" s="61">
        <f>('TUSD BE'!$W$39+'TUSD BF'!$W$39+'TUSD CVA'!$W$39)*(1 - CUSTOS!$M$39)</f>
        <v>0</v>
      </c>
      <c r="W39" s="61">
        <f>('TUSD BE'!$X$39+'TUSD BF'!$X$39+'TUSD CVA'!$X$39)*(1 - CUSTOS!$M$39)</f>
        <v>0</v>
      </c>
      <c r="X39" s="61">
        <f>('TUSD BE'!$Y$39+'TUSD BF'!$Y$39+'TUSD CVA'!$Y$39)*(1 - CUSTOS!$M$39)</f>
        <v>73.781050724312479</v>
      </c>
      <c r="Y39" s="61">
        <f>('TUSD BE'!$Z$39+'TUSD BF'!$Z$39+'TUSD CVA'!$Z$39)*(1 - CUSTOS!$M$39)</f>
        <v>0</v>
      </c>
      <c r="Z39" s="61">
        <f>('TUSD BE'!$AA$39+'TUSD BF'!$AA$39+'TUSD CVA'!$AA$39)*(1 - CUSTOS!$M$39)</f>
        <v>0</v>
      </c>
      <c r="AA39" s="61">
        <f>('TUSD BE'!$AC$39+'TUSD BF'!$AC$39+'TUSD CVA'!$AC$39)*(1 - CUSTOS!$M$39)</f>
        <v>134.67392599074245</v>
      </c>
      <c r="AB39" s="61">
        <f ca="1">('TUSD BE'!$AE$39+'TUSD BF'!$AE$39+'TUSD CVA'!$AE$39)*(1 - CUSTOS!$M$39)</f>
        <v>-41.205240631725616</v>
      </c>
      <c r="AC39" s="61">
        <f ca="1">('TUSD BE'!$AF$39+'TUSD BF'!$AF$39+'TUSD CVA'!$AF$39)*(1 - CUSTOS!$M$39)</f>
        <v>0</v>
      </c>
      <c r="AD39" s="61">
        <f>('TUSD BE'!$AH$39+'TUSD BF'!$AH$39+'TUSD CVA'!$AH$39)*(1 - CUSTOS!$M$39)</f>
        <v>19.68939227790721</v>
      </c>
      <c r="AE39" s="61">
        <f>('TUSD BE'!$AI$39+'TUSD BF'!$AI$39+'TUSD CVA'!$AI$39)*(1 - CUSTOS!$M$39)</f>
        <v>0.20136765350666083</v>
      </c>
      <c r="AF39" s="61">
        <f ca="1">('TUSD BE'!$AJ$39+'TUSD BF'!$AJ$39+'TUSD CVA'!$AJ$39)*(1 - CUSTOS!$M$39)</f>
        <v>0.74016711806993585</v>
      </c>
      <c r="AG39" s="61">
        <f ca="1">('TUSD BE'!$AK$39+'TUSD BF'!$AK$39+'TUSD CVA'!$AK$39)*(1 - CUSTOS!$M$39)</f>
        <v>0.30908275290134807</v>
      </c>
      <c r="AI39" s="61">
        <v>2.8636308055520798</v>
      </c>
      <c r="AJ39" s="61">
        <v>0.92331927123308999</v>
      </c>
      <c r="AK39" s="61">
        <v>1.9543682290269999</v>
      </c>
      <c r="AL39" s="61">
        <v>0</v>
      </c>
      <c r="AM39" s="61">
        <v>0</v>
      </c>
      <c r="AN39" s="61">
        <v>65.166608817635193</v>
      </c>
      <c r="AO39" s="61">
        <v>9.7796390163763203</v>
      </c>
      <c r="AP39" s="61">
        <v>0</v>
      </c>
      <c r="AQ39" s="61">
        <v>0</v>
      </c>
      <c r="AR39" s="61">
        <v>0</v>
      </c>
      <c r="AS39" s="61">
        <v>0</v>
      </c>
      <c r="AT39" s="61">
        <v>0</v>
      </c>
      <c r="AU39" s="61">
        <v>67.294776419824402</v>
      </c>
      <c r="AV39" s="61">
        <v>0</v>
      </c>
      <c r="AW39" s="61">
        <v>0</v>
      </c>
      <c r="AX39" s="61">
        <v>82.3361628288758</v>
      </c>
      <c r="AY39" s="61">
        <v>-20.1197114692364</v>
      </c>
      <c r="AZ39" s="61">
        <v>0</v>
      </c>
      <c r="BA39" s="61">
        <v>21.039587383872099</v>
      </c>
      <c r="BB39" s="61">
        <v>0.158038044357528</v>
      </c>
      <c r="BC39" s="61">
        <v>0.97209200442436305</v>
      </c>
      <c r="BD39" s="61">
        <v>0.28340666880139698</v>
      </c>
    </row>
    <row r="40" spans="1:56" ht="11.25" customHeight="1" x14ac:dyDescent="0.3">
      <c r="A40" s="132"/>
      <c r="B40" s="65" t="s">
        <v>23</v>
      </c>
      <c r="C40" s="65" t="s">
        <v>43</v>
      </c>
      <c r="D40" s="65" t="s">
        <v>96</v>
      </c>
      <c r="E40" s="65" t="s">
        <v>25</v>
      </c>
      <c r="F40" s="65" t="s">
        <v>25</v>
      </c>
      <c r="G40" s="66" t="s">
        <v>81</v>
      </c>
      <c r="H40" s="66" t="s">
        <v>76</v>
      </c>
      <c r="I40" s="66">
        <f>'MERCADO TUSD'!$U$37</f>
        <v>0</v>
      </c>
      <c r="J40" s="15"/>
      <c r="L40" s="61">
        <f>('TUSD BE'!$L$40+'TUSD BF'!$L$40+'TUSD CVA'!$L$40)*(1 - CUSTOS!$M$39)</f>
        <v>3.2411662400252785</v>
      </c>
      <c r="M40" s="61">
        <f>('TUSD BE'!$M$40+'TUSD BF'!$M$40+'TUSD CVA'!$M$40)*(1 - CUSTOS!$M$39)</f>
        <v>0.88152592130931551</v>
      </c>
      <c r="N40" s="61">
        <f ca="1">('TUSD BE'!$N$40+'TUSD BF'!$N$40+'TUSD CVA'!$N$40)*(1 - CUSTOS!$M$39)</f>
        <v>3.7230138109522088</v>
      </c>
      <c r="O40" s="61">
        <f>('TUSD BE'!$O$40+'TUSD BF'!$O$40+'TUSD CVA'!$O$40)*(1 - CUSTOS!$M$39)</f>
        <v>0</v>
      </c>
      <c r="P40" s="61">
        <f>('TUSD BE'!$P$40+'TUSD BF'!$P$40+'TUSD CVA'!$P$40)*(1 - CUSTOS!$M$39)</f>
        <v>0</v>
      </c>
      <c r="Q40" s="61">
        <f>('TUSD BE'!$Q$40+'TUSD BF'!$Q$40+'TUSD CVA'!$Q$40)*(1 - CUSTOS!$M$39)</f>
        <v>91.778646572884128</v>
      </c>
      <c r="R40" s="61">
        <f>('TUSD BE'!$R$40+'TUSD BF'!$R$40+'TUSD CVA'!$R$40)*(1 - CUSTOS!$M$39)</f>
        <v>15.517831477336173</v>
      </c>
      <c r="S40" s="61">
        <f>('TUSD BE'!$S$40+'TUSD BF'!$S$40+'TUSD CVA'!$S$40)*(1 - CUSTOS!$M$39)</f>
        <v>0</v>
      </c>
      <c r="T40" s="61">
        <f>('TUSD BE'!$U$40+'TUSD BF'!$U$40+'TUSD CVA'!$U$40)*(1 - CUSTOS!$M$39)</f>
        <v>0</v>
      </c>
      <c r="U40" s="61">
        <f>('TUSD BE'!$V$40+'TUSD BF'!$V$40+'TUSD CVA'!$V$40)*(1 - CUSTOS!$M$39)</f>
        <v>0</v>
      </c>
      <c r="V40" s="61">
        <f>('TUSD BE'!$W$40+'TUSD BF'!$W$40+'TUSD CVA'!$W$40)*(1 - CUSTOS!$M$39)</f>
        <v>0</v>
      </c>
      <c r="W40" s="61">
        <f>('TUSD BE'!$X$40+'TUSD BF'!$X$40+'TUSD CVA'!$X$40)*(1 - CUSTOS!$M$39)</f>
        <v>0</v>
      </c>
      <c r="X40" s="61">
        <f>('TUSD BE'!$Y$40+'TUSD BF'!$Y$40+'TUSD CVA'!$Y$40)*(1 - CUSTOS!$M$39)</f>
        <v>117.1128119393876</v>
      </c>
      <c r="Y40" s="61">
        <f>('TUSD BE'!$Z$40+'TUSD BF'!$Z$40+'TUSD CVA'!$Z$40)*(1 - CUSTOS!$M$39)</f>
        <v>0</v>
      </c>
      <c r="Z40" s="61">
        <f>('TUSD BE'!$AA$40+'TUSD BF'!$AA$40+'TUSD CVA'!$AA$40)*(1 - CUSTOS!$M$39)</f>
        <v>0</v>
      </c>
      <c r="AA40" s="61">
        <f>('TUSD BE'!$AC$40+'TUSD BF'!$AC$40+'TUSD CVA'!$AC$40)*(1 - CUSTOS!$M$39)</f>
        <v>213.76810530965935</v>
      </c>
      <c r="AB40" s="61">
        <f ca="1">('TUSD BE'!$AE$40+'TUSD BF'!$AE$40+'TUSD CVA'!$AE$40)*(1 - CUSTOS!$M$39)</f>
        <v>-56.62221962134339</v>
      </c>
      <c r="AC40" s="61">
        <f ca="1">('TUSD BE'!$AF$40+'TUSD BF'!$AF$40+'TUSD CVA'!$AF$40)*(1 - CUSTOS!$M$39)</f>
        <v>0</v>
      </c>
      <c r="AD40" s="61">
        <f>('TUSD BE'!$AH$40+'TUSD BF'!$AH$40+'TUSD CVA'!$AH$40)*(1 - CUSTOS!$M$39)</f>
        <v>19.68939227790721</v>
      </c>
      <c r="AE40" s="61">
        <f>('TUSD BE'!$AI$40+'TUSD BF'!$AI$40+'TUSD CVA'!$AI$40)*(1 - CUSTOS!$M$39)</f>
        <v>0.20136765350666083</v>
      </c>
      <c r="AF40" s="61">
        <f ca="1">('TUSD BE'!$AJ$40+'TUSD BF'!$AJ$40+'TUSD CVA'!$AJ$40)*(1 - CUSTOS!$M$39)</f>
        <v>0.74016711806993585</v>
      </c>
      <c r="AG40" s="61">
        <f ca="1">('TUSD BE'!$AK$40+'TUSD BF'!$AK$40+'TUSD CVA'!$AK$40)*(1 - CUSTOS!$M$39)</f>
        <v>0.30908275290134807</v>
      </c>
      <c r="AI40" s="61">
        <v>2.8636308055520798</v>
      </c>
      <c r="AJ40" s="61">
        <v>0.92331927123308999</v>
      </c>
      <c r="AK40" s="61">
        <v>3.01059672641279</v>
      </c>
      <c r="AL40" s="61">
        <v>0</v>
      </c>
      <c r="AM40" s="61">
        <v>0</v>
      </c>
      <c r="AN40" s="61">
        <v>65.166608817635193</v>
      </c>
      <c r="AO40" s="61">
        <v>9.7796390163763203</v>
      </c>
      <c r="AP40" s="61">
        <v>0</v>
      </c>
      <c r="AQ40" s="61">
        <v>0</v>
      </c>
      <c r="AR40" s="61">
        <v>0</v>
      </c>
      <c r="AS40" s="61">
        <v>0</v>
      </c>
      <c r="AT40" s="61">
        <v>0</v>
      </c>
      <c r="AU40" s="61">
        <v>120.169508468571</v>
      </c>
      <c r="AV40" s="61">
        <v>0</v>
      </c>
      <c r="AW40" s="61">
        <v>0</v>
      </c>
      <c r="AX40" s="61">
        <v>147.02889572655801</v>
      </c>
      <c r="AY40" s="61">
        <v>-29.9165575518448</v>
      </c>
      <c r="AZ40" s="61">
        <v>0</v>
      </c>
      <c r="BA40" s="61">
        <v>21.039587383872099</v>
      </c>
      <c r="BB40" s="61">
        <v>0.158038044357528</v>
      </c>
      <c r="BC40" s="61">
        <v>0.97209200442436305</v>
      </c>
      <c r="BD40" s="61">
        <v>0.28340666880139698</v>
      </c>
    </row>
    <row r="41" spans="1:56" ht="11.25" customHeight="1" x14ac:dyDescent="0.3">
      <c r="A41" s="132"/>
      <c r="B41" s="132" t="s">
        <v>33</v>
      </c>
      <c r="C41" s="132" t="s">
        <v>43</v>
      </c>
      <c r="D41" s="132" t="s">
        <v>97</v>
      </c>
      <c r="E41" s="132" t="s">
        <v>25</v>
      </c>
      <c r="F41" s="132" t="s">
        <v>25</v>
      </c>
      <c r="G41" s="66" t="s">
        <v>77</v>
      </c>
      <c r="H41" s="66" t="s">
        <v>76</v>
      </c>
      <c r="I41" s="66">
        <f>'MERCADO TUSD'!$U$38</f>
        <v>0</v>
      </c>
      <c r="J41" s="15"/>
      <c r="L41" s="61">
        <f>('TUSD BE'!$L$41+'TUSD BF'!$L$41+'TUSD CVA'!$L$41)*(1 - CUSTOS!$M$40)</f>
        <v>3.2411662400252785</v>
      </c>
      <c r="M41" s="61">
        <f>('TUSD BE'!$M$41+'TUSD BF'!$M$41+'TUSD CVA'!$M$41)*(1 - CUSTOS!$M$40)</f>
        <v>0.88152592130931551</v>
      </c>
      <c r="N41" s="61">
        <f ca="1">('TUSD BE'!$N$41+'TUSD BF'!$N$41+'TUSD CVA'!$N$41)*(1 - CUSTOS!$M$40)</f>
        <v>10.384216897177096</v>
      </c>
      <c r="O41" s="61">
        <f>('TUSD BE'!$O$41+'TUSD BF'!$O$41+'TUSD CVA'!$O$41)*(1 - CUSTOS!$M$40)</f>
        <v>0</v>
      </c>
      <c r="P41" s="61">
        <f>('TUSD BE'!$P$41+'TUSD BF'!$P$41+'TUSD CVA'!$P$41)*(1 - CUSTOS!$M$40)</f>
        <v>0</v>
      </c>
      <c r="Q41" s="61">
        <f>('TUSD BE'!$Q$41+'TUSD BF'!$Q$41+'TUSD CVA'!$Q$41)*(1 - CUSTOS!$M$40)</f>
        <v>91.778646572884128</v>
      </c>
      <c r="R41" s="61">
        <f>('TUSD BE'!$R$41+'TUSD BF'!$R$41+'TUSD CVA'!$R$41)*(1 - CUSTOS!$M$40)</f>
        <v>15.517831477336173</v>
      </c>
      <c r="S41" s="61">
        <f>('TUSD BE'!$S$41+'TUSD BF'!$S$41+'TUSD CVA'!$S$41)*(1 - CUSTOS!$M$40)</f>
        <v>0</v>
      </c>
      <c r="T41" s="61">
        <f>('TUSD BE'!$U$41+'TUSD BF'!$U$41+'TUSD CVA'!$U$41)*(1 - CUSTOS!$M$40)</f>
        <v>0</v>
      </c>
      <c r="U41" s="61">
        <f>('TUSD BE'!$V$41+'TUSD BF'!$V$41+'TUSD CVA'!$V$41)*(1 - CUSTOS!$M$40)</f>
        <v>0</v>
      </c>
      <c r="V41" s="61">
        <f>('TUSD BE'!$W$41+'TUSD BF'!$W$41+'TUSD CVA'!$W$41)*(1 - CUSTOS!$M$40)</f>
        <v>0</v>
      </c>
      <c r="W41" s="61">
        <f>('TUSD BE'!$X$41+'TUSD BF'!$X$41+'TUSD CVA'!$X$41)*(1 - CUSTOS!$M$40)</f>
        <v>0</v>
      </c>
      <c r="X41" s="61">
        <f>('TUSD BE'!$Y$41+'TUSD BF'!$Y$41+'TUSD CVA'!$Y$41)*(1 - CUSTOS!$M$40)</f>
        <v>368.90542000157615</v>
      </c>
      <c r="Y41" s="61">
        <f>('TUSD BE'!$Z$41+'TUSD BF'!$Z$41+'TUSD CVA'!$Z$41)*(1 - CUSTOS!$M$40)</f>
        <v>0</v>
      </c>
      <c r="Z41" s="61">
        <f>('TUSD BE'!$AA$41+'TUSD BF'!$AA$41+'TUSD CVA'!$AA$41)*(1 - CUSTOS!$M$40)</f>
        <v>0</v>
      </c>
      <c r="AA41" s="61">
        <f>('TUSD BE'!$AC$41+'TUSD BF'!$AC$41+'TUSD CVA'!$AC$41)*(1 - CUSTOS!$M$40)</f>
        <v>673.36952081117306</v>
      </c>
      <c r="AB41" s="61">
        <f ca="1">('TUSD BE'!$AE$41+'TUSD BF'!$AE$41+'TUSD CVA'!$AE$41)*(1 - CUSTOS!$M$40)</f>
        <v>-146.20737074783412</v>
      </c>
      <c r="AC41" s="61">
        <f ca="1">('TUSD BE'!$AF$41+'TUSD BF'!$AF$41+'TUSD CVA'!$AF$41)*(1 - CUSTOS!$M$40)</f>
        <v>0</v>
      </c>
      <c r="AD41" s="61">
        <f>('TUSD BE'!$AH$41+'TUSD BF'!$AH$41+'TUSD CVA'!$AH$41)*(1 - CUSTOS!$M$40)</f>
        <v>19.68939227790721</v>
      </c>
      <c r="AE41" s="61">
        <f>('TUSD BE'!$AI$41+'TUSD BF'!$AI$41+'TUSD CVA'!$AI$41)*(1 - CUSTOS!$M$40)</f>
        <v>0.20136765350666083</v>
      </c>
      <c r="AF41" s="61">
        <f ca="1">('TUSD BE'!$AJ$41+'TUSD BF'!$AJ$41+'TUSD CVA'!$AJ$41)*(1 - CUSTOS!$M$40)</f>
        <v>0.74016711806993585</v>
      </c>
      <c r="AG41" s="61">
        <f ca="1">('TUSD BE'!$AK$41+'TUSD BF'!$AK$41+'TUSD CVA'!$AK$41)*(1 - CUSTOS!$M$40)</f>
        <v>0.30908275290134807</v>
      </c>
      <c r="AI41" s="61">
        <v>2.8636308055520798</v>
      </c>
      <c r="AJ41" s="61">
        <v>0.92331927123308999</v>
      </c>
      <c r="AK41" s="61">
        <v>7.3315254979099498</v>
      </c>
      <c r="AL41" s="61">
        <v>0</v>
      </c>
      <c r="AM41" s="61">
        <v>0</v>
      </c>
      <c r="AN41" s="61">
        <v>65.166608817635193</v>
      </c>
      <c r="AO41" s="61">
        <v>9.7796390163763096</v>
      </c>
      <c r="AP41" s="61">
        <v>0</v>
      </c>
      <c r="AQ41" s="61">
        <v>0</v>
      </c>
      <c r="AR41" s="61">
        <v>0</v>
      </c>
      <c r="AS41" s="61">
        <v>0</v>
      </c>
      <c r="AT41" s="61">
        <v>0</v>
      </c>
      <c r="AU41" s="61">
        <v>336.47429410627598</v>
      </c>
      <c r="AV41" s="61">
        <v>0</v>
      </c>
      <c r="AW41" s="61">
        <v>0</v>
      </c>
      <c r="AX41" s="61">
        <v>411.68090803436098</v>
      </c>
      <c r="AY41" s="61">
        <v>-69.994491899526196</v>
      </c>
      <c r="AZ41" s="61">
        <v>0</v>
      </c>
      <c r="BA41" s="61">
        <v>21.039587383872099</v>
      </c>
      <c r="BB41" s="61">
        <v>0.158038044357528</v>
      </c>
      <c r="BC41" s="61">
        <v>0.97209200442436206</v>
      </c>
      <c r="BD41" s="61">
        <v>0.28340666880139698</v>
      </c>
    </row>
    <row r="42" spans="1:56" ht="11.25" customHeight="1" x14ac:dyDescent="0.3">
      <c r="A42" s="132"/>
      <c r="B42" s="132"/>
      <c r="C42" s="132"/>
      <c r="D42" s="132"/>
      <c r="E42" s="132"/>
      <c r="F42" s="132"/>
      <c r="G42" s="66" t="s">
        <v>93</v>
      </c>
      <c r="H42" s="66" t="s">
        <v>76</v>
      </c>
      <c r="I42" s="66">
        <f>'MERCADO TUSD'!$U$39</f>
        <v>0</v>
      </c>
      <c r="J42" s="15"/>
      <c r="L42" s="61">
        <f>('TUSD BE'!$L$42+'TUSD BF'!$L$42+'TUSD CVA'!$L$42)*(1 - CUSTOS!$M$40)</f>
        <v>3.2411662400252785</v>
      </c>
      <c r="M42" s="61">
        <f>('TUSD BE'!$M$42+'TUSD BF'!$M$42+'TUSD CVA'!$M$42)*(1 - CUSTOS!$M$40)</f>
        <v>0.88152592130931551</v>
      </c>
      <c r="N42" s="61">
        <f ca="1">('TUSD BE'!$N$42+'TUSD BF'!$N$42+'TUSD CVA'!$N$42)*(1 - CUSTOS!$M$40)</f>
        <v>6.4804416243412817</v>
      </c>
      <c r="O42" s="61">
        <f>('TUSD BE'!$O$42+'TUSD BF'!$O$42+'TUSD CVA'!$O$42)*(1 - CUSTOS!$M$40)</f>
        <v>0</v>
      </c>
      <c r="P42" s="61">
        <f>('TUSD BE'!$P$42+'TUSD BF'!$P$42+'TUSD CVA'!$P$42)*(1 - CUSTOS!$M$40)</f>
        <v>0</v>
      </c>
      <c r="Q42" s="61">
        <f>('TUSD BE'!$Q$42+'TUSD BF'!$Q$42+'TUSD CVA'!$Q$42)*(1 - CUSTOS!$M$40)</f>
        <v>91.778646572884128</v>
      </c>
      <c r="R42" s="61">
        <f>('TUSD BE'!$R$42+'TUSD BF'!$R$42+'TUSD CVA'!$R$42)*(1 - CUSTOS!$M$40)</f>
        <v>15.517831477336173</v>
      </c>
      <c r="S42" s="61">
        <f>('TUSD BE'!$S$42+'TUSD BF'!$S$42+'TUSD CVA'!$S$42)*(1 - CUSTOS!$M$40)</f>
        <v>0</v>
      </c>
      <c r="T42" s="61">
        <f>('TUSD BE'!$U$42+'TUSD BF'!$U$42+'TUSD CVA'!$U$42)*(1 - CUSTOS!$M$40)</f>
        <v>0</v>
      </c>
      <c r="U42" s="61">
        <f>('TUSD BE'!$V$42+'TUSD BF'!$V$42+'TUSD CVA'!$V$42)*(1 - CUSTOS!$M$40)</f>
        <v>0</v>
      </c>
      <c r="V42" s="61">
        <f>('TUSD BE'!$W$42+'TUSD BF'!$W$42+'TUSD CVA'!$W$42)*(1 - CUSTOS!$M$40)</f>
        <v>0</v>
      </c>
      <c r="W42" s="61">
        <f>('TUSD BE'!$X$42+'TUSD BF'!$X$42+'TUSD CVA'!$X$42)*(1 - CUSTOS!$M$40)</f>
        <v>0</v>
      </c>
      <c r="X42" s="61">
        <f>('TUSD BE'!$Y$42+'TUSD BF'!$Y$42+'TUSD CVA'!$Y$42)*(1 - CUSTOS!$M$40)</f>
        <v>221.34323536294428</v>
      </c>
      <c r="Y42" s="61">
        <f>('TUSD BE'!$Z$42+'TUSD BF'!$Z$42+'TUSD CVA'!$Z$42)*(1 - CUSTOS!$M$40)</f>
        <v>0</v>
      </c>
      <c r="Z42" s="61">
        <f>('TUSD BE'!$AA$42+'TUSD BF'!$AA$42+'TUSD CVA'!$AA$42)*(1 - CUSTOS!$M$40)</f>
        <v>0</v>
      </c>
      <c r="AA42" s="61">
        <f>('TUSD BE'!$AC$42+'TUSD BF'!$AC$42+'TUSD CVA'!$AC$42)*(1 - CUSTOS!$M$40)</f>
        <v>404.02166882968817</v>
      </c>
      <c r="AB42" s="61">
        <f ca="1">('TUSD BE'!$AE$42+'TUSD BF'!$AE$42+'TUSD CVA'!$AE$42)*(1 - CUSTOS!$M$40)</f>
        <v>-93.706299518484698</v>
      </c>
      <c r="AC42" s="61">
        <f ca="1">('TUSD BE'!$AF$42+'TUSD BF'!$AF$42+'TUSD CVA'!$AF$42)*(1 - CUSTOS!$M$40)</f>
        <v>0</v>
      </c>
      <c r="AD42" s="61">
        <f>('TUSD BE'!$AH$42+'TUSD BF'!$AH$42+'TUSD CVA'!$AH$42)*(1 - CUSTOS!$M$40)</f>
        <v>19.68939227790721</v>
      </c>
      <c r="AE42" s="61">
        <f>('TUSD BE'!$AI$42+'TUSD BF'!$AI$42+'TUSD CVA'!$AI$42)*(1 - CUSTOS!$M$40)</f>
        <v>0.20136765350666083</v>
      </c>
      <c r="AF42" s="61">
        <f ca="1">('TUSD BE'!$AJ$42+'TUSD BF'!$AJ$42+'TUSD CVA'!$AJ$42)*(1 - CUSTOS!$M$40)</f>
        <v>0.74016711806993585</v>
      </c>
      <c r="AG42" s="61">
        <f ca="1">('TUSD BE'!$AK$42+'TUSD BF'!$AK$42+'TUSD CVA'!$AK$42)*(1 - CUSTOS!$M$40)</f>
        <v>0.30908275290134807</v>
      </c>
      <c r="AI42" s="61">
        <v>2.8636308055520798</v>
      </c>
      <c r="AJ42" s="61">
        <v>0.92331927123308999</v>
      </c>
      <c r="AK42" s="61">
        <v>4.6429463050287101</v>
      </c>
      <c r="AL42" s="61">
        <v>0</v>
      </c>
      <c r="AM42" s="61">
        <v>0</v>
      </c>
      <c r="AN42" s="61">
        <v>65.166608817635193</v>
      </c>
      <c r="AO42" s="61">
        <v>9.7796390163763096</v>
      </c>
      <c r="AP42" s="61">
        <v>0</v>
      </c>
      <c r="AQ42" s="61">
        <v>0</v>
      </c>
      <c r="AR42" s="61">
        <v>0</v>
      </c>
      <c r="AS42" s="61">
        <v>0</v>
      </c>
      <c r="AT42" s="61">
        <v>0</v>
      </c>
      <c r="AU42" s="61">
        <v>201.88453526305</v>
      </c>
      <c r="AV42" s="61">
        <v>0</v>
      </c>
      <c r="AW42" s="61">
        <v>0</v>
      </c>
      <c r="AX42" s="61">
        <v>247.00848848662699</v>
      </c>
      <c r="AY42" s="61">
        <v>-45.057097242105797</v>
      </c>
      <c r="AZ42" s="61">
        <v>0</v>
      </c>
      <c r="BA42" s="61">
        <v>21.039587383872099</v>
      </c>
      <c r="BB42" s="61">
        <v>0.158038044357528</v>
      </c>
      <c r="BC42" s="61">
        <v>0.97209200442436206</v>
      </c>
      <c r="BD42" s="61">
        <v>0.28340666880139698</v>
      </c>
    </row>
    <row r="43" spans="1:56" ht="11.25" customHeight="1" x14ac:dyDescent="0.3">
      <c r="A43" s="132"/>
      <c r="B43" s="132"/>
      <c r="C43" s="132"/>
      <c r="D43" s="132"/>
      <c r="E43" s="132"/>
      <c r="F43" s="132"/>
      <c r="G43" s="66" t="s">
        <v>78</v>
      </c>
      <c r="H43" s="66" t="s">
        <v>76</v>
      </c>
      <c r="I43" s="66">
        <f>'MERCADO TUSD'!$U$40</f>
        <v>0</v>
      </c>
      <c r="J43" s="15"/>
      <c r="L43" s="61">
        <f>('TUSD BE'!$L$43+'TUSD BF'!$L$43+'TUSD CVA'!$L$43)*(1 - CUSTOS!$M$40)</f>
        <v>3.2411662400252785</v>
      </c>
      <c r="M43" s="61">
        <f>('TUSD BE'!$M$43+'TUSD BF'!$M$43+'TUSD CVA'!$M$43)*(1 - CUSTOS!$M$40)</f>
        <v>0.88152592130931551</v>
      </c>
      <c r="N43" s="61">
        <f ca="1">('TUSD BE'!$N$43+'TUSD BF'!$N$43+'TUSD CVA'!$N$43)*(1 - CUSTOS!$M$40)</f>
        <v>2.5766672718488102</v>
      </c>
      <c r="O43" s="61">
        <f>('TUSD BE'!$O$43+'TUSD BF'!$O$43+'TUSD CVA'!$O$43)*(1 - CUSTOS!$M$40)</f>
        <v>0</v>
      </c>
      <c r="P43" s="61">
        <f>('TUSD BE'!$P$43+'TUSD BF'!$P$43+'TUSD CVA'!$P$43)*(1 - CUSTOS!$M$40)</f>
        <v>0</v>
      </c>
      <c r="Q43" s="61">
        <f>('TUSD BE'!$Q$43+'TUSD BF'!$Q$43+'TUSD CVA'!$Q$43)*(1 - CUSTOS!$M$40)</f>
        <v>91.778646572884128</v>
      </c>
      <c r="R43" s="61">
        <f>('TUSD BE'!$R$43+'TUSD BF'!$R$43+'TUSD CVA'!$R$43)*(1 - CUSTOS!$M$40)</f>
        <v>15.517831477336173</v>
      </c>
      <c r="S43" s="61">
        <f>('TUSD BE'!$S$43+'TUSD BF'!$S$43+'TUSD CVA'!$S$43)*(1 - CUSTOS!$M$40)</f>
        <v>0</v>
      </c>
      <c r="T43" s="61">
        <f>('TUSD BE'!$U$43+'TUSD BF'!$U$43+'TUSD CVA'!$U$43)*(1 - CUSTOS!$M$40)</f>
        <v>0</v>
      </c>
      <c r="U43" s="61">
        <f>('TUSD BE'!$V$43+'TUSD BF'!$V$43+'TUSD CVA'!$V$43)*(1 - CUSTOS!$M$40)</f>
        <v>0</v>
      </c>
      <c r="V43" s="61">
        <f>('TUSD BE'!$W$43+'TUSD BF'!$W$43+'TUSD CVA'!$W$43)*(1 - CUSTOS!$M$40)</f>
        <v>0</v>
      </c>
      <c r="W43" s="61">
        <f>('TUSD BE'!$X$43+'TUSD BF'!$X$43+'TUSD CVA'!$X$43)*(1 - CUSTOS!$M$40)</f>
        <v>0</v>
      </c>
      <c r="X43" s="61">
        <f>('TUSD BE'!$Y$43+'TUSD BF'!$Y$43+'TUSD CVA'!$Y$43)*(1 - CUSTOS!$M$40)</f>
        <v>73.781050724312479</v>
      </c>
      <c r="Y43" s="61">
        <f>('TUSD BE'!$Z$43+'TUSD BF'!$Z$43+'TUSD CVA'!$Z$43)*(1 - CUSTOS!$M$40)</f>
        <v>0</v>
      </c>
      <c r="Z43" s="61">
        <f>('TUSD BE'!$AA$43+'TUSD BF'!$AA$43+'TUSD CVA'!$AA$43)*(1 - CUSTOS!$M$40)</f>
        <v>0</v>
      </c>
      <c r="AA43" s="61">
        <f>('TUSD BE'!$AC$43+'TUSD BF'!$AC$43+'TUSD CVA'!$AC$43)*(1 - CUSTOS!$M$40)</f>
        <v>134.67392599074245</v>
      </c>
      <c r="AB43" s="61">
        <f ca="1">('TUSD BE'!$AE$43+'TUSD BF'!$AE$43+'TUSD CVA'!$AE$43)*(1 - CUSTOS!$M$40)</f>
        <v>-41.205240631725616</v>
      </c>
      <c r="AC43" s="61">
        <f ca="1">('TUSD BE'!$AF$43+'TUSD BF'!$AF$43+'TUSD CVA'!$AF$43)*(1 - CUSTOS!$M$40)</f>
        <v>0</v>
      </c>
      <c r="AD43" s="61">
        <f>('TUSD BE'!$AH$43+'TUSD BF'!$AH$43+'TUSD CVA'!$AH$43)*(1 - CUSTOS!$M$40)</f>
        <v>19.68939227790721</v>
      </c>
      <c r="AE43" s="61">
        <f>('TUSD BE'!$AI$43+'TUSD BF'!$AI$43+'TUSD CVA'!$AI$43)*(1 - CUSTOS!$M$40)</f>
        <v>0.20136765350666083</v>
      </c>
      <c r="AF43" s="61">
        <f ca="1">('TUSD BE'!$AJ$43+'TUSD BF'!$AJ$43+'TUSD CVA'!$AJ$43)*(1 - CUSTOS!$M$40)</f>
        <v>0.74016711806993585</v>
      </c>
      <c r="AG43" s="61">
        <f ca="1">('TUSD BE'!$AK$43+'TUSD BF'!$AK$43+'TUSD CVA'!$AK$43)*(1 - CUSTOS!$M$40)</f>
        <v>0.30908275290134807</v>
      </c>
      <c r="AI43" s="61">
        <v>2.8636308055520798</v>
      </c>
      <c r="AJ43" s="61">
        <v>0.92331927123308999</v>
      </c>
      <c r="AK43" s="61">
        <v>1.9543682290269999</v>
      </c>
      <c r="AL43" s="61">
        <v>0</v>
      </c>
      <c r="AM43" s="61">
        <v>0</v>
      </c>
      <c r="AN43" s="61">
        <v>65.166608817635193</v>
      </c>
      <c r="AO43" s="61">
        <v>9.7796390163763096</v>
      </c>
      <c r="AP43" s="61">
        <v>0</v>
      </c>
      <c r="AQ43" s="61">
        <v>0</v>
      </c>
      <c r="AR43" s="61">
        <v>0</v>
      </c>
      <c r="AS43" s="61">
        <v>0</v>
      </c>
      <c r="AT43" s="61">
        <v>0</v>
      </c>
      <c r="AU43" s="61">
        <v>67.294776419824402</v>
      </c>
      <c r="AV43" s="61">
        <v>0</v>
      </c>
      <c r="AW43" s="61">
        <v>0</v>
      </c>
      <c r="AX43" s="61">
        <v>82.3361628288758</v>
      </c>
      <c r="AY43" s="61">
        <v>-20.1197114692364</v>
      </c>
      <c r="AZ43" s="61">
        <v>0</v>
      </c>
      <c r="BA43" s="61">
        <v>21.039587383872099</v>
      </c>
      <c r="BB43" s="61">
        <v>0.158038044357528</v>
      </c>
      <c r="BC43" s="61">
        <v>0.97209200442436206</v>
      </c>
      <c r="BD43" s="61">
        <v>0.28340666880139698</v>
      </c>
    </row>
    <row r="44" spans="1:56" ht="11.25" customHeight="1" x14ac:dyDescent="0.3">
      <c r="A44" s="132"/>
      <c r="B44" s="65" t="s">
        <v>23</v>
      </c>
      <c r="C44" s="65" t="s">
        <v>43</v>
      </c>
      <c r="D44" s="65" t="s">
        <v>97</v>
      </c>
      <c r="E44" s="65" t="s">
        <v>25</v>
      </c>
      <c r="F44" s="65" t="s">
        <v>25</v>
      </c>
      <c r="G44" s="66" t="s">
        <v>81</v>
      </c>
      <c r="H44" s="66" t="s">
        <v>76</v>
      </c>
      <c r="I44" s="66">
        <f>'MERCADO TUSD'!$U$41</f>
        <v>0</v>
      </c>
      <c r="J44" s="15"/>
      <c r="L44" s="61">
        <f>('TUSD BE'!$L$44+'TUSD BF'!$L$44+'TUSD CVA'!$L$44)*(1 - CUSTOS!$M$40)</f>
        <v>3.2411662400252785</v>
      </c>
      <c r="M44" s="61">
        <f>('TUSD BE'!$M$44+'TUSD BF'!$M$44+'TUSD CVA'!$M$44)*(1 - CUSTOS!$M$40)</f>
        <v>0.88152592130931551</v>
      </c>
      <c r="N44" s="61">
        <f ca="1">('TUSD BE'!$N$44+'TUSD BF'!$N$44+'TUSD CVA'!$N$44)*(1 - CUSTOS!$M$40)</f>
        <v>3.7230138109522088</v>
      </c>
      <c r="O44" s="61">
        <f>('TUSD BE'!$O$44+'TUSD BF'!$O$44+'TUSD CVA'!$O$44)*(1 - CUSTOS!$M$40)</f>
        <v>0</v>
      </c>
      <c r="P44" s="61">
        <f>('TUSD BE'!$P$44+'TUSD BF'!$P$44+'TUSD CVA'!$P$44)*(1 - CUSTOS!$M$40)</f>
        <v>0</v>
      </c>
      <c r="Q44" s="61">
        <f>('TUSD BE'!$Q$44+'TUSD BF'!$Q$44+'TUSD CVA'!$Q$44)*(1 - CUSTOS!$M$40)</f>
        <v>91.778646572884128</v>
      </c>
      <c r="R44" s="61">
        <f>('TUSD BE'!$R$44+'TUSD BF'!$R$44+'TUSD CVA'!$R$44)*(1 - CUSTOS!$M$40)</f>
        <v>15.517831477336173</v>
      </c>
      <c r="S44" s="61">
        <f>('TUSD BE'!$S$44+'TUSD BF'!$S$44+'TUSD CVA'!$S$44)*(1 - CUSTOS!$M$40)</f>
        <v>0</v>
      </c>
      <c r="T44" s="61">
        <f>('TUSD BE'!$U$44+'TUSD BF'!$U$44+'TUSD CVA'!$U$44)*(1 - CUSTOS!$M$40)</f>
        <v>0</v>
      </c>
      <c r="U44" s="61">
        <f>('TUSD BE'!$V$44+'TUSD BF'!$V$44+'TUSD CVA'!$V$44)*(1 - CUSTOS!$M$40)</f>
        <v>0</v>
      </c>
      <c r="V44" s="61">
        <f>('TUSD BE'!$W$44+'TUSD BF'!$W$44+'TUSD CVA'!$W$44)*(1 - CUSTOS!$M$40)</f>
        <v>0</v>
      </c>
      <c r="W44" s="61">
        <f>('TUSD BE'!$X$44+'TUSD BF'!$X$44+'TUSD CVA'!$X$44)*(1 - CUSTOS!$M$40)</f>
        <v>0</v>
      </c>
      <c r="X44" s="61">
        <f>('TUSD BE'!$Y$44+'TUSD BF'!$Y$44+'TUSD CVA'!$Y$44)*(1 - CUSTOS!$M$40)</f>
        <v>117.1128119393876</v>
      </c>
      <c r="Y44" s="61">
        <f>('TUSD BE'!$Z$44+'TUSD BF'!$Z$44+'TUSD CVA'!$Z$44)*(1 - CUSTOS!$M$40)</f>
        <v>0</v>
      </c>
      <c r="Z44" s="61">
        <f>('TUSD BE'!$AA$44+'TUSD BF'!$AA$44+'TUSD CVA'!$AA$44)*(1 - CUSTOS!$M$40)</f>
        <v>0</v>
      </c>
      <c r="AA44" s="61">
        <f>('TUSD BE'!$AC$44+'TUSD BF'!$AC$44+'TUSD CVA'!$AC$44)*(1 - CUSTOS!$M$40)</f>
        <v>213.76810530965935</v>
      </c>
      <c r="AB44" s="61">
        <f ca="1">('TUSD BE'!$AE$44+'TUSD BF'!$AE$44+'TUSD CVA'!$AE$44)*(1 - CUSTOS!$M$40)</f>
        <v>-56.62221962134339</v>
      </c>
      <c r="AC44" s="61">
        <f ca="1">('TUSD BE'!$AF$44+'TUSD BF'!$AF$44+'TUSD CVA'!$AF$44)*(1 - CUSTOS!$M$40)</f>
        <v>0</v>
      </c>
      <c r="AD44" s="61">
        <f>('TUSD BE'!$AH$44+'TUSD BF'!$AH$44+'TUSD CVA'!$AH$44)*(1 - CUSTOS!$M$40)</f>
        <v>19.68939227790721</v>
      </c>
      <c r="AE44" s="61">
        <f>('TUSD BE'!$AI$44+'TUSD BF'!$AI$44+'TUSD CVA'!$AI$44)*(1 - CUSTOS!$M$40)</f>
        <v>0.20136765350666083</v>
      </c>
      <c r="AF44" s="61">
        <f ca="1">('TUSD BE'!$AJ$44+'TUSD BF'!$AJ$44+'TUSD CVA'!$AJ$44)*(1 - CUSTOS!$M$40)</f>
        <v>0.74016711806993585</v>
      </c>
      <c r="AG44" s="61">
        <f ca="1">('TUSD BE'!$AK$44+'TUSD BF'!$AK$44+'TUSD CVA'!$AK$44)*(1 - CUSTOS!$M$40)</f>
        <v>0.30908275290134807</v>
      </c>
      <c r="AI44" s="61">
        <v>2.8636308055520798</v>
      </c>
      <c r="AJ44" s="61">
        <v>0.92331927123308999</v>
      </c>
      <c r="AK44" s="61">
        <v>3.01059672641279</v>
      </c>
      <c r="AL44" s="61">
        <v>0</v>
      </c>
      <c r="AM44" s="61">
        <v>0</v>
      </c>
      <c r="AN44" s="61">
        <v>65.166608817635193</v>
      </c>
      <c r="AO44" s="61">
        <v>9.7796390163763096</v>
      </c>
      <c r="AP44" s="61">
        <v>0</v>
      </c>
      <c r="AQ44" s="61">
        <v>0</v>
      </c>
      <c r="AR44" s="61">
        <v>0</v>
      </c>
      <c r="AS44" s="61">
        <v>0</v>
      </c>
      <c r="AT44" s="61">
        <v>0</v>
      </c>
      <c r="AU44" s="61">
        <v>120.169508468571</v>
      </c>
      <c r="AV44" s="61">
        <v>0</v>
      </c>
      <c r="AW44" s="61">
        <v>0</v>
      </c>
      <c r="AX44" s="61">
        <v>147.02889572655801</v>
      </c>
      <c r="AY44" s="61">
        <v>-29.9165575518448</v>
      </c>
      <c r="AZ44" s="61">
        <v>0</v>
      </c>
      <c r="BA44" s="61">
        <v>21.039587383872099</v>
      </c>
      <c r="BB44" s="61">
        <v>0.158038044357528</v>
      </c>
      <c r="BC44" s="61">
        <v>0.97209200442436206</v>
      </c>
      <c r="BD44" s="61">
        <v>0.28340666880139698</v>
      </c>
    </row>
    <row r="45" spans="1:56" ht="11.25" customHeight="1" x14ac:dyDescent="0.3">
      <c r="A45" s="132"/>
      <c r="B45" s="132" t="s">
        <v>95</v>
      </c>
      <c r="C45" s="132" t="s">
        <v>43</v>
      </c>
      <c r="D45" s="65" t="s">
        <v>25</v>
      </c>
      <c r="E45" s="65" t="s">
        <v>25</v>
      </c>
      <c r="F45" s="65" t="s">
        <v>25</v>
      </c>
      <c r="G45" s="66" t="s">
        <v>81</v>
      </c>
      <c r="H45" s="66" t="s">
        <v>76</v>
      </c>
      <c r="I45" s="66">
        <f>'MERCADO TUSD'!$U$42</f>
        <v>0</v>
      </c>
      <c r="J45" s="15"/>
      <c r="L45" s="61">
        <f>('TUSD BE'!$L$45+'TUSD BF'!$L$45+'TUSD CVA'!$L$45)*(1 - CUSTOS!$M$38)</f>
        <v>3.311626375678002</v>
      </c>
      <c r="M45" s="61">
        <f>('TUSD BE'!$M$45+'TUSD BF'!$M$45+'TUSD CVA'!$M$45)*(1 - CUSTOS!$M$38)</f>
        <v>0.9006895282943006</v>
      </c>
      <c r="N45" s="61">
        <f ca="1">('TUSD BE'!$N$45+'TUSD BF'!$N$45+'TUSD CVA'!$N$45)*(1 - CUSTOS!$M$38)</f>
        <v>3.8039488937989954</v>
      </c>
      <c r="O45" s="61">
        <f>('TUSD BE'!$O$45+'TUSD BF'!$O$45+'TUSD CVA'!$O$45)*(1 - CUSTOS!$M$38)</f>
        <v>0</v>
      </c>
      <c r="P45" s="61">
        <f>('TUSD BE'!$P$45+'TUSD BF'!$P$45+'TUSD CVA'!$P$45)*(1 - CUSTOS!$M$38)</f>
        <v>0</v>
      </c>
      <c r="Q45" s="61">
        <f>('TUSD BE'!$Q$45+'TUSD BF'!$Q$45+'TUSD CVA'!$Q$45)*(1 - CUSTOS!$M$38)</f>
        <v>93.77383454185987</v>
      </c>
      <c r="R45" s="61">
        <f>('TUSD BE'!$R$45+'TUSD BF'!$R$45+'TUSD CVA'!$R$45)*(1 - CUSTOS!$M$38)</f>
        <v>15.855175639886957</v>
      </c>
      <c r="S45" s="61">
        <f>('TUSD BE'!$S$45+'TUSD BF'!$S$45+'TUSD CVA'!$S$45)*(1 - CUSTOS!$M$38)</f>
        <v>0</v>
      </c>
      <c r="T45" s="61">
        <f>('TUSD BE'!$U$45+'TUSD BF'!$U$45+'TUSD CVA'!$U$45)*(1 - CUSTOS!$M$38)</f>
        <v>0</v>
      </c>
      <c r="U45" s="61">
        <f>('TUSD BE'!$V$45+'TUSD BF'!$V$45+'TUSD CVA'!$V$45)*(1 - CUSTOS!$M$38)</f>
        <v>0</v>
      </c>
      <c r="V45" s="61">
        <f>('TUSD BE'!$W$45+'TUSD BF'!$W$45+'TUSD CVA'!$W$45)*(1 - CUSTOS!$M$38)</f>
        <v>0</v>
      </c>
      <c r="W45" s="61">
        <f>('TUSD BE'!$X$45+'TUSD BF'!$X$45+'TUSD CVA'!$X$45)*(1 - CUSTOS!$M$38)</f>
        <v>0</v>
      </c>
      <c r="X45" s="61">
        <f>('TUSD BE'!$Y$45+'TUSD BF'!$Y$45+'TUSD CVA'!$Y$45)*(1 - CUSTOS!$M$38)</f>
        <v>119.6587426337221</v>
      </c>
      <c r="Y45" s="61">
        <f>('TUSD BE'!$Z$45+'TUSD BF'!$Z$45+'TUSD CVA'!$Z$45)*(1 - CUSTOS!$M$38)</f>
        <v>0</v>
      </c>
      <c r="Z45" s="61">
        <f>('TUSD BE'!$AA$45+'TUSD BF'!$AA$45+'TUSD CVA'!$AA$45)*(1 - CUSTOS!$M$38)</f>
        <v>0</v>
      </c>
      <c r="AA45" s="61">
        <f>('TUSD BE'!$AC$45+'TUSD BF'!$AC$45+'TUSD CVA'!$AC$45)*(1 - CUSTOS!$M$38)</f>
        <v>218.41523803378234</v>
      </c>
      <c r="AB45" s="61">
        <f ca="1">('TUSD BE'!$AE$45+'TUSD BF'!$AE$45+'TUSD CVA'!$AE$45)*(1 - CUSTOS!$M$38)</f>
        <v>-57.853137439198676</v>
      </c>
      <c r="AC45" s="61">
        <f ca="1">('TUSD BE'!$AF$45+'TUSD BF'!$AF$45+'TUSD CVA'!$AF$45)*(1 - CUSTOS!$M$38)</f>
        <v>0</v>
      </c>
      <c r="AD45" s="61">
        <f>('TUSD BE'!$AH$45+'TUSD BF'!$AH$45+'TUSD CVA'!$AH$45)*(1 - CUSTOS!$M$38)</f>
        <v>20.117422544818236</v>
      </c>
      <c r="AE45" s="61">
        <f>('TUSD BE'!$AI$45+'TUSD BF'!$AI$45+'TUSD CVA'!$AI$45)*(1 - CUSTOS!$M$38)</f>
        <v>0.20574521119158823</v>
      </c>
      <c r="AF45" s="61">
        <f ca="1">('TUSD BE'!$AJ$45+'TUSD BF'!$AJ$45+'TUSD CVA'!$AJ$45)*(1 - CUSTOS!$M$38)</f>
        <v>0.75625770759319522</v>
      </c>
      <c r="AG45" s="61">
        <f ca="1">('TUSD BE'!$AK$45+'TUSD BF'!$AK$45+'TUSD CVA'!$AK$45)*(1 - CUSTOS!$M$38)</f>
        <v>0.31580194318181209</v>
      </c>
      <c r="AI45" s="61">
        <v>2.99999417724504</v>
      </c>
      <c r="AJ45" s="61">
        <v>0.96728685557752303</v>
      </c>
      <c r="AK45" s="61">
        <v>3.1539584752895902</v>
      </c>
      <c r="AL45" s="61">
        <v>0</v>
      </c>
      <c r="AM45" s="61">
        <v>0</v>
      </c>
      <c r="AN45" s="61">
        <v>68.269780666093993</v>
      </c>
      <c r="AO45" s="61">
        <v>10.245336112394201</v>
      </c>
      <c r="AP45" s="61">
        <v>0</v>
      </c>
      <c r="AQ45" s="61">
        <v>0</v>
      </c>
      <c r="AR45" s="61">
        <v>0</v>
      </c>
      <c r="AS45" s="61">
        <v>0</v>
      </c>
      <c r="AT45" s="61">
        <v>0</v>
      </c>
      <c r="AU45" s="61">
        <v>125.89186601469299</v>
      </c>
      <c r="AV45" s="61">
        <v>0</v>
      </c>
      <c r="AW45" s="61">
        <v>0</v>
      </c>
      <c r="AX45" s="61">
        <v>154.03027171353699</v>
      </c>
      <c r="AY45" s="61">
        <v>-31.341155530504</v>
      </c>
      <c r="AZ45" s="61">
        <v>0</v>
      </c>
      <c r="BA45" s="61">
        <v>22.041472497389801</v>
      </c>
      <c r="BB45" s="61">
        <v>0.16556366551741</v>
      </c>
      <c r="BC45" s="61">
        <v>1.0183820998731401</v>
      </c>
      <c r="BD45" s="61">
        <v>0.29690222445860698</v>
      </c>
    </row>
    <row r="46" spans="1:56" ht="11.25" customHeight="1" x14ac:dyDescent="0.3">
      <c r="A46" s="132"/>
      <c r="B46" s="132"/>
      <c r="C46" s="132"/>
      <c r="D46" s="65" t="s">
        <v>96</v>
      </c>
      <c r="E46" s="65" t="s">
        <v>25</v>
      </c>
      <c r="F46" s="65" t="s">
        <v>25</v>
      </c>
      <c r="G46" s="66" t="s">
        <v>81</v>
      </c>
      <c r="H46" s="66" t="s">
        <v>76</v>
      </c>
      <c r="I46" s="66">
        <f>'MERCADO TUSD'!$U$43</f>
        <v>0</v>
      </c>
      <c r="J46" s="15"/>
      <c r="L46" s="61">
        <f>('TUSD BE'!$L$46+'TUSD BF'!$L$46+'TUSD CVA'!$L$46)*(1 - CUSTOS!$M$39)</f>
        <v>3.2411662400252785</v>
      </c>
      <c r="M46" s="61">
        <f>('TUSD BE'!$M$46+'TUSD BF'!$M$46+'TUSD CVA'!$M$46)*(1 - CUSTOS!$M$39)</f>
        <v>0.88152592130931551</v>
      </c>
      <c r="N46" s="61">
        <f ca="1">('TUSD BE'!$N$46+'TUSD BF'!$N$46+'TUSD CVA'!$N$46)*(1 - CUSTOS!$M$39)</f>
        <v>3.7230138109522088</v>
      </c>
      <c r="O46" s="61">
        <f>('TUSD BE'!$O$46+'TUSD BF'!$O$46+'TUSD CVA'!$O$46)*(1 - CUSTOS!$M$39)</f>
        <v>0</v>
      </c>
      <c r="P46" s="61">
        <f>('TUSD BE'!$P$46+'TUSD BF'!$P$46+'TUSD CVA'!$P$46)*(1 - CUSTOS!$M$39)</f>
        <v>0</v>
      </c>
      <c r="Q46" s="61">
        <f>('TUSD BE'!$Q$46+'TUSD BF'!$Q$46+'TUSD CVA'!$Q$46)*(1 - CUSTOS!$M$39)</f>
        <v>91.778646572884128</v>
      </c>
      <c r="R46" s="61">
        <f>('TUSD BE'!$R$46+'TUSD BF'!$R$46+'TUSD CVA'!$R$46)*(1 - CUSTOS!$M$39)</f>
        <v>15.517831477336173</v>
      </c>
      <c r="S46" s="61">
        <f>('TUSD BE'!$S$46+'TUSD BF'!$S$46+'TUSD CVA'!$S$46)*(1 - CUSTOS!$M$39)</f>
        <v>0</v>
      </c>
      <c r="T46" s="61">
        <f>('TUSD BE'!$U$46+'TUSD BF'!$U$46+'TUSD CVA'!$U$46)*(1 - CUSTOS!$M$39)</f>
        <v>0</v>
      </c>
      <c r="U46" s="61">
        <f>('TUSD BE'!$V$46+'TUSD BF'!$V$46+'TUSD CVA'!$V$46)*(1 - CUSTOS!$M$39)</f>
        <v>0</v>
      </c>
      <c r="V46" s="61">
        <f>('TUSD BE'!$W$46+'TUSD BF'!$W$46+'TUSD CVA'!$W$46)*(1 - CUSTOS!$M$39)</f>
        <v>0</v>
      </c>
      <c r="W46" s="61">
        <f>('TUSD BE'!$X$46+'TUSD BF'!$X$46+'TUSD CVA'!$X$46)*(1 - CUSTOS!$M$39)</f>
        <v>0</v>
      </c>
      <c r="X46" s="61">
        <f>('TUSD BE'!$Y$46+'TUSD BF'!$Y$46+'TUSD CVA'!$Y$46)*(1 - CUSTOS!$M$39)</f>
        <v>117.1128119393876</v>
      </c>
      <c r="Y46" s="61">
        <f>('TUSD BE'!$Z$46+'TUSD BF'!$Z$46+'TUSD CVA'!$Z$46)*(1 - CUSTOS!$M$39)</f>
        <v>0</v>
      </c>
      <c r="Z46" s="61">
        <f>('TUSD BE'!$AA$46+'TUSD BF'!$AA$46+'TUSD CVA'!$AA$46)*(1 - CUSTOS!$M$39)</f>
        <v>0</v>
      </c>
      <c r="AA46" s="61">
        <f>('TUSD BE'!$AC$46+'TUSD BF'!$AC$46+'TUSD CVA'!$AC$46)*(1 - CUSTOS!$M$39)</f>
        <v>213.76810530965935</v>
      </c>
      <c r="AB46" s="61">
        <f ca="1">('TUSD BE'!$AE$46+'TUSD BF'!$AE$46+'TUSD CVA'!$AE$46)*(1 - CUSTOS!$M$39)</f>
        <v>-56.62221962134339</v>
      </c>
      <c r="AC46" s="61">
        <f ca="1">('TUSD BE'!$AF$46+'TUSD BF'!$AF$46+'TUSD CVA'!$AF$46)*(1 - CUSTOS!$M$39)</f>
        <v>0</v>
      </c>
      <c r="AD46" s="61">
        <f>('TUSD BE'!$AH$46+'TUSD BF'!$AH$46+'TUSD CVA'!$AH$46)*(1 - CUSTOS!$M$39)</f>
        <v>19.68939227790721</v>
      </c>
      <c r="AE46" s="61">
        <f>('TUSD BE'!$AI$46+'TUSD BF'!$AI$46+'TUSD CVA'!$AI$46)*(1 - CUSTOS!$M$39)</f>
        <v>0.20136765350666083</v>
      </c>
      <c r="AF46" s="61">
        <f ca="1">('TUSD BE'!$AJ$46+'TUSD BF'!$AJ$46+'TUSD CVA'!$AJ$46)*(1 - CUSTOS!$M$39)</f>
        <v>0.74016711806993585</v>
      </c>
      <c r="AG46" s="61">
        <f ca="1">('TUSD BE'!$AK$46+'TUSD BF'!$AK$46+'TUSD CVA'!$AK$46)*(1 - CUSTOS!$M$39)</f>
        <v>0.30908275290134807</v>
      </c>
      <c r="AI46" s="61">
        <v>2.8636308055520798</v>
      </c>
      <c r="AJ46" s="61">
        <v>0.92331927123308999</v>
      </c>
      <c r="AK46" s="61">
        <v>3.01059672641279</v>
      </c>
      <c r="AL46" s="61">
        <v>0</v>
      </c>
      <c r="AM46" s="61">
        <v>0</v>
      </c>
      <c r="AN46" s="61">
        <v>65.166608817635193</v>
      </c>
      <c r="AO46" s="61">
        <v>9.7796390163763203</v>
      </c>
      <c r="AP46" s="61">
        <v>0</v>
      </c>
      <c r="AQ46" s="61">
        <v>0</v>
      </c>
      <c r="AR46" s="61">
        <v>0</v>
      </c>
      <c r="AS46" s="61">
        <v>0</v>
      </c>
      <c r="AT46" s="61">
        <v>0</v>
      </c>
      <c r="AU46" s="61">
        <v>120.169508468571</v>
      </c>
      <c r="AV46" s="61">
        <v>0</v>
      </c>
      <c r="AW46" s="61">
        <v>0</v>
      </c>
      <c r="AX46" s="61">
        <v>147.02889572655801</v>
      </c>
      <c r="AY46" s="61">
        <v>-29.9165575518448</v>
      </c>
      <c r="AZ46" s="61">
        <v>0</v>
      </c>
      <c r="BA46" s="61">
        <v>21.039587383872099</v>
      </c>
      <c r="BB46" s="61">
        <v>0.158038044357528</v>
      </c>
      <c r="BC46" s="61">
        <v>0.97209200442436305</v>
      </c>
      <c r="BD46" s="61">
        <v>0.28340666880139698</v>
      </c>
    </row>
    <row r="47" spans="1:56" ht="11.25" customHeight="1" x14ac:dyDescent="0.3">
      <c r="A47" s="132"/>
      <c r="B47" s="132"/>
      <c r="C47" s="132"/>
      <c r="D47" s="65" t="s">
        <v>97</v>
      </c>
      <c r="E47" s="65" t="s">
        <v>25</v>
      </c>
      <c r="F47" s="65" t="s">
        <v>25</v>
      </c>
      <c r="G47" s="66" t="s">
        <v>81</v>
      </c>
      <c r="H47" s="66" t="s">
        <v>76</v>
      </c>
      <c r="I47" s="66">
        <f>'MERCADO TUSD'!$U$44</f>
        <v>0</v>
      </c>
      <c r="J47" s="15"/>
      <c r="L47" s="61">
        <f>('TUSD BE'!$L$47+'TUSD BF'!$L$47+'TUSD CVA'!$L$47)*(1 - CUSTOS!$M$40)</f>
        <v>3.2411662400252785</v>
      </c>
      <c r="M47" s="61">
        <f>('TUSD BE'!$M$47+'TUSD BF'!$M$47+'TUSD CVA'!$M$47)*(1 - CUSTOS!$M$40)</f>
        <v>0.88152592130931551</v>
      </c>
      <c r="N47" s="61">
        <f ca="1">('TUSD BE'!$N$47+'TUSD BF'!$N$47+'TUSD CVA'!$N$47)*(1 - CUSTOS!$M$40)</f>
        <v>3.7230138109522088</v>
      </c>
      <c r="O47" s="61">
        <f>('TUSD BE'!$O$47+'TUSD BF'!$O$47+'TUSD CVA'!$O$47)*(1 - CUSTOS!$M$40)</f>
        <v>0</v>
      </c>
      <c r="P47" s="61">
        <f>('TUSD BE'!$P$47+'TUSD BF'!$P$47+'TUSD CVA'!$P$47)*(1 - CUSTOS!$M$40)</f>
        <v>0</v>
      </c>
      <c r="Q47" s="61">
        <f>('TUSD BE'!$Q$47+'TUSD BF'!$Q$47+'TUSD CVA'!$Q$47)*(1 - CUSTOS!$M$40)</f>
        <v>91.778646572884128</v>
      </c>
      <c r="R47" s="61">
        <f>('TUSD BE'!$R$47+'TUSD BF'!$R$47+'TUSD CVA'!$R$47)*(1 - CUSTOS!$M$40)</f>
        <v>15.517831477336173</v>
      </c>
      <c r="S47" s="61">
        <f>('TUSD BE'!$S$47+'TUSD BF'!$S$47+'TUSD CVA'!$S$47)*(1 - CUSTOS!$M$40)</f>
        <v>0</v>
      </c>
      <c r="T47" s="61">
        <f>('TUSD BE'!$U$47+'TUSD BF'!$U$47+'TUSD CVA'!$U$47)*(1 - CUSTOS!$M$40)</f>
        <v>0</v>
      </c>
      <c r="U47" s="61">
        <f>('TUSD BE'!$V$47+'TUSD BF'!$V$47+'TUSD CVA'!$V$47)*(1 - CUSTOS!$M$40)</f>
        <v>0</v>
      </c>
      <c r="V47" s="61">
        <f>('TUSD BE'!$W$47+'TUSD BF'!$W$47+'TUSD CVA'!$W$47)*(1 - CUSTOS!$M$40)</f>
        <v>0</v>
      </c>
      <c r="W47" s="61">
        <f>('TUSD BE'!$X$47+'TUSD BF'!$X$47+'TUSD CVA'!$X$47)*(1 - CUSTOS!$M$40)</f>
        <v>0</v>
      </c>
      <c r="X47" s="61">
        <f>('TUSD BE'!$Y$47+'TUSD BF'!$Y$47+'TUSD CVA'!$Y$47)*(1 - CUSTOS!$M$40)</f>
        <v>117.1128119393876</v>
      </c>
      <c r="Y47" s="61">
        <f>('TUSD BE'!$Z$47+'TUSD BF'!$Z$47+'TUSD CVA'!$Z$47)*(1 - CUSTOS!$M$40)</f>
        <v>0</v>
      </c>
      <c r="Z47" s="61">
        <f>('TUSD BE'!$AA$47+'TUSD BF'!$AA$47+'TUSD CVA'!$AA$47)*(1 - CUSTOS!$M$40)</f>
        <v>0</v>
      </c>
      <c r="AA47" s="61">
        <f>('TUSD BE'!$AC$47+'TUSD BF'!$AC$47+'TUSD CVA'!$AC$47)*(1 - CUSTOS!$M$40)</f>
        <v>213.76810530965935</v>
      </c>
      <c r="AB47" s="61">
        <f ca="1">('TUSD BE'!$AE$47+'TUSD BF'!$AE$47+'TUSD CVA'!$AE$47)*(1 - CUSTOS!$M$40)</f>
        <v>-56.62221962134339</v>
      </c>
      <c r="AC47" s="61">
        <f ca="1">('TUSD BE'!$AF$47+'TUSD BF'!$AF$47+'TUSD CVA'!$AF$47)*(1 - CUSTOS!$M$40)</f>
        <v>0</v>
      </c>
      <c r="AD47" s="61">
        <f>('TUSD BE'!$AH$47+'TUSD BF'!$AH$47+'TUSD CVA'!$AH$47)*(1 - CUSTOS!$M$40)</f>
        <v>19.68939227790721</v>
      </c>
      <c r="AE47" s="61">
        <f>('TUSD BE'!$AI$47+'TUSD BF'!$AI$47+'TUSD CVA'!$AI$47)*(1 - CUSTOS!$M$40)</f>
        <v>0.20136765350666083</v>
      </c>
      <c r="AF47" s="61">
        <f ca="1">('TUSD BE'!$AJ$47+'TUSD BF'!$AJ$47+'TUSD CVA'!$AJ$47)*(1 - CUSTOS!$M$40)</f>
        <v>0.74016711806993585</v>
      </c>
      <c r="AG47" s="61">
        <f ca="1">('TUSD BE'!$AK$47+'TUSD BF'!$AK$47+'TUSD CVA'!$AK$47)*(1 - CUSTOS!$M$40)</f>
        <v>0.30908275290134807</v>
      </c>
      <c r="AI47" s="61">
        <v>2.8636308055520798</v>
      </c>
      <c r="AJ47" s="61">
        <v>0.92331927123308999</v>
      </c>
      <c r="AK47" s="61">
        <v>3.01059672641279</v>
      </c>
      <c r="AL47" s="61">
        <v>0</v>
      </c>
      <c r="AM47" s="61">
        <v>0</v>
      </c>
      <c r="AN47" s="61">
        <v>65.166608817635193</v>
      </c>
      <c r="AO47" s="61">
        <v>9.7796390163763096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120.169508468571</v>
      </c>
      <c r="AV47" s="61">
        <v>0</v>
      </c>
      <c r="AW47" s="61">
        <v>0</v>
      </c>
      <c r="AX47" s="61">
        <v>147.02889572655801</v>
      </c>
      <c r="AY47" s="61">
        <v>-29.9165575518448</v>
      </c>
      <c r="AZ47" s="61">
        <v>0</v>
      </c>
      <c r="BA47" s="61">
        <v>21.039587383872099</v>
      </c>
      <c r="BB47" s="61">
        <v>0.158038044357528</v>
      </c>
      <c r="BC47" s="61">
        <v>0.97209200442436206</v>
      </c>
      <c r="BD47" s="61">
        <v>0.28340666880139698</v>
      </c>
    </row>
    <row r="48" spans="1:56" ht="11.25" customHeight="1" x14ac:dyDescent="0.3">
      <c r="A48" s="132" t="s">
        <v>37</v>
      </c>
      <c r="B48" s="132" t="s">
        <v>33</v>
      </c>
      <c r="C48" s="132" t="s">
        <v>25</v>
      </c>
      <c r="D48" s="132" t="s">
        <v>25</v>
      </c>
      <c r="E48" s="132" t="s">
        <v>25</v>
      </c>
      <c r="F48" s="132" t="s">
        <v>25</v>
      </c>
      <c r="G48" s="66" t="s">
        <v>77</v>
      </c>
      <c r="H48" s="66" t="s">
        <v>76</v>
      </c>
      <c r="I48" s="66">
        <f>'MERCADO TUSD'!$U$45</f>
        <v>9.1080000000000005</v>
      </c>
      <c r="J48" s="15"/>
      <c r="L48" s="61">
        <f>('TUSD BE'!$L$48+'TUSD BF'!$L$48+'TUSD CVA'!$L$48)*1</f>
        <v>3.5230067826361724</v>
      </c>
      <c r="M48" s="61">
        <f>('TUSD BE'!$M$48+'TUSD BF'!$M$48+'TUSD CVA'!$M$48)*1</f>
        <v>0.95818034924925599</v>
      </c>
      <c r="N48" s="61">
        <f ca="1">('TUSD BE'!$N$48+'TUSD BF'!$N$48+'TUSD CVA'!$N$48)*1</f>
        <v>12.802632633768766</v>
      </c>
      <c r="O48" s="61">
        <f>('TUSD BE'!$O$48+'TUSD BF'!$O$48+'TUSD CVA'!$O$48)*1</f>
        <v>0</v>
      </c>
      <c r="P48" s="61">
        <f>('TUSD BE'!$P$48+'TUSD BF'!$P$48+'TUSD CVA'!$P$48)*1</f>
        <v>0</v>
      </c>
      <c r="Q48" s="61">
        <f>('TUSD BE'!$Q$48+'TUSD BF'!$Q$48+'TUSD CVA'!$Q$48)*1</f>
        <v>99.759398448787096</v>
      </c>
      <c r="R48" s="61">
        <f>('TUSD BE'!$R$48+'TUSD BF'!$R$48+'TUSD CVA'!$R$48)*1</f>
        <v>16.867208127539318</v>
      </c>
      <c r="S48" s="61">
        <f>('TUSD BE'!$S$48+'TUSD BF'!$S$48+'TUSD CVA'!$S$48)*1</f>
        <v>0</v>
      </c>
      <c r="T48" s="61">
        <f>('TUSD BE'!$U$48+'TUSD BF'!$U$48+'TUSD CVA'!$U$48)*1</f>
        <v>0</v>
      </c>
      <c r="U48" s="61">
        <f>('TUSD BE'!$V$48+'TUSD BF'!$V$48+'TUSD CVA'!$V$48)*1</f>
        <v>0</v>
      </c>
      <c r="V48" s="61">
        <f>('TUSD BE'!$W$48+'TUSD BF'!$W$48+'TUSD CVA'!$W$48)*1</f>
        <v>0</v>
      </c>
      <c r="W48" s="61">
        <f>('TUSD BE'!$X$48+'TUSD BF'!$X$48+'TUSD CVA'!$X$48)*1</f>
        <v>0</v>
      </c>
      <c r="X48" s="61">
        <f>('TUSD BE'!$Y$48+'TUSD BF'!$Y$48+'TUSD CVA'!$Y$48)*1</f>
        <v>458.26761540413293</v>
      </c>
      <c r="Y48" s="61">
        <f>('TUSD BE'!$Z$48+'TUSD BF'!$Z$48+'TUSD CVA'!$Z$48)*1</f>
        <v>0</v>
      </c>
      <c r="Z48" s="61">
        <f>('TUSD BE'!$AA$48+'TUSD BF'!$AA$48+'TUSD CVA'!$AA$48)*1</f>
        <v>0</v>
      </c>
      <c r="AA48" s="61">
        <f>('TUSD BE'!$AC$48+'TUSD BF'!$AC$48+'TUSD CVA'!$AC$48)*1</f>
        <v>836.48384288886734</v>
      </c>
      <c r="AB48" s="61">
        <f ca="1">('TUSD BE'!$AE$48+'TUSD BF'!$AE$48+'TUSD CVA'!$AE$48)*1</f>
        <v>-179.30190100830532</v>
      </c>
      <c r="AC48" s="61">
        <f ca="1">('TUSD BE'!$AF$48+'TUSD BF'!$AF$48+'TUSD CVA'!$AF$48)*1</f>
        <v>0</v>
      </c>
      <c r="AD48" s="61">
        <f>('TUSD BE'!$AH$48+'TUSD BF'!$AH$48+'TUSD CVA'!$AH$48)*1</f>
        <v>21.401513345551315</v>
      </c>
      <c r="AE48" s="61">
        <f>('TUSD BE'!$AI$48+'TUSD BF'!$AI$48+'TUSD CVA'!$AI$48)*1</f>
        <v>0.21887788424637047</v>
      </c>
      <c r="AF48" s="61">
        <f ca="1">('TUSD BE'!$AJ$48+'TUSD BF'!$AJ$48+'TUSD CVA'!$AJ$48)*1</f>
        <v>0.80452947616297366</v>
      </c>
      <c r="AG48" s="61">
        <f ca="1">('TUSD BE'!$AK$48+'TUSD BF'!$AK$48+'TUSD CVA'!$AK$48)*1</f>
        <v>0.3359595140232044</v>
      </c>
      <c r="AI48" s="61">
        <v>3.40908429232391</v>
      </c>
      <c r="AJ48" s="61">
        <v>1.0991896086108199</v>
      </c>
      <c r="AK48" s="61">
        <v>10.5855487126687</v>
      </c>
      <c r="AL48" s="61">
        <v>0</v>
      </c>
      <c r="AM48" s="61">
        <v>0</v>
      </c>
      <c r="AN48" s="61">
        <v>77.579296211470407</v>
      </c>
      <c r="AO48" s="61">
        <v>11.642427400448</v>
      </c>
      <c r="AP48" s="61">
        <v>0</v>
      </c>
      <c r="AQ48" s="61">
        <v>0</v>
      </c>
      <c r="AR48" s="61">
        <v>0</v>
      </c>
      <c r="AS48" s="61">
        <v>0</v>
      </c>
      <c r="AT48" s="61">
        <v>0</v>
      </c>
      <c r="AU48" s="61">
        <v>493.552933703176</v>
      </c>
      <c r="AV48" s="61">
        <v>0</v>
      </c>
      <c r="AW48" s="61">
        <v>0</v>
      </c>
      <c r="AX48" s="61">
        <v>603.86862299003894</v>
      </c>
      <c r="AY48" s="61">
        <v>-100.55605049719</v>
      </c>
      <c r="AZ48" s="61">
        <v>0</v>
      </c>
      <c r="BA48" s="61">
        <v>25.047127837942899</v>
      </c>
      <c r="BB48" s="61">
        <v>0.18814052899705699</v>
      </c>
      <c r="BC48" s="61">
        <v>1.1572523862194799</v>
      </c>
      <c r="BD48" s="61">
        <v>0.33738889143023498</v>
      </c>
    </row>
    <row r="49" spans="1:56" ht="11.25" customHeight="1" x14ac:dyDescent="0.3">
      <c r="A49" s="132"/>
      <c r="B49" s="132"/>
      <c r="C49" s="132"/>
      <c r="D49" s="132"/>
      <c r="E49" s="132"/>
      <c r="F49" s="132"/>
      <c r="G49" s="66" t="s">
        <v>93</v>
      </c>
      <c r="H49" s="66" t="s">
        <v>76</v>
      </c>
      <c r="I49" s="66">
        <f>'MERCADO TUSD'!$U$46</f>
        <v>0.627</v>
      </c>
      <c r="J49" s="15"/>
      <c r="L49" s="61">
        <f>('TUSD BE'!$L$49+'TUSD BF'!$L$49+'TUSD CVA'!$L$49)*1</f>
        <v>3.5230067826361724</v>
      </c>
      <c r="M49" s="61">
        <f>('TUSD BE'!$M$49+'TUSD BF'!$M$49+'TUSD CVA'!$M$49)*1</f>
        <v>0.95818034924925599</v>
      </c>
      <c r="N49" s="61">
        <f ca="1">('TUSD BE'!$N$49+'TUSD BF'!$N$49+'TUSD CVA'!$N$49)*1</f>
        <v>7.9532235002377485</v>
      </c>
      <c r="O49" s="61">
        <f>('TUSD BE'!$O$49+'TUSD BF'!$O$49+'TUSD CVA'!$O$49)*1</f>
        <v>0</v>
      </c>
      <c r="P49" s="61">
        <f>('TUSD BE'!$P$49+'TUSD BF'!$P$49+'TUSD CVA'!$P$49)*1</f>
        <v>0</v>
      </c>
      <c r="Q49" s="61">
        <f>('TUSD BE'!$Q$49+'TUSD BF'!$Q$49+'TUSD CVA'!$Q$49)*1</f>
        <v>99.759398448787096</v>
      </c>
      <c r="R49" s="61">
        <f>('TUSD BE'!$R$49+'TUSD BF'!$R$49+'TUSD CVA'!$R$49)*1</f>
        <v>16.867208127539318</v>
      </c>
      <c r="S49" s="61">
        <f>('TUSD BE'!$S$49+'TUSD BF'!$S$49+'TUSD CVA'!$S$49)*1</f>
        <v>0</v>
      </c>
      <c r="T49" s="61">
        <f>('TUSD BE'!$U$49+'TUSD BF'!$U$49+'TUSD CVA'!$U$49)*1</f>
        <v>0</v>
      </c>
      <c r="U49" s="61">
        <f>('TUSD BE'!$V$49+'TUSD BF'!$V$49+'TUSD CVA'!$V$49)*1</f>
        <v>0</v>
      </c>
      <c r="V49" s="61">
        <f>('TUSD BE'!$W$49+'TUSD BF'!$W$49+'TUSD CVA'!$W$49)*1</f>
        <v>0</v>
      </c>
      <c r="W49" s="61">
        <f>('TUSD BE'!$X$49+'TUSD BF'!$X$49+'TUSD CVA'!$X$49)*1</f>
        <v>0</v>
      </c>
      <c r="X49" s="61">
        <f>('TUSD BE'!$Y$49+'TUSD BF'!$Y$49+'TUSD CVA'!$Y$49)*1</f>
        <v>274.96060541204793</v>
      </c>
      <c r="Y49" s="61">
        <f>('TUSD BE'!$Z$49+'TUSD BF'!$Z$49+'TUSD CVA'!$Z$49)*1</f>
        <v>0</v>
      </c>
      <c r="Z49" s="61">
        <f>('TUSD BE'!$AA$49+'TUSD BF'!$AA$49+'TUSD CVA'!$AA$49)*1</f>
        <v>0</v>
      </c>
      <c r="AA49" s="61">
        <f>('TUSD BE'!$AC$49+'TUSD BF'!$AC$49+'TUSD CVA'!$AC$49)*1</f>
        <v>501.89030573332047</v>
      </c>
      <c r="AB49" s="61">
        <f ca="1">('TUSD BE'!$AE$49+'TUSD BF'!$AE$49+'TUSD CVA'!$AE$49)*1</f>
        <v>-114.08319436854192</v>
      </c>
      <c r="AC49" s="61">
        <f ca="1">('TUSD BE'!$AF$49+'TUSD BF'!$AF$49+'TUSD CVA'!$AF$49)*1</f>
        <v>0</v>
      </c>
      <c r="AD49" s="61">
        <f>('TUSD BE'!$AH$49+'TUSD BF'!$AH$49+'TUSD CVA'!$AH$49)*1</f>
        <v>21.401513345551315</v>
      </c>
      <c r="AE49" s="61">
        <f>('TUSD BE'!$AI$49+'TUSD BF'!$AI$49+'TUSD CVA'!$AI$49)*1</f>
        <v>0.21887788424637047</v>
      </c>
      <c r="AF49" s="61">
        <f ca="1">('TUSD BE'!$AJ$49+'TUSD BF'!$AJ$49+'TUSD CVA'!$AJ$49)*1</f>
        <v>0.80452947616297366</v>
      </c>
      <c r="AG49" s="61">
        <f ca="1">('TUSD BE'!$AK$49+'TUSD BF'!$AK$49+'TUSD CVA'!$AK$49)*1</f>
        <v>0.3359595140232044</v>
      </c>
      <c r="AI49" s="61">
        <v>3.40908429232391</v>
      </c>
      <c r="AJ49" s="61">
        <v>1.0991896086108199</v>
      </c>
      <c r="AK49" s="61">
        <v>6.64184445770832</v>
      </c>
      <c r="AL49" s="61">
        <v>0</v>
      </c>
      <c r="AM49" s="61">
        <v>0</v>
      </c>
      <c r="AN49" s="61">
        <v>77.579296211470407</v>
      </c>
      <c r="AO49" s="61">
        <v>11.642427400448</v>
      </c>
      <c r="AP49" s="61">
        <v>0</v>
      </c>
      <c r="AQ49" s="61">
        <v>0</v>
      </c>
      <c r="AR49" s="61">
        <v>0</v>
      </c>
      <c r="AS49" s="61">
        <v>0</v>
      </c>
      <c r="AT49" s="61">
        <v>0</v>
      </c>
      <c r="AU49" s="61">
        <v>296.13185831884698</v>
      </c>
      <c r="AV49" s="61">
        <v>0</v>
      </c>
      <c r="AW49" s="61">
        <v>0</v>
      </c>
      <c r="AX49" s="61">
        <v>362.321218503539</v>
      </c>
      <c r="AY49" s="61">
        <v>-63.976986938937699</v>
      </c>
      <c r="AZ49" s="61">
        <v>0</v>
      </c>
      <c r="BA49" s="61">
        <v>25.047127837942899</v>
      </c>
      <c r="BB49" s="61">
        <v>0.18814052899705699</v>
      </c>
      <c r="BC49" s="61">
        <v>1.1572523862194799</v>
      </c>
      <c r="BD49" s="61">
        <v>0.33738889143023498</v>
      </c>
    </row>
    <row r="50" spans="1:56" ht="11.25" customHeight="1" x14ac:dyDescent="0.3">
      <c r="A50" s="132"/>
      <c r="B50" s="132"/>
      <c r="C50" s="132"/>
      <c r="D50" s="132"/>
      <c r="E50" s="132"/>
      <c r="F50" s="132"/>
      <c r="G50" s="66" t="s">
        <v>78</v>
      </c>
      <c r="H50" s="66" t="s">
        <v>76</v>
      </c>
      <c r="I50" s="66">
        <f>'MERCADO TUSD'!$U$47</f>
        <v>7.484</v>
      </c>
      <c r="J50" s="15"/>
      <c r="L50" s="61">
        <f>('TUSD BE'!$L$50+'TUSD BF'!$L$50+'TUSD CVA'!$L$50)*1</f>
        <v>3.5230067826361724</v>
      </c>
      <c r="M50" s="61">
        <f>('TUSD BE'!$M$50+'TUSD BF'!$M$50+'TUSD CVA'!$M$50)*1</f>
        <v>0.95818034924925599</v>
      </c>
      <c r="N50" s="61">
        <f ca="1">('TUSD BE'!$N$50+'TUSD BF'!$N$50+'TUSD CVA'!$N$50)*1</f>
        <v>3.103813366333525</v>
      </c>
      <c r="O50" s="61">
        <f>('TUSD BE'!$O$50+'TUSD BF'!$O$50+'TUSD CVA'!$O$50)*1</f>
        <v>0</v>
      </c>
      <c r="P50" s="61">
        <f>('TUSD BE'!$P$50+'TUSD BF'!$P$50+'TUSD CVA'!$P$50)*1</f>
        <v>0</v>
      </c>
      <c r="Q50" s="61">
        <f>('TUSD BE'!$Q$50+'TUSD BF'!$Q$50+'TUSD CVA'!$Q$50)*1</f>
        <v>99.759398448787096</v>
      </c>
      <c r="R50" s="61">
        <f>('TUSD BE'!$R$50+'TUSD BF'!$R$50+'TUSD CVA'!$R$50)*1</f>
        <v>16.867208127539318</v>
      </c>
      <c r="S50" s="61">
        <f>('TUSD BE'!$S$50+'TUSD BF'!$S$50+'TUSD CVA'!$S$50)*1</f>
        <v>0</v>
      </c>
      <c r="T50" s="61">
        <f>('TUSD BE'!$U$50+'TUSD BF'!$U$50+'TUSD CVA'!$U$50)*1</f>
        <v>0</v>
      </c>
      <c r="U50" s="61">
        <f>('TUSD BE'!$V$50+'TUSD BF'!$V$50+'TUSD CVA'!$V$50)*1</f>
        <v>0</v>
      </c>
      <c r="V50" s="61">
        <f>('TUSD BE'!$W$50+'TUSD BF'!$W$50+'TUSD CVA'!$W$50)*1</f>
        <v>0</v>
      </c>
      <c r="W50" s="61">
        <f>('TUSD BE'!$X$50+'TUSD BF'!$X$50+'TUSD CVA'!$X$50)*1</f>
        <v>0</v>
      </c>
      <c r="X50" s="61">
        <f>('TUSD BE'!$Y$50+'TUSD BF'!$Y$50+'TUSD CVA'!$Y$50)*1</f>
        <v>91.653504996042471</v>
      </c>
      <c r="Y50" s="61">
        <f>('TUSD BE'!$Z$50+'TUSD BF'!$Z$50+'TUSD CVA'!$Z$50)*1</f>
        <v>0</v>
      </c>
      <c r="Z50" s="61">
        <f>('TUSD BE'!$AA$50+'TUSD BF'!$AA$50+'TUSD CVA'!$AA$50)*1</f>
        <v>0</v>
      </c>
      <c r="AA50" s="61">
        <f>('TUSD BE'!$AC$50+'TUSD BF'!$AC$50+'TUSD CVA'!$AC$50)*1</f>
        <v>167.29676857777343</v>
      </c>
      <c r="AB50" s="61">
        <f ca="1">('TUSD BE'!$AE$50+'TUSD BF'!$AE$50+'TUSD CVA'!$AE$50)*1</f>
        <v>-48.864474222159551</v>
      </c>
      <c r="AC50" s="61">
        <f ca="1">('TUSD BE'!$AF$50+'TUSD BF'!$AF$50+'TUSD CVA'!$AF$50)*1</f>
        <v>0</v>
      </c>
      <c r="AD50" s="61">
        <f>('TUSD BE'!$AH$50+'TUSD BF'!$AH$50+'TUSD CVA'!$AH$50)*1</f>
        <v>21.401513345551315</v>
      </c>
      <c r="AE50" s="61">
        <f>('TUSD BE'!$AI$50+'TUSD BF'!$AI$50+'TUSD CVA'!$AI$50)*1</f>
        <v>0.21887788424637047</v>
      </c>
      <c r="AF50" s="61">
        <f ca="1">('TUSD BE'!$AJ$50+'TUSD BF'!$AJ$50+'TUSD CVA'!$AJ$50)*1</f>
        <v>0.80452947616297366</v>
      </c>
      <c r="AG50" s="61">
        <f ca="1">('TUSD BE'!$AK$50+'TUSD BF'!$AK$50+'TUSD CVA'!$AK$50)*1</f>
        <v>0.3359595140232044</v>
      </c>
      <c r="AI50" s="61">
        <v>3.40908429232391</v>
      </c>
      <c r="AJ50" s="61">
        <v>1.0991896086108199</v>
      </c>
      <c r="AK50" s="61">
        <v>2.6981375435110202</v>
      </c>
      <c r="AL50" s="61">
        <v>0</v>
      </c>
      <c r="AM50" s="61">
        <v>0</v>
      </c>
      <c r="AN50" s="61">
        <v>77.579296211470407</v>
      </c>
      <c r="AO50" s="61">
        <v>11.642427400448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98.710537692164493</v>
      </c>
      <c r="AV50" s="61">
        <v>0</v>
      </c>
      <c r="AW50" s="61">
        <v>0</v>
      </c>
      <c r="AX50" s="61">
        <v>120.77370224325</v>
      </c>
      <c r="AY50" s="61">
        <v>-27.397895757841301</v>
      </c>
      <c r="AZ50" s="61">
        <v>0</v>
      </c>
      <c r="BA50" s="61">
        <v>25.047127837942899</v>
      </c>
      <c r="BB50" s="61">
        <v>0.18814052899705699</v>
      </c>
      <c r="BC50" s="61">
        <v>1.1572523862194799</v>
      </c>
      <c r="BD50" s="61">
        <v>0.33738889143023498</v>
      </c>
    </row>
    <row r="51" spans="1:56" ht="11.25" customHeight="1" x14ac:dyDescent="0.3">
      <c r="A51" s="132"/>
      <c r="B51" s="65" t="s">
        <v>23</v>
      </c>
      <c r="C51" s="65" t="s">
        <v>25</v>
      </c>
      <c r="D51" s="65" t="s">
        <v>25</v>
      </c>
      <c r="E51" s="65" t="s">
        <v>25</v>
      </c>
      <c r="F51" s="65" t="s">
        <v>25</v>
      </c>
      <c r="G51" s="66" t="s">
        <v>81</v>
      </c>
      <c r="H51" s="66" t="s">
        <v>76</v>
      </c>
      <c r="I51" s="66">
        <f>'MERCADO TUSD'!$U$48</f>
        <v>11812.039999999999</v>
      </c>
      <c r="J51" s="15"/>
      <c r="L51" s="61">
        <f>('TUSD BE'!$L$51+'TUSD BF'!$L$51+'TUSD CVA'!$L$51)*1</f>
        <v>3.5230067826361724</v>
      </c>
      <c r="M51" s="61">
        <f>('TUSD BE'!$M$51+'TUSD BF'!$M$51+'TUSD CVA'!$M$51)*1</f>
        <v>0.95818034924925599</v>
      </c>
      <c r="N51" s="61">
        <f ca="1">('TUSD BE'!$N$51+'TUSD BF'!$N$51+'TUSD CVA'!$N$51)*1</f>
        <v>4.0467541423393572</v>
      </c>
      <c r="O51" s="61">
        <f>('TUSD BE'!$O$51+'TUSD BF'!$O$51+'TUSD CVA'!$O$51)*1</f>
        <v>0</v>
      </c>
      <c r="P51" s="61">
        <f>('TUSD BE'!$P$51+'TUSD BF'!$P$51+'TUSD CVA'!$P$51)*1</f>
        <v>0</v>
      </c>
      <c r="Q51" s="61">
        <f>('TUSD BE'!$Q$51+'TUSD BF'!$Q$51+'TUSD CVA'!$Q$51)*1</f>
        <v>99.759398448787096</v>
      </c>
      <c r="R51" s="61">
        <f>('TUSD BE'!$R$51+'TUSD BF'!$R$51+'TUSD CVA'!$R$51)*1</f>
        <v>16.867208127539318</v>
      </c>
      <c r="S51" s="61">
        <f>('TUSD BE'!$S$51+'TUSD BF'!$S$51+'TUSD CVA'!$S$51)*1</f>
        <v>0</v>
      </c>
      <c r="T51" s="61">
        <f>('TUSD BE'!$U$51+'TUSD BF'!$U$51+'TUSD CVA'!$U$51)*1</f>
        <v>0</v>
      </c>
      <c r="U51" s="61">
        <f>('TUSD BE'!$V$51+'TUSD BF'!$V$51+'TUSD CVA'!$V$51)*1</f>
        <v>0</v>
      </c>
      <c r="V51" s="61">
        <f>('TUSD BE'!$W$51+'TUSD BF'!$W$51+'TUSD CVA'!$W$51)*1</f>
        <v>0</v>
      </c>
      <c r="W51" s="61">
        <f>('TUSD BE'!$X$51+'TUSD BF'!$X$51+'TUSD CVA'!$X$51)*1</f>
        <v>0</v>
      </c>
      <c r="X51" s="61">
        <f>('TUSD BE'!$Y$51+'TUSD BF'!$Y$51+'TUSD CVA'!$Y$51)*1</f>
        <v>127.29653471672565</v>
      </c>
      <c r="Y51" s="61">
        <f>('TUSD BE'!$Z$51+'TUSD BF'!$Z$51+'TUSD CVA'!$Z$51)*1</f>
        <v>0</v>
      </c>
      <c r="Z51" s="61">
        <f>('TUSD BE'!$AA$51+'TUSD BF'!$AA$51+'TUSD CVA'!$AA$51)*1</f>
        <v>0</v>
      </c>
      <c r="AA51" s="61">
        <f>('TUSD BE'!$AC$51+'TUSD BF'!$AC$51+'TUSD CVA'!$AC$51)*1</f>
        <v>232.35663620615145</v>
      </c>
      <c r="AB51" s="61">
        <f ca="1">('TUSD BE'!$AE$51+'TUSD BF'!$AE$51+'TUSD CVA'!$AE$51)*1</f>
        <v>-61.545890892764554</v>
      </c>
      <c r="AC51" s="61">
        <f ca="1">('TUSD BE'!$AF$51+'TUSD BF'!$AF$51+'TUSD CVA'!$AF$51)*1</f>
        <v>0</v>
      </c>
      <c r="AD51" s="61">
        <f>('TUSD BE'!$AH$51+'TUSD BF'!$AH$51+'TUSD CVA'!$AH$51)*1</f>
        <v>21.401513345551315</v>
      </c>
      <c r="AE51" s="61">
        <f>('TUSD BE'!$AI$51+'TUSD BF'!$AI$51+'TUSD CVA'!$AI$51)*1</f>
        <v>0.21887788424637047</v>
      </c>
      <c r="AF51" s="61">
        <f ca="1">('TUSD BE'!$AJ$51+'TUSD BF'!$AJ$51+'TUSD CVA'!$AJ$51)*1</f>
        <v>0.80452947616297366</v>
      </c>
      <c r="AG51" s="61">
        <f ca="1">('TUSD BE'!$AK$51+'TUSD BF'!$AK$51+'TUSD CVA'!$AK$51)*1</f>
        <v>0.3359595140232044</v>
      </c>
      <c r="AI51" s="61">
        <v>3.40908429232391</v>
      </c>
      <c r="AJ51" s="61">
        <v>1.0991896086108199</v>
      </c>
      <c r="AK51" s="61">
        <v>3.5840437219199899</v>
      </c>
      <c r="AL51" s="61">
        <v>0</v>
      </c>
      <c r="AM51" s="61">
        <v>0</v>
      </c>
      <c r="AN51" s="61">
        <v>77.579296211470407</v>
      </c>
      <c r="AO51" s="61">
        <v>11.642427400448</v>
      </c>
      <c r="AP51" s="61">
        <v>0</v>
      </c>
      <c r="AQ51" s="61">
        <v>0</v>
      </c>
      <c r="AR51" s="61">
        <v>0</v>
      </c>
      <c r="AS51" s="61">
        <v>0</v>
      </c>
      <c r="AT51" s="61">
        <v>0</v>
      </c>
      <c r="AU51" s="61">
        <v>143.05893865306101</v>
      </c>
      <c r="AV51" s="61">
        <v>0</v>
      </c>
      <c r="AW51" s="61">
        <v>0</v>
      </c>
      <c r="AX51" s="61">
        <v>175.03439967447301</v>
      </c>
      <c r="AY51" s="61">
        <v>-35.614949466481903</v>
      </c>
      <c r="AZ51" s="61">
        <v>0</v>
      </c>
      <c r="BA51" s="61">
        <v>25.047127837942899</v>
      </c>
      <c r="BB51" s="61">
        <v>0.18814052899705699</v>
      </c>
      <c r="BC51" s="61">
        <v>1.1572523862194799</v>
      </c>
      <c r="BD51" s="61">
        <v>0.33738889143023498</v>
      </c>
    </row>
    <row r="52" spans="1:56" ht="11.25" customHeight="1" x14ac:dyDescent="0.3">
      <c r="A52" s="132"/>
      <c r="B52" s="65" t="s">
        <v>95</v>
      </c>
      <c r="C52" s="65" t="s">
        <v>25</v>
      </c>
      <c r="D52" s="65" t="s">
        <v>25</v>
      </c>
      <c r="E52" s="65" t="s">
        <v>25</v>
      </c>
      <c r="F52" s="65" t="s">
        <v>25</v>
      </c>
      <c r="G52" s="66" t="s">
        <v>81</v>
      </c>
      <c r="H52" s="66" t="s">
        <v>76</v>
      </c>
      <c r="I52" s="66">
        <f>'MERCADO TUSD'!$U$49</f>
        <v>0</v>
      </c>
      <c r="J52" s="15"/>
      <c r="L52" s="61">
        <f>('TUSD BE'!$L$52+'TUSD BF'!$L$52+'TUSD CVA'!$L$52)*1</f>
        <v>3.5230067826361724</v>
      </c>
      <c r="M52" s="61">
        <f>('TUSD BE'!$M$52+'TUSD BF'!$M$52+'TUSD CVA'!$M$52)*1</f>
        <v>0.95818034924925599</v>
      </c>
      <c r="N52" s="61">
        <f ca="1">('TUSD BE'!$N$52+'TUSD BF'!$N$52+'TUSD CVA'!$N$52)*1</f>
        <v>4.0467541423393572</v>
      </c>
      <c r="O52" s="61">
        <f>('TUSD BE'!$O$52+'TUSD BF'!$O$52+'TUSD CVA'!$O$52)*1</f>
        <v>0</v>
      </c>
      <c r="P52" s="61">
        <f>('TUSD BE'!$P$52+'TUSD BF'!$P$52+'TUSD CVA'!$P$52)*1</f>
        <v>0</v>
      </c>
      <c r="Q52" s="61">
        <f>('TUSD BE'!$Q$52+'TUSD BF'!$Q$52+'TUSD CVA'!$Q$52)*1</f>
        <v>99.759398448787096</v>
      </c>
      <c r="R52" s="61">
        <f>('TUSD BE'!$R$52+'TUSD BF'!$R$52+'TUSD CVA'!$R$52)*1</f>
        <v>16.867208127539318</v>
      </c>
      <c r="S52" s="61">
        <f>('TUSD BE'!$S$52+'TUSD BF'!$S$52+'TUSD CVA'!$S$52)*1</f>
        <v>0</v>
      </c>
      <c r="T52" s="61">
        <f>('TUSD BE'!$U$52+'TUSD BF'!$U$52+'TUSD CVA'!$U$52)*1</f>
        <v>0</v>
      </c>
      <c r="U52" s="61">
        <f>('TUSD BE'!$V$52+'TUSD BF'!$V$52+'TUSD CVA'!$V$52)*1</f>
        <v>0</v>
      </c>
      <c r="V52" s="61">
        <f>('TUSD BE'!$W$52+'TUSD BF'!$W$52+'TUSD CVA'!$W$52)*1</f>
        <v>0</v>
      </c>
      <c r="W52" s="61">
        <f>('TUSD BE'!$X$52+'TUSD BF'!$X$52+'TUSD CVA'!$X$52)*1</f>
        <v>0</v>
      </c>
      <c r="X52" s="61">
        <f>('TUSD BE'!$Y$52+'TUSD BF'!$Y$52+'TUSD CVA'!$Y$52)*1</f>
        <v>127.29653471672565</v>
      </c>
      <c r="Y52" s="61">
        <f>('TUSD BE'!$Z$52+'TUSD BF'!$Z$52+'TUSD CVA'!$Z$52)*1</f>
        <v>0</v>
      </c>
      <c r="Z52" s="61">
        <f>('TUSD BE'!$AA$52+'TUSD BF'!$AA$52+'TUSD CVA'!$AA$52)*1</f>
        <v>0</v>
      </c>
      <c r="AA52" s="61">
        <f>('TUSD BE'!$AC$52+'TUSD BF'!$AC$52+'TUSD CVA'!$AC$52)*1</f>
        <v>232.35663620615145</v>
      </c>
      <c r="AB52" s="61">
        <f ca="1">('TUSD BE'!$AE$52+'TUSD BF'!$AE$52+'TUSD CVA'!$AE$52)*1</f>
        <v>-61.545890892764554</v>
      </c>
      <c r="AC52" s="61">
        <f ca="1">('TUSD BE'!$AF$52+'TUSD BF'!$AF$52+'TUSD CVA'!$AF$52)*1</f>
        <v>0</v>
      </c>
      <c r="AD52" s="61">
        <f>('TUSD BE'!$AH$52+'TUSD BF'!$AH$52+'TUSD CVA'!$AH$52)*1</f>
        <v>21.401513345551315</v>
      </c>
      <c r="AE52" s="61">
        <f>('TUSD BE'!$AI$52+'TUSD BF'!$AI$52+'TUSD CVA'!$AI$52)*1</f>
        <v>0.21887788424637047</v>
      </c>
      <c r="AF52" s="61">
        <f ca="1">('TUSD BE'!$AJ$52+'TUSD BF'!$AJ$52+'TUSD CVA'!$AJ$52)*1</f>
        <v>0.80452947616297366</v>
      </c>
      <c r="AG52" s="61">
        <f ca="1">('TUSD BE'!$AK$52+'TUSD BF'!$AK$52+'TUSD CVA'!$AK$52)*1</f>
        <v>0.3359595140232044</v>
      </c>
      <c r="AI52" s="61">
        <v>3.40908429232391</v>
      </c>
      <c r="AJ52" s="61">
        <v>1.0991896086108199</v>
      </c>
      <c r="AK52" s="61">
        <v>3.5840437219199899</v>
      </c>
      <c r="AL52" s="61">
        <v>0</v>
      </c>
      <c r="AM52" s="61">
        <v>0</v>
      </c>
      <c r="AN52" s="61">
        <v>77.579296211470407</v>
      </c>
      <c r="AO52" s="61">
        <v>11.642427400448</v>
      </c>
      <c r="AP52" s="61">
        <v>0</v>
      </c>
      <c r="AQ52" s="61">
        <v>0</v>
      </c>
      <c r="AR52" s="61">
        <v>0</v>
      </c>
      <c r="AS52" s="61">
        <v>0</v>
      </c>
      <c r="AT52" s="61">
        <v>0</v>
      </c>
      <c r="AU52" s="61">
        <v>143.05893865306101</v>
      </c>
      <c r="AV52" s="61">
        <v>0</v>
      </c>
      <c r="AW52" s="61">
        <v>0</v>
      </c>
      <c r="AX52" s="61">
        <v>175.03439967447301</v>
      </c>
      <c r="AY52" s="61">
        <v>-35.614949466481903</v>
      </c>
      <c r="AZ52" s="61">
        <v>0</v>
      </c>
      <c r="BA52" s="61">
        <v>25.047127837942899</v>
      </c>
      <c r="BB52" s="61">
        <v>0.18814052899705699</v>
      </c>
      <c r="BC52" s="61">
        <v>1.1572523862194799</v>
      </c>
      <c r="BD52" s="61">
        <v>0.33738889143023498</v>
      </c>
    </row>
    <row r="53" spans="1:56" ht="11.25" customHeight="1" x14ac:dyDescent="0.3">
      <c r="A53" s="132" t="s">
        <v>45</v>
      </c>
      <c r="B53" s="132" t="s">
        <v>23</v>
      </c>
      <c r="C53" s="132" t="s">
        <v>46</v>
      </c>
      <c r="D53" s="65" t="s">
        <v>47</v>
      </c>
      <c r="E53" s="65" t="s">
        <v>25</v>
      </c>
      <c r="F53" s="65" t="s">
        <v>25</v>
      </c>
      <c r="G53" s="66" t="s">
        <v>81</v>
      </c>
      <c r="H53" s="66" t="s">
        <v>76</v>
      </c>
      <c r="I53" s="66">
        <f>'MERCADO TUSD'!$U$50</f>
        <v>4365.4290000000001</v>
      </c>
      <c r="J53" s="15"/>
      <c r="L53" s="61">
        <f>('TUSD BE'!$L$53+'TUSD BF'!$L$53+'TUSD CVA'!$L$53)*1</f>
        <v>1.9376537304498949</v>
      </c>
      <c r="M53" s="61">
        <f>('TUSD BE'!$M$53+'TUSD BF'!$M$53+'TUSD CVA'!$M$53)*1</f>
        <v>0.52699919208709078</v>
      </c>
      <c r="N53" s="61">
        <f ca="1">('TUSD BE'!$N$53+'TUSD BF'!$N$53+'TUSD CVA'!$N$53)*1</f>
        <v>2.2257147782866471</v>
      </c>
      <c r="O53" s="61">
        <f>('TUSD BE'!$O$53+'TUSD BF'!$O$53+'TUSD CVA'!$O$53)*1</f>
        <v>0</v>
      </c>
      <c r="P53" s="61">
        <f>('TUSD BE'!$P$53+'TUSD BF'!$P$53+'TUSD CVA'!$P$53)*1</f>
        <v>0</v>
      </c>
      <c r="Q53" s="61">
        <f>('TUSD BE'!$Q$53+'TUSD BF'!$Q$53+'TUSD CVA'!$Q$53)*1</f>
        <v>54.867669146832903</v>
      </c>
      <c r="R53" s="61">
        <f>('TUSD BE'!$R$53+'TUSD BF'!$R$53+'TUSD CVA'!$R$53)*1</f>
        <v>9.276964470146627</v>
      </c>
      <c r="S53" s="61">
        <f>('TUSD BE'!$S$53+'TUSD BF'!$S$53+'TUSD CVA'!$S$53)*1</f>
        <v>0</v>
      </c>
      <c r="T53" s="61">
        <f>('TUSD BE'!$U$53+'TUSD BF'!$U$53+'TUSD CVA'!$U$53)*1</f>
        <v>0</v>
      </c>
      <c r="U53" s="61">
        <f>('TUSD BE'!$V$53+'TUSD BF'!$V$53+'TUSD CVA'!$V$53)*1</f>
        <v>0</v>
      </c>
      <c r="V53" s="61">
        <f>('TUSD BE'!$W$53+'TUSD BF'!$W$53+'TUSD CVA'!$W$53)*1</f>
        <v>0</v>
      </c>
      <c r="W53" s="61">
        <f>('TUSD BE'!$X$53+'TUSD BF'!$X$53+'TUSD CVA'!$X$53)*1</f>
        <v>0</v>
      </c>
      <c r="X53" s="61">
        <f>('TUSD BE'!$Y$53+'TUSD BF'!$Y$53+'TUSD CVA'!$Y$53)*1</f>
        <v>70.013094094199118</v>
      </c>
      <c r="Y53" s="61">
        <f>('TUSD BE'!$Z$53+'TUSD BF'!$Z$53+'TUSD CVA'!$Z$53)*1</f>
        <v>0</v>
      </c>
      <c r="Z53" s="61">
        <f>('TUSD BE'!$AA$53+'TUSD BF'!$AA$53+'TUSD CVA'!$AA$53)*1</f>
        <v>0</v>
      </c>
      <c r="AA53" s="61">
        <f>('TUSD BE'!$AC$53+'TUSD BF'!$AC$53+'TUSD CVA'!$AC$53)*1</f>
        <v>127.79614991338333</v>
      </c>
      <c r="AB53" s="61">
        <f ca="1">('TUSD BE'!$AE$53+'TUSD BF'!$AE$53+'TUSD CVA'!$AE$53)*1</f>
        <v>-33.850239991020509</v>
      </c>
      <c r="AC53" s="61">
        <f ca="1">('TUSD BE'!$AF$53+'TUSD BF'!$AF$53+'TUSD CVA'!$AF$53)*1</f>
        <v>0</v>
      </c>
      <c r="AD53" s="61">
        <f>('TUSD BE'!$AH$53+'TUSD BF'!$AH$53+'TUSD CVA'!$AH$53)*1</f>
        <v>11.770832340053225</v>
      </c>
      <c r="AE53" s="61">
        <f>('TUSD BE'!$AI$53+'TUSD BF'!$AI$53+'TUSD CVA'!$AI$53)*1</f>
        <v>0.1203828363355038</v>
      </c>
      <c r="AF53" s="61">
        <f ca="1">('TUSD BE'!$AJ$53+'TUSD BF'!$AJ$53+'TUSD CVA'!$AJ$53)*1</f>
        <v>0.44249121188963553</v>
      </c>
      <c r="AG53" s="61">
        <f ca="1">('TUSD BE'!$AK$53+'TUSD BF'!$AK$53+'TUSD CVA'!$AK$53)*1</f>
        <v>0.1847777327127624</v>
      </c>
      <c r="AI53" s="61">
        <v>1.8749963607781499</v>
      </c>
      <c r="AJ53" s="61">
        <v>0.60455428473595196</v>
      </c>
      <c r="AK53" s="61">
        <v>1.9712240470560001</v>
      </c>
      <c r="AL53" s="61">
        <v>0</v>
      </c>
      <c r="AM53" s="61">
        <v>0</v>
      </c>
      <c r="AN53" s="61">
        <v>42.668612916308803</v>
      </c>
      <c r="AO53" s="61">
        <v>6.4033350702464</v>
      </c>
      <c r="AP53" s="61">
        <v>0</v>
      </c>
      <c r="AQ53" s="61">
        <v>0</v>
      </c>
      <c r="AR53" s="61">
        <v>0</v>
      </c>
      <c r="AS53" s="61">
        <v>0</v>
      </c>
      <c r="AT53" s="61">
        <v>0</v>
      </c>
      <c r="AU53" s="61">
        <v>78.682416259183299</v>
      </c>
      <c r="AV53" s="61">
        <v>0</v>
      </c>
      <c r="AW53" s="61">
        <v>0</v>
      </c>
      <c r="AX53" s="61">
        <v>96.268919820960406</v>
      </c>
      <c r="AY53" s="61">
        <v>-19.588222206565</v>
      </c>
      <c r="AZ53" s="61">
        <v>0</v>
      </c>
      <c r="BA53" s="61">
        <v>13.775920310868599</v>
      </c>
      <c r="BB53" s="61">
        <v>0.103477290948381</v>
      </c>
      <c r="BC53" s="61">
        <v>0.63648881242071298</v>
      </c>
      <c r="BD53" s="61">
        <v>0.18556389028662901</v>
      </c>
    </row>
    <row r="54" spans="1:56" ht="11.25" customHeight="1" x14ac:dyDescent="0.3">
      <c r="A54" s="132"/>
      <c r="B54" s="132"/>
      <c r="C54" s="132"/>
      <c r="D54" s="66" t="s">
        <v>98</v>
      </c>
      <c r="E54" s="66" t="s">
        <v>25</v>
      </c>
      <c r="F54" s="66" t="s">
        <v>25</v>
      </c>
      <c r="G54" s="66" t="s">
        <v>81</v>
      </c>
      <c r="H54" s="66" t="s">
        <v>76</v>
      </c>
      <c r="I54" s="66">
        <f>'MERCADO TUSD'!$U$51</f>
        <v>0</v>
      </c>
      <c r="J54" s="15"/>
      <c r="L54" s="61">
        <f>('TUSD BE'!$L$54+'TUSD BF'!$L$54+'TUSD CVA'!$L$54)*1</f>
        <v>2.1138040695817031</v>
      </c>
      <c r="M54" s="61">
        <f>('TUSD BE'!$M$54+'TUSD BF'!$M$54+'TUSD CVA'!$M$54)*1</f>
        <v>0.57490820954955346</v>
      </c>
      <c r="N54" s="61">
        <f ca="1">('TUSD BE'!$N$54+'TUSD BF'!$N$54+'TUSD CVA'!$N$54)*1</f>
        <v>2.4280524854036143</v>
      </c>
      <c r="O54" s="61">
        <f>('TUSD BE'!$O$54+'TUSD BF'!$O$54+'TUSD CVA'!$O$54)*1</f>
        <v>0</v>
      </c>
      <c r="P54" s="61">
        <f>('TUSD BE'!$P$54+'TUSD BF'!$P$54+'TUSD CVA'!$P$54)*1</f>
        <v>0</v>
      </c>
      <c r="Q54" s="61">
        <f>('TUSD BE'!$Q$54+'TUSD BF'!$Q$54+'TUSD CVA'!$Q$54)*1</f>
        <v>59.85563906927225</v>
      </c>
      <c r="R54" s="61">
        <f>('TUSD BE'!$R$54+'TUSD BF'!$R$54+'TUSD CVA'!$R$54)*1</f>
        <v>10.12032487652359</v>
      </c>
      <c r="S54" s="61">
        <f>('TUSD BE'!$S$54+'TUSD BF'!$S$54+'TUSD CVA'!$S$54)*1</f>
        <v>0</v>
      </c>
      <c r="T54" s="61">
        <f>('TUSD BE'!$U$54+'TUSD BF'!$U$54+'TUSD CVA'!$U$54)*1</f>
        <v>0</v>
      </c>
      <c r="U54" s="61">
        <f>('TUSD BE'!$V$54+'TUSD BF'!$V$54+'TUSD CVA'!$V$54)*1</f>
        <v>0</v>
      </c>
      <c r="V54" s="61">
        <f>('TUSD BE'!$W$54+'TUSD BF'!$W$54+'TUSD CVA'!$W$54)*1</f>
        <v>0</v>
      </c>
      <c r="W54" s="61">
        <f>('TUSD BE'!$X$54+'TUSD BF'!$X$54+'TUSD CVA'!$X$54)*1</f>
        <v>0</v>
      </c>
      <c r="X54" s="61">
        <f>('TUSD BE'!$Y$54+'TUSD BF'!$Y$54+'TUSD CVA'!$Y$54)*1</f>
        <v>76.377920830035379</v>
      </c>
      <c r="Y54" s="61">
        <f>('TUSD BE'!$Z$54+'TUSD BF'!$Z$54+'TUSD CVA'!$Z$54)*1</f>
        <v>0</v>
      </c>
      <c r="Z54" s="61">
        <f>('TUSD BE'!$AA$54+'TUSD BF'!$AA$54+'TUSD CVA'!$AA$54)*1</f>
        <v>0</v>
      </c>
      <c r="AA54" s="61">
        <f>('TUSD BE'!$AC$54+'TUSD BF'!$AC$54+'TUSD CVA'!$AC$54)*1</f>
        <v>139.41398172369088</v>
      </c>
      <c r="AB54" s="61">
        <f ca="1">('TUSD BE'!$AE$54+'TUSD BF'!$AE$54+'TUSD CVA'!$AE$54)*1</f>
        <v>-36.927534535658729</v>
      </c>
      <c r="AC54" s="61">
        <f ca="1">('TUSD BE'!$AF$54+'TUSD BF'!$AF$54+'TUSD CVA'!$AF$54)*1</f>
        <v>0</v>
      </c>
      <c r="AD54" s="61">
        <f>('TUSD BE'!$AH$54+'TUSD BF'!$AH$54+'TUSD CVA'!$AH$54)*1</f>
        <v>12.840908007330791</v>
      </c>
      <c r="AE54" s="61">
        <f>('TUSD BE'!$AI$54+'TUSD BF'!$AI$54+'TUSD CVA'!$AI$54)*1</f>
        <v>0.13132673054782229</v>
      </c>
      <c r="AF54" s="61">
        <f ca="1">('TUSD BE'!$AJ$54+'TUSD BF'!$AJ$54+'TUSD CVA'!$AJ$54)*1</f>
        <v>0.48271768569778417</v>
      </c>
      <c r="AG54" s="61">
        <f ca="1">('TUSD BE'!$AK$54+'TUSD BF'!$AK$54+'TUSD CVA'!$AK$54)*1</f>
        <v>0.20157570841392264</v>
      </c>
      <c r="AI54" s="61">
        <v>2.0454505753943399</v>
      </c>
      <c r="AJ54" s="61">
        <v>0.65951376516649296</v>
      </c>
      <c r="AK54" s="61">
        <v>2.1504262331519901</v>
      </c>
      <c r="AL54" s="61">
        <v>0</v>
      </c>
      <c r="AM54" s="61">
        <v>0</v>
      </c>
      <c r="AN54" s="61">
        <v>46.547577726882302</v>
      </c>
      <c r="AO54" s="61">
        <v>6.9854564402688002</v>
      </c>
      <c r="AP54" s="61">
        <v>0</v>
      </c>
      <c r="AQ54" s="61">
        <v>0</v>
      </c>
      <c r="AR54" s="61">
        <v>0</v>
      </c>
      <c r="AS54" s="61">
        <v>0</v>
      </c>
      <c r="AT54" s="61">
        <v>0</v>
      </c>
      <c r="AU54" s="61">
        <v>85.835363191836294</v>
      </c>
      <c r="AV54" s="61">
        <v>0</v>
      </c>
      <c r="AW54" s="61">
        <v>0</v>
      </c>
      <c r="AX54" s="61">
        <v>105.020639804684</v>
      </c>
      <c r="AY54" s="61">
        <v>-21.368969679889101</v>
      </c>
      <c r="AZ54" s="61">
        <v>0</v>
      </c>
      <c r="BA54" s="61">
        <v>15.028276702765799</v>
      </c>
      <c r="BB54" s="61">
        <v>0.112884317398234</v>
      </c>
      <c r="BC54" s="61">
        <v>0.69435143173168701</v>
      </c>
      <c r="BD54" s="61">
        <v>0.202433334858141</v>
      </c>
    </row>
    <row r="56" spans="1:56" ht="11.25" customHeight="1" x14ac:dyDescent="0.3">
      <c r="L56" s="133" t="s">
        <v>883</v>
      </c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  <c r="AA56" s="133"/>
      <c r="AB56" s="133"/>
      <c r="AC56" s="133"/>
      <c r="AD56" s="133"/>
      <c r="AE56" s="133"/>
      <c r="AF56" s="133"/>
      <c r="AG56" s="133"/>
      <c r="AI56" s="133" t="s">
        <v>884</v>
      </c>
      <c r="AJ56" s="133"/>
      <c r="AK56" s="133"/>
      <c r="AL56" s="133"/>
      <c r="AM56" s="133"/>
      <c r="AN56" s="133"/>
      <c r="AO56" s="133"/>
      <c r="AP56" s="133"/>
      <c r="AQ56" s="133"/>
      <c r="AR56" s="133"/>
      <c r="AS56" s="133"/>
      <c r="AT56" s="133"/>
      <c r="AU56" s="133"/>
      <c r="AV56" s="133"/>
      <c r="AW56" s="133"/>
      <c r="AX56" s="133"/>
      <c r="AY56" s="133"/>
      <c r="AZ56" s="133"/>
      <c r="BA56" s="133"/>
      <c r="BB56" s="133"/>
      <c r="BC56" s="133"/>
      <c r="BD56" s="133"/>
    </row>
    <row r="57" spans="1:56" ht="11.25" customHeight="1" x14ac:dyDescent="0.3">
      <c r="L57" s="133" t="s">
        <v>610</v>
      </c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  <c r="AA57" s="133"/>
      <c r="AB57" s="133"/>
      <c r="AC57" s="133"/>
      <c r="AD57" s="133"/>
      <c r="AE57" s="133"/>
      <c r="AF57" s="133"/>
      <c r="AG57" s="133"/>
      <c r="AI57" s="133" t="s">
        <v>610</v>
      </c>
      <c r="AJ57" s="133"/>
      <c r="AK57" s="133"/>
      <c r="AL57" s="133"/>
      <c r="AM57" s="133"/>
      <c r="AN57" s="133"/>
      <c r="AO57" s="133"/>
      <c r="AP57" s="133"/>
      <c r="AQ57" s="133"/>
      <c r="AR57" s="133"/>
      <c r="AS57" s="133"/>
      <c r="AT57" s="133"/>
      <c r="AU57" s="133"/>
      <c r="AV57" s="133"/>
      <c r="AW57" s="133"/>
      <c r="AX57" s="133"/>
      <c r="AY57" s="133"/>
      <c r="AZ57" s="133"/>
      <c r="BA57" s="133"/>
      <c r="BB57" s="133"/>
      <c r="BC57" s="133"/>
      <c r="BD57" s="133"/>
    </row>
    <row r="58" spans="1:56" ht="11.25" customHeight="1" x14ac:dyDescent="0.3">
      <c r="L58" s="133" t="s">
        <v>611</v>
      </c>
      <c r="M58" s="133"/>
      <c r="N58" s="133"/>
      <c r="O58" s="133"/>
      <c r="P58" s="133"/>
      <c r="Q58" s="133"/>
      <c r="R58" s="133"/>
      <c r="S58" s="133"/>
      <c r="T58" s="133" t="s">
        <v>620</v>
      </c>
      <c r="U58" s="133"/>
      <c r="V58" s="133"/>
      <c r="W58" s="133"/>
      <c r="X58" s="133"/>
      <c r="Y58" s="133"/>
      <c r="Z58" s="133"/>
      <c r="AA58" s="57" t="s">
        <v>628</v>
      </c>
      <c r="AB58" s="133" t="s">
        <v>630</v>
      </c>
      <c r="AC58" s="133"/>
      <c r="AD58" s="133" t="s">
        <v>633</v>
      </c>
      <c r="AE58" s="133"/>
      <c r="AF58" s="133"/>
      <c r="AG58" s="133"/>
      <c r="AI58" s="133" t="s">
        <v>611</v>
      </c>
      <c r="AJ58" s="133"/>
      <c r="AK58" s="133"/>
      <c r="AL58" s="133"/>
      <c r="AM58" s="133"/>
      <c r="AN58" s="133"/>
      <c r="AO58" s="133"/>
      <c r="AP58" s="133"/>
      <c r="AQ58" s="133" t="s">
        <v>620</v>
      </c>
      <c r="AR58" s="133"/>
      <c r="AS58" s="133"/>
      <c r="AT58" s="133"/>
      <c r="AU58" s="133"/>
      <c r="AV58" s="133"/>
      <c r="AW58" s="133"/>
      <c r="AX58" s="57" t="s">
        <v>628</v>
      </c>
      <c r="AY58" s="133" t="s">
        <v>630</v>
      </c>
      <c r="AZ58" s="133"/>
      <c r="BA58" s="133" t="s">
        <v>633</v>
      </c>
      <c r="BB58" s="133"/>
      <c r="BC58" s="133"/>
      <c r="BD58" s="133"/>
    </row>
    <row r="59" spans="1:56" ht="11.25" customHeight="1" x14ac:dyDescent="0.3">
      <c r="L59" s="57" t="s">
        <v>696</v>
      </c>
      <c r="M59" s="57" t="s">
        <v>612</v>
      </c>
      <c r="N59" s="57" t="s">
        <v>613</v>
      </c>
      <c r="O59" s="57" t="s">
        <v>614</v>
      </c>
      <c r="P59" s="57" t="s">
        <v>615</v>
      </c>
      <c r="Q59" s="57" t="s">
        <v>616</v>
      </c>
      <c r="R59" s="57" t="s">
        <v>617</v>
      </c>
      <c r="S59" s="57" t="s">
        <v>618</v>
      </c>
      <c r="T59" s="57" t="s">
        <v>621</v>
      </c>
      <c r="U59" s="57" t="s">
        <v>622</v>
      </c>
      <c r="V59" s="57" t="s">
        <v>623</v>
      </c>
      <c r="W59" s="57" t="s">
        <v>624</v>
      </c>
      <c r="X59" s="57" t="s">
        <v>625</v>
      </c>
      <c r="Y59" s="57" t="s">
        <v>626</v>
      </c>
      <c r="Z59" s="57" t="s">
        <v>627</v>
      </c>
      <c r="AA59" s="57" t="s">
        <v>629</v>
      </c>
      <c r="AB59" s="57" t="s">
        <v>631</v>
      </c>
      <c r="AC59" s="57" t="s">
        <v>632</v>
      </c>
      <c r="AD59" s="57" t="s">
        <v>634</v>
      </c>
      <c r="AE59" s="57" t="s">
        <v>635</v>
      </c>
      <c r="AF59" s="57" t="s">
        <v>636</v>
      </c>
      <c r="AG59" s="57" t="s">
        <v>637</v>
      </c>
      <c r="AI59" s="57" t="s">
        <v>696</v>
      </c>
      <c r="AJ59" s="57" t="s">
        <v>612</v>
      </c>
      <c r="AK59" s="57" t="s">
        <v>613</v>
      </c>
      <c r="AL59" s="57" t="s">
        <v>614</v>
      </c>
      <c r="AM59" s="57" t="s">
        <v>615</v>
      </c>
      <c r="AN59" s="57" t="s">
        <v>616</v>
      </c>
      <c r="AO59" s="57" t="s">
        <v>617</v>
      </c>
      <c r="AP59" s="57" t="s">
        <v>618</v>
      </c>
      <c r="AQ59" s="57" t="s">
        <v>621</v>
      </c>
      <c r="AR59" s="57" t="s">
        <v>622</v>
      </c>
      <c r="AS59" s="57" t="s">
        <v>623</v>
      </c>
      <c r="AT59" s="57" t="s">
        <v>624</v>
      </c>
      <c r="AU59" s="57" t="s">
        <v>625</v>
      </c>
      <c r="AV59" s="57" t="s">
        <v>626</v>
      </c>
      <c r="AW59" s="57" t="s">
        <v>627</v>
      </c>
      <c r="AX59" s="57" t="s">
        <v>629</v>
      </c>
      <c r="AY59" s="57" t="s">
        <v>631</v>
      </c>
      <c r="AZ59" s="57" t="s">
        <v>632</v>
      </c>
      <c r="BA59" s="57" t="s">
        <v>634</v>
      </c>
      <c r="BB59" s="57" t="s">
        <v>635</v>
      </c>
      <c r="BC59" s="57" t="s">
        <v>636</v>
      </c>
      <c r="BD59" s="57" t="s">
        <v>637</v>
      </c>
    </row>
    <row r="60" spans="1:56" ht="11.25" customHeight="1" x14ac:dyDescent="0.3">
      <c r="A60" s="9" t="s">
        <v>39</v>
      </c>
      <c r="B60" s="9" t="s">
        <v>885</v>
      </c>
      <c r="C60" s="9" t="s">
        <v>886</v>
      </c>
      <c r="D60" s="9" t="s">
        <v>887</v>
      </c>
      <c r="E60" s="9" t="s">
        <v>888</v>
      </c>
      <c r="F60" s="9" t="s">
        <v>889</v>
      </c>
      <c r="G60" s="9" t="s">
        <v>890</v>
      </c>
      <c r="L60" s="61">
        <f>$I$5*$L$5</f>
        <v>0</v>
      </c>
      <c r="M60" s="61">
        <f>$I$5*$M$5</f>
        <v>0</v>
      </c>
      <c r="N60" s="61">
        <f ca="1">$I$5*$N$5</f>
        <v>0</v>
      </c>
      <c r="O60" s="61">
        <f>$I$5*$O$5</f>
        <v>0</v>
      </c>
      <c r="P60" s="61">
        <f>$I$5*$P$5</f>
        <v>0</v>
      </c>
      <c r="Q60" s="61">
        <f>$I$5*$Q$5</f>
        <v>0</v>
      </c>
      <c r="R60" s="61">
        <f>$I$5*$R$5</f>
        <v>0</v>
      </c>
      <c r="S60" s="61">
        <f>$I$5*$S$5</f>
        <v>0</v>
      </c>
      <c r="T60" s="61">
        <f>$I$5*$T$5</f>
        <v>0</v>
      </c>
      <c r="U60" s="61">
        <f>$I$5*$U$5</f>
        <v>0</v>
      </c>
      <c r="V60" s="61">
        <f>$I$5*$V$5</f>
        <v>0</v>
      </c>
      <c r="W60" s="61">
        <f>$I$5*$W$5</f>
        <v>0</v>
      </c>
      <c r="X60" s="61">
        <f>$I$5*$X$5</f>
        <v>0</v>
      </c>
      <c r="Y60" s="61">
        <f>$I$5*$Y$5</f>
        <v>0</v>
      </c>
      <c r="Z60" s="61">
        <f>$I$5*$Z$5</f>
        <v>0</v>
      </c>
      <c r="AA60" s="61">
        <f>$I$5*$AA$5</f>
        <v>0</v>
      </c>
      <c r="AB60" s="61">
        <f ca="1">$I$5*$AB$5</f>
        <v>0</v>
      </c>
      <c r="AC60" s="61">
        <f ca="1">$I$5*$AC$5</f>
        <v>0</v>
      </c>
      <c r="AD60" s="61">
        <f>$I$5*$AD$5</f>
        <v>0</v>
      </c>
      <c r="AE60" s="61">
        <f>$I$5*$AE$5</f>
        <v>0</v>
      </c>
      <c r="AF60" s="61">
        <f ca="1">$I$5*$AF$5</f>
        <v>0</v>
      </c>
      <c r="AG60" s="61">
        <f ca="1">$I$5*$AG$5</f>
        <v>0</v>
      </c>
      <c r="AI60" s="61">
        <f>$I$5*$AI$5</f>
        <v>0</v>
      </c>
      <c r="AJ60" s="61">
        <f>$I$5*$AJ$5</f>
        <v>0</v>
      </c>
      <c r="AK60" s="61">
        <f>$I$5*$AK$5</f>
        <v>0</v>
      </c>
      <c r="AL60" s="61">
        <f>$I$5*$AL$5</f>
        <v>0</v>
      </c>
      <c r="AM60" s="61">
        <f>$I$5*$AM$5</f>
        <v>0</v>
      </c>
      <c r="AN60" s="61">
        <f>$I$5*$AN$5</f>
        <v>0</v>
      </c>
      <c r="AO60" s="61">
        <f>$I$5*$AO$5</f>
        <v>0</v>
      </c>
      <c r="AP60" s="61">
        <f>$I$5*$AP$5</f>
        <v>0</v>
      </c>
      <c r="AQ60" s="61">
        <f>$I$5*$AQ$5</f>
        <v>0</v>
      </c>
      <c r="AR60" s="61">
        <f>$I$5*$AR$5</f>
        <v>0</v>
      </c>
      <c r="AS60" s="61">
        <f>$I$5*$AS$5</f>
        <v>0</v>
      </c>
      <c r="AT60" s="61">
        <f>$I$5*$AT$5</f>
        <v>0</v>
      </c>
      <c r="AU60" s="61">
        <f>$I$5*$AU$5</f>
        <v>0</v>
      </c>
      <c r="AV60" s="61">
        <f>$I$5*$AV$5</f>
        <v>0</v>
      </c>
      <c r="AW60" s="61">
        <f>$I$5*$AW$5</f>
        <v>0</v>
      </c>
      <c r="AX60" s="61">
        <f>$I$5*$AX$5</f>
        <v>0</v>
      </c>
      <c r="AY60" s="61">
        <f>$I$5*$AY$5</f>
        <v>0</v>
      </c>
      <c r="AZ60" s="61">
        <f>$I$5*$AZ$5</f>
        <v>0</v>
      </c>
      <c r="BA60" s="61">
        <f>$I$5*$BA$5</f>
        <v>0</v>
      </c>
      <c r="BB60" s="61">
        <f>$I$5*$BB$5</f>
        <v>0</v>
      </c>
      <c r="BC60" s="61">
        <f>$I$5*$BC$5</f>
        <v>0</v>
      </c>
      <c r="BD60" s="61">
        <f>$I$5*$BD$5</f>
        <v>0</v>
      </c>
    </row>
    <row r="61" spans="1:56" ht="11.25" customHeight="1" x14ac:dyDescent="0.3">
      <c r="A61" s="9" t="s">
        <v>39</v>
      </c>
      <c r="B61" s="9" t="s">
        <v>885</v>
      </c>
      <c r="C61" s="9" t="s">
        <v>886</v>
      </c>
      <c r="D61" s="9" t="s">
        <v>887</v>
      </c>
      <c r="E61" s="9" t="s">
        <v>888</v>
      </c>
      <c r="F61" s="9" t="s">
        <v>889</v>
      </c>
      <c r="G61" s="9" t="s">
        <v>891</v>
      </c>
      <c r="L61" s="61">
        <f>$I$6*$L$6</f>
        <v>0</v>
      </c>
      <c r="M61" s="61">
        <f>$I$6*$M$6</f>
        <v>0</v>
      </c>
      <c r="N61" s="61">
        <f ca="1">$I$6*$N$6</f>
        <v>0</v>
      </c>
      <c r="O61" s="61">
        <f>$I$6*$O$6</f>
        <v>0</v>
      </c>
      <c r="P61" s="61">
        <f>$I$6*$P$6</f>
        <v>0</v>
      </c>
      <c r="Q61" s="61">
        <f>$I$6*$Q$6</f>
        <v>0</v>
      </c>
      <c r="R61" s="61">
        <f>$I$6*$R$6</f>
        <v>0</v>
      </c>
      <c r="S61" s="61">
        <f>$I$6*$S$6</f>
        <v>0</v>
      </c>
      <c r="T61" s="61">
        <f>$I$6*$T$6</f>
        <v>0</v>
      </c>
      <c r="U61" s="61">
        <f>$I$6*$U$6</f>
        <v>0</v>
      </c>
      <c r="V61" s="61">
        <f>$I$6*$V$6</f>
        <v>0</v>
      </c>
      <c r="W61" s="61">
        <f>$I$6*$W$6</f>
        <v>0</v>
      </c>
      <c r="X61" s="61">
        <f>$I$6*$X$6</f>
        <v>0</v>
      </c>
      <c r="Y61" s="61">
        <f>$I$6*$Y$6</f>
        <v>0</v>
      </c>
      <c r="Z61" s="61">
        <f>$I$6*$Z$6</f>
        <v>0</v>
      </c>
      <c r="AA61" s="61">
        <f>$I$6*$AA$6</f>
        <v>0</v>
      </c>
      <c r="AB61" s="61">
        <f ca="1">$I$6*$AB$6</f>
        <v>0</v>
      </c>
      <c r="AC61" s="61">
        <f ca="1">$I$6*$AC$6</f>
        <v>0</v>
      </c>
      <c r="AD61" s="61">
        <f>$I$6*$AD$6</f>
        <v>0</v>
      </c>
      <c r="AE61" s="61">
        <f>$I$6*$AE$6</f>
        <v>0</v>
      </c>
      <c r="AF61" s="61">
        <f ca="1">$I$6*$AF$6</f>
        <v>0</v>
      </c>
      <c r="AG61" s="61">
        <f ca="1">$I$6*$AG$6</f>
        <v>0</v>
      </c>
      <c r="AI61" s="61">
        <f>$I$6*$AI$6</f>
        <v>0</v>
      </c>
      <c r="AJ61" s="61">
        <f>$I$6*$AJ$6</f>
        <v>0</v>
      </c>
      <c r="AK61" s="61">
        <f>$I$6*$AK$6</f>
        <v>0</v>
      </c>
      <c r="AL61" s="61">
        <f>$I$6*$AL$6</f>
        <v>0</v>
      </c>
      <c r="AM61" s="61">
        <f>$I$6*$AM$6</f>
        <v>0</v>
      </c>
      <c r="AN61" s="61">
        <f>$I$6*$AN$6</f>
        <v>0</v>
      </c>
      <c r="AO61" s="61">
        <f>$I$6*$AO$6</f>
        <v>0</v>
      </c>
      <c r="AP61" s="61">
        <f>$I$6*$AP$6</f>
        <v>0</v>
      </c>
      <c r="AQ61" s="61">
        <f>$I$6*$AQ$6</f>
        <v>0</v>
      </c>
      <c r="AR61" s="61">
        <f>$I$6*$AR$6</f>
        <v>0</v>
      </c>
      <c r="AS61" s="61">
        <f>$I$6*$AS$6</f>
        <v>0</v>
      </c>
      <c r="AT61" s="61">
        <f>$I$6*$AT$6</f>
        <v>0</v>
      </c>
      <c r="AU61" s="61">
        <f>$I$6*$AU$6</f>
        <v>0</v>
      </c>
      <c r="AV61" s="61">
        <f>$I$6*$AV$6</f>
        <v>0</v>
      </c>
      <c r="AW61" s="61">
        <f>$I$6*$AW$6</f>
        <v>0</v>
      </c>
      <c r="AX61" s="61">
        <f>$I$6*$AX$6</f>
        <v>0</v>
      </c>
      <c r="AY61" s="61">
        <f>$I$6*$AY$6</f>
        <v>0</v>
      </c>
      <c r="AZ61" s="61">
        <f>$I$6*$AZ$6</f>
        <v>0</v>
      </c>
      <c r="BA61" s="61">
        <f>$I$6*$BA$6</f>
        <v>0</v>
      </c>
      <c r="BB61" s="61">
        <f>$I$6*$BB$6</f>
        <v>0</v>
      </c>
      <c r="BC61" s="61">
        <f>$I$6*$BC$6</f>
        <v>0</v>
      </c>
      <c r="BD61" s="61">
        <f>$I$6*$BD$6</f>
        <v>0</v>
      </c>
    </row>
    <row r="62" spans="1:56" ht="11.25" customHeight="1" x14ac:dyDescent="0.3">
      <c r="A62" s="9" t="s">
        <v>39</v>
      </c>
      <c r="B62" s="9" t="s">
        <v>885</v>
      </c>
      <c r="C62" s="9" t="s">
        <v>886</v>
      </c>
      <c r="D62" s="9" t="s">
        <v>887</v>
      </c>
      <c r="E62" s="9" t="s">
        <v>888</v>
      </c>
      <c r="F62" s="9" t="s">
        <v>889</v>
      </c>
      <c r="G62" s="9" t="s">
        <v>892</v>
      </c>
      <c r="L62" s="61">
        <f>$I$7*$L$7</f>
        <v>0</v>
      </c>
      <c r="M62" s="61">
        <f>$I$7*$M$7</f>
        <v>0</v>
      </c>
      <c r="N62" s="61">
        <f ca="1">$I$7*$N$7</f>
        <v>0</v>
      </c>
      <c r="O62" s="61">
        <f>$I$7*$O$7</f>
        <v>0</v>
      </c>
      <c r="P62" s="61">
        <f>$I$7*$P$7</f>
        <v>0</v>
      </c>
      <c r="Q62" s="61">
        <f>$I$7*$Q$7</f>
        <v>0</v>
      </c>
      <c r="R62" s="61">
        <f>$I$7*$R$7</f>
        <v>0</v>
      </c>
      <c r="S62" s="61">
        <f>$I$7*$S$7</f>
        <v>0</v>
      </c>
      <c r="T62" s="61">
        <f>$I$7*$T$7</f>
        <v>0</v>
      </c>
      <c r="U62" s="61">
        <f>$I$7*$U$7</f>
        <v>0</v>
      </c>
      <c r="V62" s="61">
        <f>$I$7*$V$7</f>
        <v>0</v>
      </c>
      <c r="W62" s="61">
        <f>$I$7*$W$7</f>
        <v>0</v>
      </c>
      <c r="X62" s="61">
        <f>$I$7*$X$7</f>
        <v>0</v>
      </c>
      <c r="Y62" s="61">
        <f>$I$7*$Y$7</f>
        <v>0</v>
      </c>
      <c r="Z62" s="61">
        <f>$I$7*$Z$7</f>
        <v>0</v>
      </c>
      <c r="AA62" s="61">
        <f>$I$7*$AA$7</f>
        <v>0</v>
      </c>
      <c r="AB62" s="61">
        <f ca="1">$I$7*$AB$7</f>
        <v>0</v>
      </c>
      <c r="AC62" s="61">
        <f ca="1">$I$7*$AC$7</f>
        <v>0</v>
      </c>
      <c r="AD62" s="61">
        <f>$I$7*$AD$7</f>
        <v>0</v>
      </c>
      <c r="AE62" s="61">
        <f>$I$7*$AE$7</f>
        <v>0</v>
      </c>
      <c r="AF62" s="61">
        <f ca="1">$I$7*$AF$7</f>
        <v>0</v>
      </c>
      <c r="AG62" s="61">
        <f ca="1">$I$7*$AG$7</f>
        <v>0</v>
      </c>
      <c r="AI62" s="61">
        <f>$I$7*$AI$7</f>
        <v>0</v>
      </c>
      <c r="AJ62" s="61">
        <f>$I$7*$AJ$7</f>
        <v>0</v>
      </c>
      <c r="AK62" s="61">
        <f>$I$7*$AK$7</f>
        <v>0</v>
      </c>
      <c r="AL62" s="61">
        <f>$I$7*$AL$7</f>
        <v>0</v>
      </c>
      <c r="AM62" s="61">
        <f>$I$7*$AM$7</f>
        <v>0</v>
      </c>
      <c r="AN62" s="61">
        <f>$I$7*$AN$7</f>
        <v>0</v>
      </c>
      <c r="AO62" s="61">
        <f>$I$7*$AO$7</f>
        <v>0</v>
      </c>
      <c r="AP62" s="61">
        <f>$I$7*$AP$7</f>
        <v>0</v>
      </c>
      <c r="AQ62" s="61">
        <f>$I$7*$AQ$7</f>
        <v>0</v>
      </c>
      <c r="AR62" s="61">
        <f>$I$7*$AR$7</f>
        <v>0</v>
      </c>
      <c r="AS62" s="61">
        <f>$I$7*$AS$7</f>
        <v>0</v>
      </c>
      <c r="AT62" s="61">
        <f>$I$7*$AT$7</f>
        <v>0</v>
      </c>
      <c r="AU62" s="61">
        <f>$I$7*$AU$7</f>
        <v>0</v>
      </c>
      <c r="AV62" s="61">
        <f>$I$7*$AV$7</f>
        <v>0</v>
      </c>
      <c r="AW62" s="61">
        <f>$I$7*$AW$7</f>
        <v>0</v>
      </c>
      <c r="AX62" s="61">
        <f>$I$7*$AX$7</f>
        <v>0</v>
      </c>
      <c r="AY62" s="61">
        <f>$I$7*$AY$7</f>
        <v>0</v>
      </c>
      <c r="AZ62" s="61">
        <f>$I$7*$AZ$7</f>
        <v>0</v>
      </c>
      <c r="BA62" s="61">
        <f>$I$7*$BA$7</f>
        <v>0</v>
      </c>
      <c r="BB62" s="61">
        <f>$I$7*$BB$7</f>
        <v>0</v>
      </c>
      <c r="BC62" s="61">
        <f>$I$7*$BC$7</f>
        <v>0</v>
      </c>
      <c r="BD62" s="61">
        <f>$I$7*$BD$7</f>
        <v>0</v>
      </c>
    </row>
    <row r="63" spans="1:56" ht="11.25" customHeight="1" x14ac:dyDescent="0.3">
      <c r="A63" s="9" t="s">
        <v>39</v>
      </c>
      <c r="B63" s="9" t="s">
        <v>885</v>
      </c>
      <c r="C63" s="9" t="s">
        <v>886</v>
      </c>
      <c r="D63" s="9" t="s">
        <v>887</v>
      </c>
      <c r="E63" s="9" t="s">
        <v>893</v>
      </c>
      <c r="F63" s="9" t="s">
        <v>894</v>
      </c>
      <c r="G63" s="9" t="s">
        <v>895</v>
      </c>
      <c r="L63" s="61">
        <f>$I$8*$L$8</f>
        <v>0</v>
      </c>
      <c r="M63" s="61">
        <f>$I$8*$M$8</f>
        <v>0</v>
      </c>
      <c r="N63" s="61">
        <f ca="1">$I$8*$N$8</f>
        <v>0</v>
      </c>
      <c r="O63" s="61">
        <f>$I$8*$O$8</f>
        <v>0</v>
      </c>
      <c r="P63" s="61">
        <f>$I$8*$P$8</f>
        <v>0</v>
      </c>
      <c r="Q63" s="61">
        <f>$I$8*$Q$8</f>
        <v>0</v>
      </c>
      <c r="R63" s="61">
        <f>$I$8*$R$8</f>
        <v>0</v>
      </c>
      <c r="S63" s="61">
        <f>$I$8*$S$8</f>
        <v>0</v>
      </c>
      <c r="T63" s="61">
        <f>$I$8*$T$8</f>
        <v>0</v>
      </c>
      <c r="U63" s="61">
        <f>$I$8*$U$8</f>
        <v>0</v>
      </c>
      <c r="V63" s="61">
        <f>$I$8*$V$8</f>
        <v>0</v>
      </c>
      <c r="W63" s="61">
        <f>$I$8*$W$8</f>
        <v>0</v>
      </c>
      <c r="X63" s="61">
        <f>$I$8*$X$8</f>
        <v>0</v>
      </c>
      <c r="Y63" s="61">
        <f>$I$8*$Y$8</f>
        <v>0</v>
      </c>
      <c r="Z63" s="61">
        <f>$I$8*$Z$8</f>
        <v>0</v>
      </c>
      <c r="AA63" s="61">
        <f>$I$8*$AA$8</f>
        <v>0</v>
      </c>
      <c r="AB63" s="61">
        <f ca="1">$I$8*$AB$8</f>
        <v>0</v>
      </c>
      <c r="AC63" s="61">
        <f ca="1">$I$8*$AC$8</f>
        <v>0</v>
      </c>
      <c r="AD63" s="61">
        <f>$I$8*$AD$8</f>
        <v>0</v>
      </c>
      <c r="AE63" s="61">
        <f>$I$8*$AE$8</f>
        <v>0</v>
      </c>
      <c r="AF63" s="61">
        <f ca="1">$I$8*$AF$8</f>
        <v>0</v>
      </c>
      <c r="AG63" s="61">
        <f ca="1">$I$8*$AG$8</f>
        <v>0</v>
      </c>
      <c r="AI63" s="61">
        <f>$I$8*$AI$8</f>
        <v>0</v>
      </c>
      <c r="AJ63" s="61">
        <f>$I$8*$AJ$8</f>
        <v>0</v>
      </c>
      <c r="AK63" s="61">
        <f>$I$8*$AK$8</f>
        <v>0</v>
      </c>
      <c r="AL63" s="61">
        <f>$I$8*$AL$8</f>
        <v>0</v>
      </c>
      <c r="AM63" s="61">
        <f>$I$8*$AM$8</f>
        <v>0</v>
      </c>
      <c r="AN63" s="61">
        <f>$I$8*$AN$8</f>
        <v>0</v>
      </c>
      <c r="AO63" s="61">
        <f>$I$8*$AO$8</f>
        <v>0</v>
      </c>
      <c r="AP63" s="61">
        <f>$I$8*$AP$8</f>
        <v>0</v>
      </c>
      <c r="AQ63" s="61">
        <f>$I$8*$AQ$8</f>
        <v>0</v>
      </c>
      <c r="AR63" s="61">
        <f>$I$8*$AR$8</f>
        <v>0</v>
      </c>
      <c r="AS63" s="61">
        <f>$I$8*$AS$8</f>
        <v>0</v>
      </c>
      <c r="AT63" s="61">
        <f>$I$8*$AT$8</f>
        <v>0</v>
      </c>
      <c r="AU63" s="61">
        <f>$I$8*$AU$8</f>
        <v>0</v>
      </c>
      <c r="AV63" s="61">
        <f>$I$8*$AV$8</f>
        <v>0</v>
      </c>
      <c r="AW63" s="61">
        <f>$I$8*$AW$8</f>
        <v>0</v>
      </c>
      <c r="AX63" s="61">
        <f>$I$8*$AX$8</f>
        <v>0</v>
      </c>
      <c r="AY63" s="61">
        <f>$I$8*$AY$8</f>
        <v>0</v>
      </c>
      <c r="AZ63" s="61">
        <f>$I$8*$AZ$8</f>
        <v>0</v>
      </c>
      <c r="BA63" s="61">
        <f>$I$8*$BA$8</f>
        <v>0</v>
      </c>
      <c r="BB63" s="61">
        <f>$I$8*$BB$8</f>
        <v>0</v>
      </c>
      <c r="BC63" s="61">
        <f>$I$8*$BC$8</f>
        <v>0</v>
      </c>
      <c r="BD63" s="61">
        <f>$I$8*$BD$8</f>
        <v>0</v>
      </c>
    </row>
    <row r="64" spans="1:56" ht="11.25" customHeight="1" x14ac:dyDescent="0.3">
      <c r="A64" s="9" t="s">
        <v>39</v>
      </c>
      <c r="B64" s="9" t="s">
        <v>896</v>
      </c>
      <c r="C64" s="9" t="s">
        <v>897</v>
      </c>
      <c r="D64" s="9" t="s">
        <v>898</v>
      </c>
      <c r="E64" s="9" t="s">
        <v>899</v>
      </c>
      <c r="F64" s="9" t="s">
        <v>900</v>
      </c>
      <c r="G64" s="9" t="s">
        <v>901</v>
      </c>
      <c r="L64" s="61">
        <f>$I$9*$L$9</f>
        <v>0</v>
      </c>
      <c r="M64" s="61">
        <f>$I$9*$M$9</f>
        <v>0</v>
      </c>
      <c r="N64" s="61">
        <f ca="1">$I$9*$N$9</f>
        <v>0</v>
      </c>
      <c r="O64" s="61">
        <f>$I$9*$O$9</f>
        <v>0</v>
      </c>
      <c r="P64" s="61">
        <f>$I$9*$P$9</f>
        <v>0</v>
      </c>
      <c r="Q64" s="61">
        <f>$I$9*$Q$9</f>
        <v>0</v>
      </c>
      <c r="R64" s="61">
        <f>$I$9*$R$9</f>
        <v>0</v>
      </c>
      <c r="S64" s="61">
        <f>$I$9*$S$9</f>
        <v>0</v>
      </c>
      <c r="T64" s="61">
        <f>$I$9*$T$9</f>
        <v>0</v>
      </c>
      <c r="U64" s="61">
        <f>$I$9*$U$9</f>
        <v>0</v>
      </c>
      <c r="V64" s="61">
        <f>$I$9*$V$9</f>
        <v>0</v>
      </c>
      <c r="W64" s="61">
        <f>$I$9*$W$9</f>
        <v>0</v>
      </c>
      <c r="X64" s="61">
        <f>$I$9*$X$9</f>
        <v>549140.73664734908</v>
      </c>
      <c r="Y64" s="61">
        <f>$I$9*$Y$9</f>
        <v>0</v>
      </c>
      <c r="Z64" s="61">
        <f>$I$9*$Z$9</f>
        <v>0</v>
      </c>
      <c r="AA64" s="61">
        <f>$I$9*$AA$9</f>
        <v>149138.44435358763</v>
      </c>
      <c r="AB64" s="61">
        <f>$I$9*$AB$9</f>
        <v>0</v>
      </c>
      <c r="AC64" s="61">
        <f ca="1">$I$9*$AC$9</f>
        <v>0</v>
      </c>
      <c r="AD64" s="61">
        <f>$I$9*$AD$9</f>
        <v>0</v>
      </c>
      <c r="AE64" s="61">
        <f>$I$9*$AE$9</f>
        <v>0</v>
      </c>
      <c r="AF64" s="61">
        <f ca="1">$I$9*$AF$9</f>
        <v>0</v>
      </c>
      <c r="AG64" s="61">
        <f ca="1">$I$9*$AG$9</f>
        <v>0</v>
      </c>
      <c r="AI64" s="61">
        <f>$I$9*$AI$9</f>
        <v>0</v>
      </c>
      <c r="AJ64" s="61">
        <f>$I$9*$AJ$9</f>
        <v>0</v>
      </c>
      <c r="AK64" s="61">
        <f>$I$9*$AK$9</f>
        <v>0</v>
      </c>
      <c r="AL64" s="61">
        <f>$I$9*$AL$9</f>
        <v>0</v>
      </c>
      <c r="AM64" s="61">
        <f>$I$9*$AM$9</f>
        <v>0</v>
      </c>
      <c r="AN64" s="61">
        <f>$I$9*$AN$9</f>
        <v>0</v>
      </c>
      <c r="AO64" s="61">
        <f>$I$9*$AO$9</f>
        <v>0</v>
      </c>
      <c r="AP64" s="61">
        <f>$I$9*$AP$9</f>
        <v>0</v>
      </c>
      <c r="AQ64" s="61">
        <f>$I$9*$AQ$9</f>
        <v>0</v>
      </c>
      <c r="AR64" s="61">
        <f>$I$9*$AR$9</f>
        <v>0</v>
      </c>
      <c r="AS64" s="61">
        <f>$I$9*$AS$9</f>
        <v>0</v>
      </c>
      <c r="AT64" s="61">
        <f>$I$9*$AT$9</f>
        <v>0</v>
      </c>
      <c r="AU64" s="61">
        <f>$I$9*$AU$9</f>
        <v>384172.98028482747</v>
      </c>
      <c r="AV64" s="61">
        <f>$I$9*$AV$9</f>
        <v>0</v>
      </c>
      <c r="AW64" s="61">
        <f>$I$9*$AW$9</f>
        <v>0</v>
      </c>
      <c r="AX64" s="61">
        <f>$I$9*$AX$9</f>
        <v>0</v>
      </c>
      <c r="AY64" s="61">
        <f>$I$9*$AY$9</f>
        <v>0</v>
      </c>
      <c r="AZ64" s="61">
        <f>$I$9*$AZ$9</f>
        <v>0</v>
      </c>
      <c r="BA64" s="61">
        <f>$I$9*$BA$9</f>
        <v>0</v>
      </c>
      <c r="BB64" s="61">
        <f>$I$9*$BB$9</f>
        <v>0</v>
      </c>
      <c r="BC64" s="61">
        <f>$I$9*$BC$9</f>
        <v>0</v>
      </c>
      <c r="BD64" s="61">
        <f>$I$9*$BD$9</f>
        <v>0</v>
      </c>
    </row>
    <row r="65" spans="1:56" ht="11.25" customHeight="1" x14ac:dyDescent="0.3">
      <c r="A65" s="9" t="s">
        <v>39</v>
      </c>
      <c r="B65" s="9" t="s">
        <v>896</v>
      </c>
      <c r="C65" s="9" t="s">
        <v>897</v>
      </c>
      <c r="D65" s="9" t="s">
        <v>898</v>
      </c>
      <c r="E65" s="9" t="s">
        <v>899</v>
      </c>
      <c r="F65" s="9" t="s">
        <v>900</v>
      </c>
      <c r="G65" s="9" t="s">
        <v>902</v>
      </c>
      <c r="L65" s="61">
        <f>$I$10*$L$10</f>
        <v>0</v>
      </c>
      <c r="M65" s="61">
        <f>$I$10*$M$10</f>
        <v>0</v>
      </c>
      <c r="N65" s="61">
        <f ca="1">$I$10*$N$10</f>
        <v>0</v>
      </c>
      <c r="O65" s="61">
        <f>$I$10*$O$10</f>
        <v>0</v>
      </c>
      <c r="P65" s="61">
        <f>$I$10*$P$10</f>
        <v>0</v>
      </c>
      <c r="Q65" s="61">
        <f>$I$10*$Q$10</f>
        <v>0</v>
      </c>
      <c r="R65" s="61">
        <f>$I$10*$R$10</f>
        <v>0</v>
      </c>
      <c r="S65" s="61">
        <f>$I$10*$S$10</f>
        <v>0</v>
      </c>
      <c r="T65" s="61">
        <f>$I$10*$T$10</f>
        <v>0</v>
      </c>
      <c r="U65" s="61">
        <f>$I$10*$U$10</f>
        <v>0</v>
      </c>
      <c r="V65" s="61">
        <f>$I$10*$V$10</f>
        <v>0</v>
      </c>
      <c r="W65" s="61">
        <f>$I$10*$W$10</f>
        <v>0</v>
      </c>
      <c r="X65" s="61">
        <f>$I$10*$X$10</f>
        <v>317748.03415713087</v>
      </c>
      <c r="Y65" s="61">
        <f>$I$10*$Y$10</f>
        <v>0</v>
      </c>
      <c r="Z65" s="61">
        <f>$I$10*$Z$10</f>
        <v>0</v>
      </c>
      <c r="AA65" s="61">
        <f>$I$10*$AA$10</f>
        <v>74181.498288812902</v>
      </c>
      <c r="AB65" s="61">
        <f>$I$10*$AB$10</f>
        <v>0</v>
      </c>
      <c r="AC65" s="61">
        <f ca="1">$I$10*$AC$10</f>
        <v>0</v>
      </c>
      <c r="AD65" s="61">
        <f>$I$10*$AD$10</f>
        <v>0</v>
      </c>
      <c r="AE65" s="61">
        <f>$I$10*$AE$10</f>
        <v>0</v>
      </c>
      <c r="AF65" s="61">
        <f ca="1">$I$10*$AF$10</f>
        <v>0</v>
      </c>
      <c r="AG65" s="61">
        <f ca="1">$I$10*$AG$10</f>
        <v>0</v>
      </c>
      <c r="AI65" s="61">
        <f>$I$10*$AI$10</f>
        <v>0</v>
      </c>
      <c r="AJ65" s="61">
        <f>$I$10*$AJ$10</f>
        <v>0</v>
      </c>
      <c r="AK65" s="61">
        <f>$I$10*$AK$10</f>
        <v>0</v>
      </c>
      <c r="AL65" s="61">
        <f>$I$10*$AL$10</f>
        <v>0</v>
      </c>
      <c r="AM65" s="61">
        <f>$I$10*$AM$10</f>
        <v>0</v>
      </c>
      <c r="AN65" s="61">
        <f>$I$10*$AN$10</f>
        <v>0</v>
      </c>
      <c r="AO65" s="61">
        <f>$I$10*$AO$10</f>
        <v>0</v>
      </c>
      <c r="AP65" s="61">
        <f>$I$10*$AP$10</f>
        <v>0</v>
      </c>
      <c r="AQ65" s="61">
        <f>$I$10*$AQ$10</f>
        <v>0</v>
      </c>
      <c r="AR65" s="61">
        <f>$I$10*$AR$10</f>
        <v>0</v>
      </c>
      <c r="AS65" s="61">
        <f>$I$10*$AS$10</f>
        <v>0</v>
      </c>
      <c r="AT65" s="61">
        <f>$I$10*$AT$10</f>
        <v>0</v>
      </c>
      <c r="AU65" s="61">
        <f>$I$10*$AU$10</f>
        <v>384471.50546327309</v>
      </c>
      <c r="AV65" s="61">
        <f>$I$10*$AV$10</f>
        <v>0</v>
      </c>
      <c r="AW65" s="61">
        <f>$I$10*$AW$10</f>
        <v>0</v>
      </c>
      <c r="AX65" s="61">
        <f>$I$10*$AX$10</f>
        <v>0</v>
      </c>
      <c r="AY65" s="61">
        <f>$I$10*$AY$10</f>
        <v>0</v>
      </c>
      <c r="AZ65" s="61">
        <f>$I$10*$AZ$10</f>
        <v>0</v>
      </c>
      <c r="BA65" s="61">
        <f>$I$10*$BA$10</f>
        <v>0</v>
      </c>
      <c r="BB65" s="61">
        <f>$I$10*$BB$10</f>
        <v>0</v>
      </c>
      <c r="BC65" s="61">
        <f>$I$10*$BC$10</f>
        <v>0</v>
      </c>
      <c r="BD65" s="61">
        <f>$I$10*$BD$10</f>
        <v>0</v>
      </c>
    </row>
    <row r="66" spans="1:56" ht="11.25" customHeight="1" x14ac:dyDescent="0.3">
      <c r="A66" s="9" t="s">
        <v>39</v>
      </c>
      <c r="B66" s="9" t="s">
        <v>896</v>
      </c>
      <c r="C66" s="9" t="s">
        <v>897</v>
      </c>
      <c r="D66" s="9" t="s">
        <v>898</v>
      </c>
      <c r="E66" s="9" t="s">
        <v>899</v>
      </c>
      <c r="F66" s="9" t="s">
        <v>900</v>
      </c>
      <c r="G66" s="9" t="s">
        <v>903</v>
      </c>
      <c r="L66" s="61">
        <f>$I$11*$L$11</f>
        <v>0</v>
      </c>
      <c r="M66" s="61">
        <f>$I$11*$M$11</f>
        <v>0</v>
      </c>
      <c r="N66" s="61">
        <f ca="1">$I$11*$N$11</f>
        <v>0</v>
      </c>
      <c r="O66" s="61">
        <f>$I$11*$O$11</f>
        <v>0</v>
      </c>
      <c r="P66" s="61">
        <f>$I$11*$P$11</f>
        <v>0</v>
      </c>
      <c r="Q66" s="61">
        <f>$I$11*$Q$11</f>
        <v>0</v>
      </c>
      <c r="R66" s="61">
        <f>$I$11*$R$11</f>
        <v>0</v>
      </c>
      <c r="S66" s="61">
        <f>$I$11*$S$11</f>
        <v>0</v>
      </c>
      <c r="T66" s="61">
        <f>$I$11*$T$11</f>
        <v>0</v>
      </c>
      <c r="U66" s="61">
        <f>$I$11*$U$11</f>
        <v>0</v>
      </c>
      <c r="V66" s="61">
        <f>$I$11*$V$11</f>
        <v>0</v>
      </c>
      <c r="W66" s="61">
        <f>$I$11*$W$11</f>
        <v>0</v>
      </c>
      <c r="X66" s="61">
        <f>$I$11*$X$11</f>
        <v>0</v>
      </c>
      <c r="Y66" s="61">
        <f>$I$11*$Y$11</f>
        <v>0</v>
      </c>
      <c r="Z66" s="61">
        <f>$I$11*$Z$11</f>
        <v>0</v>
      </c>
      <c r="AA66" s="61">
        <f>$I$11*$AA$11</f>
        <v>0</v>
      </c>
      <c r="AB66" s="61">
        <f>$I$11*$AB$11</f>
        <v>0</v>
      </c>
      <c r="AC66" s="61">
        <f ca="1">$I$11*$AC$11</f>
        <v>0</v>
      </c>
      <c r="AD66" s="61">
        <f>$I$11*$AD$11</f>
        <v>60333.401770492252</v>
      </c>
      <c r="AE66" s="61">
        <f>$I$11*$AE$11</f>
        <v>617.04268832262721</v>
      </c>
      <c r="AF66" s="61">
        <f ca="1">$I$11*$AF$11</f>
        <v>0</v>
      </c>
      <c r="AG66" s="61">
        <f ca="1">$I$11*$AG$11</f>
        <v>0</v>
      </c>
      <c r="AI66" s="61">
        <f>$I$11*$AI$11</f>
        <v>0</v>
      </c>
      <c r="AJ66" s="61">
        <f>$I$11*$AJ$11</f>
        <v>0</v>
      </c>
      <c r="AK66" s="61">
        <f>$I$11*$AK$11</f>
        <v>0</v>
      </c>
      <c r="AL66" s="61">
        <f>$I$11*$AL$11</f>
        <v>0</v>
      </c>
      <c r="AM66" s="61">
        <f>$I$11*$AM$11</f>
        <v>0</v>
      </c>
      <c r="AN66" s="61">
        <f>$I$11*$AN$11</f>
        <v>0</v>
      </c>
      <c r="AO66" s="61">
        <f>$I$11*$AO$11</f>
        <v>0</v>
      </c>
      <c r="AP66" s="61">
        <f>$I$11*$AP$11</f>
        <v>0</v>
      </c>
      <c r="AQ66" s="61">
        <f>$I$11*$AQ$11</f>
        <v>0</v>
      </c>
      <c r="AR66" s="61">
        <f>$I$11*$AR$11</f>
        <v>0</v>
      </c>
      <c r="AS66" s="61">
        <f>$I$11*$AS$11</f>
        <v>0</v>
      </c>
      <c r="AT66" s="61">
        <f>$I$11*$AT$11</f>
        <v>0</v>
      </c>
      <c r="AU66" s="61">
        <f>$I$11*$AU$11</f>
        <v>0</v>
      </c>
      <c r="AV66" s="61">
        <f>$I$11*$AV$11</f>
        <v>0</v>
      </c>
      <c r="AW66" s="61">
        <f>$I$11*$AW$11</f>
        <v>0</v>
      </c>
      <c r="AX66" s="61">
        <f>$I$11*$AX$11</f>
        <v>0</v>
      </c>
      <c r="AY66" s="61">
        <f>$I$11*$AY$11</f>
        <v>0</v>
      </c>
      <c r="AZ66" s="61">
        <f>$I$11*$AZ$11</f>
        <v>0</v>
      </c>
      <c r="BA66" s="61">
        <f>$I$11*$BA$11</f>
        <v>70610.70003779426</v>
      </c>
      <c r="BB66" s="61">
        <f>$I$11*$BB$11</f>
        <v>530.389533838631</v>
      </c>
      <c r="BC66" s="61">
        <f>$I$11*$BC$11</f>
        <v>0</v>
      </c>
      <c r="BD66" s="61">
        <f>$I$11*$BD$11</f>
        <v>0</v>
      </c>
    </row>
    <row r="67" spans="1:56" ht="11.25" customHeight="1" x14ac:dyDescent="0.3">
      <c r="A67" s="9" t="s">
        <v>39</v>
      </c>
      <c r="B67" s="9" t="s">
        <v>904</v>
      </c>
      <c r="C67" s="9" t="s">
        <v>905</v>
      </c>
      <c r="D67" s="9" t="s">
        <v>906</v>
      </c>
      <c r="E67" s="9" t="s">
        <v>907</v>
      </c>
      <c r="F67" s="9" t="s">
        <v>908</v>
      </c>
      <c r="G67" s="9" t="s">
        <v>909</v>
      </c>
      <c r="L67" s="61">
        <f>$I$12*$L$12</f>
        <v>0</v>
      </c>
      <c r="M67" s="61">
        <f>$I$12*$M$12</f>
        <v>0</v>
      </c>
      <c r="N67" s="61">
        <f ca="1">$I$12*$N$12</f>
        <v>0</v>
      </c>
      <c r="O67" s="61">
        <f>$I$12*$O$12</f>
        <v>0</v>
      </c>
      <c r="P67" s="61">
        <f>$I$12*$P$12</f>
        <v>0</v>
      </c>
      <c r="Q67" s="61">
        <f>$I$12*$Q$12</f>
        <v>0</v>
      </c>
      <c r="R67" s="61">
        <f>$I$12*$R$12</f>
        <v>0</v>
      </c>
      <c r="S67" s="61">
        <f>$I$12*$S$12</f>
        <v>0</v>
      </c>
      <c r="T67" s="61">
        <f>$I$12*$T$12</f>
        <v>0</v>
      </c>
      <c r="U67" s="61">
        <f>$I$12*$U$12</f>
        <v>0</v>
      </c>
      <c r="V67" s="61">
        <f>$I$12*$V$12</f>
        <v>0</v>
      </c>
      <c r="W67" s="61">
        <f>$I$12*$W$12</f>
        <v>0</v>
      </c>
      <c r="X67" s="61">
        <f>$I$12*$X$12</f>
        <v>0</v>
      </c>
      <c r="Y67" s="61">
        <f>$I$12*$Y$12</f>
        <v>0</v>
      </c>
      <c r="Z67" s="61">
        <f>$I$12*$Z$12</f>
        <v>0</v>
      </c>
      <c r="AA67" s="61">
        <f>$I$12*$AA$12</f>
        <v>0</v>
      </c>
      <c r="AB67" s="61">
        <f ca="1">$I$12*$AB$12</f>
        <v>0</v>
      </c>
      <c r="AC67" s="61">
        <f ca="1">$I$12*$AC$12</f>
        <v>0</v>
      </c>
      <c r="AD67" s="61">
        <f>$I$12*$AD$12</f>
        <v>0</v>
      </c>
      <c r="AE67" s="61">
        <f>$I$12*$AE$12</f>
        <v>0</v>
      </c>
      <c r="AF67" s="61">
        <f ca="1">$I$12*$AF$12</f>
        <v>0</v>
      </c>
      <c r="AG67" s="61">
        <f ca="1">$I$12*$AG$12</f>
        <v>0</v>
      </c>
      <c r="AI67" s="61">
        <f>$I$12*$AI$12</f>
        <v>0</v>
      </c>
      <c r="AJ67" s="61">
        <f>$I$12*$AJ$12</f>
        <v>0</v>
      </c>
      <c r="AK67" s="61">
        <f>$I$12*$AK$12</f>
        <v>0</v>
      </c>
      <c r="AL67" s="61">
        <f>$I$12*$AL$12</f>
        <v>0</v>
      </c>
      <c r="AM67" s="61">
        <f>$I$12*$AM$12</f>
        <v>0</v>
      </c>
      <c r="AN67" s="61">
        <f>$I$12*$AN$12</f>
        <v>0</v>
      </c>
      <c r="AO67" s="61">
        <f>$I$12*$AO$12</f>
        <v>0</v>
      </c>
      <c r="AP67" s="61">
        <f>$I$12*$AP$12</f>
        <v>0</v>
      </c>
      <c r="AQ67" s="61">
        <f>$I$12*$AQ$12</f>
        <v>0</v>
      </c>
      <c r="AR67" s="61">
        <f>$I$12*$AR$12</f>
        <v>0</v>
      </c>
      <c r="AS67" s="61">
        <f>$I$12*$AS$12</f>
        <v>0</v>
      </c>
      <c r="AT67" s="61">
        <f>$I$12*$AT$12</f>
        <v>0</v>
      </c>
      <c r="AU67" s="61">
        <f>$I$12*$AU$12</f>
        <v>0</v>
      </c>
      <c r="AV67" s="61">
        <f>$I$12*$AV$12</f>
        <v>0</v>
      </c>
      <c r="AW67" s="61">
        <f>$I$12*$AW$12</f>
        <v>0</v>
      </c>
      <c r="AX67" s="61">
        <f>$I$12*$AX$12</f>
        <v>0</v>
      </c>
      <c r="AY67" s="61">
        <f>$I$12*$AY$12</f>
        <v>0</v>
      </c>
      <c r="AZ67" s="61">
        <f>$I$12*$AZ$12</f>
        <v>0</v>
      </c>
      <c r="BA67" s="61">
        <f>$I$12*$BA$12</f>
        <v>0</v>
      </c>
      <c r="BB67" s="61">
        <f>$I$12*$BB$12</f>
        <v>0</v>
      </c>
      <c r="BC67" s="61">
        <f>$I$12*$BC$12</f>
        <v>0</v>
      </c>
      <c r="BD67" s="61">
        <f>$I$12*$BD$12</f>
        <v>0</v>
      </c>
    </row>
    <row r="68" spans="1:56" ht="11.25" customHeight="1" x14ac:dyDescent="0.3">
      <c r="A68" s="9" t="s">
        <v>39</v>
      </c>
      <c r="B68" s="9" t="s">
        <v>910</v>
      </c>
      <c r="C68" s="9" t="s">
        <v>911</v>
      </c>
      <c r="D68" s="9" t="s">
        <v>912</v>
      </c>
      <c r="E68" s="9" t="s">
        <v>913</v>
      </c>
      <c r="F68" s="9" t="s">
        <v>914</v>
      </c>
      <c r="G68" s="9" t="s">
        <v>915</v>
      </c>
      <c r="L68" s="61">
        <f>$I$13*$L$13</f>
        <v>0</v>
      </c>
      <c r="M68" s="61">
        <f>$I$13*$M$13</f>
        <v>0</v>
      </c>
      <c r="N68" s="61">
        <f ca="1">$I$13*$N$13</f>
        <v>0</v>
      </c>
      <c r="O68" s="61">
        <f>$I$13*$O$13</f>
        <v>0</v>
      </c>
      <c r="P68" s="61">
        <f>$I$13*$P$13</f>
        <v>0</v>
      </c>
      <c r="Q68" s="61">
        <f>$I$13*$Q$13</f>
        <v>0</v>
      </c>
      <c r="R68" s="61">
        <f>$I$13*$R$13</f>
        <v>0</v>
      </c>
      <c r="S68" s="61">
        <f>$I$13*$S$13</f>
        <v>0</v>
      </c>
      <c r="T68" s="61">
        <f>$I$13*$T$13</f>
        <v>0</v>
      </c>
      <c r="U68" s="61">
        <f>$I$13*$U$13</f>
        <v>0</v>
      </c>
      <c r="V68" s="61">
        <f>$I$13*$V$13</f>
        <v>0</v>
      </c>
      <c r="W68" s="61">
        <f>$I$13*$W$13</f>
        <v>0</v>
      </c>
      <c r="X68" s="61">
        <f>$I$13*$X$13</f>
        <v>2300882.7656326531</v>
      </c>
      <c r="Y68" s="61">
        <f>$I$13*$Y$13</f>
        <v>0</v>
      </c>
      <c r="Z68" s="61">
        <f>$I$13*$Z$13</f>
        <v>0</v>
      </c>
      <c r="AA68" s="61">
        <f>$I$13*$AA$13</f>
        <v>3041156.4487062404</v>
      </c>
      <c r="AB68" s="61">
        <f ca="1">$I$13*$AB$13</f>
        <v>-681338.08935250656</v>
      </c>
      <c r="AC68" s="61">
        <f ca="1">$I$13*$AC$13</f>
        <v>0</v>
      </c>
      <c r="AD68" s="61">
        <f>$I$13*$AD$13</f>
        <v>0</v>
      </c>
      <c r="AE68" s="61">
        <f>$I$13*$AE$13</f>
        <v>0</v>
      </c>
      <c r="AF68" s="61">
        <f ca="1">$I$13*$AF$13</f>
        <v>0</v>
      </c>
      <c r="AG68" s="61">
        <f ca="1">$I$13*$AG$13</f>
        <v>0</v>
      </c>
      <c r="AI68" s="61">
        <f>$I$13*$AI$13</f>
        <v>0</v>
      </c>
      <c r="AJ68" s="61">
        <f>$I$13*$AJ$13</f>
        <v>0</v>
      </c>
      <c r="AK68" s="61">
        <f>$I$13*$AK$13</f>
        <v>0</v>
      </c>
      <c r="AL68" s="61">
        <f>$I$13*$AL$13</f>
        <v>0</v>
      </c>
      <c r="AM68" s="61">
        <f>$I$13*$AM$13</f>
        <v>0</v>
      </c>
      <c r="AN68" s="61">
        <f>$I$13*$AN$13</f>
        <v>0</v>
      </c>
      <c r="AO68" s="61">
        <f>$I$13*$AO$13</f>
        <v>0</v>
      </c>
      <c r="AP68" s="61">
        <f>$I$13*$AP$13</f>
        <v>0</v>
      </c>
      <c r="AQ68" s="61">
        <f>$I$13*$AQ$13</f>
        <v>0</v>
      </c>
      <c r="AR68" s="61">
        <f>$I$13*$AR$13</f>
        <v>0</v>
      </c>
      <c r="AS68" s="61">
        <f>$I$13*$AS$13</f>
        <v>0</v>
      </c>
      <c r="AT68" s="61">
        <f>$I$13*$AT$13</f>
        <v>0</v>
      </c>
      <c r="AU68" s="61">
        <f>$I$13*$AU$13</f>
        <v>2784041.9631355661</v>
      </c>
      <c r="AV68" s="61">
        <f>$I$13*$AV$13</f>
        <v>0</v>
      </c>
      <c r="AW68" s="61">
        <f>$I$13*$AW$13</f>
        <v>0</v>
      </c>
      <c r="AX68" s="61">
        <f>$I$13*$AX$13</f>
        <v>1605798.9119925373</v>
      </c>
      <c r="AY68" s="61">
        <f>$I$13*$AY$13</f>
        <v>-342637.91987784678</v>
      </c>
      <c r="AZ68" s="61">
        <f>$I$13*$AZ$13</f>
        <v>0</v>
      </c>
      <c r="BA68" s="61">
        <f>$I$13*$BA$13</f>
        <v>0</v>
      </c>
      <c r="BB68" s="61">
        <f>$I$13*$BB$13</f>
        <v>0</v>
      </c>
      <c r="BC68" s="61">
        <f>$I$13*$BC$13</f>
        <v>0</v>
      </c>
      <c r="BD68" s="61">
        <f>$I$13*$BD$13</f>
        <v>0</v>
      </c>
    </row>
    <row r="69" spans="1:56" ht="11.25" customHeight="1" x14ac:dyDescent="0.3">
      <c r="A69" s="9" t="s">
        <v>39</v>
      </c>
      <c r="B69" s="9" t="s">
        <v>910</v>
      </c>
      <c r="C69" s="9" t="s">
        <v>911</v>
      </c>
      <c r="D69" s="9" t="s">
        <v>912</v>
      </c>
      <c r="E69" s="9" t="s">
        <v>913</v>
      </c>
      <c r="F69" s="9" t="s">
        <v>914</v>
      </c>
      <c r="G69" s="9" t="s">
        <v>916</v>
      </c>
      <c r="L69" s="61">
        <f>$I$14*$L$14</f>
        <v>2854.2933097617529</v>
      </c>
      <c r="M69" s="61">
        <f>$I$14*$M$14</f>
        <v>892.94967681475862</v>
      </c>
      <c r="N69" s="61">
        <f ca="1">$I$14*$N$14</f>
        <v>18863.457266565627</v>
      </c>
      <c r="O69" s="61">
        <f>$I$14*$O$14</f>
        <v>0</v>
      </c>
      <c r="P69" s="61">
        <f>$I$14*$P$14</f>
        <v>0</v>
      </c>
      <c r="Q69" s="61">
        <f>$I$14*$Q$14</f>
        <v>80823.739818395887</v>
      </c>
      <c r="R69" s="61">
        <f>$I$14*$R$14</f>
        <v>16268.557176676692</v>
      </c>
      <c r="S69" s="61">
        <f>$I$14*$S$14</f>
        <v>0</v>
      </c>
      <c r="T69" s="61">
        <f>$I$14*$T$14</f>
        <v>0</v>
      </c>
      <c r="U69" s="61">
        <f>$I$14*$U$14</f>
        <v>0</v>
      </c>
      <c r="V69" s="61">
        <f>$I$14*$V$14</f>
        <v>0</v>
      </c>
      <c r="W69" s="61">
        <f>$I$14*$W$14</f>
        <v>0</v>
      </c>
      <c r="X69" s="61">
        <f>$I$14*$X$14</f>
        <v>770139.05965310882</v>
      </c>
      <c r="Y69" s="61">
        <f>$I$14*$Y$14</f>
        <v>0</v>
      </c>
      <c r="Z69" s="61">
        <f>$I$14*$Z$14</f>
        <v>0</v>
      </c>
      <c r="AA69" s="61">
        <f>$I$14*$AA$14</f>
        <v>1184148.8369311225</v>
      </c>
      <c r="AB69" s="61">
        <f ca="1">$I$14*$AB$14</f>
        <v>-261525.05835758997</v>
      </c>
      <c r="AC69" s="61">
        <f ca="1">$I$14*$AC$14</f>
        <v>0</v>
      </c>
      <c r="AD69" s="61">
        <f>$I$14*$AD$14</f>
        <v>10601.403743836898</v>
      </c>
      <c r="AE69" s="61">
        <f>$I$14*$AE$14</f>
        <v>108.42283833049171</v>
      </c>
      <c r="AF69" s="61">
        <f ca="1">$I$14*$AF$14</f>
        <v>790.42862432890513</v>
      </c>
      <c r="AG69" s="61">
        <f ca="1">$I$14*$AG$14</f>
        <v>330.07120853552914</v>
      </c>
      <c r="AI69" s="61">
        <f>$I$14*$AI$14</f>
        <v>2860.6374931800506</v>
      </c>
      <c r="AJ69" s="61">
        <f>$I$14*$AJ$14</f>
        <v>854.441511000334</v>
      </c>
      <c r="AK69" s="61">
        <f>$I$14*$AK$14</f>
        <v>17597.054004319391</v>
      </c>
      <c r="AL69" s="61">
        <f>$I$14*$AL$14</f>
        <v>0</v>
      </c>
      <c r="AM69" s="61">
        <f>$I$14*$AM$14</f>
        <v>0</v>
      </c>
      <c r="AN69" s="61">
        <f>$I$14*$AN$14</f>
        <v>65098.49109238966</v>
      </c>
      <c r="AO69" s="61">
        <f>$I$14*$AO$14</f>
        <v>11229.214367151299</v>
      </c>
      <c r="AP69" s="61">
        <f>$I$14*$AP$14</f>
        <v>0</v>
      </c>
      <c r="AQ69" s="61">
        <f>$I$14*$AQ$14</f>
        <v>0</v>
      </c>
      <c r="AR69" s="61">
        <f>$I$14*$AR$14</f>
        <v>0</v>
      </c>
      <c r="AS69" s="61">
        <f>$I$14*$AS$14</f>
        <v>0</v>
      </c>
      <c r="AT69" s="61">
        <f>$I$14*$AT$14</f>
        <v>0</v>
      </c>
      <c r="AU69" s="61">
        <f>$I$14*$AU$14</f>
        <v>538781.53478499956</v>
      </c>
      <c r="AV69" s="61">
        <f>$I$14*$AV$14</f>
        <v>0</v>
      </c>
      <c r="AW69" s="61">
        <f>$I$14*$AW$14</f>
        <v>0</v>
      </c>
      <c r="AX69" s="61">
        <f>$I$14*$AX$14</f>
        <v>1201006.458568841</v>
      </c>
      <c r="AY69" s="61">
        <f>$I$14*$AY$14</f>
        <v>-158047.97528811268</v>
      </c>
      <c r="AZ69" s="61">
        <f>$I$14*$AZ$14</f>
        <v>0</v>
      </c>
      <c r="BA69" s="61">
        <f>$I$14*$BA$14</f>
        <v>12407.265590347115</v>
      </c>
      <c r="BB69" s="61">
        <f>$I$14*$BB$14</f>
        <v>93.196694115112777</v>
      </c>
      <c r="BC69" s="61">
        <f>$I$14*$BC$14</f>
        <v>1043.3451354618362</v>
      </c>
      <c r="BD69" s="61">
        <f>$I$14*$BD$14</f>
        <v>304.18002401581072</v>
      </c>
    </row>
    <row r="70" spans="1:56" ht="11.25" customHeight="1" x14ac:dyDescent="0.3">
      <c r="A70" s="9" t="s">
        <v>39</v>
      </c>
      <c r="B70" s="9" t="s">
        <v>910</v>
      </c>
      <c r="C70" s="9" t="s">
        <v>911</v>
      </c>
      <c r="D70" s="9" t="s">
        <v>912</v>
      </c>
      <c r="E70" s="9" t="s">
        <v>913</v>
      </c>
      <c r="F70" s="9" t="s">
        <v>914</v>
      </c>
      <c r="G70" s="9" t="s">
        <v>917</v>
      </c>
      <c r="L70" s="61">
        <f>$I$15*$L$15</f>
        <v>55763.015055908159</v>
      </c>
      <c r="M70" s="61">
        <f>$I$15*$M$15</f>
        <v>17445.146965833712</v>
      </c>
      <c r="N70" s="61">
        <f ca="1">$I$15*$N$15</f>
        <v>6993.5347974116976</v>
      </c>
      <c r="O70" s="61">
        <f>$I$15*$O$15</f>
        <v>0</v>
      </c>
      <c r="P70" s="61">
        <f>$I$15*$P$15</f>
        <v>0</v>
      </c>
      <c r="Q70" s="61">
        <f>$I$15*$Q$15</f>
        <v>1579016.2156615255</v>
      </c>
      <c r="R70" s="61">
        <f>$I$15*$R$15</f>
        <v>317831.31596123433</v>
      </c>
      <c r="S70" s="61">
        <f>$I$15*$S$15</f>
        <v>0</v>
      </c>
      <c r="T70" s="61">
        <f>$I$15*$T$15</f>
        <v>0</v>
      </c>
      <c r="U70" s="61">
        <f>$I$15*$U$15</f>
        <v>0</v>
      </c>
      <c r="V70" s="61">
        <f>$I$15*$V$15</f>
        <v>0</v>
      </c>
      <c r="W70" s="61">
        <f>$I$15*$W$15</f>
        <v>0</v>
      </c>
      <c r="X70" s="61">
        <f>$I$15*$X$15</f>
        <v>0</v>
      </c>
      <c r="Y70" s="61">
        <f>$I$15*$Y$15</f>
        <v>0</v>
      </c>
      <c r="Z70" s="61">
        <f>$I$15*$Z$15</f>
        <v>0</v>
      </c>
      <c r="AA70" s="61">
        <f>$I$15*$AA$15</f>
        <v>0</v>
      </c>
      <c r="AB70" s="61">
        <f ca="1">$I$15*$AB$15</f>
        <v>-245724.63022793134</v>
      </c>
      <c r="AC70" s="61">
        <f ca="1">$I$15*$AC$15</f>
        <v>0</v>
      </c>
      <c r="AD70" s="61">
        <f>$I$15*$AD$15</f>
        <v>207114.74695313725</v>
      </c>
      <c r="AE70" s="61">
        <f>$I$15*$AE$15</f>
        <v>2118.2071042068769</v>
      </c>
      <c r="AF70" s="61">
        <f ca="1">$I$15*$AF$15</f>
        <v>15442.240336103572</v>
      </c>
      <c r="AG70" s="61">
        <f ca="1">$I$15*$AG$15</f>
        <v>6448.4493265427009</v>
      </c>
      <c r="AI70" s="61">
        <f>$I$15*$AI$15</f>
        <v>55886.958448222482</v>
      </c>
      <c r="AJ70" s="61">
        <f>$I$15*$AJ$15</f>
        <v>16692.830648957221</v>
      </c>
      <c r="AK70" s="61">
        <f>$I$15*$AK$15</f>
        <v>7604.6454017025017</v>
      </c>
      <c r="AL70" s="61">
        <f>$I$15*$AL$15</f>
        <v>0</v>
      </c>
      <c r="AM70" s="61">
        <f>$I$15*$AM$15</f>
        <v>0</v>
      </c>
      <c r="AN70" s="61">
        <f>$I$15*$AN$15</f>
        <v>1271799.2669102496</v>
      </c>
      <c r="AO70" s="61">
        <f>$I$15*$AO$15</f>
        <v>219379.9942283243</v>
      </c>
      <c r="AP70" s="61">
        <f>$I$15*$AP$15</f>
        <v>0</v>
      </c>
      <c r="AQ70" s="61">
        <f>$I$15*$AQ$15</f>
        <v>0</v>
      </c>
      <c r="AR70" s="61">
        <f>$I$15*$AR$15</f>
        <v>0</v>
      </c>
      <c r="AS70" s="61">
        <f>$I$15*$AS$15</f>
        <v>0</v>
      </c>
      <c r="AT70" s="61">
        <f>$I$15*$AT$15</f>
        <v>0</v>
      </c>
      <c r="AU70" s="61">
        <f>$I$15*$AU$15</f>
        <v>0</v>
      </c>
      <c r="AV70" s="61">
        <f>$I$15*$AV$15</f>
        <v>0</v>
      </c>
      <c r="AW70" s="61">
        <f>$I$15*$AW$15</f>
        <v>0</v>
      </c>
      <c r="AX70" s="61">
        <f>$I$15*$AX$15</f>
        <v>0</v>
      </c>
      <c r="AY70" s="61">
        <f>$I$15*$AY$15</f>
        <v>-135800.13169822146</v>
      </c>
      <c r="AZ70" s="61">
        <f>$I$15*$AZ$15</f>
        <v>0</v>
      </c>
      <c r="BA70" s="61">
        <f>$I$15*$BA$15</f>
        <v>242395.03892293651</v>
      </c>
      <c r="BB70" s="61">
        <f>$I$15*$BB$15</f>
        <v>1820.7409306283548</v>
      </c>
      <c r="BC70" s="61">
        <f>$I$15*$BC$15</f>
        <v>20383.353840437365</v>
      </c>
      <c r="BD70" s="61">
        <f>$I$15*$BD$15</f>
        <v>5942.6251678093904</v>
      </c>
    </row>
    <row r="71" spans="1:56" ht="11.25" customHeight="1" x14ac:dyDescent="0.3">
      <c r="A71" s="9" t="s">
        <v>39</v>
      </c>
      <c r="B71" s="9" t="s">
        <v>910</v>
      </c>
      <c r="C71" s="9" t="s">
        <v>911</v>
      </c>
      <c r="D71" s="9" t="s">
        <v>912</v>
      </c>
      <c r="E71" s="9" t="s">
        <v>918</v>
      </c>
      <c r="F71" s="9" t="s">
        <v>919</v>
      </c>
      <c r="G71" s="9" t="s">
        <v>920</v>
      </c>
      <c r="L71" s="61">
        <f>$I$16*$L$16</f>
        <v>0</v>
      </c>
      <c r="M71" s="61">
        <f>$I$16*$M$16</f>
        <v>0</v>
      </c>
      <c r="N71" s="61">
        <f ca="1">$I$16*$N$16</f>
        <v>0</v>
      </c>
      <c r="O71" s="61">
        <f>$I$16*$O$16</f>
        <v>0</v>
      </c>
      <c r="P71" s="61">
        <f>$I$16*$P$16</f>
        <v>0</v>
      </c>
      <c r="Q71" s="61">
        <f>$I$16*$Q$16</f>
        <v>0</v>
      </c>
      <c r="R71" s="61">
        <f>$I$16*$R$16</f>
        <v>0</v>
      </c>
      <c r="S71" s="61">
        <f>$I$16*$S$16</f>
        <v>0</v>
      </c>
      <c r="T71" s="61">
        <f>$I$16*$T$16</f>
        <v>0</v>
      </c>
      <c r="U71" s="61">
        <f>$I$16*$U$16</f>
        <v>0</v>
      </c>
      <c r="V71" s="61">
        <f>$I$16*$V$16</f>
        <v>0</v>
      </c>
      <c r="W71" s="61">
        <f>$I$16*$W$16</f>
        <v>0</v>
      </c>
      <c r="X71" s="61">
        <f>$I$16*$X$16</f>
        <v>0</v>
      </c>
      <c r="Y71" s="61">
        <f>$I$16*$Y$16</f>
        <v>0</v>
      </c>
      <c r="Z71" s="61">
        <f>$I$16*$Z$16</f>
        <v>0</v>
      </c>
      <c r="AA71" s="61">
        <f>$I$16*$AA$16</f>
        <v>0</v>
      </c>
      <c r="AB71" s="61">
        <f ca="1">$I$16*$AB$16</f>
        <v>0</v>
      </c>
      <c r="AC71" s="61">
        <f ca="1">$I$16*$AC$16</f>
        <v>0</v>
      </c>
      <c r="AD71" s="61">
        <f>$I$16*$AD$16</f>
        <v>0</v>
      </c>
      <c r="AE71" s="61">
        <f>$I$16*$AE$16</f>
        <v>0</v>
      </c>
      <c r="AF71" s="61">
        <f ca="1">$I$16*$AF$16</f>
        <v>0</v>
      </c>
      <c r="AG71" s="61">
        <f ca="1">$I$16*$AG$16</f>
        <v>0</v>
      </c>
      <c r="AI71" s="61">
        <f>$I$16*$AI$16</f>
        <v>0</v>
      </c>
      <c r="AJ71" s="61">
        <f>$I$16*$AJ$16</f>
        <v>0</v>
      </c>
      <c r="AK71" s="61">
        <f>$I$16*$AK$16</f>
        <v>0</v>
      </c>
      <c r="AL71" s="61">
        <f>$I$16*$AL$16</f>
        <v>0</v>
      </c>
      <c r="AM71" s="61">
        <f>$I$16*$AM$16</f>
        <v>0</v>
      </c>
      <c r="AN71" s="61">
        <f>$I$16*$AN$16</f>
        <v>0</v>
      </c>
      <c r="AO71" s="61">
        <f>$I$16*$AO$16</f>
        <v>0</v>
      </c>
      <c r="AP71" s="61">
        <f>$I$16*$AP$16</f>
        <v>0</v>
      </c>
      <c r="AQ71" s="61">
        <f>$I$16*$AQ$16</f>
        <v>0</v>
      </c>
      <c r="AR71" s="61">
        <f>$I$16*$AR$16</f>
        <v>0</v>
      </c>
      <c r="AS71" s="61">
        <f>$I$16*$AS$16</f>
        <v>0</v>
      </c>
      <c r="AT71" s="61">
        <f>$I$16*$AT$16</f>
        <v>0</v>
      </c>
      <c r="AU71" s="61">
        <f>$I$16*$AU$16</f>
        <v>0</v>
      </c>
      <c r="AV71" s="61">
        <f>$I$16*$AV$16</f>
        <v>0</v>
      </c>
      <c r="AW71" s="61">
        <f>$I$16*$AW$16</f>
        <v>0</v>
      </c>
      <c r="AX71" s="61">
        <f>$I$16*$AX$16</f>
        <v>0</v>
      </c>
      <c r="AY71" s="61">
        <f>$I$16*$AY$16</f>
        <v>0</v>
      </c>
      <c r="AZ71" s="61">
        <f>$I$16*$AZ$16</f>
        <v>0</v>
      </c>
      <c r="BA71" s="61">
        <f>$I$16*$BA$16</f>
        <v>0</v>
      </c>
      <c r="BB71" s="61">
        <f>$I$16*$BB$16</f>
        <v>0</v>
      </c>
      <c r="BC71" s="61">
        <f>$I$16*$BC$16</f>
        <v>0</v>
      </c>
      <c r="BD71" s="61">
        <f>$I$16*$BD$16</f>
        <v>0</v>
      </c>
    </row>
    <row r="72" spans="1:56" ht="11.25" customHeight="1" x14ac:dyDescent="0.3">
      <c r="A72" s="9" t="s">
        <v>39</v>
      </c>
      <c r="B72" s="9" t="s">
        <v>910</v>
      </c>
      <c r="C72" s="9" t="s">
        <v>911</v>
      </c>
      <c r="D72" s="9" t="s">
        <v>912</v>
      </c>
      <c r="E72" s="9" t="s">
        <v>918</v>
      </c>
      <c r="F72" s="9" t="s">
        <v>919</v>
      </c>
      <c r="G72" s="9" t="s">
        <v>921</v>
      </c>
      <c r="L72" s="61">
        <f>$I$17*$L$17</f>
        <v>0</v>
      </c>
      <c r="M72" s="61">
        <f>$I$17*$M$17</f>
        <v>0</v>
      </c>
      <c r="N72" s="61">
        <f ca="1">$I$17*$N$17</f>
        <v>0</v>
      </c>
      <c r="O72" s="61">
        <f>$I$17*$O$17</f>
        <v>0</v>
      </c>
      <c r="P72" s="61">
        <f>$I$17*$P$17</f>
        <v>0</v>
      </c>
      <c r="Q72" s="61">
        <f>$I$17*$Q$17</f>
        <v>0</v>
      </c>
      <c r="R72" s="61">
        <f>$I$17*$R$17</f>
        <v>0</v>
      </c>
      <c r="S72" s="61">
        <f>$I$17*$S$17</f>
        <v>0</v>
      </c>
      <c r="T72" s="61">
        <f>$I$17*$T$17</f>
        <v>0</v>
      </c>
      <c r="U72" s="61">
        <f>$I$17*$U$17</f>
        <v>0</v>
      </c>
      <c r="V72" s="61">
        <f>$I$17*$V$17</f>
        <v>0</v>
      </c>
      <c r="W72" s="61">
        <f>$I$17*$W$17</f>
        <v>0</v>
      </c>
      <c r="X72" s="61">
        <f>$I$17*$X$17</f>
        <v>0</v>
      </c>
      <c r="Y72" s="61">
        <f>$I$17*$Y$17</f>
        <v>0</v>
      </c>
      <c r="Z72" s="61">
        <f>$I$17*$Z$17</f>
        <v>0</v>
      </c>
      <c r="AA72" s="61">
        <f>$I$17*$AA$17</f>
        <v>0</v>
      </c>
      <c r="AB72" s="61">
        <f ca="1">$I$17*$AB$17</f>
        <v>0</v>
      </c>
      <c r="AC72" s="61">
        <f ca="1">$I$17*$AC$17</f>
        <v>0</v>
      </c>
      <c r="AD72" s="61">
        <f>$I$17*$AD$17</f>
        <v>0</v>
      </c>
      <c r="AE72" s="61">
        <f>$I$17*$AE$17</f>
        <v>0</v>
      </c>
      <c r="AF72" s="61">
        <f ca="1">$I$17*$AF$17</f>
        <v>0</v>
      </c>
      <c r="AG72" s="61">
        <f ca="1">$I$17*$AG$17</f>
        <v>0</v>
      </c>
      <c r="AI72" s="61">
        <f>$I$17*$AI$17</f>
        <v>0</v>
      </c>
      <c r="AJ72" s="61">
        <f>$I$17*$AJ$17</f>
        <v>0</v>
      </c>
      <c r="AK72" s="61">
        <f>$I$17*$AK$17</f>
        <v>0</v>
      </c>
      <c r="AL72" s="61">
        <f>$I$17*$AL$17</f>
        <v>0</v>
      </c>
      <c r="AM72" s="61">
        <f>$I$17*$AM$17</f>
        <v>0</v>
      </c>
      <c r="AN72" s="61">
        <f>$I$17*$AN$17</f>
        <v>0</v>
      </c>
      <c r="AO72" s="61">
        <f>$I$17*$AO$17</f>
        <v>0</v>
      </c>
      <c r="AP72" s="61">
        <f>$I$17*$AP$17</f>
        <v>0</v>
      </c>
      <c r="AQ72" s="61">
        <f>$I$17*$AQ$17</f>
        <v>0</v>
      </c>
      <c r="AR72" s="61">
        <f>$I$17*$AR$17</f>
        <v>0</v>
      </c>
      <c r="AS72" s="61">
        <f>$I$17*$AS$17</f>
        <v>0</v>
      </c>
      <c r="AT72" s="61">
        <f>$I$17*$AT$17</f>
        <v>0</v>
      </c>
      <c r="AU72" s="61">
        <f>$I$17*$AU$17</f>
        <v>0</v>
      </c>
      <c r="AV72" s="61">
        <f>$I$17*$AV$17</f>
        <v>0</v>
      </c>
      <c r="AW72" s="61">
        <f>$I$17*$AW$17</f>
        <v>0</v>
      </c>
      <c r="AX72" s="61">
        <f>$I$17*$AX$17</f>
        <v>0</v>
      </c>
      <c r="AY72" s="61">
        <f>$I$17*$AY$17</f>
        <v>0</v>
      </c>
      <c r="AZ72" s="61">
        <f>$I$17*$AZ$17</f>
        <v>0</v>
      </c>
      <c r="BA72" s="61">
        <f>$I$17*$BA$17</f>
        <v>0</v>
      </c>
      <c r="BB72" s="61">
        <f>$I$17*$BB$17</f>
        <v>0</v>
      </c>
      <c r="BC72" s="61">
        <f>$I$17*$BC$17</f>
        <v>0</v>
      </c>
      <c r="BD72" s="61">
        <f>$I$17*$BD$17</f>
        <v>0</v>
      </c>
    </row>
    <row r="73" spans="1:56" ht="11.25" customHeight="1" x14ac:dyDescent="0.3">
      <c r="A73" s="9" t="s">
        <v>90</v>
      </c>
      <c r="B73" s="9" t="s">
        <v>922</v>
      </c>
      <c r="C73" s="9" t="s">
        <v>923</v>
      </c>
      <c r="D73" s="9" t="s">
        <v>924</v>
      </c>
      <c r="E73" s="9" t="s">
        <v>925</v>
      </c>
      <c r="F73" s="9" t="s">
        <v>926</v>
      </c>
      <c r="G73" s="9" t="s">
        <v>927</v>
      </c>
      <c r="L73" s="61">
        <f>$I$18*$L$18</f>
        <v>0</v>
      </c>
      <c r="M73" s="61">
        <f>$I$18*$M$18</f>
        <v>2.3030904751100419E-10</v>
      </c>
      <c r="N73" s="61">
        <f ca="1">$I$18*$N$18</f>
        <v>5.7421421789066866E-10</v>
      </c>
      <c r="O73" s="61">
        <f>$I$18*$O$18</f>
        <v>0</v>
      </c>
      <c r="P73" s="61">
        <f>$I$18*$P$18</f>
        <v>0</v>
      </c>
      <c r="Q73" s="61">
        <f>$I$18*$Q$18</f>
        <v>0</v>
      </c>
      <c r="R73" s="61">
        <f>$I$18*$R$18</f>
        <v>0</v>
      </c>
      <c r="S73" s="61">
        <f>$I$18*$S$18</f>
        <v>0</v>
      </c>
      <c r="T73" s="61">
        <f>$I$18*$T$18</f>
        <v>0</v>
      </c>
      <c r="U73" s="61">
        <f>$I$18*$U$18</f>
        <v>0</v>
      </c>
      <c r="V73" s="61">
        <f>$I$18*$V$18</f>
        <v>0</v>
      </c>
      <c r="W73" s="61">
        <f>$I$18*$W$18</f>
        <v>0</v>
      </c>
      <c r="X73" s="61">
        <f>$I$18*$X$18</f>
        <v>0</v>
      </c>
      <c r="Y73" s="61">
        <f>$I$18*$Y$18</f>
        <v>0</v>
      </c>
      <c r="Z73" s="61">
        <f>$I$18*$Z$18</f>
        <v>0</v>
      </c>
      <c r="AA73" s="61">
        <f>$I$18*$AA$18</f>
        <v>6.7871237078822741E-8</v>
      </c>
      <c r="AB73" s="61">
        <f ca="1">$I$18*$AB$18</f>
        <v>-7.7043650767604397E-9</v>
      </c>
      <c r="AC73" s="61">
        <f ca="1">$I$18*$AC$18</f>
        <v>0</v>
      </c>
      <c r="AD73" s="61">
        <f>$I$18*$AD$18</f>
        <v>0</v>
      </c>
      <c r="AE73" s="61">
        <f>$I$18*$AE$18</f>
        <v>0</v>
      </c>
      <c r="AF73" s="61">
        <f ca="1">$I$18*$AF$18</f>
        <v>0</v>
      </c>
      <c r="AG73" s="61">
        <f ca="1">$I$18*$AG$18</f>
        <v>0</v>
      </c>
      <c r="AI73" s="61">
        <f>$I$18*$AI$18</f>
        <v>0</v>
      </c>
      <c r="AJ73" s="61">
        <f>$I$18*$AJ$18</f>
        <v>2.6321485634106701E-10</v>
      </c>
      <c r="AK73" s="61">
        <f>$I$18*$AK$18</f>
        <v>8.0973765417713296E-10</v>
      </c>
      <c r="AL73" s="61">
        <f>$I$18*$AL$18</f>
        <v>0</v>
      </c>
      <c r="AM73" s="61">
        <f>$I$18*$AM$18</f>
        <v>0</v>
      </c>
      <c r="AN73" s="61">
        <f>$I$18*$AN$18</f>
        <v>0</v>
      </c>
      <c r="AO73" s="61">
        <f>$I$18*$AO$18</f>
        <v>0</v>
      </c>
      <c r="AP73" s="61">
        <f>$I$18*$AP$18</f>
        <v>0</v>
      </c>
      <c r="AQ73" s="61">
        <f>$I$18*$AQ$18</f>
        <v>0</v>
      </c>
      <c r="AR73" s="61">
        <f>$I$18*$AR$18</f>
        <v>0</v>
      </c>
      <c r="AS73" s="61">
        <f>$I$18*$AS$18</f>
        <v>0</v>
      </c>
      <c r="AT73" s="61">
        <f>$I$18*$AT$18</f>
        <v>0</v>
      </c>
      <c r="AU73" s="61">
        <f>$I$18*$AU$18</f>
        <v>0</v>
      </c>
      <c r="AV73" s="61">
        <f>$I$18*$AV$18</f>
        <v>0</v>
      </c>
      <c r="AW73" s="61">
        <f>$I$18*$AW$18</f>
        <v>0</v>
      </c>
      <c r="AX73" s="61">
        <f>$I$18*$AX$18</f>
        <v>6.7827688113093295E-8</v>
      </c>
      <c r="AY73" s="61">
        <f>$I$18*$AY$18</f>
        <v>-6.4392427947122697E-9</v>
      </c>
      <c r="AZ73" s="61">
        <f>$I$18*$AZ$18</f>
        <v>0</v>
      </c>
      <c r="BA73" s="61">
        <f>$I$18*$BA$18</f>
        <v>0</v>
      </c>
      <c r="BB73" s="61">
        <f>$I$18*$BB$18</f>
        <v>0</v>
      </c>
      <c r="BC73" s="61">
        <f>$I$18*$BC$18</f>
        <v>0</v>
      </c>
      <c r="BD73" s="61">
        <f>$I$18*$BD$18</f>
        <v>0</v>
      </c>
    </row>
    <row r="74" spans="1:56" ht="11.25" customHeight="1" x14ac:dyDescent="0.3">
      <c r="A74" s="9" t="s">
        <v>90</v>
      </c>
      <c r="B74" s="9" t="s">
        <v>922</v>
      </c>
      <c r="C74" s="9" t="s">
        <v>923</v>
      </c>
      <c r="D74" s="9" t="s">
        <v>924</v>
      </c>
      <c r="E74" s="9" t="s">
        <v>928</v>
      </c>
      <c r="F74" s="9" t="s">
        <v>929</v>
      </c>
      <c r="G74" s="9" t="s">
        <v>930</v>
      </c>
      <c r="L74" s="61">
        <f>$I$19*$L$19</f>
        <v>0</v>
      </c>
      <c r="M74" s="61">
        <f>$I$19*$M$19</f>
        <v>2.3030904751100419E-10</v>
      </c>
      <c r="N74" s="61">
        <f ca="1">$I$19*$N$19</f>
        <v>5.7421421789066866E-10</v>
      </c>
      <c r="O74" s="61">
        <f>$I$19*$O$19</f>
        <v>0</v>
      </c>
      <c r="P74" s="61">
        <f>$I$19*$P$19</f>
        <v>0</v>
      </c>
      <c r="Q74" s="61">
        <f>$I$19*$Q$19</f>
        <v>0</v>
      </c>
      <c r="R74" s="61">
        <f>$I$19*$R$19</f>
        <v>0</v>
      </c>
      <c r="S74" s="61">
        <f>$I$19*$S$19</f>
        <v>0</v>
      </c>
      <c r="T74" s="61">
        <f>$I$19*$T$19</f>
        <v>0</v>
      </c>
      <c r="U74" s="61">
        <f>$I$19*$U$19</f>
        <v>0</v>
      </c>
      <c r="V74" s="61">
        <f>$I$19*$V$19</f>
        <v>0</v>
      </c>
      <c r="W74" s="61">
        <f>$I$19*$W$19</f>
        <v>0</v>
      </c>
      <c r="X74" s="61">
        <f>$I$19*$X$19</f>
        <v>0</v>
      </c>
      <c r="Y74" s="61">
        <f>$I$19*$Y$19</f>
        <v>0</v>
      </c>
      <c r="Z74" s="61">
        <f>$I$19*$Z$19</f>
        <v>0</v>
      </c>
      <c r="AA74" s="61">
        <f>$I$19*$AA$19</f>
        <v>1.7535172523851686E-7</v>
      </c>
      <c r="AB74" s="61">
        <f ca="1">$I$19*$AB$19</f>
        <v>-1.9747974905736348E-8</v>
      </c>
      <c r="AC74" s="61">
        <f ca="1">$I$19*$AC$19</f>
        <v>0</v>
      </c>
      <c r="AD74" s="61">
        <f>$I$19*$AD$19</f>
        <v>0</v>
      </c>
      <c r="AE74" s="61">
        <f>$I$19*$AE$19</f>
        <v>0</v>
      </c>
      <c r="AF74" s="61">
        <f ca="1">$I$19*$AF$19</f>
        <v>0</v>
      </c>
      <c r="AG74" s="61">
        <f ca="1">$I$19*$AG$19</f>
        <v>0</v>
      </c>
      <c r="AI74" s="61">
        <f>$I$19*$AI$19</f>
        <v>0</v>
      </c>
      <c r="AJ74" s="61">
        <f>$I$19*$AJ$19</f>
        <v>2.6321485634106701E-10</v>
      </c>
      <c r="AK74" s="61">
        <f>$I$19*$AK$19</f>
        <v>8.0973765417713296E-10</v>
      </c>
      <c r="AL74" s="61">
        <f>$I$19*$AL$19</f>
        <v>0</v>
      </c>
      <c r="AM74" s="61">
        <f>$I$19*$AM$19</f>
        <v>0</v>
      </c>
      <c r="AN74" s="61">
        <f>$I$19*$AN$19</f>
        <v>0</v>
      </c>
      <c r="AO74" s="61">
        <f>$I$19*$AO$19</f>
        <v>0</v>
      </c>
      <c r="AP74" s="61">
        <f>$I$19*$AP$19</f>
        <v>0</v>
      </c>
      <c r="AQ74" s="61">
        <f>$I$19*$AQ$19</f>
        <v>0</v>
      </c>
      <c r="AR74" s="61">
        <f>$I$19*$AR$19</f>
        <v>0</v>
      </c>
      <c r="AS74" s="61">
        <f>$I$19*$AS$19</f>
        <v>0</v>
      </c>
      <c r="AT74" s="61">
        <f>$I$19*$AT$19</f>
        <v>0</v>
      </c>
      <c r="AU74" s="61">
        <f>$I$19*$AU$19</f>
        <v>0</v>
      </c>
      <c r="AV74" s="61">
        <f>$I$19*$AV$19</f>
        <v>0</v>
      </c>
      <c r="AW74" s="61">
        <f>$I$19*$AW$19</f>
        <v>0</v>
      </c>
      <c r="AX74" s="61">
        <f>$I$19*$AX$19</f>
        <v>1.2433604465851E-7</v>
      </c>
      <c r="AY74" s="61">
        <f>$I$19*$AY$19</f>
        <v>-1.1730958764416299E-8</v>
      </c>
      <c r="AZ74" s="61">
        <f>$I$19*$AZ$19</f>
        <v>0</v>
      </c>
      <c r="BA74" s="61">
        <f>$I$19*$BA$19</f>
        <v>0</v>
      </c>
      <c r="BB74" s="61">
        <f>$I$19*$BB$19</f>
        <v>0</v>
      </c>
      <c r="BC74" s="61">
        <f>$I$19*$BC$19</f>
        <v>0</v>
      </c>
      <c r="BD74" s="61">
        <f>$I$19*$BD$19</f>
        <v>0</v>
      </c>
    </row>
    <row r="75" spans="1:56" ht="11.25" customHeight="1" x14ac:dyDescent="0.3">
      <c r="A75" s="9" t="s">
        <v>22</v>
      </c>
      <c r="B75" s="9" t="s">
        <v>931</v>
      </c>
      <c r="C75" s="9" t="s">
        <v>932</v>
      </c>
      <c r="D75" s="9" t="s">
        <v>933</v>
      </c>
      <c r="E75" s="9" t="s">
        <v>934</v>
      </c>
      <c r="F75" s="9" t="s">
        <v>935</v>
      </c>
      <c r="G75" s="9" t="s">
        <v>936</v>
      </c>
      <c r="L75" s="61">
        <f>$I$20*$L$20</f>
        <v>2.4238286664536872</v>
      </c>
      <c r="M75" s="61">
        <f>$I$20*$M$20</f>
        <v>0.65922808028348823</v>
      </c>
      <c r="N75" s="61">
        <f ca="1">$I$20*$N$20</f>
        <v>7.4180475298396082</v>
      </c>
      <c r="O75" s="61">
        <f>$I$20*$O$20</f>
        <v>0</v>
      </c>
      <c r="P75" s="61">
        <f>$I$20*$P$20</f>
        <v>0</v>
      </c>
      <c r="Q75" s="61">
        <f>$I$20*$Q$20</f>
        <v>68.634466132765539</v>
      </c>
      <c r="R75" s="61">
        <f>$I$20*$R$20</f>
        <v>11.604639191747053</v>
      </c>
      <c r="S75" s="61">
        <f>$I$20*$S$20</f>
        <v>0</v>
      </c>
      <c r="T75" s="61">
        <f>$I$20*$T$20</f>
        <v>0</v>
      </c>
      <c r="U75" s="61">
        <f>$I$20*$U$20</f>
        <v>0</v>
      </c>
      <c r="V75" s="61">
        <f>$I$20*$V$20</f>
        <v>0</v>
      </c>
      <c r="W75" s="61">
        <f>$I$20*$W$20</f>
        <v>0</v>
      </c>
      <c r="X75" s="61">
        <f>$I$20*$X$20</f>
        <v>262.74010986697914</v>
      </c>
      <c r="Y75" s="61">
        <f>$I$20*$Y$20</f>
        <v>0</v>
      </c>
      <c r="Z75" s="61">
        <f>$I$20*$Z$20</f>
        <v>0</v>
      </c>
      <c r="AA75" s="61">
        <f>$I$20*$AA$20</f>
        <v>479.58409712949674</v>
      </c>
      <c r="AB75" s="61">
        <f ca="1">$I$20*$AB$20</f>
        <v>-104.66368173368559</v>
      </c>
      <c r="AC75" s="61">
        <f ca="1">$I$20*$AC$20</f>
        <v>0</v>
      </c>
      <c r="AD75" s="61">
        <f>$I$20*$AD$20</f>
        <v>14.724241181739309</v>
      </c>
      <c r="AE75" s="61">
        <f>$I$20*$AE$20</f>
        <v>0.15058798436150292</v>
      </c>
      <c r="AF75" s="61">
        <f ca="1">$I$20*$AF$20</f>
        <v>0.55351627960012606</v>
      </c>
      <c r="AG75" s="61">
        <f ca="1">$I$20*$AG$20</f>
        <v>0.23114014564796467</v>
      </c>
      <c r="AI75" s="61">
        <f>$I$20*$AI$20</f>
        <v>2.3454499931188506</v>
      </c>
      <c r="AJ75" s="61">
        <f>$I$20*$AJ$20</f>
        <v>0.75624245072424434</v>
      </c>
      <c r="AK75" s="61">
        <f>$I$20*$AK$20</f>
        <v>5.8082553719491399</v>
      </c>
      <c r="AL75" s="61">
        <f>$I$20*$AL$20</f>
        <v>0</v>
      </c>
      <c r="AM75" s="61">
        <f>$I$20*$AM$20</f>
        <v>0</v>
      </c>
      <c r="AN75" s="61">
        <f>$I$20*$AN$20</f>
        <v>53.374555793491652</v>
      </c>
      <c r="AO75" s="61">
        <f>$I$20*$AO$20</f>
        <v>8.0099900515082254</v>
      </c>
      <c r="AP75" s="61">
        <f>$I$20*$AP$20</f>
        <v>0</v>
      </c>
      <c r="AQ75" s="61">
        <f>$I$20*$AQ$20</f>
        <v>0</v>
      </c>
      <c r="AR75" s="61">
        <f>$I$20*$AR$20</f>
        <v>0</v>
      </c>
      <c r="AS75" s="61">
        <f>$I$20*$AS$20</f>
        <v>0</v>
      </c>
      <c r="AT75" s="61">
        <f>$I$20*$AT$20</f>
        <v>0</v>
      </c>
      <c r="AU75" s="61">
        <f>$I$20*$AU$20</f>
        <v>265.74613258785985</v>
      </c>
      <c r="AV75" s="61">
        <f>$I$20*$AV$20</f>
        <v>0</v>
      </c>
      <c r="AW75" s="61">
        <f>$I$20*$AW$20</f>
        <v>0</v>
      </c>
      <c r="AX75" s="61">
        <f>$I$20*$AX$20</f>
        <v>325.14390083530174</v>
      </c>
      <c r="AY75" s="61">
        <f>$I$20*$AY$20</f>
        <v>-55.505177064549194</v>
      </c>
      <c r="AZ75" s="61">
        <f>$I$20*$AZ$20</f>
        <v>0</v>
      </c>
      <c r="BA75" s="61">
        <f>$I$20*$BA$20</f>
        <v>17.232423952504718</v>
      </c>
      <c r="BB75" s="61">
        <f>$I$20*$BB$20</f>
        <v>0.12944068394997524</v>
      </c>
      <c r="BC75" s="61">
        <f>$I$20*$BC$20</f>
        <v>0.79618964171900242</v>
      </c>
      <c r="BD75" s="61">
        <f>$I$20*$BD$20</f>
        <v>0.23212355730400172</v>
      </c>
    </row>
    <row r="76" spans="1:56" ht="11.25" customHeight="1" x14ac:dyDescent="0.3">
      <c r="A76" s="9" t="s">
        <v>22</v>
      </c>
      <c r="B76" s="9" t="s">
        <v>931</v>
      </c>
      <c r="C76" s="9" t="s">
        <v>932</v>
      </c>
      <c r="D76" s="9" t="s">
        <v>933</v>
      </c>
      <c r="E76" s="9" t="s">
        <v>934</v>
      </c>
      <c r="F76" s="9" t="s">
        <v>935</v>
      </c>
      <c r="G76" s="9" t="s">
        <v>937</v>
      </c>
      <c r="L76" s="61">
        <f>$I$21*$L$21</f>
        <v>1.6205831200126393</v>
      </c>
      <c r="M76" s="61">
        <f>$I$21*$M$21</f>
        <v>0.44076296065465775</v>
      </c>
      <c r="N76" s="61">
        <f ca="1">$I$21*$N$21</f>
        <v>3.1008007597532963</v>
      </c>
      <c r="O76" s="61">
        <f>$I$21*$O$21</f>
        <v>0</v>
      </c>
      <c r="P76" s="61">
        <f>$I$21*$P$21</f>
        <v>0</v>
      </c>
      <c r="Q76" s="61">
        <f>$I$21*$Q$21</f>
        <v>45.889323286442064</v>
      </c>
      <c r="R76" s="61">
        <f>$I$21*$R$21</f>
        <v>7.7589157386680867</v>
      </c>
      <c r="S76" s="61">
        <f>$I$21*$S$21</f>
        <v>0</v>
      </c>
      <c r="T76" s="61">
        <f>$I$21*$T$21</f>
        <v>0</v>
      </c>
      <c r="U76" s="61">
        <f>$I$21*$U$21</f>
        <v>0</v>
      </c>
      <c r="V76" s="61">
        <f>$I$21*$V$21</f>
        <v>0</v>
      </c>
      <c r="W76" s="61">
        <f>$I$21*$W$21</f>
        <v>0</v>
      </c>
      <c r="X76" s="61">
        <f>$I$21*$X$21</f>
        <v>105.40157234045226</v>
      </c>
      <c r="Y76" s="61">
        <f>$I$21*$Y$21</f>
        <v>0</v>
      </c>
      <c r="Z76" s="61">
        <f>$I$21*$Z$21</f>
        <v>0</v>
      </c>
      <c r="AA76" s="61">
        <f>$I$21*$AA$21</f>
        <v>192.39128386443949</v>
      </c>
      <c r="AB76" s="61">
        <f ca="1">$I$21*$AB$21</f>
        <v>-44.978118145956493</v>
      </c>
      <c r="AC76" s="61">
        <f ca="1">$I$21*$AC$21</f>
        <v>0</v>
      </c>
      <c r="AD76" s="61">
        <f>$I$21*$AD$21</f>
        <v>9.844696138953605</v>
      </c>
      <c r="AE76" s="61">
        <f>$I$21*$AE$21</f>
        <v>0.10068382675333042</v>
      </c>
      <c r="AF76" s="61">
        <f ca="1">$I$21*$AF$21</f>
        <v>0.37008355903496792</v>
      </c>
      <c r="AG76" s="61">
        <f ca="1">$I$21*$AG$21</f>
        <v>0.15454137645067403</v>
      </c>
      <c r="AI76" s="61">
        <f>$I$21*$AI$21</f>
        <v>1.5681787744689986</v>
      </c>
      <c r="AJ76" s="61">
        <f>$I$21*$AJ$21</f>
        <v>0.50562721996097715</v>
      </c>
      <c r="AK76" s="61">
        <f>$I$21*$AK$21</f>
        <v>2.4636919613459503</v>
      </c>
      <c r="AL76" s="61">
        <f>$I$21*$AL$21</f>
        <v>0</v>
      </c>
      <c r="AM76" s="61">
        <f>$I$21*$AM$21</f>
        <v>0</v>
      </c>
      <c r="AN76" s="61">
        <f>$I$21*$AN$21</f>
        <v>35.686476257276389</v>
      </c>
      <c r="AO76" s="61">
        <f>$I$21*$AO$21</f>
        <v>5.3555166042060804</v>
      </c>
      <c r="AP76" s="61">
        <f>$I$21*$AP$21</f>
        <v>0</v>
      </c>
      <c r="AQ76" s="61">
        <f>$I$21*$AQ$21</f>
        <v>0</v>
      </c>
      <c r="AR76" s="61">
        <f>$I$21*$AR$21</f>
        <v>0</v>
      </c>
      <c r="AS76" s="61">
        <f>$I$21*$AS$21</f>
        <v>0</v>
      </c>
      <c r="AT76" s="61">
        <f>$I$21*$AT$21</f>
        <v>0</v>
      </c>
      <c r="AU76" s="61">
        <f>$I$21*$AU$21</f>
        <v>106.60741504146716</v>
      </c>
      <c r="AV76" s="61">
        <f>$I$21*$AV$21</f>
        <v>0</v>
      </c>
      <c r="AW76" s="61">
        <f>$I$21*$AW$21</f>
        <v>0</v>
      </c>
      <c r="AX76" s="61">
        <f>$I$21*$AX$21</f>
        <v>130.43561407104028</v>
      </c>
      <c r="AY76" s="61">
        <f>$I$21*$AY$21</f>
        <v>-23.942545618863342</v>
      </c>
      <c r="AZ76" s="61">
        <f>$I$21*$AZ$21</f>
        <v>0</v>
      </c>
      <c r="BA76" s="61">
        <f>$I$21*$BA$21</f>
        <v>11.521678805453734</v>
      </c>
      <c r="BB76" s="61">
        <f>$I$21*$BB$21</f>
        <v>8.6544643338646227E-2</v>
      </c>
      <c r="BC76" s="61">
        <f>$I$21*$BC$21</f>
        <v>0.53233609766096079</v>
      </c>
      <c r="BD76" s="61">
        <f>$I$21*$BD$21</f>
        <v>0.1551988900579081</v>
      </c>
    </row>
    <row r="77" spans="1:56" ht="11.25" customHeight="1" x14ac:dyDescent="0.3">
      <c r="A77" s="9" t="s">
        <v>22</v>
      </c>
      <c r="B77" s="9" t="s">
        <v>931</v>
      </c>
      <c r="C77" s="9" t="s">
        <v>932</v>
      </c>
      <c r="D77" s="9" t="s">
        <v>933</v>
      </c>
      <c r="E77" s="9" t="s">
        <v>934</v>
      </c>
      <c r="F77" s="9" t="s">
        <v>935</v>
      </c>
      <c r="G77" s="9" t="s">
        <v>938</v>
      </c>
      <c r="L77" s="61">
        <f>$I$22*$L$22</f>
        <v>20.028293559286642</v>
      </c>
      <c r="M77" s="61">
        <f>$I$22*$M$22</f>
        <v>5.4472552854820204</v>
      </c>
      <c r="N77" s="61">
        <f ca="1">$I$22*$N$22</f>
        <v>15.347769514888558</v>
      </c>
      <c r="O77" s="61">
        <f>$I$22*$O$22</f>
        <v>0</v>
      </c>
      <c r="P77" s="61">
        <f>$I$22*$P$22</f>
        <v>0</v>
      </c>
      <c r="Q77" s="61">
        <f>$I$22*$Q$22</f>
        <v>567.13218018135467</v>
      </c>
      <c r="R77" s="61">
        <f>$I$22*$R$22</f>
        <v>95.89007820506103</v>
      </c>
      <c r="S77" s="61">
        <f>$I$22*$S$22</f>
        <v>0</v>
      </c>
      <c r="T77" s="61">
        <f>$I$22*$T$22</f>
        <v>0</v>
      </c>
      <c r="U77" s="61">
        <f>$I$22*$U$22</f>
        <v>0</v>
      </c>
      <c r="V77" s="61">
        <f>$I$22*$V$22</f>
        <v>0</v>
      </c>
      <c r="W77" s="61">
        <f>$I$22*$W$22</f>
        <v>0</v>
      </c>
      <c r="X77" s="61">
        <f>$I$22*$X$22</f>
        <v>434.20847991875115</v>
      </c>
      <c r="Y77" s="61">
        <f>$I$22*$Y$22</f>
        <v>0</v>
      </c>
      <c r="Z77" s="61">
        <f>$I$22*$Z$22</f>
        <v>0</v>
      </c>
      <c r="AA77" s="61">
        <f>$I$22*$AA$22</f>
        <v>792.56821632729782</v>
      </c>
      <c r="AB77" s="61">
        <f ca="1">$I$22*$AB$22</f>
        <v>-246.89714825933623</v>
      </c>
      <c r="AC77" s="61">
        <f ca="1">$I$22*$AC$22</f>
        <v>0</v>
      </c>
      <c r="AD77" s="61">
        <f>$I$22*$AD$22</f>
        <v>121.66760336945924</v>
      </c>
      <c r="AE77" s="61">
        <f>$I$22*$AE$22</f>
        <v>1.2443207719406162</v>
      </c>
      <c r="AF77" s="61">
        <f ca="1">$I$22*$AF$22</f>
        <v>4.5737500719865061</v>
      </c>
      <c r="AG77" s="61">
        <f ca="1">$I$22*$AG$22</f>
        <v>1.9099298372219171</v>
      </c>
      <c r="AI77" s="61">
        <f>$I$22*$AI$22</f>
        <v>19.380644201861429</v>
      </c>
      <c r="AJ77" s="61">
        <f>$I$22*$AJ$22</f>
        <v>6.2488929249525116</v>
      </c>
      <c r="AK77" s="61">
        <f>$I$22*$AK$22</f>
        <v>12.901966476338279</v>
      </c>
      <c r="AL77" s="61">
        <f>$I$22*$AL$22</f>
        <v>0</v>
      </c>
      <c r="AM77" s="61">
        <f>$I$22*$AM$22</f>
        <v>0</v>
      </c>
      <c r="AN77" s="61">
        <f>$I$22*$AN$22</f>
        <v>441.0382989622093</v>
      </c>
      <c r="AO77" s="61">
        <f>$I$22*$AO$22</f>
        <v>66.187199771546886</v>
      </c>
      <c r="AP77" s="61">
        <f>$I$22*$AP$22</f>
        <v>0</v>
      </c>
      <c r="AQ77" s="61">
        <f>$I$22*$AQ$22</f>
        <v>0</v>
      </c>
      <c r="AR77" s="61">
        <f>$I$22*$AR$22</f>
        <v>0</v>
      </c>
      <c r="AS77" s="61">
        <f>$I$22*$AS$22</f>
        <v>0</v>
      </c>
      <c r="AT77" s="61">
        <f>$I$22*$AT$22</f>
        <v>0</v>
      </c>
      <c r="AU77" s="61">
        <f>$I$22*$AU$22</f>
        <v>439.17666365508643</v>
      </c>
      <c r="AV77" s="61">
        <f>$I$22*$AV$22</f>
        <v>0</v>
      </c>
      <c r="AW77" s="61">
        <f>$I$22*$AW$22</f>
        <v>0</v>
      </c>
      <c r="AX77" s="61">
        <f>$I$22*$AX$22</f>
        <v>537.33823064746332</v>
      </c>
      <c r="AY77" s="61">
        <f>$I$22*$AY$22</f>
        <v>-133.15362997189547</v>
      </c>
      <c r="AZ77" s="61">
        <f>$I$22*$AZ$22</f>
        <v>0</v>
      </c>
      <c r="BA77" s="61">
        <f>$I$22*$BA$22</f>
        <v>142.3929217587054</v>
      </c>
      <c r="BB77" s="61">
        <f>$I$22*$BB$22</f>
        <v>1.0695789073482691</v>
      </c>
      <c r="BC77" s="61">
        <f>$I$22*$BC$22</f>
        <v>6.5789798156577435</v>
      </c>
      <c r="BD77" s="61">
        <f>$I$22*$BD$22</f>
        <v>1.918055847780886</v>
      </c>
    </row>
    <row r="78" spans="1:56" ht="11.25" customHeight="1" x14ac:dyDescent="0.3">
      <c r="A78" s="9" t="s">
        <v>22</v>
      </c>
      <c r="B78" s="9" t="s">
        <v>939</v>
      </c>
      <c r="C78" s="9" t="s">
        <v>940</v>
      </c>
      <c r="D78" s="9" t="s">
        <v>941</v>
      </c>
      <c r="E78" s="9" t="s">
        <v>942</v>
      </c>
      <c r="F78" s="9" t="s">
        <v>943</v>
      </c>
      <c r="G78" s="9" t="s">
        <v>944</v>
      </c>
      <c r="L78" s="61">
        <f>$I$23*$L$23</f>
        <v>72118.312778113599</v>
      </c>
      <c r="M78" s="61">
        <f>$I$23*$M$23</f>
        <v>19614.594688146619</v>
      </c>
      <c r="N78" s="61">
        <f ca="1">$I$23*$N$23</f>
        <v>82839.772665716155</v>
      </c>
      <c r="O78" s="61">
        <f>$I$23*$O$23</f>
        <v>0</v>
      </c>
      <c r="P78" s="61">
        <f>$I$23*$P$23</f>
        <v>0</v>
      </c>
      <c r="Q78" s="61">
        <f>$I$23*$Q$23</f>
        <v>2042141.8248030313</v>
      </c>
      <c r="R78" s="61">
        <f>$I$23*$R$23</f>
        <v>345283.06826738344</v>
      </c>
      <c r="S78" s="61">
        <f>$I$23*$S$23</f>
        <v>0</v>
      </c>
      <c r="T78" s="61">
        <f>$I$23*$T$23</f>
        <v>0</v>
      </c>
      <c r="U78" s="61">
        <f>$I$23*$U$23</f>
        <v>0</v>
      </c>
      <c r="V78" s="61">
        <f>$I$23*$V$23</f>
        <v>0</v>
      </c>
      <c r="W78" s="61">
        <f>$I$23*$W$23</f>
        <v>0</v>
      </c>
      <c r="X78" s="61">
        <f>$I$23*$X$23</f>
        <v>2605845.4816261693</v>
      </c>
      <c r="Y78" s="61">
        <f>$I$23*$Y$23</f>
        <v>0</v>
      </c>
      <c r="Z78" s="61">
        <f>$I$23*$Z$23</f>
        <v>0</v>
      </c>
      <c r="AA78" s="61">
        <f>$I$23*$AA$23</f>
        <v>4756496.2544428147</v>
      </c>
      <c r="AB78" s="61">
        <f ca="1">$I$23*$AB$23</f>
        <v>-1259885.6838676797</v>
      </c>
      <c r="AC78" s="61">
        <f ca="1">$I$23*$AC$23</f>
        <v>0</v>
      </c>
      <c r="AD78" s="61">
        <f>$I$23*$AD$23</f>
        <v>438103.33859889035</v>
      </c>
      <c r="AE78" s="61">
        <f>$I$23*$AE$23</f>
        <v>4480.5771575835333</v>
      </c>
      <c r="AF78" s="61">
        <f ca="1">$I$23*$AF$23</f>
        <v>16469.258216334576</v>
      </c>
      <c r="AG78" s="61">
        <f ca="1">$I$23*$AG$23</f>
        <v>6877.3166808889046</v>
      </c>
      <c r="AI78" s="61">
        <f>$I$23*$AI$23</f>
        <v>69786.242959430587</v>
      </c>
      <c r="AJ78" s="61">
        <f>$I$23*$AJ$23</f>
        <v>22501.148844490865</v>
      </c>
      <c r="AK78" s="61">
        <f>$I$23*$AK$23</f>
        <v>73367.779881039605</v>
      </c>
      <c r="AL78" s="61">
        <f>$I$23*$AL$23</f>
        <v>0</v>
      </c>
      <c r="AM78" s="61">
        <f>$I$23*$AM$23</f>
        <v>0</v>
      </c>
      <c r="AN78" s="61">
        <f>$I$23*$AN$23</f>
        <v>1588100.2491565573</v>
      </c>
      <c r="AO78" s="61">
        <f>$I$23*$AO$23</f>
        <v>238328.30095595628</v>
      </c>
      <c r="AP78" s="61">
        <f>$I$23*$AP$23</f>
        <v>0</v>
      </c>
      <c r="AQ78" s="61">
        <f>$I$23*$AQ$23</f>
        <v>0</v>
      </c>
      <c r="AR78" s="61">
        <f>$I$23*$AR$23</f>
        <v>0</v>
      </c>
      <c r="AS78" s="61">
        <f>$I$23*$AS$23</f>
        <v>0</v>
      </c>
      <c r="AT78" s="61">
        <f>$I$23*$AT$23</f>
        <v>0</v>
      </c>
      <c r="AU78" s="61">
        <f>$I$23*$AU$23</f>
        <v>2928512.4667759952</v>
      </c>
      <c r="AV78" s="61">
        <f>$I$23*$AV$23</f>
        <v>0</v>
      </c>
      <c r="AW78" s="61">
        <f>$I$23*$AW$23</f>
        <v>0</v>
      </c>
      <c r="AX78" s="61">
        <f>$I$23*$AX$23</f>
        <v>3583071.6094186446</v>
      </c>
      <c r="AY78" s="61">
        <f>$I$23*$AY$23</f>
        <v>-729061.91320997663</v>
      </c>
      <c r="AZ78" s="61">
        <f>$I$23*$AZ$23</f>
        <v>0</v>
      </c>
      <c r="BA78" s="61">
        <f>$I$23*$BA$23</f>
        <v>512731.51346547046</v>
      </c>
      <c r="BB78" s="61">
        <f>$I$23*$BB$23</f>
        <v>3851.3628708647143</v>
      </c>
      <c r="BC78" s="61">
        <f>$I$23*$BC$23</f>
        <v>23689.732862263911</v>
      </c>
      <c r="BD78" s="61">
        <f>$I$23*$BD$23</f>
        <v>6906.5769955230608</v>
      </c>
    </row>
    <row r="79" spans="1:56" ht="11.25" customHeight="1" x14ac:dyDescent="0.3">
      <c r="A79" s="9" t="s">
        <v>22</v>
      </c>
      <c r="B79" s="9" t="s">
        <v>939</v>
      </c>
      <c r="C79" s="9" t="s">
        <v>940</v>
      </c>
      <c r="D79" s="9" t="s">
        <v>945</v>
      </c>
      <c r="E79" s="9" t="s">
        <v>946</v>
      </c>
      <c r="F79" s="9" t="s">
        <v>947</v>
      </c>
      <c r="G79" s="9" t="s">
        <v>948</v>
      </c>
      <c r="L79" s="61">
        <f>$I$24*$L$24</f>
        <v>0</v>
      </c>
      <c r="M79" s="61">
        <f>$I$24*$M$24</f>
        <v>142.57024125173976</v>
      </c>
      <c r="N79" s="61">
        <f ca="1">$I$24*$N$24</f>
        <v>600.63899277767359</v>
      </c>
      <c r="O79" s="61">
        <f>$I$24*$O$24</f>
        <v>0</v>
      </c>
      <c r="P79" s="61">
        <f>$I$24*$P$24</f>
        <v>0</v>
      </c>
      <c r="Q79" s="61">
        <f>$I$24*$Q$24</f>
        <v>0</v>
      </c>
      <c r="R79" s="61">
        <f>$I$24*$R$24</f>
        <v>0</v>
      </c>
      <c r="S79" s="61">
        <f>$I$24*$S$24</f>
        <v>0</v>
      </c>
      <c r="T79" s="61">
        <f>$I$24*$T$24</f>
        <v>0</v>
      </c>
      <c r="U79" s="61">
        <f>$I$24*$U$24</f>
        <v>0</v>
      </c>
      <c r="V79" s="61">
        <f>$I$24*$V$24</f>
        <v>0</v>
      </c>
      <c r="W79" s="61">
        <f>$I$24*$W$24</f>
        <v>0</v>
      </c>
      <c r="X79" s="61">
        <f>$I$24*$X$24</f>
        <v>18940.795101145344</v>
      </c>
      <c r="Y79" s="61">
        <f>$I$24*$Y$24</f>
        <v>0</v>
      </c>
      <c r="Z79" s="61">
        <f>$I$24*$Z$24</f>
        <v>0</v>
      </c>
      <c r="AA79" s="61">
        <f>$I$24*$AA$24</f>
        <v>34572.971264031032</v>
      </c>
      <c r="AB79" s="61">
        <f ca="1">$I$24*$AB$24</f>
        <v>-7203.2878067622496</v>
      </c>
      <c r="AC79" s="61">
        <f ca="1">$I$24*$AC$24</f>
        <v>0</v>
      </c>
      <c r="AD79" s="61">
        <f>$I$24*$AD$24</f>
        <v>3184.3889547706131</v>
      </c>
      <c r="AE79" s="61">
        <f>$I$24*$AE$24</f>
        <v>32.567431367304927</v>
      </c>
      <c r="AF79" s="61">
        <f ca="1">$I$24*$AF$24</f>
        <v>119.7081129878745</v>
      </c>
      <c r="AG79" s="61">
        <f ca="1">$I$24*$AG$24</f>
        <v>49.988323182200439</v>
      </c>
      <c r="AI79" s="61">
        <f>$I$24*$AI$24</f>
        <v>0</v>
      </c>
      <c r="AJ79" s="61">
        <f>$I$24*$AJ$24</f>
        <v>163.55138967714757</v>
      </c>
      <c r="AK79" s="61">
        <f>$I$24*$AK$24</f>
        <v>531.30116706678371</v>
      </c>
      <c r="AL79" s="61">
        <f>$I$24*$AL$24</f>
        <v>0</v>
      </c>
      <c r="AM79" s="61">
        <f>$I$24*$AM$24</f>
        <v>0</v>
      </c>
      <c r="AN79" s="61">
        <f>$I$24*$AN$24</f>
        <v>0</v>
      </c>
      <c r="AO79" s="61">
        <f>$I$24*$AO$24</f>
        <v>0</v>
      </c>
      <c r="AP79" s="61">
        <f>$I$24*$AP$24</f>
        <v>0</v>
      </c>
      <c r="AQ79" s="61">
        <f>$I$24*$AQ$24</f>
        <v>0</v>
      </c>
      <c r="AR79" s="61">
        <f>$I$24*$AR$24</f>
        <v>0</v>
      </c>
      <c r="AS79" s="61">
        <f>$I$24*$AS$24</f>
        <v>0</v>
      </c>
      <c r="AT79" s="61">
        <f>$I$24*$AT$24</f>
        <v>0</v>
      </c>
      <c r="AU79" s="61">
        <f>$I$24*$AU$24</f>
        <v>21286.125741323245</v>
      </c>
      <c r="AV79" s="61">
        <f>$I$24*$AV$24</f>
        <v>0</v>
      </c>
      <c r="AW79" s="61">
        <f>$I$24*$AW$24</f>
        <v>0</v>
      </c>
      <c r="AX79" s="61">
        <f>$I$24*$AX$24</f>
        <v>26043.840920444025</v>
      </c>
      <c r="AY79" s="61">
        <f>$I$24*$AY$24</f>
        <v>-4322.5994504113405</v>
      </c>
      <c r="AZ79" s="61">
        <f>$I$24*$AZ$24</f>
        <v>0</v>
      </c>
      <c r="BA79" s="61">
        <f>$I$24*$BA$24</f>
        <v>3726.8297782526929</v>
      </c>
      <c r="BB79" s="61">
        <f>$I$24*$BB$24</f>
        <v>27.99393728890038</v>
      </c>
      <c r="BC79" s="61">
        <f>$I$24*$BC$24</f>
        <v>172.19070712703922</v>
      </c>
      <c r="BD79" s="61">
        <f>$I$24*$BD$24</f>
        <v>50.201004105911423</v>
      </c>
    </row>
    <row r="80" spans="1:56" ht="11.25" customHeight="1" x14ac:dyDescent="0.3">
      <c r="A80" s="9" t="s">
        <v>22</v>
      </c>
      <c r="B80" s="9" t="s">
        <v>939</v>
      </c>
      <c r="C80" s="9" t="s">
        <v>940</v>
      </c>
      <c r="D80" s="9" t="s">
        <v>949</v>
      </c>
      <c r="E80" s="9" t="s">
        <v>950</v>
      </c>
      <c r="F80" s="9" t="s">
        <v>951</v>
      </c>
      <c r="G80" s="9" t="s">
        <v>952</v>
      </c>
      <c r="L80" s="61">
        <f>$I$25*$L$25</f>
        <v>0</v>
      </c>
      <c r="M80" s="61">
        <f>$I$25*$M$25</f>
        <v>504.10941335994505</v>
      </c>
      <c r="N80" s="61">
        <f ca="1">$I$25*$N$25</f>
        <v>2123.7796024741342</v>
      </c>
      <c r="O80" s="61">
        <f>$I$25*$O$25</f>
        <v>0</v>
      </c>
      <c r="P80" s="61">
        <f>$I$25*$P$25</f>
        <v>0</v>
      </c>
      <c r="Q80" s="61">
        <f>$I$25*$Q$25</f>
        <v>0</v>
      </c>
      <c r="R80" s="61">
        <f>$I$25*$R$25</f>
        <v>0</v>
      </c>
      <c r="S80" s="61">
        <f>$I$25*$S$25</f>
        <v>0</v>
      </c>
      <c r="T80" s="61">
        <f>$I$25*$T$25</f>
        <v>0</v>
      </c>
      <c r="U80" s="61">
        <f>$I$25*$U$25</f>
        <v>0</v>
      </c>
      <c r="V80" s="61">
        <f>$I$25*$V$25</f>
        <v>0</v>
      </c>
      <c r="W80" s="61">
        <f>$I$25*$W$25</f>
        <v>0</v>
      </c>
      <c r="X80" s="61">
        <f>$I$25*$X$25</f>
        <v>66972.13263565817</v>
      </c>
      <c r="Y80" s="61">
        <f>$I$25*$Y$25</f>
        <v>0</v>
      </c>
      <c r="Z80" s="61">
        <f>$I$25*$Z$25</f>
        <v>0</v>
      </c>
      <c r="AA80" s="61">
        <f>$I$25*$AA$25</f>
        <v>122245.42870238175</v>
      </c>
      <c r="AB80" s="61">
        <f ca="1">$I$25*$AB$25</f>
        <v>-25469.867755347233</v>
      </c>
      <c r="AC80" s="61">
        <f ca="1">$I$25*$AC$25</f>
        <v>0</v>
      </c>
      <c r="AD80" s="61">
        <f>$I$25*$AD$25</f>
        <v>11259.575868044016</v>
      </c>
      <c r="AE80" s="61">
        <f>$I$25*$AE$25</f>
        <v>115.15410633431905</v>
      </c>
      <c r="AF80" s="61">
        <f ca="1">$I$25*$AF$25</f>
        <v>423.27196813947336</v>
      </c>
      <c r="AG80" s="61">
        <f ca="1">$I$25*$AG$25</f>
        <v>176.75206307416485</v>
      </c>
      <c r="AI80" s="61">
        <f>$I$25*$AI$25</f>
        <v>0</v>
      </c>
      <c r="AJ80" s="61">
        <f>$I$25*$AJ$25</f>
        <v>578.29596401376955</v>
      </c>
      <c r="AK80" s="61">
        <f>$I$25*$AK$25</f>
        <v>1878.6102716524749</v>
      </c>
      <c r="AL80" s="61">
        <f>$I$25*$AL$25</f>
        <v>0</v>
      </c>
      <c r="AM80" s="61">
        <f>$I$25*$AM$25</f>
        <v>0</v>
      </c>
      <c r="AN80" s="61">
        <f>$I$25*$AN$25</f>
        <v>0</v>
      </c>
      <c r="AO80" s="61">
        <f>$I$25*$AO$25</f>
        <v>0</v>
      </c>
      <c r="AP80" s="61">
        <f>$I$25*$AP$25</f>
        <v>0</v>
      </c>
      <c r="AQ80" s="61">
        <f>$I$25*$AQ$25</f>
        <v>0</v>
      </c>
      <c r="AR80" s="61">
        <f>$I$25*$AR$25</f>
        <v>0</v>
      </c>
      <c r="AS80" s="61">
        <f>$I$25*$AS$25</f>
        <v>0</v>
      </c>
      <c r="AT80" s="61">
        <f>$I$25*$AT$25</f>
        <v>0</v>
      </c>
      <c r="AU80" s="61">
        <f>$I$25*$AU$25</f>
        <v>75264.909885488029</v>
      </c>
      <c r="AV80" s="61">
        <f>$I$25*$AV$25</f>
        <v>0</v>
      </c>
      <c r="AW80" s="61">
        <f>$I$25*$AW$25</f>
        <v>0</v>
      </c>
      <c r="AX80" s="61">
        <f>$I$25*$AX$25</f>
        <v>92087.558054016758</v>
      </c>
      <c r="AY80" s="61">
        <f>$I$25*$AY$25</f>
        <v>-15284.136815685553</v>
      </c>
      <c r="AZ80" s="61">
        <f>$I$25*$AZ$25</f>
        <v>0</v>
      </c>
      <c r="BA80" s="61">
        <f>$I$25*$BA$25</f>
        <v>13177.574483373595</v>
      </c>
      <c r="BB80" s="61">
        <f>$I$25*$BB$25</f>
        <v>98.982839479276265</v>
      </c>
      <c r="BC80" s="61">
        <f>$I$25*$BC$25</f>
        <v>608.84344161679314</v>
      </c>
      <c r="BD80" s="61">
        <f>$I$25*$BD$25</f>
        <v>177.50407453703062</v>
      </c>
    </row>
    <row r="81" spans="1:56" ht="11.25" customHeight="1" x14ac:dyDescent="0.3">
      <c r="A81" s="9" t="s">
        <v>22</v>
      </c>
      <c r="B81" s="9" t="s">
        <v>939</v>
      </c>
      <c r="C81" s="9" t="s">
        <v>940</v>
      </c>
      <c r="D81" s="9" t="s">
        <v>953</v>
      </c>
      <c r="E81" s="9" t="s">
        <v>954</v>
      </c>
      <c r="F81" s="9" t="s">
        <v>955</v>
      </c>
      <c r="G81" s="9" t="s">
        <v>956</v>
      </c>
      <c r="L81" s="61">
        <f>$I$26*$L$26</f>
        <v>0</v>
      </c>
      <c r="M81" s="61">
        <f>$I$26*$M$26</f>
        <v>755.4302497104278</v>
      </c>
      <c r="N81" s="61">
        <f ca="1">$I$26*$N$26</f>
        <v>3182.5776565719384</v>
      </c>
      <c r="O81" s="61">
        <f>$I$26*$O$26</f>
        <v>0</v>
      </c>
      <c r="P81" s="61">
        <f>$I$26*$P$26</f>
        <v>0</v>
      </c>
      <c r="Q81" s="61">
        <f>$I$26*$Q$26</f>
        <v>0</v>
      </c>
      <c r="R81" s="61">
        <f>$I$26*$R$26</f>
        <v>0</v>
      </c>
      <c r="S81" s="61">
        <f>$I$26*$S$26</f>
        <v>0</v>
      </c>
      <c r="T81" s="61">
        <f>$I$26*$T$26</f>
        <v>0</v>
      </c>
      <c r="U81" s="61">
        <f>$I$26*$U$26</f>
        <v>0</v>
      </c>
      <c r="V81" s="61">
        <f>$I$26*$V$26</f>
        <v>0</v>
      </c>
      <c r="W81" s="61">
        <f>$I$26*$W$26</f>
        <v>0</v>
      </c>
      <c r="X81" s="61">
        <f>$I$26*$X$26</f>
        <v>100360.70253754775</v>
      </c>
      <c r="Y81" s="61">
        <f>$I$26*$Y$26</f>
        <v>0</v>
      </c>
      <c r="Z81" s="61">
        <f>$I$26*$Z$26</f>
        <v>0</v>
      </c>
      <c r="AA81" s="61">
        <f>$I$26*$AA$26</f>
        <v>183190.18110590242</v>
      </c>
      <c r="AB81" s="61">
        <f ca="1">$I$26*$AB$26</f>
        <v>-38167.723213641424</v>
      </c>
      <c r="AC81" s="61">
        <f ca="1">$I$26*$AC$26</f>
        <v>0</v>
      </c>
      <c r="AD81" s="61">
        <f>$I$26*$AD$26</f>
        <v>16872.972382994671</v>
      </c>
      <c r="AE81" s="61">
        <f>$I$26*$AE$26</f>
        <v>172.56352092993433</v>
      </c>
      <c r="AF81" s="61">
        <f ca="1">$I$26*$AF$26</f>
        <v>634.29176308341698</v>
      </c>
      <c r="AG81" s="61">
        <f ca="1">$I$26*$AG$26</f>
        <v>264.870783219457</v>
      </c>
      <c r="AI81" s="61">
        <f>$I$26*$AI$26</f>
        <v>0</v>
      </c>
      <c r="AJ81" s="61">
        <f>$I$26*$AJ$26</f>
        <v>866.60207669942008</v>
      </c>
      <c r="AK81" s="61">
        <f>$I$26*$AK$26</f>
        <v>2815.1805719400313</v>
      </c>
      <c r="AL81" s="61">
        <f>$I$26*$AL$26</f>
        <v>0</v>
      </c>
      <c r="AM81" s="61">
        <f>$I$26*$AM$26</f>
        <v>0</v>
      </c>
      <c r="AN81" s="61">
        <f>$I$26*$AN$26</f>
        <v>0</v>
      </c>
      <c r="AO81" s="61">
        <f>$I$26*$AO$26</f>
        <v>0</v>
      </c>
      <c r="AP81" s="61">
        <f>$I$26*$AP$26</f>
        <v>0</v>
      </c>
      <c r="AQ81" s="61">
        <f>$I$26*$AQ$26</f>
        <v>0</v>
      </c>
      <c r="AR81" s="61">
        <f>$I$26*$AR$26</f>
        <v>0</v>
      </c>
      <c r="AS81" s="61">
        <f>$I$26*$AS$26</f>
        <v>0</v>
      </c>
      <c r="AT81" s="61">
        <f>$I$26*$AT$26</f>
        <v>0</v>
      </c>
      <c r="AU81" s="61">
        <f>$I$26*$AU$26</f>
        <v>112787.79598711817</v>
      </c>
      <c r="AV81" s="61">
        <f>$I$26*$AV$26</f>
        <v>0</v>
      </c>
      <c r="AW81" s="61">
        <f>$I$26*$AW$26</f>
        <v>0</v>
      </c>
      <c r="AX81" s="61">
        <f>$I$26*$AX$26</f>
        <v>137997.27823431449</v>
      </c>
      <c r="AY81" s="61">
        <f>$I$26*$AY$26</f>
        <v>-22903.954945664729</v>
      </c>
      <c r="AZ81" s="61">
        <f>$I$26*$AZ$26</f>
        <v>0</v>
      </c>
      <c r="BA81" s="61">
        <f>$I$26*$BA$26</f>
        <v>19747.178129849228</v>
      </c>
      <c r="BB81" s="61">
        <f>$I$26*$BB$26</f>
        <v>148.33016238775559</v>
      </c>
      <c r="BC81" s="61">
        <f>$I$26*$BC$26</f>
        <v>912.37882282258408</v>
      </c>
      <c r="BD81" s="61">
        <f>$I$26*$BD$26</f>
        <v>265.99770565359916</v>
      </c>
    </row>
    <row r="82" spans="1:56" ht="11.25" customHeight="1" x14ac:dyDescent="0.3">
      <c r="A82" s="9" t="s">
        <v>22</v>
      </c>
      <c r="B82" s="9" t="s">
        <v>939</v>
      </c>
      <c r="C82" s="9" t="s">
        <v>940</v>
      </c>
      <c r="D82" s="9" t="s">
        <v>957</v>
      </c>
      <c r="E82" s="9" t="s">
        <v>958</v>
      </c>
      <c r="F82" s="9" t="s">
        <v>959</v>
      </c>
      <c r="G82" s="9" t="s">
        <v>960</v>
      </c>
      <c r="L82" s="61">
        <f>$I$27*$L$27</f>
        <v>0</v>
      </c>
      <c r="M82" s="61">
        <f>$I$27*$M$27</f>
        <v>317.56971315168084</v>
      </c>
      <c r="N82" s="61">
        <f ca="1">$I$27*$N$27</f>
        <v>1337.9001884924753</v>
      </c>
      <c r="O82" s="61">
        <f>$I$27*$O$27</f>
        <v>0</v>
      </c>
      <c r="P82" s="61">
        <f>$I$27*$P$27</f>
        <v>0</v>
      </c>
      <c r="Q82" s="61">
        <f>$I$27*$Q$27</f>
        <v>0</v>
      </c>
      <c r="R82" s="61">
        <f>$I$27*$R$27</f>
        <v>0</v>
      </c>
      <c r="S82" s="61">
        <f>$I$27*$S$27</f>
        <v>0</v>
      </c>
      <c r="T82" s="61">
        <f>$I$27*$T$27</f>
        <v>0</v>
      </c>
      <c r="U82" s="61">
        <f>$I$27*$U$27</f>
        <v>0</v>
      </c>
      <c r="V82" s="61">
        <f>$I$27*$V$27</f>
        <v>0</v>
      </c>
      <c r="W82" s="61">
        <f>$I$27*$W$27</f>
        <v>0</v>
      </c>
      <c r="X82" s="61">
        <f>$I$27*$X$27</f>
        <v>42189.890501164373</v>
      </c>
      <c r="Y82" s="61">
        <f>$I$27*$Y$27</f>
        <v>0</v>
      </c>
      <c r="Z82" s="61">
        <f>$I$27*$Z$27</f>
        <v>0</v>
      </c>
      <c r="AA82" s="61">
        <f>$I$27*$AA$27</f>
        <v>77009.959937804757</v>
      </c>
      <c r="AB82" s="61">
        <f ca="1">$I$27*$AB$27</f>
        <v>-16045.045743475401</v>
      </c>
      <c r="AC82" s="61">
        <f ca="1">$I$27*$AC$27</f>
        <v>0</v>
      </c>
      <c r="AD82" s="61">
        <f>$I$27*$AD$27</f>
        <v>7093.1035681160711</v>
      </c>
      <c r="AE82" s="61">
        <f>$I$27*$AE$27</f>
        <v>72.542697175774549</v>
      </c>
      <c r="AF82" s="61">
        <f ca="1">$I$27*$AF$27</f>
        <v>266.64520428469433</v>
      </c>
      <c r="AG82" s="61">
        <f ca="1">$I$27*$AG$27</f>
        <v>111.34706173271061</v>
      </c>
      <c r="AI82" s="61">
        <f>$I$27*$AI$27</f>
        <v>0</v>
      </c>
      <c r="AJ82" s="61">
        <f>$I$27*$AJ$27</f>
        <v>364.30441198188402</v>
      </c>
      <c r="AK82" s="61">
        <f>$I$27*$AK$27</f>
        <v>1183.452856228457</v>
      </c>
      <c r="AL82" s="61">
        <f>$I$27*$AL$27</f>
        <v>0</v>
      </c>
      <c r="AM82" s="61">
        <f>$I$27*$AM$27</f>
        <v>0</v>
      </c>
      <c r="AN82" s="61">
        <f>$I$27*$AN$27</f>
        <v>0</v>
      </c>
      <c r="AO82" s="61">
        <f>$I$27*$AO$27</f>
        <v>0</v>
      </c>
      <c r="AP82" s="61">
        <f>$I$27*$AP$27</f>
        <v>0</v>
      </c>
      <c r="AQ82" s="61">
        <f>$I$27*$AQ$27</f>
        <v>0</v>
      </c>
      <c r="AR82" s="61">
        <f>$I$27*$AR$27</f>
        <v>0</v>
      </c>
      <c r="AS82" s="61">
        <f>$I$27*$AS$27</f>
        <v>0</v>
      </c>
      <c r="AT82" s="61">
        <f>$I$27*$AT$27</f>
        <v>0</v>
      </c>
      <c r="AU82" s="61">
        <f>$I$27*$AU$27</f>
        <v>47414.024037784002</v>
      </c>
      <c r="AV82" s="61">
        <f>$I$27*$AV$27</f>
        <v>0</v>
      </c>
      <c r="AW82" s="61">
        <f>$I$27*$AW$27</f>
        <v>0</v>
      </c>
      <c r="AX82" s="61">
        <f>$I$27*$AX$27</f>
        <v>58011.651084110577</v>
      </c>
      <c r="AY82" s="61">
        <f>$I$27*$AY$27</f>
        <v>-9628.4235439630702</v>
      </c>
      <c r="AZ82" s="61">
        <f>$I$27*$AZ$27</f>
        <v>0</v>
      </c>
      <c r="BA82" s="61">
        <f>$I$27*$BA$27</f>
        <v>8301.3695793294137</v>
      </c>
      <c r="BB82" s="61">
        <f>$I$27*$BB$27</f>
        <v>62.355415525494593</v>
      </c>
      <c r="BC82" s="61">
        <f>$I$27*$BC$27</f>
        <v>383.54815836472216</v>
      </c>
      <c r="BD82" s="61">
        <f>$I$27*$BD$27</f>
        <v>111.82080028672276</v>
      </c>
    </row>
    <row r="83" spans="1:56" ht="11.25" customHeight="1" x14ac:dyDescent="0.3">
      <c r="A83" s="9" t="s">
        <v>22</v>
      </c>
      <c r="B83" s="9" t="s">
        <v>961</v>
      </c>
      <c r="C83" s="9" t="s">
        <v>962</v>
      </c>
      <c r="D83" s="9" t="s">
        <v>963</v>
      </c>
      <c r="E83" s="9" t="s">
        <v>964</v>
      </c>
      <c r="F83" s="9" t="s">
        <v>965</v>
      </c>
      <c r="G83" s="9" t="s">
        <v>966</v>
      </c>
      <c r="L83" s="61">
        <f>$I$28*$L$28</f>
        <v>0</v>
      </c>
      <c r="M83" s="61">
        <f>$I$28*$M$28</f>
        <v>0</v>
      </c>
      <c r="N83" s="61">
        <f ca="1">$I$28*$N$28</f>
        <v>0</v>
      </c>
      <c r="O83" s="61">
        <f>$I$28*$O$28</f>
        <v>0</v>
      </c>
      <c r="P83" s="61">
        <f>$I$28*$P$28</f>
        <v>0</v>
      </c>
      <c r="Q83" s="61">
        <f>$I$28*$Q$28</f>
        <v>0</v>
      </c>
      <c r="R83" s="61">
        <f>$I$28*$R$28</f>
        <v>0</v>
      </c>
      <c r="S83" s="61">
        <f>$I$28*$S$28</f>
        <v>0</v>
      </c>
      <c r="T83" s="61">
        <f>$I$28*$T$28</f>
        <v>0</v>
      </c>
      <c r="U83" s="61">
        <f>$I$28*$U$28</f>
        <v>0</v>
      </c>
      <c r="V83" s="61">
        <f>$I$28*$V$28</f>
        <v>0</v>
      </c>
      <c r="W83" s="61">
        <f>$I$28*$W$28</f>
        <v>0</v>
      </c>
      <c r="X83" s="61">
        <f>$I$28*$X$28</f>
        <v>0</v>
      </c>
      <c r="Y83" s="61">
        <f>$I$28*$Y$28</f>
        <v>0</v>
      </c>
      <c r="Z83" s="61">
        <f>$I$28*$Z$28</f>
        <v>0</v>
      </c>
      <c r="AA83" s="61">
        <f>$I$28*$AA$28</f>
        <v>0</v>
      </c>
      <c r="AB83" s="61">
        <f ca="1">$I$28*$AB$28</f>
        <v>0</v>
      </c>
      <c r="AC83" s="61">
        <f ca="1">$I$28*$AC$28</f>
        <v>0</v>
      </c>
      <c r="AD83" s="61">
        <f>$I$28*$AD$28</f>
        <v>0</v>
      </c>
      <c r="AE83" s="61">
        <f>$I$28*$AE$28</f>
        <v>0</v>
      </c>
      <c r="AF83" s="61">
        <f ca="1">$I$28*$AF$28</f>
        <v>0</v>
      </c>
      <c r="AG83" s="61">
        <f ca="1">$I$28*$AG$28</f>
        <v>0</v>
      </c>
      <c r="AI83" s="61">
        <f>$I$28*$AI$28</f>
        <v>0</v>
      </c>
      <c r="AJ83" s="61">
        <f>$I$28*$AJ$28</f>
        <v>0</v>
      </c>
      <c r="AK83" s="61">
        <f>$I$28*$AK$28</f>
        <v>0</v>
      </c>
      <c r="AL83" s="61">
        <f>$I$28*$AL$28</f>
        <v>0</v>
      </c>
      <c r="AM83" s="61">
        <f>$I$28*$AM$28</f>
        <v>0</v>
      </c>
      <c r="AN83" s="61">
        <f>$I$28*$AN$28</f>
        <v>0</v>
      </c>
      <c r="AO83" s="61">
        <f>$I$28*$AO$28</f>
        <v>0</v>
      </c>
      <c r="AP83" s="61">
        <f>$I$28*$AP$28</f>
        <v>0</v>
      </c>
      <c r="AQ83" s="61">
        <f>$I$28*$AQ$28</f>
        <v>0</v>
      </c>
      <c r="AR83" s="61">
        <f>$I$28*$AR$28</f>
        <v>0</v>
      </c>
      <c r="AS83" s="61">
        <f>$I$28*$AS$28</f>
        <v>0</v>
      </c>
      <c r="AT83" s="61">
        <f>$I$28*$AT$28</f>
        <v>0</v>
      </c>
      <c r="AU83" s="61">
        <f>$I$28*$AU$28</f>
        <v>0</v>
      </c>
      <c r="AV83" s="61">
        <f>$I$28*$AV$28</f>
        <v>0</v>
      </c>
      <c r="AW83" s="61">
        <f>$I$28*$AW$28</f>
        <v>0</v>
      </c>
      <c r="AX83" s="61">
        <f>$I$28*$AX$28</f>
        <v>0</v>
      </c>
      <c r="AY83" s="61">
        <f>$I$28*$AY$28</f>
        <v>0</v>
      </c>
      <c r="AZ83" s="61">
        <f>$I$28*$AZ$28</f>
        <v>0</v>
      </c>
      <c r="BA83" s="61">
        <f>$I$28*$BA$28</f>
        <v>0</v>
      </c>
      <c r="BB83" s="61">
        <f>$I$28*$BB$28</f>
        <v>0</v>
      </c>
      <c r="BC83" s="61">
        <f>$I$28*$BC$28</f>
        <v>0</v>
      </c>
      <c r="BD83" s="61">
        <f>$I$28*$BD$28</f>
        <v>0</v>
      </c>
    </row>
    <row r="84" spans="1:56" ht="11.25" customHeight="1" x14ac:dyDescent="0.3">
      <c r="A84" s="9" t="s">
        <v>22</v>
      </c>
      <c r="B84" s="9" t="s">
        <v>961</v>
      </c>
      <c r="C84" s="9" t="s">
        <v>962</v>
      </c>
      <c r="D84" s="9" t="s">
        <v>967</v>
      </c>
      <c r="E84" s="9" t="s">
        <v>968</v>
      </c>
      <c r="F84" s="9" t="s">
        <v>969</v>
      </c>
      <c r="G84" s="9" t="s">
        <v>970</v>
      </c>
      <c r="L84" s="61">
        <f>$I$29*$L$29</f>
        <v>0</v>
      </c>
      <c r="M84" s="61">
        <f>$I$29*$M$29</f>
        <v>0</v>
      </c>
      <c r="N84" s="61">
        <f ca="1">$I$29*$N$29</f>
        <v>0</v>
      </c>
      <c r="O84" s="61">
        <f>$I$29*$O$29</f>
        <v>0</v>
      </c>
      <c r="P84" s="61">
        <f>$I$29*$P$29</f>
        <v>0</v>
      </c>
      <c r="Q84" s="61">
        <f>$I$29*$Q$29</f>
        <v>0</v>
      </c>
      <c r="R84" s="61">
        <f>$I$29*$R$29</f>
        <v>0</v>
      </c>
      <c r="S84" s="61">
        <f>$I$29*$S$29</f>
        <v>0</v>
      </c>
      <c r="T84" s="61">
        <f>$I$29*$T$29</f>
        <v>0</v>
      </c>
      <c r="U84" s="61">
        <f>$I$29*$U$29</f>
        <v>0</v>
      </c>
      <c r="V84" s="61">
        <f>$I$29*$V$29</f>
        <v>0</v>
      </c>
      <c r="W84" s="61">
        <f>$I$29*$W$29</f>
        <v>0</v>
      </c>
      <c r="X84" s="61">
        <f>$I$29*$X$29</f>
        <v>0</v>
      </c>
      <c r="Y84" s="61">
        <f>$I$29*$Y$29</f>
        <v>0</v>
      </c>
      <c r="Z84" s="61">
        <f>$I$29*$Z$29</f>
        <v>0</v>
      </c>
      <c r="AA84" s="61">
        <f>$I$29*$AA$29</f>
        <v>0</v>
      </c>
      <c r="AB84" s="61">
        <f ca="1">$I$29*$AB$29</f>
        <v>0</v>
      </c>
      <c r="AC84" s="61">
        <f ca="1">$I$29*$AC$29</f>
        <v>0</v>
      </c>
      <c r="AD84" s="61">
        <f>$I$29*$AD$29</f>
        <v>0</v>
      </c>
      <c r="AE84" s="61">
        <f>$I$29*$AE$29</f>
        <v>0</v>
      </c>
      <c r="AF84" s="61">
        <f ca="1">$I$29*$AF$29</f>
        <v>0</v>
      </c>
      <c r="AG84" s="61">
        <f ca="1">$I$29*$AG$29</f>
        <v>0</v>
      </c>
      <c r="AI84" s="61">
        <f>$I$29*$AI$29</f>
        <v>0</v>
      </c>
      <c r="AJ84" s="61">
        <f>$I$29*$AJ$29</f>
        <v>0</v>
      </c>
      <c r="AK84" s="61">
        <f>$I$29*$AK$29</f>
        <v>0</v>
      </c>
      <c r="AL84" s="61">
        <f>$I$29*$AL$29</f>
        <v>0</v>
      </c>
      <c r="AM84" s="61">
        <f>$I$29*$AM$29</f>
        <v>0</v>
      </c>
      <c r="AN84" s="61">
        <f>$I$29*$AN$29</f>
        <v>0</v>
      </c>
      <c r="AO84" s="61">
        <f>$I$29*$AO$29</f>
        <v>0</v>
      </c>
      <c r="AP84" s="61">
        <f>$I$29*$AP$29</f>
        <v>0</v>
      </c>
      <c r="AQ84" s="61">
        <f>$I$29*$AQ$29</f>
        <v>0</v>
      </c>
      <c r="AR84" s="61">
        <f>$I$29*$AR$29</f>
        <v>0</v>
      </c>
      <c r="AS84" s="61">
        <f>$I$29*$AS$29</f>
        <v>0</v>
      </c>
      <c r="AT84" s="61">
        <f>$I$29*$AT$29</f>
        <v>0</v>
      </c>
      <c r="AU84" s="61">
        <f>$I$29*$AU$29</f>
        <v>0</v>
      </c>
      <c r="AV84" s="61">
        <f>$I$29*$AV$29</f>
        <v>0</v>
      </c>
      <c r="AW84" s="61">
        <f>$I$29*$AW$29</f>
        <v>0</v>
      </c>
      <c r="AX84" s="61">
        <f>$I$29*$AX$29</f>
        <v>0</v>
      </c>
      <c r="AY84" s="61">
        <f>$I$29*$AY$29</f>
        <v>0</v>
      </c>
      <c r="AZ84" s="61">
        <f>$I$29*$AZ$29</f>
        <v>0</v>
      </c>
      <c r="BA84" s="61">
        <f>$I$29*$BA$29</f>
        <v>0</v>
      </c>
      <c r="BB84" s="61">
        <f>$I$29*$BB$29</f>
        <v>0</v>
      </c>
      <c r="BC84" s="61">
        <f>$I$29*$BC$29</f>
        <v>0</v>
      </c>
      <c r="BD84" s="61">
        <f>$I$29*$BD$29</f>
        <v>0</v>
      </c>
    </row>
    <row r="85" spans="1:56" ht="11.25" customHeight="1" x14ac:dyDescent="0.3">
      <c r="A85" s="9" t="s">
        <v>22</v>
      </c>
      <c r="B85" s="9" t="s">
        <v>961</v>
      </c>
      <c r="C85" s="9" t="s">
        <v>962</v>
      </c>
      <c r="D85" s="9" t="s">
        <v>971</v>
      </c>
      <c r="E85" s="9" t="s">
        <v>972</v>
      </c>
      <c r="F85" s="9" t="s">
        <v>973</v>
      </c>
      <c r="G85" s="9" t="s">
        <v>974</v>
      </c>
      <c r="L85" s="61">
        <f>$I$30*$L$30</f>
        <v>0</v>
      </c>
      <c r="M85" s="61">
        <f>$I$30*$M$30</f>
        <v>0</v>
      </c>
      <c r="N85" s="61">
        <f ca="1">$I$30*$N$30</f>
        <v>0</v>
      </c>
      <c r="O85" s="61">
        <f>$I$30*$O$30</f>
        <v>0</v>
      </c>
      <c r="P85" s="61">
        <f>$I$30*$P$30</f>
        <v>0</v>
      </c>
      <c r="Q85" s="61">
        <f>$I$30*$Q$30</f>
        <v>0</v>
      </c>
      <c r="R85" s="61">
        <f>$I$30*$R$30</f>
        <v>0</v>
      </c>
      <c r="S85" s="61">
        <f>$I$30*$S$30</f>
        <v>0</v>
      </c>
      <c r="T85" s="61">
        <f>$I$30*$T$30</f>
        <v>0</v>
      </c>
      <c r="U85" s="61">
        <f>$I$30*$U$30</f>
        <v>0</v>
      </c>
      <c r="V85" s="61">
        <f>$I$30*$V$30</f>
        <v>0</v>
      </c>
      <c r="W85" s="61">
        <f>$I$30*$W$30</f>
        <v>0</v>
      </c>
      <c r="X85" s="61">
        <f>$I$30*$X$30</f>
        <v>0</v>
      </c>
      <c r="Y85" s="61">
        <f>$I$30*$Y$30</f>
        <v>0</v>
      </c>
      <c r="Z85" s="61">
        <f>$I$30*$Z$30</f>
        <v>0</v>
      </c>
      <c r="AA85" s="61">
        <f>$I$30*$AA$30</f>
        <v>0</v>
      </c>
      <c r="AB85" s="61">
        <f ca="1">$I$30*$AB$30</f>
        <v>0</v>
      </c>
      <c r="AC85" s="61">
        <f ca="1">$I$30*$AC$30</f>
        <v>0</v>
      </c>
      <c r="AD85" s="61">
        <f>$I$30*$AD$30</f>
        <v>0</v>
      </c>
      <c r="AE85" s="61">
        <f>$I$30*$AE$30</f>
        <v>0</v>
      </c>
      <c r="AF85" s="61">
        <f ca="1">$I$30*$AF$30</f>
        <v>0</v>
      </c>
      <c r="AG85" s="61">
        <f ca="1">$I$30*$AG$30</f>
        <v>0</v>
      </c>
      <c r="AI85" s="61">
        <f>$I$30*$AI$30</f>
        <v>0</v>
      </c>
      <c r="AJ85" s="61">
        <f>$I$30*$AJ$30</f>
        <v>0</v>
      </c>
      <c r="AK85" s="61">
        <f>$I$30*$AK$30</f>
        <v>0</v>
      </c>
      <c r="AL85" s="61">
        <f>$I$30*$AL$30</f>
        <v>0</v>
      </c>
      <c r="AM85" s="61">
        <f>$I$30*$AM$30</f>
        <v>0</v>
      </c>
      <c r="AN85" s="61">
        <f>$I$30*$AN$30</f>
        <v>0</v>
      </c>
      <c r="AO85" s="61">
        <f>$I$30*$AO$30</f>
        <v>0</v>
      </c>
      <c r="AP85" s="61">
        <f>$I$30*$AP$30</f>
        <v>0</v>
      </c>
      <c r="AQ85" s="61">
        <f>$I$30*$AQ$30</f>
        <v>0</v>
      </c>
      <c r="AR85" s="61">
        <f>$I$30*$AR$30</f>
        <v>0</v>
      </c>
      <c r="AS85" s="61">
        <f>$I$30*$AS$30</f>
        <v>0</v>
      </c>
      <c r="AT85" s="61">
        <f>$I$30*$AT$30</f>
        <v>0</v>
      </c>
      <c r="AU85" s="61">
        <f>$I$30*$AU$30</f>
        <v>0</v>
      </c>
      <c r="AV85" s="61">
        <f>$I$30*$AV$30</f>
        <v>0</v>
      </c>
      <c r="AW85" s="61">
        <f>$I$30*$AW$30</f>
        <v>0</v>
      </c>
      <c r="AX85" s="61">
        <f>$I$30*$AX$30</f>
        <v>0</v>
      </c>
      <c r="AY85" s="61">
        <f>$I$30*$AY$30</f>
        <v>0</v>
      </c>
      <c r="AZ85" s="61">
        <f>$I$30*$AZ$30</f>
        <v>0</v>
      </c>
      <c r="BA85" s="61">
        <f>$I$30*$BA$30</f>
        <v>0</v>
      </c>
      <c r="BB85" s="61">
        <f>$I$30*$BB$30</f>
        <v>0</v>
      </c>
      <c r="BC85" s="61">
        <f>$I$30*$BC$30</f>
        <v>0</v>
      </c>
      <c r="BD85" s="61">
        <f>$I$30*$BD$30</f>
        <v>0</v>
      </c>
    </row>
    <row r="86" spans="1:56" ht="11.25" customHeight="1" x14ac:dyDescent="0.3">
      <c r="A86" s="9" t="s">
        <v>22</v>
      </c>
      <c r="B86" s="9" t="s">
        <v>961</v>
      </c>
      <c r="C86" s="9" t="s">
        <v>962</v>
      </c>
      <c r="D86" s="9" t="s">
        <v>975</v>
      </c>
      <c r="E86" s="9" t="s">
        <v>976</v>
      </c>
      <c r="F86" s="9" t="s">
        <v>977</v>
      </c>
      <c r="G86" s="9" t="s">
        <v>978</v>
      </c>
      <c r="L86" s="61">
        <f>$I$31*$L$31</f>
        <v>0</v>
      </c>
      <c r="M86" s="61">
        <f>$I$31*$M$31</f>
        <v>0</v>
      </c>
      <c r="N86" s="61">
        <f ca="1">$I$31*$N$31</f>
        <v>0</v>
      </c>
      <c r="O86" s="61">
        <f>$I$31*$O$31</f>
        <v>0</v>
      </c>
      <c r="P86" s="61">
        <f>$I$31*$P$31</f>
        <v>0</v>
      </c>
      <c r="Q86" s="61">
        <f>$I$31*$Q$31</f>
        <v>0</v>
      </c>
      <c r="R86" s="61">
        <f>$I$31*$R$31</f>
        <v>0</v>
      </c>
      <c r="S86" s="61">
        <f>$I$31*$S$31</f>
        <v>0</v>
      </c>
      <c r="T86" s="61">
        <f>$I$31*$T$31</f>
        <v>0</v>
      </c>
      <c r="U86" s="61">
        <f>$I$31*$U$31</f>
        <v>0</v>
      </c>
      <c r="V86" s="61">
        <f>$I$31*$V$31</f>
        <v>0</v>
      </c>
      <c r="W86" s="61">
        <f>$I$31*$W$31</f>
        <v>0</v>
      </c>
      <c r="X86" s="61">
        <f>$I$31*$X$31</f>
        <v>0</v>
      </c>
      <c r="Y86" s="61">
        <f>$I$31*$Y$31</f>
        <v>0</v>
      </c>
      <c r="Z86" s="61">
        <f>$I$31*$Z$31</f>
        <v>0</v>
      </c>
      <c r="AA86" s="61">
        <f>$I$31*$AA$31</f>
        <v>0</v>
      </c>
      <c r="AB86" s="61">
        <f ca="1">$I$31*$AB$31</f>
        <v>0</v>
      </c>
      <c r="AC86" s="61">
        <f ca="1">$I$31*$AC$31</f>
        <v>0</v>
      </c>
      <c r="AD86" s="61">
        <f>$I$31*$AD$31</f>
        <v>0</v>
      </c>
      <c r="AE86" s="61">
        <f>$I$31*$AE$31</f>
        <v>0</v>
      </c>
      <c r="AF86" s="61">
        <f ca="1">$I$31*$AF$31</f>
        <v>0</v>
      </c>
      <c r="AG86" s="61">
        <f ca="1">$I$31*$AG$31</f>
        <v>0</v>
      </c>
      <c r="AI86" s="61">
        <f>$I$31*$AI$31</f>
        <v>0</v>
      </c>
      <c r="AJ86" s="61">
        <f>$I$31*$AJ$31</f>
        <v>0</v>
      </c>
      <c r="AK86" s="61">
        <f>$I$31*$AK$31</f>
        <v>0</v>
      </c>
      <c r="AL86" s="61">
        <f>$I$31*$AL$31</f>
        <v>0</v>
      </c>
      <c r="AM86" s="61">
        <f>$I$31*$AM$31</f>
        <v>0</v>
      </c>
      <c r="AN86" s="61">
        <f>$I$31*$AN$31</f>
        <v>0</v>
      </c>
      <c r="AO86" s="61">
        <f>$I$31*$AO$31</f>
        <v>0</v>
      </c>
      <c r="AP86" s="61">
        <f>$I$31*$AP$31</f>
        <v>0</v>
      </c>
      <c r="AQ86" s="61">
        <f>$I$31*$AQ$31</f>
        <v>0</v>
      </c>
      <c r="AR86" s="61">
        <f>$I$31*$AR$31</f>
        <v>0</v>
      </c>
      <c r="AS86" s="61">
        <f>$I$31*$AS$31</f>
        <v>0</v>
      </c>
      <c r="AT86" s="61">
        <f>$I$31*$AT$31</f>
        <v>0</v>
      </c>
      <c r="AU86" s="61">
        <f>$I$31*$AU$31</f>
        <v>0</v>
      </c>
      <c r="AV86" s="61">
        <f>$I$31*$AV$31</f>
        <v>0</v>
      </c>
      <c r="AW86" s="61">
        <f>$I$31*$AW$31</f>
        <v>0</v>
      </c>
      <c r="AX86" s="61">
        <f>$I$31*$AX$31</f>
        <v>0</v>
      </c>
      <c r="AY86" s="61">
        <f>$I$31*$AY$31</f>
        <v>0</v>
      </c>
      <c r="AZ86" s="61">
        <f>$I$31*$AZ$31</f>
        <v>0</v>
      </c>
      <c r="BA86" s="61">
        <f>$I$31*$BA$31</f>
        <v>0</v>
      </c>
      <c r="BB86" s="61">
        <f>$I$31*$BB$31</f>
        <v>0</v>
      </c>
      <c r="BC86" s="61">
        <f>$I$31*$BC$31</f>
        <v>0</v>
      </c>
      <c r="BD86" s="61">
        <f>$I$31*$BD$31</f>
        <v>0</v>
      </c>
    </row>
    <row r="87" spans="1:56" ht="11.25" customHeight="1" x14ac:dyDescent="0.3">
      <c r="A87" s="9" t="s">
        <v>22</v>
      </c>
      <c r="B87" s="9" t="s">
        <v>961</v>
      </c>
      <c r="C87" s="9" t="s">
        <v>962</v>
      </c>
      <c r="D87" s="9" t="s">
        <v>979</v>
      </c>
      <c r="E87" s="9" t="s">
        <v>980</v>
      </c>
      <c r="F87" s="9" t="s">
        <v>981</v>
      </c>
      <c r="G87" s="9" t="s">
        <v>982</v>
      </c>
      <c r="L87" s="61">
        <f>$I$32*$L$32</f>
        <v>0</v>
      </c>
      <c r="M87" s="61">
        <f>$I$32*$M$32</f>
        <v>0</v>
      </c>
      <c r="N87" s="61">
        <f ca="1">$I$32*$N$32</f>
        <v>0</v>
      </c>
      <c r="O87" s="61">
        <f>$I$32*$O$32</f>
        <v>0</v>
      </c>
      <c r="P87" s="61">
        <f>$I$32*$P$32</f>
        <v>0</v>
      </c>
      <c r="Q87" s="61">
        <f>$I$32*$Q$32</f>
        <v>0</v>
      </c>
      <c r="R87" s="61">
        <f>$I$32*$R$32</f>
        <v>0</v>
      </c>
      <c r="S87" s="61">
        <f>$I$32*$S$32</f>
        <v>0</v>
      </c>
      <c r="T87" s="61">
        <f>$I$32*$T$32</f>
        <v>0</v>
      </c>
      <c r="U87" s="61">
        <f>$I$32*$U$32</f>
        <v>0</v>
      </c>
      <c r="V87" s="61">
        <f>$I$32*$V$32</f>
        <v>0</v>
      </c>
      <c r="W87" s="61">
        <f>$I$32*$W$32</f>
        <v>0</v>
      </c>
      <c r="X87" s="61">
        <f>$I$32*$X$32</f>
        <v>0</v>
      </c>
      <c r="Y87" s="61">
        <f>$I$32*$Y$32</f>
        <v>0</v>
      </c>
      <c r="Z87" s="61">
        <f>$I$32*$Z$32</f>
        <v>0</v>
      </c>
      <c r="AA87" s="61">
        <f>$I$32*$AA$32</f>
        <v>0</v>
      </c>
      <c r="AB87" s="61">
        <f ca="1">$I$32*$AB$32</f>
        <v>0</v>
      </c>
      <c r="AC87" s="61">
        <f ca="1">$I$32*$AC$32</f>
        <v>0</v>
      </c>
      <c r="AD87" s="61">
        <f>$I$32*$AD$32</f>
        <v>0</v>
      </c>
      <c r="AE87" s="61">
        <f>$I$32*$AE$32</f>
        <v>0</v>
      </c>
      <c r="AF87" s="61">
        <f ca="1">$I$32*$AF$32</f>
        <v>0</v>
      </c>
      <c r="AG87" s="61">
        <f ca="1">$I$32*$AG$32</f>
        <v>0</v>
      </c>
      <c r="AI87" s="61">
        <f>$I$32*$AI$32</f>
        <v>0</v>
      </c>
      <c r="AJ87" s="61">
        <f>$I$32*$AJ$32</f>
        <v>0</v>
      </c>
      <c r="AK87" s="61">
        <f>$I$32*$AK$32</f>
        <v>0</v>
      </c>
      <c r="AL87" s="61">
        <f>$I$32*$AL$32</f>
        <v>0</v>
      </c>
      <c r="AM87" s="61">
        <f>$I$32*$AM$32</f>
        <v>0</v>
      </c>
      <c r="AN87" s="61">
        <f>$I$32*$AN$32</f>
        <v>0</v>
      </c>
      <c r="AO87" s="61">
        <f>$I$32*$AO$32</f>
        <v>0</v>
      </c>
      <c r="AP87" s="61">
        <f>$I$32*$AP$32</f>
        <v>0</v>
      </c>
      <c r="AQ87" s="61">
        <f>$I$32*$AQ$32</f>
        <v>0</v>
      </c>
      <c r="AR87" s="61">
        <f>$I$32*$AR$32</f>
        <v>0</v>
      </c>
      <c r="AS87" s="61">
        <f>$I$32*$AS$32</f>
        <v>0</v>
      </c>
      <c r="AT87" s="61">
        <f>$I$32*$AT$32</f>
        <v>0</v>
      </c>
      <c r="AU87" s="61">
        <f>$I$32*$AU$32</f>
        <v>0</v>
      </c>
      <c r="AV87" s="61">
        <f>$I$32*$AV$32</f>
        <v>0</v>
      </c>
      <c r="AW87" s="61">
        <f>$I$32*$AW$32</f>
        <v>0</v>
      </c>
      <c r="AX87" s="61">
        <f>$I$32*$AX$32</f>
        <v>0</v>
      </c>
      <c r="AY87" s="61">
        <f>$I$32*$AY$32</f>
        <v>0</v>
      </c>
      <c r="AZ87" s="61">
        <f>$I$32*$AZ$32</f>
        <v>0</v>
      </c>
      <c r="BA87" s="61">
        <f>$I$32*$BA$32</f>
        <v>0</v>
      </c>
      <c r="BB87" s="61">
        <f>$I$32*$BB$32</f>
        <v>0</v>
      </c>
      <c r="BC87" s="61">
        <f>$I$32*$BC$32</f>
        <v>0</v>
      </c>
      <c r="BD87" s="61">
        <f>$I$32*$BD$32</f>
        <v>0</v>
      </c>
    </row>
    <row r="88" spans="1:56" ht="11.25" customHeight="1" x14ac:dyDescent="0.3">
      <c r="A88" s="9" t="s">
        <v>42</v>
      </c>
      <c r="B88" s="9" t="s">
        <v>983</v>
      </c>
      <c r="C88" s="9" t="s">
        <v>984</v>
      </c>
      <c r="D88" s="9" t="s">
        <v>985</v>
      </c>
      <c r="E88" s="9" t="s">
        <v>986</v>
      </c>
      <c r="F88" s="9" t="s">
        <v>987</v>
      </c>
      <c r="G88" s="9" t="s">
        <v>988</v>
      </c>
      <c r="L88" s="61">
        <f>$I$33*$L$33</f>
        <v>1.1954971216197587</v>
      </c>
      <c r="M88" s="61">
        <f>$I$33*$M$33</f>
        <v>0.32514891971424248</v>
      </c>
      <c r="N88" s="61">
        <f ca="1">$I$33*$N$33</f>
        <v>3.8301958281392121</v>
      </c>
      <c r="O88" s="61">
        <f>$I$33*$O$33</f>
        <v>0</v>
      </c>
      <c r="P88" s="61">
        <f>$I$33*$P$33</f>
        <v>0</v>
      </c>
      <c r="Q88" s="61">
        <f>$I$33*$Q$33</f>
        <v>33.852354269611411</v>
      </c>
      <c r="R88" s="61">
        <f>$I$33*$R$33</f>
        <v>5.7237184059991915</v>
      </c>
      <c r="S88" s="61">
        <f>$I$33*$S$33</f>
        <v>0</v>
      </c>
      <c r="T88" s="61">
        <f>$I$33*$T$33</f>
        <v>0</v>
      </c>
      <c r="U88" s="61">
        <f>$I$33*$U$33</f>
        <v>0</v>
      </c>
      <c r="V88" s="61">
        <f>$I$33*$V$33</f>
        <v>0</v>
      </c>
      <c r="W88" s="61">
        <f>$I$33*$W$33</f>
        <v>0</v>
      </c>
      <c r="X88" s="61">
        <f>$I$33*$X$33</f>
        <v>136.069962199277</v>
      </c>
      <c r="Y88" s="61">
        <f>$I$33*$Y$33</f>
        <v>0</v>
      </c>
      <c r="Z88" s="61">
        <f>$I$33*$Z$33</f>
        <v>0</v>
      </c>
      <c r="AA88" s="61">
        <f>$I$33*$AA$33</f>
        <v>248.37088390441676</v>
      </c>
      <c r="AB88" s="61">
        <f ca="1">$I$33*$AB$33</f>
        <v>-53.928270858228295</v>
      </c>
      <c r="AC88" s="61">
        <f ca="1">$I$33*$AC$33</f>
        <v>0</v>
      </c>
      <c r="AD88" s="61">
        <f>$I$33*$AD$33</f>
        <v>7.2623895386793826</v>
      </c>
      <c r="AE88" s="61">
        <f>$I$33*$AE$33</f>
        <v>7.4274021240163343E-2</v>
      </c>
      <c r="AF88" s="61">
        <f ca="1">$I$33*$AF$33</f>
        <v>0.27300903244114344</v>
      </c>
      <c r="AG88" s="61">
        <f ca="1">$I$33*$AG$33</f>
        <v>0.11400450148863417</v>
      </c>
      <c r="AI88" s="61">
        <f>$I$33*$AI$33</f>
        <v>1.0829978979854593</v>
      </c>
      <c r="AJ88" s="61">
        <f>$I$33*$AJ$33</f>
        <v>0.34919055486348582</v>
      </c>
      <c r="AK88" s="61">
        <f>$I$33*$AK$33</f>
        <v>2.7727131192571832</v>
      </c>
      <c r="AL88" s="61">
        <f>$I$33*$AL$33</f>
        <v>0</v>
      </c>
      <c r="AM88" s="61">
        <f>$I$33*$AM$33</f>
        <v>0</v>
      </c>
      <c r="AN88" s="61">
        <f>$I$33*$AN$33</f>
        <v>24.64539082045993</v>
      </c>
      <c r="AO88" s="61">
        <f>$I$33*$AO$33</f>
        <v>3.6985663365743062</v>
      </c>
      <c r="AP88" s="61">
        <f>$I$33*$AP$33</f>
        <v>0</v>
      </c>
      <c r="AQ88" s="61">
        <f>$I$33*$AQ$33</f>
        <v>0</v>
      </c>
      <c r="AR88" s="61">
        <f>$I$33*$AR$33</f>
        <v>0</v>
      </c>
      <c r="AS88" s="61">
        <f>$I$33*$AS$33</f>
        <v>0</v>
      </c>
      <c r="AT88" s="61">
        <f>$I$33*$AT$33</f>
        <v>0</v>
      </c>
      <c r="AU88" s="61">
        <f>$I$33*$AU$33</f>
        <v>127.25137351390677</v>
      </c>
      <c r="AV88" s="61">
        <f>$I$33*$AV$33</f>
        <v>0</v>
      </c>
      <c r="AW88" s="61">
        <f>$I$33*$AW$33</f>
        <v>0</v>
      </c>
      <c r="AX88" s="61">
        <f>$I$33*$AX$33</f>
        <v>155.69379864804262</v>
      </c>
      <c r="AY88" s="61">
        <f>$I$33*$AY$33</f>
        <v>-26.471250222192211</v>
      </c>
      <c r="AZ88" s="61">
        <f>$I$33*$AZ$33</f>
        <v>0</v>
      </c>
      <c r="BA88" s="61">
        <f>$I$33*$BA$33</f>
        <v>7.9569715715577178</v>
      </c>
      <c r="BB88" s="61">
        <f>$I$33*$BB$33</f>
        <v>5.9768483251785007E-2</v>
      </c>
      <c r="BC88" s="61">
        <f>$I$33*$BC$33</f>
        <v>0.36763593805420358</v>
      </c>
      <c r="BD88" s="61">
        <f>$I$33*$BD$33</f>
        <v>0.10718170302955711</v>
      </c>
    </row>
    <row r="89" spans="1:56" ht="11.25" customHeight="1" x14ac:dyDescent="0.3">
      <c r="A89" s="9" t="s">
        <v>42</v>
      </c>
      <c r="B89" s="9" t="s">
        <v>983</v>
      </c>
      <c r="C89" s="9" t="s">
        <v>984</v>
      </c>
      <c r="D89" s="9" t="s">
        <v>985</v>
      </c>
      <c r="E89" s="9" t="s">
        <v>986</v>
      </c>
      <c r="F89" s="9" t="s">
        <v>987</v>
      </c>
      <c r="G89" s="9" t="s">
        <v>989</v>
      </c>
      <c r="L89" s="61">
        <f>$I$34*$L$34</f>
        <v>0.70868804439509225</v>
      </c>
      <c r="M89" s="61">
        <f>$I$34*$M$34</f>
        <v>0.19274755905498028</v>
      </c>
      <c r="N89" s="61">
        <f ca="1">$I$34*$N$34</f>
        <v>1.4169626490787954</v>
      </c>
      <c r="O89" s="61">
        <f>$I$34*$O$34</f>
        <v>0</v>
      </c>
      <c r="P89" s="61">
        <f>$I$34*$P$34</f>
        <v>0</v>
      </c>
      <c r="Q89" s="61">
        <f>$I$34*$Q$34</f>
        <v>20.067600591958005</v>
      </c>
      <c r="R89" s="61">
        <f>$I$34*$R$34</f>
        <v>3.3930075869358078</v>
      </c>
      <c r="S89" s="61">
        <f>$I$34*$S$34</f>
        <v>0</v>
      </c>
      <c r="T89" s="61">
        <f>$I$34*$T$34</f>
        <v>0</v>
      </c>
      <c r="U89" s="61">
        <f>$I$34*$U$34</f>
        <v>0</v>
      </c>
      <c r="V89" s="61">
        <f>$I$34*$V$34</f>
        <v>0</v>
      </c>
      <c r="W89" s="61">
        <f>$I$34*$W$34</f>
        <v>0</v>
      </c>
      <c r="X89" s="61">
        <f>$I$34*$X$34</f>
        <v>48.39717959305419</v>
      </c>
      <c r="Y89" s="61">
        <f>$I$34*$Y$34</f>
        <v>0</v>
      </c>
      <c r="Z89" s="61">
        <f>$I$34*$Z$34</f>
        <v>0</v>
      </c>
      <c r="AA89" s="61">
        <f>$I$34*$AA$34</f>
        <v>88.340216197587011</v>
      </c>
      <c r="AB89" s="61">
        <f ca="1">$I$34*$AB$34</f>
        <v>-20.489086099063453</v>
      </c>
      <c r="AC89" s="61">
        <f ca="1">$I$34*$AC$34</f>
        <v>0</v>
      </c>
      <c r="AD89" s="61">
        <f>$I$34*$AD$34</f>
        <v>4.3051284245911017</v>
      </c>
      <c r="AE89" s="61">
        <f>$I$34*$AE$34</f>
        <v>4.4029475194999869E-2</v>
      </c>
      <c r="AF89" s="61">
        <f ca="1">$I$34*$AF$34</f>
        <v>0.16183914942494373</v>
      </c>
      <c r="AG89" s="61">
        <f ca="1">$I$34*$AG$34</f>
        <v>6.7581615840907772E-2</v>
      </c>
      <c r="AI89" s="61">
        <f>$I$34*$AI$34</f>
        <v>0.64199875393043837</v>
      </c>
      <c r="AJ89" s="61">
        <f>$I$34*$AJ$34</f>
        <v>0.20699938709358986</v>
      </c>
      <c r="AK89" s="61">
        <f>$I$34*$AK$34</f>
        <v>1.0409043430511995</v>
      </c>
      <c r="AL89" s="61">
        <f>$I$34*$AL$34</f>
        <v>0</v>
      </c>
      <c r="AM89" s="61">
        <f>$I$34*$AM$34</f>
        <v>0</v>
      </c>
      <c r="AN89" s="61">
        <f>$I$34*$AN$34</f>
        <v>14.609733062544111</v>
      </c>
      <c r="AO89" s="61">
        <f>$I$34*$AO$34</f>
        <v>2.1925019280523581</v>
      </c>
      <c r="AP89" s="61">
        <f>$I$34*$AP$34</f>
        <v>0</v>
      </c>
      <c r="AQ89" s="61">
        <f>$I$34*$AQ$34</f>
        <v>0</v>
      </c>
      <c r="AR89" s="61">
        <f>$I$34*$AR$34</f>
        <v>0</v>
      </c>
      <c r="AS89" s="61">
        <f>$I$34*$AS$34</f>
        <v>0</v>
      </c>
      <c r="AT89" s="61">
        <f>$I$34*$AT$34</f>
        <v>0</v>
      </c>
      <c r="AU89" s="61">
        <f>$I$34*$AU$34</f>
        <v>45.260590096116047</v>
      </c>
      <c r="AV89" s="61">
        <f>$I$34*$AV$34</f>
        <v>0</v>
      </c>
      <c r="AW89" s="61">
        <f>$I$34*$AW$34</f>
        <v>0</v>
      </c>
      <c r="AX89" s="61">
        <f>$I$34*$AX$34</f>
        <v>55.376950656906722</v>
      </c>
      <c r="AY89" s="61">
        <f>$I$34*$AY$34</f>
        <v>-10.101372086468288</v>
      </c>
      <c r="AZ89" s="61">
        <f>$I$34*$AZ$34</f>
        <v>0</v>
      </c>
      <c r="BA89" s="61">
        <f>$I$34*$BA$34</f>
        <v>4.7168751144414163</v>
      </c>
      <c r="BB89" s="61">
        <f>$I$34*$BB$34</f>
        <v>3.5430624420725733E-2</v>
      </c>
      <c r="BC89" s="61">
        <f>$I$34*$BC$34</f>
        <v>0.21793376937285192</v>
      </c>
      <c r="BD89" s="61">
        <f>$I$34*$BD$34</f>
        <v>6.3537076034141882E-2</v>
      </c>
    </row>
    <row r="90" spans="1:56" ht="11.25" customHeight="1" x14ac:dyDescent="0.3">
      <c r="A90" s="9" t="s">
        <v>42</v>
      </c>
      <c r="B90" s="9" t="s">
        <v>983</v>
      </c>
      <c r="C90" s="9" t="s">
        <v>984</v>
      </c>
      <c r="D90" s="9" t="s">
        <v>985</v>
      </c>
      <c r="E90" s="9" t="s">
        <v>986</v>
      </c>
      <c r="F90" s="9" t="s">
        <v>987</v>
      </c>
      <c r="G90" s="9" t="s">
        <v>990</v>
      </c>
      <c r="L90" s="61">
        <f>$I$35*$L$35</f>
        <v>8.2691310600679735</v>
      </c>
      <c r="M90" s="61">
        <f>$I$35*$M$35</f>
        <v>2.2490217521508691</v>
      </c>
      <c r="N90" s="61">
        <f ca="1">$I$35*$N$35</f>
        <v>6.5738063990631428</v>
      </c>
      <c r="O90" s="61">
        <f>$I$35*$O$35</f>
        <v>0</v>
      </c>
      <c r="P90" s="61">
        <f>$I$35*$P$35</f>
        <v>0</v>
      </c>
      <c r="Q90" s="61">
        <f>$I$35*$Q$35</f>
        <v>234.15326485102418</v>
      </c>
      <c r="R90" s="61">
        <f>$I$35*$R$35</f>
        <v>39.590373572797745</v>
      </c>
      <c r="S90" s="61">
        <f>$I$35*$S$35</f>
        <v>0</v>
      </c>
      <c r="T90" s="61">
        <f>$I$35*$T$35</f>
        <v>0</v>
      </c>
      <c r="U90" s="61">
        <f>$I$35*$U$35</f>
        <v>0</v>
      </c>
      <c r="V90" s="61">
        <f>$I$35*$V$35</f>
        <v>0</v>
      </c>
      <c r="W90" s="61">
        <f>$I$35*$W$35</f>
        <v>0</v>
      </c>
      <c r="X90" s="61">
        <f>$I$35*$X$35</f>
        <v>188.23631156423022</v>
      </c>
      <c r="Y90" s="61">
        <f>$I$35*$Y$35</f>
        <v>0</v>
      </c>
      <c r="Z90" s="61">
        <f>$I$35*$Z$35</f>
        <v>0</v>
      </c>
      <c r="AA90" s="61">
        <f>$I$35*$AA$35</f>
        <v>343.59124522494665</v>
      </c>
      <c r="AB90" s="61">
        <f ca="1">$I$35*$AB$35</f>
        <v>-105.12621381084104</v>
      </c>
      <c r="AC90" s="61">
        <f ca="1">$I$35*$AC$35</f>
        <v>0</v>
      </c>
      <c r="AD90" s="61">
        <f>$I$35*$AD$35</f>
        <v>50.23320409441115</v>
      </c>
      <c r="AE90" s="61">
        <f>$I$35*$AE$35</f>
        <v>0.51374579234539597</v>
      </c>
      <c r="AF90" s="61">
        <f ca="1">$I$35*$AF$35</f>
        <v>1.888375495860209</v>
      </c>
      <c r="AG90" s="61">
        <f ca="1">$I$35*$AG$35</f>
        <v>0.78855745212498507</v>
      </c>
      <c r="AI90" s="61">
        <f>$I$35*$AI$35</f>
        <v>7.490985460580867</v>
      </c>
      <c r="AJ90" s="61">
        <f>$I$35*$AJ$35</f>
        <v>2.4153152783770757</v>
      </c>
      <c r="AK90" s="61">
        <f>$I$35*$AK$35</f>
        <v>5.1124411568271064</v>
      </c>
      <c r="AL90" s="61">
        <f>$I$35*$AL$35</f>
        <v>0</v>
      </c>
      <c r="AM90" s="61">
        <f>$I$35*$AM$35</f>
        <v>0</v>
      </c>
      <c r="AN90" s="61">
        <f>$I$35*$AN$35</f>
        <v>170.46964232323674</v>
      </c>
      <c r="AO90" s="61">
        <f>$I$35*$AO$35</f>
        <v>25.582604272648325</v>
      </c>
      <c r="AP90" s="61">
        <f>$I$35*$AP$35</f>
        <v>0</v>
      </c>
      <c r="AQ90" s="61">
        <f>$I$35*$AQ$35</f>
        <v>0</v>
      </c>
      <c r="AR90" s="61">
        <f>$I$35*$AR$35</f>
        <v>0</v>
      </c>
      <c r="AS90" s="61">
        <f>$I$35*$AS$35</f>
        <v>0</v>
      </c>
      <c r="AT90" s="61">
        <f>$I$35*$AT$35</f>
        <v>0</v>
      </c>
      <c r="AU90" s="61">
        <f>$I$35*$AU$35</f>
        <v>176.03672608793502</v>
      </c>
      <c r="AV90" s="61">
        <f>$I$35*$AV$35</f>
        <v>0</v>
      </c>
      <c r="AW90" s="61">
        <f>$I$35*$AW$35</f>
        <v>0</v>
      </c>
      <c r="AX90" s="61">
        <f>$I$35*$AX$35</f>
        <v>215.38356042102214</v>
      </c>
      <c r="AY90" s="61">
        <f>$I$35*$AY$35</f>
        <v>-52.631249040525205</v>
      </c>
      <c r="AZ90" s="61">
        <f>$I$35*$AZ$35</f>
        <v>0</v>
      </c>
      <c r="BA90" s="61">
        <f>$I$35*$BA$35</f>
        <v>55.03755682598235</v>
      </c>
      <c r="BB90" s="61">
        <f>$I$35*$BB$35</f>
        <v>0.41341247279697291</v>
      </c>
      <c r="BC90" s="61">
        <f>$I$35*$BC$35</f>
        <v>2.5429001033832317</v>
      </c>
      <c r="BD90" s="61">
        <f>$I$35*$BD$35</f>
        <v>0.74136485447314182</v>
      </c>
    </row>
    <row r="91" spans="1:56" ht="11.25" customHeight="1" x14ac:dyDescent="0.3">
      <c r="A91" s="9" t="s">
        <v>42</v>
      </c>
      <c r="B91" s="9" t="s">
        <v>991</v>
      </c>
      <c r="C91" s="9" t="s">
        <v>992</v>
      </c>
      <c r="D91" s="9" t="s">
        <v>993</v>
      </c>
      <c r="E91" s="9" t="s">
        <v>994</v>
      </c>
      <c r="F91" s="9" t="s">
        <v>995</v>
      </c>
      <c r="G91" s="9" t="s">
        <v>996</v>
      </c>
      <c r="L91" s="61">
        <f>$I$36*$L$36</f>
        <v>61899.989647161638</v>
      </c>
      <c r="M91" s="61">
        <f>$I$36*$M$36</f>
        <v>16835.435569119614</v>
      </c>
      <c r="N91" s="61">
        <f ca="1">$I$36*$N$36</f>
        <v>71102.34381325166</v>
      </c>
      <c r="O91" s="61">
        <f>$I$36*$O$36</f>
        <v>0</v>
      </c>
      <c r="P91" s="61">
        <f>$I$36*$P$36</f>
        <v>0</v>
      </c>
      <c r="Q91" s="61">
        <f>$I$36*$Q$36</f>
        <v>1752794.1648089383</v>
      </c>
      <c r="R91" s="61">
        <f>$I$36*$R$36</f>
        <v>296360.48775641213</v>
      </c>
      <c r="S91" s="61">
        <f>$I$36*$S$36</f>
        <v>0</v>
      </c>
      <c r="T91" s="61">
        <f>$I$36*$T$36</f>
        <v>0</v>
      </c>
      <c r="U91" s="61">
        <f>$I$36*$U$36</f>
        <v>0</v>
      </c>
      <c r="V91" s="61">
        <f>$I$36*$V$36</f>
        <v>0</v>
      </c>
      <c r="W91" s="61">
        <f>$I$36*$W$36</f>
        <v>0</v>
      </c>
      <c r="X91" s="61">
        <f>$I$36*$X$36</f>
        <v>2236627.5932028531</v>
      </c>
      <c r="Y91" s="61">
        <f>$I$36*$Y$36</f>
        <v>0</v>
      </c>
      <c r="Z91" s="61">
        <f>$I$36*$Z$36</f>
        <v>0</v>
      </c>
      <c r="AA91" s="61">
        <f>$I$36*$AA$36</f>
        <v>4082556.2546455716</v>
      </c>
      <c r="AB91" s="61">
        <f ca="1">$I$36*$AB$36</f>
        <v>-1081374.5882818811</v>
      </c>
      <c r="AC91" s="61">
        <f ca="1">$I$36*$AC$36</f>
        <v>0</v>
      </c>
      <c r="AD91" s="61">
        <f>$I$36*$AD$36</f>
        <v>376029.20921200735</v>
      </c>
      <c r="AE91" s="61">
        <f>$I$36*$AE$36</f>
        <v>3845.7316731888218</v>
      </c>
      <c r="AF91" s="61">
        <f ca="1">$I$36*$AF$36</f>
        <v>14135.756561916169</v>
      </c>
      <c r="AG91" s="61">
        <f ca="1">$I$36*$AG$36</f>
        <v>5902.8811816083971</v>
      </c>
      <c r="AI91" s="61">
        <f>$I$36*$AI$36</f>
        <v>56075.048162700477</v>
      </c>
      <c r="AJ91" s="61">
        <f>$I$36*$AJ$36</f>
        <v>18080.254096848639</v>
      </c>
      <c r="AK91" s="61">
        <f>$I$36*$AK$36</f>
        <v>58952.905557781458</v>
      </c>
      <c r="AL91" s="61">
        <f>$I$36*$AL$36</f>
        <v>0</v>
      </c>
      <c r="AM91" s="61">
        <f>$I$36*$AM$36</f>
        <v>0</v>
      </c>
      <c r="AN91" s="61">
        <f>$I$36*$AN$36</f>
        <v>1276079.5564022616</v>
      </c>
      <c r="AO91" s="61">
        <f>$I$36*$AO$36</f>
        <v>191502.9436734248</v>
      </c>
      <c r="AP91" s="61">
        <f>$I$36*$AP$36</f>
        <v>0</v>
      </c>
      <c r="AQ91" s="61">
        <f>$I$36*$AQ$36</f>
        <v>0</v>
      </c>
      <c r="AR91" s="61">
        <f>$I$36*$AR$36</f>
        <v>0</v>
      </c>
      <c r="AS91" s="61">
        <f>$I$36*$AS$36</f>
        <v>0</v>
      </c>
      <c r="AT91" s="61">
        <f>$I$36*$AT$36</f>
        <v>0</v>
      </c>
      <c r="AU91" s="61">
        <f>$I$36*$AU$36</f>
        <v>2353135.3839322911</v>
      </c>
      <c r="AV91" s="61">
        <f>$I$36*$AV$36</f>
        <v>0</v>
      </c>
      <c r="AW91" s="61">
        <f>$I$36*$AW$36</f>
        <v>0</v>
      </c>
      <c r="AX91" s="61">
        <f>$I$36*$AX$36</f>
        <v>2879090.5563630816</v>
      </c>
      <c r="AY91" s="61">
        <f>$I$36*$AY$36</f>
        <v>-585820.07231147657</v>
      </c>
      <c r="AZ91" s="61">
        <f>$I$36*$AZ$36</f>
        <v>0</v>
      </c>
      <c r="BA91" s="61">
        <f>$I$36*$BA$36</f>
        <v>411993.01026743831</v>
      </c>
      <c r="BB91" s="61">
        <f>$I$36*$BB$36</f>
        <v>3094.6695124614171</v>
      </c>
      <c r="BC91" s="61">
        <f>$I$36*$BC$36</f>
        <v>19035.312045458668</v>
      </c>
      <c r="BD91" s="61">
        <f>$I$36*$BD$36</f>
        <v>5549.6129500552079</v>
      </c>
    </row>
    <row r="92" spans="1:56" ht="11.25" customHeight="1" x14ac:dyDescent="0.3">
      <c r="A92" s="9" t="s">
        <v>42</v>
      </c>
      <c r="B92" s="9" t="s">
        <v>983</v>
      </c>
      <c r="C92" s="9" t="s">
        <v>984</v>
      </c>
      <c r="D92" s="9" t="s">
        <v>997</v>
      </c>
      <c r="E92" s="9" t="s">
        <v>998</v>
      </c>
      <c r="F92" s="9" t="s">
        <v>999</v>
      </c>
      <c r="G92" s="9" t="s">
        <v>1000</v>
      </c>
      <c r="L92" s="61">
        <f>$I$37*$L$37</f>
        <v>0</v>
      </c>
      <c r="M92" s="61">
        <f>$I$37*$M$37</f>
        <v>0</v>
      </c>
      <c r="N92" s="61">
        <f ca="1">$I$37*$N$37</f>
        <v>0</v>
      </c>
      <c r="O92" s="61">
        <f>$I$37*$O$37</f>
        <v>0</v>
      </c>
      <c r="P92" s="61">
        <f>$I$37*$P$37</f>
        <v>0</v>
      </c>
      <c r="Q92" s="61">
        <f>$I$37*$Q$37</f>
        <v>0</v>
      </c>
      <c r="R92" s="61">
        <f>$I$37*$R$37</f>
        <v>0</v>
      </c>
      <c r="S92" s="61">
        <f>$I$37*$S$37</f>
        <v>0</v>
      </c>
      <c r="T92" s="61">
        <f>$I$37*$T$37</f>
        <v>0</v>
      </c>
      <c r="U92" s="61">
        <f>$I$37*$U$37</f>
        <v>0</v>
      </c>
      <c r="V92" s="61">
        <f>$I$37*$V$37</f>
        <v>0</v>
      </c>
      <c r="W92" s="61">
        <f>$I$37*$W$37</f>
        <v>0</v>
      </c>
      <c r="X92" s="61">
        <f>$I$37*$X$37</f>
        <v>0</v>
      </c>
      <c r="Y92" s="61">
        <f>$I$37*$Y$37</f>
        <v>0</v>
      </c>
      <c r="Z92" s="61">
        <f>$I$37*$Z$37</f>
        <v>0</v>
      </c>
      <c r="AA92" s="61">
        <f>$I$37*$AA$37</f>
        <v>0</v>
      </c>
      <c r="AB92" s="61">
        <f ca="1">$I$37*$AB$37</f>
        <v>0</v>
      </c>
      <c r="AC92" s="61">
        <f ca="1">$I$37*$AC$37</f>
        <v>0</v>
      </c>
      <c r="AD92" s="61">
        <f>$I$37*$AD$37</f>
        <v>0</v>
      </c>
      <c r="AE92" s="61">
        <f>$I$37*$AE$37</f>
        <v>0</v>
      </c>
      <c r="AF92" s="61">
        <f ca="1">$I$37*$AF$37</f>
        <v>0</v>
      </c>
      <c r="AG92" s="61">
        <f ca="1">$I$37*$AG$37</f>
        <v>0</v>
      </c>
      <c r="AI92" s="61">
        <f>$I$37*$AI$37</f>
        <v>0</v>
      </c>
      <c r="AJ92" s="61">
        <f>$I$37*$AJ$37</f>
        <v>0</v>
      </c>
      <c r="AK92" s="61">
        <f>$I$37*$AK$37</f>
        <v>0</v>
      </c>
      <c r="AL92" s="61">
        <f>$I$37*$AL$37</f>
        <v>0</v>
      </c>
      <c r="AM92" s="61">
        <f>$I$37*$AM$37</f>
        <v>0</v>
      </c>
      <c r="AN92" s="61">
        <f>$I$37*$AN$37</f>
        <v>0</v>
      </c>
      <c r="AO92" s="61">
        <f>$I$37*$AO$37</f>
        <v>0</v>
      </c>
      <c r="AP92" s="61">
        <f>$I$37*$AP$37</f>
        <v>0</v>
      </c>
      <c r="AQ92" s="61">
        <f>$I$37*$AQ$37</f>
        <v>0</v>
      </c>
      <c r="AR92" s="61">
        <f>$I$37*$AR$37</f>
        <v>0</v>
      </c>
      <c r="AS92" s="61">
        <f>$I$37*$AS$37</f>
        <v>0</v>
      </c>
      <c r="AT92" s="61">
        <f>$I$37*$AT$37</f>
        <v>0</v>
      </c>
      <c r="AU92" s="61">
        <f>$I$37*$AU$37</f>
        <v>0</v>
      </c>
      <c r="AV92" s="61">
        <f>$I$37*$AV$37</f>
        <v>0</v>
      </c>
      <c r="AW92" s="61">
        <f>$I$37*$AW$37</f>
        <v>0</v>
      </c>
      <c r="AX92" s="61">
        <f>$I$37*$AX$37</f>
        <v>0</v>
      </c>
      <c r="AY92" s="61">
        <f>$I$37*$AY$37</f>
        <v>0</v>
      </c>
      <c r="AZ92" s="61">
        <f>$I$37*$AZ$37</f>
        <v>0</v>
      </c>
      <c r="BA92" s="61">
        <f>$I$37*$BA$37</f>
        <v>0</v>
      </c>
      <c r="BB92" s="61">
        <f>$I$37*$BB$37</f>
        <v>0</v>
      </c>
      <c r="BC92" s="61">
        <f>$I$37*$BC$37</f>
        <v>0</v>
      </c>
      <c r="BD92" s="61">
        <f>$I$37*$BD$37</f>
        <v>0</v>
      </c>
    </row>
    <row r="93" spans="1:56" ht="11.25" customHeight="1" x14ac:dyDescent="0.3">
      <c r="A93" s="9" t="s">
        <v>42</v>
      </c>
      <c r="B93" s="9" t="s">
        <v>983</v>
      </c>
      <c r="C93" s="9" t="s">
        <v>984</v>
      </c>
      <c r="D93" s="9" t="s">
        <v>997</v>
      </c>
      <c r="E93" s="9" t="s">
        <v>998</v>
      </c>
      <c r="F93" s="9" t="s">
        <v>999</v>
      </c>
      <c r="G93" s="9" t="s">
        <v>1001</v>
      </c>
      <c r="L93" s="61">
        <f>$I$38*$L$38</f>
        <v>0</v>
      </c>
      <c r="M93" s="61">
        <f>$I$38*$M$38</f>
        <v>0</v>
      </c>
      <c r="N93" s="61">
        <f ca="1">$I$38*$N$38</f>
        <v>0</v>
      </c>
      <c r="O93" s="61">
        <f>$I$38*$O$38</f>
        <v>0</v>
      </c>
      <c r="P93" s="61">
        <f>$I$38*$P$38</f>
        <v>0</v>
      </c>
      <c r="Q93" s="61">
        <f>$I$38*$Q$38</f>
        <v>0</v>
      </c>
      <c r="R93" s="61">
        <f>$I$38*$R$38</f>
        <v>0</v>
      </c>
      <c r="S93" s="61">
        <f>$I$38*$S$38</f>
        <v>0</v>
      </c>
      <c r="T93" s="61">
        <f>$I$38*$T$38</f>
        <v>0</v>
      </c>
      <c r="U93" s="61">
        <f>$I$38*$U$38</f>
        <v>0</v>
      </c>
      <c r="V93" s="61">
        <f>$I$38*$V$38</f>
        <v>0</v>
      </c>
      <c r="W93" s="61">
        <f>$I$38*$W$38</f>
        <v>0</v>
      </c>
      <c r="X93" s="61">
        <f>$I$38*$X$38</f>
        <v>0</v>
      </c>
      <c r="Y93" s="61">
        <f>$I$38*$Y$38</f>
        <v>0</v>
      </c>
      <c r="Z93" s="61">
        <f>$I$38*$Z$38</f>
        <v>0</v>
      </c>
      <c r="AA93" s="61">
        <f>$I$38*$AA$38</f>
        <v>0</v>
      </c>
      <c r="AB93" s="61">
        <f ca="1">$I$38*$AB$38</f>
        <v>0</v>
      </c>
      <c r="AC93" s="61">
        <f ca="1">$I$38*$AC$38</f>
        <v>0</v>
      </c>
      <c r="AD93" s="61">
        <f>$I$38*$AD$38</f>
        <v>0</v>
      </c>
      <c r="AE93" s="61">
        <f>$I$38*$AE$38</f>
        <v>0</v>
      </c>
      <c r="AF93" s="61">
        <f ca="1">$I$38*$AF$38</f>
        <v>0</v>
      </c>
      <c r="AG93" s="61">
        <f ca="1">$I$38*$AG$38</f>
        <v>0</v>
      </c>
      <c r="AI93" s="61">
        <f>$I$38*$AI$38</f>
        <v>0</v>
      </c>
      <c r="AJ93" s="61">
        <f>$I$38*$AJ$38</f>
        <v>0</v>
      </c>
      <c r="AK93" s="61">
        <f>$I$38*$AK$38</f>
        <v>0</v>
      </c>
      <c r="AL93" s="61">
        <f>$I$38*$AL$38</f>
        <v>0</v>
      </c>
      <c r="AM93" s="61">
        <f>$I$38*$AM$38</f>
        <v>0</v>
      </c>
      <c r="AN93" s="61">
        <f>$I$38*$AN$38</f>
        <v>0</v>
      </c>
      <c r="AO93" s="61">
        <f>$I$38*$AO$38</f>
        <v>0</v>
      </c>
      <c r="AP93" s="61">
        <f>$I$38*$AP$38</f>
        <v>0</v>
      </c>
      <c r="AQ93" s="61">
        <f>$I$38*$AQ$38</f>
        <v>0</v>
      </c>
      <c r="AR93" s="61">
        <f>$I$38*$AR$38</f>
        <v>0</v>
      </c>
      <c r="AS93" s="61">
        <f>$I$38*$AS$38</f>
        <v>0</v>
      </c>
      <c r="AT93" s="61">
        <f>$I$38*$AT$38</f>
        <v>0</v>
      </c>
      <c r="AU93" s="61">
        <f>$I$38*$AU$38</f>
        <v>0</v>
      </c>
      <c r="AV93" s="61">
        <f>$I$38*$AV$38</f>
        <v>0</v>
      </c>
      <c r="AW93" s="61">
        <f>$I$38*$AW$38</f>
        <v>0</v>
      </c>
      <c r="AX93" s="61">
        <f>$I$38*$AX$38</f>
        <v>0</v>
      </c>
      <c r="AY93" s="61">
        <f>$I$38*$AY$38</f>
        <v>0</v>
      </c>
      <c r="AZ93" s="61">
        <f>$I$38*$AZ$38</f>
        <v>0</v>
      </c>
      <c r="BA93" s="61">
        <f>$I$38*$BA$38</f>
        <v>0</v>
      </c>
      <c r="BB93" s="61">
        <f>$I$38*$BB$38</f>
        <v>0</v>
      </c>
      <c r="BC93" s="61">
        <f>$I$38*$BC$38</f>
        <v>0</v>
      </c>
      <c r="BD93" s="61">
        <f>$I$38*$BD$38</f>
        <v>0</v>
      </c>
    </row>
    <row r="94" spans="1:56" ht="11.25" customHeight="1" x14ac:dyDescent="0.3">
      <c r="A94" s="9" t="s">
        <v>42</v>
      </c>
      <c r="B94" s="9" t="s">
        <v>983</v>
      </c>
      <c r="C94" s="9" t="s">
        <v>984</v>
      </c>
      <c r="D94" s="9" t="s">
        <v>997</v>
      </c>
      <c r="E94" s="9" t="s">
        <v>998</v>
      </c>
      <c r="F94" s="9" t="s">
        <v>999</v>
      </c>
      <c r="G94" s="9" t="s">
        <v>1002</v>
      </c>
      <c r="L94" s="61">
        <f>$I$39*$L$39</f>
        <v>0</v>
      </c>
      <c r="M94" s="61">
        <f>$I$39*$M$39</f>
        <v>0</v>
      </c>
      <c r="N94" s="61">
        <f ca="1">$I$39*$N$39</f>
        <v>0</v>
      </c>
      <c r="O94" s="61">
        <f>$I$39*$O$39</f>
        <v>0</v>
      </c>
      <c r="P94" s="61">
        <f>$I$39*$P$39</f>
        <v>0</v>
      </c>
      <c r="Q94" s="61">
        <f>$I$39*$Q$39</f>
        <v>0</v>
      </c>
      <c r="R94" s="61">
        <f>$I$39*$R$39</f>
        <v>0</v>
      </c>
      <c r="S94" s="61">
        <f>$I$39*$S$39</f>
        <v>0</v>
      </c>
      <c r="T94" s="61">
        <f>$I$39*$T$39</f>
        <v>0</v>
      </c>
      <c r="U94" s="61">
        <f>$I$39*$U$39</f>
        <v>0</v>
      </c>
      <c r="V94" s="61">
        <f>$I$39*$V$39</f>
        <v>0</v>
      </c>
      <c r="W94" s="61">
        <f>$I$39*$W$39</f>
        <v>0</v>
      </c>
      <c r="X94" s="61">
        <f>$I$39*$X$39</f>
        <v>0</v>
      </c>
      <c r="Y94" s="61">
        <f>$I$39*$Y$39</f>
        <v>0</v>
      </c>
      <c r="Z94" s="61">
        <f>$I$39*$Z$39</f>
        <v>0</v>
      </c>
      <c r="AA94" s="61">
        <f>$I$39*$AA$39</f>
        <v>0</v>
      </c>
      <c r="AB94" s="61">
        <f ca="1">$I$39*$AB$39</f>
        <v>0</v>
      </c>
      <c r="AC94" s="61">
        <f ca="1">$I$39*$AC$39</f>
        <v>0</v>
      </c>
      <c r="AD94" s="61">
        <f>$I$39*$AD$39</f>
        <v>0</v>
      </c>
      <c r="AE94" s="61">
        <f>$I$39*$AE$39</f>
        <v>0</v>
      </c>
      <c r="AF94" s="61">
        <f ca="1">$I$39*$AF$39</f>
        <v>0</v>
      </c>
      <c r="AG94" s="61">
        <f ca="1">$I$39*$AG$39</f>
        <v>0</v>
      </c>
      <c r="AI94" s="61">
        <f>$I$39*$AI$39</f>
        <v>0</v>
      </c>
      <c r="AJ94" s="61">
        <f>$I$39*$AJ$39</f>
        <v>0</v>
      </c>
      <c r="AK94" s="61">
        <f>$I$39*$AK$39</f>
        <v>0</v>
      </c>
      <c r="AL94" s="61">
        <f>$I$39*$AL$39</f>
        <v>0</v>
      </c>
      <c r="AM94" s="61">
        <f>$I$39*$AM$39</f>
        <v>0</v>
      </c>
      <c r="AN94" s="61">
        <f>$I$39*$AN$39</f>
        <v>0</v>
      </c>
      <c r="AO94" s="61">
        <f>$I$39*$AO$39</f>
        <v>0</v>
      </c>
      <c r="AP94" s="61">
        <f>$I$39*$AP$39</f>
        <v>0</v>
      </c>
      <c r="AQ94" s="61">
        <f>$I$39*$AQ$39</f>
        <v>0</v>
      </c>
      <c r="AR94" s="61">
        <f>$I$39*$AR$39</f>
        <v>0</v>
      </c>
      <c r="AS94" s="61">
        <f>$I$39*$AS$39</f>
        <v>0</v>
      </c>
      <c r="AT94" s="61">
        <f>$I$39*$AT$39</f>
        <v>0</v>
      </c>
      <c r="AU94" s="61">
        <f>$I$39*$AU$39</f>
        <v>0</v>
      </c>
      <c r="AV94" s="61">
        <f>$I$39*$AV$39</f>
        <v>0</v>
      </c>
      <c r="AW94" s="61">
        <f>$I$39*$AW$39</f>
        <v>0</v>
      </c>
      <c r="AX94" s="61">
        <f>$I$39*$AX$39</f>
        <v>0</v>
      </c>
      <c r="AY94" s="61">
        <f>$I$39*$AY$39</f>
        <v>0</v>
      </c>
      <c r="AZ94" s="61">
        <f>$I$39*$AZ$39</f>
        <v>0</v>
      </c>
      <c r="BA94" s="61">
        <f>$I$39*$BA$39</f>
        <v>0</v>
      </c>
      <c r="BB94" s="61">
        <f>$I$39*$BB$39</f>
        <v>0</v>
      </c>
      <c r="BC94" s="61">
        <f>$I$39*$BC$39</f>
        <v>0</v>
      </c>
      <c r="BD94" s="61">
        <f>$I$39*$BD$39</f>
        <v>0</v>
      </c>
    </row>
    <row r="95" spans="1:56" ht="11.25" customHeight="1" x14ac:dyDescent="0.3">
      <c r="A95" s="9" t="s">
        <v>42</v>
      </c>
      <c r="B95" s="9" t="s">
        <v>991</v>
      </c>
      <c r="C95" s="9" t="s">
        <v>992</v>
      </c>
      <c r="D95" s="9" t="s">
        <v>1003</v>
      </c>
      <c r="E95" s="9" t="s">
        <v>1004</v>
      </c>
      <c r="F95" s="9" t="s">
        <v>1005</v>
      </c>
      <c r="G95" s="9" t="s">
        <v>1006</v>
      </c>
      <c r="L95" s="61">
        <f>$I$40*$L$40</f>
        <v>0</v>
      </c>
      <c r="M95" s="61">
        <f>$I$40*$M$40</f>
        <v>0</v>
      </c>
      <c r="N95" s="61">
        <f ca="1">$I$40*$N$40</f>
        <v>0</v>
      </c>
      <c r="O95" s="61">
        <f>$I$40*$O$40</f>
        <v>0</v>
      </c>
      <c r="P95" s="61">
        <f>$I$40*$P$40</f>
        <v>0</v>
      </c>
      <c r="Q95" s="61">
        <f>$I$40*$Q$40</f>
        <v>0</v>
      </c>
      <c r="R95" s="61">
        <f>$I$40*$R$40</f>
        <v>0</v>
      </c>
      <c r="S95" s="61">
        <f>$I$40*$S$40</f>
        <v>0</v>
      </c>
      <c r="T95" s="61">
        <f>$I$40*$T$40</f>
        <v>0</v>
      </c>
      <c r="U95" s="61">
        <f>$I$40*$U$40</f>
        <v>0</v>
      </c>
      <c r="V95" s="61">
        <f>$I$40*$V$40</f>
        <v>0</v>
      </c>
      <c r="W95" s="61">
        <f>$I$40*$W$40</f>
        <v>0</v>
      </c>
      <c r="X95" s="61">
        <f>$I$40*$X$40</f>
        <v>0</v>
      </c>
      <c r="Y95" s="61">
        <f>$I$40*$Y$40</f>
        <v>0</v>
      </c>
      <c r="Z95" s="61">
        <f>$I$40*$Z$40</f>
        <v>0</v>
      </c>
      <c r="AA95" s="61">
        <f>$I$40*$AA$40</f>
        <v>0</v>
      </c>
      <c r="AB95" s="61">
        <f ca="1">$I$40*$AB$40</f>
        <v>0</v>
      </c>
      <c r="AC95" s="61">
        <f ca="1">$I$40*$AC$40</f>
        <v>0</v>
      </c>
      <c r="AD95" s="61">
        <f>$I$40*$AD$40</f>
        <v>0</v>
      </c>
      <c r="AE95" s="61">
        <f>$I$40*$AE$40</f>
        <v>0</v>
      </c>
      <c r="AF95" s="61">
        <f ca="1">$I$40*$AF$40</f>
        <v>0</v>
      </c>
      <c r="AG95" s="61">
        <f ca="1">$I$40*$AG$40</f>
        <v>0</v>
      </c>
      <c r="AI95" s="61">
        <f>$I$40*$AI$40</f>
        <v>0</v>
      </c>
      <c r="AJ95" s="61">
        <f>$I$40*$AJ$40</f>
        <v>0</v>
      </c>
      <c r="AK95" s="61">
        <f>$I$40*$AK$40</f>
        <v>0</v>
      </c>
      <c r="AL95" s="61">
        <f>$I$40*$AL$40</f>
        <v>0</v>
      </c>
      <c r="AM95" s="61">
        <f>$I$40*$AM$40</f>
        <v>0</v>
      </c>
      <c r="AN95" s="61">
        <f>$I$40*$AN$40</f>
        <v>0</v>
      </c>
      <c r="AO95" s="61">
        <f>$I$40*$AO$40</f>
        <v>0</v>
      </c>
      <c r="AP95" s="61">
        <f>$I$40*$AP$40</f>
        <v>0</v>
      </c>
      <c r="AQ95" s="61">
        <f>$I$40*$AQ$40</f>
        <v>0</v>
      </c>
      <c r="AR95" s="61">
        <f>$I$40*$AR$40</f>
        <v>0</v>
      </c>
      <c r="AS95" s="61">
        <f>$I$40*$AS$40</f>
        <v>0</v>
      </c>
      <c r="AT95" s="61">
        <f>$I$40*$AT$40</f>
        <v>0</v>
      </c>
      <c r="AU95" s="61">
        <f>$I$40*$AU$40</f>
        <v>0</v>
      </c>
      <c r="AV95" s="61">
        <f>$I$40*$AV$40</f>
        <v>0</v>
      </c>
      <c r="AW95" s="61">
        <f>$I$40*$AW$40</f>
        <v>0</v>
      </c>
      <c r="AX95" s="61">
        <f>$I$40*$AX$40</f>
        <v>0</v>
      </c>
      <c r="AY95" s="61">
        <f>$I$40*$AY$40</f>
        <v>0</v>
      </c>
      <c r="AZ95" s="61">
        <f>$I$40*$AZ$40</f>
        <v>0</v>
      </c>
      <c r="BA95" s="61">
        <f>$I$40*$BA$40</f>
        <v>0</v>
      </c>
      <c r="BB95" s="61">
        <f>$I$40*$BB$40</f>
        <v>0</v>
      </c>
      <c r="BC95" s="61">
        <f>$I$40*$BC$40</f>
        <v>0</v>
      </c>
      <c r="BD95" s="61">
        <f>$I$40*$BD$40</f>
        <v>0</v>
      </c>
    </row>
    <row r="96" spans="1:56" ht="11.25" customHeight="1" x14ac:dyDescent="0.3">
      <c r="A96" s="9" t="s">
        <v>42</v>
      </c>
      <c r="B96" s="9" t="s">
        <v>983</v>
      </c>
      <c r="C96" s="9" t="s">
        <v>984</v>
      </c>
      <c r="D96" s="9" t="s">
        <v>1007</v>
      </c>
      <c r="E96" s="9" t="s">
        <v>1008</v>
      </c>
      <c r="F96" s="9" t="s">
        <v>1009</v>
      </c>
      <c r="G96" s="9" t="s">
        <v>1010</v>
      </c>
      <c r="L96" s="61">
        <f>$I$41*$L$41</f>
        <v>0</v>
      </c>
      <c r="M96" s="61">
        <f>$I$41*$M$41</f>
        <v>0</v>
      </c>
      <c r="N96" s="61">
        <f ca="1">$I$41*$N$41</f>
        <v>0</v>
      </c>
      <c r="O96" s="61">
        <f>$I$41*$O$41</f>
        <v>0</v>
      </c>
      <c r="P96" s="61">
        <f>$I$41*$P$41</f>
        <v>0</v>
      </c>
      <c r="Q96" s="61">
        <f>$I$41*$Q$41</f>
        <v>0</v>
      </c>
      <c r="R96" s="61">
        <f>$I$41*$R$41</f>
        <v>0</v>
      </c>
      <c r="S96" s="61">
        <f>$I$41*$S$41</f>
        <v>0</v>
      </c>
      <c r="T96" s="61">
        <f>$I$41*$T$41</f>
        <v>0</v>
      </c>
      <c r="U96" s="61">
        <f>$I$41*$U$41</f>
        <v>0</v>
      </c>
      <c r="V96" s="61">
        <f>$I$41*$V$41</f>
        <v>0</v>
      </c>
      <c r="W96" s="61">
        <f>$I$41*$W$41</f>
        <v>0</v>
      </c>
      <c r="X96" s="61">
        <f>$I$41*$X$41</f>
        <v>0</v>
      </c>
      <c r="Y96" s="61">
        <f>$I$41*$Y$41</f>
        <v>0</v>
      </c>
      <c r="Z96" s="61">
        <f>$I$41*$Z$41</f>
        <v>0</v>
      </c>
      <c r="AA96" s="61">
        <f>$I$41*$AA$41</f>
        <v>0</v>
      </c>
      <c r="AB96" s="61">
        <f ca="1">$I$41*$AB$41</f>
        <v>0</v>
      </c>
      <c r="AC96" s="61">
        <f ca="1">$I$41*$AC$41</f>
        <v>0</v>
      </c>
      <c r="AD96" s="61">
        <f>$I$41*$AD$41</f>
        <v>0</v>
      </c>
      <c r="AE96" s="61">
        <f>$I$41*$AE$41</f>
        <v>0</v>
      </c>
      <c r="AF96" s="61">
        <f ca="1">$I$41*$AF$41</f>
        <v>0</v>
      </c>
      <c r="AG96" s="61">
        <f ca="1">$I$41*$AG$41</f>
        <v>0</v>
      </c>
      <c r="AI96" s="61">
        <f>$I$41*$AI$41</f>
        <v>0</v>
      </c>
      <c r="AJ96" s="61">
        <f>$I$41*$AJ$41</f>
        <v>0</v>
      </c>
      <c r="AK96" s="61">
        <f>$I$41*$AK$41</f>
        <v>0</v>
      </c>
      <c r="AL96" s="61">
        <f>$I$41*$AL$41</f>
        <v>0</v>
      </c>
      <c r="AM96" s="61">
        <f>$I$41*$AM$41</f>
        <v>0</v>
      </c>
      <c r="AN96" s="61">
        <f>$I$41*$AN$41</f>
        <v>0</v>
      </c>
      <c r="AO96" s="61">
        <f>$I$41*$AO$41</f>
        <v>0</v>
      </c>
      <c r="AP96" s="61">
        <f>$I$41*$AP$41</f>
        <v>0</v>
      </c>
      <c r="AQ96" s="61">
        <f>$I$41*$AQ$41</f>
        <v>0</v>
      </c>
      <c r="AR96" s="61">
        <f>$I$41*$AR$41</f>
        <v>0</v>
      </c>
      <c r="AS96" s="61">
        <f>$I$41*$AS$41</f>
        <v>0</v>
      </c>
      <c r="AT96" s="61">
        <f>$I$41*$AT$41</f>
        <v>0</v>
      </c>
      <c r="AU96" s="61">
        <f>$I$41*$AU$41</f>
        <v>0</v>
      </c>
      <c r="AV96" s="61">
        <f>$I$41*$AV$41</f>
        <v>0</v>
      </c>
      <c r="AW96" s="61">
        <f>$I$41*$AW$41</f>
        <v>0</v>
      </c>
      <c r="AX96" s="61">
        <f>$I$41*$AX$41</f>
        <v>0</v>
      </c>
      <c r="AY96" s="61">
        <f>$I$41*$AY$41</f>
        <v>0</v>
      </c>
      <c r="AZ96" s="61">
        <f>$I$41*$AZ$41</f>
        <v>0</v>
      </c>
      <c r="BA96" s="61">
        <f>$I$41*$BA$41</f>
        <v>0</v>
      </c>
      <c r="BB96" s="61">
        <f>$I$41*$BB$41</f>
        <v>0</v>
      </c>
      <c r="BC96" s="61">
        <f>$I$41*$BC$41</f>
        <v>0</v>
      </c>
      <c r="BD96" s="61">
        <f>$I$41*$BD$41</f>
        <v>0</v>
      </c>
    </row>
    <row r="97" spans="1:56" ht="11.25" customHeight="1" x14ac:dyDescent="0.3">
      <c r="A97" s="9" t="s">
        <v>42</v>
      </c>
      <c r="B97" s="9" t="s">
        <v>983</v>
      </c>
      <c r="C97" s="9" t="s">
        <v>984</v>
      </c>
      <c r="D97" s="9" t="s">
        <v>1007</v>
      </c>
      <c r="E97" s="9" t="s">
        <v>1008</v>
      </c>
      <c r="F97" s="9" t="s">
        <v>1009</v>
      </c>
      <c r="G97" s="9" t="s">
        <v>1011</v>
      </c>
      <c r="L97" s="61">
        <f>$I$42*$L$42</f>
        <v>0</v>
      </c>
      <c r="M97" s="61">
        <f>$I$42*$M$42</f>
        <v>0</v>
      </c>
      <c r="N97" s="61">
        <f ca="1">$I$42*$N$42</f>
        <v>0</v>
      </c>
      <c r="O97" s="61">
        <f>$I$42*$O$42</f>
        <v>0</v>
      </c>
      <c r="P97" s="61">
        <f>$I$42*$P$42</f>
        <v>0</v>
      </c>
      <c r="Q97" s="61">
        <f>$I$42*$Q$42</f>
        <v>0</v>
      </c>
      <c r="R97" s="61">
        <f>$I$42*$R$42</f>
        <v>0</v>
      </c>
      <c r="S97" s="61">
        <f>$I$42*$S$42</f>
        <v>0</v>
      </c>
      <c r="T97" s="61">
        <f>$I$42*$T$42</f>
        <v>0</v>
      </c>
      <c r="U97" s="61">
        <f>$I$42*$U$42</f>
        <v>0</v>
      </c>
      <c r="V97" s="61">
        <f>$I$42*$V$42</f>
        <v>0</v>
      </c>
      <c r="W97" s="61">
        <f>$I$42*$W$42</f>
        <v>0</v>
      </c>
      <c r="X97" s="61">
        <f>$I$42*$X$42</f>
        <v>0</v>
      </c>
      <c r="Y97" s="61">
        <f>$I$42*$Y$42</f>
        <v>0</v>
      </c>
      <c r="Z97" s="61">
        <f>$I$42*$Z$42</f>
        <v>0</v>
      </c>
      <c r="AA97" s="61">
        <f>$I$42*$AA$42</f>
        <v>0</v>
      </c>
      <c r="AB97" s="61">
        <f ca="1">$I$42*$AB$42</f>
        <v>0</v>
      </c>
      <c r="AC97" s="61">
        <f ca="1">$I$42*$AC$42</f>
        <v>0</v>
      </c>
      <c r="AD97" s="61">
        <f>$I$42*$AD$42</f>
        <v>0</v>
      </c>
      <c r="AE97" s="61">
        <f>$I$42*$AE$42</f>
        <v>0</v>
      </c>
      <c r="AF97" s="61">
        <f ca="1">$I$42*$AF$42</f>
        <v>0</v>
      </c>
      <c r="AG97" s="61">
        <f ca="1">$I$42*$AG$42</f>
        <v>0</v>
      </c>
      <c r="AI97" s="61">
        <f>$I$42*$AI$42</f>
        <v>0</v>
      </c>
      <c r="AJ97" s="61">
        <f>$I$42*$AJ$42</f>
        <v>0</v>
      </c>
      <c r="AK97" s="61">
        <f>$I$42*$AK$42</f>
        <v>0</v>
      </c>
      <c r="AL97" s="61">
        <f>$I$42*$AL$42</f>
        <v>0</v>
      </c>
      <c r="AM97" s="61">
        <f>$I$42*$AM$42</f>
        <v>0</v>
      </c>
      <c r="AN97" s="61">
        <f>$I$42*$AN$42</f>
        <v>0</v>
      </c>
      <c r="AO97" s="61">
        <f>$I$42*$AO$42</f>
        <v>0</v>
      </c>
      <c r="AP97" s="61">
        <f>$I$42*$AP$42</f>
        <v>0</v>
      </c>
      <c r="AQ97" s="61">
        <f>$I$42*$AQ$42</f>
        <v>0</v>
      </c>
      <c r="AR97" s="61">
        <f>$I$42*$AR$42</f>
        <v>0</v>
      </c>
      <c r="AS97" s="61">
        <f>$I$42*$AS$42</f>
        <v>0</v>
      </c>
      <c r="AT97" s="61">
        <f>$I$42*$AT$42</f>
        <v>0</v>
      </c>
      <c r="AU97" s="61">
        <f>$I$42*$AU$42</f>
        <v>0</v>
      </c>
      <c r="AV97" s="61">
        <f>$I$42*$AV$42</f>
        <v>0</v>
      </c>
      <c r="AW97" s="61">
        <f>$I$42*$AW$42</f>
        <v>0</v>
      </c>
      <c r="AX97" s="61">
        <f>$I$42*$AX$42</f>
        <v>0</v>
      </c>
      <c r="AY97" s="61">
        <f>$I$42*$AY$42</f>
        <v>0</v>
      </c>
      <c r="AZ97" s="61">
        <f>$I$42*$AZ$42</f>
        <v>0</v>
      </c>
      <c r="BA97" s="61">
        <f>$I$42*$BA$42</f>
        <v>0</v>
      </c>
      <c r="BB97" s="61">
        <f>$I$42*$BB$42</f>
        <v>0</v>
      </c>
      <c r="BC97" s="61">
        <f>$I$42*$BC$42</f>
        <v>0</v>
      </c>
      <c r="BD97" s="61">
        <f>$I$42*$BD$42</f>
        <v>0</v>
      </c>
    </row>
    <row r="98" spans="1:56" ht="11.25" customHeight="1" x14ac:dyDescent="0.3">
      <c r="A98" s="9" t="s">
        <v>42</v>
      </c>
      <c r="B98" s="9" t="s">
        <v>983</v>
      </c>
      <c r="C98" s="9" t="s">
        <v>984</v>
      </c>
      <c r="D98" s="9" t="s">
        <v>1007</v>
      </c>
      <c r="E98" s="9" t="s">
        <v>1008</v>
      </c>
      <c r="F98" s="9" t="s">
        <v>1009</v>
      </c>
      <c r="G98" s="9" t="s">
        <v>1012</v>
      </c>
      <c r="L98" s="61">
        <f>$I$43*$L$43</f>
        <v>0</v>
      </c>
      <c r="M98" s="61">
        <f>$I$43*$M$43</f>
        <v>0</v>
      </c>
      <c r="N98" s="61">
        <f ca="1">$I$43*$N$43</f>
        <v>0</v>
      </c>
      <c r="O98" s="61">
        <f>$I$43*$O$43</f>
        <v>0</v>
      </c>
      <c r="P98" s="61">
        <f>$I$43*$P$43</f>
        <v>0</v>
      </c>
      <c r="Q98" s="61">
        <f>$I$43*$Q$43</f>
        <v>0</v>
      </c>
      <c r="R98" s="61">
        <f>$I$43*$R$43</f>
        <v>0</v>
      </c>
      <c r="S98" s="61">
        <f>$I$43*$S$43</f>
        <v>0</v>
      </c>
      <c r="T98" s="61">
        <f>$I$43*$T$43</f>
        <v>0</v>
      </c>
      <c r="U98" s="61">
        <f>$I$43*$U$43</f>
        <v>0</v>
      </c>
      <c r="V98" s="61">
        <f>$I$43*$V$43</f>
        <v>0</v>
      </c>
      <c r="W98" s="61">
        <f>$I$43*$W$43</f>
        <v>0</v>
      </c>
      <c r="X98" s="61">
        <f>$I$43*$X$43</f>
        <v>0</v>
      </c>
      <c r="Y98" s="61">
        <f>$I$43*$Y$43</f>
        <v>0</v>
      </c>
      <c r="Z98" s="61">
        <f>$I$43*$Z$43</f>
        <v>0</v>
      </c>
      <c r="AA98" s="61">
        <f>$I$43*$AA$43</f>
        <v>0</v>
      </c>
      <c r="AB98" s="61">
        <f ca="1">$I$43*$AB$43</f>
        <v>0</v>
      </c>
      <c r="AC98" s="61">
        <f ca="1">$I$43*$AC$43</f>
        <v>0</v>
      </c>
      <c r="AD98" s="61">
        <f>$I$43*$AD$43</f>
        <v>0</v>
      </c>
      <c r="AE98" s="61">
        <f>$I$43*$AE$43</f>
        <v>0</v>
      </c>
      <c r="AF98" s="61">
        <f ca="1">$I$43*$AF$43</f>
        <v>0</v>
      </c>
      <c r="AG98" s="61">
        <f ca="1">$I$43*$AG$43</f>
        <v>0</v>
      </c>
      <c r="AI98" s="61">
        <f>$I$43*$AI$43</f>
        <v>0</v>
      </c>
      <c r="AJ98" s="61">
        <f>$I$43*$AJ$43</f>
        <v>0</v>
      </c>
      <c r="AK98" s="61">
        <f>$I$43*$AK$43</f>
        <v>0</v>
      </c>
      <c r="AL98" s="61">
        <f>$I$43*$AL$43</f>
        <v>0</v>
      </c>
      <c r="AM98" s="61">
        <f>$I$43*$AM$43</f>
        <v>0</v>
      </c>
      <c r="AN98" s="61">
        <f>$I$43*$AN$43</f>
        <v>0</v>
      </c>
      <c r="AO98" s="61">
        <f>$I$43*$AO$43</f>
        <v>0</v>
      </c>
      <c r="AP98" s="61">
        <f>$I$43*$AP$43</f>
        <v>0</v>
      </c>
      <c r="AQ98" s="61">
        <f>$I$43*$AQ$43</f>
        <v>0</v>
      </c>
      <c r="AR98" s="61">
        <f>$I$43*$AR$43</f>
        <v>0</v>
      </c>
      <c r="AS98" s="61">
        <f>$I$43*$AS$43</f>
        <v>0</v>
      </c>
      <c r="AT98" s="61">
        <f>$I$43*$AT$43</f>
        <v>0</v>
      </c>
      <c r="AU98" s="61">
        <f>$I$43*$AU$43</f>
        <v>0</v>
      </c>
      <c r="AV98" s="61">
        <f>$I$43*$AV$43</f>
        <v>0</v>
      </c>
      <c r="AW98" s="61">
        <f>$I$43*$AW$43</f>
        <v>0</v>
      </c>
      <c r="AX98" s="61">
        <f>$I$43*$AX$43</f>
        <v>0</v>
      </c>
      <c r="AY98" s="61">
        <f>$I$43*$AY$43</f>
        <v>0</v>
      </c>
      <c r="AZ98" s="61">
        <f>$I$43*$AZ$43</f>
        <v>0</v>
      </c>
      <c r="BA98" s="61">
        <f>$I$43*$BA$43</f>
        <v>0</v>
      </c>
      <c r="BB98" s="61">
        <f>$I$43*$BB$43</f>
        <v>0</v>
      </c>
      <c r="BC98" s="61">
        <f>$I$43*$BC$43</f>
        <v>0</v>
      </c>
      <c r="BD98" s="61">
        <f>$I$43*$BD$43</f>
        <v>0</v>
      </c>
    </row>
    <row r="99" spans="1:56" ht="11.25" customHeight="1" x14ac:dyDescent="0.3">
      <c r="A99" s="9" t="s">
        <v>42</v>
      </c>
      <c r="B99" s="9" t="s">
        <v>991</v>
      </c>
      <c r="C99" s="9" t="s">
        <v>992</v>
      </c>
      <c r="D99" s="9" t="s">
        <v>1013</v>
      </c>
      <c r="E99" s="9" t="s">
        <v>1014</v>
      </c>
      <c r="F99" s="9" t="s">
        <v>1015</v>
      </c>
      <c r="G99" s="9" t="s">
        <v>1016</v>
      </c>
      <c r="L99" s="61">
        <f>$I$44*$L$44</f>
        <v>0</v>
      </c>
      <c r="M99" s="61">
        <f>$I$44*$M$44</f>
        <v>0</v>
      </c>
      <c r="N99" s="61">
        <f ca="1">$I$44*$N$44</f>
        <v>0</v>
      </c>
      <c r="O99" s="61">
        <f>$I$44*$O$44</f>
        <v>0</v>
      </c>
      <c r="P99" s="61">
        <f>$I$44*$P$44</f>
        <v>0</v>
      </c>
      <c r="Q99" s="61">
        <f>$I$44*$Q$44</f>
        <v>0</v>
      </c>
      <c r="R99" s="61">
        <f>$I$44*$R$44</f>
        <v>0</v>
      </c>
      <c r="S99" s="61">
        <f>$I$44*$S$44</f>
        <v>0</v>
      </c>
      <c r="T99" s="61">
        <f>$I$44*$T$44</f>
        <v>0</v>
      </c>
      <c r="U99" s="61">
        <f>$I$44*$U$44</f>
        <v>0</v>
      </c>
      <c r="V99" s="61">
        <f>$I$44*$V$44</f>
        <v>0</v>
      </c>
      <c r="W99" s="61">
        <f>$I$44*$W$44</f>
        <v>0</v>
      </c>
      <c r="X99" s="61">
        <f>$I$44*$X$44</f>
        <v>0</v>
      </c>
      <c r="Y99" s="61">
        <f>$I$44*$Y$44</f>
        <v>0</v>
      </c>
      <c r="Z99" s="61">
        <f>$I$44*$Z$44</f>
        <v>0</v>
      </c>
      <c r="AA99" s="61">
        <f>$I$44*$AA$44</f>
        <v>0</v>
      </c>
      <c r="AB99" s="61">
        <f ca="1">$I$44*$AB$44</f>
        <v>0</v>
      </c>
      <c r="AC99" s="61">
        <f ca="1">$I$44*$AC$44</f>
        <v>0</v>
      </c>
      <c r="AD99" s="61">
        <f>$I$44*$AD$44</f>
        <v>0</v>
      </c>
      <c r="AE99" s="61">
        <f>$I$44*$AE$44</f>
        <v>0</v>
      </c>
      <c r="AF99" s="61">
        <f ca="1">$I$44*$AF$44</f>
        <v>0</v>
      </c>
      <c r="AG99" s="61">
        <f ca="1">$I$44*$AG$44</f>
        <v>0</v>
      </c>
      <c r="AI99" s="61">
        <f>$I$44*$AI$44</f>
        <v>0</v>
      </c>
      <c r="AJ99" s="61">
        <f>$I$44*$AJ$44</f>
        <v>0</v>
      </c>
      <c r="AK99" s="61">
        <f>$I$44*$AK$44</f>
        <v>0</v>
      </c>
      <c r="AL99" s="61">
        <f>$I$44*$AL$44</f>
        <v>0</v>
      </c>
      <c r="AM99" s="61">
        <f>$I$44*$AM$44</f>
        <v>0</v>
      </c>
      <c r="AN99" s="61">
        <f>$I$44*$AN$44</f>
        <v>0</v>
      </c>
      <c r="AO99" s="61">
        <f>$I$44*$AO$44</f>
        <v>0</v>
      </c>
      <c r="AP99" s="61">
        <f>$I$44*$AP$44</f>
        <v>0</v>
      </c>
      <c r="AQ99" s="61">
        <f>$I$44*$AQ$44</f>
        <v>0</v>
      </c>
      <c r="AR99" s="61">
        <f>$I$44*$AR$44</f>
        <v>0</v>
      </c>
      <c r="AS99" s="61">
        <f>$I$44*$AS$44</f>
        <v>0</v>
      </c>
      <c r="AT99" s="61">
        <f>$I$44*$AT$44</f>
        <v>0</v>
      </c>
      <c r="AU99" s="61">
        <f>$I$44*$AU$44</f>
        <v>0</v>
      </c>
      <c r="AV99" s="61">
        <f>$I$44*$AV$44</f>
        <v>0</v>
      </c>
      <c r="AW99" s="61">
        <f>$I$44*$AW$44</f>
        <v>0</v>
      </c>
      <c r="AX99" s="61">
        <f>$I$44*$AX$44</f>
        <v>0</v>
      </c>
      <c r="AY99" s="61">
        <f>$I$44*$AY$44</f>
        <v>0</v>
      </c>
      <c r="AZ99" s="61">
        <f>$I$44*$AZ$44</f>
        <v>0</v>
      </c>
      <c r="BA99" s="61">
        <f>$I$44*$BA$44</f>
        <v>0</v>
      </c>
      <c r="BB99" s="61">
        <f>$I$44*$BB$44</f>
        <v>0</v>
      </c>
      <c r="BC99" s="61">
        <f>$I$44*$BC$44</f>
        <v>0</v>
      </c>
      <c r="BD99" s="61">
        <f>$I$44*$BD$44</f>
        <v>0</v>
      </c>
    </row>
    <row r="100" spans="1:56" ht="11.25" customHeight="1" x14ac:dyDescent="0.3">
      <c r="A100" s="9" t="s">
        <v>42</v>
      </c>
      <c r="B100" s="9" t="s">
        <v>1017</v>
      </c>
      <c r="C100" s="9" t="s">
        <v>1018</v>
      </c>
      <c r="D100" s="9" t="s">
        <v>1019</v>
      </c>
      <c r="E100" s="9" t="s">
        <v>1020</v>
      </c>
      <c r="F100" s="9" t="s">
        <v>1021</v>
      </c>
      <c r="G100" s="9" t="s">
        <v>1022</v>
      </c>
      <c r="L100" s="61">
        <f>$I$45*$L$45</f>
        <v>0</v>
      </c>
      <c r="M100" s="61">
        <f>$I$45*$M$45</f>
        <v>0</v>
      </c>
      <c r="N100" s="61">
        <f ca="1">$I$45*$N$45</f>
        <v>0</v>
      </c>
      <c r="O100" s="61">
        <f>$I$45*$O$45</f>
        <v>0</v>
      </c>
      <c r="P100" s="61">
        <f>$I$45*$P$45</f>
        <v>0</v>
      </c>
      <c r="Q100" s="61">
        <f>$I$45*$Q$45</f>
        <v>0</v>
      </c>
      <c r="R100" s="61">
        <f>$I$45*$R$45</f>
        <v>0</v>
      </c>
      <c r="S100" s="61">
        <f>$I$45*$S$45</f>
        <v>0</v>
      </c>
      <c r="T100" s="61">
        <f>$I$45*$T$45</f>
        <v>0</v>
      </c>
      <c r="U100" s="61">
        <f>$I$45*$U$45</f>
        <v>0</v>
      </c>
      <c r="V100" s="61">
        <f>$I$45*$V$45</f>
        <v>0</v>
      </c>
      <c r="W100" s="61">
        <f>$I$45*$W$45</f>
        <v>0</v>
      </c>
      <c r="X100" s="61">
        <f>$I$45*$X$45</f>
        <v>0</v>
      </c>
      <c r="Y100" s="61">
        <f>$I$45*$Y$45</f>
        <v>0</v>
      </c>
      <c r="Z100" s="61">
        <f>$I$45*$Z$45</f>
        <v>0</v>
      </c>
      <c r="AA100" s="61">
        <f>$I$45*$AA$45</f>
        <v>0</v>
      </c>
      <c r="AB100" s="61">
        <f ca="1">$I$45*$AB$45</f>
        <v>0</v>
      </c>
      <c r="AC100" s="61">
        <f ca="1">$I$45*$AC$45</f>
        <v>0</v>
      </c>
      <c r="AD100" s="61">
        <f>$I$45*$AD$45</f>
        <v>0</v>
      </c>
      <c r="AE100" s="61">
        <f>$I$45*$AE$45</f>
        <v>0</v>
      </c>
      <c r="AF100" s="61">
        <f ca="1">$I$45*$AF$45</f>
        <v>0</v>
      </c>
      <c r="AG100" s="61">
        <f ca="1">$I$45*$AG$45</f>
        <v>0</v>
      </c>
      <c r="AI100" s="61">
        <f>$I$45*$AI$45</f>
        <v>0</v>
      </c>
      <c r="AJ100" s="61">
        <f>$I$45*$AJ$45</f>
        <v>0</v>
      </c>
      <c r="AK100" s="61">
        <f>$I$45*$AK$45</f>
        <v>0</v>
      </c>
      <c r="AL100" s="61">
        <f>$I$45*$AL$45</f>
        <v>0</v>
      </c>
      <c r="AM100" s="61">
        <f>$I$45*$AM$45</f>
        <v>0</v>
      </c>
      <c r="AN100" s="61">
        <f>$I$45*$AN$45</f>
        <v>0</v>
      </c>
      <c r="AO100" s="61">
        <f>$I$45*$AO$45</f>
        <v>0</v>
      </c>
      <c r="AP100" s="61">
        <f>$I$45*$AP$45</f>
        <v>0</v>
      </c>
      <c r="AQ100" s="61">
        <f>$I$45*$AQ$45</f>
        <v>0</v>
      </c>
      <c r="AR100" s="61">
        <f>$I$45*$AR$45</f>
        <v>0</v>
      </c>
      <c r="AS100" s="61">
        <f>$I$45*$AS$45</f>
        <v>0</v>
      </c>
      <c r="AT100" s="61">
        <f>$I$45*$AT$45</f>
        <v>0</v>
      </c>
      <c r="AU100" s="61">
        <f>$I$45*$AU$45</f>
        <v>0</v>
      </c>
      <c r="AV100" s="61">
        <f>$I$45*$AV$45</f>
        <v>0</v>
      </c>
      <c r="AW100" s="61">
        <f>$I$45*$AW$45</f>
        <v>0</v>
      </c>
      <c r="AX100" s="61">
        <f>$I$45*$AX$45</f>
        <v>0</v>
      </c>
      <c r="AY100" s="61">
        <f>$I$45*$AY$45</f>
        <v>0</v>
      </c>
      <c r="AZ100" s="61">
        <f>$I$45*$AZ$45</f>
        <v>0</v>
      </c>
      <c r="BA100" s="61">
        <f>$I$45*$BA$45</f>
        <v>0</v>
      </c>
      <c r="BB100" s="61">
        <f>$I$45*$BB$45</f>
        <v>0</v>
      </c>
      <c r="BC100" s="61">
        <f>$I$45*$BC$45</f>
        <v>0</v>
      </c>
      <c r="BD100" s="61">
        <f>$I$45*$BD$45</f>
        <v>0</v>
      </c>
    </row>
    <row r="101" spans="1:56" ht="11.25" customHeight="1" x14ac:dyDescent="0.3">
      <c r="A101" s="9" t="s">
        <v>42</v>
      </c>
      <c r="B101" s="9" t="s">
        <v>1017</v>
      </c>
      <c r="C101" s="9" t="s">
        <v>1018</v>
      </c>
      <c r="D101" s="9" t="s">
        <v>1023</v>
      </c>
      <c r="E101" s="9" t="s">
        <v>1024</v>
      </c>
      <c r="F101" s="9" t="s">
        <v>1025</v>
      </c>
      <c r="G101" s="9" t="s">
        <v>1026</v>
      </c>
      <c r="L101" s="61">
        <f>$I$46*$L$46</f>
        <v>0</v>
      </c>
      <c r="M101" s="61">
        <f>$I$46*$M$46</f>
        <v>0</v>
      </c>
      <c r="N101" s="61">
        <f ca="1">$I$46*$N$46</f>
        <v>0</v>
      </c>
      <c r="O101" s="61">
        <f>$I$46*$O$46</f>
        <v>0</v>
      </c>
      <c r="P101" s="61">
        <f>$I$46*$P$46</f>
        <v>0</v>
      </c>
      <c r="Q101" s="61">
        <f>$I$46*$Q$46</f>
        <v>0</v>
      </c>
      <c r="R101" s="61">
        <f>$I$46*$R$46</f>
        <v>0</v>
      </c>
      <c r="S101" s="61">
        <f>$I$46*$S$46</f>
        <v>0</v>
      </c>
      <c r="T101" s="61">
        <f>$I$46*$T$46</f>
        <v>0</v>
      </c>
      <c r="U101" s="61">
        <f>$I$46*$U$46</f>
        <v>0</v>
      </c>
      <c r="V101" s="61">
        <f>$I$46*$V$46</f>
        <v>0</v>
      </c>
      <c r="W101" s="61">
        <f>$I$46*$W$46</f>
        <v>0</v>
      </c>
      <c r="X101" s="61">
        <f>$I$46*$X$46</f>
        <v>0</v>
      </c>
      <c r="Y101" s="61">
        <f>$I$46*$Y$46</f>
        <v>0</v>
      </c>
      <c r="Z101" s="61">
        <f>$I$46*$Z$46</f>
        <v>0</v>
      </c>
      <c r="AA101" s="61">
        <f>$I$46*$AA$46</f>
        <v>0</v>
      </c>
      <c r="AB101" s="61">
        <f ca="1">$I$46*$AB$46</f>
        <v>0</v>
      </c>
      <c r="AC101" s="61">
        <f ca="1">$I$46*$AC$46</f>
        <v>0</v>
      </c>
      <c r="AD101" s="61">
        <f>$I$46*$AD$46</f>
        <v>0</v>
      </c>
      <c r="AE101" s="61">
        <f>$I$46*$AE$46</f>
        <v>0</v>
      </c>
      <c r="AF101" s="61">
        <f ca="1">$I$46*$AF$46</f>
        <v>0</v>
      </c>
      <c r="AG101" s="61">
        <f ca="1">$I$46*$AG$46</f>
        <v>0</v>
      </c>
      <c r="AI101" s="61">
        <f>$I$46*$AI$46</f>
        <v>0</v>
      </c>
      <c r="AJ101" s="61">
        <f>$I$46*$AJ$46</f>
        <v>0</v>
      </c>
      <c r="AK101" s="61">
        <f>$I$46*$AK$46</f>
        <v>0</v>
      </c>
      <c r="AL101" s="61">
        <f>$I$46*$AL$46</f>
        <v>0</v>
      </c>
      <c r="AM101" s="61">
        <f>$I$46*$AM$46</f>
        <v>0</v>
      </c>
      <c r="AN101" s="61">
        <f>$I$46*$AN$46</f>
        <v>0</v>
      </c>
      <c r="AO101" s="61">
        <f>$I$46*$AO$46</f>
        <v>0</v>
      </c>
      <c r="AP101" s="61">
        <f>$I$46*$AP$46</f>
        <v>0</v>
      </c>
      <c r="AQ101" s="61">
        <f>$I$46*$AQ$46</f>
        <v>0</v>
      </c>
      <c r="AR101" s="61">
        <f>$I$46*$AR$46</f>
        <v>0</v>
      </c>
      <c r="AS101" s="61">
        <f>$I$46*$AS$46</f>
        <v>0</v>
      </c>
      <c r="AT101" s="61">
        <f>$I$46*$AT$46</f>
        <v>0</v>
      </c>
      <c r="AU101" s="61">
        <f>$I$46*$AU$46</f>
        <v>0</v>
      </c>
      <c r="AV101" s="61">
        <f>$I$46*$AV$46</f>
        <v>0</v>
      </c>
      <c r="AW101" s="61">
        <f>$I$46*$AW$46</f>
        <v>0</v>
      </c>
      <c r="AX101" s="61">
        <f>$I$46*$AX$46</f>
        <v>0</v>
      </c>
      <c r="AY101" s="61">
        <f>$I$46*$AY$46</f>
        <v>0</v>
      </c>
      <c r="AZ101" s="61">
        <f>$I$46*$AZ$46</f>
        <v>0</v>
      </c>
      <c r="BA101" s="61">
        <f>$I$46*$BA$46</f>
        <v>0</v>
      </c>
      <c r="BB101" s="61">
        <f>$I$46*$BB$46</f>
        <v>0</v>
      </c>
      <c r="BC101" s="61">
        <f>$I$46*$BC$46</f>
        <v>0</v>
      </c>
      <c r="BD101" s="61">
        <f>$I$46*$BD$46</f>
        <v>0</v>
      </c>
    </row>
    <row r="102" spans="1:56" ht="11.25" customHeight="1" x14ac:dyDescent="0.3">
      <c r="A102" s="9" t="s">
        <v>42</v>
      </c>
      <c r="B102" s="9" t="s">
        <v>1017</v>
      </c>
      <c r="C102" s="9" t="s">
        <v>1018</v>
      </c>
      <c r="D102" s="9" t="s">
        <v>1027</v>
      </c>
      <c r="E102" s="9" t="s">
        <v>1028</v>
      </c>
      <c r="F102" s="9" t="s">
        <v>1029</v>
      </c>
      <c r="G102" s="9" t="s">
        <v>1030</v>
      </c>
      <c r="L102" s="61">
        <f>$I$47*$L$47</f>
        <v>0</v>
      </c>
      <c r="M102" s="61">
        <f>$I$47*$M$47</f>
        <v>0</v>
      </c>
      <c r="N102" s="61">
        <f ca="1">$I$47*$N$47</f>
        <v>0</v>
      </c>
      <c r="O102" s="61">
        <f>$I$47*$O$47</f>
        <v>0</v>
      </c>
      <c r="P102" s="61">
        <f>$I$47*$P$47</f>
        <v>0</v>
      </c>
      <c r="Q102" s="61">
        <f>$I$47*$Q$47</f>
        <v>0</v>
      </c>
      <c r="R102" s="61">
        <f>$I$47*$R$47</f>
        <v>0</v>
      </c>
      <c r="S102" s="61">
        <f>$I$47*$S$47</f>
        <v>0</v>
      </c>
      <c r="T102" s="61">
        <f>$I$47*$T$47</f>
        <v>0</v>
      </c>
      <c r="U102" s="61">
        <f>$I$47*$U$47</f>
        <v>0</v>
      </c>
      <c r="V102" s="61">
        <f>$I$47*$V$47</f>
        <v>0</v>
      </c>
      <c r="W102" s="61">
        <f>$I$47*$W$47</f>
        <v>0</v>
      </c>
      <c r="X102" s="61">
        <f>$I$47*$X$47</f>
        <v>0</v>
      </c>
      <c r="Y102" s="61">
        <f>$I$47*$Y$47</f>
        <v>0</v>
      </c>
      <c r="Z102" s="61">
        <f>$I$47*$Z$47</f>
        <v>0</v>
      </c>
      <c r="AA102" s="61">
        <f>$I$47*$AA$47</f>
        <v>0</v>
      </c>
      <c r="AB102" s="61">
        <f ca="1">$I$47*$AB$47</f>
        <v>0</v>
      </c>
      <c r="AC102" s="61">
        <f ca="1">$I$47*$AC$47</f>
        <v>0</v>
      </c>
      <c r="AD102" s="61">
        <f>$I$47*$AD$47</f>
        <v>0</v>
      </c>
      <c r="AE102" s="61">
        <f>$I$47*$AE$47</f>
        <v>0</v>
      </c>
      <c r="AF102" s="61">
        <f ca="1">$I$47*$AF$47</f>
        <v>0</v>
      </c>
      <c r="AG102" s="61">
        <f ca="1">$I$47*$AG$47</f>
        <v>0</v>
      </c>
      <c r="AI102" s="61">
        <f>$I$47*$AI$47</f>
        <v>0</v>
      </c>
      <c r="AJ102" s="61">
        <f>$I$47*$AJ$47</f>
        <v>0</v>
      </c>
      <c r="AK102" s="61">
        <f>$I$47*$AK$47</f>
        <v>0</v>
      </c>
      <c r="AL102" s="61">
        <f>$I$47*$AL$47</f>
        <v>0</v>
      </c>
      <c r="AM102" s="61">
        <f>$I$47*$AM$47</f>
        <v>0</v>
      </c>
      <c r="AN102" s="61">
        <f>$I$47*$AN$47</f>
        <v>0</v>
      </c>
      <c r="AO102" s="61">
        <f>$I$47*$AO$47</f>
        <v>0</v>
      </c>
      <c r="AP102" s="61">
        <f>$I$47*$AP$47</f>
        <v>0</v>
      </c>
      <c r="AQ102" s="61">
        <f>$I$47*$AQ$47</f>
        <v>0</v>
      </c>
      <c r="AR102" s="61">
        <f>$I$47*$AR$47</f>
        <v>0</v>
      </c>
      <c r="AS102" s="61">
        <f>$I$47*$AS$47</f>
        <v>0</v>
      </c>
      <c r="AT102" s="61">
        <f>$I$47*$AT$47</f>
        <v>0</v>
      </c>
      <c r="AU102" s="61">
        <f>$I$47*$AU$47</f>
        <v>0</v>
      </c>
      <c r="AV102" s="61">
        <f>$I$47*$AV$47</f>
        <v>0</v>
      </c>
      <c r="AW102" s="61">
        <f>$I$47*$AW$47</f>
        <v>0</v>
      </c>
      <c r="AX102" s="61">
        <f>$I$47*$AX$47</f>
        <v>0</v>
      </c>
      <c r="AY102" s="61">
        <f>$I$47*$AY$47</f>
        <v>0</v>
      </c>
      <c r="AZ102" s="61">
        <f>$I$47*$AZ$47</f>
        <v>0</v>
      </c>
      <c r="BA102" s="61">
        <f>$I$47*$BA$47</f>
        <v>0</v>
      </c>
      <c r="BB102" s="61">
        <f>$I$47*$BB$47</f>
        <v>0</v>
      </c>
      <c r="BC102" s="61">
        <f>$I$47*$BC$47</f>
        <v>0</v>
      </c>
      <c r="BD102" s="61">
        <f>$I$47*$BD$47</f>
        <v>0</v>
      </c>
    </row>
    <row r="103" spans="1:56" ht="11.25" customHeight="1" x14ac:dyDescent="0.3">
      <c r="A103" s="9" t="s">
        <v>37</v>
      </c>
      <c r="B103" s="9" t="s">
        <v>1031</v>
      </c>
      <c r="C103" s="9" t="s">
        <v>1032</v>
      </c>
      <c r="D103" s="9" t="s">
        <v>1033</v>
      </c>
      <c r="E103" s="9" t="s">
        <v>1034</v>
      </c>
      <c r="F103" s="9" t="s">
        <v>1035</v>
      </c>
      <c r="G103" s="9" t="s">
        <v>1036</v>
      </c>
      <c r="L103" s="61">
        <f>$I$48*$L$48</f>
        <v>32.087545776250259</v>
      </c>
      <c r="M103" s="61">
        <f>$I$48*$M$48</f>
        <v>8.7271066209622248</v>
      </c>
      <c r="N103" s="61">
        <f ca="1">$I$48*$N$48</f>
        <v>116.60637802836592</v>
      </c>
      <c r="O103" s="61">
        <f>$I$48*$O$48</f>
        <v>0</v>
      </c>
      <c r="P103" s="61">
        <f>$I$48*$P$48</f>
        <v>0</v>
      </c>
      <c r="Q103" s="61">
        <f>$I$48*$Q$48</f>
        <v>908.60860107155293</v>
      </c>
      <c r="R103" s="61">
        <f>$I$48*$R$48</f>
        <v>153.6265316256281</v>
      </c>
      <c r="S103" s="61">
        <f>$I$48*$S$48</f>
        <v>0</v>
      </c>
      <c r="T103" s="61">
        <f>$I$48*$T$48</f>
        <v>0</v>
      </c>
      <c r="U103" s="61">
        <f>$I$48*$U$48</f>
        <v>0</v>
      </c>
      <c r="V103" s="61">
        <f>$I$48*$V$48</f>
        <v>0</v>
      </c>
      <c r="W103" s="61">
        <f>$I$48*$W$48</f>
        <v>0</v>
      </c>
      <c r="X103" s="61">
        <f>$I$48*$X$48</f>
        <v>4173.9014411008429</v>
      </c>
      <c r="Y103" s="61">
        <f>$I$48*$Y$48</f>
        <v>0</v>
      </c>
      <c r="Z103" s="61">
        <f>$I$48*$Z$48</f>
        <v>0</v>
      </c>
      <c r="AA103" s="61">
        <f>$I$48*$AA$48</f>
        <v>7618.6948410318046</v>
      </c>
      <c r="AB103" s="61">
        <f ca="1">$I$48*$AB$48</f>
        <v>-1633.081714383645</v>
      </c>
      <c r="AC103" s="61">
        <f ca="1">$I$48*$AC$48</f>
        <v>0</v>
      </c>
      <c r="AD103" s="61">
        <f>$I$48*$AD$48</f>
        <v>194.9249835512814</v>
      </c>
      <c r="AE103" s="61">
        <f>$I$48*$AE$48</f>
        <v>1.9935397697159425</v>
      </c>
      <c r="AF103" s="61">
        <f ca="1">$I$48*$AF$48</f>
        <v>7.3276544688923648</v>
      </c>
      <c r="AG103" s="61">
        <f ca="1">$I$48*$AG$48</f>
        <v>3.0599192537233457</v>
      </c>
      <c r="AI103" s="61">
        <f>$I$48*$AI$48</f>
        <v>31.049939734486173</v>
      </c>
      <c r="AJ103" s="61">
        <f>$I$48*$AJ$48</f>
        <v>10.011418955227349</v>
      </c>
      <c r="AK103" s="61">
        <f>$I$48*$AK$48</f>
        <v>96.413177674986528</v>
      </c>
      <c r="AL103" s="61">
        <f>$I$48*$AL$48</f>
        <v>0</v>
      </c>
      <c r="AM103" s="61">
        <f>$I$48*$AM$48</f>
        <v>0</v>
      </c>
      <c r="AN103" s="61">
        <f>$I$48*$AN$48</f>
        <v>706.59222989407249</v>
      </c>
      <c r="AO103" s="61">
        <f>$I$48*$AO$48</f>
        <v>106.03922876328039</v>
      </c>
      <c r="AP103" s="61">
        <f>$I$48*$AP$48</f>
        <v>0</v>
      </c>
      <c r="AQ103" s="61">
        <f>$I$48*$AQ$48</f>
        <v>0</v>
      </c>
      <c r="AR103" s="61">
        <f>$I$48*$AR$48</f>
        <v>0</v>
      </c>
      <c r="AS103" s="61">
        <f>$I$48*$AS$48</f>
        <v>0</v>
      </c>
      <c r="AT103" s="61">
        <f>$I$48*$AT$48</f>
        <v>0</v>
      </c>
      <c r="AU103" s="61">
        <f>$I$48*$AU$48</f>
        <v>4495.280120168527</v>
      </c>
      <c r="AV103" s="61">
        <f>$I$48*$AV$48</f>
        <v>0</v>
      </c>
      <c r="AW103" s="61">
        <f>$I$48*$AW$48</f>
        <v>0</v>
      </c>
      <c r="AX103" s="61">
        <f>$I$48*$AX$48</f>
        <v>5500.0354181932753</v>
      </c>
      <c r="AY103" s="61">
        <f>$I$48*$AY$48</f>
        <v>-915.86450792840662</v>
      </c>
      <c r="AZ103" s="61">
        <f>$I$48*$AZ$48</f>
        <v>0</v>
      </c>
      <c r="BA103" s="61">
        <f>$I$48*$BA$48</f>
        <v>228.12924034798394</v>
      </c>
      <c r="BB103" s="61">
        <f>$I$48*$BB$48</f>
        <v>1.7135839381051952</v>
      </c>
      <c r="BC103" s="61">
        <f>$I$48*$BC$48</f>
        <v>10.540254733687023</v>
      </c>
      <c r="BD103" s="61">
        <f>$I$48*$BD$48</f>
        <v>3.0729380231465804</v>
      </c>
    </row>
    <row r="104" spans="1:56" ht="11.25" customHeight="1" x14ac:dyDescent="0.3">
      <c r="A104" s="9" t="s">
        <v>37</v>
      </c>
      <c r="B104" s="9" t="s">
        <v>1031</v>
      </c>
      <c r="C104" s="9" t="s">
        <v>1032</v>
      </c>
      <c r="D104" s="9" t="s">
        <v>1033</v>
      </c>
      <c r="E104" s="9" t="s">
        <v>1034</v>
      </c>
      <c r="F104" s="9" t="s">
        <v>1035</v>
      </c>
      <c r="G104" s="9" t="s">
        <v>1037</v>
      </c>
      <c r="L104" s="61">
        <f>$I$49*$L$49</f>
        <v>2.2089252527128802</v>
      </c>
      <c r="M104" s="61">
        <f>$I$49*$M$49</f>
        <v>0.60077907897928351</v>
      </c>
      <c r="N104" s="61">
        <f ca="1">$I$49*$N$49</f>
        <v>4.9866711346490682</v>
      </c>
      <c r="O104" s="61">
        <f>$I$49*$O$49</f>
        <v>0</v>
      </c>
      <c r="P104" s="61">
        <f>$I$49*$P$49</f>
        <v>0</v>
      </c>
      <c r="Q104" s="61">
        <f>$I$49*$Q$49</f>
        <v>62.54914282738951</v>
      </c>
      <c r="R104" s="61">
        <f>$I$49*$R$49</f>
        <v>10.575739495967152</v>
      </c>
      <c r="S104" s="61">
        <f>$I$49*$S$49</f>
        <v>0</v>
      </c>
      <c r="T104" s="61">
        <f>$I$49*$T$49</f>
        <v>0</v>
      </c>
      <c r="U104" s="61">
        <f>$I$49*$U$49</f>
        <v>0</v>
      </c>
      <c r="V104" s="61">
        <f>$I$49*$V$49</f>
        <v>0</v>
      </c>
      <c r="W104" s="61">
        <f>$I$49*$W$49</f>
        <v>0</v>
      </c>
      <c r="X104" s="61">
        <f>$I$49*$X$49</f>
        <v>172.40029959335405</v>
      </c>
      <c r="Y104" s="61">
        <f>$I$49*$Y$49</f>
        <v>0</v>
      </c>
      <c r="Z104" s="61">
        <f>$I$49*$Z$49</f>
        <v>0</v>
      </c>
      <c r="AA104" s="61">
        <f>$I$49*$AA$49</f>
        <v>314.68522169479195</v>
      </c>
      <c r="AB104" s="61">
        <f ca="1">$I$49*$AB$49</f>
        <v>-71.530162869075781</v>
      </c>
      <c r="AC104" s="61">
        <f ca="1">$I$49*$AC$49</f>
        <v>0</v>
      </c>
      <c r="AD104" s="61">
        <f>$I$49*$AD$49</f>
        <v>13.418748867660675</v>
      </c>
      <c r="AE104" s="61">
        <f>$I$49*$AE$49</f>
        <v>0.1372364334224743</v>
      </c>
      <c r="AF104" s="61">
        <f ca="1">$I$49*$AF$49</f>
        <v>0.50443998155418446</v>
      </c>
      <c r="AG104" s="61">
        <f ca="1">$I$49*$AG$49</f>
        <v>0.21064661529254916</v>
      </c>
      <c r="AI104" s="61">
        <f>$I$49*$AI$49</f>
        <v>2.1374958512870914</v>
      </c>
      <c r="AJ104" s="61">
        <f>$I$49*$AJ$49</f>
        <v>0.68919188459898406</v>
      </c>
      <c r="AK104" s="61">
        <f>$I$49*$AK$49</f>
        <v>4.1644364749831171</v>
      </c>
      <c r="AL104" s="61">
        <f>$I$49*$AL$49</f>
        <v>0</v>
      </c>
      <c r="AM104" s="61">
        <f>$I$49*$AM$49</f>
        <v>0</v>
      </c>
      <c r="AN104" s="61">
        <f>$I$49*$AN$49</f>
        <v>48.642218724591942</v>
      </c>
      <c r="AO104" s="61">
        <f>$I$49*$AO$49</f>
        <v>7.299801980080896</v>
      </c>
      <c r="AP104" s="61">
        <f>$I$49*$AP$49</f>
        <v>0</v>
      </c>
      <c r="AQ104" s="61">
        <f>$I$49*$AQ$49</f>
        <v>0</v>
      </c>
      <c r="AR104" s="61">
        <f>$I$49*$AR$49</f>
        <v>0</v>
      </c>
      <c r="AS104" s="61">
        <f>$I$49*$AS$49</f>
        <v>0</v>
      </c>
      <c r="AT104" s="61">
        <f>$I$49*$AT$49</f>
        <v>0</v>
      </c>
      <c r="AU104" s="61">
        <f>$I$49*$AU$49</f>
        <v>185.67467516591705</v>
      </c>
      <c r="AV104" s="61">
        <f>$I$49*$AV$49</f>
        <v>0</v>
      </c>
      <c r="AW104" s="61">
        <f>$I$49*$AW$49</f>
        <v>0</v>
      </c>
      <c r="AX104" s="61">
        <f>$I$49*$AX$49</f>
        <v>227.17540400171896</v>
      </c>
      <c r="AY104" s="61">
        <f>$I$49*$AY$49</f>
        <v>-40.113570810713938</v>
      </c>
      <c r="AZ104" s="61">
        <f>$I$49*$AZ$49</f>
        <v>0</v>
      </c>
      <c r="BA104" s="61">
        <f>$I$49*$BA$49</f>
        <v>15.704549154390197</v>
      </c>
      <c r="BB104" s="61">
        <f>$I$49*$BB$49</f>
        <v>0.11796411168115474</v>
      </c>
      <c r="BC104" s="61">
        <f>$I$49*$BC$49</f>
        <v>0.72559724615961385</v>
      </c>
      <c r="BD104" s="61">
        <f>$I$49*$BD$49</f>
        <v>0.21154283492675732</v>
      </c>
    </row>
    <row r="105" spans="1:56" ht="11.25" customHeight="1" x14ac:dyDescent="0.3">
      <c r="A105" s="9" t="s">
        <v>37</v>
      </c>
      <c r="B105" s="9" t="s">
        <v>1031</v>
      </c>
      <c r="C105" s="9" t="s">
        <v>1032</v>
      </c>
      <c r="D105" s="9" t="s">
        <v>1033</v>
      </c>
      <c r="E105" s="9" t="s">
        <v>1034</v>
      </c>
      <c r="F105" s="9" t="s">
        <v>1035</v>
      </c>
      <c r="G105" s="9" t="s">
        <v>1038</v>
      </c>
      <c r="L105" s="61">
        <f>$I$50*$L$50</f>
        <v>26.366182761249114</v>
      </c>
      <c r="M105" s="61">
        <f>$I$50*$M$50</f>
        <v>7.1710217337814317</v>
      </c>
      <c r="N105" s="61">
        <f ca="1">$I$50*$N$50</f>
        <v>23.228939233640101</v>
      </c>
      <c r="O105" s="61">
        <f>$I$50*$O$50</f>
        <v>0</v>
      </c>
      <c r="P105" s="61">
        <f>$I$50*$P$50</f>
        <v>0</v>
      </c>
      <c r="Q105" s="61">
        <f>$I$50*$Q$50</f>
        <v>746.59933799072257</v>
      </c>
      <c r="R105" s="61">
        <f>$I$50*$R$50</f>
        <v>126.23418562650426</v>
      </c>
      <c r="S105" s="61">
        <f>$I$50*$S$50</f>
        <v>0</v>
      </c>
      <c r="T105" s="61">
        <f>$I$50*$T$50</f>
        <v>0</v>
      </c>
      <c r="U105" s="61">
        <f>$I$50*$U$50</f>
        <v>0</v>
      </c>
      <c r="V105" s="61">
        <f>$I$50*$V$50</f>
        <v>0</v>
      </c>
      <c r="W105" s="61">
        <f>$I$50*$W$50</f>
        <v>0</v>
      </c>
      <c r="X105" s="61">
        <f>$I$50*$X$50</f>
        <v>685.93483139038187</v>
      </c>
      <c r="Y105" s="61">
        <f>$I$50*$Y$50</f>
        <v>0</v>
      </c>
      <c r="Z105" s="61">
        <f>$I$50*$Z$50</f>
        <v>0</v>
      </c>
      <c r="AA105" s="61">
        <f>$I$50*$AA$50</f>
        <v>1252.0490160360564</v>
      </c>
      <c r="AB105" s="61">
        <f ca="1">$I$50*$AB$50</f>
        <v>-365.70172507864208</v>
      </c>
      <c r="AC105" s="61">
        <f ca="1">$I$50*$AC$50</f>
        <v>0</v>
      </c>
      <c r="AD105" s="61">
        <f>$I$50*$AD$50</f>
        <v>160.16892587810605</v>
      </c>
      <c r="AE105" s="61">
        <f>$I$50*$AE$50</f>
        <v>1.6380820856998366</v>
      </c>
      <c r="AF105" s="61">
        <f ca="1">$I$50*$AF$50</f>
        <v>6.021098599603695</v>
      </c>
      <c r="AG105" s="61">
        <f ca="1">$I$50*$AG$50</f>
        <v>2.5143210029496617</v>
      </c>
      <c r="AI105" s="61">
        <f>$I$50*$AI$50</f>
        <v>25.513586843752144</v>
      </c>
      <c r="AJ105" s="61">
        <f>$I$50*$AJ$50</f>
        <v>8.2263350308433765</v>
      </c>
      <c r="AK105" s="61">
        <f>$I$50*$AK$50</f>
        <v>20.192861375636475</v>
      </c>
      <c r="AL105" s="61">
        <f>$I$50*$AL$50</f>
        <v>0</v>
      </c>
      <c r="AM105" s="61">
        <f>$I$50*$AM$50</f>
        <v>0</v>
      </c>
      <c r="AN105" s="61">
        <f>$I$50*$AN$50</f>
        <v>580.60345284664447</v>
      </c>
      <c r="AO105" s="61">
        <f>$I$50*$AO$50</f>
        <v>87.131926664952829</v>
      </c>
      <c r="AP105" s="61">
        <f>$I$50*$AP$50</f>
        <v>0</v>
      </c>
      <c r="AQ105" s="61">
        <f>$I$50*$AQ$50</f>
        <v>0</v>
      </c>
      <c r="AR105" s="61">
        <f>$I$50*$AR$50</f>
        <v>0</v>
      </c>
      <c r="AS105" s="61">
        <f>$I$50*$AS$50</f>
        <v>0</v>
      </c>
      <c r="AT105" s="61">
        <f>$I$50*$AT$50</f>
        <v>0</v>
      </c>
      <c r="AU105" s="61">
        <f>$I$50*$AU$50</f>
        <v>738.74966408815908</v>
      </c>
      <c r="AV105" s="61">
        <f>$I$50*$AV$50</f>
        <v>0</v>
      </c>
      <c r="AW105" s="61">
        <f>$I$50*$AW$50</f>
        <v>0</v>
      </c>
      <c r="AX105" s="61">
        <f>$I$50*$AX$50</f>
        <v>903.87038758848303</v>
      </c>
      <c r="AY105" s="61">
        <f>$I$50*$AY$50</f>
        <v>-205.04585185168429</v>
      </c>
      <c r="AZ105" s="61">
        <f>$I$50*$AZ$50</f>
        <v>0</v>
      </c>
      <c r="BA105" s="61">
        <f>$I$50*$BA$50</f>
        <v>187.45270473916466</v>
      </c>
      <c r="BB105" s="61">
        <f>$I$50*$BB$50</f>
        <v>1.4080437190139745</v>
      </c>
      <c r="BC105" s="61">
        <f>$I$50*$BC$50</f>
        <v>8.6608768584665867</v>
      </c>
      <c r="BD105" s="61">
        <f>$I$50*$BD$50</f>
        <v>2.5250184634638786</v>
      </c>
    </row>
    <row r="106" spans="1:56" ht="11.25" customHeight="1" x14ac:dyDescent="0.3">
      <c r="A106" s="9" t="s">
        <v>37</v>
      </c>
      <c r="B106" s="9" t="s">
        <v>1039</v>
      </c>
      <c r="C106" s="9" t="s">
        <v>1040</v>
      </c>
      <c r="D106" s="9" t="s">
        <v>1041</v>
      </c>
      <c r="E106" s="9" t="s">
        <v>1042</v>
      </c>
      <c r="F106" s="9" t="s">
        <v>1043</v>
      </c>
      <c r="G106" s="9" t="s">
        <v>1044</v>
      </c>
      <c r="L106" s="61">
        <f>$I$51*$L$51</f>
        <v>41613.897036769769</v>
      </c>
      <c r="M106" s="61">
        <f>$I$51*$M$51</f>
        <v>11318.064612546181</v>
      </c>
      <c r="N106" s="61">
        <f ca="1">$I$51*$N$51</f>
        <v>47800.421799478179</v>
      </c>
      <c r="O106" s="61">
        <f>$I$51*$O$51</f>
        <v>0</v>
      </c>
      <c r="P106" s="61">
        <f>$I$51*$P$51</f>
        <v>0</v>
      </c>
      <c r="Q106" s="61">
        <f>$I$51*$Q$51</f>
        <v>1178362.0048530111</v>
      </c>
      <c r="R106" s="61">
        <f>$I$51*$R$51</f>
        <v>199236.13709081951</v>
      </c>
      <c r="S106" s="61">
        <f>$I$51*$S$51</f>
        <v>0</v>
      </c>
      <c r="T106" s="61">
        <f>$I$51*$T$51</f>
        <v>0</v>
      </c>
      <c r="U106" s="61">
        <f>$I$51*$U$51</f>
        <v>0</v>
      </c>
      <c r="V106" s="61">
        <f>$I$51*$V$51</f>
        <v>0</v>
      </c>
      <c r="W106" s="61">
        <f>$I$51*$W$51</f>
        <v>0</v>
      </c>
      <c r="X106" s="61">
        <f>$I$51*$X$51</f>
        <v>1503631.7599353518</v>
      </c>
      <c r="Y106" s="61">
        <f>$I$51*$Y$51</f>
        <v>0</v>
      </c>
      <c r="Z106" s="61">
        <f>$I$51*$Z$51</f>
        <v>0</v>
      </c>
      <c r="AA106" s="61">
        <f>$I$51*$AA$51</f>
        <v>2744605.8811325091</v>
      </c>
      <c r="AB106" s="61">
        <f ca="1">$I$51*$AB$51</f>
        <v>-726982.52506097057</v>
      </c>
      <c r="AC106" s="61">
        <f ca="1">$I$51*$AC$51</f>
        <v>0</v>
      </c>
      <c r="AD106" s="61">
        <f>$I$51*$AD$51</f>
        <v>252795.53169818595</v>
      </c>
      <c r="AE106" s="61">
        <f>$I$51*$AE$51</f>
        <v>2585.3943238334978</v>
      </c>
      <c r="AF106" s="61">
        <f ca="1">$I$51*$AF$51</f>
        <v>9503.1343536160912</v>
      </c>
      <c r="AG106" s="61">
        <f ca="1">$I$51*$AG$51</f>
        <v>3968.3672180226508</v>
      </c>
      <c r="AI106" s="61">
        <f>$I$51*$AI$51</f>
        <v>40268.240024301711</v>
      </c>
      <c r="AJ106" s="61">
        <f>$I$51*$AJ$51</f>
        <v>12983.671624495348</v>
      </c>
      <c r="AK106" s="61">
        <f>$I$51*$AK$51</f>
        <v>42334.867805067792</v>
      </c>
      <c r="AL106" s="61">
        <f>$I$51*$AL$51</f>
        <v>0</v>
      </c>
      <c r="AM106" s="61">
        <f>$I$51*$AM$51</f>
        <v>0</v>
      </c>
      <c r="AN106" s="61">
        <f>$I$51*$AN$51</f>
        <v>916369.75002173684</v>
      </c>
      <c r="AO106" s="61">
        <f>$I$51*$AO$51</f>
        <v>137520.81815118779</v>
      </c>
      <c r="AP106" s="61">
        <f>$I$51*$AP$51</f>
        <v>0</v>
      </c>
      <c r="AQ106" s="61">
        <f>$I$51*$AQ$51</f>
        <v>0</v>
      </c>
      <c r="AR106" s="61">
        <f>$I$51*$AR$51</f>
        <v>0</v>
      </c>
      <c r="AS106" s="61">
        <f>$I$51*$AS$51</f>
        <v>0</v>
      </c>
      <c r="AT106" s="61">
        <f>$I$51*$AT$51</f>
        <v>0</v>
      </c>
      <c r="AU106" s="61">
        <f>$I$51*$AU$51</f>
        <v>1689817.9057275027</v>
      </c>
      <c r="AV106" s="61">
        <f>$I$51*$AV$51</f>
        <v>0</v>
      </c>
      <c r="AW106" s="61">
        <f>$I$51*$AW$51</f>
        <v>0</v>
      </c>
      <c r="AX106" s="61">
        <f>$I$51*$AX$51</f>
        <v>2067513.330330862</v>
      </c>
      <c r="AY106" s="61">
        <f>$I$51*$AY$51</f>
        <v>-420685.20769606286</v>
      </c>
      <c r="AZ106" s="61">
        <f>$I$51*$AZ$51</f>
        <v>0</v>
      </c>
      <c r="BA106" s="61">
        <f>$I$51*$BA$51</f>
        <v>295857.67590689502</v>
      </c>
      <c r="BB106" s="61">
        <f>$I$51*$BB$51</f>
        <v>2222.3234541343968</v>
      </c>
      <c r="BC106" s="61">
        <f>$I$51*$BC$51</f>
        <v>13669.511476119944</v>
      </c>
      <c r="BD106" s="61">
        <f>$I$51*$BD$51</f>
        <v>3985.2510811295924</v>
      </c>
    </row>
    <row r="107" spans="1:56" ht="11.25" customHeight="1" x14ac:dyDescent="0.3">
      <c r="A107" s="9" t="s">
        <v>37</v>
      </c>
      <c r="B107" s="9" t="s">
        <v>1045</v>
      </c>
      <c r="C107" s="9" t="s">
        <v>1046</v>
      </c>
      <c r="D107" s="9" t="s">
        <v>1047</v>
      </c>
      <c r="E107" s="9" t="s">
        <v>1048</v>
      </c>
      <c r="F107" s="9" t="s">
        <v>1049</v>
      </c>
      <c r="G107" s="9" t="s">
        <v>1050</v>
      </c>
      <c r="L107" s="61">
        <f>$I$52*$L$52</f>
        <v>0</v>
      </c>
      <c r="M107" s="61">
        <f>$I$52*$M$52</f>
        <v>0</v>
      </c>
      <c r="N107" s="61">
        <f ca="1">$I$52*$N$52</f>
        <v>0</v>
      </c>
      <c r="O107" s="61">
        <f>$I$52*$O$52</f>
        <v>0</v>
      </c>
      <c r="P107" s="61">
        <f>$I$52*$P$52</f>
        <v>0</v>
      </c>
      <c r="Q107" s="61">
        <f>$I$52*$Q$52</f>
        <v>0</v>
      </c>
      <c r="R107" s="61">
        <f>$I$52*$R$52</f>
        <v>0</v>
      </c>
      <c r="S107" s="61">
        <f>$I$52*$S$52</f>
        <v>0</v>
      </c>
      <c r="T107" s="61">
        <f>$I$52*$T$52</f>
        <v>0</v>
      </c>
      <c r="U107" s="61">
        <f>$I$52*$U$52</f>
        <v>0</v>
      </c>
      <c r="V107" s="61">
        <f>$I$52*$V$52</f>
        <v>0</v>
      </c>
      <c r="W107" s="61">
        <f>$I$52*$W$52</f>
        <v>0</v>
      </c>
      <c r="X107" s="61">
        <f>$I$52*$X$52</f>
        <v>0</v>
      </c>
      <c r="Y107" s="61">
        <f>$I$52*$Y$52</f>
        <v>0</v>
      </c>
      <c r="Z107" s="61">
        <f>$I$52*$Z$52</f>
        <v>0</v>
      </c>
      <c r="AA107" s="61">
        <f>$I$52*$AA$52</f>
        <v>0</v>
      </c>
      <c r="AB107" s="61">
        <f ca="1">$I$52*$AB$52</f>
        <v>0</v>
      </c>
      <c r="AC107" s="61">
        <f ca="1">$I$52*$AC$52</f>
        <v>0</v>
      </c>
      <c r="AD107" s="61">
        <f>$I$52*$AD$52</f>
        <v>0</v>
      </c>
      <c r="AE107" s="61">
        <f>$I$52*$AE$52</f>
        <v>0</v>
      </c>
      <c r="AF107" s="61">
        <f ca="1">$I$52*$AF$52</f>
        <v>0</v>
      </c>
      <c r="AG107" s="61">
        <f ca="1">$I$52*$AG$52</f>
        <v>0</v>
      </c>
      <c r="AI107" s="61">
        <f>$I$52*$AI$52</f>
        <v>0</v>
      </c>
      <c r="AJ107" s="61">
        <f>$I$52*$AJ$52</f>
        <v>0</v>
      </c>
      <c r="AK107" s="61">
        <f>$I$52*$AK$52</f>
        <v>0</v>
      </c>
      <c r="AL107" s="61">
        <f>$I$52*$AL$52</f>
        <v>0</v>
      </c>
      <c r="AM107" s="61">
        <f>$I$52*$AM$52</f>
        <v>0</v>
      </c>
      <c r="AN107" s="61">
        <f>$I$52*$AN$52</f>
        <v>0</v>
      </c>
      <c r="AO107" s="61">
        <f>$I$52*$AO$52</f>
        <v>0</v>
      </c>
      <c r="AP107" s="61">
        <f>$I$52*$AP$52</f>
        <v>0</v>
      </c>
      <c r="AQ107" s="61">
        <f>$I$52*$AQ$52</f>
        <v>0</v>
      </c>
      <c r="AR107" s="61">
        <f>$I$52*$AR$52</f>
        <v>0</v>
      </c>
      <c r="AS107" s="61">
        <f>$I$52*$AS$52</f>
        <v>0</v>
      </c>
      <c r="AT107" s="61">
        <f>$I$52*$AT$52</f>
        <v>0</v>
      </c>
      <c r="AU107" s="61">
        <f>$I$52*$AU$52</f>
        <v>0</v>
      </c>
      <c r="AV107" s="61">
        <f>$I$52*$AV$52</f>
        <v>0</v>
      </c>
      <c r="AW107" s="61">
        <f>$I$52*$AW$52</f>
        <v>0</v>
      </c>
      <c r="AX107" s="61">
        <f>$I$52*$AX$52</f>
        <v>0</v>
      </c>
      <c r="AY107" s="61">
        <f>$I$52*$AY$52</f>
        <v>0</v>
      </c>
      <c r="AZ107" s="61">
        <f>$I$52*$AZ$52</f>
        <v>0</v>
      </c>
      <c r="BA107" s="61">
        <f>$I$52*$BA$52</f>
        <v>0</v>
      </c>
      <c r="BB107" s="61">
        <f>$I$52*$BB$52</f>
        <v>0</v>
      </c>
      <c r="BC107" s="61">
        <f>$I$52*$BC$52</f>
        <v>0</v>
      </c>
      <c r="BD107" s="61">
        <f>$I$52*$BD$52</f>
        <v>0</v>
      </c>
    </row>
    <row r="108" spans="1:56" ht="11.25" customHeight="1" x14ac:dyDescent="0.3">
      <c r="A108" s="9" t="s">
        <v>45</v>
      </c>
      <c r="B108" s="9" t="s">
        <v>1051</v>
      </c>
      <c r="C108" s="9" t="s">
        <v>1052</v>
      </c>
      <c r="D108" s="9" t="s">
        <v>1053</v>
      </c>
      <c r="E108" s="9" t="s">
        <v>1054</v>
      </c>
      <c r="F108" s="9" t="s">
        <v>1055</v>
      </c>
      <c r="G108" s="9" t="s">
        <v>1056</v>
      </c>
      <c r="L108" s="61">
        <f>$I$53*$L$53</f>
        <v>8458.6897868641536</v>
      </c>
      <c r="M108" s="61">
        <f>$I$53*$M$53</f>
        <v>2300.5775561135565</v>
      </c>
      <c r="N108" s="61">
        <f ca="1">$I$53*$N$53</f>
        <v>9716.1998388610991</v>
      </c>
      <c r="O108" s="61">
        <f>$I$53*$O$53</f>
        <v>0</v>
      </c>
      <c r="P108" s="61">
        <f>$I$53*$P$53</f>
        <v>0</v>
      </c>
      <c r="Q108" s="61">
        <f>$I$53*$Q$53</f>
        <v>239520.91405598962</v>
      </c>
      <c r="R108" s="61">
        <f>$I$53*$R$53</f>
        <v>40497.929729947718</v>
      </c>
      <c r="S108" s="61">
        <f>$I$53*$S$53</f>
        <v>0</v>
      </c>
      <c r="T108" s="61">
        <f>$I$53*$T$53</f>
        <v>0</v>
      </c>
      <c r="U108" s="61">
        <f>$I$53*$U$53</f>
        <v>0</v>
      </c>
      <c r="V108" s="61">
        <f>$I$53*$V$53</f>
        <v>0</v>
      </c>
      <c r="W108" s="61">
        <f>$I$53*$W$53</f>
        <v>0</v>
      </c>
      <c r="X108" s="61">
        <f>$I$53*$X$53</f>
        <v>305637.19133854558</v>
      </c>
      <c r="Y108" s="61">
        <f>$I$53*$Y$53</f>
        <v>0</v>
      </c>
      <c r="Z108" s="61">
        <f>$I$53*$Z$53</f>
        <v>0</v>
      </c>
      <c r="AA108" s="61">
        <f>$I$53*$AA$53</f>
        <v>557885.01892023114</v>
      </c>
      <c r="AB108" s="61">
        <f ca="1">$I$53*$AB$53</f>
        <v>-147770.81931376067</v>
      </c>
      <c r="AC108" s="61">
        <f ca="1">$I$53*$AC$53</f>
        <v>0</v>
      </c>
      <c r="AD108" s="61">
        <f>$I$53*$AD$53</f>
        <v>51384.73285140621</v>
      </c>
      <c r="AE108" s="61">
        <f>$I$53*$AE$53</f>
        <v>525.52272484126206</v>
      </c>
      <c r="AF108" s="61">
        <f ca="1">$I$53*$AF$53</f>
        <v>1931.6639686281599</v>
      </c>
      <c r="AG108" s="61">
        <f ca="1">$I$53*$AG$53</f>
        <v>806.63407293854164</v>
      </c>
      <c r="AI108" s="61">
        <f>$I$53*$AI$53</f>
        <v>8185.1634882353983</v>
      </c>
      <c r="AJ108" s="61">
        <f>$I$53*$AJ$53</f>
        <v>2639.1388066605823</v>
      </c>
      <c r="AK108" s="61">
        <f>$I$53*$AK$53</f>
        <v>8605.2386205156272</v>
      </c>
      <c r="AL108" s="61">
        <f>$I$53*$AL$53</f>
        <v>0</v>
      </c>
      <c r="AM108" s="61">
        <f>$I$53*$AM$53</f>
        <v>0</v>
      </c>
      <c r="AN108" s="61">
        <f>$I$53*$AN$53</f>
        <v>186266.80021462901</v>
      </c>
      <c r="AO108" s="61">
        <f>$I$53*$AO$53</f>
        <v>27953.304612370674</v>
      </c>
      <c r="AP108" s="61">
        <f>$I$53*$AP$53</f>
        <v>0</v>
      </c>
      <c r="AQ108" s="61">
        <f>$I$53*$AQ$53</f>
        <v>0</v>
      </c>
      <c r="AR108" s="61">
        <f>$I$53*$AR$53</f>
        <v>0</v>
      </c>
      <c r="AS108" s="61">
        <f>$I$53*$AS$53</f>
        <v>0</v>
      </c>
      <c r="AT108" s="61">
        <f>$I$53*$AT$53</f>
        <v>0</v>
      </c>
      <c r="AU108" s="61">
        <f>$I$53*$AU$53</f>
        <v>343482.5017279103</v>
      </c>
      <c r="AV108" s="61">
        <f>$I$53*$AV$53</f>
        <v>0</v>
      </c>
      <c r="AW108" s="61">
        <f>$I$53*$AW$53</f>
        <v>0</v>
      </c>
      <c r="AX108" s="61">
        <f>$I$53*$AX$53</f>
        <v>420255.13438509539</v>
      </c>
      <c r="AY108" s="61">
        <f>$I$53*$AY$53</f>
        <v>-85510.993278982845</v>
      </c>
      <c r="AZ108" s="61">
        <f>$I$53*$AZ$53</f>
        <v>0</v>
      </c>
      <c r="BA108" s="61">
        <f>$I$53*$BA$53</f>
        <v>60137.802026754798</v>
      </c>
      <c r="BB108" s="61">
        <f>$I$53*$BB$53</f>
        <v>451.72276674749992</v>
      </c>
      <c r="BC108" s="61">
        <f>$I$53*$BC$53</f>
        <v>2778.5467199169407</v>
      </c>
      <c r="BD108" s="61">
        <f>$I$53*$BD$53</f>
        <v>810.06598801006862</v>
      </c>
    </row>
    <row r="109" spans="1:56" ht="11.25" customHeight="1" x14ac:dyDescent="0.3">
      <c r="A109" s="9" t="s">
        <v>45</v>
      </c>
      <c r="B109" s="9" t="s">
        <v>1051</v>
      </c>
      <c r="C109" s="9" t="s">
        <v>1052</v>
      </c>
      <c r="D109" s="9" t="s">
        <v>1057</v>
      </c>
      <c r="E109" s="9" t="s">
        <v>1058</v>
      </c>
      <c r="F109" s="9" t="s">
        <v>1059</v>
      </c>
      <c r="G109" s="9" t="s">
        <v>1060</v>
      </c>
      <c r="L109" s="61">
        <f>$I$54*$L$54</f>
        <v>0</v>
      </c>
      <c r="M109" s="61">
        <f>$I$54*$M$54</f>
        <v>0</v>
      </c>
      <c r="N109" s="61">
        <f ca="1">$I$54*$N$54</f>
        <v>0</v>
      </c>
      <c r="O109" s="61">
        <f>$I$54*$O$54</f>
        <v>0</v>
      </c>
      <c r="P109" s="61">
        <f>$I$54*$P$54</f>
        <v>0</v>
      </c>
      <c r="Q109" s="61">
        <f>$I$54*$Q$54</f>
        <v>0</v>
      </c>
      <c r="R109" s="61">
        <f>$I$54*$R$54</f>
        <v>0</v>
      </c>
      <c r="S109" s="61">
        <f>$I$54*$S$54</f>
        <v>0</v>
      </c>
      <c r="T109" s="61">
        <f>$I$54*$T$54</f>
        <v>0</v>
      </c>
      <c r="U109" s="61">
        <f>$I$54*$U$54</f>
        <v>0</v>
      </c>
      <c r="V109" s="61">
        <f>$I$54*$V$54</f>
        <v>0</v>
      </c>
      <c r="W109" s="61">
        <f>$I$54*$W$54</f>
        <v>0</v>
      </c>
      <c r="X109" s="61">
        <f>$I$54*$X$54</f>
        <v>0</v>
      </c>
      <c r="Y109" s="61">
        <f>$I$54*$Y$54</f>
        <v>0</v>
      </c>
      <c r="Z109" s="61">
        <f>$I$54*$Z$54</f>
        <v>0</v>
      </c>
      <c r="AA109" s="61">
        <f>$I$54*$AA$54</f>
        <v>0</v>
      </c>
      <c r="AB109" s="61">
        <f ca="1">$I$54*$AB$54</f>
        <v>0</v>
      </c>
      <c r="AC109" s="61">
        <f ca="1">$I$54*$AC$54</f>
        <v>0</v>
      </c>
      <c r="AD109" s="61">
        <f>$I$54*$AD$54</f>
        <v>0</v>
      </c>
      <c r="AE109" s="61">
        <f>$I$54*$AE$54</f>
        <v>0</v>
      </c>
      <c r="AF109" s="61">
        <f ca="1">$I$54*$AF$54</f>
        <v>0</v>
      </c>
      <c r="AG109" s="61">
        <f ca="1">$I$54*$AG$54</f>
        <v>0</v>
      </c>
      <c r="AI109" s="61">
        <f>$I$54*$AI$54</f>
        <v>0</v>
      </c>
      <c r="AJ109" s="61">
        <f>$I$54*$AJ$54</f>
        <v>0</v>
      </c>
      <c r="AK109" s="61">
        <f>$I$54*$AK$54</f>
        <v>0</v>
      </c>
      <c r="AL109" s="61">
        <f>$I$54*$AL$54</f>
        <v>0</v>
      </c>
      <c r="AM109" s="61">
        <f>$I$54*$AM$54</f>
        <v>0</v>
      </c>
      <c r="AN109" s="61">
        <f>$I$54*$AN$54</f>
        <v>0</v>
      </c>
      <c r="AO109" s="61">
        <f>$I$54*$AO$54</f>
        <v>0</v>
      </c>
      <c r="AP109" s="61">
        <f>$I$54*$AP$54</f>
        <v>0</v>
      </c>
      <c r="AQ109" s="61">
        <f>$I$54*$AQ$54</f>
        <v>0</v>
      </c>
      <c r="AR109" s="61">
        <f>$I$54*$AR$54</f>
        <v>0</v>
      </c>
      <c r="AS109" s="61">
        <f>$I$54*$AS$54</f>
        <v>0</v>
      </c>
      <c r="AT109" s="61">
        <f>$I$54*$AT$54</f>
        <v>0</v>
      </c>
      <c r="AU109" s="61">
        <f>$I$54*$AU$54</f>
        <v>0</v>
      </c>
      <c r="AV109" s="61">
        <f>$I$54*$AV$54</f>
        <v>0</v>
      </c>
      <c r="AW109" s="61">
        <f>$I$54*$AW$54</f>
        <v>0</v>
      </c>
      <c r="AX109" s="61">
        <f>$I$54*$AX$54</f>
        <v>0</v>
      </c>
      <c r="AY109" s="61">
        <f>$I$54*$AY$54</f>
        <v>0</v>
      </c>
      <c r="AZ109" s="61">
        <f>$I$54*$AZ$54</f>
        <v>0</v>
      </c>
      <c r="BA109" s="61">
        <f>$I$54*$BA$54</f>
        <v>0</v>
      </c>
      <c r="BB109" s="61">
        <f>$I$54*$BB$54</f>
        <v>0</v>
      </c>
      <c r="BC109" s="61">
        <f>$I$54*$BC$54</f>
        <v>0</v>
      </c>
      <c r="BD109" s="61">
        <f>$I$54*$BD$54</f>
        <v>0</v>
      </c>
    </row>
  </sheetData>
  <mergeCells count="93">
    <mergeCell ref="T3:Z3"/>
    <mergeCell ref="A1:A4"/>
    <mergeCell ref="B1:B4"/>
    <mergeCell ref="C1:C4"/>
    <mergeCell ref="D1:D4"/>
    <mergeCell ref="E1:E4"/>
    <mergeCell ref="F1:F4"/>
    <mergeCell ref="AB3:AC3"/>
    <mergeCell ref="AD3:AG3"/>
    <mergeCell ref="A5:A17"/>
    <mergeCell ref="B5:B8"/>
    <mergeCell ref="C5:C8"/>
    <mergeCell ref="D5:D8"/>
    <mergeCell ref="E5:E7"/>
    <mergeCell ref="F5:F7"/>
    <mergeCell ref="B9:B11"/>
    <mergeCell ref="G1:G4"/>
    <mergeCell ref="H1:H4"/>
    <mergeCell ref="I1:I4"/>
    <mergeCell ref="J1:J4"/>
    <mergeCell ref="L1:AG1"/>
    <mergeCell ref="L2:AG2"/>
    <mergeCell ref="L3:S3"/>
    <mergeCell ref="C9:C11"/>
    <mergeCell ref="D9:D11"/>
    <mergeCell ref="E9:E11"/>
    <mergeCell ref="F9:F11"/>
    <mergeCell ref="B13:B17"/>
    <mergeCell ref="C13:C17"/>
    <mergeCell ref="D13:D17"/>
    <mergeCell ref="E13:E15"/>
    <mergeCell ref="F13:F15"/>
    <mergeCell ref="E16:E17"/>
    <mergeCell ref="F16:F17"/>
    <mergeCell ref="A18:A19"/>
    <mergeCell ref="B18:B19"/>
    <mergeCell ref="C18:C19"/>
    <mergeCell ref="D18:D19"/>
    <mergeCell ref="A33:A47"/>
    <mergeCell ref="B33:B35"/>
    <mergeCell ref="C33:C35"/>
    <mergeCell ref="D33:D35"/>
    <mergeCell ref="B37:B39"/>
    <mergeCell ref="C37:C39"/>
    <mergeCell ref="D37:D39"/>
    <mergeCell ref="B45:B47"/>
    <mergeCell ref="C45:C47"/>
    <mergeCell ref="A20:A32"/>
    <mergeCell ref="B20:B22"/>
    <mergeCell ref="C20:C22"/>
    <mergeCell ref="E33:E35"/>
    <mergeCell ref="F20:F22"/>
    <mergeCell ref="B23:B27"/>
    <mergeCell ref="C23:C27"/>
    <mergeCell ref="B28:B32"/>
    <mergeCell ref="C28:C32"/>
    <mergeCell ref="F33:F35"/>
    <mergeCell ref="D20:D22"/>
    <mergeCell ref="E20:E22"/>
    <mergeCell ref="E37:E39"/>
    <mergeCell ref="F37:F39"/>
    <mergeCell ref="C41:C43"/>
    <mergeCell ref="D41:D43"/>
    <mergeCell ref="E41:E43"/>
    <mergeCell ref="F41:F43"/>
    <mergeCell ref="A53:A54"/>
    <mergeCell ref="B53:B54"/>
    <mergeCell ref="C53:C54"/>
    <mergeCell ref="AI1:BD1"/>
    <mergeCell ref="AI2:BD2"/>
    <mergeCell ref="AI3:AP3"/>
    <mergeCell ref="AQ3:AW3"/>
    <mergeCell ref="AY3:AZ3"/>
    <mergeCell ref="BA3:BD3"/>
    <mergeCell ref="A48:A52"/>
    <mergeCell ref="B48:B50"/>
    <mergeCell ref="C48:C50"/>
    <mergeCell ref="D48:D50"/>
    <mergeCell ref="E48:E50"/>
    <mergeCell ref="F48:F50"/>
    <mergeCell ref="B41:B43"/>
    <mergeCell ref="AY58:AZ58"/>
    <mergeCell ref="BA58:BD58"/>
    <mergeCell ref="L56:AG56"/>
    <mergeCell ref="AI56:BD56"/>
    <mergeCell ref="L57:AG57"/>
    <mergeCell ref="AI57:BD57"/>
    <mergeCell ref="L58:S58"/>
    <mergeCell ref="T58:Z58"/>
    <mergeCell ref="AB58:AC58"/>
    <mergeCell ref="AD58:AG58"/>
    <mergeCell ref="AI58:AP58"/>
    <mergeCell ref="AQ58:AW58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FE9-0234-469B-A538-B66671C64EC7}">
  <sheetPr codeName="Planilha19"/>
  <dimension ref="A1:AH91"/>
  <sheetViews>
    <sheetView showGridLines="0" topLeftCell="L19" workbookViewId="0">
      <selection activeCell="V46" sqref="V46"/>
    </sheetView>
  </sheetViews>
  <sheetFormatPr defaultColWidth="9.109375" defaultRowHeight="11.25" customHeight="1" x14ac:dyDescent="0.3"/>
  <cols>
    <col min="1" max="1" width="9.33203125" style="9" bestFit="1" customWidth="1"/>
    <col min="2" max="2" width="29" style="9" bestFit="1" customWidth="1"/>
    <col min="3" max="3" width="38.6640625" style="9" bestFit="1" customWidth="1"/>
    <col min="4" max="4" width="61.6640625" style="9" bestFit="1" customWidth="1"/>
    <col min="5" max="5" width="71.44140625" style="9" bestFit="1" customWidth="1"/>
    <col min="6" max="6" width="81" style="9" bestFit="1" customWidth="1"/>
    <col min="7" max="7" width="81.88671875" style="9" bestFit="1" customWidth="1"/>
    <col min="8" max="8" width="7.44140625" style="9" bestFit="1" customWidth="1"/>
    <col min="9" max="9" width="7.88671875" style="9" bestFit="1" customWidth="1"/>
    <col min="10" max="10" width="9.109375" style="9"/>
    <col min="11" max="11" width="20" style="9" bestFit="1" customWidth="1"/>
    <col min="12" max="12" width="7.88671875" style="9" bestFit="1" customWidth="1"/>
    <col min="13" max="13" width="8.6640625" style="9" bestFit="1" customWidth="1"/>
    <col min="14" max="14" width="6" style="9" bestFit="1" customWidth="1"/>
    <col min="15" max="15" width="11.109375" style="9" bestFit="1" customWidth="1"/>
    <col min="16" max="16" width="9.33203125" style="9" bestFit="1" customWidth="1"/>
    <col min="17" max="17" width="15" style="9" bestFit="1" customWidth="1"/>
    <col min="18" max="18" width="8.6640625" style="9" bestFit="1" customWidth="1"/>
    <col min="19" max="19" width="10.44140625" style="9" bestFit="1" customWidth="1"/>
    <col min="20" max="20" width="7" style="9" bestFit="1" customWidth="1"/>
    <col min="21" max="21" width="11.109375" style="9" bestFit="1" customWidth="1"/>
    <col min="22" max="22" width="11" style="9" bestFit="1" customWidth="1"/>
    <col min="23" max="23" width="9.109375" style="9"/>
    <col min="24" max="24" width="7.88671875" style="9" bestFit="1" customWidth="1"/>
    <col min="25" max="25" width="8.6640625" style="9" bestFit="1" customWidth="1"/>
    <col min="26" max="26" width="6" style="9" bestFit="1" customWidth="1"/>
    <col min="27" max="27" width="11.109375" style="9" bestFit="1" customWidth="1"/>
    <col min="28" max="28" width="9.33203125" style="9" bestFit="1" customWidth="1"/>
    <col min="29" max="29" width="15" style="9" bestFit="1" customWidth="1"/>
    <col min="30" max="30" width="8.6640625" style="9" bestFit="1" customWidth="1"/>
    <col min="31" max="31" width="10.44140625" style="9" bestFit="1" customWidth="1"/>
    <col min="32" max="32" width="7" style="9" bestFit="1" customWidth="1"/>
    <col min="33" max="33" width="11.109375" style="9" bestFit="1" customWidth="1"/>
    <col min="34" max="34" width="11" style="9" bestFit="1" customWidth="1"/>
    <col min="35" max="16384" width="9.109375" style="9"/>
  </cols>
  <sheetData>
    <row r="1" spans="1:34" ht="11.25" customHeight="1" x14ac:dyDescent="0.3">
      <c r="A1" s="142" t="s">
        <v>66</v>
      </c>
      <c r="B1" s="142" t="s">
        <v>67</v>
      </c>
      <c r="C1" s="142" t="s">
        <v>68</v>
      </c>
      <c r="D1" s="142" t="s">
        <v>69</v>
      </c>
      <c r="E1" s="142" t="s">
        <v>70</v>
      </c>
      <c r="F1" s="142" t="s">
        <v>15</v>
      </c>
      <c r="G1" s="142" t="s">
        <v>72</v>
      </c>
      <c r="H1" s="142" t="s">
        <v>73</v>
      </c>
      <c r="I1" s="142" t="s">
        <v>700</v>
      </c>
      <c r="J1" s="125"/>
      <c r="L1" s="140" t="s">
        <v>1061</v>
      </c>
      <c r="M1" s="140"/>
      <c r="N1" s="140"/>
      <c r="O1" s="140"/>
      <c r="P1" s="140"/>
      <c r="Q1" s="140"/>
      <c r="R1" s="140"/>
      <c r="S1" s="140"/>
      <c r="T1" s="140"/>
      <c r="U1" s="140"/>
      <c r="V1" s="140"/>
      <c r="X1" s="140" t="s">
        <v>1062</v>
      </c>
      <c r="Y1" s="140"/>
      <c r="Z1" s="140"/>
      <c r="AA1" s="140"/>
      <c r="AB1" s="140"/>
      <c r="AC1" s="140"/>
      <c r="AD1" s="140"/>
      <c r="AE1" s="140"/>
      <c r="AF1" s="140"/>
      <c r="AG1" s="140"/>
      <c r="AH1" s="140"/>
    </row>
    <row r="2" spans="1:34" ht="11.25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25"/>
      <c r="L2" s="140" t="s">
        <v>638</v>
      </c>
      <c r="M2" s="140"/>
      <c r="N2" s="140"/>
      <c r="O2" s="140"/>
      <c r="P2" s="140"/>
      <c r="Q2" s="140"/>
      <c r="R2" s="140"/>
      <c r="S2" s="140"/>
      <c r="T2" s="140"/>
      <c r="U2" s="140"/>
      <c r="V2" s="140"/>
      <c r="X2" s="140" t="s">
        <v>638</v>
      </c>
      <c r="Y2" s="140"/>
      <c r="Z2" s="140"/>
      <c r="AA2" s="140"/>
      <c r="AB2" s="140"/>
      <c r="AC2" s="140"/>
      <c r="AD2" s="140"/>
      <c r="AE2" s="140"/>
      <c r="AF2" s="140"/>
      <c r="AG2" s="140"/>
      <c r="AH2" s="140"/>
    </row>
    <row r="3" spans="1:34" ht="11.25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25"/>
      <c r="L3" s="140" t="s">
        <v>611</v>
      </c>
      <c r="M3" s="140"/>
      <c r="N3" s="140"/>
      <c r="O3" s="140"/>
      <c r="P3" s="140"/>
      <c r="Q3" s="72" t="s">
        <v>642</v>
      </c>
      <c r="R3" s="140" t="s">
        <v>620</v>
      </c>
      <c r="S3" s="140"/>
      <c r="T3" s="140"/>
      <c r="U3" s="72" t="s">
        <v>630</v>
      </c>
      <c r="V3" s="72" t="s">
        <v>633</v>
      </c>
      <c r="X3" s="140" t="s">
        <v>611</v>
      </c>
      <c r="Y3" s="140"/>
      <c r="Z3" s="140"/>
      <c r="AA3" s="140"/>
      <c r="AB3" s="140"/>
      <c r="AC3" s="72" t="s">
        <v>642</v>
      </c>
      <c r="AD3" s="140" t="s">
        <v>620</v>
      </c>
      <c r="AE3" s="140"/>
      <c r="AF3" s="140"/>
      <c r="AG3" s="72" t="s">
        <v>630</v>
      </c>
      <c r="AH3" s="72" t="s">
        <v>633</v>
      </c>
    </row>
    <row r="4" spans="1:34" ht="11.25" customHeight="1" x14ac:dyDescent="0.3">
      <c r="A4" s="142"/>
      <c r="B4" s="142"/>
      <c r="C4" s="142"/>
      <c r="D4" s="142"/>
      <c r="E4" s="142"/>
      <c r="F4" s="142"/>
      <c r="G4" s="142"/>
      <c r="H4" s="142"/>
      <c r="I4" s="142"/>
      <c r="J4" s="125"/>
      <c r="L4" s="72" t="s">
        <v>613</v>
      </c>
      <c r="M4" s="72" t="s">
        <v>639</v>
      </c>
      <c r="N4" s="72" t="s">
        <v>640</v>
      </c>
      <c r="O4" s="72" t="s">
        <v>699</v>
      </c>
      <c r="P4" s="72" t="s">
        <v>641</v>
      </c>
      <c r="Q4" s="72" t="s">
        <v>643</v>
      </c>
      <c r="R4" s="72" t="s">
        <v>644</v>
      </c>
      <c r="S4" s="72" t="s">
        <v>645</v>
      </c>
      <c r="T4" s="72" t="s">
        <v>646</v>
      </c>
      <c r="U4" s="72" t="s">
        <v>631</v>
      </c>
      <c r="V4" s="72" t="s">
        <v>647</v>
      </c>
      <c r="X4" s="72" t="s">
        <v>613</v>
      </c>
      <c r="Y4" s="72" t="s">
        <v>639</v>
      </c>
      <c r="Z4" s="72" t="s">
        <v>640</v>
      </c>
      <c r="AA4" s="72" t="s">
        <v>699</v>
      </c>
      <c r="AB4" s="72" t="s">
        <v>641</v>
      </c>
      <c r="AC4" s="72" t="s">
        <v>643</v>
      </c>
      <c r="AD4" s="72" t="s">
        <v>644</v>
      </c>
      <c r="AE4" s="72" t="s">
        <v>645</v>
      </c>
      <c r="AF4" s="72" t="s">
        <v>646</v>
      </c>
      <c r="AG4" s="72" t="s">
        <v>631</v>
      </c>
      <c r="AH4" s="72" t="s">
        <v>647</v>
      </c>
    </row>
    <row r="5" spans="1:34" ht="11.25" customHeight="1" x14ac:dyDescent="0.3">
      <c r="A5" s="143" t="s">
        <v>39</v>
      </c>
      <c r="B5" s="143" t="s">
        <v>75</v>
      </c>
      <c r="C5" s="143" t="s">
        <v>25</v>
      </c>
      <c r="D5" s="143" t="s">
        <v>25</v>
      </c>
      <c r="E5" s="143" t="s">
        <v>25</v>
      </c>
      <c r="F5" s="143" t="s">
        <v>25</v>
      </c>
      <c r="G5" s="71" t="s">
        <v>77</v>
      </c>
      <c r="H5" s="71" t="s">
        <v>76</v>
      </c>
      <c r="I5" s="71">
        <f>'MERCADO TE'!$U$2</f>
        <v>529.99099999999999</v>
      </c>
      <c r="J5" s="15"/>
      <c r="L5" s="68">
        <f>('TE BE'!$L$5+'TE BF'!$L$5+'TE CVA'!$L$5)*1</f>
        <v>2.3046199546073041</v>
      </c>
      <c r="M5" s="68">
        <f>('TE BE'!$M$5+'TE BF'!$M$5+'TE CVA'!$M$5)*1</f>
        <v>29.271943660549468</v>
      </c>
      <c r="N5" s="68">
        <f>('TE BE'!$N$5+'TE BF'!$N$5+'TE CVA'!$N$5)*1</f>
        <v>0</v>
      </c>
      <c r="O5" s="68">
        <f>('TE BE'!$O$5+'TE BF'!$O$5+'TE CVA'!$O$5)*1</f>
        <v>11.018019684329058</v>
      </c>
      <c r="P5" s="68">
        <f>('TE BE'!$P$5+'TE BF'!$P$5+'TE CVA'!$P$5)*1</f>
        <v>-15.232437747347818</v>
      </c>
      <c r="Q5" s="68">
        <f>('TE BE'!$R$5+'TE BF'!$R$5+'TE CVA'!$R$5)*1</f>
        <v>318.75217467240657</v>
      </c>
      <c r="R5" s="68">
        <f>('TE BE'!$T$5+'TE BF'!$T$5+'TE CVA'!$T$5)*1</f>
        <v>6.4477737609046741</v>
      </c>
      <c r="S5" s="68">
        <f>('TE BE'!$U$5+'TE BF'!$U$5+'TE CVA'!$U$5)*1</f>
        <v>3.8807625612001475</v>
      </c>
      <c r="T5" s="68">
        <f>('TE BE'!$V$5+'TE BF'!$V$5+'TE CVA'!$V$5)*1</f>
        <v>0</v>
      </c>
      <c r="U5" s="68">
        <f>('TE BE'!$X$5+'TE BF'!$X$5+'TE CVA'!$X$5)*1</f>
        <v>-46.950777141991558</v>
      </c>
      <c r="V5" s="68">
        <f>('TE BE'!$Z$5+'TE BF'!$Z$5+'TE CVA'!$Z$5)*1</f>
        <v>1.9197097437074846</v>
      </c>
      <c r="X5" s="68">
        <v>2.1883211825711499</v>
      </c>
      <c r="Y5" s="68">
        <v>19.216372536201899</v>
      </c>
      <c r="Z5" s="68">
        <v>0</v>
      </c>
      <c r="AA5" s="68">
        <v>0</v>
      </c>
      <c r="AB5" s="68">
        <v>0</v>
      </c>
      <c r="AC5" s="68">
        <v>286.85149946602502</v>
      </c>
      <c r="AD5" s="68">
        <v>4.5933964279639801</v>
      </c>
      <c r="AE5" s="68">
        <v>4.0530247535498498</v>
      </c>
      <c r="AF5" s="68">
        <v>0</v>
      </c>
      <c r="AG5" s="68">
        <v>-29.346829209327499</v>
      </c>
      <c r="AH5" s="68">
        <v>1.2576901643113101</v>
      </c>
    </row>
    <row r="6" spans="1:34" ht="11.25" customHeight="1" x14ac:dyDescent="0.3">
      <c r="A6" s="143"/>
      <c r="B6" s="143"/>
      <c r="C6" s="143"/>
      <c r="D6" s="143"/>
      <c r="E6" s="143"/>
      <c r="F6" s="143"/>
      <c r="G6" s="71" t="s">
        <v>78</v>
      </c>
      <c r="H6" s="71" t="s">
        <v>76</v>
      </c>
      <c r="I6" s="71">
        <f>'MERCADO TE'!$U$3</f>
        <v>10939.779999999999</v>
      </c>
      <c r="J6" s="15"/>
      <c r="L6" s="68">
        <f>('TE BE'!$L$6+'TE BF'!$L$6+'TE CVA'!$L$6)*1</f>
        <v>2.3046199546073041</v>
      </c>
      <c r="M6" s="68">
        <f>('TE BE'!$M$6+'TE BF'!$M$6+'TE CVA'!$M$6)*1</f>
        <v>29.271943660549468</v>
      </c>
      <c r="N6" s="68">
        <f>('TE BE'!$N$6+'TE BF'!$N$6+'TE CVA'!$N$6)*1</f>
        <v>0</v>
      </c>
      <c r="O6" s="68">
        <f>('TE BE'!$O$6+'TE BF'!$O$6+'TE CVA'!$O$6)*1</f>
        <v>11.018019684329058</v>
      </c>
      <c r="P6" s="68">
        <f>('TE BE'!$P$6+'TE BF'!$P$6+'TE CVA'!$P$6)*1</f>
        <v>-15.232437747347818</v>
      </c>
      <c r="Q6" s="68">
        <f>('TE BE'!$R$6+'TE BF'!$R$6+'TE CVA'!$R$6)*1</f>
        <v>185.3210317862829</v>
      </c>
      <c r="R6" s="68">
        <f>('TE BE'!$T$6+'TE BF'!$T$6+'TE CVA'!$T$6)*1</f>
        <v>6.4477737609046741</v>
      </c>
      <c r="S6" s="68">
        <f>('TE BE'!$U$6+'TE BF'!$U$6+'TE CVA'!$U$6)*1</f>
        <v>3.8807625612001475</v>
      </c>
      <c r="T6" s="68">
        <f>('TE BE'!$V$6+'TE BF'!$V$6+'TE CVA'!$V$6)*1</f>
        <v>0</v>
      </c>
      <c r="U6" s="68">
        <f>('TE BE'!$X$6+'TE BF'!$X$6+'TE CVA'!$X$6)*1</f>
        <v>-29.03435113623609</v>
      </c>
      <c r="V6" s="68">
        <f>('TE BE'!$Z$6+'TE BF'!$Z$6+'TE CVA'!$Z$6)*1</f>
        <v>1.9197097437074846</v>
      </c>
      <c r="X6" s="68">
        <v>2.1883211825711499</v>
      </c>
      <c r="Y6" s="68">
        <v>19.216372536201899</v>
      </c>
      <c r="Z6" s="68">
        <v>0</v>
      </c>
      <c r="AA6" s="68">
        <v>0</v>
      </c>
      <c r="AB6" s="68">
        <v>0</v>
      </c>
      <c r="AC6" s="68">
        <v>166.774127596526</v>
      </c>
      <c r="AD6" s="68">
        <v>4.5933964279639801</v>
      </c>
      <c r="AE6" s="68">
        <v>4.0530247535498498</v>
      </c>
      <c r="AF6" s="68">
        <v>0</v>
      </c>
      <c r="AG6" s="68">
        <v>-18.1490925881644</v>
      </c>
      <c r="AH6" s="68">
        <v>1.2576901643113101</v>
      </c>
    </row>
    <row r="7" spans="1:34" ht="11.25" customHeight="1" x14ac:dyDescent="0.3">
      <c r="A7" s="143"/>
      <c r="B7" s="70" t="s">
        <v>79</v>
      </c>
      <c r="C7" s="70" t="s">
        <v>25</v>
      </c>
      <c r="D7" s="70" t="s">
        <v>25</v>
      </c>
      <c r="E7" s="70" t="s">
        <v>80</v>
      </c>
      <c r="F7" s="70" t="s">
        <v>25</v>
      </c>
      <c r="G7" s="71" t="s">
        <v>81</v>
      </c>
      <c r="H7" s="71" t="s">
        <v>76</v>
      </c>
      <c r="I7" s="71">
        <f>'MERCADO TE'!$U$4</f>
        <v>0</v>
      </c>
      <c r="J7" s="15"/>
      <c r="L7" s="68">
        <f>('TE BE'!$L$7+'TE BF'!$L$7+'TE CVA'!$L$7)*1</f>
        <v>2.3046199546073041</v>
      </c>
      <c r="M7" s="68">
        <f>('TE BE'!$M$7+'TE BF'!$M$7+'TE CVA'!$M$7)*1</f>
        <v>29.271943660549468</v>
      </c>
      <c r="N7" s="68">
        <f>('TE BE'!$N$7+'TE BF'!$N$7+'TE CVA'!$N$7)*1</f>
        <v>0</v>
      </c>
      <c r="O7" s="68">
        <f>('TE BE'!$O$7+'TE BF'!$O$7+'TE CVA'!$O$7)*1</f>
        <v>11.018019684329055</v>
      </c>
      <c r="P7" s="68">
        <f>('TE BE'!$P$7+'TE BF'!$P$7+'TE CVA'!$P$7)*1</f>
        <v>-15.232437747347817</v>
      </c>
      <c r="Q7" s="68">
        <f>('TE BE'!$R$7+'TE BF'!$R$7+'TE CVA'!$R$7)*1</f>
        <v>194.09041279456858</v>
      </c>
      <c r="R7" s="68">
        <f>('TE BE'!$T$7+'TE BF'!$T$7+'TE CVA'!$T$7)*1</f>
        <v>6.4477737609046741</v>
      </c>
      <c r="S7" s="68">
        <f>('TE BE'!$U$7+'TE BF'!$U$7+'TE CVA'!$U$7)*1</f>
        <v>3.8807625612001471</v>
      </c>
      <c r="T7" s="68">
        <f>('TE BE'!$V$7+'TE BF'!$V$7+'TE CVA'!$V$7)*1</f>
        <v>0</v>
      </c>
      <c r="U7" s="68">
        <f>('TE BE'!$X$7+'TE BF'!$X$7+'TE CVA'!$X$7)*1</f>
        <v>0</v>
      </c>
      <c r="V7" s="68">
        <f>('TE BE'!$Z$7+'TE BF'!$Z$7+'TE CVA'!$Z$7)*1</f>
        <v>1.9197097437074846</v>
      </c>
      <c r="X7" s="68">
        <v>2.1883211825711499</v>
      </c>
      <c r="Y7" s="68">
        <v>19.216372536201899</v>
      </c>
      <c r="Z7" s="68">
        <v>0</v>
      </c>
      <c r="AA7" s="68">
        <v>0</v>
      </c>
      <c r="AB7" s="68">
        <v>0</v>
      </c>
      <c r="AC7" s="68">
        <v>174.62487391741499</v>
      </c>
      <c r="AD7" s="68">
        <v>4.5933964279639801</v>
      </c>
      <c r="AE7" s="68">
        <v>4.0530247535498498</v>
      </c>
      <c r="AF7" s="68">
        <v>0</v>
      </c>
      <c r="AG7" s="68">
        <v>0</v>
      </c>
      <c r="AH7" s="68">
        <v>1.2576901643113101</v>
      </c>
    </row>
    <row r="8" spans="1:34" ht="11.25" customHeight="1" x14ac:dyDescent="0.3">
      <c r="A8" s="143"/>
      <c r="B8" s="70" t="s">
        <v>82</v>
      </c>
      <c r="C8" s="70" t="s">
        <v>25</v>
      </c>
      <c r="D8" s="70" t="s">
        <v>25</v>
      </c>
      <c r="E8" s="70" t="s">
        <v>25</v>
      </c>
      <c r="F8" s="70" t="s">
        <v>25</v>
      </c>
      <c r="G8" s="71" t="s">
        <v>81</v>
      </c>
      <c r="H8" s="71" t="s">
        <v>76</v>
      </c>
      <c r="I8" s="71">
        <f>'MERCADO TE'!$U$5</f>
        <v>0</v>
      </c>
      <c r="J8" s="15"/>
      <c r="L8" s="68">
        <f>('TE BE'!$L$8+'TE BF'!$L$8+'TE CVA'!$L$8)*1</f>
        <v>2.3046199546073041</v>
      </c>
      <c r="M8" s="68">
        <f>('TE BE'!$M$8+'TE BF'!$M$8+'TE CVA'!$M$8)*1</f>
        <v>29.271943660549468</v>
      </c>
      <c r="N8" s="68">
        <f>('TE BE'!$N$8+'TE BF'!$N$8+'TE CVA'!$N$8)*1</f>
        <v>0</v>
      </c>
      <c r="O8" s="68">
        <f>('TE BE'!$O$8+'TE BF'!$O$8+'TE CVA'!$O$8)*1</f>
        <v>11.018019684329058</v>
      </c>
      <c r="P8" s="68">
        <f>('TE BE'!$P$8+'TE BF'!$P$8+'TE CVA'!$P$8)*1</f>
        <v>-15.232437747347818</v>
      </c>
      <c r="Q8" s="68">
        <f>('TE BE'!$R$8+'TE BF'!$R$8+'TE CVA'!$R$8)*1</f>
        <v>196.44029369345986</v>
      </c>
      <c r="R8" s="68">
        <f>('TE BE'!$T$8+'TE BF'!$T$8+'TE CVA'!$T$8)*1</f>
        <v>6.4477737609046741</v>
      </c>
      <c r="S8" s="68">
        <f>('TE BE'!$U$8+'TE BF'!$U$8+'TE CVA'!$U$8)*1</f>
        <v>3.8807625612001475</v>
      </c>
      <c r="T8" s="68">
        <f>('TE BE'!$V$8+'TE BF'!$V$8+'TE CVA'!$V$8)*1</f>
        <v>0</v>
      </c>
      <c r="U8" s="68">
        <f>('TE BE'!$X$8+'TE BF'!$X$8+'TE CVA'!$X$8)*1</f>
        <v>-30.527386636715711</v>
      </c>
      <c r="V8" s="68">
        <f>('TE BE'!$Z$8+'TE BF'!$Z$8+'TE CVA'!$Z$8)*1</f>
        <v>1.9197097437074846</v>
      </c>
      <c r="X8" s="68">
        <v>0</v>
      </c>
      <c r="Y8" s="68">
        <v>0</v>
      </c>
      <c r="Z8" s="68">
        <v>0</v>
      </c>
      <c r="AA8" s="68">
        <v>0</v>
      </c>
      <c r="AB8" s="68">
        <v>0</v>
      </c>
      <c r="AC8" s="68">
        <v>0</v>
      </c>
      <c r="AD8" s="68">
        <v>0</v>
      </c>
      <c r="AE8" s="68">
        <v>0</v>
      </c>
      <c r="AF8" s="68">
        <v>0</v>
      </c>
      <c r="AG8" s="68">
        <v>0</v>
      </c>
      <c r="AH8" s="68">
        <v>0</v>
      </c>
    </row>
    <row r="9" spans="1:34" ht="11.25" customHeight="1" x14ac:dyDescent="0.3">
      <c r="A9" s="143"/>
      <c r="B9" s="70" t="s">
        <v>89</v>
      </c>
      <c r="C9" s="70" t="s">
        <v>25</v>
      </c>
      <c r="D9" s="70" t="s">
        <v>25</v>
      </c>
      <c r="E9" s="70" t="s">
        <v>80</v>
      </c>
      <c r="F9" s="70" t="s">
        <v>25</v>
      </c>
      <c r="G9" s="71" t="s">
        <v>81</v>
      </c>
      <c r="H9" s="71" t="s">
        <v>76</v>
      </c>
      <c r="I9" s="71">
        <f>'MERCADO TE'!$U$6</f>
        <v>5489.0889999999999</v>
      </c>
      <c r="J9" s="15"/>
      <c r="L9" s="68">
        <f>('TE BE'!$L$9+'TE BF'!$L$9+'TE CVA'!$L$9)*1</f>
        <v>2.3046199546073041</v>
      </c>
      <c r="M9" s="68">
        <f>('TE BE'!$M$9+'TE BF'!$M$9+'TE CVA'!$M$9)*1</f>
        <v>29.271943660549468</v>
      </c>
      <c r="N9" s="68">
        <f>('TE BE'!$N$9+'TE BF'!$N$9+'TE CVA'!$N$9)*1</f>
        <v>0</v>
      </c>
      <c r="O9" s="68">
        <f>('TE BE'!$O$9+'TE BF'!$O$9+'TE CVA'!$O$9)*1</f>
        <v>11.018019684329055</v>
      </c>
      <c r="P9" s="68">
        <f>('TE BE'!$P$9+'TE BF'!$P$9+'TE CVA'!$P$9)*1</f>
        <v>-15.232437747347817</v>
      </c>
      <c r="Q9" s="68">
        <f>('TE BE'!$R$9+'TE BF'!$R$9+'TE CVA'!$R$9)*1</f>
        <v>194.09041279456858</v>
      </c>
      <c r="R9" s="68">
        <f>('TE BE'!$T$9+'TE BF'!$T$9+'TE CVA'!$T$9)*1</f>
        <v>6.4477737609046741</v>
      </c>
      <c r="S9" s="68">
        <f>('TE BE'!$U$9+'TE BF'!$U$9+'TE CVA'!$U$9)*1</f>
        <v>3.8807625612001471</v>
      </c>
      <c r="T9" s="68">
        <f>('TE BE'!$V$9+'TE BF'!$V$9+'TE CVA'!$V$9)*1</f>
        <v>0</v>
      </c>
      <c r="U9" s="68">
        <f>('TE BE'!$X$9+'TE BF'!$X$9+'TE CVA'!$X$9)*1</f>
        <v>0</v>
      </c>
      <c r="V9" s="68">
        <f>('TE BE'!$Z$9+'TE BF'!$Z$9+'TE CVA'!$Z$9)*1</f>
        <v>1.9197097437074846</v>
      </c>
      <c r="X9" s="68">
        <v>2.1883211825711499</v>
      </c>
      <c r="Y9" s="68">
        <v>19.216372536201899</v>
      </c>
      <c r="Z9" s="68">
        <v>0</v>
      </c>
      <c r="AA9" s="68">
        <v>0</v>
      </c>
      <c r="AB9" s="68">
        <v>0</v>
      </c>
      <c r="AC9" s="68">
        <v>174.62487391741499</v>
      </c>
      <c r="AD9" s="68">
        <v>4.5933964279639801</v>
      </c>
      <c r="AE9" s="68">
        <v>4.0530247535498498</v>
      </c>
      <c r="AF9" s="68">
        <v>0</v>
      </c>
      <c r="AG9" s="68">
        <v>0</v>
      </c>
      <c r="AH9" s="68">
        <v>1.2576901643113101</v>
      </c>
    </row>
    <row r="10" spans="1:34" ht="11.25" customHeight="1" x14ac:dyDescent="0.3">
      <c r="A10" s="143"/>
      <c r="B10" s="70" t="s">
        <v>79</v>
      </c>
      <c r="C10" s="70" t="s">
        <v>25</v>
      </c>
      <c r="D10" s="70" t="s">
        <v>25</v>
      </c>
      <c r="E10" s="70" t="s">
        <v>25</v>
      </c>
      <c r="F10" s="70" t="s">
        <v>25</v>
      </c>
      <c r="G10" s="71" t="s">
        <v>81</v>
      </c>
      <c r="H10" s="71" t="s">
        <v>76</v>
      </c>
      <c r="I10" s="71">
        <f>'MERCADO TE'!$U$7</f>
        <v>0</v>
      </c>
      <c r="J10" s="15"/>
      <c r="L10" s="68">
        <f>('TE BE'!$L$10+'TE BF'!$L$10+'TE CVA'!$L$10)*1</f>
        <v>2.3046199546073041</v>
      </c>
      <c r="M10" s="68">
        <f>('TE BE'!$M$10+'TE BF'!$M$10+'TE CVA'!$M$10)*1</f>
        <v>0</v>
      </c>
      <c r="N10" s="68">
        <f>('TE BE'!$N$10+'TE BF'!$N$10+'TE CVA'!$N$10)*1</f>
        <v>0</v>
      </c>
      <c r="O10" s="68">
        <f>('TE BE'!$O$10+'TE BF'!$O$10+'TE CVA'!$O$10)*1</f>
        <v>11.018019684329055</v>
      </c>
      <c r="P10" s="68">
        <f>('TE BE'!$P$10+'TE BF'!$P$10+'TE CVA'!$P$10)*1</f>
        <v>-15.232437747347817</v>
      </c>
      <c r="Q10" s="68">
        <f>('TE BE'!$R$10+'TE BF'!$R$10+'TE CVA'!$R$10)*1</f>
        <v>194.09041279456858</v>
      </c>
      <c r="R10" s="68">
        <f>('TE BE'!$T$10+'TE BF'!$T$10+'TE CVA'!$T$10)*1</f>
        <v>6.4477737609046741</v>
      </c>
      <c r="S10" s="68">
        <f>('TE BE'!$U$10+'TE BF'!$U$10+'TE CVA'!$U$10)*1</f>
        <v>3.8807625612001471</v>
      </c>
      <c r="T10" s="68">
        <f>('TE BE'!$V$10+'TE BF'!$V$10+'TE CVA'!$V$10)*1</f>
        <v>0</v>
      </c>
      <c r="U10" s="68">
        <f>('TE BE'!$X$10+'TE BF'!$X$10+'TE CVA'!$X$10)*1</f>
        <v>0</v>
      </c>
      <c r="V10" s="68">
        <f>('TE BE'!$Z$10+'TE BF'!$Z$10+'TE CVA'!$Z$10)*1</f>
        <v>0</v>
      </c>
      <c r="X10" s="68">
        <v>2.1883211825711499</v>
      </c>
      <c r="Y10" s="68">
        <v>19.216372536201899</v>
      </c>
      <c r="Z10" s="68">
        <v>0</v>
      </c>
      <c r="AA10" s="68">
        <v>0</v>
      </c>
      <c r="AB10" s="68">
        <v>0</v>
      </c>
      <c r="AC10" s="68">
        <v>174.62487391741499</v>
      </c>
      <c r="AD10" s="68">
        <v>4.5933964279639801</v>
      </c>
      <c r="AE10" s="68">
        <v>4.0530247535498498</v>
      </c>
      <c r="AF10" s="68">
        <v>0</v>
      </c>
      <c r="AG10" s="68">
        <v>0</v>
      </c>
      <c r="AH10" s="68">
        <v>1.2576901643113101</v>
      </c>
    </row>
    <row r="11" spans="1:34" ht="11.25" customHeight="1" x14ac:dyDescent="0.3">
      <c r="A11" s="143" t="s">
        <v>22</v>
      </c>
      <c r="B11" s="143" t="s">
        <v>75</v>
      </c>
      <c r="C11" s="143" t="s">
        <v>24</v>
      </c>
      <c r="D11" s="143" t="s">
        <v>24</v>
      </c>
      <c r="E11" s="143" t="s">
        <v>25</v>
      </c>
      <c r="F11" s="143" t="s">
        <v>25</v>
      </c>
      <c r="G11" s="71" t="s">
        <v>77</v>
      </c>
      <c r="H11" s="71" t="s">
        <v>76</v>
      </c>
      <c r="I11" s="71">
        <f>'MERCADO TE'!$U$8</f>
        <v>0.68800000000000017</v>
      </c>
      <c r="J11" s="15"/>
      <c r="L11" s="68">
        <f>('TE BE'!$L$11+'TE BF'!$L$11+'TE CVA'!$L$11)*1</f>
        <v>2.3046199546073041</v>
      </c>
      <c r="M11" s="68">
        <f>('TE BE'!$M$11+'TE BF'!$M$11+'TE CVA'!$M$11)*1</f>
        <v>29.271943660549468</v>
      </c>
      <c r="N11" s="68">
        <f>('TE BE'!$N$11+'TE BF'!$N$11+'TE CVA'!$N$11)*1</f>
        <v>0</v>
      </c>
      <c r="O11" s="68">
        <f>('TE BE'!$O$11+'TE BF'!$O$11+'TE CVA'!$O$11)*1</f>
        <v>11.018019684329058</v>
      </c>
      <c r="P11" s="68">
        <f>('TE BE'!$P$11+'TE BF'!$P$11+'TE CVA'!$P$11)*1</f>
        <v>-15.232437747347818</v>
      </c>
      <c r="Q11" s="68">
        <f>('TE BE'!$R$11+'TE BF'!$R$11+'TE CVA'!$R$11)*1</f>
        <v>318.75217467240657</v>
      </c>
      <c r="R11" s="68">
        <f>('TE BE'!$T$11+'TE BF'!$T$11+'TE CVA'!$T$11)*1</f>
        <v>6.4477737609046741</v>
      </c>
      <c r="S11" s="68">
        <f>('TE BE'!$U$11+'TE BF'!$U$11+'TE CVA'!$U$11)*1</f>
        <v>3.8807625612001475</v>
      </c>
      <c r="T11" s="68">
        <f>('TE BE'!$V$11+'TE BF'!$V$11+'TE CVA'!$V$11)*1</f>
        <v>0</v>
      </c>
      <c r="U11" s="68">
        <f>('TE BE'!$X$11+'TE BF'!$X$11+'TE CVA'!$X$11)*1</f>
        <v>-46.950777141991558</v>
      </c>
      <c r="V11" s="68">
        <f>('TE BE'!$Z$11+'TE BF'!$Z$11+'TE CVA'!$Z$11)*1</f>
        <v>1.9197097437074846</v>
      </c>
      <c r="X11" s="68">
        <v>2.1883211825711499</v>
      </c>
      <c r="Y11" s="68">
        <v>19.216372536201899</v>
      </c>
      <c r="Z11" s="68">
        <v>0</v>
      </c>
      <c r="AA11" s="68">
        <v>0</v>
      </c>
      <c r="AB11" s="68">
        <v>0</v>
      </c>
      <c r="AC11" s="68">
        <v>286.85149946602502</v>
      </c>
      <c r="AD11" s="68">
        <v>4.5933964279639801</v>
      </c>
      <c r="AE11" s="68">
        <v>4.0530247535498498</v>
      </c>
      <c r="AF11" s="68">
        <v>0</v>
      </c>
      <c r="AG11" s="68">
        <v>-29.346829209327499</v>
      </c>
      <c r="AH11" s="68">
        <v>1.2576901643113101</v>
      </c>
    </row>
    <row r="12" spans="1:34" ht="11.25" customHeight="1" x14ac:dyDescent="0.3">
      <c r="A12" s="143"/>
      <c r="B12" s="143"/>
      <c r="C12" s="143"/>
      <c r="D12" s="143"/>
      <c r="E12" s="143"/>
      <c r="F12" s="143"/>
      <c r="G12" s="71" t="s">
        <v>93</v>
      </c>
      <c r="H12" s="71" t="s">
        <v>76</v>
      </c>
      <c r="I12" s="71">
        <f>'MERCADO TE'!$U$9</f>
        <v>0.46</v>
      </c>
      <c r="J12" s="15"/>
      <c r="L12" s="68">
        <f>('TE BE'!$L$12+'TE BF'!$L$12+'TE CVA'!$L$12)*1</f>
        <v>2.3046199546073041</v>
      </c>
      <c r="M12" s="68">
        <f>('TE BE'!$M$12+'TE BF'!$M$12+'TE CVA'!$M$12)*1</f>
        <v>29.271943660549468</v>
      </c>
      <c r="N12" s="68">
        <f>('TE BE'!$N$12+'TE BF'!$N$12+'TE CVA'!$N$12)*1</f>
        <v>0</v>
      </c>
      <c r="O12" s="68">
        <f>('TE BE'!$O$12+'TE BF'!$O$12+'TE CVA'!$O$12)*1</f>
        <v>11.018019684329058</v>
      </c>
      <c r="P12" s="68">
        <f>('TE BE'!$P$12+'TE BF'!$P$12+'TE CVA'!$P$12)*1</f>
        <v>-15.232437747347818</v>
      </c>
      <c r="Q12" s="68">
        <f>('TE BE'!$R$12+'TE BF'!$R$12+'TE CVA'!$R$12)*1</f>
        <v>185.3210317862829</v>
      </c>
      <c r="R12" s="68">
        <f>('TE BE'!$T$12+'TE BF'!$T$12+'TE CVA'!$T$12)*1</f>
        <v>6.4477737609046741</v>
      </c>
      <c r="S12" s="68">
        <f>('TE BE'!$U$12+'TE BF'!$U$12+'TE CVA'!$U$12)*1</f>
        <v>3.8807625612001475</v>
      </c>
      <c r="T12" s="68">
        <f>('TE BE'!$V$12+'TE BF'!$V$12+'TE CVA'!$V$12)*1</f>
        <v>0</v>
      </c>
      <c r="U12" s="68">
        <f>('TE BE'!$X$12+'TE BF'!$X$12+'TE CVA'!$X$12)*1</f>
        <v>-29.03435113623609</v>
      </c>
      <c r="V12" s="68">
        <f>('TE BE'!$Z$12+'TE BF'!$Z$12+'TE CVA'!$Z$12)*1</f>
        <v>1.9197097437074846</v>
      </c>
      <c r="X12" s="68">
        <v>2.1883211825711499</v>
      </c>
      <c r="Y12" s="68">
        <v>19.216372536201899</v>
      </c>
      <c r="Z12" s="68">
        <v>0</v>
      </c>
      <c r="AA12" s="68">
        <v>0</v>
      </c>
      <c r="AB12" s="68">
        <v>0</v>
      </c>
      <c r="AC12" s="68">
        <v>166.774127596526</v>
      </c>
      <c r="AD12" s="68">
        <v>4.5933964279639801</v>
      </c>
      <c r="AE12" s="68">
        <v>4.0530247535498498</v>
      </c>
      <c r="AF12" s="68">
        <v>0</v>
      </c>
      <c r="AG12" s="68">
        <v>-18.1490925881644</v>
      </c>
      <c r="AH12" s="68">
        <v>1.2576901643113101</v>
      </c>
    </row>
    <row r="13" spans="1:34" ht="11.25" customHeight="1" x14ac:dyDescent="0.3">
      <c r="A13" s="143"/>
      <c r="B13" s="143"/>
      <c r="C13" s="143"/>
      <c r="D13" s="143"/>
      <c r="E13" s="143"/>
      <c r="F13" s="143"/>
      <c r="G13" s="71" t="s">
        <v>78</v>
      </c>
      <c r="H13" s="71" t="s">
        <v>76</v>
      </c>
      <c r="I13" s="71">
        <f>'MERCADO TE'!$U$10</f>
        <v>5.6850000000000005</v>
      </c>
      <c r="J13" s="15"/>
      <c r="L13" s="68">
        <f>('TE BE'!$L$13+'TE BF'!$L$13+'TE CVA'!$L$13)*1</f>
        <v>2.3046199546073041</v>
      </c>
      <c r="M13" s="68">
        <f>('TE BE'!$M$13+'TE BF'!$M$13+'TE CVA'!$M$13)*1</f>
        <v>29.271943660549468</v>
      </c>
      <c r="N13" s="68">
        <f>('TE BE'!$N$13+'TE BF'!$N$13+'TE CVA'!$N$13)*1</f>
        <v>0</v>
      </c>
      <c r="O13" s="68">
        <f>('TE BE'!$O$13+'TE BF'!$O$13+'TE CVA'!$O$13)*1</f>
        <v>11.018019684329058</v>
      </c>
      <c r="P13" s="68">
        <f>('TE BE'!$P$13+'TE BF'!$P$13+'TE CVA'!$P$13)*1</f>
        <v>-15.232437747347818</v>
      </c>
      <c r="Q13" s="68">
        <f>('TE BE'!$R$13+'TE BF'!$R$13+'TE CVA'!$R$13)*1</f>
        <v>185.3210317862829</v>
      </c>
      <c r="R13" s="68">
        <f>('TE BE'!$T$13+'TE BF'!$T$13+'TE CVA'!$T$13)*1</f>
        <v>6.4477737609046741</v>
      </c>
      <c r="S13" s="68">
        <f>('TE BE'!$U$13+'TE BF'!$U$13+'TE CVA'!$U$13)*1</f>
        <v>3.8807625612001475</v>
      </c>
      <c r="T13" s="68">
        <f>('TE BE'!$V$13+'TE BF'!$V$13+'TE CVA'!$V$13)*1</f>
        <v>0</v>
      </c>
      <c r="U13" s="68">
        <f>('TE BE'!$X$13+'TE BF'!$X$13+'TE CVA'!$X$13)*1</f>
        <v>-29.03435113623609</v>
      </c>
      <c r="V13" s="68">
        <f>('TE BE'!$Z$13+'TE BF'!$Z$13+'TE CVA'!$Z$13)*1</f>
        <v>1.9197097437074846</v>
      </c>
      <c r="X13" s="68">
        <v>2.1883211825711499</v>
      </c>
      <c r="Y13" s="68">
        <v>19.216372536201899</v>
      </c>
      <c r="Z13" s="68">
        <v>0</v>
      </c>
      <c r="AA13" s="68">
        <v>0</v>
      </c>
      <c r="AB13" s="68">
        <v>0</v>
      </c>
      <c r="AC13" s="68">
        <v>166.774127596526</v>
      </c>
      <c r="AD13" s="68">
        <v>4.5933964279639801</v>
      </c>
      <c r="AE13" s="68">
        <v>4.0530247535498498</v>
      </c>
      <c r="AF13" s="68">
        <v>0</v>
      </c>
      <c r="AG13" s="68">
        <v>-18.1490925881644</v>
      </c>
      <c r="AH13" s="68">
        <v>1.2576901643113101</v>
      </c>
    </row>
    <row r="14" spans="1:34" ht="11.25" customHeight="1" x14ac:dyDescent="0.3">
      <c r="A14" s="143"/>
      <c r="B14" s="143" t="s">
        <v>82</v>
      </c>
      <c r="C14" s="143" t="s">
        <v>24</v>
      </c>
      <c r="D14" s="70" t="s">
        <v>24</v>
      </c>
      <c r="E14" s="70" t="s">
        <v>25</v>
      </c>
      <c r="F14" s="70" t="s">
        <v>25</v>
      </c>
      <c r="G14" s="71" t="s">
        <v>81</v>
      </c>
      <c r="H14" s="71" t="s">
        <v>76</v>
      </c>
      <c r="I14" s="71">
        <f>'MERCADO TE'!$U$11</f>
        <v>20470.671000000002</v>
      </c>
      <c r="J14" s="15"/>
      <c r="L14" s="68">
        <f>('TE BE'!$L$14+'TE BF'!$L$14+'TE CVA'!$L$14)*1</f>
        <v>2.3046199546073041</v>
      </c>
      <c r="M14" s="68">
        <f>('TE BE'!$M$14+'TE BF'!$M$14+'TE CVA'!$M$14)*1</f>
        <v>29.271943660549468</v>
      </c>
      <c r="N14" s="68">
        <f>('TE BE'!$N$14+'TE BF'!$N$14+'TE CVA'!$N$14)*1</f>
        <v>0</v>
      </c>
      <c r="O14" s="68">
        <f>('TE BE'!$O$14+'TE BF'!$O$14+'TE CVA'!$O$14)*1</f>
        <v>11.018019684329058</v>
      </c>
      <c r="P14" s="68">
        <f>('TE BE'!$P$14+'TE BF'!$P$14+'TE CVA'!$P$14)*1</f>
        <v>-15.232437747347818</v>
      </c>
      <c r="Q14" s="68">
        <f>('TE BE'!$R$14+'TE BF'!$R$14+'TE CVA'!$R$14)*1</f>
        <v>196.44029369345986</v>
      </c>
      <c r="R14" s="68">
        <f>('TE BE'!$T$14+'TE BF'!$T$14+'TE CVA'!$T$14)*1</f>
        <v>6.4477737609046741</v>
      </c>
      <c r="S14" s="68">
        <f>('TE BE'!$U$14+'TE BF'!$U$14+'TE CVA'!$U$14)*1</f>
        <v>3.8807625612001475</v>
      </c>
      <c r="T14" s="68">
        <f>('TE BE'!$V$14+'TE BF'!$V$14+'TE CVA'!$V$14)*1</f>
        <v>0</v>
      </c>
      <c r="U14" s="68">
        <f>('TE BE'!$X$14+'TE BF'!$X$14+'TE CVA'!$X$14)*1</f>
        <v>-30.527386636715711</v>
      </c>
      <c r="V14" s="68">
        <f>('TE BE'!$Z$14+'TE BF'!$Z$14+'TE CVA'!$Z$14)*1</f>
        <v>1.9197097437074846</v>
      </c>
      <c r="X14" s="68">
        <v>2.1883211825711499</v>
      </c>
      <c r="Y14" s="68">
        <v>19.216372536201899</v>
      </c>
      <c r="Z14" s="68">
        <v>0</v>
      </c>
      <c r="AA14" s="68">
        <v>0</v>
      </c>
      <c r="AB14" s="68">
        <v>0</v>
      </c>
      <c r="AC14" s="68">
        <v>176.78057525231799</v>
      </c>
      <c r="AD14" s="68">
        <v>4.5933964279639801</v>
      </c>
      <c r="AE14" s="68">
        <v>4.0530247535498498</v>
      </c>
      <c r="AF14" s="68">
        <v>0</v>
      </c>
      <c r="AG14" s="68">
        <v>-19.0822373065946</v>
      </c>
      <c r="AH14" s="68">
        <v>1.2576901643113101</v>
      </c>
    </row>
    <row r="15" spans="1:34" ht="11.25" customHeight="1" x14ac:dyDescent="0.3">
      <c r="A15" s="143"/>
      <c r="B15" s="143"/>
      <c r="C15" s="143"/>
      <c r="D15" s="70" t="s">
        <v>29</v>
      </c>
      <c r="E15" s="70" t="s">
        <v>25</v>
      </c>
      <c r="F15" s="70" t="s">
        <v>25</v>
      </c>
      <c r="G15" s="71" t="s">
        <v>81</v>
      </c>
      <c r="H15" s="71" t="s">
        <v>76</v>
      </c>
      <c r="I15" s="71">
        <f>'MERCADO TE'!$U$12</f>
        <v>425.12200000000001</v>
      </c>
      <c r="J15" s="15"/>
      <c r="L15" s="68">
        <f>('TE BE'!$L$15+'TE BF'!$L$15+'TE CVA'!$L$15)*(1 - 0.65)</f>
        <v>0.80661698411255633</v>
      </c>
      <c r="M15" s="68">
        <f>('TE BE'!$M$15+'TE BF'!$M$15+'TE CVA'!$M$15)*(1 - 0.65)</f>
        <v>10.245180281192313</v>
      </c>
      <c r="N15" s="68">
        <f>('TE BE'!$N$15+'TE BF'!$N$15+'TE CVA'!$N$15)*(1 - 0.65)</f>
        <v>0</v>
      </c>
      <c r="O15" s="68">
        <f>('TE BE'!$O$15+'TE BF'!$O$15+'TE CVA'!$O$15)*(1 - 0.65)</f>
        <v>3.85630688951517</v>
      </c>
      <c r="P15" s="68">
        <f>('TE BE'!$P$15+'TE BF'!$P$15+'TE CVA'!$P$15)*(1 - 0.65)</f>
        <v>-5.3313532115717361</v>
      </c>
      <c r="Q15" s="68">
        <f>('TE BE'!$R$15+'TE BF'!$R$15+'TE CVA'!$R$15)*(1 - 0.65)</f>
        <v>68.754102792710952</v>
      </c>
      <c r="R15" s="68">
        <f>('TE BE'!$T$15+'TE BF'!$T$15+'TE CVA'!$T$15)*(1 - 0.65)</f>
        <v>2.2567208163166357</v>
      </c>
      <c r="S15" s="68">
        <f>('TE BE'!$U$15+'TE BF'!$U$15+'TE CVA'!$U$15)*(1 - 0.65)</f>
        <v>1.3582668964200515</v>
      </c>
      <c r="T15" s="68">
        <f>('TE BE'!$V$15+'TE BF'!$V$15+'TE CVA'!$V$15)*(1 - 0.65)</f>
        <v>0</v>
      </c>
      <c r="U15" s="68">
        <f>('TE BE'!$X$15+'TE BF'!$X$15+'TE CVA'!$X$15)*(1 - 0.65)</f>
        <v>-10.684585322850499</v>
      </c>
      <c r="V15" s="68">
        <f>('TE BE'!$Z$15+'TE BF'!$Z$15+'TE CVA'!$Z$15)*(1 - 0.65)</f>
        <v>0.67189841029761954</v>
      </c>
      <c r="X15" s="68">
        <v>0.76591241389990095</v>
      </c>
      <c r="Y15" s="68">
        <v>6.7257303876706702</v>
      </c>
      <c r="Z15" s="68">
        <v>0</v>
      </c>
      <c r="AA15" s="68">
        <v>0</v>
      </c>
      <c r="AB15" s="68">
        <v>0</v>
      </c>
      <c r="AC15" s="68">
        <v>61.873201338311297</v>
      </c>
      <c r="AD15" s="68">
        <v>1.60768874978739</v>
      </c>
      <c r="AE15" s="68">
        <v>1.4185586637424501</v>
      </c>
      <c r="AF15" s="68">
        <v>0</v>
      </c>
      <c r="AG15" s="68">
        <v>-6.6787830573081202</v>
      </c>
      <c r="AH15" s="68">
        <v>0.440191557508958</v>
      </c>
    </row>
    <row r="16" spans="1:34" ht="11.25" customHeight="1" x14ac:dyDescent="0.3">
      <c r="A16" s="143"/>
      <c r="B16" s="143"/>
      <c r="C16" s="143"/>
      <c r="D16" s="70" t="s">
        <v>30</v>
      </c>
      <c r="E16" s="70" t="s">
        <v>25</v>
      </c>
      <c r="F16" s="70" t="s">
        <v>25</v>
      </c>
      <c r="G16" s="71" t="s">
        <v>81</v>
      </c>
      <c r="H16" s="71" t="s">
        <v>76</v>
      </c>
      <c r="I16" s="71">
        <f>'MERCADO TE'!$U$13</f>
        <v>876.85199999999986</v>
      </c>
      <c r="J16" s="15"/>
      <c r="L16" s="68">
        <f>('TE BE'!$L$16+'TE BF'!$L$16+'TE CVA'!$L$16)*(1 - 0.4)</f>
        <v>1.3827719727643824</v>
      </c>
      <c r="M16" s="68">
        <f>('TE BE'!$M$16+'TE BF'!$M$16+'TE CVA'!$M$16)*(1 - 0.4)</f>
        <v>17.563166196329679</v>
      </c>
      <c r="N16" s="68">
        <f>('TE BE'!$N$16+'TE BF'!$N$16+'TE CVA'!$N$16)*(1 - 0.4)</f>
        <v>0</v>
      </c>
      <c r="O16" s="68">
        <f>('TE BE'!$O$16+'TE BF'!$O$16+'TE CVA'!$O$16)*(1 - 0.4)</f>
        <v>6.6108118105974345</v>
      </c>
      <c r="P16" s="68">
        <f>('TE BE'!$P$16+'TE BF'!$P$16+'TE CVA'!$P$16)*(1 - 0.4)</f>
        <v>-9.1394626484086903</v>
      </c>
      <c r="Q16" s="68">
        <f>('TE BE'!$R$16+'TE BF'!$R$16+'TE CVA'!$R$16)*(1 - 0.4)</f>
        <v>117.86417621607592</v>
      </c>
      <c r="R16" s="68">
        <f>('TE BE'!$T$16+'TE BF'!$T$16+'TE CVA'!$T$16)*(1 - 0.4)</f>
        <v>3.8686642565428042</v>
      </c>
      <c r="S16" s="68">
        <f>('TE BE'!$U$16+'TE BF'!$U$16+'TE CVA'!$U$16)*(1 - 0.4)</f>
        <v>2.3284575367200886</v>
      </c>
      <c r="T16" s="68">
        <f>('TE BE'!$V$16+'TE BF'!$V$16+'TE CVA'!$V$16)*(1 - 0.4)</f>
        <v>0</v>
      </c>
      <c r="U16" s="68">
        <f>('TE BE'!$X$16+'TE BF'!$X$16+'TE CVA'!$X$16)*(1 - 0.4)</f>
        <v>-18.316431982029425</v>
      </c>
      <c r="V16" s="68">
        <f>('TE BE'!$Z$16+'TE BF'!$Z$16+'TE CVA'!$Z$16)*(1 - 0.4)</f>
        <v>1.1518258462244908</v>
      </c>
      <c r="X16" s="68">
        <v>1.3129927095426901</v>
      </c>
      <c r="Y16" s="68">
        <v>11.5298235217212</v>
      </c>
      <c r="Z16" s="68">
        <v>0</v>
      </c>
      <c r="AA16" s="68">
        <v>0</v>
      </c>
      <c r="AB16" s="68">
        <v>0</v>
      </c>
      <c r="AC16" s="68">
        <v>106.068345151391</v>
      </c>
      <c r="AD16" s="68">
        <v>2.7560378567783901</v>
      </c>
      <c r="AE16" s="68">
        <v>2.4318148521299099</v>
      </c>
      <c r="AF16" s="68">
        <v>0</v>
      </c>
      <c r="AG16" s="68">
        <v>-11.4493423839568</v>
      </c>
      <c r="AH16" s="68">
        <v>0.75461409858678596</v>
      </c>
    </row>
    <row r="17" spans="1:34" ht="11.25" customHeight="1" x14ac:dyDescent="0.3">
      <c r="A17" s="143"/>
      <c r="B17" s="143"/>
      <c r="C17" s="143"/>
      <c r="D17" s="70" t="s">
        <v>31</v>
      </c>
      <c r="E17" s="70" t="s">
        <v>25</v>
      </c>
      <c r="F17" s="70" t="s">
        <v>25</v>
      </c>
      <c r="G17" s="71" t="s">
        <v>81</v>
      </c>
      <c r="H17" s="71" t="s">
        <v>76</v>
      </c>
      <c r="I17" s="71">
        <f>'MERCADO TE'!$U$14</f>
        <v>876.00100000000009</v>
      </c>
      <c r="J17" s="15"/>
      <c r="L17" s="68">
        <f>('TE BE'!$L$17+'TE BF'!$L$17+'TE CVA'!$L$17)*(1 - 0.1)</f>
        <v>2.0741579591465737</v>
      </c>
      <c r="M17" s="68">
        <f>('TE BE'!$M$17+'TE BF'!$M$17+'TE CVA'!$M$17)*(1 - 0.1)</f>
        <v>26.344749294494523</v>
      </c>
      <c r="N17" s="68">
        <f>('TE BE'!$N$17+'TE BF'!$N$17+'TE CVA'!$N$17)*(1 - 0.1)</f>
        <v>0</v>
      </c>
      <c r="O17" s="68">
        <f>('TE BE'!$O$17+'TE BF'!$O$17+'TE CVA'!$O$17)*(1 - 0.1)</f>
        <v>9.9162177158961526</v>
      </c>
      <c r="P17" s="68">
        <f>('TE BE'!$P$17+'TE BF'!$P$17+'TE CVA'!$P$17)*(1 - 0.1)</f>
        <v>-13.709193972613036</v>
      </c>
      <c r="Q17" s="68">
        <f>('TE BE'!$R$17+'TE BF'!$R$17+'TE CVA'!$R$17)*(1 - 0.1)</f>
        <v>176.79626432411388</v>
      </c>
      <c r="R17" s="68">
        <f>('TE BE'!$T$17+'TE BF'!$T$17+'TE CVA'!$T$17)*(1 - 0.1)</f>
        <v>5.8029963848142065</v>
      </c>
      <c r="S17" s="68">
        <f>('TE BE'!$U$17+'TE BF'!$U$17+'TE CVA'!$U$17)*(1 - 0.1)</f>
        <v>3.4926863050801327</v>
      </c>
      <c r="T17" s="68">
        <f>('TE BE'!$V$17+'TE BF'!$V$17+'TE CVA'!$V$17)*(1 - 0.1)</f>
        <v>0</v>
      </c>
      <c r="U17" s="68">
        <f>('TE BE'!$X$17+'TE BF'!$X$17+'TE CVA'!$X$17)*(1 - 0.1)</f>
        <v>-27.474647973044142</v>
      </c>
      <c r="V17" s="68">
        <f>('TE BE'!$Z$17+'TE BF'!$Z$17+'TE CVA'!$Z$17)*(1 - 0.1)</f>
        <v>1.7277387693367361</v>
      </c>
      <c r="X17" s="68">
        <v>1.9694890643140299</v>
      </c>
      <c r="Y17" s="68">
        <v>17.294735282581701</v>
      </c>
      <c r="Z17" s="68">
        <v>0</v>
      </c>
      <c r="AA17" s="68">
        <v>0</v>
      </c>
      <c r="AB17" s="68">
        <v>0</v>
      </c>
      <c r="AC17" s="68">
        <v>159.102517727086</v>
      </c>
      <c r="AD17" s="68">
        <v>4.13405678516758</v>
      </c>
      <c r="AE17" s="68">
        <v>3.6477222781948599</v>
      </c>
      <c r="AF17" s="68">
        <v>0</v>
      </c>
      <c r="AG17" s="68">
        <v>-17.174013575935199</v>
      </c>
      <c r="AH17" s="68">
        <v>1.1319211478801801</v>
      </c>
    </row>
    <row r="18" spans="1:34" ht="11.25" customHeight="1" x14ac:dyDescent="0.3">
      <c r="A18" s="143"/>
      <c r="B18" s="143"/>
      <c r="C18" s="143"/>
      <c r="D18" s="70" t="s">
        <v>32</v>
      </c>
      <c r="E18" s="70" t="s">
        <v>25</v>
      </c>
      <c r="F18" s="70" t="s">
        <v>25</v>
      </c>
      <c r="G18" s="71" t="s">
        <v>81</v>
      </c>
      <c r="H18" s="71" t="s">
        <v>76</v>
      </c>
      <c r="I18" s="71">
        <f>'MERCADO TE'!$U$15</f>
        <v>331.42999999999995</v>
      </c>
      <c r="J18" s="15"/>
      <c r="L18" s="68">
        <f>('TE BE'!$L$18+'TE BF'!$L$18+'TE CVA'!$L$18)*1</f>
        <v>2.3046199546073041</v>
      </c>
      <c r="M18" s="68">
        <f>('TE BE'!$M$18+'TE BF'!$M$18+'TE CVA'!$M$18)*1</f>
        <v>29.271943660549468</v>
      </c>
      <c r="N18" s="68">
        <f>('TE BE'!$N$18+'TE BF'!$N$18+'TE CVA'!$N$18)*1</f>
        <v>0</v>
      </c>
      <c r="O18" s="68">
        <f>('TE BE'!$O$18+'TE BF'!$O$18+'TE CVA'!$O$18)*1</f>
        <v>11.018019684329058</v>
      </c>
      <c r="P18" s="68">
        <f>('TE BE'!$P$18+'TE BF'!$P$18+'TE CVA'!$P$18)*1</f>
        <v>-15.232437747347818</v>
      </c>
      <c r="Q18" s="68">
        <f>('TE BE'!$R$18+'TE BF'!$R$18+'TE CVA'!$R$18)*1</f>
        <v>196.44029369345986</v>
      </c>
      <c r="R18" s="68">
        <f>('TE BE'!$T$18+'TE BF'!$T$18+'TE CVA'!$T$18)*1</f>
        <v>6.4477737609046741</v>
      </c>
      <c r="S18" s="68">
        <f>('TE BE'!$U$18+'TE BF'!$U$18+'TE CVA'!$U$18)*1</f>
        <v>3.8807625612001475</v>
      </c>
      <c r="T18" s="68">
        <f>('TE BE'!$V$18+'TE BF'!$V$18+'TE CVA'!$V$18)*1</f>
        <v>0</v>
      </c>
      <c r="U18" s="68">
        <f>('TE BE'!$X$18+'TE BF'!$X$18+'TE CVA'!$X$18)*1</f>
        <v>-30.527386636715711</v>
      </c>
      <c r="V18" s="68">
        <f>('TE BE'!$Z$18+'TE BF'!$Z$18+'TE CVA'!$Z$18)*1</f>
        <v>1.9197097437074846</v>
      </c>
      <c r="X18" s="68">
        <v>2.1883211825711499</v>
      </c>
      <c r="Y18" s="68">
        <v>19.216372536201899</v>
      </c>
      <c r="Z18" s="68">
        <v>0</v>
      </c>
      <c r="AA18" s="68">
        <v>0</v>
      </c>
      <c r="AB18" s="68">
        <v>0</v>
      </c>
      <c r="AC18" s="68">
        <v>176.78057525231799</v>
      </c>
      <c r="AD18" s="68">
        <v>4.5933964279639801</v>
      </c>
      <c r="AE18" s="68">
        <v>4.0530247535498498</v>
      </c>
      <c r="AF18" s="68">
        <v>0</v>
      </c>
      <c r="AG18" s="68">
        <v>-19.0822373065946</v>
      </c>
      <c r="AH18" s="68">
        <v>1.2576901643113101</v>
      </c>
    </row>
    <row r="19" spans="1:34" ht="11.25" customHeight="1" x14ac:dyDescent="0.3">
      <c r="A19" s="143"/>
      <c r="B19" s="143" t="s">
        <v>94</v>
      </c>
      <c r="C19" s="143" t="s">
        <v>24</v>
      </c>
      <c r="D19" s="70" t="s">
        <v>24</v>
      </c>
      <c r="E19" s="70" t="s">
        <v>25</v>
      </c>
      <c r="F19" s="70" t="s">
        <v>25</v>
      </c>
      <c r="G19" s="71" t="s">
        <v>81</v>
      </c>
      <c r="H19" s="71" t="s">
        <v>76</v>
      </c>
      <c r="I19" s="71">
        <f>'MERCADO TE'!$U$16</f>
        <v>0</v>
      </c>
      <c r="J19" s="15"/>
      <c r="L19" s="68">
        <f>('TE BE'!$L$19+'TE BF'!$L$19+'TE CVA'!$L$19)*1</f>
        <v>2.3046199546073041</v>
      </c>
      <c r="M19" s="68">
        <f>('TE BE'!$M$19+'TE BF'!$M$19+'TE CVA'!$M$19)*1</f>
        <v>29.271943660549468</v>
      </c>
      <c r="N19" s="68">
        <f>('TE BE'!$N$19+'TE BF'!$N$19+'TE CVA'!$N$19)*1</f>
        <v>0</v>
      </c>
      <c r="O19" s="68">
        <f>('TE BE'!$O$19+'TE BF'!$O$19+'TE CVA'!$O$19)*1</f>
        <v>11.018019684329058</v>
      </c>
      <c r="P19" s="68">
        <f>('TE BE'!$P$19+'TE BF'!$P$19+'TE CVA'!$P$19)*1</f>
        <v>-15.232437747347818</v>
      </c>
      <c r="Q19" s="68">
        <f>('TE BE'!$R$19+'TE BF'!$R$19+'TE CVA'!$R$19)*1</f>
        <v>196.44029369345986</v>
      </c>
      <c r="R19" s="68">
        <f>('TE BE'!$T$19+'TE BF'!$T$19+'TE CVA'!$T$19)*1</f>
        <v>6.4477737609046741</v>
      </c>
      <c r="S19" s="68">
        <f>('TE BE'!$U$19+'TE BF'!$U$19+'TE CVA'!$U$19)*1</f>
        <v>3.8807625612001475</v>
      </c>
      <c r="T19" s="68">
        <f>('TE BE'!$V$19+'TE BF'!$V$19+'TE CVA'!$V$19)*1</f>
        <v>0</v>
      </c>
      <c r="U19" s="68">
        <f>('TE BE'!$X$19+'TE BF'!$X$19+'TE CVA'!$X$19)*1</f>
        <v>-30.527386636715711</v>
      </c>
      <c r="V19" s="68">
        <f>('TE BE'!$Z$19+'TE BF'!$Z$19+'TE CVA'!$Z$19)*1</f>
        <v>1.9197097437074846</v>
      </c>
      <c r="X19" s="68">
        <v>2.1883211825711499</v>
      </c>
      <c r="Y19" s="68">
        <v>19.216372536201899</v>
      </c>
      <c r="Z19" s="68">
        <v>0</v>
      </c>
      <c r="AA19" s="68">
        <v>0</v>
      </c>
      <c r="AB19" s="68">
        <v>0</v>
      </c>
      <c r="AC19" s="68">
        <v>176.78057525231799</v>
      </c>
      <c r="AD19" s="68">
        <v>4.5933964279639801</v>
      </c>
      <c r="AE19" s="68">
        <v>4.0530247535498498</v>
      </c>
      <c r="AF19" s="68">
        <v>0</v>
      </c>
      <c r="AG19" s="68">
        <v>-19.0822373065946</v>
      </c>
      <c r="AH19" s="68">
        <v>1.2576901643113101</v>
      </c>
    </row>
    <row r="20" spans="1:34" ht="11.25" customHeight="1" x14ac:dyDescent="0.3">
      <c r="A20" s="143"/>
      <c r="B20" s="143"/>
      <c r="C20" s="143"/>
      <c r="D20" s="70" t="s">
        <v>29</v>
      </c>
      <c r="E20" s="70" t="s">
        <v>25</v>
      </c>
      <c r="F20" s="70" t="s">
        <v>25</v>
      </c>
      <c r="G20" s="71" t="s">
        <v>81</v>
      </c>
      <c r="H20" s="71" t="s">
        <v>76</v>
      </c>
      <c r="I20" s="71">
        <f>'MERCADO TE'!$U$17</f>
        <v>0</v>
      </c>
      <c r="J20" s="15"/>
      <c r="L20" s="68">
        <f>('TE BE'!$L$20+'TE BF'!$L$20+'TE CVA'!$L$20)*(1 - 0.65)</f>
        <v>0.80661698411255633</v>
      </c>
      <c r="M20" s="68">
        <f>('TE BE'!$M$20+'TE BF'!$M$20+'TE CVA'!$M$20)*(1 - 0.65)</f>
        <v>10.245180281192313</v>
      </c>
      <c r="N20" s="68">
        <f>('TE BE'!$N$20+'TE BF'!$N$20+'TE CVA'!$N$20)*(1 - 0.65)</f>
        <v>0</v>
      </c>
      <c r="O20" s="68">
        <f>('TE BE'!$O$20+'TE BF'!$O$20+'TE CVA'!$O$20)*(1 - 0.65)</f>
        <v>3.85630688951517</v>
      </c>
      <c r="P20" s="68">
        <f>('TE BE'!$P$20+'TE BF'!$P$20+'TE CVA'!$P$20)*(1 - 0.65)</f>
        <v>-5.3313532115717361</v>
      </c>
      <c r="Q20" s="68">
        <f>('TE BE'!$R$20+'TE BF'!$R$20+'TE CVA'!$R$20)*(1 - 0.65)</f>
        <v>68.754102792710952</v>
      </c>
      <c r="R20" s="68">
        <f>('TE BE'!$T$20+'TE BF'!$T$20+'TE CVA'!$T$20)*(1 - 0.65)</f>
        <v>2.2567208163166357</v>
      </c>
      <c r="S20" s="68">
        <f>('TE BE'!$U$20+'TE BF'!$U$20+'TE CVA'!$U$20)*(1 - 0.65)</f>
        <v>1.3582668964200515</v>
      </c>
      <c r="T20" s="68">
        <f>('TE BE'!$V$20+'TE BF'!$V$20+'TE CVA'!$V$20)*(1 - 0.65)</f>
        <v>0</v>
      </c>
      <c r="U20" s="68">
        <f>('TE BE'!$X$20+'TE BF'!$X$20+'TE CVA'!$X$20)*(1 - 0.65)</f>
        <v>-10.684585322850499</v>
      </c>
      <c r="V20" s="68">
        <f>('TE BE'!$Z$20+'TE BF'!$Z$20+'TE CVA'!$Z$20)*(1 - 0.65)</f>
        <v>0.67189841029761954</v>
      </c>
      <c r="X20" s="68">
        <v>0.76591241389990095</v>
      </c>
      <c r="Y20" s="68">
        <v>6.7257303876706702</v>
      </c>
      <c r="Z20" s="68">
        <v>0</v>
      </c>
      <c r="AA20" s="68">
        <v>0</v>
      </c>
      <c r="AB20" s="68">
        <v>0</v>
      </c>
      <c r="AC20" s="68">
        <v>61.873201338311297</v>
      </c>
      <c r="AD20" s="68">
        <v>1.60768874978739</v>
      </c>
      <c r="AE20" s="68">
        <v>1.4185586637424501</v>
      </c>
      <c r="AF20" s="68">
        <v>0</v>
      </c>
      <c r="AG20" s="68">
        <v>-6.6787830573081202</v>
      </c>
      <c r="AH20" s="68">
        <v>0.440191557508958</v>
      </c>
    </row>
    <row r="21" spans="1:34" ht="11.25" customHeight="1" x14ac:dyDescent="0.3">
      <c r="A21" s="143"/>
      <c r="B21" s="143"/>
      <c r="C21" s="143"/>
      <c r="D21" s="70" t="s">
        <v>30</v>
      </c>
      <c r="E21" s="70" t="s">
        <v>25</v>
      </c>
      <c r="F21" s="70" t="s">
        <v>25</v>
      </c>
      <c r="G21" s="71" t="s">
        <v>81</v>
      </c>
      <c r="H21" s="71" t="s">
        <v>76</v>
      </c>
      <c r="I21" s="71">
        <f>'MERCADO TE'!$U$18</f>
        <v>0</v>
      </c>
      <c r="J21" s="15"/>
      <c r="L21" s="68">
        <f>('TE BE'!$L$21+'TE BF'!$L$21+'TE CVA'!$L$21)*(1 - 0.4)</f>
        <v>1.3827719727643824</v>
      </c>
      <c r="M21" s="68">
        <f>('TE BE'!$M$21+'TE BF'!$M$21+'TE CVA'!$M$21)*(1 - 0.4)</f>
        <v>17.563166196329679</v>
      </c>
      <c r="N21" s="68">
        <f>('TE BE'!$N$21+'TE BF'!$N$21+'TE CVA'!$N$21)*(1 - 0.4)</f>
        <v>0</v>
      </c>
      <c r="O21" s="68">
        <f>('TE BE'!$O$21+'TE BF'!$O$21+'TE CVA'!$O$21)*(1 - 0.4)</f>
        <v>6.6108118105974345</v>
      </c>
      <c r="P21" s="68">
        <f>('TE BE'!$P$21+'TE BF'!$P$21+'TE CVA'!$P$21)*(1 - 0.4)</f>
        <v>-9.1394626484086903</v>
      </c>
      <c r="Q21" s="68">
        <f>('TE BE'!$R$21+'TE BF'!$R$21+'TE CVA'!$R$21)*(1 - 0.4)</f>
        <v>117.86417621607592</v>
      </c>
      <c r="R21" s="68">
        <f>('TE BE'!$T$21+'TE BF'!$T$21+'TE CVA'!$T$21)*(1 - 0.4)</f>
        <v>3.8686642565428042</v>
      </c>
      <c r="S21" s="68">
        <f>('TE BE'!$U$21+'TE BF'!$U$21+'TE CVA'!$U$21)*(1 - 0.4)</f>
        <v>2.3284575367200886</v>
      </c>
      <c r="T21" s="68">
        <f>('TE BE'!$V$21+'TE BF'!$V$21+'TE CVA'!$V$21)*(1 - 0.4)</f>
        <v>0</v>
      </c>
      <c r="U21" s="68">
        <f>('TE BE'!$X$21+'TE BF'!$X$21+'TE CVA'!$X$21)*(1 - 0.4)</f>
        <v>-18.316431982029425</v>
      </c>
      <c r="V21" s="68">
        <f>('TE BE'!$Z$21+'TE BF'!$Z$21+'TE CVA'!$Z$21)*(1 - 0.4)</f>
        <v>1.1518258462244908</v>
      </c>
      <c r="X21" s="68">
        <v>1.3129927095426901</v>
      </c>
      <c r="Y21" s="68">
        <v>11.5298235217212</v>
      </c>
      <c r="Z21" s="68">
        <v>0</v>
      </c>
      <c r="AA21" s="68">
        <v>0</v>
      </c>
      <c r="AB21" s="68">
        <v>0</v>
      </c>
      <c r="AC21" s="68">
        <v>106.068345151391</v>
      </c>
      <c r="AD21" s="68">
        <v>2.7560378567783901</v>
      </c>
      <c r="AE21" s="68">
        <v>2.4318148521299099</v>
      </c>
      <c r="AF21" s="68">
        <v>0</v>
      </c>
      <c r="AG21" s="68">
        <v>-11.4493423839568</v>
      </c>
      <c r="AH21" s="68">
        <v>0.75461409858678596</v>
      </c>
    </row>
    <row r="22" spans="1:34" ht="11.25" customHeight="1" x14ac:dyDescent="0.3">
      <c r="A22" s="143"/>
      <c r="B22" s="143"/>
      <c r="C22" s="143"/>
      <c r="D22" s="70" t="s">
        <v>31</v>
      </c>
      <c r="E22" s="70" t="s">
        <v>25</v>
      </c>
      <c r="F22" s="70" t="s">
        <v>25</v>
      </c>
      <c r="G22" s="71" t="s">
        <v>81</v>
      </c>
      <c r="H22" s="71" t="s">
        <v>76</v>
      </c>
      <c r="I22" s="71">
        <f>'MERCADO TE'!$U$19</f>
        <v>0</v>
      </c>
      <c r="J22" s="15"/>
      <c r="L22" s="68">
        <f>('TE BE'!$L$22+'TE BF'!$L$22+'TE CVA'!$L$22)*(1 - 0.1)</f>
        <v>2.0741579591465737</v>
      </c>
      <c r="M22" s="68">
        <f>('TE BE'!$M$22+'TE BF'!$M$22+'TE CVA'!$M$22)*(1 - 0.1)</f>
        <v>26.344749294494523</v>
      </c>
      <c r="N22" s="68">
        <f>('TE BE'!$N$22+'TE BF'!$N$22+'TE CVA'!$N$22)*(1 - 0.1)</f>
        <v>0</v>
      </c>
      <c r="O22" s="68">
        <f>('TE BE'!$O$22+'TE BF'!$O$22+'TE CVA'!$O$22)*(1 - 0.1)</f>
        <v>9.9162177158961526</v>
      </c>
      <c r="P22" s="68">
        <f>('TE BE'!$P$22+'TE BF'!$P$22+'TE CVA'!$P$22)*(1 - 0.1)</f>
        <v>-13.709193972613036</v>
      </c>
      <c r="Q22" s="68">
        <f>('TE BE'!$R$22+'TE BF'!$R$22+'TE CVA'!$R$22)*(1 - 0.1)</f>
        <v>176.79626432411388</v>
      </c>
      <c r="R22" s="68">
        <f>('TE BE'!$T$22+'TE BF'!$T$22+'TE CVA'!$T$22)*(1 - 0.1)</f>
        <v>5.8029963848142065</v>
      </c>
      <c r="S22" s="68">
        <f>('TE BE'!$U$22+'TE BF'!$U$22+'TE CVA'!$U$22)*(1 - 0.1)</f>
        <v>3.4926863050801327</v>
      </c>
      <c r="T22" s="68">
        <f>('TE BE'!$V$22+'TE BF'!$V$22+'TE CVA'!$V$22)*(1 - 0.1)</f>
        <v>0</v>
      </c>
      <c r="U22" s="68">
        <f>('TE BE'!$X$22+'TE BF'!$X$22+'TE CVA'!$X$22)*(1 - 0.1)</f>
        <v>-27.474647973044142</v>
      </c>
      <c r="V22" s="68">
        <f>('TE BE'!$Z$22+'TE BF'!$Z$22+'TE CVA'!$Z$22)*(1 - 0.1)</f>
        <v>1.7277387693367361</v>
      </c>
      <c r="X22" s="68">
        <v>1.9694890643140299</v>
      </c>
      <c r="Y22" s="68">
        <v>17.294735282581701</v>
      </c>
      <c r="Z22" s="68">
        <v>0</v>
      </c>
      <c r="AA22" s="68">
        <v>0</v>
      </c>
      <c r="AB22" s="68">
        <v>0</v>
      </c>
      <c r="AC22" s="68">
        <v>159.102517727086</v>
      </c>
      <c r="AD22" s="68">
        <v>4.13405678516758</v>
      </c>
      <c r="AE22" s="68">
        <v>3.6477222781948599</v>
      </c>
      <c r="AF22" s="68">
        <v>0</v>
      </c>
      <c r="AG22" s="68">
        <v>-17.174013575935199</v>
      </c>
      <c r="AH22" s="68">
        <v>1.1319211478801801</v>
      </c>
    </row>
    <row r="23" spans="1:34" ht="11.25" customHeight="1" x14ac:dyDescent="0.3">
      <c r="A23" s="143"/>
      <c r="B23" s="143"/>
      <c r="C23" s="143"/>
      <c r="D23" s="70" t="s">
        <v>32</v>
      </c>
      <c r="E23" s="70" t="s">
        <v>25</v>
      </c>
      <c r="F23" s="70" t="s">
        <v>25</v>
      </c>
      <c r="G23" s="71" t="s">
        <v>81</v>
      </c>
      <c r="H23" s="71" t="s">
        <v>76</v>
      </c>
      <c r="I23" s="71">
        <f>'MERCADO TE'!$U$20</f>
        <v>0</v>
      </c>
      <c r="J23" s="15"/>
      <c r="L23" s="68">
        <f>('TE BE'!$L$23+'TE BF'!$L$23+'TE CVA'!$L$23)*1</f>
        <v>2.3046199546073041</v>
      </c>
      <c r="M23" s="68">
        <f>('TE BE'!$M$23+'TE BF'!$M$23+'TE CVA'!$M$23)*1</f>
        <v>29.271943660549468</v>
      </c>
      <c r="N23" s="68">
        <f>('TE BE'!$N$23+'TE BF'!$N$23+'TE CVA'!$N$23)*1</f>
        <v>0</v>
      </c>
      <c r="O23" s="68">
        <f>('TE BE'!$O$23+'TE BF'!$O$23+'TE CVA'!$O$23)*1</f>
        <v>11.018019684329058</v>
      </c>
      <c r="P23" s="68">
        <f>('TE BE'!$P$23+'TE BF'!$P$23+'TE CVA'!$P$23)*1</f>
        <v>-15.232437747347818</v>
      </c>
      <c r="Q23" s="68">
        <f>('TE BE'!$R$23+'TE BF'!$R$23+'TE CVA'!$R$23)*1</f>
        <v>196.44029369345986</v>
      </c>
      <c r="R23" s="68">
        <f>('TE BE'!$T$23+'TE BF'!$T$23+'TE CVA'!$T$23)*1</f>
        <v>6.4477737609046741</v>
      </c>
      <c r="S23" s="68">
        <f>('TE BE'!$U$23+'TE BF'!$U$23+'TE CVA'!$U$23)*1</f>
        <v>3.8807625612001475</v>
      </c>
      <c r="T23" s="68">
        <f>('TE BE'!$V$23+'TE BF'!$V$23+'TE CVA'!$V$23)*1</f>
        <v>0</v>
      </c>
      <c r="U23" s="68">
        <f>('TE BE'!$X$23+'TE BF'!$X$23+'TE CVA'!$X$23)*1</f>
        <v>-30.527386636715711</v>
      </c>
      <c r="V23" s="68">
        <f>('TE BE'!$Z$23+'TE BF'!$Z$23+'TE CVA'!$Z$23)*1</f>
        <v>1.9197097437074846</v>
      </c>
      <c r="X23" s="68">
        <v>2.1883211825711499</v>
      </c>
      <c r="Y23" s="68">
        <v>19.216372536201899</v>
      </c>
      <c r="Z23" s="68">
        <v>0</v>
      </c>
      <c r="AA23" s="68">
        <v>0</v>
      </c>
      <c r="AB23" s="68">
        <v>0</v>
      </c>
      <c r="AC23" s="68">
        <v>176.78057525231799</v>
      </c>
      <c r="AD23" s="68">
        <v>4.5933964279639801</v>
      </c>
      <c r="AE23" s="68">
        <v>4.0530247535498498</v>
      </c>
      <c r="AF23" s="68">
        <v>0</v>
      </c>
      <c r="AG23" s="68">
        <v>-19.0822373065946</v>
      </c>
      <c r="AH23" s="68">
        <v>1.2576901643113101</v>
      </c>
    </row>
    <row r="24" spans="1:34" ht="11.25" customHeight="1" x14ac:dyDescent="0.3">
      <c r="A24" s="143" t="s">
        <v>42</v>
      </c>
      <c r="B24" s="143" t="s">
        <v>75</v>
      </c>
      <c r="C24" s="143" t="s">
        <v>43</v>
      </c>
      <c r="D24" s="143" t="s">
        <v>25</v>
      </c>
      <c r="E24" s="143" t="s">
        <v>25</v>
      </c>
      <c r="F24" s="143" t="s">
        <v>25</v>
      </c>
      <c r="G24" s="71" t="s">
        <v>77</v>
      </c>
      <c r="H24" s="71" t="s">
        <v>76</v>
      </c>
      <c r="I24" s="71">
        <f>'MERCADO TE'!$U$21</f>
        <v>0.36099999999999999</v>
      </c>
      <c r="J24" s="15"/>
      <c r="L24" s="68">
        <f>('TE BE'!$L$24+'TE BF'!$L$24+'TE CVA'!$L$24)*(1 - CUSTOS!$M$38)</f>
        <v>2.1663427573308658</v>
      </c>
      <c r="M24" s="68">
        <f>('TE BE'!$M$24+'TE BF'!$M$24+'TE CVA'!$M$24)*(1 - CUSTOS!$M$38)</f>
        <v>27.515627040916499</v>
      </c>
      <c r="N24" s="68">
        <f>('TE BE'!$N$24+'TE BF'!$N$24+'TE CVA'!$N$24)*(1 - CUSTOS!$M$38)</f>
        <v>0</v>
      </c>
      <c r="O24" s="68">
        <f>('TE BE'!$O$24+'TE BF'!$O$24+'TE CVA'!$O$24)*(1 - CUSTOS!$M$38)</f>
        <v>10.356938503269314</v>
      </c>
      <c r="P24" s="68">
        <f>('TE BE'!$P$24+'TE BF'!$P$24+'TE CVA'!$P$24)*(1 - CUSTOS!$M$38)</f>
        <v>-14.318491482506948</v>
      </c>
      <c r="Q24" s="68">
        <f>('TE BE'!$R$24+'TE BF'!$R$24+'TE CVA'!$R$24)*(1 - CUSTOS!$M$38)</f>
        <v>299.62704419206216</v>
      </c>
      <c r="R24" s="68">
        <f>('TE BE'!$T$24+'TE BF'!$T$24+'TE CVA'!$T$24)*(1 - CUSTOS!$M$38)</f>
        <v>6.060907335250393</v>
      </c>
      <c r="S24" s="68">
        <f>('TE BE'!$U$24+'TE BF'!$U$24+'TE CVA'!$U$24)*(1 - CUSTOS!$M$38)</f>
        <v>3.6479168075281385</v>
      </c>
      <c r="T24" s="68">
        <f>('TE BE'!$V$24+'TE BF'!$V$24+'TE CVA'!$V$24)*(1 - CUSTOS!$M$38)</f>
        <v>0</v>
      </c>
      <c r="U24" s="68">
        <f>('TE BE'!$X$24+'TE BF'!$X$24+'TE CVA'!$X$24)*(1 - CUSTOS!$M$38)</f>
        <v>-44.133730513472059</v>
      </c>
      <c r="V24" s="68">
        <f>('TE BE'!$Z$24+'TE BF'!$Z$24+'TE CVA'!$Z$24)*(1 - CUSTOS!$M$38)</f>
        <v>1.8045271590850354</v>
      </c>
      <c r="X24" s="68">
        <v>1.92572264066261</v>
      </c>
      <c r="Y24" s="68">
        <v>16.9104078318577</v>
      </c>
      <c r="Z24" s="68">
        <v>0</v>
      </c>
      <c r="AA24" s="68">
        <v>0</v>
      </c>
      <c r="AB24" s="68">
        <v>0</v>
      </c>
      <c r="AC24" s="68">
        <v>252.42931953010199</v>
      </c>
      <c r="AD24" s="68">
        <v>4.0421888566083002</v>
      </c>
      <c r="AE24" s="68">
        <v>3.5666617831238598</v>
      </c>
      <c r="AF24" s="68">
        <v>0</v>
      </c>
      <c r="AG24" s="68">
        <v>-25.825209704208199</v>
      </c>
      <c r="AH24" s="68">
        <v>1.1067673445939501</v>
      </c>
    </row>
    <row r="25" spans="1:34" ht="11.25" customHeight="1" x14ac:dyDescent="0.3">
      <c r="A25" s="143"/>
      <c r="B25" s="143"/>
      <c r="C25" s="143"/>
      <c r="D25" s="143"/>
      <c r="E25" s="143"/>
      <c r="F25" s="143"/>
      <c r="G25" s="71" t="s">
        <v>93</v>
      </c>
      <c r="H25" s="71" t="s">
        <v>76</v>
      </c>
      <c r="I25" s="71">
        <f>'MERCADO TE'!$U$22</f>
        <v>0.21399999999999994</v>
      </c>
      <c r="J25" s="15"/>
      <c r="L25" s="68">
        <f>('TE BE'!$L$25+'TE BF'!$L$25+'TE CVA'!$L$25)*(1 - CUSTOS!$M$38)</f>
        <v>2.1663427573308658</v>
      </c>
      <c r="M25" s="68">
        <f>('TE BE'!$M$25+'TE BF'!$M$25+'TE CVA'!$M$25)*(1 - CUSTOS!$M$38)</f>
        <v>27.515627040916499</v>
      </c>
      <c r="N25" s="68">
        <f>('TE BE'!$N$25+'TE BF'!$N$25+'TE CVA'!$N$25)*(1 - CUSTOS!$M$38)</f>
        <v>0</v>
      </c>
      <c r="O25" s="68">
        <f>('TE BE'!$O$25+'TE BF'!$O$25+'TE CVA'!$O$25)*(1 - CUSTOS!$M$38)</f>
        <v>10.356938503269314</v>
      </c>
      <c r="P25" s="68">
        <f>('TE BE'!$P$25+'TE BF'!$P$25+'TE CVA'!$P$25)*(1 - CUSTOS!$M$38)</f>
        <v>-14.318491482506948</v>
      </c>
      <c r="Q25" s="68">
        <f>('TE BE'!$R$25+'TE BF'!$R$25+'TE CVA'!$R$25)*(1 - CUSTOS!$M$38)</f>
        <v>174.20176987910591</v>
      </c>
      <c r="R25" s="68">
        <f>('TE BE'!$T$25+'TE BF'!$T$25+'TE CVA'!$T$25)*(1 - CUSTOS!$M$38)</f>
        <v>6.060907335250393</v>
      </c>
      <c r="S25" s="68">
        <f>('TE BE'!$U$25+'TE BF'!$U$25+'TE CVA'!$U$25)*(1 - CUSTOS!$M$38)</f>
        <v>3.6479168075281385</v>
      </c>
      <c r="T25" s="68">
        <f>('TE BE'!$V$25+'TE BF'!$V$25+'TE CVA'!$V$25)*(1 - CUSTOS!$M$38)</f>
        <v>0</v>
      </c>
      <c r="U25" s="68">
        <f>('TE BE'!$X$25+'TE BF'!$X$25+'TE CVA'!$X$25)*(1 - CUSTOS!$M$38)</f>
        <v>-27.292290068061924</v>
      </c>
      <c r="V25" s="68">
        <f>('TE BE'!$Z$25+'TE BF'!$Z$25+'TE CVA'!$Z$25)*(1 - CUSTOS!$M$38)</f>
        <v>1.8045271590850354</v>
      </c>
      <c r="X25" s="68">
        <v>1.92572264066261</v>
      </c>
      <c r="Y25" s="68">
        <v>16.9104078318577</v>
      </c>
      <c r="Z25" s="68">
        <v>0</v>
      </c>
      <c r="AA25" s="68">
        <v>0</v>
      </c>
      <c r="AB25" s="68">
        <v>0</v>
      </c>
      <c r="AC25" s="68">
        <v>146.76123228494299</v>
      </c>
      <c r="AD25" s="68">
        <v>4.0421888566083002</v>
      </c>
      <c r="AE25" s="68">
        <v>3.5666617831238598</v>
      </c>
      <c r="AF25" s="68">
        <v>0</v>
      </c>
      <c r="AG25" s="68">
        <v>-15.9712014775846</v>
      </c>
      <c r="AH25" s="68">
        <v>1.1067673445939501</v>
      </c>
    </row>
    <row r="26" spans="1:34" ht="11.25" customHeight="1" x14ac:dyDescent="0.3">
      <c r="A26" s="143"/>
      <c r="B26" s="143"/>
      <c r="C26" s="143"/>
      <c r="D26" s="143"/>
      <c r="E26" s="143"/>
      <c r="F26" s="143"/>
      <c r="G26" s="71" t="s">
        <v>78</v>
      </c>
      <c r="H26" s="71" t="s">
        <v>76</v>
      </c>
      <c r="I26" s="71">
        <f>'MERCADO TE'!$U$23</f>
        <v>2.4970000000000008</v>
      </c>
      <c r="J26" s="15"/>
      <c r="L26" s="68">
        <f>('TE BE'!$L$26+'TE BF'!$L$26+'TE CVA'!$L$26)*(1 - CUSTOS!$M$38)</f>
        <v>2.1663427573308658</v>
      </c>
      <c r="M26" s="68">
        <f>('TE BE'!$M$26+'TE BF'!$M$26+'TE CVA'!$M$26)*(1 - CUSTOS!$M$38)</f>
        <v>27.515627040916499</v>
      </c>
      <c r="N26" s="68">
        <f>('TE BE'!$N$26+'TE BF'!$N$26+'TE CVA'!$N$26)*(1 - CUSTOS!$M$38)</f>
        <v>0</v>
      </c>
      <c r="O26" s="68">
        <f>('TE BE'!$O$26+'TE BF'!$O$26+'TE CVA'!$O$26)*(1 - CUSTOS!$M$38)</f>
        <v>10.356938503269314</v>
      </c>
      <c r="P26" s="68">
        <f>('TE BE'!$P$26+'TE BF'!$P$26+'TE CVA'!$P$26)*(1 - CUSTOS!$M$38)</f>
        <v>-14.318491482506948</v>
      </c>
      <c r="Q26" s="68">
        <f>('TE BE'!$R$26+'TE BF'!$R$26+'TE CVA'!$R$26)*(1 - CUSTOS!$M$38)</f>
        <v>174.20176987910591</v>
      </c>
      <c r="R26" s="68">
        <f>('TE BE'!$T$26+'TE BF'!$T$26+'TE CVA'!$T$26)*(1 - CUSTOS!$M$38)</f>
        <v>6.060907335250393</v>
      </c>
      <c r="S26" s="68">
        <f>('TE BE'!$U$26+'TE BF'!$U$26+'TE CVA'!$U$26)*(1 - CUSTOS!$M$38)</f>
        <v>3.6479168075281385</v>
      </c>
      <c r="T26" s="68">
        <f>('TE BE'!$V$26+'TE BF'!$V$26+'TE CVA'!$V$26)*(1 - CUSTOS!$M$38)</f>
        <v>0</v>
      </c>
      <c r="U26" s="68">
        <f>('TE BE'!$X$26+'TE BF'!$X$26+'TE CVA'!$X$26)*(1 - CUSTOS!$M$38)</f>
        <v>-27.292290068061924</v>
      </c>
      <c r="V26" s="68">
        <f>('TE BE'!$Z$26+'TE BF'!$Z$26+'TE CVA'!$Z$26)*(1 - CUSTOS!$M$38)</f>
        <v>1.8045271590850354</v>
      </c>
      <c r="X26" s="68">
        <v>1.92572264066261</v>
      </c>
      <c r="Y26" s="68">
        <v>16.9104078318577</v>
      </c>
      <c r="Z26" s="68">
        <v>0</v>
      </c>
      <c r="AA26" s="68">
        <v>0</v>
      </c>
      <c r="AB26" s="68">
        <v>0</v>
      </c>
      <c r="AC26" s="68">
        <v>146.76123228494299</v>
      </c>
      <c r="AD26" s="68">
        <v>4.0421888566083002</v>
      </c>
      <c r="AE26" s="68">
        <v>3.5666617831238598</v>
      </c>
      <c r="AF26" s="68">
        <v>0</v>
      </c>
      <c r="AG26" s="68">
        <v>-15.9712014775846</v>
      </c>
      <c r="AH26" s="68">
        <v>1.1067673445939501</v>
      </c>
    </row>
    <row r="27" spans="1:34" ht="11.25" customHeight="1" x14ac:dyDescent="0.3">
      <c r="A27" s="143"/>
      <c r="B27" s="70" t="s">
        <v>82</v>
      </c>
      <c r="C27" s="70" t="s">
        <v>43</v>
      </c>
      <c r="D27" s="70" t="s">
        <v>25</v>
      </c>
      <c r="E27" s="70" t="s">
        <v>25</v>
      </c>
      <c r="F27" s="70" t="s">
        <v>25</v>
      </c>
      <c r="G27" s="71" t="s">
        <v>81</v>
      </c>
      <c r="H27" s="71" t="s">
        <v>76</v>
      </c>
      <c r="I27" s="71">
        <f>'MERCADO TE'!$U$24</f>
        <v>18691.718999999997</v>
      </c>
      <c r="J27" s="15"/>
      <c r="L27" s="68">
        <f>('TE BE'!$L$27+'TE BF'!$L$27+'TE CVA'!$L$27)*(1 - CUSTOS!$M$38)</f>
        <v>2.1663427573308658</v>
      </c>
      <c r="M27" s="68">
        <f>('TE BE'!$M$27+'TE BF'!$M$27+'TE CVA'!$M$27)*(1 - CUSTOS!$M$38)</f>
        <v>27.515627040916499</v>
      </c>
      <c r="N27" s="68">
        <f>('TE BE'!$N$27+'TE BF'!$N$27+'TE CVA'!$N$27)*(1 - CUSTOS!$M$38)</f>
        <v>0</v>
      </c>
      <c r="O27" s="68">
        <f>('TE BE'!$O$27+'TE BF'!$O$27+'TE CVA'!$O$27)*(1 - CUSTOS!$M$38)</f>
        <v>10.356938503269314</v>
      </c>
      <c r="P27" s="68">
        <f>('TE BE'!$P$27+'TE BF'!$P$27+'TE CVA'!$P$27)*(1 - CUSTOS!$M$38)</f>
        <v>-14.318491482506948</v>
      </c>
      <c r="Q27" s="68">
        <f>('TE BE'!$R$27+'TE BF'!$R$27+'TE CVA'!$R$27)*(1 - CUSTOS!$M$38)</f>
        <v>184.65387607185227</v>
      </c>
      <c r="R27" s="68">
        <f>('TE BE'!$T$27+'TE BF'!$T$27+'TE CVA'!$T$27)*(1 - CUSTOS!$M$38)</f>
        <v>6.060907335250393</v>
      </c>
      <c r="S27" s="68">
        <f>('TE BE'!$U$27+'TE BF'!$U$27+'TE CVA'!$U$27)*(1 - CUSTOS!$M$38)</f>
        <v>3.6479168075281385</v>
      </c>
      <c r="T27" s="68">
        <f>('TE BE'!$V$27+'TE BF'!$V$27+'TE CVA'!$V$27)*(1 - CUSTOS!$M$38)</f>
        <v>0</v>
      </c>
      <c r="U27" s="68">
        <f>('TE BE'!$X$27+'TE BF'!$X$27+'TE CVA'!$X$27)*(1 - CUSTOS!$M$38)</f>
        <v>-28.695743438512768</v>
      </c>
      <c r="V27" s="68">
        <f>('TE BE'!$Z$27+'TE BF'!$Z$27+'TE CVA'!$Z$27)*(1 - CUSTOS!$M$38)</f>
        <v>1.8045271590850354</v>
      </c>
      <c r="X27" s="68">
        <v>1.92572264066261</v>
      </c>
      <c r="Y27" s="68">
        <v>16.9104078318577</v>
      </c>
      <c r="Z27" s="68">
        <v>0</v>
      </c>
      <c r="AA27" s="68">
        <v>0</v>
      </c>
      <c r="AB27" s="68">
        <v>0</v>
      </c>
      <c r="AC27" s="68">
        <v>155.56690622203999</v>
      </c>
      <c r="AD27" s="68">
        <v>4.0421888566083002</v>
      </c>
      <c r="AE27" s="68">
        <v>3.5666617831238598</v>
      </c>
      <c r="AF27" s="68">
        <v>0</v>
      </c>
      <c r="AG27" s="68">
        <v>-16.792368829803301</v>
      </c>
      <c r="AH27" s="68">
        <v>1.1067673445939501</v>
      </c>
    </row>
    <row r="28" spans="1:34" ht="11.25" customHeight="1" x14ac:dyDescent="0.3">
      <c r="A28" s="143"/>
      <c r="B28" s="143" t="s">
        <v>75</v>
      </c>
      <c r="C28" s="143" t="s">
        <v>43</v>
      </c>
      <c r="D28" s="143" t="s">
        <v>96</v>
      </c>
      <c r="E28" s="143" t="s">
        <v>25</v>
      </c>
      <c r="F28" s="143" t="s">
        <v>25</v>
      </c>
      <c r="G28" s="71" t="s">
        <v>77</v>
      </c>
      <c r="H28" s="71" t="s">
        <v>76</v>
      </c>
      <c r="I28" s="71">
        <f>'MERCADO TE'!$U$25</f>
        <v>0</v>
      </c>
      <c r="J28" s="15"/>
      <c r="L28" s="68">
        <f>('TE BE'!$L$28+'TE BF'!$L$28+'TE CVA'!$L$28)*(1 - CUSTOS!$M$39)</f>
        <v>2.12025035823872</v>
      </c>
      <c r="M28" s="68">
        <f>('TE BE'!$M$28+'TE BF'!$M$28+'TE CVA'!$M$28)*(1 - CUSTOS!$M$39)</f>
        <v>26.930188167705513</v>
      </c>
      <c r="N28" s="68">
        <f>('TE BE'!$N$28+'TE BF'!$N$28+'TE CVA'!$N$28)*(1 - CUSTOS!$M$39)</f>
        <v>0</v>
      </c>
      <c r="O28" s="68">
        <f>('TE BE'!$O$28+'TE BF'!$O$28+'TE CVA'!$O$28)*(1 - CUSTOS!$M$39)</f>
        <v>10.136578109582734</v>
      </c>
      <c r="P28" s="68">
        <f>('TE BE'!$P$28+'TE BF'!$P$28+'TE CVA'!$P$28)*(1 - CUSTOS!$M$39)</f>
        <v>-14.013842727559993</v>
      </c>
      <c r="Q28" s="68">
        <f>('TE BE'!$R$28+'TE BF'!$R$28+'TE CVA'!$R$28)*(1 - CUSTOS!$M$39)</f>
        <v>293.25200069861404</v>
      </c>
      <c r="R28" s="68">
        <f>('TE BE'!$T$28+'TE BF'!$T$28+'TE CVA'!$T$28)*(1 - CUSTOS!$M$39)</f>
        <v>5.9319518600323002</v>
      </c>
      <c r="S28" s="68">
        <f>('TE BE'!$U$28+'TE BF'!$U$28+'TE CVA'!$U$28)*(1 - CUSTOS!$M$39)</f>
        <v>3.5703015563041358</v>
      </c>
      <c r="T28" s="68">
        <f>('TE BE'!$V$28+'TE BF'!$V$28+'TE CVA'!$V$28)*(1 - CUSTOS!$M$39)</f>
        <v>0</v>
      </c>
      <c r="U28" s="68">
        <f>('TE BE'!$X$28+'TE BF'!$X$28+'TE CVA'!$X$28)*(1 - CUSTOS!$M$39)</f>
        <v>-43.194714970632234</v>
      </c>
      <c r="V28" s="68">
        <f>('TE BE'!$Z$28+'TE BF'!$Z$28+'TE CVA'!$Z$28)*(1 - CUSTOS!$M$39)</f>
        <v>1.7661329642108858</v>
      </c>
      <c r="X28" s="68">
        <v>1.83818979335976</v>
      </c>
      <c r="Y28" s="68">
        <v>16.141752930409599</v>
      </c>
      <c r="Z28" s="68">
        <v>0</v>
      </c>
      <c r="AA28" s="68">
        <v>0</v>
      </c>
      <c r="AB28" s="68">
        <v>0</v>
      </c>
      <c r="AC28" s="68">
        <v>240.95525955146101</v>
      </c>
      <c r="AD28" s="68">
        <v>3.8584529994897401</v>
      </c>
      <c r="AE28" s="68">
        <v>3.4045407929818698</v>
      </c>
      <c r="AF28" s="68">
        <v>0</v>
      </c>
      <c r="AG28" s="68">
        <v>-24.6513365358351</v>
      </c>
      <c r="AH28" s="68">
        <v>1.0564597380215</v>
      </c>
    </row>
    <row r="29" spans="1:34" ht="11.25" customHeight="1" x14ac:dyDescent="0.3">
      <c r="A29" s="143"/>
      <c r="B29" s="143"/>
      <c r="C29" s="143"/>
      <c r="D29" s="143"/>
      <c r="E29" s="143"/>
      <c r="F29" s="143"/>
      <c r="G29" s="71" t="s">
        <v>93</v>
      </c>
      <c r="H29" s="71" t="s">
        <v>76</v>
      </c>
      <c r="I29" s="71">
        <f>'MERCADO TE'!$U$26</f>
        <v>0</v>
      </c>
      <c r="J29" s="15"/>
      <c r="L29" s="68">
        <f>('TE BE'!$L$29+'TE BF'!$L$29+'TE CVA'!$L$29)*(1 - CUSTOS!$M$39)</f>
        <v>2.12025035823872</v>
      </c>
      <c r="M29" s="68">
        <f>('TE BE'!$M$29+'TE BF'!$M$29+'TE CVA'!$M$29)*(1 - CUSTOS!$M$39)</f>
        <v>26.930188167705513</v>
      </c>
      <c r="N29" s="68">
        <f>('TE BE'!$N$29+'TE BF'!$N$29+'TE CVA'!$N$29)*(1 - CUSTOS!$M$39)</f>
        <v>0</v>
      </c>
      <c r="O29" s="68">
        <f>('TE BE'!$O$29+'TE BF'!$O$29+'TE CVA'!$O$29)*(1 - CUSTOS!$M$39)</f>
        <v>10.136578109582734</v>
      </c>
      <c r="P29" s="68">
        <f>('TE BE'!$P$29+'TE BF'!$P$29+'TE CVA'!$P$29)*(1 - CUSTOS!$M$39)</f>
        <v>-14.013842727559993</v>
      </c>
      <c r="Q29" s="68">
        <f>('TE BE'!$R$29+'TE BF'!$R$29+'TE CVA'!$R$29)*(1 - CUSTOS!$M$39)</f>
        <v>170.49534924338028</v>
      </c>
      <c r="R29" s="68">
        <f>('TE BE'!$T$29+'TE BF'!$T$29+'TE CVA'!$T$29)*(1 - CUSTOS!$M$39)</f>
        <v>5.9319518600323002</v>
      </c>
      <c r="S29" s="68">
        <f>('TE BE'!$U$29+'TE BF'!$U$29+'TE CVA'!$U$29)*(1 - CUSTOS!$M$39)</f>
        <v>3.5703015563041358</v>
      </c>
      <c r="T29" s="68">
        <f>('TE BE'!$V$29+'TE BF'!$V$29+'TE CVA'!$V$29)*(1 - CUSTOS!$M$39)</f>
        <v>0</v>
      </c>
      <c r="U29" s="68">
        <f>('TE BE'!$X$29+'TE BF'!$X$29+'TE CVA'!$X$29)*(1 - CUSTOS!$M$39)</f>
        <v>-26.711603045337203</v>
      </c>
      <c r="V29" s="68">
        <f>('TE BE'!$Z$29+'TE BF'!$Z$29+'TE CVA'!$Z$29)*(1 - CUSTOS!$M$39)</f>
        <v>1.7661329642108858</v>
      </c>
      <c r="X29" s="68">
        <v>1.83818979335976</v>
      </c>
      <c r="Y29" s="68">
        <v>16.141752930409599</v>
      </c>
      <c r="Z29" s="68">
        <v>0</v>
      </c>
      <c r="AA29" s="68">
        <v>0</v>
      </c>
      <c r="AB29" s="68">
        <v>0</v>
      </c>
      <c r="AC29" s="68">
        <v>140.090267181082</v>
      </c>
      <c r="AD29" s="68">
        <v>3.8584529994897401</v>
      </c>
      <c r="AE29" s="68">
        <v>3.4045407929818698</v>
      </c>
      <c r="AF29" s="68">
        <v>0</v>
      </c>
      <c r="AG29" s="68">
        <v>-15.245237774058101</v>
      </c>
      <c r="AH29" s="68">
        <v>1.0564597380215</v>
      </c>
    </row>
    <row r="30" spans="1:34" ht="11.25" customHeight="1" x14ac:dyDescent="0.3">
      <c r="A30" s="143"/>
      <c r="B30" s="143"/>
      <c r="C30" s="143"/>
      <c r="D30" s="143"/>
      <c r="E30" s="143"/>
      <c r="F30" s="143"/>
      <c r="G30" s="71" t="s">
        <v>78</v>
      </c>
      <c r="H30" s="71" t="s">
        <v>76</v>
      </c>
      <c r="I30" s="71">
        <f>'MERCADO TE'!$U$27</f>
        <v>0</v>
      </c>
      <c r="J30" s="15"/>
      <c r="L30" s="68">
        <f>('TE BE'!$L$30+'TE BF'!$L$30+'TE CVA'!$L$30)*(1 - CUSTOS!$M$39)</f>
        <v>2.12025035823872</v>
      </c>
      <c r="M30" s="68">
        <f>('TE BE'!$M$30+'TE BF'!$M$30+'TE CVA'!$M$30)*(1 - CUSTOS!$M$39)</f>
        <v>26.930188167705513</v>
      </c>
      <c r="N30" s="68">
        <f>('TE BE'!$N$30+'TE BF'!$N$30+'TE CVA'!$N$30)*(1 - CUSTOS!$M$39)</f>
        <v>0</v>
      </c>
      <c r="O30" s="68">
        <f>('TE BE'!$O$30+'TE BF'!$O$30+'TE CVA'!$O$30)*(1 - CUSTOS!$M$39)</f>
        <v>10.136578109582734</v>
      </c>
      <c r="P30" s="68">
        <f>('TE BE'!$P$30+'TE BF'!$P$30+'TE CVA'!$P$30)*(1 - CUSTOS!$M$39)</f>
        <v>-14.013842727559993</v>
      </c>
      <c r="Q30" s="68">
        <f>('TE BE'!$R$30+'TE BF'!$R$30+'TE CVA'!$R$30)*(1 - CUSTOS!$M$39)</f>
        <v>170.49534924338028</v>
      </c>
      <c r="R30" s="68">
        <f>('TE BE'!$T$30+'TE BF'!$T$30+'TE CVA'!$T$30)*(1 - CUSTOS!$M$39)</f>
        <v>5.9319518600323002</v>
      </c>
      <c r="S30" s="68">
        <f>('TE BE'!$U$30+'TE BF'!$U$30+'TE CVA'!$U$30)*(1 - CUSTOS!$M$39)</f>
        <v>3.5703015563041358</v>
      </c>
      <c r="T30" s="68">
        <f>('TE BE'!$V$30+'TE BF'!$V$30+'TE CVA'!$V$30)*(1 - CUSTOS!$M$39)</f>
        <v>0</v>
      </c>
      <c r="U30" s="68">
        <f>('TE BE'!$X$30+'TE BF'!$X$30+'TE CVA'!$X$30)*(1 - CUSTOS!$M$39)</f>
        <v>-26.711603045337203</v>
      </c>
      <c r="V30" s="68">
        <f>('TE BE'!$Z$30+'TE BF'!$Z$30+'TE CVA'!$Z$30)*(1 - CUSTOS!$M$39)</f>
        <v>1.7661329642108858</v>
      </c>
      <c r="X30" s="68">
        <v>1.83818979335976</v>
      </c>
      <c r="Y30" s="68">
        <v>16.141752930409599</v>
      </c>
      <c r="Z30" s="68">
        <v>0</v>
      </c>
      <c r="AA30" s="68">
        <v>0</v>
      </c>
      <c r="AB30" s="68">
        <v>0</v>
      </c>
      <c r="AC30" s="68">
        <v>140.090267181082</v>
      </c>
      <c r="AD30" s="68">
        <v>3.8584529994897401</v>
      </c>
      <c r="AE30" s="68">
        <v>3.4045407929818698</v>
      </c>
      <c r="AF30" s="68">
        <v>0</v>
      </c>
      <c r="AG30" s="68">
        <v>-15.245237774058101</v>
      </c>
      <c r="AH30" s="68">
        <v>1.0564597380215</v>
      </c>
    </row>
    <row r="31" spans="1:34" ht="11.25" customHeight="1" x14ac:dyDescent="0.3">
      <c r="A31" s="143"/>
      <c r="B31" s="70" t="s">
        <v>82</v>
      </c>
      <c r="C31" s="70" t="s">
        <v>43</v>
      </c>
      <c r="D31" s="70" t="s">
        <v>96</v>
      </c>
      <c r="E31" s="70" t="s">
        <v>25</v>
      </c>
      <c r="F31" s="70" t="s">
        <v>25</v>
      </c>
      <c r="G31" s="71" t="s">
        <v>81</v>
      </c>
      <c r="H31" s="71" t="s">
        <v>76</v>
      </c>
      <c r="I31" s="71">
        <f>'MERCADO TE'!$U$28</f>
        <v>0</v>
      </c>
      <c r="J31" s="15"/>
      <c r="L31" s="68">
        <f>('TE BE'!$L$31+'TE BF'!$L$31+'TE CVA'!$L$31)*(1 - CUSTOS!$M$39)</f>
        <v>2.12025035823872</v>
      </c>
      <c r="M31" s="68">
        <f>('TE BE'!$M$31+'TE BF'!$M$31+'TE CVA'!$M$31)*(1 - CUSTOS!$M$39)</f>
        <v>26.930188167705513</v>
      </c>
      <c r="N31" s="68">
        <f>('TE BE'!$N$31+'TE BF'!$N$31+'TE CVA'!$N$31)*(1 - CUSTOS!$M$39)</f>
        <v>0</v>
      </c>
      <c r="O31" s="68">
        <f>('TE BE'!$O$31+'TE BF'!$O$31+'TE CVA'!$O$31)*(1 - CUSTOS!$M$39)</f>
        <v>10.136578109582734</v>
      </c>
      <c r="P31" s="68">
        <f>('TE BE'!$P$31+'TE BF'!$P$31+'TE CVA'!$P$31)*(1 - CUSTOS!$M$39)</f>
        <v>-14.013842727559993</v>
      </c>
      <c r="Q31" s="68">
        <f>('TE BE'!$R$31+'TE BF'!$R$31+'TE CVA'!$R$31)*(1 - CUSTOS!$M$39)</f>
        <v>180.72507019798309</v>
      </c>
      <c r="R31" s="68">
        <f>('TE BE'!$T$31+'TE BF'!$T$31+'TE CVA'!$T$31)*(1 - CUSTOS!$M$39)</f>
        <v>5.9319518600323002</v>
      </c>
      <c r="S31" s="68">
        <f>('TE BE'!$U$31+'TE BF'!$U$31+'TE CVA'!$U$31)*(1 - CUSTOS!$M$39)</f>
        <v>3.5703015563041358</v>
      </c>
      <c r="T31" s="68">
        <f>('TE BE'!$V$31+'TE BF'!$V$31+'TE CVA'!$V$31)*(1 - CUSTOS!$M$39)</f>
        <v>0</v>
      </c>
      <c r="U31" s="68">
        <f>('TE BE'!$X$31+'TE BF'!$X$31+'TE CVA'!$X$31)*(1 - CUSTOS!$M$39)</f>
        <v>-28.085195705778457</v>
      </c>
      <c r="V31" s="68">
        <f>('TE BE'!$Z$31+'TE BF'!$Z$31+'TE CVA'!$Z$31)*(1 - CUSTOS!$M$39)</f>
        <v>1.7661329642108858</v>
      </c>
      <c r="X31" s="68">
        <v>1.83818979335976</v>
      </c>
      <c r="Y31" s="68">
        <v>16.141752930409599</v>
      </c>
      <c r="Z31" s="68">
        <v>0</v>
      </c>
      <c r="AA31" s="68">
        <v>0</v>
      </c>
      <c r="AB31" s="68">
        <v>0</v>
      </c>
      <c r="AC31" s="68">
        <v>148.49568321194701</v>
      </c>
      <c r="AD31" s="68">
        <v>3.8584529994897401</v>
      </c>
      <c r="AE31" s="68">
        <v>3.4045407929818698</v>
      </c>
      <c r="AF31" s="68">
        <v>0</v>
      </c>
      <c r="AG31" s="68">
        <v>-16.0290793375395</v>
      </c>
      <c r="AH31" s="68">
        <v>1.0564597380215</v>
      </c>
    </row>
    <row r="32" spans="1:34" ht="11.25" customHeight="1" x14ac:dyDescent="0.3">
      <c r="A32" s="143"/>
      <c r="B32" s="143" t="s">
        <v>75</v>
      </c>
      <c r="C32" s="143" t="s">
        <v>43</v>
      </c>
      <c r="D32" s="143" t="s">
        <v>97</v>
      </c>
      <c r="E32" s="143" t="s">
        <v>25</v>
      </c>
      <c r="F32" s="143" t="s">
        <v>25</v>
      </c>
      <c r="G32" s="71" t="s">
        <v>77</v>
      </c>
      <c r="H32" s="71" t="s">
        <v>76</v>
      </c>
      <c r="I32" s="71">
        <f>'MERCADO TE'!$U$29</f>
        <v>0</v>
      </c>
      <c r="J32" s="15"/>
      <c r="L32" s="68">
        <f>('TE BE'!$L$32+'TE BF'!$L$32+'TE CVA'!$L$32)*(1 - CUSTOS!$M$40)</f>
        <v>2.12025035823872</v>
      </c>
      <c r="M32" s="68">
        <f>('TE BE'!$M$32+'TE BF'!$M$32+'TE CVA'!$M$32)*(1 - CUSTOS!$M$40)</f>
        <v>26.930188167705513</v>
      </c>
      <c r="N32" s="68">
        <f>('TE BE'!$N$32+'TE BF'!$N$32+'TE CVA'!$N$32)*(1 - CUSTOS!$M$40)</f>
        <v>0</v>
      </c>
      <c r="O32" s="68">
        <f>('TE BE'!$O$32+'TE BF'!$O$32+'TE CVA'!$O$32)*(1 - CUSTOS!$M$40)</f>
        <v>10.136578109582734</v>
      </c>
      <c r="P32" s="68">
        <f>('TE BE'!$P$32+'TE BF'!$P$32+'TE CVA'!$P$32)*(1 - CUSTOS!$M$40)</f>
        <v>-14.013842727559993</v>
      </c>
      <c r="Q32" s="68">
        <f>('TE BE'!$R$32+'TE BF'!$R$32+'TE CVA'!$R$32)*(1 - CUSTOS!$M$40)</f>
        <v>293.25200069861404</v>
      </c>
      <c r="R32" s="68">
        <f>('TE BE'!$T$32+'TE BF'!$T$32+'TE CVA'!$T$32)*(1 - CUSTOS!$M$40)</f>
        <v>5.9319518600323002</v>
      </c>
      <c r="S32" s="68">
        <f>('TE BE'!$U$32+'TE BF'!$U$32+'TE CVA'!$U$32)*(1 - CUSTOS!$M$40)</f>
        <v>3.5703015563041358</v>
      </c>
      <c r="T32" s="68">
        <f>('TE BE'!$V$32+'TE BF'!$V$32+'TE CVA'!$V$32)*(1 - CUSTOS!$M$40)</f>
        <v>0</v>
      </c>
      <c r="U32" s="68">
        <f>('TE BE'!$X$32+'TE BF'!$X$32+'TE CVA'!$X$32)*(1 - CUSTOS!$M$40)</f>
        <v>-43.194714970632234</v>
      </c>
      <c r="V32" s="68">
        <f>('TE BE'!$Z$32+'TE BF'!$Z$32+'TE CVA'!$Z$32)*(1 - CUSTOS!$M$40)</f>
        <v>1.7661329642108858</v>
      </c>
      <c r="X32" s="68">
        <v>1.83818979335976</v>
      </c>
      <c r="Y32" s="68">
        <v>16.141752930409599</v>
      </c>
      <c r="Z32" s="68">
        <v>0</v>
      </c>
      <c r="AA32" s="68">
        <v>0</v>
      </c>
      <c r="AB32" s="68">
        <v>0</v>
      </c>
      <c r="AC32" s="68">
        <v>240.95525955146101</v>
      </c>
      <c r="AD32" s="68">
        <v>3.8584529994897401</v>
      </c>
      <c r="AE32" s="68">
        <v>3.4045407929818698</v>
      </c>
      <c r="AF32" s="68">
        <v>0</v>
      </c>
      <c r="AG32" s="68">
        <v>-24.6513365358351</v>
      </c>
      <c r="AH32" s="68">
        <v>1.0564597380215</v>
      </c>
    </row>
    <row r="33" spans="1:34" ht="11.25" customHeight="1" x14ac:dyDescent="0.3">
      <c r="A33" s="143"/>
      <c r="B33" s="143"/>
      <c r="C33" s="143"/>
      <c r="D33" s="143"/>
      <c r="E33" s="143"/>
      <c r="F33" s="143"/>
      <c r="G33" s="71" t="s">
        <v>93</v>
      </c>
      <c r="H33" s="71" t="s">
        <v>76</v>
      </c>
      <c r="I33" s="71">
        <f>'MERCADO TE'!$U$30</f>
        <v>0</v>
      </c>
      <c r="J33" s="15"/>
      <c r="L33" s="68">
        <f>('TE BE'!$L$33+'TE BF'!$L$33+'TE CVA'!$L$33)*(1 - CUSTOS!$M$40)</f>
        <v>2.12025035823872</v>
      </c>
      <c r="M33" s="68">
        <f>('TE BE'!$M$33+'TE BF'!$M$33+'TE CVA'!$M$33)*(1 - CUSTOS!$M$40)</f>
        <v>26.930188167705513</v>
      </c>
      <c r="N33" s="68">
        <f>('TE BE'!$N$33+'TE BF'!$N$33+'TE CVA'!$N$33)*(1 - CUSTOS!$M$40)</f>
        <v>0</v>
      </c>
      <c r="O33" s="68">
        <f>('TE BE'!$O$33+'TE BF'!$O$33+'TE CVA'!$O$33)*(1 - CUSTOS!$M$40)</f>
        <v>10.136578109582734</v>
      </c>
      <c r="P33" s="68">
        <f>('TE BE'!$P$33+'TE BF'!$P$33+'TE CVA'!$P$33)*(1 - CUSTOS!$M$40)</f>
        <v>-14.013842727559993</v>
      </c>
      <c r="Q33" s="68">
        <f>('TE BE'!$R$33+'TE BF'!$R$33+'TE CVA'!$R$33)*(1 - CUSTOS!$M$40)</f>
        <v>170.49534924338028</v>
      </c>
      <c r="R33" s="68">
        <f>('TE BE'!$T$33+'TE BF'!$T$33+'TE CVA'!$T$33)*(1 - CUSTOS!$M$40)</f>
        <v>5.9319518600323002</v>
      </c>
      <c r="S33" s="68">
        <f>('TE BE'!$U$33+'TE BF'!$U$33+'TE CVA'!$U$33)*(1 - CUSTOS!$M$40)</f>
        <v>3.5703015563041358</v>
      </c>
      <c r="T33" s="68">
        <f>('TE BE'!$V$33+'TE BF'!$V$33+'TE CVA'!$V$33)*(1 - CUSTOS!$M$40)</f>
        <v>0</v>
      </c>
      <c r="U33" s="68">
        <f>('TE BE'!$X$33+'TE BF'!$X$33+'TE CVA'!$X$33)*(1 - CUSTOS!$M$40)</f>
        <v>-26.711603045337203</v>
      </c>
      <c r="V33" s="68">
        <f>('TE BE'!$Z$33+'TE BF'!$Z$33+'TE CVA'!$Z$33)*(1 - CUSTOS!$M$40)</f>
        <v>1.7661329642108858</v>
      </c>
      <c r="X33" s="68">
        <v>1.83818979335976</v>
      </c>
      <c r="Y33" s="68">
        <v>16.141752930409599</v>
      </c>
      <c r="Z33" s="68">
        <v>0</v>
      </c>
      <c r="AA33" s="68">
        <v>0</v>
      </c>
      <c r="AB33" s="68">
        <v>0</v>
      </c>
      <c r="AC33" s="68">
        <v>140.090267181082</v>
      </c>
      <c r="AD33" s="68">
        <v>3.8584529994897401</v>
      </c>
      <c r="AE33" s="68">
        <v>3.4045407929818698</v>
      </c>
      <c r="AF33" s="68">
        <v>0</v>
      </c>
      <c r="AG33" s="68">
        <v>-15.245237774058101</v>
      </c>
      <c r="AH33" s="68">
        <v>1.0564597380215</v>
      </c>
    </row>
    <row r="34" spans="1:34" ht="11.25" customHeight="1" x14ac:dyDescent="0.3">
      <c r="A34" s="143"/>
      <c r="B34" s="143"/>
      <c r="C34" s="143"/>
      <c r="D34" s="143"/>
      <c r="E34" s="143"/>
      <c r="F34" s="143"/>
      <c r="G34" s="71" t="s">
        <v>78</v>
      </c>
      <c r="H34" s="71" t="s">
        <v>76</v>
      </c>
      <c r="I34" s="71">
        <f>'MERCADO TE'!$U$31</f>
        <v>0</v>
      </c>
      <c r="J34" s="15"/>
      <c r="L34" s="68">
        <f>('TE BE'!$L$34+'TE BF'!$L$34+'TE CVA'!$L$34)*(1 - CUSTOS!$M$40)</f>
        <v>2.12025035823872</v>
      </c>
      <c r="M34" s="68">
        <f>('TE BE'!$M$34+'TE BF'!$M$34+'TE CVA'!$M$34)*(1 - CUSTOS!$M$40)</f>
        <v>26.930188167705513</v>
      </c>
      <c r="N34" s="68">
        <f>('TE BE'!$N$34+'TE BF'!$N$34+'TE CVA'!$N$34)*(1 - CUSTOS!$M$40)</f>
        <v>0</v>
      </c>
      <c r="O34" s="68">
        <f>('TE BE'!$O$34+'TE BF'!$O$34+'TE CVA'!$O$34)*(1 - CUSTOS!$M$40)</f>
        <v>10.136578109582734</v>
      </c>
      <c r="P34" s="68">
        <f>('TE BE'!$P$34+'TE BF'!$P$34+'TE CVA'!$P$34)*(1 - CUSTOS!$M$40)</f>
        <v>-14.013842727559993</v>
      </c>
      <c r="Q34" s="68">
        <f>('TE BE'!$R$34+'TE BF'!$R$34+'TE CVA'!$R$34)*(1 - CUSTOS!$M$40)</f>
        <v>170.49534924338028</v>
      </c>
      <c r="R34" s="68">
        <f>('TE BE'!$T$34+'TE BF'!$T$34+'TE CVA'!$T$34)*(1 - CUSTOS!$M$40)</f>
        <v>5.9319518600323002</v>
      </c>
      <c r="S34" s="68">
        <f>('TE BE'!$U$34+'TE BF'!$U$34+'TE CVA'!$U$34)*(1 - CUSTOS!$M$40)</f>
        <v>3.5703015563041358</v>
      </c>
      <c r="T34" s="68">
        <f>('TE BE'!$V$34+'TE BF'!$V$34+'TE CVA'!$V$34)*(1 - CUSTOS!$M$40)</f>
        <v>0</v>
      </c>
      <c r="U34" s="68">
        <f>('TE BE'!$X$34+'TE BF'!$X$34+'TE CVA'!$X$34)*(1 - CUSTOS!$M$40)</f>
        <v>-26.711603045337203</v>
      </c>
      <c r="V34" s="68">
        <f>('TE BE'!$Z$34+'TE BF'!$Z$34+'TE CVA'!$Z$34)*(1 - CUSTOS!$M$40)</f>
        <v>1.7661329642108858</v>
      </c>
      <c r="X34" s="68">
        <v>1.83818979335976</v>
      </c>
      <c r="Y34" s="68">
        <v>16.141752930409599</v>
      </c>
      <c r="Z34" s="68">
        <v>0</v>
      </c>
      <c r="AA34" s="68">
        <v>0</v>
      </c>
      <c r="AB34" s="68">
        <v>0</v>
      </c>
      <c r="AC34" s="68">
        <v>140.090267181082</v>
      </c>
      <c r="AD34" s="68">
        <v>3.8584529994897401</v>
      </c>
      <c r="AE34" s="68">
        <v>3.4045407929818698</v>
      </c>
      <c r="AF34" s="68">
        <v>0</v>
      </c>
      <c r="AG34" s="68">
        <v>-15.245237774058101</v>
      </c>
      <c r="AH34" s="68">
        <v>1.0564597380215</v>
      </c>
    </row>
    <row r="35" spans="1:34" ht="11.25" customHeight="1" x14ac:dyDescent="0.3">
      <c r="A35" s="143"/>
      <c r="B35" s="70" t="s">
        <v>82</v>
      </c>
      <c r="C35" s="70" t="s">
        <v>43</v>
      </c>
      <c r="D35" s="70" t="s">
        <v>97</v>
      </c>
      <c r="E35" s="70" t="s">
        <v>25</v>
      </c>
      <c r="F35" s="70" t="s">
        <v>25</v>
      </c>
      <c r="G35" s="71" t="s">
        <v>81</v>
      </c>
      <c r="H35" s="71" t="s">
        <v>76</v>
      </c>
      <c r="I35" s="71">
        <f>'MERCADO TE'!$U$32</f>
        <v>0</v>
      </c>
      <c r="J35" s="15"/>
      <c r="L35" s="68">
        <f>('TE BE'!$L$35+'TE BF'!$L$35+'TE CVA'!$L$35)*(1 - CUSTOS!$M$40)</f>
        <v>2.12025035823872</v>
      </c>
      <c r="M35" s="68">
        <f>('TE BE'!$M$35+'TE BF'!$M$35+'TE CVA'!$M$35)*(1 - CUSTOS!$M$40)</f>
        <v>26.930188167705513</v>
      </c>
      <c r="N35" s="68">
        <f>('TE BE'!$N$35+'TE BF'!$N$35+'TE CVA'!$N$35)*(1 - CUSTOS!$M$40)</f>
        <v>0</v>
      </c>
      <c r="O35" s="68">
        <f>('TE BE'!$O$35+'TE BF'!$O$35+'TE CVA'!$O$35)*(1 - CUSTOS!$M$40)</f>
        <v>10.136578109582734</v>
      </c>
      <c r="P35" s="68">
        <f>('TE BE'!$P$35+'TE BF'!$P$35+'TE CVA'!$P$35)*(1 - CUSTOS!$M$40)</f>
        <v>-14.013842727559993</v>
      </c>
      <c r="Q35" s="68">
        <f>('TE BE'!$R$35+'TE BF'!$R$35+'TE CVA'!$R$35)*(1 - CUSTOS!$M$40)</f>
        <v>180.72507019798309</v>
      </c>
      <c r="R35" s="68">
        <f>('TE BE'!$T$35+'TE BF'!$T$35+'TE CVA'!$T$35)*(1 - CUSTOS!$M$40)</f>
        <v>5.9319518600323002</v>
      </c>
      <c r="S35" s="68">
        <f>('TE BE'!$U$35+'TE BF'!$U$35+'TE CVA'!$U$35)*(1 - CUSTOS!$M$40)</f>
        <v>3.5703015563041358</v>
      </c>
      <c r="T35" s="68">
        <f>('TE BE'!$V$35+'TE BF'!$V$35+'TE CVA'!$V$35)*(1 - CUSTOS!$M$40)</f>
        <v>0</v>
      </c>
      <c r="U35" s="68">
        <f>('TE BE'!$X$35+'TE BF'!$X$35+'TE CVA'!$X$35)*(1 - CUSTOS!$M$40)</f>
        <v>-28.085195705778457</v>
      </c>
      <c r="V35" s="68">
        <f>('TE BE'!$Z$35+'TE BF'!$Z$35+'TE CVA'!$Z$35)*(1 - CUSTOS!$M$40)</f>
        <v>1.7661329642108858</v>
      </c>
      <c r="X35" s="68">
        <v>1.83818979335976</v>
      </c>
      <c r="Y35" s="68">
        <v>16.141752930409599</v>
      </c>
      <c r="Z35" s="68">
        <v>0</v>
      </c>
      <c r="AA35" s="68">
        <v>0</v>
      </c>
      <c r="AB35" s="68">
        <v>0</v>
      </c>
      <c r="AC35" s="68">
        <v>148.49568321194701</v>
      </c>
      <c r="AD35" s="68">
        <v>3.8584529994897401</v>
      </c>
      <c r="AE35" s="68">
        <v>3.4045407929818698</v>
      </c>
      <c r="AF35" s="68">
        <v>0</v>
      </c>
      <c r="AG35" s="68">
        <v>-16.0290793375395</v>
      </c>
      <c r="AH35" s="68">
        <v>1.0564597380215</v>
      </c>
    </row>
    <row r="36" spans="1:34" ht="11.25" customHeight="1" x14ac:dyDescent="0.3">
      <c r="A36" s="143"/>
      <c r="B36" s="143" t="s">
        <v>94</v>
      </c>
      <c r="C36" s="143" t="s">
        <v>43</v>
      </c>
      <c r="D36" s="70" t="s">
        <v>25</v>
      </c>
      <c r="E36" s="70" t="s">
        <v>25</v>
      </c>
      <c r="F36" s="70" t="s">
        <v>25</v>
      </c>
      <c r="G36" s="71" t="s">
        <v>81</v>
      </c>
      <c r="H36" s="71" t="s">
        <v>76</v>
      </c>
      <c r="I36" s="71">
        <f>'MERCADO TE'!$U$33</f>
        <v>0</v>
      </c>
      <c r="J36" s="15"/>
      <c r="L36" s="68">
        <f>('TE BE'!$L$36+'TE BF'!$L$36+'TE CVA'!$L$36)*(1 - CUSTOS!$M$38)</f>
        <v>2.1663427573308658</v>
      </c>
      <c r="M36" s="68">
        <f>('TE BE'!$M$36+'TE BF'!$M$36+'TE CVA'!$M$36)*(1 - CUSTOS!$M$38)</f>
        <v>27.515627040916499</v>
      </c>
      <c r="N36" s="68">
        <f>('TE BE'!$N$36+'TE BF'!$N$36+'TE CVA'!$N$36)*(1 - CUSTOS!$M$38)</f>
        <v>0</v>
      </c>
      <c r="O36" s="68">
        <f>('TE BE'!$O$36+'TE BF'!$O$36+'TE CVA'!$O$36)*(1 - CUSTOS!$M$38)</f>
        <v>10.356938503269314</v>
      </c>
      <c r="P36" s="68">
        <f>('TE BE'!$P$36+'TE BF'!$P$36+'TE CVA'!$P$36)*(1 - CUSTOS!$M$38)</f>
        <v>-14.318491482506948</v>
      </c>
      <c r="Q36" s="68">
        <f>('TE BE'!$R$36+'TE BF'!$R$36+'TE CVA'!$R$36)*(1 - CUSTOS!$M$38)</f>
        <v>184.65387607185227</v>
      </c>
      <c r="R36" s="68">
        <f>('TE BE'!$T$36+'TE BF'!$T$36+'TE CVA'!$T$36)*(1 - CUSTOS!$M$38)</f>
        <v>6.060907335250393</v>
      </c>
      <c r="S36" s="68">
        <f>('TE BE'!$U$36+'TE BF'!$U$36+'TE CVA'!$U$36)*(1 - CUSTOS!$M$38)</f>
        <v>3.6479168075281385</v>
      </c>
      <c r="T36" s="68">
        <f>('TE BE'!$V$36+'TE BF'!$V$36+'TE CVA'!$V$36)*(1 - CUSTOS!$M$38)</f>
        <v>0</v>
      </c>
      <c r="U36" s="68">
        <f>('TE BE'!$X$36+'TE BF'!$X$36+'TE CVA'!$X$36)*(1 - CUSTOS!$M$38)</f>
        <v>-28.695743438512768</v>
      </c>
      <c r="V36" s="68">
        <f>('TE BE'!$Z$36+'TE BF'!$Z$36+'TE CVA'!$Z$36)*(1 - CUSTOS!$M$38)</f>
        <v>1.8045271590850354</v>
      </c>
      <c r="X36" s="68">
        <v>1.92572264066261</v>
      </c>
      <c r="Y36" s="68">
        <v>16.9104078318577</v>
      </c>
      <c r="Z36" s="68">
        <v>0</v>
      </c>
      <c r="AA36" s="68">
        <v>0</v>
      </c>
      <c r="AB36" s="68">
        <v>0</v>
      </c>
      <c r="AC36" s="68">
        <v>155.56690622203999</v>
      </c>
      <c r="AD36" s="68">
        <v>4.0421888566083002</v>
      </c>
      <c r="AE36" s="68">
        <v>3.5666617831238598</v>
      </c>
      <c r="AF36" s="68">
        <v>0</v>
      </c>
      <c r="AG36" s="68">
        <v>-16.792368829803301</v>
      </c>
      <c r="AH36" s="68">
        <v>1.1067673445939501</v>
      </c>
    </row>
    <row r="37" spans="1:34" ht="11.25" customHeight="1" x14ac:dyDescent="0.3">
      <c r="A37" s="143"/>
      <c r="B37" s="143"/>
      <c r="C37" s="143"/>
      <c r="D37" s="70" t="s">
        <v>96</v>
      </c>
      <c r="E37" s="70" t="s">
        <v>25</v>
      </c>
      <c r="F37" s="70" t="s">
        <v>25</v>
      </c>
      <c r="G37" s="71" t="s">
        <v>81</v>
      </c>
      <c r="H37" s="71" t="s">
        <v>76</v>
      </c>
      <c r="I37" s="71">
        <f>'MERCADO TE'!$U$34</f>
        <v>0</v>
      </c>
      <c r="J37" s="15"/>
      <c r="L37" s="68">
        <f>('TE BE'!$L$37+'TE BF'!$L$37+'TE CVA'!$L$37)*(1 - CUSTOS!$M$39)</f>
        <v>2.12025035823872</v>
      </c>
      <c r="M37" s="68">
        <f>('TE BE'!$M$37+'TE BF'!$M$37+'TE CVA'!$M$37)*(1 - CUSTOS!$M$39)</f>
        <v>26.930188167705513</v>
      </c>
      <c r="N37" s="68">
        <f>('TE BE'!$N$37+'TE BF'!$N$37+'TE CVA'!$N$37)*(1 - CUSTOS!$M$39)</f>
        <v>0</v>
      </c>
      <c r="O37" s="68">
        <f>('TE BE'!$O$37+'TE BF'!$O$37+'TE CVA'!$O$37)*(1 - CUSTOS!$M$39)</f>
        <v>10.136578109582734</v>
      </c>
      <c r="P37" s="68">
        <f>('TE BE'!$P$37+'TE BF'!$P$37+'TE CVA'!$P$37)*(1 - CUSTOS!$M$39)</f>
        <v>-14.013842727559993</v>
      </c>
      <c r="Q37" s="68">
        <f>('TE BE'!$R$37+'TE BF'!$R$37+'TE CVA'!$R$37)*(1 - CUSTOS!$M$39)</f>
        <v>180.72507019798309</v>
      </c>
      <c r="R37" s="68">
        <f>('TE BE'!$T$37+'TE BF'!$T$37+'TE CVA'!$T$37)*(1 - CUSTOS!$M$39)</f>
        <v>5.9319518600323002</v>
      </c>
      <c r="S37" s="68">
        <f>('TE BE'!$U$37+'TE BF'!$U$37+'TE CVA'!$U$37)*(1 - CUSTOS!$M$39)</f>
        <v>3.5703015563041358</v>
      </c>
      <c r="T37" s="68">
        <f>('TE BE'!$V$37+'TE BF'!$V$37+'TE CVA'!$V$37)*(1 - CUSTOS!$M$39)</f>
        <v>0</v>
      </c>
      <c r="U37" s="68">
        <f>('TE BE'!$X$37+'TE BF'!$X$37+'TE CVA'!$X$37)*(1 - CUSTOS!$M$39)</f>
        <v>-28.085195705778457</v>
      </c>
      <c r="V37" s="68">
        <f>('TE BE'!$Z$37+'TE BF'!$Z$37+'TE CVA'!$Z$37)*(1 - CUSTOS!$M$39)</f>
        <v>1.7661329642108858</v>
      </c>
      <c r="X37" s="68">
        <v>1.83818979335976</v>
      </c>
      <c r="Y37" s="68">
        <v>16.141752930409599</v>
      </c>
      <c r="Z37" s="68">
        <v>0</v>
      </c>
      <c r="AA37" s="68">
        <v>0</v>
      </c>
      <c r="AB37" s="68">
        <v>0</v>
      </c>
      <c r="AC37" s="68">
        <v>148.49568321194701</v>
      </c>
      <c r="AD37" s="68">
        <v>3.8584529994897401</v>
      </c>
      <c r="AE37" s="68">
        <v>3.4045407929818698</v>
      </c>
      <c r="AF37" s="68">
        <v>0</v>
      </c>
      <c r="AG37" s="68">
        <v>-16.0290793375395</v>
      </c>
      <c r="AH37" s="68">
        <v>1.0564597380215</v>
      </c>
    </row>
    <row r="38" spans="1:34" ht="11.25" customHeight="1" x14ac:dyDescent="0.3">
      <c r="A38" s="143"/>
      <c r="B38" s="143"/>
      <c r="C38" s="143"/>
      <c r="D38" s="70" t="s">
        <v>97</v>
      </c>
      <c r="E38" s="70" t="s">
        <v>25</v>
      </c>
      <c r="F38" s="70" t="s">
        <v>25</v>
      </c>
      <c r="G38" s="71" t="s">
        <v>81</v>
      </c>
      <c r="H38" s="71" t="s">
        <v>76</v>
      </c>
      <c r="I38" s="71">
        <f>'MERCADO TE'!$U$35</f>
        <v>0</v>
      </c>
      <c r="J38" s="15"/>
      <c r="L38" s="68">
        <f>('TE BE'!$L$38+'TE BF'!$L$38+'TE CVA'!$L$38)*(1 - CUSTOS!$M$40)</f>
        <v>2.12025035823872</v>
      </c>
      <c r="M38" s="68">
        <f>('TE BE'!$M$38+'TE BF'!$M$38+'TE CVA'!$M$38)*(1 - CUSTOS!$M$40)</f>
        <v>26.930188167705513</v>
      </c>
      <c r="N38" s="68">
        <f>('TE BE'!$N$38+'TE BF'!$N$38+'TE CVA'!$N$38)*(1 - CUSTOS!$M$40)</f>
        <v>0</v>
      </c>
      <c r="O38" s="68">
        <f>('TE BE'!$O$38+'TE BF'!$O$38+'TE CVA'!$O$38)*(1 - CUSTOS!$M$40)</f>
        <v>10.136578109582734</v>
      </c>
      <c r="P38" s="68">
        <f>('TE BE'!$P$38+'TE BF'!$P$38+'TE CVA'!$P$38)*(1 - CUSTOS!$M$40)</f>
        <v>-14.013842727559993</v>
      </c>
      <c r="Q38" s="68">
        <f>('TE BE'!$R$38+'TE BF'!$R$38+'TE CVA'!$R$38)*(1 - CUSTOS!$M$40)</f>
        <v>180.72507019798309</v>
      </c>
      <c r="R38" s="68">
        <f>('TE BE'!$T$38+'TE BF'!$T$38+'TE CVA'!$T$38)*(1 - CUSTOS!$M$40)</f>
        <v>5.9319518600323002</v>
      </c>
      <c r="S38" s="68">
        <f>('TE BE'!$U$38+'TE BF'!$U$38+'TE CVA'!$U$38)*(1 - CUSTOS!$M$40)</f>
        <v>3.5703015563041358</v>
      </c>
      <c r="T38" s="68">
        <f>('TE BE'!$V$38+'TE BF'!$V$38+'TE CVA'!$V$38)*(1 - CUSTOS!$M$40)</f>
        <v>0</v>
      </c>
      <c r="U38" s="68">
        <f>('TE BE'!$X$38+'TE BF'!$X$38+'TE CVA'!$X$38)*(1 - CUSTOS!$M$40)</f>
        <v>-28.085195705778457</v>
      </c>
      <c r="V38" s="68">
        <f>('TE BE'!$Z$38+'TE BF'!$Z$38+'TE CVA'!$Z$38)*(1 - CUSTOS!$M$40)</f>
        <v>1.7661329642108858</v>
      </c>
      <c r="X38" s="68">
        <v>1.83818979335976</v>
      </c>
      <c r="Y38" s="68">
        <v>16.141752930409599</v>
      </c>
      <c r="Z38" s="68">
        <v>0</v>
      </c>
      <c r="AA38" s="68">
        <v>0</v>
      </c>
      <c r="AB38" s="68">
        <v>0</v>
      </c>
      <c r="AC38" s="68">
        <v>148.49568321194701</v>
      </c>
      <c r="AD38" s="68">
        <v>3.8584529994897401</v>
      </c>
      <c r="AE38" s="68">
        <v>3.4045407929818698</v>
      </c>
      <c r="AF38" s="68">
        <v>0</v>
      </c>
      <c r="AG38" s="68">
        <v>-16.0290793375395</v>
      </c>
      <c r="AH38" s="68">
        <v>1.0564597380215</v>
      </c>
    </row>
    <row r="39" spans="1:34" ht="11.25" customHeight="1" x14ac:dyDescent="0.3">
      <c r="A39" s="143" t="s">
        <v>37</v>
      </c>
      <c r="B39" s="143" t="s">
        <v>75</v>
      </c>
      <c r="C39" s="143" t="s">
        <v>25</v>
      </c>
      <c r="D39" s="143" t="s">
        <v>25</v>
      </c>
      <c r="E39" s="143" t="s">
        <v>25</v>
      </c>
      <c r="F39" s="143" t="s">
        <v>25</v>
      </c>
      <c r="G39" s="71" t="s">
        <v>77</v>
      </c>
      <c r="H39" s="71" t="s">
        <v>76</v>
      </c>
      <c r="I39" s="71">
        <f>'MERCADO TE'!$U$36</f>
        <v>9.1080000000000005</v>
      </c>
      <c r="J39" s="15"/>
      <c r="L39" s="68">
        <f>('TE BE'!$L$39+'TE BF'!$L$39+'TE CVA'!$L$39)*1</f>
        <v>2.3046199546073041</v>
      </c>
      <c r="M39" s="68">
        <f>('TE BE'!$M$39+'TE BF'!$M$39+'TE CVA'!$M$39)*1</f>
        <v>29.271943660549468</v>
      </c>
      <c r="N39" s="68">
        <f>('TE BE'!$N$39+'TE BF'!$N$39+'TE CVA'!$N$39)*1</f>
        <v>0</v>
      </c>
      <c r="O39" s="68">
        <f>('TE BE'!$O$39+'TE BF'!$O$39+'TE CVA'!$O$39)*1</f>
        <v>11.018019684329058</v>
      </c>
      <c r="P39" s="68">
        <f>('TE BE'!$P$39+'TE BF'!$P$39+'TE CVA'!$P$39)*1</f>
        <v>-15.232437747347818</v>
      </c>
      <c r="Q39" s="68">
        <f>('TE BE'!$R$39+'TE BF'!$R$39+'TE CVA'!$R$39)*1</f>
        <v>318.75217467240657</v>
      </c>
      <c r="R39" s="68">
        <f>('TE BE'!$T$39+'TE BF'!$T$39+'TE CVA'!$T$39)*1</f>
        <v>6.4477737609046741</v>
      </c>
      <c r="S39" s="68">
        <f>('TE BE'!$U$39+'TE BF'!$U$39+'TE CVA'!$U$39)*1</f>
        <v>3.8807625612001475</v>
      </c>
      <c r="T39" s="68">
        <f>('TE BE'!$V$39+'TE BF'!$V$39+'TE CVA'!$V$39)*1</f>
        <v>0</v>
      </c>
      <c r="U39" s="68">
        <f>('TE BE'!$X$39+'TE BF'!$X$39+'TE CVA'!$X$39)*1</f>
        <v>-46.950777141991558</v>
      </c>
      <c r="V39" s="68">
        <f>('TE BE'!$Z$39+'TE BF'!$Z$39+'TE CVA'!$Z$39)*1</f>
        <v>1.9197097437074846</v>
      </c>
      <c r="X39" s="68">
        <v>2.1883211825711499</v>
      </c>
      <c r="Y39" s="68">
        <v>19.216372536201899</v>
      </c>
      <c r="Z39" s="68">
        <v>0</v>
      </c>
      <c r="AA39" s="68">
        <v>0</v>
      </c>
      <c r="AB39" s="68">
        <v>0</v>
      </c>
      <c r="AC39" s="68">
        <v>286.85149946602502</v>
      </c>
      <c r="AD39" s="68">
        <v>4.5933964279639801</v>
      </c>
      <c r="AE39" s="68">
        <v>4.0530247535498498</v>
      </c>
      <c r="AF39" s="68">
        <v>0</v>
      </c>
      <c r="AG39" s="68">
        <v>-29.346829209327499</v>
      </c>
      <c r="AH39" s="68">
        <v>1.2576901643113101</v>
      </c>
    </row>
    <row r="40" spans="1:34" ht="11.25" customHeight="1" x14ac:dyDescent="0.3">
      <c r="A40" s="143"/>
      <c r="B40" s="143"/>
      <c r="C40" s="143"/>
      <c r="D40" s="143"/>
      <c r="E40" s="143"/>
      <c r="F40" s="143"/>
      <c r="G40" s="71" t="s">
        <v>93</v>
      </c>
      <c r="H40" s="71" t="s">
        <v>76</v>
      </c>
      <c r="I40" s="71">
        <f>'MERCADO TE'!$U$37</f>
        <v>0.627</v>
      </c>
      <c r="J40" s="15"/>
      <c r="L40" s="68">
        <f>('TE BE'!$L$40+'TE BF'!$L$40+'TE CVA'!$L$40)*1</f>
        <v>2.3046199546073041</v>
      </c>
      <c r="M40" s="68">
        <f>('TE BE'!$M$40+'TE BF'!$M$40+'TE CVA'!$M$40)*1</f>
        <v>29.271943660549468</v>
      </c>
      <c r="N40" s="68">
        <f>('TE BE'!$N$40+'TE BF'!$N$40+'TE CVA'!$N$40)*1</f>
        <v>0</v>
      </c>
      <c r="O40" s="68">
        <f>('TE BE'!$O$40+'TE BF'!$O$40+'TE CVA'!$O$40)*1</f>
        <v>11.018019684329058</v>
      </c>
      <c r="P40" s="68">
        <f>('TE BE'!$P$40+'TE BF'!$P$40+'TE CVA'!$P$40)*1</f>
        <v>-15.232437747347818</v>
      </c>
      <c r="Q40" s="68">
        <f>('TE BE'!$R$40+'TE BF'!$R$40+'TE CVA'!$R$40)*1</f>
        <v>185.3210317862829</v>
      </c>
      <c r="R40" s="68">
        <f>('TE BE'!$T$40+'TE BF'!$T$40+'TE CVA'!$T$40)*1</f>
        <v>6.4477737609046741</v>
      </c>
      <c r="S40" s="68">
        <f>('TE BE'!$U$40+'TE BF'!$U$40+'TE CVA'!$U$40)*1</f>
        <v>3.8807625612001475</v>
      </c>
      <c r="T40" s="68">
        <f>('TE BE'!$V$40+'TE BF'!$V$40+'TE CVA'!$V$40)*1</f>
        <v>0</v>
      </c>
      <c r="U40" s="68">
        <f>('TE BE'!$X$40+'TE BF'!$X$40+'TE CVA'!$X$40)*1</f>
        <v>-29.03435113623609</v>
      </c>
      <c r="V40" s="68">
        <f>('TE BE'!$Z$40+'TE BF'!$Z$40+'TE CVA'!$Z$40)*1</f>
        <v>1.9197097437074846</v>
      </c>
      <c r="X40" s="68">
        <v>2.1883211825711499</v>
      </c>
      <c r="Y40" s="68">
        <v>19.216372536201899</v>
      </c>
      <c r="Z40" s="68">
        <v>0</v>
      </c>
      <c r="AA40" s="68">
        <v>0</v>
      </c>
      <c r="AB40" s="68">
        <v>0</v>
      </c>
      <c r="AC40" s="68">
        <v>166.774127596526</v>
      </c>
      <c r="AD40" s="68">
        <v>4.5933964279639801</v>
      </c>
      <c r="AE40" s="68">
        <v>4.0530247535498498</v>
      </c>
      <c r="AF40" s="68">
        <v>0</v>
      </c>
      <c r="AG40" s="68">
        <v>-18.1490925881644</v>
      </c>
      <c r="AH40" s="68">
        <v>1.2576901643113101</v>
      </c>
    </row>
    <row r="41" spans="1:34" ht="11.25" customHeight="1" x14ac:dyDescent="0.3">
      <c r="A41" s="143"/>
      <c r="B41" s="143"/>
      <c r="C41" s="143"/>
      <c r="D41" s="143"/>
      <c r="E41" s="143"/>
      <c r="F41" s="143"/>
      <c r="G41" s="71" t="s">
        <v>78</v>
      </c>
      <c r="H41" s="71" t="s">
        <v>76</v>
      </c>
      <c r="I41" s="71">
        <f>'MERCADO TE'!$U$38</f>
        <v>7.484</v>
      </c>
      <c r="J41" s="15"/>
      <c r="L41" s="68">
        <f>('TE BE'!$L$41+'TE BF'!$L$41+'TE CVA'!$L$41)*1</f>
        <v>2.3046199546073041</v>
      </c>
      <c r="M41" s="68">
        <f>('TE BE'!$M$41+'TE BF'!$M$41+'TE CVA'!$M$41)*1</f>
        <v>29.271943660549468</v>
      </c>
      <c r="N41" s="68">
        <f>('TE BE'!$N$41+'TE BF'!$N$41+'TE CVA'!$N$41)*1</f>
        <v>0</v>
      </c>
      <c r="O41" s="68">
        <f>('TE BE'!$O$41+'TE BF'!$O$41+'TE CVA'!$O$41)*1</f>
        <v>11.018019684329058</v>
      </c>
      <c r="P41" s="68">
        <f>('TE BE'!$P$41+'TE BF'!$P$41+'TE CVA'!$P$41)*1</f>
        <v>-15.232437747347818</v>
      </c>
      <c r="Q41" s="68">
        <f>('TE BE'!$R$41+'TE BF'!$R$41+'TE CVA'!$R$41)*1</f>
        <v>185.3210317862829</v>
      </c>
      <c r="R41" s="68">
        <f>('TE BE'!$T$41+'TE BF'!$T$41+'TE CVA'!$T$41)*1</f>
        <v>6.4477737609046741</v>
      </c>
      <c r="S41" s="68">
        <f>('TE BE'!$U$41+'TE BF'!$U$41+'TE CVA'!$U$41)*1</f>
        <v>3.8807625612001475</v>
      </c>
      <c r="T41" s="68">
        <f>('TE BE'!$V$41+'TE BF'!$V$41+'TE CVA'!$V$41)*1</f>
        <v>0</v>
      </c>
      <c r="U41" s="68">
        <f>('TE BE'!$X$41+'TE BF'!$X$41+'TE CVA'!$X$41)*1</f>
        <v>-29.03435113623609</v>
      </c>
      <c r="V41" s="68">
        <f>('TE BE'!$Z$41+'TE BF'!$Z$41+'TE CVA'!$Z$41)*1</f>
        <v>1.9197097437074846</v>
      </c>
      <c r="X41" s="68">
        <v>2.1883211825711499</v>
      </c>
      <c r="Y41" s="68">
        <v>19.216372536201899</v>
      </c>
      <c r="Z41" s="68">
        <v>0</v>
      </c>
      <c r="AA41" s="68">
        <v>0</v>
      </c>
      <c r="AB41" s="68">
        <v>0</v>
      </c>
      <c r="AC41" s="68">
        <v>166.774127596526</v>
      </c>
      <c r="AD41" s="68">
        <v>4.5933964279639801</v>
      </c>
      <c r="AE41" s="68">
        <v>4.0530247535498498</v>
      </c>
      <c r="AF41" s="68">
        <v>0</v>
      </c>
      <c r="AG41" s="68">
        <v>-18.1490925881644</v>
      </c>
      <c r="AH41" s="68">
        <v>1.2576901643113101</v>
      </c>
    </row>
    <row r="42" spans="1:34" ht="11.25" customHeight="1" x14ac:dyDescent="0.3">
      <c r="A42" s="143"/>
      <c r="B42" s="70" t="s">
        <v>82</v>
      </c>
      <c r="C42" s="70" t="s">
        <v>25</v>
      </c>
      <c r="D42" s="70" t="s">
        <v>25</v>
      </c>
      <c r="E42" s="70" t="s">
        <v>25</v>
      </c>
      <c r="F42" s="70" t="s">
        <v>25</v>
      </c>
      <c r="G42" s="71" t="s">
        <v>81</v>
      </c>
      <c r="H42" s="71" t="s">
        <v>76</v>
      </c>
      <c r="I42" s="71">
        <f>'MERCADO TE'!$U$39</f>
        <v>11812.039999999999</v>
      </c>
      <c r="J42" s="15"/>
      <c r="L42" s="68">
        <f>('TE BE'!$L$42+'TE BF'!$L$42+'TE CVA'!$L$42)*1</f>
        <v>2.3046199546073041</v>
      </c>
      <c r="M42" s="68">
        <f>('TE BE'!$M$42+'TE BF'!$M$42+'TE CVA'!$M$42)*1</f>
        <v>29.271943660549468</v>
      </c>
      <c r="N42" s="68">
        <f>('TE BE'!$N$42+'TE BF'!$N$42+'TE CVA'!$N$42)*1</f>
        <v>0</v>
      </c>
      <c r="O42" s="68">
        <f>('TE BE'!$O$42+'TE BF'!$O$42+'TE CVA'!$O$42)*1</f>
        <v>11.018019684329058</v>
      </c>
      <c r="P42" s="68">
        <f>('TE BE'!$P$42+'TE BF'!$P$42+'TE CVA'!$P$42)*1</f>
        <v>-15.232437747347818</v>
      </c>
      <c r="Q42" s="68">
        <f>('TE BE'!$R$42+'TE BF'!$R$42+'TE CVA'!$R$42)*1</f>
        <v>196.44029369345986</v>
      </c>
      <c r="R42" s="68">
        <f>('TE BE'!$T$42+'TE BF'!$T$42+'TE CVA'!$T$42)*1</f>
        <v>6.4477737609046741</v>
      </c>
      <c r="S42" s="68">
        <f>('TE BE'!$U$42+'TE BF'!$U$42+'TE CVA'!$U$42)*1</f>
        <v>3.8807625612001475</v>
      </c>
      <c r="T42" s="68">
        <f>('TE BE'!$V$42+'TE BF'!$V$42+'TE CVA'!$V$42)*1</f>
        <v>0</v>
      </c>
      <c r="U42" s="68">
        <f>('TE BE'!$X$42+'TE BF'!$X$42+'TE CVA'!$X$42)*1</f>
        <v>-30.527386636715711</v>
      </c>
      <c r="V42" s="68">
        <f>('TE BE'!$Z$42+'TE BF'!$Z$42+'TE CVA'!$Z$42)*1</f>
        <v>1.9197097437074846</v>
      </c>
      <c r="X42" s="68">
        <v>2.1883211825711499</v>
      </c>
      <c r="Y42" s="68">
        <v>19.216372536201899</v>
      </c>
      <c r="Z42" s="68">
        <v>0</v>
      </c>
      <c r="AA42" s="68">
        <v>0</v>
      </c>
      <c r="AB42" s="68">
        <v>0</v>
      </c>
      <c r="AC42" s="68">
        <v>176.78057525231799</v>
      </c>
      <c r="AD42" s="68">
        <v>4.5933964279639801</v>
      </c>
      <c r="AE42" s="68">
        <v>4.0530247535498498</v>
      </c>
      <c r="AF42" s="68">
        <v>0</v>
      </c>
      <c r="AG42" s="68">
        <v>-19.0822373065946</v>
      </c>
      <c r="AH42" s="68">
        <v>1.2576901643113101</v>
      </c>
    </row>
    <row r="43" spans="1:34" ht="11.25" customHeight="1" x14ac:dyDescent="0.3">
      <c r="A43" s="143"/>
      <c r="B43" s="70" t="s">
        <v>94</v>
      </c>
      <c r="C43" s="70" t="s">
        <v>25</v>
      </c>
      <c r="D43" s="70" t="s">
        <v>25</v>
      </c>
      <c r="E43" s="70" t="s">
        <v>25</v>
      </c>
      <c r="F43" s="70" t="s">
        <v>25</v>
      </c>
      <c r="G43" s="71" t="s">
        <v>81</v>
      </c>
      <c r="H43" s="71" t="s">
        <v>76</v>
      </c>
      <c r="I43" s="71">
        <f>'MERCADO TE'!$U$40</f>
        <v>0</v>
      </c>
      <c r="J43" s="15"/>
      <c r="L43" s="68">
        <f>('TE BE'!$L$43+'TE BF'!$L$43+'TE CVA'!$L$43)*1</f>
        <v>2.3046199546073041</v>
      </c>
      <c r="M43" s="68">
        <f>('TE BE'!$M$43+'TE BF'!$M$43+'TE CVA'!$M$43)*1</f>
        <v>29.271943660549468</v>
      </c>
      <c r="N43" s="68">
        <f>('TE BE'!$N$43+'TE BF'!$N$43+'TE CVA'!$N$43)*1</f>
        <v>0</v>
      </c>
      <c r="O43" s="68">
        <f>('TE BE'!$O$43+'TE BF'!$O$43+'TE CVA'!$O$43)*1</f>
        <v>11.018019684329058</v>
      </c>
      <c r="P43" s="68">
        <f>('TE BE'!$P$43+'TE BF'!$P$43+'TE CVA'!$P$43)*1</f>
        <v>-15.232437747347818</v>
      </c>
      <c r="Q43" s="68">
        <f>('TE BE'!$R$43+'TE BF'!$R$43+'TE CVA'!$R$43)*1</f>
        <v>196.44029369345986</v>
      </c>
      <c r="R43" s="68">
        <f>('TE BE'!$T$43+'TE BF'!$T$43+'TE CVA'!$T$43)*1</f>
        <v>6.4477737609046741</v>
      </c>
      <c r="S43" s="68">
        <f>('TE BE'!$U$43+'TE BF'!$U$43+'TE CVA'!$U$43)*1</f>
        <v>3.8807625612001475</v>
      </c>
      <c r="T43" s="68">
        <f>('TE BE'!$V$43+'TE BF'!$V$43+'TE CVA'!$V$43)*1</f>
        <v>0</v>
      </c>
      <c r="U43" s="68">
        <f>('TE BE'!$X$43+'TE BF'!$X$43+'TE CVA'!$X$43)*1</f>
        <v>-30.527386636715711</v>
      </c>
      <c r="V43" s="68">
        <f>('TE BE'!$Z$43+'TE BF'!$Z$43+'TE CVA'!$Z$43)*1</f>
        <v>1.9197097437074846</v>
      </c>
      <c r="X43" s="68">
        <v>2.1883211825711499</v>
      </c>
      <c r="Y43" s="68">
        <v>19.216372536201899</v>
      </c>
      <c r="Z43" s="68">
        <v>0</v>
      </c>
      <c r="AA43" s="68">
        <v>0</v>
      </c>
      <c r="AB43" s="68">
        <v>0</v>
      </c>
      <c r="AC43" s="68">
        <v>176.78057525231799</v>
      </c>
      <c r="AD43" s="68">
        <v>4.5933964279639801</v>
      </c>
      <c r="AE43" s="68">
        <v>4.0530247535498498</v>
      </c>
      <c r="AF43" s="68">
        <v>0</v>
      </c>
      <c r="AG43" s="68">
        <v>-19.0822373065946</v>
      </c>
      <c r="AH43" s="68">
        <v>1.2576901643113101</v>
      </c>
    </row>
    <row r="44" spans="1:34" ht="11.25" customHeight="1" x14ac:dyDescent="0.3">
      <c r="A44" s="143" t="s">
        <v>45</v>
      </c>
      <c r="B44" s="143" t="s">
        <v>82</v>
      </c>
      <c r="C44" s="143" t="s">
        <v>46</v>
      </c>
      <c r="D44" s="70" t="s">
        <v>47</v>
      </c>
      <c r="E44" s="70" t="s">
        <v>25</v>
      </c>
      <c r="F44" s="70" t="s">
        <v>25</v>
      </c>
      <c r="G44" s="71" t="s">
        <v>81</v>
      </c>
      <c r="H44" s="71" t="s">
        <v>76</v>
      </c>
      <c r="I44" s="71">
        <f>'MERCADO TE'!$U$41</f>
        <v>4365.4290000000001</v>
      </c>
      <c r="J44" s="15"/>
      <c r="L44" s="68">
        <f>('TE BE'!$L$44+'TE BF'!$L$44+'TE CVA'!$L$44)*1</f>
        <v>1.2675409750340172</v>
      </c>
      <c r="M44" s="68">
        <f>('TE BE'!$M$44+'TE BF'!$M$44+'TE CVA'!$M$44)*1</f>
        <v>16.099569013302208</v>
      </c>
      <c r="N44" s="68">
        <f>('TE BE'!$N$44+'TE BF'!$N$44+'TE CVA'!$N$44)*1</f>
        <v>0</v>
      </c>
      <c r="O44" s="68">
        <f>('TE BE'!$O$44+'TE BF'!$O$44+'TE CVA'!$O$44)*1</f>
        <v>6.0599108263809818</v>
      </c>
      <c r="P44" s="68">
        <f>('TE BE'!$P$44+'TE BF'!$P$44+'TE CVA'!$P$44)*1</f>
        <v>-8.3778407610413002</v>
      </c>
      <c r="Q44" s="68">
        <f>('TE BE'!$R$44+'TE BF'!$R$44+'TE CVA'!$R$44)*1</f>
        <v>108.04216153140294</v>
      </c>
      <c r="R44" s="68">
        <f>('TE BE'!$T$44+'TE BF'!$T$44+'TE CVA'!$T$44)*1</f>
        <v>3.5462755684975709</v>
      </c>
      <c r="S44" s="68">
        <f>('TE BE'!$U$44+'TE BF'!$U$44+'TE CVA'!$U$44)*1</f>
        <v>2.1344194086600812</v>
      </c>
      <c r="T44" s="68">
        <f>('TE BE'!$V$44+'TE BF'!$V$44+'TE CVA'!$V$44)*1</f>
        <v>0</v>
      </c>
      <c r="U44" s="68">
        <f>('TE BE'!$X$44+'TE BF'!$X$44+'TE CVA'!$X$44)*1</f>
        <v>-16.790062650193644</v>
      </c>
      <c r="V44" s="68">
        <f>('TE BE'!$Z$44+'TE BF'!$Z$44+'TE CVA'!$Z$44)*1</f>
        <v>1.0558403590391165</v>
      </c>
      <c r="X44" s="68">
        <v>1.2035766504141301</v>
      </c>
      <c r="Y44" s="68">
        <v>10.5690048949111</v>
      </c>
      <c r="Z44" s="68">
        <v>0</v>
      </c>
      <c r="AA44" s="68">
        <v>0</v>
      </c>
      <c r="AB44" s="68">
        <v>0</v>
      </c>
      <c r="AC44" s="68">
        <v>97.229316388774905</v>
      </c>
      <c r="AD44" s="68">
        <v>2.5263680353801901</v>
      </c>
      <c r="AE44" s="68">
        <v>2.2291636144524198</v>
      </c>
      <c r="AF44" s="68">
        <v>0</v>
      </c>
      <c r="AG44" s="68">
        <v>-10.495230518627</v>
      </c>
      <c r="AH44" s="68">
        <v>0.69172959037121995</v>
      </c>
    </row>
    <row r="45" spans="1:34" ht="11.25" customHeight="1" x14ac:dyDescent="0.3">
      <c r="A45" s="143"/>
      <c r="B45" s="143"/>
      <c r="C45" s="143"/>
      <c r="D45" s="71" t="s">
        <v>98</v>
      </c>
      <c r="E45" s="71" t="s">
        <v>25</v>
      </c>
      <c r="F45" s="71" t="s">
        <v>25</v>
      </c>
      <c r="G45" s="71" t="s">
        <v>81</v>
      </c>
      <c r="H45" s="71" t="s">
        <v>76</v>
      </c>
      <c r="I45" s="71">
        <f>'MERCADO TE'!$U$42</f>
        <v>0</v>
      </c>
      <c r="J45" s="15"/>
      <c r="L45" s="68">
        <f>('TE BE'!$L$45+'TE BF'!$L$45+'TE CVA'!$L$45)*1</f>
        <v>1.3827719727643824</v>
      </c>
      <c r="M45" s="68">
        <f>('TE BE'!$M$45+'TE BF'!$M$45+'TE CVA'!$M$45)*1</f>
        <v>17.563166196329679</v>
      </c>
      <c r="N45" s="68">
        <f>('TE BE'!$N$45+'TE BF'!$N$45+'TE CVA'!$N$45)*1</f>
        <v>0</v>
      </c>
      <c r="O45" s="68">
        <f>('TE BE'!$O$45+'TE BF'!$O$45+'TE CVA'!$O$45)*1</f>
        <v>6.6108118105974336</v>
      </c>
      <c r="P45" s="68">
        <f>('TE BE'!$P$45+'TE BF'!$P$45+'TE CVA'!$P$45)*1</f>
        <v>-9.1394626484086903</v>
      </c>
      <c r="Q45" s="68">
        <f>('TE BE'!$R$45+'TE BF'!$R$45+'TE CVA'!$R$45)*1</f>
        <v>117.86417621607592</v>
      </c>
      <c r="R45" s="68">
        <f>('TE BE'!$T$45+'TE BF'!$T$45+'TE CVA'!$T$45)*1</f>
        <v>3.8686642565428038</v>
      </c>
      <c r="S45" s="68">
        <f>('TE BE'!$U$45+'TE BF'!$U$45+'TE CVA'!$U$45)*1</f>
        <v>2.3284575367200886</v>
      </c>
      <c r="T45" s="68">
        <f>('TE BE'!$V$45+'TE BF'!$V$45+'TE CVA'!$V$45)*1</f>
        <v>0</v>
      </c>
      <c r="U45" s="68">
        <f>('TE BE'!$X$45+'TE BF'!$X$45+'TE CVA'!$X$45)*1</f>
        <v>-18.316431982029428</v>
      </c>
      <c r="V45" s="68">
        <f>('TE BE'!$Z$45+'TE BF'!$Z$45+'TE CVA'!$Z$45)*1</f>
        <v>1.1518258462244908</v>
      </c>
      <c r="X45" s="68">
        <v>1.3129927095426901</v>
      </c>
      <c r="Y45" s="68">
        <v>11.5298235217212</v>
      </c>
      <c r="Z45" s="68">
        <v>0</v>
      </c>
      <c r="AA45" s="68">
        <v>0</v>
      </c>
      <c r="AB45" s="68">
        <v>0</v>
      </c>
      <c r="AC45" s="68">
        <v>106.068345151391</v>
      </c>
      <c r="AD45" s="68">
        <v>2.7560378567783901</v>
      </c>
      <c r="AE45" s="68">
        <v>2.4318148521299099</v>
      </c>
      <c r="AF45" s="68">
        <v>0</v>
      </c>
      <c r="AG45" s="68">
        <v>-11.4493423839568</v>
      </c>
      <c r="AH45" s="68">
        <v>0.75461409858678596</v>
      </c>
    </row>
    <row r="47" spans="1:34" ht="11.25" customHeight="1" x14ac:dyDescent="0.3">
      <c r="L47" s="140" t="s">
        <v>1061</v>
      </c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X47" s="140" t="s">
        <v>1062</v>
      </c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</row>
    <row r="48" spans="1:34" ht="11.25" customHeight="1" x14ac:dyDescent="0.3">
      <c r="L48" s="140" t="s">
        <v>638</v>
      </c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X48" s="140" t="s">
        <v>638</v>
      </c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</row>
    <row r="49" spans="1:34" ht="11.25" customHeight="1" x14ac:dyDescent="0.3">
      <c r="L49" s="140" t="s">
        <v>611</v>
      </c>
      <c r="M49" s="140"/>
      <c r="N49" s="140"/>
      <c r="O49" s="140"/>
      <c r="P49" s="140"/>
      <c r="Q49" s="72" t="s">
        <v>642</v>
      </c>
      <c r="R49" s="140" t="s">
        <v>620</v>
      </c>
      <c r="S49" s="140"/>
      <c r="T49" s="140"/>
      <c r="U49" s="72" t="s">
        <v>630</v>
      </c>
      <c r="V49" s="72" t="s">
        <v>633</v>
      </c>
      <c r="X49" s="140" t="s">
        <v>611</v>
      </c>
      <c r="Y49" s="140"/>
      <c r="Z49" s="140"/>
      <c r="AA49" s="140"/>
      <c r="AB49" s="140"/>
      <c r="AC49" s="72" t="s">
        <v>642</v>
      </c>
      <c r="AD49" s="140" t="s">
        <v>620</v>
      </c>
      <c r="AE49" s="140"/>
      <c r="AF49" s="140"/>
      <c r="AG49" s="72" t="s">
        <v>630</v>
      </c>
      <c r="AH49" s="72" t="s">
        <v>633</v>
      </c>
    </row>
    <row r="50" spans="1:34" ht="11.25" customHeight="1" x14ac:dyDescent="0.3">
      <c r="L50" s="72" t="s">
        <v>613</v>
      </c>
      <c r="M50" s="72" t="s">
        <v>639</v>
      </c>
      <c r="N50" s="72" t="s">
        <v>640</v>
      </c>
      <c r="O50" s="72" t="s">
        <v>699</v>
      </c>
      <c r="P50" s="72" t="s">
        <v>641</v>
      </c>
      <c r="Q50" s="72" t="s">
        <v>643</v>
      </c>
      <c r="R50" s="72" t="s">
        <v>644</v>
      </c>
      <c r="S50" s="72" t="s">
        <v>645</v>
      </c>
      <c r="T50" s="72" t="s">
        <v>646</v>
      </c>
      <c r="U50" s="72" t="s">
        <v>631</v>
      </c>
      <c r="V50" s="72" t="s">
        <v>647</v>
      </c>
      <c r="X50" s="72" t="s">
        <v>613</v>
      </c>
      <c r="Y50" s="72" t="s">
        <v>639</v>
      </c>
      <c r="Z50" s="72" t="s">
        <v>640</v>
      </c>
      <c r="AA50" s="72" t="s">
        <v>699</v>
      </c>
      <c r="AB50" s="72" t="s">
        <v>641</v>
      </c>
      <c r="AC50" s="72" t="s">
        <v>643</v>
      </c>
      <c r="AD50" s="72" t="s">
        <v>644</v>
      </c>
      <c r="AE50" s="72" t="s">
        <v>645</v>
      </c>
      <c r="AF50" s="72" t="s">
        <v>646</v>
      </c>
      <c r="AG50" s="72" t="s">
        <v>631</v>
      </c>
      <c r="AH50" s="72" t="s">
        <v>647</v>
      </c>
    </row>
    <row r="51" spans="1:34" ht="11.25" customHeight="1" x14ac:dyDescent="0.3">
      <c r="A51" s="9" t="s">
        <v>39</v>
      </c>
      <c r="B51" s="9" t="s">
        <v>1063</v>
      </c>
      <c r="C51" s="9" t="s">
        <v>1064</v>
      </c>
      <c r="D51" s="9" t="s">
        <v>1065</v>
      </c>
      <c r="E51" s="9" t="s">
        <v>1066</v>
      </c>
      <c r="F51" s="9" t="s">
        <v>1067</v>
      </c>
      <c r="G51" s="9" t="s">
        <v>1068</v>
      </c>
      <c r="L51" s="68">
        <f>$I$5*$L$5</f>
        <v>1221.4278343622796</v>
      </c>
      <c r="M51" s="68">
        <f>$I$5*$M$5</f>
        <v>15513.866692598272</v>
      </c>
      <c r="N51" s="68">
        <f>$I$5*$N$5</f>
        <v>0</v>
      </c>
      <c r="O51" s="68">
        <f>$I$5*$O$5</f>
        <v>5839.4512705172419</v>
      </c>
      <c r="P51" s="68">
        <f>$I$5*$P$5</f>
        <v>-8073.0549141546171</v>
      </c>
      <c r="Q51" s="68">
        <f>$I$5*$Q$5</f>
        <v>168935.78380680343</v>
      </c>
      <c r="R51" s="68">
        <f>$I$5*$R$5</f>
        <v>3417.2620633156289</v>
      </c>
      <c r="S51" s="68">
        <f>$I$5*$S$5</f>
        <v>2056.7692305730275</v>
      </c>
      <c r="T51" s="68">
        <f>$I$5*$T$5</f>
        <v>0</v>
      </c>
      <c r="U51" s="68">
        <f>$I$5*$U$5</f>
        <v>-24883.489328261247</v>
      </c>
      <c r="V51" s="68">
        <f>$I$5*$V$5</f>
        <v>1017.4288867772734</v>
      </c>
      <c r="X51" s="68">
        <f>$I$5*$X$5</f>
        <v>1159.7905318720664</v>
      </c>
      <c r="Y51" s="68">
        <f>$I$5*$Y$5</f>
        <v>10184.504496834181</v>
      </c>
      <c r="Z51" s="68">
        <f>$I$5*$Z$5</f>
        <v>0</v>
      </c>
      <c r="AA51" s="68">
        <f>$I$5*$AA$5</f>
        <v>0</v>
      </c>
      <c r="AB51" s="68">
        <f>$I$5*$AB$5</f>
        <v>0</v>
      </c>
      <c r="AC51" s="68">
        <f>$I$5*$AC$5</f>
        <v>152028.71305349807</v>
      </c>
      <c r="AD51" s="68">
        <f>$I$5*$AD$5</f>
        <v>2434.4587662530575</v>
      </c>
      <c r="AE51" s="68">
        <f>$I$5*$AE$5</f>
        <v>2148.0666421586384</v>
      </c>
      <c r="AF51" s="68">
        <f>$I$5*$AF$5</f>
        <v>0</v>
      </c>
      <c r="AG51" s="68">
        <f>$I$5*$AG$5</f>
        <v>-15553.55535948069</v>
      </c>
      <c r="AH51" s="68">
        <f>$I$5*$AH$5</f>
        <v>666.56446787351558</v>
      </c>
    </row>
    <row r="52" spans="1:34" ht="11.25" customHeight="1" x14ac:dyDescent="0.3">
      <c r="A52" s="9" t="s">
        <v>39</v>
      </c>
      <c r="B52" s="9" t="s">
        <v>1063</v>
      </c>
      <c r="C52" s="9" t="s">
        <v>1064</v>
      </c>
      <c r="D52" s="9" t="s">
        <v>1065</v>
      </c>
      <c r="E52" s="9" t="s">
        <v>1066</v>
      </c>
      <c r="F52" s="9" t="s">
        <v>1067</v>
      </c>
      <c r="G52" s="9" t="s">
        <v>1069</v>
      </c>
      <c r="L52" s="68">
        <f>$I$6*$L$6</f>
        <v>25212.035287013889</v>
      </c>
      <c r="M52" s="68">
        <f>$I$6*$M$6</f>
        <v>320228.62381880585</v>
      </c>
      <c r="N52" s="68">
        <f>$I$6*$N$6</f>
        <v>0</v>
      </c>
      <c r="O52" s="68">
        <f>$I$6*$O$6</f>
        <v>120534.71138222933</v>
      </c>
      <c r="P52" s="68">
        <f>$I$6*$P$6</f>
        <v>-166639.51781968071</v>
      </c>
      <c r="Q52" s="68">
        <f>$I$6*$Q$6</f>
        <v>2027371.3171149418</v>
      </c>
      <c r="R52" s="68">
        <f>$I$6*$R$6</f>
        <v>70537.226434069729</v>
      </c>
      <c r="S52" s="68">
        <f>$I$6*$S$6</f>
        <v>42454.688651766148</v>
      </c>
      <c r="T52" s="68">
        <f>$I$6*$T$6</f>
        <v>0</v>
      </c>
      <c r="U52" s="68">
        <f>$I$6*$U$6</f>
        <v>-317629.41387317283</v>
      </c>
      <c r="V52" s="68">
        <f>$I$6*$V$6</f>
        <v>21001.202260016264</v>
      </c>
      <c r="X52" s="68">
        <f>$I$6*$X$6</f>
        <v>23939.752306668212</v>
      </c>
      <c r="Y52" s="68">
        <f>$I$6*$Y$6</f>
        <v>210222.88794409079</v>
      </c>
      <c r="Z52" s="68">
        <f>$I$6*$Z$6</f>
        <v>0</v>
      </c>
      <c r="AA52" s="68">
        <f>$I$6*$AA$6</f>
        <v>0</v>
      </c>
      <c r="AB52" s="68">
        <f>$I$6*$AB$6</f>
        <v>0</v>
      </c>
      <c r="AC52" s="68">
        <f>$I$6*$AC$6</f>
        <v>1824472.265597923</v>
      </c>
      <c r="AD52" s="68">
        <f>$I$6*$AD$6</f>
        <v>50250.746374711787</v>
      </c>
      <c r="AE52" s="68">
        <f>$I$6*$AE$6</f>
        <v>44339.199138389573</v>
      </c>
      <c r="AF52" s="68">
        <f>$I$6*$AF$6</f>
        <v>0</v>
      </c>
      <c r="AG52" s="68">
        <f>$I$6*$AG$6</f>
        <v>-198547.08011414911</v>
      </c>
      <c r="AH52" s="68">
        <f>$I$6*$AH$6</f>
        <v>13758.853705729582</v>
      </c>
    </row>
    <row r="53" spans="1:34" ht="11.25" customHeight="1" x14ac:dyDescent="0.3">
      <c r="A53" s="9" t="s">
        <v>39</v>
      </c>
      <c r="B53" s="9" t="s">
        <v>1070</v>
      </c>
      <c r="C53" s="9" t="s">
        <v>1071</v>
      </c>
      <c r="D53" s="9" t="s">
        <v>1072</v>
      </c>
      <c r="E53" s="9" t="s">
        <v>1073</v>
      </c>
      <c r="F53" s="9" t="s">
        <v>1074</v>
      </c>
      <c r="G53" s="9" t="s">
        <v>1075</v>
      </c>
      <c r="L53" s="68">
        <f>$I$7*$L$7</f>
        <v>0</v>
      </c>
      <c r="M53" s="68">
        <f>$I$7*$M$7</f>
        <v>0</v>
      </c>
      <c r="N53" s="68">
        <f>$I$7*$N$7</f>
        <v>0</v>
      </c>
      <c r="O53" s="68">
        <f>$I$7*$O$7</f>
        <v>0</v>
      </c>
      <c r="P53" s="68">
        <f>$I$7*$P$7</f>
        <v>0</v>
      </c>
      <c r="Q53" s="68">
        <f>$I$7*$Q$7</f>
        <v>0</v>
      </c>
      <c r="R53" s="68">
        <f>$I$7*$R$7</f>
        <v>0</v>
      </c>
      <c r="S53" s="68">
        <f>$I$7*$S$7</f>
        <v>0</v>
      </c>
      <c r="T53" s="68">
        <f>$I$7*$T$7</f>
        <v>0</v>
      </c>
      <c r="U53" s="68">
        <f>$I$7*$U$7</f>
        <v>0</v>
      </c>
      <c r="V53" s="68">
        <f>$I$7*$V$7</f>
        <v>0</v>
      </c>
      <c r="X53" s="68">
        <f>$I$7*$X$7</f>
        <v>0</v>
      </c>
      <c r="Y53" s="68">
        <f>$I$7*$Y$7</f>
        <v>0</v>
      </c>
      <c r="Z53" s="68">
        <f>$I$7*$Z$7</f>
        <v>0</v>
      </c>
      <c r="AA53" s="68">
        <f>$I$7*$AA$7</f>
        <v>0</v>
      </c>
      <c r="AB53" s="68">
        <f>$I$7*$AB$7</f>
        <v>0</v>
      </c>
      <c r="AC53" s="68">
        <f>$I$7*$AC$7</f>
        <v>0</v>
      </c>
      <c r="AD53" s="68">
        <f>$I$7*$AD$7</f>
        <v>0</v>
      </c>
      <c r="AE53" s="68">
        <f>$I$7*$AE$7</f>
        <v>0</v>
      </c>
      <c r="AF53" s="68">
        <f>$I$7*$AF$7</f>
        <v>0</v>
      </c>
      <c r="AG53" s="68">
        <f>$I$7*$AG$7</f>
        <v>0</v>
      </c>
      <c r="AH53" s="68">
        <f>$I$7*$AH$7</f>
        <v>0</v>
      </c>
    </row>
    <row r="54" spans="1:34" ht="11.25" customHeight="1" x14ac:dyDescent="0.3">
      <c r="A54" s="9" t="s">
        <v>39</v>
      </c>
      <c r="B54" s="9" t="s">
        <v>1076</v>
      </c>
      <c r="C54" s="9" t="s">
        <v>1077</v>
      </c>
      <c r="D54" s="9" t="s">
        <v>1078</v>
      </c>
      <c r="E54" s="9" t="s">
        <v>1079</v>
      </c>
      <c r="F54" s="9" t="s">
        <v>1080</v>
      </c>
      <c r="G54" s="9" t="s">
        <v>1081</v>
      </c>
      <c r="L54" s="68">
        <f>$I$8*$L$8</f>
        <v>0</v>
      </c>
      <c r="M54" s="68">
        <f>$I$8*$M$8</f>
        <v>0</v>
      </c>
      <c r="N54" s="68">
        <f>$I$8*$N$8</f>
        <v>0</v>
      </c>
      <c r="O54" s="68">
        <f>$I$8*$O$8</f>
        <v>0</v>
      </c>
      <c r="P54" s="68">
        <f>$I$8*$P$8</f>
        <v>0</v>
      </c>
      <c r="Q54" s="68">
        <f>$I$8*$Q$8</f>
        <v>0</v>
      </c>
      <c r="R54" s="68">
        <f>$I$8*$R$8</f>
        <v>0</v>
      </c>
      <c r="S54" s="68">
        <f>$I$8*$S$8</f>
        <v>0</v>
      </c>
      <c r="T54" s="68">
        <f>$I$8*$T$8</f>
        <v>0</v>
      </c>
      <c r="U54" s="68">
        <f>$I$8*$U$8</f>
        <v>0</v>
      </c>
      <c r="V54" s="68">
        <f>$I$8*$V$8</f>
        <v>0</v>
      </c>
      <c r="X54" s="68">
        <f>$I$8*$X$8</f>
        <v>0</v>
      </c>
      <c r="Y54" s="68">
        <f>$I$8*$Y$8</f>
        <v>0</v>
      </c>
      <c r="Z54" s="68">
        <f>$I$8*$Z$8</f>
        <v>0</v>
      </c>
      <c r="AA54" s="68">
        <f>$I$8*$AA$8</f>
        <v>0</v>
      </c>
      <c r="AB54" s="68">
        <f>$I$8*$AB$8</f>
        <v>0</v>
      </c>
      <c r="AC54" s="68">
        <f>$I$8*$AC$8</f>
        <v>0</v>
      </c>
      <c r="AD54" s="68">
        <f>$I$8*$AD$8</f>
        <v>0</v>
      </c>
      <c r="AE54" s="68">
        <f>$I$8*$AE$8</f>
        <v>0</v>
      </c>
      <c r="AF54" s="68">
        <f>$I$8*$AF$8</f>
        <v>0</v>
      </c>
      <c r="AG54" s="68">
        <f>$I$8*$AG$8</f>
        <v>0</v>
      </c>
      <c r="AH54" s="68">
        <f>$I$8*$AH$8</f>
        <v>0</v>
      </c>
    </row>
    <row r="55" spans="1:34" ht="11.25" customHeight="1" x14ac:dyDescent="0.3">
      <c r="A55" s="9" t="s">
        <v>39</v>
      </c>
      <c r="B55" s="9" t="s">
        <v>1082</v>
      </c>
      <c r="C55" s="9" t="s">
        <v>1083</v>
      </c>
      <c r="D55" s="9" t="s">
        <v>1084</v>
      </c>
      <c r="E55" s="9" t="s">
        <v>1085</v>
      </c>
      <c r="F55" s="9" t="s">
        <v>1086</v>
      </c>
      <c r="G55" s="9" t="s">
        <v>1087</v>
      </c>
      <c r="L55" s="68">
        <f>$I$9*$L$9</f>
        <v>12650.264042015451</v>
      </c>
      <c r="M55" s="68">
        <f>$I$9*$M$9</f>
        <v>160676.30395574181</v>
      </c>
      <c r="N55" s="68">
        <f>$I$9*$N$9</f>
        <v>0</v>
      </c>
      <c r="O55" s="68">
        <f>$I$9*$O$9</f>
        <v>60478.890651034082</v>
      </c>
      <c r="P55" s="68">
        <f>$I$9*$P$9</f>
        <v>-83612.206482151683</v>
      </c>
      <c r="Q55" s="68">
        <f>$I$9*$Q$9</f>
        <v>1065379.5498761255</v>
      </c>
      <c r="R55" s="68">
        <f>$I$9*$R$9</f>
        <v>35392.404025470474</v>
      </c>
      <c r="S55" s="68">
        <f>$I$9*$S$9</f>
        <v>21301.851086295555</v>
      </c>
      <c r="T55" s="68">
        <f>$I$9*$T$9</f>
        <v>0</v>
      </c>
      <c r="U55" s="68">
        <f>$I$9*$U$9</f>
        <v>0</v>
      </c>
      <c r="V55" s="68">
        <f>$I$9*$V$9</f>
        <v>10537.457637377573</v>
      </c>
      <c r="X55" s="68">
        <f>$I$9*$X$9</f>
        <v>12011.889731718291</v>
      </c>
      <c r="Y55" s="68">
        <f>$I$9*$Y$9</f>
        <v>105480.37910836794</v>
      </c>
      <c r="Z55" s="68">
        <f>$I$9*$Z$9</f>
        <v>0</v>
      </c>
      <c r="AA55" s="68">
        <f>$I$9*$AA$9</f>
        <v>0</v>
      </c>
      <c r="AB55" s="68">
        <f>$I$9*$AB$9</f>
        <v>0</v>
      </c>
      <c r="AC55" s="68">
        <f>$I$9*$AC$9</f>
        <v>958531.47454646952</v>
      </c>
      <c r="AD55" s="68">
        <f>$I$9*$AD$9</f>
        <v>25213.561805376376</v>
      </c>
      <c r="AE55" s="68">
        <f>$I$9*$AE$9</f>
        <v>22247.413591438191</v>
      </c>
      <c r="AF55" s="68">
        <f>$I$9*$AF$9</f>
        <v>0</v>
      </c>
      <c r="AG55" s="68">
        <f>$I$9*$AG$9</f>
        <v>0</v>
      </c>
      <c r="AH55" s="68">
        <f>$I$9*$AH$9</f>
        <v>6903.5732463294044</v>
      </c>
    </row>
    <row r="56" spans="1:34" ht="11.25" customHeight="1" x14ac:dyDescent="0.3">
      <c r="A56" s="9" t="s">
        <v>39</v>
      </c>
      <c r="B56" s="9" t="s">
        <v>1070</v>
      </c>
      <c r="C56" s="9" t="s">
        <v>1071</v>
      </c>
      <c r="D56" s="9" t="s">
        <v>1072</v>
      </c>
      <c r="E56" s="9" t="s">
        <v>1088</v>
      </c>
      <c r="F56" s="9" t="s">
        <v>1089</v>
      </c>
      <c r="G56" s="9" t="s">
        <v>1090</v>
      </c>
      <c r="L56" s="68">
        <f>$I$10*$L$10</f>
        <v>0</v>
      </c>
      <c r="M56" s="68">
        <f>$I$10*$M$10</f>
        <v>0</v>
      </c>
      <c r="N56" s="68">
        <f>$I$10*$N$10</f>
        <v>0</v>
      </c>
      <c r="O56" s="68">
        <f>$I$10*$O$10</f>
        <v>0</v>
      </c>
      <c r="P56" s="68">
        <f>$I$10*$P$10</f>
        <v>0</v>
      </c>
      <c r="Q56" s="68">
        <f>$I$10*$Q$10</f>
        <v>0</v>
      </c>
      <c r="R56" s="68">
        <f>$I$10*$R$10</f>
        <v>0</v>
      </c>
      <c r="S56" s="68">
        <f>$I$10*$S$10</f>
        <v>0</v>
      </c>
      <c r="T56" s="68">
        <f>$I$10*$T$10</f>
        <v>0</v>
      </c>
      <c r="U56" s="68">
        <f>$I$10*$U$10</f>
        <v>0</v>
      </c>
      <c r="V56" s="68">
        <f>$I$10*$V$10</f>
        <v>0</v>
      </c>
      <c r="X56" s="68">
        <f>$I$10*$X$10</f>
        <v>0</v>
      </c>
      <c r="Y56" s="68">
        <f>$I$10*$Y$10</f>
        <v>0</v>
      </c>
      <c r="Z56" s="68">
        <f>$I$10*$Z$10</f>
        <v>0</v>
      </c>
      <c r="AA56" s="68">
        <f>$I$10*$AA$10</f>
        <v>0</v>
      </c>
      <c r="AB56" s="68">
        <f>$I$10*$AB$10</f>
        <v>0</v>
      </c>
      <c r="AC56" s="68">
        <f>$I$10*$AC$10</f>
        <v>0</v>
      </c>
      <c r="AD56" s="68">
        <f>$I$10*$AD$10</f>
        <v>0</v>
      </c>
      <c r="AE56" s="68">
        <f>$I$10*$AE$10</f>
        <v>0</v>
      </c>
      <c r="AF56" s="68">
        <f>$I$10*$AF$10</f>
        <v>0</v>
      </c>
      <c r="AG56" s="68">
        <f>$I$10*$AG$10</f>
        <v>0</v>
      </c>
      <c r="AH56" s="68">
        <f>$I$10*$AH$10</f>
        <v>0</v>
      </c>
    </row>
    <row r="57" spans="1:34" ht="11.25" customHeight="1" x14ac:dyDescent="0.3">
      <c r="A57" s="9" t="s">
        <v>22</v>
      </c>
      <c r="B57" s="9" t="s">
        <v>1091</v>
      </c>
      <c r="C57" s="9" t="s">
        <v>1092</v>
      </c>
      <c r="D57" s="9" t="s">
        <v>1093</v>
      </c>
      <c r="E57" s="9" t="s">
        <v>1094</v>
      </c>
      <c r="F57" s="9" t="s">
        <v>1095</v>
      </c>
      <c r="G57" s="9" t="s">
        <v>1096</v>
      </c>
      <c r="L57" s="68">
        <f>$I$11*$L$11</f>
        <v>1.5855785287698256</v>
      </c>
      <c r="M57" s="68">
        <f>$I$11*$M$11</f>
        <v>20.139097238458039</v>
      </c>
      <c r="N57" s="68">
        <f>$I$11*$N$11</f>
        <v>0</v>
      </c>
      <c r="O57" s="68">
        <f>$I$11*$O$11</f>
        <v>7.5803975428183934</v>
      </c>
      <c r="P57" s="68">
        <f>$I$11*$P$11</f>
        <v>-10.479917170175302</v>
      </c>
      <c r="Q57" s="68">
        <f>$I$11*$Q$11</f>
        <v>219.30149617461578</v>
      </c>
      <c r="R57" s="68">
        <f>$I$11*$R$11</f>
        <v>4.4360683475024167</v>
      </c>
      <c r="S57" s="68">
        <f>$I$11*$S$11</f>
        <v>2.6699646421057022</v>
      </c>
      <c r="T57" s="68">
        <f>$I$11*$T$11</f>
        <v>0</v>
      </c>
      <c r="U57" s="68">
        <f>$I$11*$U$11</f>
        <v>-32.302134673690198</v>
      </c>
      <c r="V57" s="68">
        <f>$I$11*$V$11</f>
        <v>1.3207603036707498</v>
      </c>
      <c r="X57" s="68">
        <f>$I$11*$X$11</f>
        <v>1.5055649736089516</v>
      </c>
      <c r="Y57" s="68">
        <f>$I$11*$Y$11</f>
        <v>13.220864304906909</v>
      </c>
      <c r="Z57" s="68">
        <f>$I$11*$Z$11</f>
        <v>0</v>
      </c>
      <c r="AA57" s="68">
        <f>$I$11*$AA$11</f>
        <v>0</v>
      </c>
      <c r="AB57" s="68">
        <f>$I$11*$AB$11</f>
        <v>0</v>
      </c>
      <c r="AC57" s="68">
        <f>$I$11*$AC$11</f>
        <v>197.35383163262526</v>
      </c>
      <c r="AD57" s="68">
        <f>$I$11*$AD$11</f>
        <v>3.1602567424392189</v>
      </c>
      <c r="AE57" s="68">
        <f>$I$11*$AE$11</f>
        <v>2.7884810304422976</v>
      </c>
      <c r="AF57" s="68">
        <f>$I$11*$AF$11</f>
        <v>0</v>
      </c>
      <c r="AG57" s="68">
        <f>$I$11*$AG$11</f>
        <v>-20.190618496017326</v>
      </c>
      <c r="AH57" s="68">
        <f>$I$11*$AH$11</f>
        <v>0.8652908330461816</v>
      </c>
    </row>
    <row r="58" spans="1:34" ht="11.25" customHeight="1" x14ac:dyDescent="0.3">
      <c r="A58" s="9" t="s">
        <v>22</v>
      </c>
      <c r="B58" s="9" t="s">
        <v>1091</v>
      </c>
      <c r="C58" s="9" t="s">
        <v>1092</v>
      </c>
      <c r="D58" s="9" t="s">
        <v>1093</v>
      </c>
      <c r="E58" s="9" t="s">
        <v>1094</v>
      </c>
      <c r="F58" s="9" t="s">
        <v>1095</v>
      </c>
      <c r="G58" s="9" t="s">
        <v>1097</v>
      </c>
      <c r="L58" s="68">
        <f>$I$12*$L$12</f>
        <v>1.06012517911936</v>
      </c>
      <c r="M58" s="68">
        <f>$I$12*$M$12</f>
        <v>13.465094083852756</v>
      </c>
      <c r="N58" s="68">
        <f>$I$12*$N$12</f>
        <v>0</v>
      </c>
      <c r="O58" s="68">
        <f>$I$12*$O$12</f>
        <v>5.068289054791367</v>
      </c>
      <c r="P58" s="68">
        <f>$I$12*$P$12</f>
        <v>-7.0069213637799965</v>
      </c>
      <c r="Q58" s="68">
        <f>$I$12*$Q$12</f>
        <v>85.247674621690138</v>
      </c>
      <c r="R58" s="68">
        <f>$I$12*$R$12</f>
        <v>2.9659759300161501</v>
      </c>
      <c r="S58" s="68">
        <f>$I$12*$S$12</f>
        <v>1.7851507781520679</v>
      </c>
      <c r="T58" s="68">
        <f>$I$12*$T$12</f>
        <v>0</v>
      </c>
      <c r="U58" s="68">
        <f>$I$12*$U$12</f>
        <v>-13.355801522668601</v>
      </c>
      <c r="V58" s="68">
        <f>$I$12*$V$12</f>
        <v>0.88306648210544292</v>
      </c>
      <c r="X58" s="68">
        <f>$I$12*$X$12</f>
        <v>1.0066277439827289</v>
      </c>
      <c r="Y58" s="68">
        <f>$I$12*$Y$12</f>
        <v>8.8395313666528743</v>
      </c>
      <c r="Z58" s="68">
        <f>$I$12*$Z$12</f>
        <v>0</v>
      </c>
      <c r="AA58" s="68">
        <f>$I$12*$AA$12</f>
        <v>0</v>
      </c>
      <c r="AB58" s="68">
        <f>$I$12*$AB$12</f>
        <v>0</v>
      </c>
      <c r="AC58" s="68">
        <f>$I$12*$AC$12</f>
        <v>76.716098694401964</v>
      </c>
      <c r="AD58" s="68">
        <f>$I$12*$AD$12</f>
        <v>2.1129623568634308</v>
      </c>
      <c r="AE58" s="68">
        <f>$I$12*$AE$12</f>
        <v>1.8643913866329309</v>
      </c>
      <c r="AF58" s="68">
        <f>$I$12*$AF$12</f>
        <v>0</v>
      </c>
      <c r="AG58" s="68">
        <f>$I$12*$AG$12</f>
        <v>-8.3485825905556243</v>
      </c>
      <c r="AH58" s="68">
        <f>$I$12*$AH$12</f>
        <v>0.57853747558320268</v>
      </c>
    </row>
    <row r="59" spans="1:34" ht="11.25" customHeight="1" x14ac:dyDescent="0.3">
      <c r="A59" s="9" t="s">
        <v>22</v>
      </c>
      <c r="B59" s="9" t="s">
        <v>1091</v>
      </c>
      <c r="C59" s="9" t="s">
        <v>1092</v>
      </c>
      <c r="D59" s="9" t="s">
        <v>1093</v>
      </c>
      <c r="E59" s="9" t="s">
        <v>1094</v>
      </c>
      <c r="F59" s="9" t="s">
        <v>1095</v>
      </c>
      <c r="G59" s="9" t="s">
        <v>1098</v>
      </c>
      <c r="L59" s="68">
        <f>$I$13*$L$13</f>
        <v>13.101764441942525</v>
      </c>
      <c r="M59" s="68">
        <f>$I$13*$M$13</f>
        <v>166.41099971022373</v>
      </c>
      <c r="N59" s="68">
        <f>$I$13*$N$13</f>
        <v>0</v>
      </c>
      <c r="O59" s="68">
        <f>$I$13*$O$13</f>
        <v>62.637441905410704</v>
      </c>
      <c r="P59" s="68">
        <f>$I$13*$P$13</f>
        <v>-86.596408593672351</v>
      </c>
      <c r="Q59" s="68">
        <f>$I$13*$Q$13</f>
        <v>1053.5500657050184</v>
      </c>
      <c r="R59" s="68">
        <f>$I$13*$R$13</f>
        <v>36.655593830743072</v>
      </c>
      <c r="S59" s="68">
        <f>$I$13*$S$13</f>
        <v>22.062135160422841</v>
      </c>
      <c r="T59" s="68">
        <f>$I$13*$T$13</f>
        <v>0</v>
      </c>
      <c r="U59" s="68">
        <f>$I$13*$U$13</f>
        <v>-165.06028620950218</v>
      </c>
      <c r="V59" s="68">
        <f>$I$13*$V$13</f>
        <v>10.91354989297705</v>
      </c>
      <c r="X59" s="68">
        <f>$I$13*$X$13</f>
        <v>12.440605922916989</v>
      </c>
      <c r="Y59" s="68">
        <f>$I$13*$Y$13</f>
        <v>109.2450778683078</v>
      </c>
      <c r="Z59" s="68">
        <f>$I$13*$Z$13</f>
        <v>0</v>
      </c>
      <c r="AA59" s="68">
        <f>$I$13*$AA$13</f>
        <v>0</v>
      </c>
      <c r="AB59" s="68">
        <f>$I$13*$AB$13</f>
        <v>0</v>
      </c>
      <c r="AC59" s="68">
        <f>$I$13*$AC$13</f>
        <v>948.11091538625044</v>
      </c>
      <c r="AD59" s="68">
        <f>$I$13*$AD$13</f>
        <v>26.113458692975229</v>
      </c>
      <c r="AE59" s="68">
        <f>$I$13*$AE$13</f>
        <v>23.041445723930899</v>
      </c>
      <c r="AF59" s="68">
        <f>$I$13*$AF$13</f>
        <v>0</v>
      </c>
      <c r="AG59" s="68">
        <f>$I$13*$AG$13</f>
        <v>-103.17759136371463</v>
      </c>
      <c r="AH59" s="68">
        <f>$I$13*$AH$13</f>
        <v>7.1499685841097982</v>
      </c>
    </row>
    <row r="60" spans="1:34" ht="11.25" customHeight="1" x14ac:dyDescent="0.3">
      <c r="A60" s="9" t="s">
        <v>22</v>
      </c>
      <c r="B60" s="9" t="s">
        <v>1099</v>
      </c>
      <c r="C60" s="9" t="s">
        <v>1100</v>
      </c>
      <c r="D60" s="9" t="s">
        <v>1101</v>
      </c>
      <c r="E60" s="9" t="s">
        <v>1102</v>
      </c>
      <c r="F60" s="9" t="s">
        <v>1103</v>
      </c>
      <c r="G60" s="9" t="s">
        <v>1104</v>
      </c>
      <c r="L60" s="68">
        <f>$I$14*$L$14</f>
        <v>47177.116870801059</v>
      </c>
      <c r="M60" s="68">
        <f>$I$14*$M$14</f>
        <v>599216.32820564392</v>
      </c>
      <c r="N60" s="68">
        <f>$I$14*$N$14</f>
        <v>0</v>
      </c>
      <c r="O60" s="68">
        <f>$I$14*$O$14</f>
        <v>225546.25602942402</v>
      </c>
      <c r="P60" s="68">
        <f>$I$14*$P$14</f>
        <v>-311818.22165393835</v>
      </c>
      <c r="Q60" s="68">
        <f>$I$14*$Q$14</f>
        <v>4021264.6233421923</v>
      </c>
      <c r="R60" s="68">
        <f>$I$14*$R$14</f>
        <v>131990.25534191227</v>
      </c>
      <c r="S60" s="68">
        <f>$I$14*$S$14</f>
        <v>79441.813619445587</v>
      </c>
      <c r="T60" s="68">
        <f>$I$14*$T$14</f>
        <v>0</v>
      </c>
      <c r="U60" s="68">
        <f>$I$14*$U$14</f>
        <v>-624916.0883300039</v>
      </c>
      <c r="V60" s="68">
        <f>$I$14*$V$14</f>
        <v>39297.746578930244</v>
      </c>
      <c r="X60" s="68">
        <f>$I$14*$X$14</f>
        <v>44796.402970744952</v>
      </c>
      <c r="Y60" s="68">
        <f>$I$14*$Y$14</f>
        <v>393372.04000202467</v>
      </c>
      <c r="Z60" s="68">
        <f>$I$14*$Z$14</f>
        <v>0</v>
      </c>
      <c r="AA60" s="68">
        <f>$I$14*$AA$14</f>
        <v>0</v>
      </c>
      <c r="AB60" s="68">
        <f>$I$14*$AB$14</f>
        <v>0</v>
      </c>
      <c r="AC60" s="68">
        <f>$I$14*$AC$14</f>
        <v>3618816.995180944</v>
      </c>
      <c r="AD60" s="68">
        <f>$I$14*$AD$14</f>
        <v>94029.907049425849</v>
      </c>
      <c r="AE60" s="68">
        <f>$I$14*$AE$14</f>
        <v>82968.136284775072</v>
      </c>
      <c r="AF60" s="68">
        <f>$I$14*$AF$14</f>
        <v>0</v>
      </c>
      <c r="AG60" s="68">
        <f>$I$14*$AG$14</f>
        <v>-390626.20184722421</v>
      </c>
      <c r="AH60" s="68">
        <f>$I$14*$AH$14</f>
        <v>25745.761573552772</v>
      </c>
    </row>
    <row r="61" spans="1:34" ht="11.25" customHeight="1" x14ac:dyDescent="0.3">
      <c r="A61" s="9" t="s">
        <v>22</v>
      </c>
      <c r="B61" s="9" t="s">
        <v>1099</v>
      </c>
      <c r="C61" s="9" t="s">
        <v>1100</v>
      </c>
      <c r="D61" s="9" t="s">
        <v>1105</v>
      </c>
      <c r="E61" s="9" t="s">
        <v>1106</v>
      </c>
      <c r="F61" s="9" t="s">
        <v>1107</v>
      </c>
      <c r="G61" s="9" t="s">
        <v>1108</v>
      </c>
      <c r="L61" s="68">
        <f>$I$15*$L$15</f>
        <v>342.91062551989819</v>
      </c>
      <c r="M61" s="68">
        <f>$I$15*$M$15</f>
        <v>4355.4515315010385</v>
      </c>
      <c r="N61" s="68">
        <f>$I$15*$N$15</f>
        <v>0</v>
      </c>
      <c r="O61" s="68">
        <f>$I$15*$O$15</f>
        <v>1639.400897484468</v>
      </c>
      <c r="P61" s="68">
        <f>$I$15*$P$15</f>
        <v>-2266.4755400097997</v>
      </c>
      <c r="Q61" s="68">
        <f>$I$15*$Q$15</f>
        <v>29228.881687442867</v>
      </c>
      <c r="R61" s="68">
        <f>$I$15*$R$15</f>
        <v>959.38166687416083</v>
      </c>
      <c r="S61" s="68">
        <f>$I$15*$S$15</f>
        <v>577.42913953988511</v>
      </c>
      <c r="T61" s="68">
        <f>$I$15*$T$15</f>
        <v>0</v>
      </c>
      <c r="U61" s="68">
        <f>$I$15*$U$15</f>
        <v>-4542.2522816208502</v>
      </c>
      <c r="V61" s="68">
        <f>$I$15*$V$15</f>
        <v>285.63879598254465</v>
      </c>
      <c r="X61" s="68">
        <f>$I$15*$X$15</f>
        <v>325.60621722195373</v>
      </c>
      <c r="Y61" s="68">
        <f>$I$15*$Y$15</f>
        <v>2859.2559538673308</v>
      </c>
      <c r="Z61" s="68">
        <f>$I$15*$Z$15</f>
        <v>0</v>
      </c>
      <c r="AA61" s="68">
        <f>$I$15*$AA$15</f>
        <v>0</v>
      </c>
      <c r="AB61" s="68">
        <f>$I$15*$AB$15</f>
        <v>0</v>
      </c>
      <c r="AC61" s="68">
        <f>$I$15*$AC$15</f>
        <v>26303.659099345576</v>
      </c>
      <c r="AD61" s="68">
        <f>$I$15*$AD$15</f>
        <v>683.4638566871148</v>
      </c>
      <c r="AE61" s="68">
        <f>$I$15*$AE$15</f>
        <v>603.0604962475179</v>
      </c>
      <c r="AF61" s="68">
        <f>$I$15*$AF$15</f>
        <v>0</v>
      </c>
      <c r="AG61" s="68">
        <f>$I$15*$AG$15</f>
        <v>-2839.2976108889429</v>
      </c>
      <c r="AH61" s="68">
        <f>$I$15*$AH$15</f>
        <v>187.13511531132326</v>
      </c>
    </row>
    <row r="62" spans="1:34" ht="11.25" customHeight="1" x14ac:dyDescent="0.3">
      <c r="A62" s="9" t="s">
        <v>22</v>
      </c>
      <c r="B62" s="9" t="s">
        <v>1099</v>
      </c>
      <c r="C62" s="9" t="s">
        <v>1100</v>
      </c>
      <c r="D62" s="9" t="s">
        <v>1109</v>
      </c>
      <c r="E62" s="9" t="s">
        <v>1110</v>
      </c>
      <c r="F62" s="9" t="s">
        <v>1111</v>
      </c>
      <c r="G62" s="9" t="s">
        <v>1112</v>
      </c>
      <c r="L62" s="68">
        <f>$I$16*$L$16</f>
        <v>1212.486369862394</v>
      </c>
      <c r="M62" s="68">
        <f>$I$16*$M$16</f>
        <v>15400.29740558407</v>
      </c>
      <c r="N62" s="68">
        <f>$I$16*$N$16</f>
        <v>0</v>
      </c>
      <c r="O62" s="68">
        <f>$I$16*$O$16</f>
        <v>5796.703557745981</v>
      </c>
      <c r="P62" s="68">
        <f>$I$16*$P$16</f>
        <v>-8013.9561021824557</v>
      </c>
      <c r="Q62" s="68">
        <f>$I$16*$Q$16</f>
        <v>103349.43864341859</v>
      </c>
      <c r="R62" s="68">
        <f>$I$16*$R$16</f>
        <v>3392.2459906780705</v>
      </c>
      <c r="S62" s="68">
        <f>$I$16*$S$16</f>
        <v>2041.7126479880828</v>
      </c>
      <c r="T62" s="68">
        <f>$I$16*$T$16</f>
        <v>0</v>
      </c>
      <c r="U62" s="68">
        <f>$I$16*$U$16</f>
        <v>-16060.800016306463</v>
      </c>
      <c r="V62" s="68">
        <f>$I$16*$V$16</f>
        <v>1009.9807969136371</v>
      </c>
      <c r="X62" s="68">
        <f>$I$16*$X$16</f>
        <v>1151.3002833479268</v>
      </c>
      <c r="Y62" s="68">
        <f>$I$16*$Y$16</f>
        <v>10109.948814668276</v>
      </c>
      <c r="Z62" s="68">
        <f>$I$16*$Z$16</f>
        <v>0</v>
      </c>
      <c r="AA62" s="68">
        <f>$I$16*$AA$16</f>
        <v>0</v>
      </c>
      <c r="AB62" s="68">
        <f>$I$16*$AB$16</f>
        <v>0</v>
      </c>
      <c r="AC62" s="68">
        <f>$I$16*$AC$16</f>
        <v>93006.240582687489</v>
      </c>
      <c r="AD62" s="68">
        <f>$I$16*$AD$16</f>
        <v>2416.6373067918444</v>
      </c>
      <c r="AE62" s="68">
        <f>$I$16*$AE$16</f>
        <v>2132.3417167198154</v>
      </c>
      <c r="AF62" s="68">
        <f>$I$16*$AF$16</f>
        <v>0</v>
      </c>
      <c r="AG62" s="68">
        <f>$I$16*$AG$16</f>
        <v>-10039.378768057286</v>
      </c>
      <c r="AH62" s="68">
        <f>$I$16*$AH$16</f>
        <v>661.68488157402032</v>
      </c>
    </row>
    <row r="63" spans="1:34" ht="11.25" customHeight="1" x14ac:dyDescent="0.3">
      <c r="A63" s="9" t="s">
        <v>22</v>
      </c>
      <c r="B63" s="9" t="s">
        <v>1099</v>
      </c>
      <c r="C63" s="9" t="s">
        <v>1100</v>
      </c>
      <c r="D63" s="9" t="s">
        <v>1113</v>
      </c>
      <c r="E63" s="9" t="s">
        <v>1114</v>
      </c>
      <c r="F63" s="9" t="s">
        <v>1115</v>
      </c>
      <c r="G63" s="9" t="s">
        <v>1116</v>
      </c>
      <c r="L63" s="68">
        <f>$I$17*$L$17</f>
        <v>1816.964446370358</v>
      </c>
      <c r="M63" s="68">
        <f>$I$17*$M$17</f>
        <v>23078.026726726501</v>
      </c>
      <c r="N63" s="68">
        <f>$I$17*$N$17</f>
        <v>0</v>
      </c>
      <c r="O63" s="68">
        <f>$I$17*$O$17</f>
        <v>8686.616635342747</v>
      </c>
      <c r="P63" s="68">
        <f>$I$17*$P$17</f>
        <v>-12009.267629202994</v>
      </c>
      <c r="Q63" s="68">
        <f>$I$17*$Q$17</f>
        <v>154873.7043441881</v>
      </c>
      <c r="R63" s="68">
        <f>$I$17*$R$17</f>
        <v>5083.4306360936307</v>
      </c>
      <c r="S63" s="68">
        <f>$I$17*$S$17</f>
        <v>3059.5966959365014</v>
      </c>
      <c r="T63" s="68">
        <f>$I$17*$T$17</f>
        <v>0</v>
      </c>
      <c r="U63" s="68">
        <f>$I$17*$U$17</f>
        <v>-24067.819099034645</v>
      </c>
      <c r="V63" s="68">
        <f>$I$17*$V$17</f>
        <v>1513.5008896777504</v>
      </c>
      <c r="X63" s="68">
        <f>$I$17*$X$17</f>
        <v>1725.2743898281547</v>
      </c>
      <c r="Y63" s="68">
        <f>$I$17*$Y$17</f>
        <v>15150.205402276855</v>
      </c>
      <c r="Z63" s="68">
        <f>$I$17*$Z$17</f>
        <v>0</v>
      </c>
      <c r="AA63" s="68">
        <f>$I$17*$AA$17</f>
        <v>0</v>
      </c>
      <c r="AB63" s="68">
        <f>$I$17*$AB$17</f>
        <v>0</v>
      </c>
      <c r="AC63" s="68">
        <f>$I$17*$AC$17</f>
        <v>139373.96463144507</v>
      </c>
      <c r="AD63" s="68">
        <f>$I$17*$AD$17</f>
        <v>3621.4378778635855</v>
      </c>
      <c r="AE63" s="68">
        <f>$I$17*$AE$17</f>
        <v>3195.408363420976</v>
      </c>
      <c r="AF63" s="68">
        <f>$I$17*$AF$17</f>
        <v>0</v>
      </c>
      <c r="AG63" s="68">
        <f>$I$17*$AG$17</f>
        <v>-15044.453066532811</v>
      </c>
      <c r="AH63" s="68">
        <f>$I$17*$AH$17</f>
        <v>991.56405746418568</v>
      </c>
    </row>
    <row r="64" spans="1:34" ht="11.25" customHeight="1" x14ac:dyDescent="0.3">
      <c r="A64" s="9" t="s">
        <v>22</v>
      </c>
      <c r="B64" s="9" t="s">
        <v>1099</v>
      </c>
      <c r="C64" s="9" t="s">
        <v>1100</v>
      </c>
      <c r="D64" s="9" t="s">
        <v>1117</v>
      </c>
      <c r="E64" s="9" t="s">
        <v>1118</v>
      </c>
      <c r="F64" s="9" t="s">
        <v>1119</v>
      </c>
      <c r="G64" s="9" t="s">
        <v>1120</v>
      </c>
      <c r="L64" s="68">
        <f>$I$18*$L$18</f>
        <v>763.8201915554987</v>
      </c>
      <c r="M64" s="68">
        <f>$I$18*$M$18</f>
        <v>9701.6002874159094</v>
      </c>
      <c r="N64" s="68">
        <f>$I$18*$N$18</f>
        <v>0</v>
      </c>
      <c r="O64" s="68">
        <f>$I$18*$O$18</f>
        <v>3651.702263977179</v>
      </c>
      <c r="P64" s="68">
        <f>$I$18*$P$18</f>
        <v>-5048.4868426034864</v>
      </c>
      <c r="Q64" s="68">
        <f>$I$18*$Q$18</f>
        <v>65106.20653882339</v>
      </c>
      <c r="R64" s="68">
        <f>$I$18*$R$18</f>
        <v>2136.9856575766357</v>
      </c>
      <c r="S64" s="68">
        <f>$I$18*$S$18</f>
        <v>1286.2011356585647</v>
      </c>
      <c r="T64" s="68">
        <f>$I$18*$T$18</f>
        <v>0</v>
      </c>
      <c r="U64" s="68">
        <f>$I$18*$U$18</f>
        <v>-10117.691753006686</v>
      </c>
      <c r="V64" s="68">
        <f>$I$18*$V$18</f>
        <v>636.24940035697148</v>
      </c>
      <c r="X64" s="68">
        <f>$I$18*$X$18</f>
        <v>725.27528953955607</v>
      </c>
      <c r="Y64" s="68">
        <f>$I$18*$Y$18</f>
        <v>6368.8823496733939</v>
      </c>
      <c r="Z64" s="68">
        <f>$I$18*$Z$18</f>
        <v>0</v>
      </c>
      <c r="AA64" s="68">
        <f>$I$18*$AA$18</f>
        <v>0</v>
      </c>
      <c r="AB64" s="68">
        <f>$I$18*$AB$18</f>
        <v>0</v>
      </c>
      <c r="AC64" s="68">
        <f>$I$18*$AC$18</f>
        <v>58590.386055875744</v>
      </c>
      <c r="AD64" s="68">
        <f>$I$18*$AD$18</f>
        <v>1522.3893781201016</v>
      </c>
      <c r="AE64" s="68">
        <f>$I$18*$AE$18</f>
        <v>1343.2939940690264</v>
      </c>
      <c r="AF64" s="68">
        <f>$I$18*$AF$18</f>
        <v>0</v>
      </c>
      <c r="AG64" s="68">
        <f>$I$18*$AG$18</f>
        <v>-6324.4259105246474</v>
      </c>
      <c r="AH64" s="68">
        <f>$I$18*$AH$18</f>
        <v>416.83625115769746</v>
      </c>
    </row>
    <row r="65" spans="1:34" ht="11.25" customHeight="1" x14ac:dyDescent="0.3">
      <c r="A65" s="9" t="s">
        <v>22</v>
      </c>
      <c r="B65" s="9" t="s">
        <v>1121</v>
      </c>
      <c r="C65" s="9" t="s">
        <v>1122</v>
      </c>
      <c r="D65" s="9" t="s">
        <v>1123</v>
      </c>
      <c r="E65" s="9" t="s">
        <v>1124</v>
      </c>
      <c r="F65" s="9" t="s">
        <v>1125</v>
      </c>
      <c r="G65" s="9" t="s">
        <v>1126</v>
      </c>
      <c r="L65" s="68">
        <f>$I$19*$L$19</f>
        <v>0</v>
      </c>
      <c r="M65" s="68">
        <f>$I$19*$M$19</f>
        <v>0</v>
      </c>
      <c r="N65" s="68">
        <f>$I$19*$N$19</f>
        <v>0</v>
      </c>
      <c r="O65" s="68">
        <f>$I$19*$O$19</f>
        <v>0</v>
      </c>
      <c r="P65" s="68">
        <f>$I$19*$P$19</f>
        <v>0</v>
      </c>
      <c r="Q65" s="68">
        <f>$I$19*$Q$19</f>
        <v>0</v>
      </c>
      <c r="R65" s="68">
        <f>$I$19*$R$19</f>
        <v>0</v>
      </c>
      <c r="S65" s="68">
        <f>$I$19*$S$19</f>
        <v>0</v>
      </c>
      <c r="T65" s="68">
        <f>$I$19*$T$19</f>
        <v>0</v>
      </c>
      <c r="U65" s="68">
        <f>$I$19*$U$19</f>
        <v>0</v>
      </c>
      <c r="V65" s="68">
        <f>$I$19*$V$19</f>
        <v>0</v>
      </c>
      <c r="X65" s="68">
        <f>$I$19*$X$19</f>
        <v>0</v>
      </c>
      <c r="Y65" s="68">
        <f>$I$19*$Y$19</f>
        <v>0</v>
      </c>
      <c r="Z65" s="68">
        <f>$I$19*$Z$19</f>
        <v>0</v>
      </c>
      <c r="AA65" s="68">
        <f>$I$19*$AA$19</f>
        <v>0</v>
      </c>
      <c r="AB65" s="68">
        <f>$I$19*$AB$19</f>
        <v>0</v>
      </c>
      <c r="AC65" s="68">
        <f>$I$19*$AC$19</f>
        <v>0</v>
      </c>
      <c r="AD65" s="68">
        <f>$I$19*$AD$19</f>
        <v>0</v>
      </c>
      <c r="AE65" s="68">
        <f>$I$19*$AE$19</f>
        <v>0</v>
      </c>
      <c r="AF65" s="68">
        <f>$I$19*$AF$19</f>
        <v>0</v>
      </c>
      <c r="AG65" s="68">
        <f>$I$19*$AG$19</f>
        <v>0</v>
      </c>
      <c r="AH65" s="68">
        <f>$I$19*$AH$19</f>
        <v>0</v>
      </c>
    </row>
    <row r="66" spans="1:34" ht="11.25" customHeight="1" x14ac:dyDescent="0.3">
      <c r="A66" s="9" t="s">
        <v>22</v>
      </c>
      <c r="B66" s="9" t="s">
        <v>1121</v>
      </c>
      <c r="C66" s="9" t="s">
        <v>1122</v>
      </c>
      <c r="D66" s="9" t="s">
        <v>1127</v>
      </c>
      <c r="E66" s="9" t="s">
        <v>1128</v>
      </c>
      <c r="F66" s="9" t="s">
        <v>1129</v>
      </c>
      <c r="G66" s="9" t="s">
        <v>1130</v>
      </c>
      <c r="L66" s="68">
        <f>$I$20*$L$20</f>
        <v>0</v>
      </c>
      <c r="M66" s="68">
        <f>$I$20*$M$20</f>
        <v>0</v>
      </c>
      <c r="N66" s="68">
        <f>$I$20*$N$20</f>
        <v>0</v>
      </c>
      <c r="O66" s="68">
        <f>$I$20*$O$20</f>
        <v>0</v>
      </c>
      <c r="P66" s="68">
        <f>$I$20*$P$20</f>
        <v>0</v>
      </c>
      <c r="Q66" s="68">
        <f>$I$20*$Q$20</f>
        <v>0</v>
      </c>
      <c r="R66" s="68">
        <f>$I$20*$R$20</f>
        <v>0</v>
      </c>
      <c r="S66" s="68">
        <f>$I$20*$S$20</f>
        <v>0</v>
      </c>
      <c r="T66" s="68">
        <f>$I$20*$T$20</f>
        <v>0</v>
      </c>
      <c r="U66" s="68">
        <f>$I$20*$U$20</f>
        <v>0</v>
      </c>
      <c r="V66" s="68">
        <f>$I$20*$V$20</f>
        <v>0</v>
      </c>
      <c r="X66" s="68">
        <f>$I$20*$X$20</f>
        <v>0</v>
      </c>
      <c r="Y66" s="68">
        <f>$I$20*$Y$20</f>
        <v>0</v>
      </c>
      <c r="Z66" s="68">
        <f>$I$20*$Z$20</f>
        <v>0</v>
      </c>
      <c r="AA66" s="68">
        <f>$I$20*$AA$20</f>
        <v>0</v>
      </c>
      <c r="AB66" s="68">
        <f>$I$20*$AB$20</f>
        <v>0</v>
      </c>
      <c r="AC66" s="68">
        <f>$I$20*$AC$20</f>
        <v>0</v>
      </c>
      <c r="AD66" s="68">
        <f>$I$20*$AD$20</f>
        <v>0</v>
      </c>
      <c r="AE66" s="68">
        <f>$I$20*$AE$20</f>
        <v>0</v>
      </c>
      <c r="AF66" s="68">
        <f>$I$20*$AF$20</f>
        <v>0</v>
      </c>
      <c r="AG66" s="68">
        <f>$I$20*$AG$20</f>
        <v>0</v>
      </c>
      <c r="AH66" s="68">
        <f>$I$20*$AH$20</f>
        <v>0</v>
      </c>
    </row>
    <row r="67" spans="1:34" ht="11.25" customHeight="1" x14ac:dyDescent="0.3">
      <c r="A67" s="9" t="s">
        <v>22</v>
      </c>
      <c r="B67" s="9" t="s">
        <v>1121</v>
      </c>
      <c r="C67" s="9" t="s">
        <v>1122</v>
      </c>
      <c r="D67" s="9" t="s">
        <v>1131</v>
      </c>
      <c r="E67" s="9" t="s">
        <v>1132</v>
      </c>
      <c r="F67" s="9" t="s">
        <v>1133</v>
      </c>
      <c r="G67" s="9" t="s">
        <v>1134</v>
      </c>
      <c r="L67" s="68">
        <f>$I$21*$L$21</f>
        <v>0</v>
      </c>
      <c r="M67" s="68">
        <f>$I$21*$M$21</f>
        <v>0</v>
      </c>
      <c r="N67" s="68">
        <f>$I$21*$N$21</f>
        <v>0</v>
      </c>
      <c r="O67" s="68">
        <f>$I$21*$O$21</f>
        <v>0</v>
      </c>
      <c r="P67" s="68">
        <f>$I$21*$P$21</f>
        <v>0</v>
      </c>
      <c r="Q67" s="68">
        <f>$I$21*$Q$21</f>
        <v>0</v>
      </c>
      <c r="R67" s="68">
        <f>$I$21*$R$21</f>
        <v>0</v>
      </c>
      <c r="S67" s="68">
        <f>$I$21*$S$21</f>
        <v>0</v>
      </c>
      <c r="T67" s="68">
        <f>$I$21*$T$21</f>
        <v>0</v>
      </c>
      <c r="U67" s="68">
        <f>$I$21*$U$21</f>
        <v>0</v>
      </c>
      <c r="V67" s="68">
        <f>$I$21*$V$21</f>
        <v>0</v>
      </c>
      <c r="X67" s="68">
        <f>$I$21*$X$21</f>
        <v>0</v>
      </c>
      <c r="Y67" s="68">
        <f>$I$21*$Y$21</f>
        <v>0</v>
      </c>
      <c r="Z67" s="68">
        <f>$I$21*$Z$21</f>
        <v>0</v>
      </c>
      <c r="AA67" s="68">
        <f>$I$21*$AA$21</f>
        <v>0</v>
      </c>
      <c r="AB67" s="68">
        <f>$I$21*$AB$21</f>
        <v>0</v>
      </c>
      <c r="AC67" s="68">
        <f>$I$21*$AC$21</f>
        <v>0</v>
      </c>
      <c r="AD67" s="68">
        <f>$I$21*$AD$21</f>
        <v>0</v>
      </c>
      <c r="AE67" s="68">
        <f>$I$21*$AE$21</f>
        <v>0</v>
      </c>
      <c r="AF67" s="68">
        <f>$I$21*$AF$21</f>
        <v>0</v>
      </c>
      <c r="AG67" s="68">
        <f>$I$21*$AG$21</f>
        <v>0</v>
      </c>
      <c r="AH67" s="68">
        <f>$I$21*$AH$21</f>
        <v>0</v>
      </c>
    </row>
    <row r="68" spans="1:34" ht="11.25" customHeight="1" x14ac:dyDescent="0.3">
      <c r="A68" s="9" t="s">
        <v>22</v>
      </c>
      <c r="B68" s="9" t="s">
        <v>1121</v>
      </c>
      <c r="C68" s="9" t="s">
        <v>1122</v>
      </c>
      <c r="D68" s="9" t="s">
        <v>1135</v>
      </c>
      <c r="E68" s="9" t="s">
        <v>1136</v>
      </c>
      <c r="F68" s="9" t="s">
        <v>1137</v>
      </c>
      <c r="G68" s="9" t="s">
        <v>1138</v>
      </c>
      <c r="L68" s="68">
        <f>$I$22*$L$22</f>
        <v>0</v>
      </c>
      <c r="M68" s="68">
        <f>$I$22*$M$22</f>
        <v>0</v>
      </c>
      <c r="N68" s="68">
        <f>$I$22*$N$22</f>
        <v>0</v>
      </c>
      <c r="O68" s="68">
        <f>$I$22*$O$22</f>
        <v>0</v>
      </c>
      <c r="P68" s="68">
        <f>$I$22*$P$22</f>
        <v>0</v>
      </c>
      <c r="Q68" s="68">
        <f>$I$22*$Q$22</f>
        <v>0</v>
      </c>
      <c r="R68" s="68">
        <f>$I$22*$R$22</f>
        <v>0</v>
      </c>
      <c r="S68" s="68">
        <f>$I$22*$S$22</f>
        <v>0</v>
      </c>
      <c r="T68" s="68">
        <f>$I$22*$T$22</f>
        <v>0</v>
      </c>
      <c r="U68" s="68">
        <f>$I$22*$U$22</f>
        <v>0</v>
      </c>
      <c r="V68" s="68">
        <f>$I$22*$V$22</f>
        <v>0</v>
      </c>
      <c r="X68" s="68">
        <f>$I$22*$X$22</f>
        <v>0</v>
      </c>
      <c r="Y68" s="68">
        <f>$I$22*$Y$22</f>
        <v>0</v>
      </c>
      <c r="Z68" s="68">
        <f>$I$22*$Z$22</f>
        <v>0</v>
      </c>
      <c r="AA68" s="68">
        <f>$I$22*$AA$22</f>
        <v>0</v>
      </c>
      <c r="AB68" s="68">
        <f>$I$22*$AB$22</f>
        <v>0</v>
      </c>
      <c r="AC68" s="68">
        <f>$I$22*$AC$22</f>
        <v>0</v>
      </c>
      <c r="AD68" s="68">
        <f>$I$22*$AD$22</f>
        <v>0</v>
      </c>
      <c r="AE68" s="68">
        <f>$I$22*$AE$22</f>
        <v>0</v>
      </c>
      <c r="AF68" s="68">
        <f>$I$22*$AF$22</f>
        <v>0</v>
      </c>
      <c r="AG68" s="68">
        <f>$I$22*$AG$22</f>
        <v>0</v>
      </c>
      <c r="AH68" s="68">
        <f>$I$22*$AH$22</f>
        <v>0</v>
      </c>
    </row>
    <row r="69" spans="1:34" ht="11.25" customHeight="1" x14ac:dyDescent="0.3">
      <c r="A69" s="9" t="s">
        <v>22</v>
      </c>
      <c r="B69" s="9" t="s">
        <v>1121</v>
      </c>
      <c r="C69" s="9" t="s">
        <v>1122</v>
      </c>
      <c r="D69" s="9" t="s">
        <v>1139</v>
      </c>
      <c r="E69" s="9" t="s">
        <v>1140</v>
      </c>
      <c r="F69" s="9" t="s">
        <v>1141</v>
      </c>
      <c r="G69" s="9" t="s">
        <v>1142</v>
      </c>
      <c r="L69" s="68">
        <f>$I$23*$L$23</f>
        <v>0</v>
      </c>
      <c r="M69" s="68">
        <f>$I$23*$M$23</f>
        <v>0</v>
      </c>
      <c r="N69" s="68">
        <f>$I$23*$N$23</f>
        <v>0</v>
      </c>
      <c r="O69" s="68">
        <f>$I$23*$O$23</f>
        <v>0</v>
      </c>
      <c r="P69" s="68">
        <f>$I$23*$P$23</f>
        <v>0</v>
      </c>
      <c r="Q69" s="68">
        <f>$I$23*$Q$23</f>
        <v>0</v>
      </c>
      <c r="R69" s="68">
        <f>$I$23*$R$23</f>
        <v>0</v>
      </c>
      <c r="S69" s="68">
        <f>$I$23*$S$23</f>
        <v>0</v>
      </c>
      <c r="T69" s="68">
        <f>$I$23*$T$23</f>
        <v>0</v>
      </c>
      <c r="U69" s="68">
        <f>$I$23*$U$23</f>
        <v>0</v>
      </c>
      <c r="V69" s="68">
        <f>$I$23*$V$23</f>
        <v>0</v>
      </c>
      <c r="X69" s="68">
        <f>$I$23*$X$23</f>
        <v>0</v>
      </c>
      <c r="Y69" s="68">
        <f>$I$23*$Y$23</f>
        <v>0</v>
      </c>
      <c r="Z69" s="68">
        <f>$I$23*$Z$23</f>
        <v>0</v>
      </c>
      <c r="AA69" s="68">
        <f>$I$23*$AA$23</f>
        <v>0</v>
      </c>
      <c r="AB69" s="68">
        <f>$I$23*$AB$23</f>
        <v>0</v>
      </c>
      <c r="AC69" s="68">
        <f>$I$23*$AC$23</f>
        <v>0</v>
      </c>
      <c r="AD69" s="68">
        <f>$I$23*$AD$23</f>
        <v>0</v>
      </c>
      <c r="AE69" s="68">
        <f>$I$23*$AE$23</f>
        <v>0</v>
      </c>
      <c r="AF69" s="68">
        <f>$I$23*$AF$23</f>
        <v>0</v>
      </c>
      <c r="AG69" s="68">
        <f>$I$23*$AG$23</f>
        <v>0</v>
      </c>
      <c r="AH69" s="68">
        <f>$I$23*$AH$23</f>
        <v>0</v>
      </c>
    </row>
    <row r="70" spans="1:34" ht="11.25" customHeight="1" x14ac:dyDescent="0.3">
      <c r="A70" s="9" t="s">
        <v>42</v>
      </c>
      <c r="B70" s="9" t="s">
        <v>1143</v>
      </c>
      <c r="C70" s="9" t="s">
        <v>1144</v>
      </c>
      <c r="D70" s="9" t="s">
        <v>1145</v>
      </c>
      <c r="E70" s="9" t="s">
        <v>1146</v>
      </c>
      <c r="F70" s="9" t="s">
        <v>1147</v>
      </c>
      <c r="G70" s="9" t="s">
        <v>1148</v>
      </c>
      <c r="L70" s="68">
        <f>$I$24*$L$24</f>
        <v>0.78204973539644251</v>
      </c>
      <c r="M70" s="68">
        <f>$I$24*$M$24</f>
        <v>9.9331413617708559</v>
      </c>
      <c r="N70" s="68">
        <f>$I$24*$N$24</f>
        <v>0</v>
      </c>
      <c r="O70" s="68">
        <f>$I$24*$O$24</f>
        <v>3.7388547996802219</v>
      </c>
      <c r="P70" s="68">
        <f>$I$24*$P$24</f>
        <v>-5.1689754251850077</v>
      </c>
      <c r="Q70" s="68">
        <f>$I$24*$Q$24</f>
        <v>108.16536295333444</v>
      </c>
      <c r="R70" s="68">
        <f>$I$24*$R$24</f>
        <v>2.1879875480253919</v>
      </c>
      <c r="S70" s="68">
        <f>$I$24*$S$24</f>
        <v>1.316897967517658</v>
      </c>
      <c r="T70" s="68">
        <f>$I$24*$T$24</f>
        <v>0</v>
      </c>
      <c r="U70" s="68">
        <f>$I$24*$U$24</f>
        <v>-15.932276715363413</v>
      </c>
      <c r="V70" s="68">
        <f>$I$24*$V$24</f>
        <v>0.65143430442969774</v>
      </c>
      <c r="X70" s="68">
        <f>$I$24*$X$24</f>
        <v>0.69518587327920223</v>
      </c>
      <c r="Y70" s="68">
        <f>$I$24*$Y$24</f>
        <v>6.1046572273006294</v>
      </c>
      <c r="Z70" s="68">
        <f>$I$24*$Z$24</f>
        <v>0</v>
      </c>
      <c r="AA70" s="68">
        <f>$I$24*$AA$24</f>
        <v>0</v>
      </c>
      <c r="AB70" s="68">
        <f>$I$24*$AB$24</f>
        <v>0</v>
      </c>
      <c r="AC70" s="68">
        <f>$I$24*$AC$24</f>
        <v>91.126984350366811</v>
      </c>
      <c r="AD70" s="68">
        <f>$I$24*$AD$24</f>
        <v>1.4592301772355962</v>
      </c>
      <c r="AE70" s="68">
        <f>$I$24*$AE$24</f>
        <v>1.2875649037077133</v>
      </c>
      <c r="AF70" s="68">
        <f>$I$24*$AF$24</f>
        <v>0</v>
      </c>
      <c r="AG70" s="68">
        <f>$I$24*$AG$24</f>
        <v>-9.32290070321916</v>
      </c>
      <c r="AH70" s="68">
        <f>$I$24*$AH$24</f>
        <v>0.39954301139841597</v>
      </c>
    </row>
    <row r="71" spans="1:34" ht="11.25" customHeight="1" x14ac:dyDescent="0.3">
      <c r="A71" s="9" t="s">
        <v>42</v>
      </c>
      <c r="B71" s="9" t="s">
        <v>1143</v>
      </c>
      <c r="C71" s="9" t="s">
        <v>1144</v>
      </c>
      <c r="D71" s="9" t="s">
        <v>1145</v>
      </c>
      <c r="E71" s="9" t="s">
        <v>1146</v>
      </c>
      <c r="F71" s="9" t="s">
        <v>1147</v>
      </c>
      <c r="G71" s="9" t="s">
        <v>1149</v>
      </c>
      <c r="L71" s="68">
        <f>$I$25*$L$25</f>
        <v>0.46359735006880515</v>
      </c>
      <c r="M71" s="68">
        <f>$I$25*$M$25</f>
        <v>5.8883441867561288</v>
      </c>
      <c r="N71" s="68">
        <f>$I$25*$N$25</f>
        <v>0</v>
      </c>
      <c r="O71" s="68">
        <f>$I$25*$O$25</f>
        <v>2.2163848396996326</v>
      </c>
      <c r="P71" s="68">
        <f>$I$25*$P$25</f>
        <v>-3.0641571772564862</v>
      </c>
      <c r="Q71" s="68">
        <f>$I$25*$Q$25</f>
        <v>37.279178754128651</v>
      </c>
      <c r="R71" s="68">
        <f>$I$25*$R$25</f>
        <v>1.2970341697435837</v>
      </c>
      <c r="S71" s="68">
        <f>$I$25*$S$25</f>
        <v>0.78065419681102144</v>
      </c>
      <c r="T71" s="68">
        <f>$I$25*$T$25</f>
        <v>0</v>
      </c>
      <c r="U71" s="68">
        <f>$I$25*$U$25</f>
        <v>-5.8405500745652503</v>
      </c>
      <c r="V71" s="68">
        <f>$I$25*$V$25</f>
        <v>0.38616881204419745</v>
      </c>
      <c r="X71" s="68">
        <f>$I$25*$X$25</f>
        <v>0.41210464510179845</v>
      </c>
      <c r="Y71" s="68">
        <f>$I$25*$Y$25</f>
        <v>3.6188272760175471</v>
      </c>
      <c r="Z71" s="68">
        <f>$I$25*$Z$25</f>
        <v>0</v>
      </c>
      <c r="AA71" s="68">
        <f>$I$25*$AA$25</f>
        <v>0</v>
      </c>
      <c r="AB71" s="68">
        <f>$I$25*$AB$25</f>
        <v>0</v>
      </c>
      <c r="AC71" s="68">
        <f>$I$25*$AC$25</f>
        <v>31.40690370897779</v>
      </c>
      <c r="AD71" s="68">
        <f>$I$25*$AD$25</f>
        <v>0.86502841531417596</v>
      </c>
      <c r="AE71" s="68">
        <f>$I$25*$AE$25</f>
        <v>0.76326562158850575</v>
      </c>
      <c r="AF71" s="68">
        <f>$I$25*$AF$25</f>
        <v>0</v>
      </c>
      <c r="AG71" s="68">
        <f>$I$25*$AG$25</f>
        <v>-3.4178371162031036</v>
      </c>
      <c r="AH71" s="68">
        <f>$I$25*$AH$25</f>
        <v>0.23684821174310525</v>
      </c>
    </row>
    <row r="72" spans="1:34" ht="11.25" customHeight="1" x14ac:dyDescent="0.3">
      <c r="A72" s="9" t="s">
        <v>42</v>
      </c>
      <c r="B72" s="9" t="s">
        <v>1143</v>
      </c>
      <c r="C72" s="9" t="s">
        <v>1144</v>
      </c>
      <c r="D72" s="9" t="s">
        <v>1145</v>
      </c>
      <c r="E72" s="9" t="s">
        <v>1146</v>
      </c>
      <c r="F72" s="9" t="s">
        <v>1147</v>
      </c>
      <c r="G72" s="9" t="s">
        <v>1150</v>
      </c>
      <c r="L72" s="68">
        <f>$I$26*$L$26</f>
        <v>5.4093578650551732</v>
      </c>
      <c r="M72" s="68">
        <f>$I$26*$M$26</f>
        <v>68.706520721168516</v>
      </c>
      <c r="N72" s="68">
        <f>$I$26*$N$26</f>
        <v>0</v>
      </c>
      <c r="O72" s="68">
        <f>$I$26*$O$26</f>
        <v>25.861275442663484</v>
      </c>
      <c r="P72" s="68">
        <f>$I$26*$P$26</f>
        <v>-35.753273231819861</v>
      </c>
      <c r="Q72" s="68">
        <f>$I$26*$Q$26</f>
        <v>434.98181938812758</v>
      </c>
      <c r="R72" s="68">
        <f>$I$26*$R$26</f>
        <v>15.134085616120236</v>
      </c>
      <c r="S72" s="68">
        <f>$I$26*$S$26</f>
        <v>9.1088482683977645</v>
      </c>
      <c r="T72" s="68">
        <f>$I$26*$T$26</f>
        <v>0</v>
      </c>
      <c r="U72" s="68">
        <f>$I$26*$U$26</f>
        <v>-68.148848299950643</v>
      </c>
      <c r="V72" s="68">
        <f>$I$26*$V$26</f>
        <v>4.5059043162353349</v>
      </c>
      <c r="X72" s="68">
        <f>$I$26*$X$26</f>
        <v>4.808529433734539</v>
      </c>
      <c r="Y72" s="68">
        <f>$I$26*$Y$26</f>
        <v>42.225288356148688</v>
      </c>
      <c r="Z72" s="68">
        <f>$I$26*$Z$26</f>
        <v>0</v>
      </c>
      <c r="AA72" s="68">
        <f>$I$26*$AA$26</f>
        <v>0</v>
      </c>
      <c r="AB72" s="68">
        <f>$I$26*$AB$26</f>
        <v>0</v>
      </c>
      <c r="AC72" s="68">
        <f>$I$26*$AC$26</f>
        <v>366.46279701550276</v>
      </c>
      <c r="AD72" s="68">
        <f>$I$26*$AD$26</f>
        <v>10.093345574950929</v>
      </c>
      <c r="AE72" s="68">
        <f>$I$26*$AE$26</f>
        <v>8.9059544724602802</v>
      </c>
      <c r="AF72" s="68">
        <f>$I$26*$AF$26</f>
        <v>0</v>
      </c>
      <c r="AG72" s="68">
        <f>$I$26*$AG$26</f>
        <v>-39.880090089528757</v>
      </c>
      <c r="AH72" s="68">
        <f>$I$26*$AH$26</f>
        <v>2.7635980594510943</v>
      </c>
    </row>
    <row r="73" spans="1:34" ht="11.25" customHeight="1" x14ac:dyDescent="0.3">
      <c r="A73" s="9" t="s">
        <v>42</v>
      </c>
      <c r="B73" s="9" t="s">
        <v>1151</v>
      </c>
      <c r="C73" s="9" t="s">
        <v>1152</v>
      </c>
      <c r="D73" s="9" t="s">
        <v>1153</v>
      </c>
      <c r="E73" s="9" t="s">
        <v>1154</v>
      </c>
      <c r="F73" s="9" t="s">
        <v>1155</v>
      </c>
      <c r="G73" s="9" t="s">
        <v>1156</v>
      </c>
      <c r="L73" s="68">
        <f>$I$27*$L$27</f>
        <v>40492.67007771373</v>
      </c>
      <c r="M73" s="68">
        <f>$I$27*$M$27</f>
        <v>514314.36875761265</v>
      </c>
      <c r="N73" s="68">
        <f>$I$27*$N$27</f>
        <v>0</v>
      </c>
      <c r="O73" s="68">
        <f>$I$27*$O$27</f>
        <v>193588.98420339057</v>
      </c>
      <c r="P73" s="68">
        <f>$I$27*$P$27</f>
        <v>-267637.21929491323</v>
      </c>
      <c r="Q73" s="68">
        <f>$I$27*$Q$27</f>
        <v>3451498.3637958858</v>
      </c>
      <c r="R73" s="68">
        <f>$I$27*$R$27</f>
        <v>113288.77679553913</v>
      </c>
      <c r="S73" s="68">
        <f>$I$27*$S$27</f>
        <v>68185.835901693034</v>
      </c>
      <c r="T73" s="68">
        <f>$I$27*$T$27</f>
        <v>0</v>
      </c>
      <c r="U73" s="68">
        <f>$I$27*$U$27</f>
        <v>-536372.77284877433</v>
      </c>
      <c r="V73" s="68">
        <f>$I$27*$V$27</f>
        <v>33729.714585485774</v>
      </c>
      <c r="X73" s="68">
        <f>$I$27*$X$27</f>
        <v>35995.066471203478</v>
      </c>
      <c r="Y73" s="68">
        <f>$I$27*$Y$27</f>
        <v>316084.59136848332</v>
      </c>
      <c r="Z73" s="68">
        <f>$I$27*$Z$27</f>
        <v>0</v>
      </c>
      <c r="AA73" s="68">
        <f>$I$27*$AA$27</f>
        <v>0</v>
      </c>
      <c r="AB73" s="68">
        <f>$I$27*$AB$27</f>
        <v>0</v>
      </c>
      <c r="AC73" s="68">
        <f>$I$27*$AC$27</f>
        <v>2907812.8968017227</v>
      </c>
      <c r="AD73" s="68">
        <f>$I$27*$AD$27</f>
        <v>75555.458252653625</v>
      </c>
      <c r="AE73" s="68">
        <f>$I$27*$AE$27</f>
        <v>66667.039818190126</v>
      </c>
      <c r="AF73" s="68">
        <f>$I$27*$AF$27</f>
        <v>0</v>
      </c>
      <c r="AG73" s="68">
        <f>$I$27*$AG$27</f>
        <v>-313878.23951104208</v>
      </c>
      <c r="AH73" s="68">
        <f>$I$27*$AH$27</f>
        <v>20687.384203526282</v>
      </c>
    </row>
    <row r="74" spans="1:34" ht="11.25" customHeight="1" x14ac:dyDescent="0.3">
      <c r="A74" s="9" t="s">
        <v>42</v>
      </c>
      <c r="B74" s="9" t="s">
        <v>1143</v>
      </c>
      <c r="C74" s="9" t="s">
        <v>1144</v>
      </c>
      <c r="D74" s="9" t="s">
        <v>1157</v>
      </c>
      <c r="E74" s="9" t="s">
        <v>1158</v>
      </c>
      <c r="F74" s="9" t="s">
        <v>1159</v>
      </c>
      <c r="G74" s="9" t="s">
        <v>1160</v>
      </c>
      <c r="L74" s="68">
        <f>$I$28*$L$28</f>
        <v>0</v>
      </c>
      <c r="M74" s="68">
        <f>$I$28*$M$28</f>
        <v>0</v>
      </c>
      <c r="N74" s="68">
        <f>$I$28*$N$28</f>
        <v>0</v>
      </c>
      <c r="O74" s="68">
        <f>$I$28*$O$28</f>
        <v>0</v>
      </c>
      <c r="P74" s="68">
        <f>$I$28*$P$28</f>
        <v>0</v>
      </c>
      <c r="Q74" s="68">
        <f>$I$28*$Q$28</f>
        <v>0</v>
      </c>
      <c r="R74" s="68">
        <f>$I$28*$R$28</f>
        <v>0</v>
      </c>
      <c r="S74" s="68">
        <f>$I$28*$S$28</f>
        <v>0</v>
      </c>
      <c r="T74" s="68">
        <f>$I$28*$T$28</f>
        <v>0</v>
      </c>
      <c r="U74" s="68">
        <f>$I$28*$U$28</f>
        <v>0</v>
      </c>
      <c r="V74" s="68">
        <f>$I$28*$V$28</f>
        <v>0</v>
      </c>
      <c r="X74" s="68">
        <f>$I$28*$X$28</f>
        <v>0</v>
      </c>
      <c r="Y74" s="68">
        <f>$I$28*$Y$28</f>
        <v>0</v>
      </c>
      <c r="Z74" s="68">
        <f>$I$28*$Z$28</f>
        <v>0</v>
      </c>
      <c r="AA74" s="68">
        <f>$I$28*$AA$28</f>
        <v>0</v>
      </c>
      <c r="AB74" s="68">
        <f>$I$28*$AB$28</f>
        <v>0</v>
      </c>
      <c r="AC74" s="68">
        <f>$I$28*$AC$28</f>
        <v>0</v>
      </c>
      <c r="AD74" s="68">
        <f>$I$28*$AD$28</f>
        <v>0</v>
      </c>
      <c r="AE74" s="68">
        <f>$I$28*$AE$28</f>
        <v>0</v>
      </c>
      <c r="AF74" s="68">
        <f>$I$28*$AF$28</f>
        <v>0</v>
      </c>
      <c r="AG74" s="68">
        <f>$I$28*$AG$28</f>
        <v>0</v>
      </c>
      <c r="AH74" s="68">
        <f>$I$28*$AH$28</f>
        <v>0</v>
      </c>
    </row>
    <row r="75" spans="1:34" ht="11.25" customHeight="1" x14ac:dyDescent="0.3">
      <c r="A75" s="9" t="s">
        <v>42</v>
      </c>
      <c r="B75" s="9" t="s">
        <v>1143</v>
      </c>
      <c r="C75" s="9" t="s">
        <v>1144</v>
      </c>
      <c r="D75" s="9" t="s">
        <v>1157</v>
      </c>
      <c r="E75" s="9" t="s">
        <v>1158</v>
      </c>
      <c r="F75" s="9" t="s">
        <v>1159</v>
      </c>
      <c r="G75" s="9" t="s">
        <v>1161</v>
      </c>
      <c r="L75" s="68">
        <f>$I$29*$L$29</f>
        <v>0</v>
      </c>
      <c r="M75" s="68">
        <f>$I$29*$M$29</f>
        <v>0</v>
      </c>
      <c r="N75" s="68">
        <f>$I$29*$N$29</f>
        <v>0</v>
      </c>
      <c r="O75" s="68">
        <f>$I$29*$O$29</f>
        <v>0</v>
      </c>
      <c r="P75" s="68">
        <f>$I$29*$P$29</f>
        <v>0</v>
      </c>
      <c r="Q75" s="68">
        <f>$I$29*$Q$29</f>
        <v>0</v>
      </c>
      <c r="R75" s="68">
        <f>$I$29*$R$29</f>
        <v>0</v>
      </c>
      <c r="S75" s="68">
        <f>$I$29*$S$29</f>
        <v>0</v>
      </c>
      <c r="T75" s="68">
        <f>$I$29*$T$29</f>
        <v>0</v>
      </c>
      <c r="U75" s="68">
        <f>$I$29*$U$29</f>
        <v>0</v>
      </c>
      <c r="V75" s="68">
        <f>$I$29*$V$29</f>
        <v>0</v>
      </c>
      <c r="X75" s="68">
        <f>$I$29*$X$29</f>
        <v>0</v>
      </c>
      <c r="Y75" s="68">
        <f>$I$29*$Y$29</f>
        <v>0</v>
      </c>
      <c r="Z75" s="68">
        <f>$I$29*$Z$29</f>
        <v>0</v>
      </c>
      <c r="AA75" s="68">
        <f>$I$29*$AA$29</f>
        <v>0</v>
      </c>
      <c r="AB75" s="68">
        <f>$I$29*$AB$29</f>
        <v>0</v>
      </c>
      <c r="AC75" s="68">
        <f>$I$29*$AC$29</f>
        <v>0</v>
      </c>
      <c r="AD75" s="68">
        <f>$I$29*$AD$29</f>
        <v>0</v>
      </c>
      <c r="AE75" s="68">
        <f>$I$29*$AE$29</f>
        <v>0</v>
      </c>
      <c r="AF75" s="68">
        <f>$I$29*$AF$29</f>
        <v>0</v>
      </c>
      <c r="AG75" s="68">
        <f>$I$29*$AG$29</f>
        <v>0</v>
      </c>
      <c r="AH75" s="68">
        <f>$I$29*$AH$29</f>
        <v>0</v>
      </c>
    </row>
    <row r="76" spans="1:34" ht="11.25" customHeight="1" x14ac:dyDescent="0.3">
      <c r="A76" s="9" t="s">
        <v>42</v>
      </c>
      <c r="B76" s="9" t="s">
        <v>1143</v>
      </c>
      <c r="C76" s="9" t="s">
        <v>1144</v>
      </c>
      <c r="D76" s="9" t="s">
        <v>1157</v>
      </c>
      <c r="E76" s="9" t="s">
        <v>1158</v>
      </c>
      <c r="F76" s="9" t="s">
        <v>1159</v>
      </c>
      <c r="G76" s="9" t="s">
        <v>1162</v>
      </c>
      <c r="L76" s="68">
        <f>$I$30*$L$30</f>
        <v>0</v>
      </c>
      <c r="M76" s="68">
        <f>$I$30*$M$30</f>
        <v>0</v>
      </c>
      <c r="N76" s="68">
        <f>$I$30*$N$30</f>
        <v>0</v>
      </c>
      <c r="O76" s="68">
        <f>$I$30*$O$30</f>
        <v>0</v>
      </c>
      <c r="P76" s="68">
        <f>$I$30*$P$30</f>
        <v>0</v>
      </c>
      <c r="Q76" s="68">
        <f>$I$30*$Q$30</f>
        <v>0</v>
      </c>
      <c r="R76" s="68">
        <f>$I$30*$R$30</f>
        <v>0</v>
      </c>
      <c r="S76" s="68">
        <f>$I$30*$S$30</f>
        <v>0</v>
      </c>
      <c r="T76" s="68">
        <f>$I$30*$T$30</f>
        <v>0</v>
      </c>
      <c r="U76" s="68">
        <f>$I$30*$U$30</f>
        <v>0</v>
      </c>
      <c r="V76" s="68">
        <f>$I$30*$V$30</f>
        <v>0</v>
      </c>
      <c r="X76" s="68">
        <f>$I$30*$X$30</f>
        <v>0</v>
      </c>
      <c r="Y76" s="68">
        <f>$I$30*$Y$30</f>
        <v>0</v>
      </c>
      <c r="Z76" s="68">
        <f>$I$30*$Z$30</f>
        <v>0</v>
      </c>
      <c r="AA76" s="68">
        <f>$I$30*$AA$30</f>
        <v>0</v>
      </c>
      <c r="AB76" s="68">
        <f>$I$30*$AB$30</f>
        <v>0</v>
      </c>
      <c r="AC76" s="68">
        <f>$I$30*$AC$30</f>
        <v>0</v>
      </c>
      <c r="AD76" s="68">
        <f>$I$30*$AD$30</f>
        <v>0</v>
      </c>
      <c r="AE76" s="68">
        <f>$I$30*$AE$30</f>
        <v>0</v>
      </c>
      <c r="AF76" s="68">
        <f>$I$30*$AF$30</f>
        <v>0</v>
      </c>
      <c r="AG76" s="68">
        <f>$I$30*$AG$30</f>
        <v>0</v>
      </c>
      <c r="AH76" s="68">
        <f>$I$30*$AH$30</f>
        <v>0</v>
      </c>
    </row>
    <row r="77" spans="1:34" ht="11.25" customHeight="1" x14ac:dyDescent="0.3">
      <c r="A77" s="9" t="s">
        <v>42</v>
      </c>
      <c r="B77" s="9" t="s">
        <v>1151</v>
      </c>
      <c r="C77" s="9" t="s">
        <v>1152</v>
      </c>
      <c r="D77" s="9" t="s">
        <v>1163</v>
      </c>
      <c r="E77" s="9" t="s">
        <v>1164</v>
      </c>
      <c r="F77" s="9" t="s">
        <v>1165</v>
      </c>
      <c r="G77" s="9" t="s">
        <v>1166</v>
      </c>
      <c r="L77" s="68">
        <f>$I$31*$L$31</f>
        <v>0</v>
      </c>
      <c r="M77" s="68">
        <f>$I$31*$M$31</f>
        <v>0</v>
      </c>
      <c r="N77" s="68">
        <f>$I$31*$N$31</f>
        <v>0</v>
      </c>
      <c r="O77" s="68">
        <f>$I$31*$O$31</f>
        <v>0</v>
      </c>
      <c r="P77" s="68">
        <f>$I$31*$P$31</f>
        <v>0</v>
      </c>
      <c r="Q77" s="68">
        <f>$I$31*$Q$31</f>
        <v>0</v>
      </c>
      <c r="R77" s="68">
        <f>$I$31*$R$31</f>
        <v>0</v>
      </c>
      <c r="S77" s="68">
        <f>$I$31*$S$31</f>
        <v>0</v>
      </c>
      <c r="T77" s="68">
        <f>$I$31*$T$31</f>
        <v>0</v>
      </c>
      <c r="U77" s="68">
        <f>$I$31*$U$31</f>
        <v>0</v>
      </c>
      <c r="V77" s="68">
        <f>$I$31*$V$31</f>
        <v>0</v>
      </c>
      <c r="X77" s="68">
        <f>$I$31*$X$31</f>
        <v>0</v>
      </c>
      <c r="Y77" s="68">
        <f>$I$31*$Y$31</f>
        <v>0</v>
      </c>
      <c r="Z77" s="68">
        <f>$I$31*$Z$31</f>
        <v>0</v>
      </c>
      <c r="AA77" s="68">
        <f>$I$31*$AA$31</f>
        <v>0</v>
      </c>
      <c r="AB77" s="68">
        <f>$I$31*$AB$31</f>
        <v>0</v>
      </c>
      <c r="AC77" s="68">
        <f>$I$31*$AC$31</f>
        <v>0</v>
      </c>
      <c r="AD77" s="68">
        <f>$I$31*$AD$31</f>
        <v>0</v>
      </c>
      <c r="AE77" s="68">
        <f>$I$31*$AE$31</f>
        <v>0</v>
      </c>
      <c r="AF77" s="68">
        <f>$I$31*$AF$31</f>
        <v>0</v>
      </c>
      <c r="AG77" s="68">
        <f>$I$31*$AG$31</f>
        <v>0</v>
      </c>
      <c r="AH77" s="68">
        <f>$I$31*$AH$31</f>
        <v>0</v>
      </c>
    </row>
    <row r="78" spans="1:34" ht="11.25" customHeight="1" x14ac:dyDescent="0.3">
      <c r="A78" s="9" t="s">
        <v>42</v>
      </c>
      <c r="B78" s="9" t="s">
        <v>1143</v>
      </c>
      <c r="C78" s="9" t="s">
        <v>1144</v>
      </c>
      <c r="D78" s="9" t="s">
        <v>1167</v>
      </c>
      <c r="E78" s="9" t="s">
        <v>1168</v>
      </c>
      <c r="F78" s="9" t="s">
        <v>1169</v>
      </c>
      <c r="G78" s="9" t="s">
        <v>1170</v>
      </c>
      <c r="L78" s="68">
        <f>$I$32*$L$32</f>
        <v>0</v>
      </c>
      <c r="M78" s="68">
        <f>$I$32*$M$32</f>
        <v>0</v>
      </c>
      <c r="N78" s="68">
        <f>$I$32*$N$32</f>
        <v>0</v>
      </c>
      <c r="O78" s="68">
        <f>$I$32*$O$32</f>
        <v>0</v>
      </c>
      <c r="P78" s="68">
        <f>$I$32*$P$32</f>
        <v>0</v>
      </c>
      <c r="Q78" s="68">
        <f>$I$32*$Q$32</f>
        <v>0</v>
      </c>
      <c r="R78" s="68">
        <f>$I$32*$R$32</f>
        <v>0</v>
      </c>
      <c r="S78" s="68">
        <f>$I$32*$S$32</f>
        <v>0</v>
      </c>
      <c r="T78" s="68">
        <f>$I$32*$T$32</f>
        <v>0</v>
      </c>
      <c r="U78" s="68">
        <f>$I$32*$U$32</f>
        <v>0</v>
      </c>
      <c r="V78" s="68">
        <f>$I$32*$V$32</f>
        <v>0</v>
      </c>
      <c r="X78" s="68">
        <f>$I$32*$X$32</f>
        <v>0</v>
      </c>
      <c r="Y78" s="68">
        <f>$I$32*$Y$32</f>
        <v>0</v>
      </c>
      <c r="Z78" s="68">
        <f>$I$32*$Z$32</f>
        <v>0</v>
      </c>
      <c r="AA78" s="68">
        <f>$I$32*$AA$32</f>
        <v>0</v>
      </c>
      <c r="AB78" s="68">
        <f>$I$32*$AB$32</f>
        <v>0</v>
      </c>
      <c r="AC78" s="68">
        <f>$I$32*$AC$32</f>
        <v>0</v>
      </c>
      <c r="AD78" s="68">
        <f>$I$32*$AD$32</f>
        <v>0</v>
      </c>
      <c r="AE78" s="68">
        <f>$I$32*$AE$32</f>
        <v>0</v>
      </c>
      <c r="AF78" s="68">
        <f>$I$32*$AF$32</f>
        <v>0</v>
      </c>
      <c r="AG78" s="68">
        <f>$I$32*$AG$32</f>
        <v>0</v>
      </c>
      <c r="AH78" s="68">
        <f>$I$32*$AH$32</f>
        <v>0</v>
      </c>
    </row>
    <row r="79" spans="1:34" ht="11.25" customHeight="1" x14ac:dyDescent="0.3">
      <c r="A79" s="9" t="s">
        <v>42</v>
      </c>
      <c r="B79" s="9" t="s">
        <v>1143</v>
      </c>
      <c r="C79" s="9" t="s">
        <v>1144</v>
      </c>
      <c r="D79" s="9" t="s">
        <v>1167</v>
      </c>
      <c r="E79" s="9" t="s">
        <v>1168</v>
      </c>
      <c r="F79" s="9" t="s">
        <v>1169</v>
      </c>
      <c r="G79" s="9" t="s">
        <v>1171</v>
      </c>
      <c r="L79" s="68">
        <f>$I$33*$L$33</f>
        <v>0</v>
      </c>
      <c r="M79" s="68">
        <f>$I$33*$M$33</f>
        <v>0</v>
      </c>
      <c r="N79" s="68">
        <f>$I$33*$N$33</f>
        <v>0</v>
      </c>
      <c r="O79" s="68">
        <f>$I$33*$O$33</f>
        <v>0</v>
      </c>
      <c r="P79" s="68">
        <f>$I$33*$P$33</f>
        <v>0</v>
      </c>
      <c r="Q79" s="68">
        <f>$I$33*$Q$33</f>
        <v>0</v>
      </c>
      <c r="R79" s="68">
        <f>$I$33*$R$33</f>
        <v>0</v>
      </c>
      <c r="S79" s="68">
        <f>$I$33*$S$33</f>
        <v>0</v>
      </c>
      <c r="T79" s="68">
        <f>$I$33*$T$33</f>
        <v>0</v>
      </c>
      <c r="U79" s="68">
        <f>$I$33*$U$33</f>
        <v>0</v>
      </c>
      <c r="V79" s="68">
        <f>$I$33*$V$33</f>
        <v>0</v>
      </c>
      <c r="X79" s="68">
        <f>$I$33*$X$33</f>
        <v>0</v>
      </c>
      <c r="Y79" s="68">
        <f>$I$33*$Y$33</f>
        <v>0</v>
      </c>
      <c r="Z79" s="68">
        <f>$I$33*$Z$33</f>
        <v>0</v>
      </c>
      <c r="AA79" s="68">
        <f>$I$33*$AA$33</f>
        <v>0</v>
      </c>
      <c r="AB79" s="68">
        <f>$I$33*$AB$33</f>
        <v>0</v>
      </c>
      <c r="AC79" s="68">
        <f>$I$33*$AC$33</f>
        <v>0</v>
      </c>
      <c r="AD79" s="68">
        <f>$I$33*$AD$33</f>
        <v>0</v>
      </c>
      <c r="AE79" s="68">
        <f>$I$33*$AE$33</f>
        <v>0</v>
      </c>
      <c r="AF79" s="68">
        <f>$I$33*$AF$33</f>
        <v>0</v>
      </c>
      <c r="AG79" s="68">
        <f>$I$33*$AG$33</f>
        <v>0</v>
      </c>
      <c r="AH79" s="68">
        <f>$I$33*$AH$33</f>
        <v>0</v>
      </c>
    </row>
    <row r="80" spans="1:34" ht="11.25" customHeight="1" x14ac:dyDescent="0.3">
      <c r="A80" s="9" t="s">
        <v>42</v>
      </c>
      <c r="B80" s="9" t="s">
        <v>1143</v>
      </c>
      <c r="C80" s="9" t="s">
        <v>1144</v>
      </c>
      <c r="D80" s="9" t="s">
        <v>1167</v>
      </c>
      <c r="E80" s="9" t="s">
        <v>1168</v>
      </c>
      <c r="F80" s="9" t="s">
        <v>1169</v>
      </c>
      <c r="G80" s="9" t="s">
        <v>1172</v>
      </c>
      <c r="L80" s="68">
        <f>$I$34*$L$34</f>
        <v>0</v>
      </c>
      <c r="M80" s="68">
        <f>$I$34*$M$34</f>
        <v>0</v>
      </c>
      <c r="N80" s="68">
        <f>$I$34*$N$34</f>
        <v>0</v>
      </c>
      <c r="O80" s="68">
        <f>$I$34*$O$34</f>
        <v>0</v>
      </c>
      <c r="P80" s="68">
        <f>$I$34*$P$34</f>
        <v>0</v>
      </c>
      <c r="Q80" s="68">
        <f>$I$34*$Q$34</f>
        <v>0</v>
      </c>
      <c r="R80" s="68">
        <f>$I$34*$R$34</f>
        <v>0</v>
      </c>
      <c r="S80" s="68">
        <f>$I$34*$S$34</f>
        <v>0</v>
      </c>
      <c r="T80" s="68">
        <f>$I$34*$T$34</f>
        <v>0</v>
      </c>
      <c r="U80" s="68">
        <f>$I$34*$U$34</f>
        <v>0</v>
      </c>
      <c r="V80" s="68">
        <f>$I$34*$V$34</f>
        <v>0</v>
      </c>
      <c r="X80" s="68">
        <f>$I$34*$X$34</f>
        <v>0</v>
      </c>
      <c r="Y80" s="68">
        <f>$I$34*$Y$34</f>
        <v>0</v>
      </c>
      <c r="Z80" s="68">
        <f>$I$34*$Z$34</f>
        <v>0</v>
      </c>
      <c r="AA80" s="68">
        <f>$I$34*$AA$34</f>
        <v>0</v>
      </c>
      <c r="AB80" s="68">
        <f>$I$34*$AB$34</f>
        <v>0</v>
      </c>
      <c r="AC80" s="68">
        <f>$I$34*$AC$34</f>
        <v>0</v>
      </c>
      <c r="AD80" s="68">
        <f>$I$34*$AD$34</f>
        <v>0</v>
      </c>
      <c r="AE80" s="68">
        <f>$I$34*$AE$34</f>
        <v>0</v>
      </c>
      <c r="AF80" s="68">
        <f>$I$34*$AF$34</f>
        <v>0</v>
      </c>
      <c r="AG80" s="68">
        <f>$I$34*$AG$34</f>
        <v>0</v>
      </c>
      <c r="AH80" s="68">
        <f>$I$34*$AH$34</f>
        <v>0</v>
      </c>
    </row>
    <row r="81" spans="1:34" ht="11.25" customHeight="1" x14ac:dyDescent="0.3">
      <c r="A81" s="9" t="s">
        <v>42</v>
      </c>
      <c r="B81" s="9" t="s">
        <v>1151</v>
      </c>
      <c r="C81" s="9" t="s">
        <v>1152</v>
      </c>
      <c r="D81" s="9" t="s">
        <v>1173</v>
      </c>
      <c r="E81" s="9" t="s">
        <v>1174</v>
      </c>
      <c r="F81" s="9" t="s">
        <v>1175</v>
      </c>
      <c r="G81" s="9" t="s">
        <v>1176</v>
      </c>
      <c r="L81" s="68">
        <f>$I$35*$L$35</f>
        <v>0</v>
      </c>
      <c r="M81" s="68">
        <f>$I$35*$M$35</f>
        <v>0</v>
      </c>
      <c r="N81" s="68">
        <f>$I$35*$N$35</f>
        <v>0</v>
      </c>
      <c r="O81" s="68">
        <f>$I$35*$O$35</f>
        <v>0</v>
      </c>
      <c r="P81" s="68">
        <f>$I$35*$P$35</f>
        <v>0</v>
      </c>
      <c r="Q81" s="68">
        <f>$I$35*$Q$35</f>
        <v>0</v>
      </c>
      <c r="R81" s="68">
        <f>$I$35*$R$35</f>
        <v>0</v>
      </c>
      <c r="S81" s="68">
        <f>$I$35*$S$35</f>
        <v>0</v>
      </c>
      <c r="T81" s="68">
        <f>$I$35*$T$35</f>
        <v>0</v>
      </c>
      <c r="U81" s="68">
        <f>$I$35*$U$35</f>
        <v>0</v>
      </c>
      <c r="V81" s="68">
        <f>$I$35*$V$35</f>
        <v>0</v>
      </c>
      <c r="X81" s="68">
        <f>$I$35*$X$35</f>
        <v>0</v>
      </c>
      <c r="Y81" s="68">
        <f>$I$35*$Y$35</f>
        <v>0</v>
      </c>
      <c r="Z81" s="68">
        <f>$I$35*$Z$35</f>
        <v>0</v>
      </c>
      <c r="AA81" s="68">
        <f>$I$35*$AA$35</f>
        <v>0</v>
      </c>
      <c r="AB81" s="68">
        <f>$I$35*$AB$35</f>
        <v>0</v>
      </c>
      <c r="AC81" s="68">
        <f>$I$35*$AC$35</f>
        <v>0</v>
      </c>
      <c r="AD81" s="68">
        <f>$I$35*$AD$35</f>
        <v>0</v>
      </c>
      <c r="AE81" s="68">
        <f>$I$35*$AE$35</f>
        <v>0</v>
      </c>
      <c r="AF81" s="68">
        <f>$I$35*$AF$35</f>
        <v>0</v>
      </c>
      <c r="AG81" s="68">
        <f>$I$35*$AG$35</f>
        <v>0</v>
      </c>
      <c r="AH81" s="68">
        <f>$I$35*$AH$35</f>
        <v>0</v>
      </c>
    </row>
    <row r="82" spans="1:34" ht="11.25" customHeight="1" x14ac:dyDescent="0.3">
      <c r="A82" s="9" t="s">
        <v>42</v>
      </c>
      <c r="B82" s="9" t="s">
        <v>1177</v>
      </c>
      <c r="C82" s="9" t="s">
        <v>1178</v>
      </c>
      <c r="D82" s="9" t="s">
        <v>1179</v>
      </c>
      <c r="E82" s="9" t="s">
        <v>1180</v>
      </c>
      <c r="F82" s="9" t="s">
        <v>1181</v>
      </c>
      <c r="G82" s="9" t="s">
        <v>1182</v>
      </c>
      <c r="L82" s="68">
        <f>$I$36*$L$36</f>
        <v>0</v>
      </c>
      <c r="M82" s="68">
        <f>$I$36*$M$36</f>
        <v>0</v>
      </c>
      <c r="N82" s="68">
        <f>$I$36*$N$36</f>
        <v>0</v>
      </c>
      <c r="O82" s="68">
        <f>$I$36*$O$36</f>
        <v>0</v>
      </c>
      <c r="P82" s="68">
        <f>$I$36*$P$36</f>
        <v>0</v>
      </c>
      <c r="Q82" s="68">
        <f>$I$36*$Q$36</f>
        <v>0</v>
      </c>
      <c r="R82" s="68">
        <f>$I$36*$R$36</f>
        <v>0</v>
      </c>
      <c r="S82" s="68">
        <f>$I$36*$S$36</f>
        <v>0</v>
      </c>
      <c r="T82" s="68">
        <f>$I$36*$T$36</f>
        <v>0</v>
      </c>
      <c r="U82" s="68">
        <f>$I$36*$U$36</f>
        <v>0</v>
      </c>
      <c r="V82" s="68">
        <f>$I$36*$V$36</f>
        <v>0</v>
      </c>
      <c r="X82" s="68">
        <f>$I$36*$X$36</f>
        <v>0</v>
      </c>
      <c r="Y82" s="68">
        <f>$I$36*$Y$36</f>
        <v>0</v>
      </c>
      <c r="Z82" s="68">
        <f>$I$36*$Z$36</f>
        <v>0</v>
      </c>
      <c r="AA82" s="68">
        <f>$I$36*$AA$36</f>
        <v>0</v>
      </c>
      <c r="AB82" s="68">
        <f>$I$36*$AB$36</f>
        <v>0</v>
      </c>
      <c r="AC82" s="68">
        <f>$I$36*$AC$36</f>
        <v>0</v>
      </c>
      <c r="AD82" s="68">
        <f>$I$36*$AD$36</f>
        <v>0</v>
      </c>
      <c r="AE82" s="68">
        <f>$I$36*$AE$36</f>
        <v>0</v>
      </c>
      <c r="AF82" s="68">
        <f>$I$36*$AF$36</f>
        <v>0</v>
      </c>
      <c r="AG82" s="68">
        <f>$I$36*$AG$36</f>
        <v>0</v>
      </c>
      <c r="AH82" s="68">
        <f>$I$36*$AH$36</f>
        <v>0</v>
      </c>
    </row>
    <row r="83" spans="1:34" ht="11.25" customHeight="1" x14ac:dyDescent="0.3">
      <c r="A83" s="9" t="s">
        <v>42</v>
      </c>
      <c r="B83" s="9" t="s">
        <v>1177</v>
      </c>
      <c r="C83" s="9" t="s">
        <v>1178</v>
      </c>
      <c r="D83" s="9" t="s">
        <v>1183</v>
      </c>
      <c r="E83" s="9" t="s">
        <v>1184</v>
      </c>
      <c r="F83" s="9" t="s">
        <v>1185</v>
      </c>
      <c r="G83" s="9" t="s">
        <v>1186</v>
      </c>
      <c r="L83" s="68">
        <f>$I$37*$L$37</f>
        <v>0</v>
      </c>
      <c r="M83" s="68">
        <f>$I$37*$M$37</f>
        <v>0</v>
      </c>
      <c r="N83" s="68">
        <f>$I$37*$N$37</f>
        <v>0</v>
      </c>
      <c r="O83" s="68">
        <f>$I$37*$O$37</f>
        <v>0</v>
      </c>
      <c r="P83" s="68">
        <f>$I$37*$P$37</f>
        <v>0</v>
      </c>
      <c r="Q83" s="68">
        <f>$I$37*$Q$37</f>
        <v>0</v>
      </c>
      <c r="R83" s="68">
        <f>$I$37*$R$37</f>
        <v>0</v>
      </c>
      <c r="S83" s="68">
        <f>$I$37*$S$37</f>
        <v>0</v>
      </c>
      <c r="T83" s="68">
        <f>$I$37*$T$37</f>
        <v>0</v>
      </c>
      <c r="U83" s="68">
        <f>$I$37*$U$37</f>
        <v>0</v>
      </c>
      <c r="V83" s="68">
        <f>$I$37*$V$37</f>
        <v>0</v>
      </c>
      <c r="X83" s="68">
        <f>$I$37*$X$37</f>
        <v>0</v>
      </c>
      <c r="Y83" s="68">
        <f>$I$37*$Y$37</f>
        <v>0</v>
      </c>
      <c r="Z83" s="68">
        <f>$I$37*$Z$37</f>
        <v>0</v>
      </c>
      <c r="AA83" s="68">
        <f>$I$37*$AA$37</f>
        <v>0</v>
      </c>
      <c r="AB83" s="68">
        <f>$I$37*$AB$37</f>
        <v>0</v>
      </c>
      <c r="AC83" s="68">
        <f>$I$37*$AC$37</f>
        <v>0</v>
      </c>
      <c r="AD83" s="68">
        <f>$I$37*$AD$37</f>
        <v>0</v>
      </c>
      <c r="AE83" s="68">
        <f>$I$37*$AE$37</f>
        <v>0</v>
      </c>
      <c r="AF83" s="68">
        <f>$I$37*$AF$37</f>
        <v>0</v>
      </c>
      <c r="AG83" s="68">
        <f>$I$37*$AG$37</f>
        <v>0</v>
      </c>
      <c r="AH83" s="68">
        <f>$I$37*$AH$37</f>
        <v>0</v>
      </c>
    </row>
    <row r="84" spans="1:34" ht="11.25" customHeight="1" x14ac:dyDescent="0.3">
      <c r="A84" s="9" t="s">
        <v>42</v>
      </c>
      <c r="B84" s="9" t="s">
        <v>1177</v>
      </c>
      <c r="C84" s="9" t="s">
        <v>1178</v>
      </c>
      <c r="D84" s="9" t="s">
        <v>1187</v>
      </c>
      <c r="E84" s="9" t="s">
        <v>1188</v>
      </c>
      <c r="F84" s="9" t="s">
        <v>1189</v>
      </c>
      <c r="G84" s="9" t="s">
        <v>1190</v>
      </c>
      <c r="L84" s="68">
        <f>$I$38*$L$38</f>
        <v>0</v>
      </c>
      <c r="M84" s="68">
        <f>$I$38*$M$38</f>
        <v>0</v>
      </c>
      <c r="N84" s="68">
        <f>$I$38*$N$38</f>
        <v>0</v>
      </c>
      <c r="O84" s="68">
        <f>$I$38*$O$38</f>
        <v>0</v>
      </c>
      <c r="P84" s="68">
        <f>$I$38*$P$38</f>
        <v>0</v>
      </c>
      <c r="Q84" s="68">
        <f>$I$38*$Q$38</f>
        <v>0</v>
      </c>
      <c r="R84" s="68">
        <f>$I$38*$R$38</f>
        <v>0</v>
      </c>
      <c r="S84" s="68">
        <f>$I$38*$S$38</f>
        <v>0</v>
      </c>
      <c r="T84" s="68">
        <f>$I$38*$T$38</f>
        <v>0</v>
      </c>
      <c r="U84" s="68">
        <f>$I$38*$U$38</f>
        <v>0</v>
      </c>
      <c r="V84" s="68">
        <f>$I$38*$V$38</f>
        <v>0</v>
      </c>
      <c r="X84" s="68">
        <f>$I$38*$X$38</f>
        <v>0</v>
      </c>
      <c r="Y84" s="68">
        <f>$I$38*$Y$38</f>
        <v>0</v>
      </c>
      <c r="Z84" s="68">
        <f>$I$38*$Z$38</f>
        <v>0</v>
      </c>
      <c r="AA84" s="68">
        <f>$I$38*$AA$38</f>
        <v>0</v>
      </c>
      <c r="AB84" s="68">
        <f>$I$38*$AB$38</f>
        <v>0</v>
      </c>
      <c r="AC84" s="68">
        <f>$I$38*$AC$38</f>
        <v>0</v>
      </c>
      <c r="AD84" s="68">
        <f>$I$38*$AD$38</f>
        <v>0</v>
      </c>
      <c r="AE84" s="68">
        <f>$I$38*$AE$38</f>
        <v>0</v>
      </c>
      <c r="AF84" s="68">
        <f>$I$38*$AF$38</f>
        <v>0</v>
      </c>
      <c r="AG84" s="68">
        <f>$I$38*$AG$38</f>
        <v>0</v>
      </c>
      <c r="AH84" s="68">
        <f>$I$38*$AH$38</f>
        <v>0</v>
      </c>
    </row>
    <row r="85" spans="1:34" ht="11.25" customHeight="1" x14ac:dyDescent="0.3">
      <c r="A85" s="9" t="s">
        <v>37</v>
      </c>
      <c r="B85" s="9" t="s">
        <v>1191</v>
      </c>
      <c r="C85" s="9" t="s">
        <v>1192</v>
      </c>
      <c r="D85" s="9" t="s">
        <v>1193</v>
      </c>
      <c r="E85" s="9" t="s">
        <v>1194</v>
      </c>
      <c r="F85" s="9" t="s">
        <v>1195</v>
      </c>
      <c r="G85" s="9" t="s">
        <v>1196</v>
      </c>
      <c r="L85" s="68">
        <f>$I$39*$L$39</f>
        <v>20.990478546563327</v>
      </c>
      <c r="M85" s="68">
        <f>$I$39*$M$39</f>
        <v>266.60886286028455</v>
      </c>
      <c r="N85" s="68">
        <f>$I$39*$N$39</f>
        <v>0</v>
      </c>
      <c r="O85" s="68">
        <f>$I$39*$O$39</f>
        <v>100.35212328486907</v>
      </c>
      <c r="P85" s="68">
        <f>$I$39*$P$39</f>
        <v>-138.73704300284393</v>
      </c>
      <c r="Q85" s="68">
        <f>$I$39*$Q$39</f>
        <v>2903.194806916279</v>
      </c>
      <c r="R85" s="68">
        <f>$I$39*$R$39</f>
        <v>58.726323414319772</v>
      </c>
      <c r="S85" s="68">
        <f>$I$39*$S$39</f>
        <v>35.345985407410943</v>
      </c>
      <c r="T85" s="68">
        <f>$I$39*$T$39</f>
        <v>0</v>
      </c>
      <c r="U85" s="68">
        <f>$I$39*$U$39</f>
        <v>-427.62767820925916</v>
      </c>
      <c r="V85" s="68">
        <f>$I$39*$V$39</f>
        <v>17.484716345687772</v>
      </c>
      <c r="X85" s="68">
        <f>$I$39*$X$39</f>
        <v>19.931229330858034</v>
      </c>
      <c r="Y85" s="68">
        <f>$I$39*$Y$39</f>
        <v>175.0227210597269</v>
      </c>
      <c r="Z85" s="68">
        <f>$I$39*$Z$39</f>
        <v>0</v>
      </c>
      <c r="AA85" s="68">
        <f>$I$39*$AA$39</f>
        <v>0</v>
      </c>
      <c r="AB85" s="68">
        <f>$I$39*$AB$39</f>
        <v>0</v>
      </c>
      <c r="AC85" s="68">
        <f>$I$39*$AC$39</f>
        <v>2612.6434571365562</v>
      </c>
      <c r="AD85" s="68">
        <f>$I$39*$AD$39</f>
        <v>41.836654665895935</v>
      </c>
      <c r="AE85" s="68">
        <f>$I$39*$AE$39</f>
        <v>36.914949455332035</v>
      </c>
      <c r="AF85" s="68">
        <f>$I$39*$AF$39</f>
        <v>0</v>
      </c>
      <c r="AG85" s="68">
        <f>$I$39*$AG$39</f>
        <v>-267.29092043855485</v>
      </c>
      <c r="AH85" s="68">
        <f>$I$39*$AH$39</f>
        <v>11.455042016547413</v>
      </c>
    </row>
    <row r="86" spans="1:34" ht="11.25" customHeight="1" x14ac:dyDescent="0.3">
      <c r="A86" s="9" t="s">
        <v>37</v>
      </c>
      <c r="B86" s="9" t="s">
        <v>1191</v>
      </c>
      <c r="C86" s="9" t="s">
        <v>1192</v>
      </c>
      <c r="D86" s="9" t="s">
        <v>1193</v>
      </c>
      <c r="E86" s="9" t="s">
        <v>1194</v>
      </c>
      <c r="F86" s="9" t="s">
        <v>1195</v>
      </c>
      <c r="G86" s="9" t="s">
        <v>1197</v>
      </c>
      <c r="L86" s="68">
        <f>$I$40*$L$40</f>
        <v>1.4449967115387796</v>
      </c>
      <c r="M86" s="68">
        <f>$I$40*$M$40</f>
        <v>18.353508675164516</v>
      </c>
      <c r="N86" s="68">
        <f>$I$40*$N$40</f>
        <v>0</v>
      </c>
      <c r="O86" s="68">
        <f>$I$40*$O$40</f>
        <v>6.9082983420743194</v>
      </c>
      <c r="P86" s="68">
        <f>$I$40*$P$40</f>
        <v>-9.5507384675870828</v>
      </c>
      <c r="Q86" s="68">
        <f>$I$40*$Q$40</f>
        <v>116.19628692999937</v>
      </c>
      <c r="R86" s="68">
        <f>$I$40*$R$40</f>
        <v>4.0427541480872309</v>
      </c>
      <c r="S86" s="68">
        <f>$I$40*$S$40</f>
        <v>2.4332381258724927</v>
      </c>
      <c r="T86" s="68">
        <f>$I$40*$T$40</f>
        <v>0</v>
      </c>
      <c r="U86" s="68">
        <f>$I$40*$U$40</f>
        <v>-18.204538162420029</v>
      </c>
      <c r="V86" s="68">
        <f>$I$40*$V$40</f>
        <v>1.2036580093045928</v>
      </c>
      <c r="X86" s="68">
        <f>$I$40*$X$40</f>
        <v>1.372077381472111</v>
      </c>
      <c r="Y86" s="68">
        <f>$I$40*$Y$40</f>
        <v>12.048665580198591</v>
      </c>
      <c r="Z86" s="68">
        <f>$I$40*$Z$40</f>
        <v>0</v>
      </c>
      <c r="AA86" s="68">
        <f>$I$40*$AA$40</f>
        <v>0</v>
      </c>
      <c r="AB86" s="68">
        <f>$I$40*$AB$40</f>
        <v>0</v>
      </c>
      <c r="AC86" s="68">
        <f>$I$40*$AC$40</f>
        <v>104.5673780030218</v>
      </c>
      <c r="AD86" s="68">
        <f>$I$40*$AD$40</f>
        <v>2.8800595603334154</v>
      </c>
      <c r="AE86" s="68">
        <f>$I$40*$AE$40</f>
        <v>2.5412465204757559</v>
      </c>
      <c r="AF86" s="68">
        <f>$I$40*$AF$40</f>
        <v>0</v>
      </c>
      <c r="AG86" s="68">
        <f>$I$40*$AG$40</f>
        <v>-11.379481052779079</v>
      </c>
      <c r="AH86" s="68">
        <f>$I$40*$AH$40</f>
        <v>0.78857173302319139</v>
      </c>
    </row>
    <row r="87" spans="1:34" ht="11.25" customHeight="1" x14ac:dyDescent="0.3">
      <c r="A87" s="9" t="s">
        <v>37</v>
      </c>
      <c r="B87" s="9" t="s">
        <v>1191</v>
      </c>
      <c r="C87" s="9" t="s">
        <v>1192</v>
      </c>
      <c r="D87" s="9" t="s">
        <v>1193</v>
      </c>
      <c r="E87" s="9" t="s">
        <v>1194</v>
      </c>
      <c r="F87" s="9" t="s">
        <v>1195</v>
      </c>
      <c r="G87" s="9" t="s">
        <v>1198</v>
      </c>
      <c r="L87" s="68">
        <f>$I$41*$L$41</f>
        <v>17.247775740281064</v>
      </c>
      <c r="M87" s="68">
        <f>$I$41*$M$41</f>
        <v>219.07122635555223</v>
      </c>
      <c r="N87" s="68">
        <f>$I$41*$N$41</f>
        <v>0</v>
      </c>
      <c r="O87" s="68">
        <f>$I$41*$O$41</f>
        <v>82.458859317518673</v>
      </c>
      <c r="P87" s="68">
        <f>$I$41*$P$41</f>
        <v>-113.99956410115107</v>
      </c>
      <c r="Q87" s="68">
        <f>$I$41*$Q$41</f>
        <v>1386.9426018885413</v>
      </c>
      <c r="R87" s="68">
        <f>$I$41*$R$41</f>
        <v>48.255138826610583</v>
      </c>
      <c r="S87" s="68">
        <f>$I$41*$S$41</f>
        <v>29.043627008021904</v>
      </c>
      <c r="T87" s="68">
        <f>$I$41*$T$41</f>
        <v>0</v>
      </c>
      <c r="U87" s="68">
        <f>$I$41*$U$41</f>
        <v>-217.29308390359088</v>
      </c>
      <c r="V87" s="68">
        <f>$I$41*$V$41</f>
        <v>14.367107721906814</v>
      </c>
      <c r="X87" s="68">
        <f>$I$41*$X$41</f>
        <v>16.377395730362487</v>
      </c>
      <c r="Y87" s="68">
        <f>$I$41*$Y$41</f>
        <v>143.81533206093502</v>
      </c>
      <c r="Z87" s="68">
        <f>$I$41*$Z$41</f>
        <v>0</v>
      </c>
      <c r="AA87" s="68">
        <f>$I$41*$AA$41</f>
        <v>0</v>
      </c>
      <c r="AB87" s="68">
        <f>$I$41*$AB$41</f>
        <v>0</v>
      </c>
      <c r="AC87" s="68">
        <f>$I$41*$AC$41</f>
        <v>1248.1375709324006</v>
      </c>
      <c r="AD87" s="68">
        <f>$I$41*$AD$41</f>
        <v>34.376978866882425</v>
      </c>
      <c r="AE87" s="68">
        <f>$I$41*$AE$41</f>
        <v>30.332837255567075</v>
      </c>
      <c r="AF87" s="68">
        <f>$I$41*$AF$41</f>
        <v>0</v>
      </c>
      <c r="AG87" s="68">
        <f>$I$41*$AG$41</f>
        <v>-135.82780892982237</v>
      </c>
      <c r="AH87" s="68">
        <f>$I$41*$AH$41</f>
        <v>9.4125531897058448</v>
      </c>
    </row>
    <row r="88" spans="1:34" ht="11.25" customHeight="1" x14ac:dyDescent="0.3">
      <c r="A88" s="9" t="s">
        <v>37</v>
      </c>
      <c r="B88" s="9" t="s">
        <v>1199</v>
      </c>
      <c r="C88" s="9" t="s">
        <v>1200</v>
      </c>
      <c r="D88" s="9" t="s">
        <v>1201</v>
      </c>
      <c r="E88" s="9" t="s">
        <v>1202</v>
      </c>
      <c r="F88" s="9" t="s">
        <v>1203</v>
      </c>
      <c r="G88" s="9" t="s">
        <v>1204</v>
      </c>
      <c r="L88" s="68">
        <f>$I$42*$L$42</f>
        <v>27222.263088619657</v>
      </c>
      <c r="M88" s="68">
        <f>$I$42*$M$42</f>
        <v>345761.36939615669</v>
      </c>
      <c r="N88" s="68">
        <f>$I$42*$N$42</f>
        <v>0</v>
      </c>
      <c r="O88" s="68">
        <f>$I$42*$O$42</f>
        <v>130145.2892320822</v>
      </c>
      <c r="P88" s="68">
        <f>$I$42*$P$42</f>
        <v>-179926.16396918232</v>
      </c>
      <c r="Q88" s="68">
        <f>$I$42*$Q$42</f>
        <v>2320360.6067188955</v>
      </c>
      <c r="R88" s="68">
        <f>$I$42*$R$42</f>
        <v>76161.361574756447</v>
      </c>
      <c r="S88" s="68">
        <f>$I$42*$S$42</f>
        <v>45839.722603398586</v>
      </c>
      <c r="T88" s="68">
        <f>$I$42*$T$42</f>
        <v>0</v>
      </c>
      <c r="U88" s="68">
        <f>$I$42*$U$42</f>
        <v>-360590.71204835142</v>
      </c>
      <c r="V88" s="68">
        <f>$I$42*$V$42</f>
        <v>22675.688281062554</v>
      </c>
      <c r="X88" s="68">
        <f>$I$42*$X$42</f>
        <v>25848.537341377723</v>
      </c>
      <c r="Y88" s="68">
        <f>$I$42*$Y$42</f>
        <v>226984.56105251826</v>
      </c>
      <c r="Z88" s="68">
        <f>$I$42*$Z$42</f>
        <v>0</v>
      </c>
      <c r="AA88" s="68">
        <f>$I$42*$AA$42</f>
        <v>0</v>
      </c>
      <c r="AB88" s="68">
        <f>$I$42*$AB$42</f>
        <v>0</v>
      </c>
      <c r="AC88" s="68">
        <f>$I$42*$AC$42</f>
        <v>2088139.2261033901</v>
      </c>
      <c r="AD88" s="68">
        <f>$I$42*$AD$42</f>
        <v>54257.382342967649</v>
      </c>
      <c r="AE88" s="68">
        <f>$I$42*$AE$42</f>
        <v>47874.490509920965</v>
      </c>
      <c r="AF88" s="68">
        <f>$I$42*$AF$42</f>
        <v>0</v>
      </c>
      <c r="AG88" s="68">
        <f>$I$42*$AG$42</f>
        <v>-225400.15035498765</v>
      </c>
      <c r="AH88" s="68">
        <f>$I$42*$AH$42</f>
        <v>14855.886528451765</v>
      </c>
    </row>
    <row r="89" spans="1:34" ht="11.25" customHeight="1" x14ac:dyDescent="0.3">
      <c r="A89" s="9" t="s">
        <v>37</v>
      </c>
      <c r="B89" s="9" t="s">
        <v>1205</v>
      </c>
      <c r="C89" s="9" t="s">
        <v>1206</v>
      </c>
      <c r="D89" s="9" t="s">
        <v>1207</v>
      </c>
      <c r="E89" s="9" t="s">
        <v>1208</v>
      </c>
      <c r="F89" s="9" t="s">
        <v>1209</v>
      </c>
      <c r="G89" s="9" t="s">
        <v>1210</v>
      </c>
      <c r="L89" s="68">
        <f>$I$43*$L$43</f>
        <v>0</v>
      </c>
      <c r="M89" s="68">
        <f>$I$43*$M$43</f>
        <v>0</v>
      </c>
      <c r="N89" s="68">
        <f>$I$43*$N$43</f>
        <v>0</v>
      </c>
      <c r="O89" s="68">
        <f>$I$43*$O$43</f>
        <v>0</v>
      </c>
      <c r="P89" s="68">
        <f>$I$43*$P$43</f>
        <v>0</v>
      </c>
      <c r="Q89" s="68">
        <f>$I$43*$Q$43</f>
        <v>0</v>
      </c>
      <c r="R89" s="68">
        <f>$I$43*$R$43</f>
        <v>0</v>
      </c>
      <c r="S89" s="68">
        <f>$I$43*$S$43</f>
        <v>0</v>
      </c>
      <c r="T89" s="68">
        <f>$I$43*$T$43</f>
        <v>0</v>
      </c>
      <c r="U89" s="68">
        <f>$I$43*$U$43</f>
        <v>0</v>
      </c>
      <c r="V89" s="68">
        <f>$I$43*$V$43</f>
        <v>0</v>
      </c>
      <c r="X89" s="68">
        <f>$I$43*$X$43</f>
        <v>0</v>
      </c>
      <c r="Y89" s="68">
        <f>$I$43*$Y$43</f>
        <v>0</v>
      </c>
      <c r="Z89" s="68">
        <f>$I$43*$Z$43</f>
        <v>0</v>
      </c>
      <c r="AA89" s="68">
        <f>$I$43*$AA$43</f>
        <v>0</v>
      </c>
      <c r="AB89" s="68">
        <f>$I$43*$AB$43</f>
        <v>0</v>
      </c>
      <c r="AC89" s="68">
        <f>$I$43*$AC$43</f>
        <v>0</v>
      </c>
      <c r="AD89" s="68">
        <f>$I$43*$AD$43</f>
        <v>0</v>
      </c>
      <c r="AE89" s="68">
        <f>$I$43*$AE$43</f>
        <v>0</v>
      </c>
      <c r="AF89" s="68">
        <f>$I$43*$AF$43</f>
        <v>0</v>
      </c>
      <c r="AG89" s="68">
        <f>$I$43*$AG$43</f>
        <v>0</v>
      </c>
      <c r="AH89" s="68">
        <f>$I$43*$AH$43</f>
        <v>0</v>
      </c>
    </row>
    <row r="90" spans="1:34" ht="11.25" customHeight="1" x14ac:dyDescent="0.3">
      <c r="A90" s="9" t="s">
        <v>45</v>
      </c>
      <c r="B90" s="9" t="s">
        <v>1211</v>
      </c>
      <c r="C90" s="9" t="s">
        <v>1212</v>
      </c>
      <c r="D90" s="9" t="s">
        <v>1213</v>
      </c>
      <c r="E90" s="9" t="s">
        <v>1214</v>
      </c>
      <c r="F90" s="9" t="s">
        <v>1215</v>
      </c>
      <c r="G90" s="9" t="s">
        <v>1216</v>
      </c>
      <c r="L90" s="68">
        <f>$I$44*$L$44</f>
        <v>5533.3601311017746</v>
      </c>
      <c r="M90" s="68">
        <f>$I$44*$M$44</f>
        <v>70281.525458170843</v>
      </c>
      <c r="N90" s="68">
        <f>$I$44*$N$44</f>
        <v>0</v>
      </c>
      <c r="O90" s="68">
        <f>$I$44*$O$44</f>
        <v>26454.110458897503</v>
      </c>
      <c r="P90" s="68">
        <f>$I$44*$P$44</f>
        <v>-36572.869015631761</v>
      </c>
      <c r="Q90" s="68">
        <f>$I$44*$Q$44</f>
        <v>471650.38517187082</v>
      </c>
      <c r="R90" s="68">
        <f>$I$44*$R$44</f>
        <v>15481.014208710783</v>
      </c>
      <c r="S90" s="68">
        <f>$I$44*$S$44</f>
        <v>9317.6563847275702</v>
      </c>
      <c r="T90" s="68">
        <f>$I$44*$T$44</f>
        <v>0</v>
      </c>
      <c r="U90" s="68">
        <f>$I$44*$U$44</f>
        <v>-73295.826404972191</v>
      </c>
      <c r="V90" s="68">
        <f>$I$44*$V$44</f>
        <v>4609.1961227197717</v>
      </c>
      <c r="X90" s="68">
        <f>$I$44*$X$44</f>
        <v>5254.128413440706</v>
      </c>
      <c r="Y90" s="68">
        <f>$I$44*$Y$44</f>
        <v>46138.240469386867</v>
      </c>
      <c r="Z90" s="68">
        <f>$I$44*$Z$44</f>
        <v>0</v>
      </c>
      <c r="AA90" s="68">
        <f>$I$44*$AA$44</f>
        <v>0</v>
      </c>
      <c r="AB90" s="68">
        <f>$I$44*$AB$44</f>
        <v>0</v>
      </c>
      <c r="AC90" s="68">
        <f>$I$44*$AC$44</f>
        <v>424447.67741373327</v>
      </c>
      <c r="AD90" s="68">
        <f>$I$44*$AD$44</f>
        <v>11028.680286321707</v>
      </c>
      <c r="AE90" s="68">
        <f>$I$44*$AE$44</f>
        <v>9731.2554882754121</v>
      </c>
      <c r="AF90" s="68">
        <f>$I$44*$AF$44</f>
        <v>0</v>
      </c>
      <c r="AG90" s="68">
        <f>$I$44*$AG$44</f>
        <v>-45816.183667699348</v>
      </c>
      <c r="AH90" s="68">
        <f>$I$44*$AH$44</f>
        <v>3019.6964139646443</v>
      </c>
    </row>
    <row r="91" spans="1:34" ht="11.25" customHeight="1" x14ac:dyDescent="0.3">
      <c r="A91" s="9" t="s">
        <v>45</v>
      </c>
      <c r="B91" s="9" t="s">
        <v>1211</v>
      </c>
      <c r="C91" s="9" t="s">
        <v>1212</v>
      </c>
      <c r="D91" s="9" t="s">
        <v>1217</v>
      </c>
      <c r="E91" s="9" t="s">
        <v>1218</v>
      </c>
      <c r="F91" s="9" t="s">
        <v>1219</v>
      </c>
      <c r="G91" s="9" t="s">
        <v>1220</v>
      </c>
      <c r="L91" s="68">
        <f>$I$45*$L$45</f>
        <v>0</v>
      </c>
      <c r="M91" s="68">
        <f>$I$45*$M$45</f>
        <v>0</v>
      </c>
      <c r="N91" s="68">
        <f>$I$45*$N$45</f>
        <v>0</v>
      </c>
      <c r="O91" s="68">
        <f>$I$45*$O$45</f>
        <v>0</v>
      </c>
      <c r="P91" s="68">
        <f>$I$45*$P$45</f>
        <v>0</v>
      </c>
      <c r="Q91" s="68">
        <f>$I$45*$Q$45</f>
        <v>0</v>
      </c>
      <c r="R91" s="68">
        <f>$I$45*$R$45</f>
        <v>0</v>
      </c>
      <c r="S91" s="68">
        <f>$I$45*$S$45</f>
        <v>0</v>
      </c>
      <c r="T91" s="68">
        <f>$I$45*$T$45</f>
        <v>0</v>
      </c>
      <c r="U91" s="68">
        <f>$I$45*$U$45</f>
        <v>0</v>
      </c>
      <c r="V91" s="68">
        <f>$I$45*$V$45</f>
        <v>0</v>
      </c>
      <c r="X91" s="68">
        <f>$I$45*$X$45</f>
        <v>0</v>
      </c>
      <c r="Y91" s="68">
        <f>$I$45*$Y$45</f>
        <v>0</v>
      </c>
      <c r="Z91" s="68">
        <f>$I$45*$Z$45</f>
        <v>0</v>
      </c>
      <c r="AA91" s="68">
        <f>$I$45*$AA$45</f>
        <v>0</v>
      </c>
      <c r="AB91" s="68">
        <f>$I$45*$AB$45</f>
        <v>0</v>
      </c>
      <c r="AC91" s="68">
        <f>$I$45*$AC$45</f>
        <v>0</v>
      </c>
      <c r="AD91" s="68">
        <f>$I$45*$AD$45</f>
        <v>0</v>
      </c>
      <c r="AE91" s="68">
        <f>$I$45*$AE$45</f>
        <v>0</v>
      </c>
      <c r="AF91" s="68">
        <f>$I$45*$AF$45</f>
        <v>0</v>
      </c>
      <c r="AG91" s="68">
        <f>$I$45*$AG$45</f>
        <v>0</v>
      </c>
      <c r="AH91" s="68">
        <f>$I$45*$AH$45</f>
        <v>0</v>
      </c>
    </row>
  </sheetData>
  <mergeCells count="69">
    <mergeCell ref="F1:F4"/>
    <mergeCell ref="A1:A4"/>
    <mergeCell ref="B1:B4"/>
    <mergeCell ref="C1:C4"/>
    <mergeCell ref="D1:D4"/>
    <mergeCell ref="E1:E4"/>
    <mergeCell ref="H1:H4"/>
    <mergeCell ref="I1:I4"/>
    <mergeCell ref="J1:J4"/>
    <mergeCell ref="L1:V1"/>
    <mergeCell ref="L2:V2"/>
    <mergeCell ref="L3:P3"/>
    <mergeCell ref="R3:T3"/>
    <mergeCell ref="A5:A10"/>
    <mergeCell ref="B5:B6"/>
    <mergeCell ref="C5:C6"/>
    <mergeCell ref="D5:D6"/>
    <mergeCell ref="E5:E6"/>
    <mergeCell ref="A11:A23"/>
    <mergeCell ref="B11:B13"/>
    <mergeCell ref="C11:C13"/>
    <mergeCell ref="D11:D13"/>
    <mergeCell ref="E11:E13"/>
    <mergeCell ref="B14:B18"/>
    <mergeCell ref="C14:C18"/>
    <mergeCell ref="B19:B23"/>
    <mergeCell ref="C19:C23"/>
    <mergeCell ref="A24:A38"/>
    <mergeCell ref="B24:B26"/>
    <mergeCell ref="C24:C26"/>
    <mergeCell ref="D24:D26"/>
    <mergeCell ref="E24:E26"/>
    <mergeCell ref="B28:B30"/>
    <mergeCell ref="C28:C30"/>
    <mergeCell ref="D28:D30"/>
    <mergeCell ref="E28:E30"/>
    <mergeCell ref="X1:AH1"/>
    <mergeCell ref="X2:AH2"/>
    <mergeCell ref="X3:AB3"/>
    <mergeCell ref="AD3:AF3"/>
    <mergeCell ref="B36:B38"/>
    <mergeCell ref="C36:C38"/>
    <mergeCell ref="F28:F30"/>
    <mergeCell ref="B32:B34"/>
    <mergeCell ref="C32:C34"/>
    <mergeCell ref="D32:D34"/>
    <mergeCell ref="E32:E34"/>
    <mergeCell ref="F32:F34"/>
    <mergeCell ref="F24:F26"/>
    <mergeCell ref="F11:F13"/>
    <mergeCell ref="F5:F6"/>
    <mergeCell ref="G1:G4"/>
    <mergeCell ref="E39:E41"/>
    <mergeCell ref="F39:F41"/>
    <mergeCell ref="A44:A45"/>
    <mergeCell ref="B44:B45"/>
    <mergeCell ref="C44:C45"/>
    <mergeCell ref="A39:A43"/>
    <mergeCell ref="B39:B41"/>
    <mergeCell ref="C39:C41"/>
    <mergeCell ref="D39:D41"/>
    <mergeCell ref="L47:V47"/>
    <mergeCell ref="X47:AH47"/>
    <mergeCell ref="L48:V48"/>
    <mergeCell ref="X48:AH48"/>
    <mergeCell ref="L49:P49"/>
    <mergeCell ref="R49:T49"/>
    <mergeCell ref="X49:AB49"/>
    <mergeCell ref="AD49:AF4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03519-F35E-40BF-B013-B3EE8D7294D2}">
  <sheetPr codeName="Planilha21"/>
  <dimension ref="A1:AG15"/>
  <sheetViews>
    <sheetView showGridLines="0" workbookViewId="0">
      <selection activeCell="Q25" sqref="Q25"/>
    </sheetView>
  </sheetViews>
  <sheetFormatPr defaultColWidth="9.109375" defaultRowHeight="10.199999999999999" x14ac:dyDescent="0.2"/>
  <cols>
    <col min="1" max="1" width="19.109375" style="14" bestFit="1" customWidth="1"/>
    <col min="2" max="2" width="12.44140625" style="14" bestFit="1" customWidth="1"/>
    <col min="3" max="7" width="10.33203125" style="14" bestFit="1" customWidth="1"/>
    <col min="8" max="8" width="10" style="14" bestFit="1" customWidth="1"/>
    <col min="9" max="9" width="8" style="14" bestFit="1" customWidth="1"/>
    <col min="10" max="10" width="7.33203125" style="14" bestFit="1" customWidth="1"/>
    <col min="11" max="11" width="7.109375" style="14" bestFit="1" customWidth="1"/>
    <col min="12" max="12" width="9.5546875" style="14" bestFit="1" customWidth="1"/>
    <col min="13" max="13" width="9.6640625" style="14" bestFit="1" customWidth="1"/>
    <col min="14" max="14" width="10.88671875" style="14" bestFit="1" customWidth="1"/>
    <col min="15" max="15" width="7.44140625" style="14" bestFit="1" customWidth="1"/>
    <col min="16" max="16" width="9.6640625" style="14" bestFit="1" customWidth="1"/>
    <col min="17" max="17" width="11" style="14" bestFit="1" customWidth="1"/>
    <col min="18" max="18" width="10.5546875" style="14" bestFit="1" customWidth="1"/>
    <col min="19" max="19" width="7.109375" style="14" bestFit="1" customWidth="1"/>
    <col min="20" max="20" width="14.5546875" style="14" bestFit="1" customWidth="1"/>
    <col min="21" max="21" width="17.6640625" style="14" bestFit="1" customWidth="1"/>
    <col min="22" max="22" width="18.44140625" style="14" bestFit="1" customWidth="1"/>
    <col min="23" max="23" width="6" style="14" bestFit="1" customWidth="1"/>
    <col min="24" max="24" width="10.88671875" style="14" bestFit="1" customWidth="1"/>
    <col min="25" max="26" width="9.109375" style="14"/>
    <col min="27" max="27" width="3" style="14" bestFit="1" customWidth="1"/>
    <col min="28" max="28" width="21.5546875" style="14" bestFit="1" customWidth="1"/>
    <col min="29" max="29" width="13.5546875" style="14" bestFit="1" customWidth="1"/>
    <col min="30" max="30" width="25.109375" style="14" bestFit="1" customWidth="1"/>
    <col min="31" max="33" width="10.33203125" style="14" bestFit="1" customWidth="1"/>
    <col min="34" max="16384" width="9.109375" style="14"/>
  </cols>
  <sheetData>
    <row r="1" spans="1:33" x14ac:dyDescent="0.2">
      <c r="A1" s="14" t="s">
        <v>66</v>
      </c>
      <c r="B1" s="14" t="s">
        <v>67</v>
      </c>
      <c r="C1" s="14" t="s">
        <v>68</v>
      </c>
      <c r="D1" s="14" t="s">
        <v>69</v>
      </c>
      <c r="E1" s="14" t="s">
        <v>70</v>
      </c>
      <c r="F1" s="14" t="s">
        <v>15</v>
      </c>
      <c r="G1" s="14" t="s">
        <v>72</v>
      </c>
      <c r="I1" s="14" t="s">
        <v>1228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90</v>
      </c>
      <c r="AB2" s="14" t="s">
        <v>83</v>
      </c>
      <c r="AC2" s="14" t="s">
        <v>24</v>
      </c>
      <c r="AD2" s="14" t="s">
        <v>24</v>
      </c>
      <c r="AE2" s="14" t="s">
        <v>87</v>
      </c>
      <c r="AF2" s="14" t="s">
        <v>58</v>
      </c>
      <c r="AG2" s="14" t="s">
        <v>85</v>
      </c>
    </row>
    <row r="3" spans="1:33" x14ac:dyDescent="0.2">
      <c r="AA3" s="14" t="s">
        <v>22</v>
      </c>
      <c r="AB3" s="14" t="s">
        <v>56</v>
      </c>
      <c r="AC3" s="14" t="s">
        <v>43</v>
      </c>
      <c r="AD3" s="14" t="s">
        <v>29</v>
      </c>
      <c r="AE3" s="14" t="s">
        <v>91</v>
      </c>
      <c r="AG3" s="14" t="s">
        <v>86</v>
      </c>
    </row>
    <row r="4" spans="1:33" x14ac:dyDescent="0.2">
      <c r="AA4" s="14" t="s">
        <v>42</v>
      </c>
      <c r="AB4" s="14" t="s">
        <v>88</v>
      </c>
      <c r="AC4" s="14" t="s">
        <v>46</v>
      </c>
      <c r="AD4" s="14" t="s">
        <v>30</v>
      </c>
      <c r="AE4" s="14" t="s">
        <v>92</v>
      </c>
      <c r="AG4" s="14" t="s">
        <v>81</v>
      </c>
    </row>
    <row r="5" spans="1:33" x14ac:dyDescent="0.2">
      <c r="A5" s="14" t="s">
        <v>1221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648</v>
      </c>
      <c r="AA5" s="14" t="s">
        <v>37</v>
      </c>
      <c r="AB5" s="14" t="s">
        <v>40</v>
      </c>
      <c r="AD5" s="14" t="s">
        <v>31</v>
      </c>
      <c r="AG5" s="14" t="s">
        <v>9</v>
      </c>
    </row>
    <row r="6" spans="1:33" x14ac:dyDescent="0.2">
      <c r="A6" s="14" t="s">
        <v>1222</v>
      </c>
      <c r="B6" s="20">
        <f>SUM(TUSD!$AI$60:'TUSD'!$AI$109)</f>
        <v>233153.50185358222</v>
      </c>
      <c r="C6" s="20">
        <f>SUM(TUSD!$AJ$60:'TUSD'!$AJ$109)</f>
        <v>75753.648588512369</v>
      </c>
      <c r="D6" s="20">
        <f>SUM(TUSD!$AK$60:'TUSD'!$AK$109)</f>
        <v>215021.90658527013</v>
      </c>
      <c r="E6" s="20">
        <f>SUM(TUSD!$AL$60:'TUSD'!$AL$109)</f>
        <v>0</v>
      </c>
      <c r="F6" s="20">
        <f>SUM(TUSD!$AM$60:'TUSD'!$AM$109)</f>
        <v>0</v>
      </c>
      <c r="G6" s="20">
        <f>SUM(TUSD!$AN$60:'TUSD'!$AN$109)</f>
        <v>5305789.7757965093</v>
      </c>
      <c r="H6" s="20">
        <f>SUM(TUSD!$AO$60:'TUSD'!$AO$109)</f>
        <v>826226.07332478813</v>
      </c>
      <c r="I6" s="20">
        <f>SUM(TUSD!$AP$60:'TUSD'!$AP$109)</f>
        <v>0</v>
      </c>
      <c r="J6" s="20">
        <f>SUM(TUSD!$AQ$60:'TUSD'!$AQ$109)</f>
        <v>0</v>
      </c>
      <c r="K6" s="20">
        <f>SUM(TUSD!$AR$60:'TUSD'!$AR$109)</f>
        <v>0</v>
      </c>
      <c r="L6" s="20">
        <f>SUM(TUSD!$AS$60:'TUSD'!$AS$109)</f>
        <v>0</v>
      </c>
      <c r="M6" s="20">
        <f>SUM(TUSD!$AT$60:'TUSD'!$AT$109)</f>
        <v>0</v>
      </c>
      <c r="N6" s="20">
        <f>SUM(TUSD!$AU$60:'TUSD'!$AU$109)</f>
        <v>11669748.880844485</v>
      </c>
      <c r="O6" s="20">
        <f>SUM(TUSD!$AV$60:'TUSD'!$AV$109)</f>
        <v>0</v>
      </c>
      <c r="P6" s="20">
        <f>SUM(TUSD!$AW$60:'TUSD'!$AW$109)</f>
        <v>0</v>
      </c>
      <c r="Q6" s="20">
        <f>SUM(TUSD!$AX$60:'TUSD'!$AX$109)</f>
        <v>12078926.7826172</v>
      </c>
      <c r="R6" s="20">
        <f>SUM(TUSD!$AY$60:'TUSD'!$AY$109)</f>
        <v>-2511166.1572710183</v>
      </c>
      <c r="S6" s="20">
        <f>SUM(TUSD!$AZ$60:'TUSD'!$AZ$109)</f>
        <v>0</v>
      </c>
      <c r="T6" s="20">
        <f>SUM(TUSD!$BA$60:'TUSD'!$BA$109)</f>
        <v>1651756.1031107116</v>
      </c>
      <c r="U6" s="20">
        <f>SUM(TUSD!$BB$60:'TUSD'!$BB$109)</f>
        <v>12407.101885055459</v>
      </c>
      <c r="V6" s="20">
        <f>SUM(TUSD!$BC$60:'TUSD'!$BC$109)</f>
        <v>82707.725913793969</v>
      </c>
      <c r="W6" s="20">
        <f>SUM(TUSD!$BD$60:'TUSD'!$BD$109)</f>
        <v>24112.862752376615</v>
      </c>
      <c r="X6" s="20">
        <f t="shared" ref="X6:X11" si="0">SUM(B6:W6)</f>
        <v>29664438.206001267</v>
      </c>
      <c r="AA6" s="14" t="s">
        <v>45</v>
      </c>
      <c r="AB6" s="14" t="s">
        <v>33</v>
      </c>
      <c r="AD6" s="14" t="s">
        <v>32</v>
      </c>
      <c r="AG6" s="14" t="s">
        <v>77</v>
      </c>
    </row>
    <row r="7" spans="1:33" x14ac:dyDescent="0.2">
      <c r="A7" s="14" t="s">
        <v>1223</v>
      </c>
      <c r="B7" s="20">
        <f>SUM(TUSD!$L$60:'TUSD'!$L$109)</f>
        <v>242803.10628994112</v>
      </c>
      <c r="C7" s="20">
        <f>SUM(TUSD!$M$60:'TUSD'!$M$109)</f>
        <v>70152.261758039764</v>
      </c>
      <c r="D7" s="20">
        <f ca="1">SUM(TUSD!$N$60:'TUSD'!$N$109)</f>
        <v>244743.13619267923</v>
      </c>
      <c r="E7" s="20">
        <f>SUM(TUSD!$O$60:'TUSD'!$O$109)</f>
        <v>0</v>
      </c>
      <c r="F7" s="20">
        <f>SUM(TUSD!$P$60:'TUSD'!$P$109)</f>
        <v>0</v>
      </c>
      <c r="G7" s="20">
        <f>SUM(TUSD!$Q$60:'TUSD'!$Q$109)</f>
        <v>6875346.3502720948</v>
      </c>
      <c r="H7" s="20">
        <f>SUM(TUSD!$R$60:'TUSD'!$R$109)</f>
        <v>1215931.8931719232</v>
      </c>
      <c r="I7" s="20">
        <f>SUM(TUSD!$S$60:'TUSD'!$S$109)</f>
        <v>0</v>
      </c>
      <c r="J7" s="20">
        <f>SUM(TUSD!$T$60:'TUSD'!$T$109)</f>
        <v>0</v>
      </c>
      <c r="K7" s="20">
        <f>SUM(TUSD!$U$60:'TUSD'!$U$109)</f>
        <v>0</v>
      </c>
      <c r="L7" s="20">
        <f>SUM(TUSD!$V$60:'TUSD'!$V$109)</f>
        <v>0</v>
      </c>
      <c r="M7" s="20">
        <f>SUM(TUSD!$W$60:'TUSD'!$W$109)</f>
        <v>0</v>
      </c>
      <c r="N7" s="20">
        <f>SUM(TUSD!$X$60:'TUSD'!$X$109)</f>
        <v>10824323.433156244</v>
      </c>
      <c r="O7" s="20">
        <f>SUM(TUSD!$Y$60:'TUSD'!$Y$109)</f>
        <v>0</v>
      </c>
      <c r="P7" s="20">
        <f>SUM(TUSD!$Z$60:'TUSD'!$Z$109)</f>
        <v>0</v>
      </c>
      <c r="Q7" s="20">
        <f>SUM(TUSD!$AA$60:'TUSD'!$AA$109)</f>
        <v>17018517.453452662</v>
      </c>
      <c r="R7" s="20">
        <f ca="1">SUM(TUSD!$AB$60:'TUSD'!$AB$109)</f>
        <v>-4494133.7151028123</v>
      </c>
      <c r="S7" s="20">
        <f ca="1">SUM(TUSD!$AC$60:'TUSD'!$AC$109)</f>
        <v>0</v>
      </c>
      <c r="T7" s="20">
        <f>SUM(TUSD!$AD$60:'TUSD'!$AD$109)</f>
        <v>1435348.9555229265</v>
      </c>
      <c r="U7" s="20">
        <f>SUM(TUSD!$AE$60:'TUSD'!$AE$109)</f>
        <v>14679.622766275119</v>
      </c>
      <c r="V7" s="20">
        <f ca="1">SUM(TUSD!$AF$60:'TUSD'!$AF$109)</f>
        <v>59738.072876061335</v>
      </c>
      <c r="W7" s="20">
        <f ca="1">SUM(TUSD!$AG$60:'TUSD'!$AG$109)</f>
        <v>24945.728561545995</v>
      </c>
      <c r="X7" s="20">
        <f t="shared" ca="1" si="0"/>
        <v>33532396.29891758</v>
      </c>
      <c r="AB7" s="14" t="s">
        <v>23</v>
      </c>
      <c r="AD7" s="14" t="s">
        <v>96</v>
      </c>
      <c r="AG7" s="14" t="s">
        <v>78</v>
      </c>
    </row>
    <row r="8" spans="1:33" x14ac:dyDescent="0.2">
      <c r="A8" s="14" t="s">
        <v>1226</v>
      </c>
      <c r="B8" s="20">
        <f>IF($G$2&lt;&gt;"Não se aplica",SUMIF(TUSD!$G$60:'TUSD'!$G$109,$I$2,TUSD!$AI$60:'TUSD'!$AI$109),IF($F$2&lt;&gt;"Não se aplica",SUMIF(TUSD!$F$60:'TUSD'!$F$109,$I$2,TUSD!$AI$60:'TUSD'!$AI$109),IF($E$2&lt;&gt;"Não se aplica",SUMIF(TUSD!$E$60:'TUSD'!$E$109,$I$2,TUSD!$AI$60:'TUSD'!$AI$109),IF($D$2&lt;&gt;"Não se aplica",SUMIF(TUSD!$D$60:'TUSD'!$D$109,$I$2,TUSD!$AI$60:'TUSD'!$AI$109),IF($C$2&lt;&gt;"Não se aplica",SUMIF(TUSD!$C$60:'TUSD'!$C$109,$I$2,TUSD!$AI$60:'TUSD'!$AI$109),IF($B$2&lt;&gt;"Não se aplica",SUMIF(TUSD!$B$60:'TUSD'!$B$109,$I$2,TUSD!$AI$60:'TUSD'!$AI$109),SUMIF(TUSD!$A$60:'TUSD'!$A$109,$I$2,TUSD!$AI$60:'TUSD'!$AI$109)))))))</f>
        <v>58747.595941402535</v>
      </c>
      <c r="C8" s="20">
        <f>IF($G$2&lt;&gt;"Não se aplica",SUMIF(TUSD!$G$60:'TUSD'!$G$109,$I$2,TUSD!$AJ$60:'TUSD'!$AJ$109),IF($F$2&lt;&gt;"Não se aplica",SUMIF(TUSD!$F$60:'TUSD'!$F$109,$I$2,TUSD!$AJ$60:'TUSD'!$AJ$109),IF($E$2&lt;&gt;"Não se aplica",SUMIF(TUSD!$E$60:'TUSD'!$E$109,$I$2,TUSD!$AJ$60:'TUSD'!$AJ$109),IF($D$2&lt;&gt;"Não se aplica",SUMIF(TUSD!$D$60:'TUSD'!$D$109,$I$2,TUSD!$AJ$60:'TUSD'!$AJ$109),IF($C$2&lt;&gt;"Não se aplica",SUMIF(TUSD!$C$60:'TUSD'!$C$109,$I$2,TUSD!$AJ$60:'TUSD'!$AJ$109),IF($B$2&lt;&gt;"Não se aplica",SUMIF(TUSD!$B$60:'TUSD'!$B$109,$I$2,TUSD!$AJ$60:'TUSD'!$AJ$109),SUMIF(TUSD!$A$60:'TUSD'!$A$109,$I$2,TUSD!$AJ$60:'TUSD'!$AJ$109)))))))</f>
        <v>17547.272159957556</v>
      </c>
      <c r="D8" s="20">
        <f>IF($G$2&lt;&gt;"Não se aplica",SUMIF(TUSD!$G$60:'TUSD'!$G$109,$I$2,TUSD!$AK$60:'TUSD'!$AK$109),IF($F$2&lt;&gt;"Não se aplica",SUMIF(TUSD!$F$60:'TUSD'!$F$109,$I$2,TUSD!$AK$60:'TUSD'!$AK$109),IF($E$2&lt;&gt;"Não se aplica",SUMIF(TUSD!$E$60:'TUSD'!$E$109,$I$2,TUSD!$AK$60:'TUSD'!$AK$109),IF($D$2&lt;&gt;"Não se aplica",SUMIF(TUSD!$D$60:'TUSD'!$D$109,$I$2,TUSD!$AK$60:'TUSD'!$AK$109),IF($C$2&lt;&gt;"Não se aplica",SUMIF(TUSD!$C$60:'TUSD'!$C$109,$I$2,TUSD!$AK$60:'TUSD'!$AK$109),IF($B$2&lt;&gt;"Não se aplica",SUMIF(TUSD!$B$60:'TUSD'!$B$109,$I$2,TUSD!$AK$60:'TUSD'!$AK$109),SUMIF(TUSD!$A$60:'TUSD'!$A$109,$I$2,TUSD!$AK$60:'TUSD'!$AK$109)))))))</f>
        <v>25201.699406021893</v>
      </c>
      <c r="E8" s="20">
        <f>IF($G$2&lt;&gt;"Não se aplica",SUMIF(TUSD!$G$60:'TUSD'!$G$109,$I$2,TUSD!$AL$60:'TUSD'!$AL$109),IF($F$2&lt;&gt;"Não se aplica",SUMIF(TUSD!$F$60:'TUSD'!$F$109,$I$2,TUSD!$AL$60:'TUSD'!$AL$109),IF($E$2&lt;&gt;"Não se aplica",SUMIF(TUSD!$E$60:'TUSD'!$E$109,$I$2,TUSD!$AL$60:'TUSD'!$AL$109),IF($D$2&lt;&gt;"Não se aplica",SUMIF(TUSD!$D$60:'TUSD'!$D$109,$I$2,TUSD!$AL$60:'TUSD'!$AL$109),IF($C$2&lt;&gt;"Não se aplica",SUMIF(TUSD!$C$60:'TUSD'!$C$109,$I$2,TUSD!$AL$60:'TUSD'!$AL$109),IF($B$2&lt;&gt;"Não se aplica",SUMIF(TUSD!$B$60:'TUSD'!$B$109,$I$2,TUSD!$AL$60:'TUSD'!$AL$109),SUMIF(TUSD!$A$60:'TUSD'!$A$109,$I$2,TUSD!$AL$60:'TUSD'!$AL$109)))))))</f>
        <v>0</v>
      </c>
      <c r="F8" s="20">
        <f>IF($G$2&lt;&gt;"Não se aplica",SUMIF(TUSD!$G$60:'TUSD'!$G$109,$I$2,TUSD!$AM$60:'TUSD'!$AM$109),IF($F$2&lt;&gt;"Não se aplica",SUMIF(TUSD!$F$60:'TUSD'!$F$109,$I$2,TUSD!$AM$60:'TUSD'!$AM$109),IF($E$2&lt;&gt;"Não se aplica",SUMIF(TUSD!$E$60:'TUSD'!$E$109,$I$2,TUSD!$AM$60:'TUSD'!$AM$109),IF($D$2&lt;&gt;"Não se aplica",SUMIF(TUSD!$D$60:'TUSD'!$D$109,$I$2,TUSD!$AM$60:'TUSD'!$AM$109),IF($C$2&lt;&gt;"Não se aplica",SUMIF(TUSD!$C$60:'TUSD'!$C$109,$I$2,TUSD!$AM$60:'TUSD'!$AM$109),IF($B$2&lt;&gt;"Não se aplica",SUMIF(TUSD!$B$60:'TUSD'!$B$109,$I$2,TUSD!$AM$60:'TUSD'!$AM$109),SUMIF(TUSD!$A$60:'TUSD'!$A$109,$I$2,TUSD!$AM$60:'TUSD'!$AM$109)))))))</f>
        <v>0</v>
      </c>
      <c r="G8" s="20">
        <f>IF($G$2&lt;&gt;"Não se aplica",SUMIF(TUSD!$G$60:'TUSD'!$G$109,$I$2,TUSD!$AN$60:'TUSD'!$AN$109),IF($F$2&lt;&gt;"Não se aplica",SUMIF(TUSD!$F$60:'TUSD'!$F$109,$I$2,TUSD!$AN$60:'TUSD'!$AN$109),IF($E$2&lt;&gt;"Não se aplica",SUMIF(TUSD!$E$60:'TUSD'!$E$109,$I$2,TUSD!$AN$60:'TUSD'!$AN$109),IF($D$2&lt;&gt;"Não se aplica",SUMIF(TUSD!$D$60:'TUSD'!$D$109,$I$2,TUSD!$AN$60:'TUSD'!$AN$109),IF($C$2&lt;&gt;"Não se aplica",SUMIF(TUSD!$C$60:'TUSD'!$C$109,$I$2,TUSD!$AN$60:'TUSD'!$AN$109),IF($B$2&lt;&gt;"Não se aplica",SUMIF(TUSD!$B$60:'TUSD'!$B$109,$I$2,TUSD!$AN$60:'TUSD'!$AN$109),SUMIF(TUSD!$A$60:'TUSD'!$A$109,$I$2,TUSD!$AN$60:'TUSD'!$AN$109)))))))</f>
        <v>1336897.7580026393</v>
      </c>
      <c r="H8" s="20">
        <f>IF($G$2&lt;&gt;"Não se aplica",SUMIF(TUSD!$G$60:'TUSD'!$G$109,$I$2,TUSD!$AO$60:'TUSD'!$AO$109),IF($F$2&lt;&gt;"Não se aplica",SUMIF(TUSD!$F$60:'TUSD'!$F$109,$I$2,TUSD!$AO$60:'TUSD'!$AO$109),IF($E$2&lt;&gt;"Não se aplica",SUMIF(TUSD!$E$60:'TUSD'!$E$109,$I$2,TUSD!$AO$60:'TUSD'!$AO$109),IF($D$2&lt;&gt;"Não se aplica",SUMIF(TUSD!$D$60:'TUSD'!$D$109,$I$2,TUSD!$AO$60:'TUSD'!$AO$109),IF($C$2&lt;&gt;"Não se aplica",SUMIF(TUSD!$C$60:'TUSD'!$C$109,$I$2,TUSD!$AO$60:'TUSD'!$AO$109),IF($B$2&lt;&gt;"Não se aplica",SUMIF(TUSD!$B$60:'TUSD'!$B$109,$I$2,TUSD!$AO$60:'TUSD'!$AO$109),SUMIF(TUSD!$A$60:'TUSD'!$A$109,$I$2,TUSD!$AO$60:'TUSD'!$AO$109)))))))</f>
        <v>230609.20859547559</v>
      </c>
      <c r="I8" s="20">
        <f>IF($G$2&lt;&gt;"Não se aplica",SUMIF(TUSD!$G$60:'TUSD'!$G$109,$I$2,TUSD!$AP$60:'TUSD'!$AP$109),IF($F$2&lt;&gt;"Não se aplica",SUMIF(TUSD!$F$60:'TUSD'!$F$109,$I$2,TUSD!$AP$60:'TUSD'!$AP$109),IF($E$2&lt;&gt;"Não se aplica",SUMIF(TUSD!$E$60:'TUSD'!$E$109,$I$2,TUSD!$AP$60:'TUSD'!$AP$109),IF($D$2&lt;&gt;"Não se aplica",SUMIF(TUSD!$D$60:'TUSD'!$D$109,$I$2,TUSD!$AP$60:'TUSD'!$AP$109),IF($C$2&lt;&gt;"Não se aplica",SUMIF(TUSD!$C$60:'TUSD'!$C$109,$I$2,TUSD!$AP$60:'TUSD'!$AP$109),IF($B$2&lt;&gt;"Não se aplica",SUMIF(TUSD!$B$60:'TUSD'!$B$109,$I$2,TUSD!$AP$60:'TUSD'!$AP$109),SUMIF(TUSD!$A$60:'TUSD'!$A$109,$I$2,TUSD!$AP$60:'TUSD'!$AP$109)))))))</f>
        <v>0</v>
      </c>
      <c r="J8" s="20">
        <f>IF($G$2&lt;&gt;"Não se aplica",SUMIF(TUSD!$G$60:'TUSD'!$G$109,$I$2,TUSD!$AQ$60:'TUSD'!$AQ$109),IF($F$2&lt;&gt;"Não se aplica",SUMIF(TUSD!$F$60:'TUSD'!$F$109,$I$2,TUSD!$AQ$60:'TUSD'!$AQ$109),IF($E$2&lt;&gt;"Não se aplica",SUMIF(TUSD!$E$60:'TUSD'!$E$109,$I$2,TUSD!$AQ$60:'TUSD'!$AQ$109),IF($D$2&lt;&gt;"Não se aplica",SUMIF(TUSD!$D$60:'TUSD'!$D$109,$I$2,TUSD!$AQ$60:'TUSD'!$AQ$109),IF($C$2&lt;&gt;"Não se aplica",SUMIF(TUSD!$C$60:'TUSD'!$C$109,$I$2,TUSD!$AQ$60:'TUSD'!$AQ$109),IF($B$2&lt;&gt;"Não se aplica",SUMIF(TUSD!$B$60:'TUSD'!$B$109,$I$2,TUSD!$AQ$60:'TUSD'!$AQ$109),SUMIF(TUSD!$A$60:'TUSD'!$A$109,$I$2,TUSD!$AQ$60:'TUSD'!$AQ$109)))))))</f>
        <v>0</v>
      </c>
      <c r="K8" s="20">
        <f>IF($G$2&lt;&gt;"Não se aplica",SUMIF(TUSD!$G$60:'TUSD'!$G$109,$I$2,TUSD!$AR$60:'TUSD'!$AR$109),IF($F$2&lt;&gt;"Não se aplica",SUMIF(TUSD!$F$60:'TUSD'!$F$109,$I$2,TUSD!$AR$60:'TUSD'!$AR$109),IF($E$2&lt;&gt;"Não se aplica",SUMIF(TUSD!$E$60:'TUSD'!$E$109,$I$2,TUSD!$AR$60:'TUSD'!$AR$109),IF($D$2&lt;&gt;"Não se aplica",SUMIF(TUSD!$D$60:'TUSD'!$D$109,$I$2,TUSD!$AR$60:'TUSD'!$AR$109),IF($C$2&lt;&gt;"Não se aplica",SUMIF(TUSD!$C$60:'TUSD'!$C$109,$I$2,TUSD!$AR$60:'TUSD'!$AR$109),IF($B$2&lt;&gt;"Não se aplica",SUMIF(TUSD!$B$60:'TUSD'!$B$109,$I$2,TUSD!$AR$60:'TUSD'!$AR$109),SUMIF(TUSD!$A$60:'TUSD'!$A$109,$I$2,TUSD!$AR$60:'TUSD'!$AR$109)))))))</f>
        <v>0</v>
      </c>
      <c r="L8" s="20">
        <f>IF($G$2&lt;&gt;"Não se aplica",SUMIF(TUSD!$G$60:'TUSD'!$G$109,$I$2,TUSD!$AS$60:'TUSD'!$AS$109),IF($F$2&lt;&gt;"Não se aplica",SUMIF(TUSD!$F$60:'TUSD'!$F$109,$I$2,TUSD!$AS$60:'TUSD'!$AS$109),IF($E$2&lt;&gt;"Não se aplica",SUMIF(TUSD!$E$60:'TUSD'!$E$109,$I$2,TUSD!$AS$60:'TUSD'!$AS$109),IF($D$2&lt;&gt;"Não se aplica",SUMIF(TUSD!$D$60:'TUSD'!$D$109,$I$2,TUSD!$AS$60:'TUSD'!$AS$109),IF($C$2&lt;&gt;"Não se aplica",SUMIF(TUSD!$C$60:'TUSD'!$C$109,$I$2,TUSD!$AS$60:'TUSD'!$AS$109),IF($B$2&lt;&gt;"Não se aplica",SUMIF(TUSD!$B$60:'TUSD'!$B$109,$I$2,TUSD!$AS$60:'TUSD'!$AS$109),SUMIF(TUSD!$A$60:'TUSD'!$A$109,$I$2,TUSD!$AS$60:'TUSD'!$AS$109)))))))</f>
        <v>0</v>
      </c>
      <c r="M8" s="20">
        <f>IF($G$2&lt;&gt;"Não se aplica",SUMIF(TUSD!$G$60:'TUSD'!$G$109,$I$2,TUSD!$AT$60:'TUSD'!$AT$109),IF($F$2&lt;&gt;"Não se aplica",SUMIF(TUSD!$F$60:'TUSD'!$F$109,$I$2,TUSD!$AT$60:'TUSD'!$AT$109),IF($E$2&lt;&gt;"Não se aplica",SUMIF(TUSD!$E$60:'TUSD'!$E$109,$I$2,TUSD!$AT$60:'TUSD'!$AT$109),IF($D$2&lt;&gt;"Não se aplica",SUMIF(TUSD!$D$60:'TUSD'!$D$109,$I$2,TUSD!$AT$60:'TUSD'!$AT$109),IF($C$2&lt;&gt;"Não se aplica",SUMIF(TUSD!$C$60:'TUSD'!$C$109,$I$2,TUSD!$AT$60:'TUSD'!$AT$109),IF($B$2&lt;&gt;"Não se aplica",SUMIF(TUSD!$B$60:'TUSD'!$B$109,$I$2,TUSD!$AT$60:'TUSD'!$AT$109),SUMIF(TUSD!$A$60:'TUSD'!$A$109,$I$2,TUSD!$AT$60:'TUSD'!$AT$109)))))))</f>
        <v>0</v>
      </c>
      <c r="N8" s="20">
        <f>IF($G$2&lt;&gt;"Não se aplica",SUMIF(TUSD!$G$60:'TUSD'!$G$109,$I$2,TUSD!$AU$60:'TUSD'!$AU$109),IF($F$2&lt;&gt;"Não se aplica",SUMIF(TUSD!$F$60:'TUSD'!$F$109,$I$2,TUSD!$AU$60:'TUSD'!$AU$109),IF($E$2&lt;&gt;"Não se aplica",SUMIF(TUSD!$E$60:'TUSD'!$E$109,$I$2,TUSD!$AU$60:'TUSD'!$AU$109),IF($D$2&lt;&gt;"Não se aplica",SUMIF(TUSD!$D$60:'TUSD'!$D$109,$I$2,TUSD!$AU$60:'TUSD'!$AU$109),IF($C$2&lt;&gt;"Não se aplica",SUMIF(TUSD!$C$60:'TUSD'!$C$109,$I$2,TUSD!$AU$60:'TUSD'!$AU$109),IF($B$2&lt;&gt;"Não se aplica",SUMIF(TUSD!$B$60:'TUSD'!$B$109,$I$2,TUSD!$AU$60:'TUSD'!$AU$109),SUMIF(TUSD!$A$60:'TUSD'!$A$109,$I$2,TUSD!$AU$60:'TUSD'!$AU$109)))))))</f>
        <v>4091467.9836686663</v>
      </c>
      <c r="O8" s="20">
        <f>IF($G$2&lt;&gt;"Não se aplica",SUMIF(TUSD!$G$60:'TUSD'!$G$109,$I$2,TUSD!$AV$60:'TUSD'!$AV$109),IF($F$2&lt;&gt;"Não se aplica",SUMIF(TUSD!$F$60:'TUSD'!$F$109,$I$2,TUSD!$AV$60:'TUSD'!$AV$109),IF($E$2&lt;&gt;"Não se aplica",SUMIF(TUSD!$E$60:'TUSD'!$E$109,$I$2,TUSD!$AV$60:'TUSD'!$AV$109),IF($D$2&lt;&gt;"Não se aplica",SUMIF(TUSD!$D$60:'TUSD'!$D$109,$I$2,TUSD!$AV$60:'TUSD'!$AV$109),IF($C$2&lt;&gt;"Não se aplica",SUMIF(TUSD!$C$60:'TUSD'!$C$109,$I$2,TUSD!$AV$60:'TUSD'!$AV$109),IF($B$2&lt;&gt;"Não se aplica",SUMIF(TUSD!$B$60:'TUSD'!$B$109,$I$2,TUSD!$AV$60:'TUSD'!$AV$109),SUMIF(TUSD!$A$60:'TUSD'!$A$109,$I$2,TUSD!$AV$60:'TUSD'!$AV$109)))))))</f>
        <v>0</v>
      </c>
      <c r="P8" s="20">
        <f>IF($G$2&lt;&gt;"Não se aplica",SUMIF(TUSD!$G$60:'TUSD'!$G$109,$I$2,TUSD!$AW$60:'TUSD'!$AW$109),IF($F$2&lt;&gt;"Não se aplica",SUMIF(TUSD!$F$60:'TUSD'!$F$109,$I$2,TUSD!$AW$60:'TUSD'!$AW$109),IF($E$2&lt;&gt;"Não se aplica",SUMIF(TUSD!$E$60:'TUSD'!$E$109,$I$2,TUSD!$AW$60:'TUSD'!$AW$109),IF($D$2&lt;&gt;"Não se aplica",SUMIF(TUSD!$D$60:'TUSD'!$D$109,$I$2,TUSD!$AW$60:'TUSD'!$AW$109),IF($C$2&lt;&gt;"Não se aplica",SUMIF(TUSD!$C$60:'TUSD'!$C$109,$I$2,TUSD!$AW$60:'TUSD'!$AW$109),IF($B$2&lt;&gt;"Não se aplica",SUMIF(TUSD!$B$60:'TUSD'!$B$109,$I$2,TUSD!$AW$60:'TUSD'!$AW$109),SUMIF(TUSD!$A$60:'TUSD'!$A$109,$I$2,TUSD!$AW$60:'TUSD'!$AW$109)))))))</f>
        <v>0</v>
      </c>
      <c r="Q8" s="20">
        <f>IF($G$2&lt;&gt;"Não se aplica",SUMIF(TUSD!$G$60:'TUSD'!$G$109,$I$2,TUSD!$AX$60:'TUSD'!$AX$109),IF($F$2&lt;&gt;"Não se aplica",SUMIF(TUSD!$F$60:'TUSD'!$F$109,$I$2,TUSD!$AX$60:'TUSD'!$AX$109),IF($E$2&lt;&gt;"Não se aplica",SUMIF(TUSD!$E$60:'TUSD'!$E$109,$I$2,TUSD!$AX$60:'TUSD'!$AX$109),IF($D$2&lt;&gt;"Não se aplica",SUMIF(TUSD!$D$60:'TUSD'!$D$109,$I$2,TUSD!$AX$60:'TUSD'!$AX$109),IF($C$2&lt;&gt;"Não se aplica",SUMIF(TUSD!$C$60:'TUSD'!$C$109,$I$2,TUSD!$AX$60:'TUSD'!$AX$109),IF($B$2&lt;&gt;"Não se aplica",SUMIF(TUSD!$B$60:'TUSD'!$B$109,$I$2,TUSD!$AX$60:'TUSD'!$AX$109),SUMIF(TUSD!$A$60:'TUSD'!$A$109,$I$2,TUSD!$AX$60:'TUSD'!$AX$109)))))))</f>
        <v>2806805.3705613781</v>
      </c>
      <c r="R8" s="20">
        <f>IF($G$2&lt;&gt;"Não se aplica",SUMIF(TUSD!$G$60:'TUSD'!$G$109,$I$2,TUSD!$AY$60:'TUSD'!$AY$109),IF($F$2&lt;&gt;"Não se aplica",SUMIF(TUSD!$F$60:'TUSD'!$F$109,$I$2,TUSD!$AY$60:'TUSD'!$AY$109),IF($E$2&lt;&gt;"Não se aplica",SUMIF(TUSD!$E$60:'TUSD'!$E$109,$I$2,TUSD!$AY$60:'TUSD'!$AY$109),IF($D$2&lt;&gt;"Não se aplica",SUMIF(TUSD!$D$60:'TUSD'!$D$109,$I$2,TUSD!$AY$60:'TUSD'!$AY$109),IF($C$2&lt;&gt;"Não se aplica",SUMIF(TUSD!$C$60:'TUSD'!$C$109,$I$2,TUSD!$AY$60:'TUSD'!$AY$109),IF($B$2&lt;&gt;"Não se aplica",SUMIF(TUSD!$B$60:'TUSD'!$B$109,$I$2,TUSD!$AY$60:'TUSD'!$AY$109),SUMIF(TUSD!$A$60:'TUSD'!$A$109,$I$2,TUSD!$AY$60:'TUSD'!$AY$109)))))))</f>
        <v>-636486.02686418092</v>
      </c>
      <c r="S8" s="20">
        <f>IF($G$2&lt;&gt;"Não se aplica",SUMIF(TUSD!$G$60:'TUSD'!$G$109,$I$2,TUSD!$AZ$60:'TUSD'!$AZ$109),IF($F$2&lt;&gt;"Não se aplica",SUMIF(TUSD!$F$60:'TUSD'!$F$109,$I$2,TUSD!$AZ$60:'TUSD'!$AZ$109),IF($E$2&lt;&gt;"Não se aplica",SUMIF(TUSD!$E$60:'TUSD'!$E$109,$I$2,TUSD!$AZ$60:'TUSD'!$AZ$109),IF($D$2&lt;&gt;"Não se aplica",SUMIF(TUSD!$D$60:'TUSD'!$D$109,$I$2,TUSD!$AZ$60:'TUSD'!$AZ$109),IF($C$2&lt;&gt;"Não se aplica",SUMIF(TUSD!$C$60:'TUSD'!$C$109,$I$2,TUSD!$AZ$60:'TUSD'!$AZ$109),IF($B$2&lt;&gt;"Não se aplica",SUMIF(TUSD!$B$60:'TUSD'!$B$109,$I$2,TUSD!$AZ$60:'TUSD'!$AZ$109),SUMIF(TUSD!$A$60:'TUSD'!$A$109,$I$2,TUSD!$AZ$60:'TUSD'!$AZ$109)))))))</f>
        <v>0</v>
      </c>
      <c r="T8" s="20">
        <f>IF($G$2&lt;&gt;"Não se aplica",SUMIF(TUSD!$G$60:'TUSD'!$G$109,$I$2,TUSD!$BA$60:'TUSD'!$BA$109),IF($F$2&lt;&gt;"Não se aplica",SUMIF(TUSD!$F$60:'TUSD'!$F$109,$I$2,TUSD!$BA$60:'TUSD'!$BA$109),IF($E$2&lt;&gt;"Não se aplica",SUMIF(TUSD!$E$60:'TUSD'!$E$109,$I$2,TUSD!$BA$60:'TUSD'!$BA$109),IF($D$2&lt;&gt;"Não se aplica",SUMIF(TUSD!$D$60:'TUSD'!$D$109,$I$2,TUSD!$BA$60:'TUSD'!$BA$109),IF($C$2&lt;&gt;"Não se aplica",SUMIF(TUSD!$C$60:'TUSD'!$C$109,$I$2,TUSD!$BA$60:'TUSD'!$BA$109),IF($B$2&lt;&gt;"Não se aplica",SUMIF(TUSD!$B$60:'TUSD'!$B$109,$I$2,TUSD!$BA$60:'TUSD'!$BA$109),SUMIF(TUSD!$A$60:'TUSD'!$A$109,$I$2,TUSD!$BA$60:'TUSD'!$BA$109)))))))</f>
        <v>325413.0045510779</v>
      </c>
      <c r="U8" s="20">
        <f>IF($G$2&lt;&gt;"Não se aplica",SUMIF(TUSD!$G$60:'TUSD'!$G$109,$I$2,TUSD!$BB$60:'TUSD'!$BB$109),IF($F$2&lt;&gt;"Não se aplica",SUMIF(TUSD!$F$60:'TUSD'!$F$109,$I$2,TUSD!$BB$60:'TUSD'!$BB$109),IF($E$2&lt;&gt;"Não se aplica",SUMIF(TUSD!$E$60:'TUSD'!$E$109,$I$2,TUSD!$BB$60:'TUSD'!$BB$109),IF($D$2&lt;&gt;"Não se aplica",SUMIF(TUSD!$D$60:'TUSD'!$D$109,$I$2,TUSD!$BB$60:'TUSD'!$BB$109),IF($C$2&lt;&gt;"Não se aplica",SUMIF(TUSD!$C$60:'TUSD'!$C$109,$I$2,TUSD!$BB$60:'TUSD'!$BB$109),IF($B$2&lt;&gt;"Não se aplica",SUMIF(TUSD!$B$60:'TUSD'!$B$109,$I$2,TUSD!$BB$60:'TUSD'!$BB$109),SUMIF(TUSD!$A$60:'TUSD'!$A$109,$I$2,TUSD!$BB$60:'TUSD'!$BB$109)))))))</f>
        <v>2444.3271585820985</v>
      </c>
      <c r="V8" s="20">
        <f>IF($G$2&lt;&gt;"Não se aplica",SUMIF(TUSD!$G$60:'TUSD'!$G$109,$I$2,TUSD!$BC$60:'TUSD'!$BC$109),IF($F$2&lt;&gt;"Não se aplica",SUMIF(TUSD!$F$60:'TUSD'!$F$109,$I$2,TUSD!$BC$60:'TUSD'!$BC$109),IF($E$2&lt;&gt;"Não se aplica",SUMIF(TUSD!$E$60:'TUSD'!$E$109,$I$2,TUSD!$BC$60:'TUSD'!$BC$109),IF($D$2&lt;&gt;"Não se aplica",SUMIF(TUSD!$D$60:'TUSD'!$D$109,$I$2,TUSD!$BC$60:'TUSD'!$BC$109),IF($C$2&lt;&gt;"Não se aplica",SUMIF(TUSD!$C$60:'TUSD'!$C$109,$I$2,TUSD!$BC$60:'TUSD'!$BC$109),IF($B$2&lt;&gt;"Não se aplica",SUMIF(TUSD!$B$60:'TUSD'!$B$109,$I$2,TUSD!$BC$60:'TUSD'!$BC$109),SUMIF(TUSD!$A$60:'TUSD'!$A$109,$I$2,TUSD!$BC$60:'TUSD'!$BC$109)))))))</f>
        <v>21426.698975899202</v>
      </c>
      <c r="W8" s="20">
        <f>IF($G$2&lt;&gt;"Não se aplica",SUMIF(TUSD!$G$60:'TUSD'!$G$109,$I$2,TUSD!$BD$60:'TUSD'!$BD$109),IF($F$2&lt;&gt;"Não se aplica",SUMIF(TUSD!$F$60:'TUSD'!$F$109,$I$2,TUSD!$BD$60:'TUSD'!$BD$109),IF($E$2&lt;&gt;"Não se aplica",SUMIF(TUSD!$E$60:'TUSD'!$E$109,$I$2,TUSD!$BD$60:'TUSD'!$BD$109),IF($D$2&lt;&gt;"Não se aplica",SUMIF(TUSD!$D$60:'TUSD'!$D$109,$I$2,TUSD!$BD$60:'TUSD'!$BD$109),IF($C$2&lt;&gt;"Não se aplica",SUMIF(TUSD!$C$60:'TUSD'!$C$109,$I$2,TUSD!$BD$60:'TUSD'!$BD$109),IF($B$2&lt;&gt;"Não se aplica",SUMIF(TUSD!$B$60:'TUSD'!$B$109,$I$2,TUSD!$BD$60:'TUSD'!$BD$109),SUMIF(TUSD!$A$60:'TUSD'!$A$109,$I$2,TUSD!$BD$60:'TUSD'!$BD$109)))))))</f>
        <v>6246.8051918252013</v>
      </c>
      <c r="X8" s="20">
        <f t="shared" si="0"/>
        <v>8286321.6973487446</v>
      </c>
      <c r="AB8" s="14" t="s">
        <v>95</v>
      </c>
      <c r="AD8" s="14" t="s">
        <v>97</v>
      </c>
      <c r="AG8" s="14" t="s">
        <v>93</v>
      </c>
    </row>
    <row r="9" spans="1:33" x14ac:dyDescent="0.2">
      <c r="A9" s="14" t="s">
        <v>1227</v>
      </c>
      <c r="B9" s="20">
        <f>IF($G$2&lt;&gt;"Não se aplica",SUMIF(TUSD!$G$60:'TUSD'!$G$109,$I$2,TUSD!$L$60:'TUSD'!$L$109),IF($F$2&lt;&gt;"Não se aplica",SUMIF(TUSD!$F$60:'TUSD'!$F$109,$I$2,TUSD!$L$60:'TUSD'!$L$109),IF($E$2&lt;&gt;"Não se aplica",SUMIF(TUSD!$E$60:'TUSD'!$E$109,$I$2,TUSD!$L$60:'TUSD'!$L$109),IF($D$2&lt;&gt;"Não se aplica",SUMIF(TUSD!$D$60:'TUSD'!$D$109,$I$2,TUSD!$L$60:'TUSD'!$L$109),IF($C$2&lt;&gt;"Não se aplica",SUMIF(TUSD!$C$60:'TUSD'!$C$109,$I$2,TUSD!$L$60:'TUSD'!$L$109),IF($B$2&lt;&gt;"Não se aplica",SUMIF(TUSD!$B$60:'TUSD'!$B$109,$I$2,TUSD!$L$60:'TUSD'!$L$109),SUMIF(TUSD!$A$60:'TUSD'!$A$109,$I$2,TUSD!$L$60:'TUSD'!$L$109)))))))</f>
        <v>58617.308365669909</v>
      </c>
      <c r="C9" s="20">
        <f>IF($G$2&lt;&gt;"Não se aplica",SUMIF(TUSD!$G$60:'TUSD'!$G$109,$I$2,TUSD!$M$60:'TUSD'!$M$109),IF($F$2&lt;&gt;"Não se aplica",SUMIF(TUSD!$F$60:'TUSD'!$F$109,$I$2,TUSD!$M$60:'TUSD'!$M$109),IF($E$2&lt;&gt;"Não se aplica",SUMIF(TUSD!$E$60:'TUSD'!$E$109,$I$2,TUSD!$M$60:'TUSD'!$M$109),IF($D$2&lt;&gt;"Não se aplica",SUMIF(TUSD!$D$60:'TUSD'!$D$109,$I$2,TUSD!$M$60:'TUSD'!$M$109),IF($C$2&lt;&gt;"Não se aplica",SUMIF(TUSD!$C$60:'TUSD'!$C$109,$I$2,TUSD!$M$60:'TUSD'!$M$109),IF($B$2&lt;&gt;"Não se aplica",SUMIF(TUSD!$B$60:'TUSD'!$B$109,$I$2,TUSD!$M$60:'TUSD'!$M$109),SUMIF(TUSD!$A$60:'TUSD'!$A$109,$I$2,TUSD!$M$60:'TUSD'!$M$109)))))))</f>
        <v>18338.09664264847</v>
      </c>
      <c r="D9" s="20">
        <f ca="1">IF($G$2&lt;&gt;"Não se aplica",SUMIF(TUSD!$G$60:'TUSD'!$G$109,$I$2,TUSD!$N$60:'TUSD'!$N$109),IF($F$2&lt;&gt;"Não se aplica",SUMIF(TUSD!$F$60:'TUSD'!$F$109,$I$2,TUSD!$N$60:'TUSD'!$N$109),IF($E$2&lt;&gt;"Não se aplica",SUMIF(TUSD!$E$60:'TUSD'!$E$109,$I$2,TUSD!$N$60:'TUSD'!$N$109),IF($D$2&lt;&gt;"Não se aplica",SUMIF(TUSD!$D$60:'TUSD'!$D$109,$I$2,TUSD!$N$60:'TUSD'!$N$109),IF($C$2&lt;&gt;"Não se aplica",SUMIF(TUSD!$C$60:'TUSD'!$C$109,$I$2,TUSD!$N$60:'TUSD'!$N$109),IF($B$2&lt;&gt;"Não se aplica",SUMIF(TUSD!$B$60:'TUSD'!$B$109,$I$2,TUSD!$N$60:'TUSD'!$N$109),SUMIF(TUSD!$A$60:'TUSD'!$A$109,$I$2,TUSD!$N$60:'TUSD'!$N$109)))))))</f>
        <v>25856.992063977326</v>
      </c>
      <c r="E9" s="20">
        <f>IF($G$2&lt;&gt;"Não se aplica",SUMIF(TUSD!$G$60:'TUSD'!$G$109,$I$2,TUSD!$O$60:'TUSD'!$O$109),IF($F$2&lt;&gt;"Não se aplica",SUMIF(TUSD!$F$60:'TUSD'!$F$109,$I$2,TUSD!$O$60:'TUSD'!$O$109),IF($E$2&lt;&gt;"Não se aplica",SUMIF(TUSD!$E$60:'TUSD'!$E$109,$I$2,TUSD!$O$60:'TUSD'!$O$109),IF($D$2&lt;&gt;"Não se aplica",SUMIF(TUSD!$D$60:'TUSD'!$D$109,$I$2,TUSD!$O$60:'TUSD'!$O$109),IF($C$2&lt;&gt;"Não se aplica",SUMIF(TUSD!$C$60:'TUSD'!$C$109,$I$2,TUSD!$O$60:'TUSD'!$O$109),IF($B$2&lt;&gt;"Não se aplica",SUMIF(TUSD!$B$60:'TUSD'!$B$109,$I$2,TUSD!$O$60:'TUSD'!$O$109),SUMIF(TUSD!$A$60:'TUSD'!$A$109,$I$2,TUSD!$O$60:'TUSD'!$O$109)))))))</f>
        <v>0</v>
      </c>
      <c r="F9" s="20">
        <f>IF($G$2&lt;&gt;"Não se aplica",SUMIF(TUSD!$G$60:'TUSD'!$G$109,$I$2,TUSD!$P$60:'TUSD'!$P$109),IF($F$2&lt;&gt;"Não se aplica",SUMIF(TUSD!$F$60:'TUSD'!$F$109,$I$2,TUSD!$P$60:'TUSD'!$P$109),IF($E$2&lt;&gt;"Não se aplica",SUMIF(TUSD!$E$60:'TUSD'!$E$109,$I$2,TUSD!$P$60:'TUSD'!$P$109),IF($D$2&lt;&gt;"Não se aplica",SUMIF(TUSD!$D$60:'TUSD'!$D$109,$I$2,TUSD!$P$60:'TUSD'!$P$109),IF($C$2&lt;&gt;"Não se aplica",SUMIF(TUSD!$C$60:'TUSD'!$C$109,$I$2,TUSD!$P$60:'TUSD'!$P$109),IF($B$2&lt;&gt;"Não se aplica",SUMIF(TUSD!$B$60:'TUSD'!$B$109,$I$2,TUSD!$P$60:'TUSD'!$P$109),SUMIF(TUSD!$A$60:'TUSD'!$A$109,$I$2,TUSD!$P$60:'TUSD'!$P$109)))))))</f>
        <v>0</v>
      </c>
      <c r="G9" s="20">
        <f>IF($G$2&lt;&gt;"Não se aplica",SUMIF(TUSD!$G$60:'TUSD'!$G$109,$I$2,TUSD!$Q$60:'TUSD'!$Q$109),IF($F$2&lt;&gt;"Não se aplica",SUMIF(TUSD!$F$60:'TUSD'!$F$109,$I$2,TUSD!$Q$60:'TUSD'!$Q$109),IF($E$2&lt;&gt;"Não se aplica",SUMIF(TUSD!$E$60:'TUSD'!$E$109,$I$2,TUSD!$Q$60:'TUSD'!$Q$109),IF($D$2&lt;&gt;"Não se aplica",SUMIF(TUSD!$D$60:'TUSD'!$D$109,$I$2,TUSD!$Q$60:'TUSD'!$Q$109),IF($C$2&lt;&gt;"Não se aplica",SUMIF(TUSD!$C$60:'TUSD'!$C$109,$I$2,TUSD!$Q$60:'TUSD'!$Q$109),IF($B$2&lt;&gt;"Não se aplica",SUMIF(TUSD!$B$60:'TUSD'!$B$109,$I$2,TUSD!$Q$60:'TUSD'!$Q$109),SUMIF(TUSD!$A$60:'TUSD'!$A$109,$I$2,TUSD!$Q$60:'TUSD'!$Q$109)))))))</f>
        <v>1659839.9554799213</v>
      </c>
      <c r="H9" s="20">
        <f>IF($G$2&lt;&gt;"Não se aplica",SUMIF(TUSD!$G$60:'TUSD'!$G$109,$I$2,TUSD!$R$60:'TUSD'!$R$109),IF($F$2&lt;&gt;"Não se aplica",SUMIF(TUSD!$F$60:'TUSD'!$F$109,$I$2,TUSD!$R$60:'TUSD'!$R$109),IF($E$2&lt;&gt;"Não se aplica",SUMIF(TUSD!$E$60:'TUSD'!$E$109,$I$2,TUSD!$R$60:'TUSD'!$R$109),IF($D$2&lt;&gt;"Não se aplica",SUMIF(TUSD!$D$60:'TUSD'!$D$109,$I$2,TUSD!$R$60:'TUSD'!$R$109),IF($C$2&lt;&gt;"Não se aplica",SUMIF(TUSD!$C$60:'TUSD'!$C$109,$I$2,TUSD!$R$60:'TUSD'!$R$109),IF($B$2&lt;&gt;"Não se aplica",SUMIF(TUSD!$B$60:'TUSD'!$B$109,$I$2,TUSD!$R$60:'TUSD'!$R$109),SUMIF(TUSD!$A$60:'TUSD'!$A$109,$I$2,TUSD!$R$60:'TUSD'!$R$109)))))))</f>
        <v>334099.87313791102</v>
      </c>
      <c r="I9" s="20">
        <f>IF($G$2&lt;&gt;"Não se aplica",SUMIF(TUSD!$G$60:'TUSD'!$G$109,$I$2,TUSD!$S$60:'TUSD'!$S$109),IF($F$2&lt;&gt;"Não se aplica",SUMIF(TUSD!$F$60:'TUSD'!$F$109,$I$2,TUSD!$S$60:'TUSD'!$S$109),IF($E$2&lt;&gt;"Não se aplica",SUMIF(TUSD!$E$60:'TUSD'!$E$109,$I$2,TUSD!$S$60:'TUSD'!$S$109),IF($D$2&lt;&gt;"Não se aplica",SUMIF(TUSD!$D$60:'TUSD'!$D$109,$I$2,TUSD!$S$60:'TUSD'!$S$109),IF($C$2&lt;&gt;"Não se aplica",SUMIF(TUSD!$C$60:'TUSD'!$C$109,$I$2,TUSD!$S$60:'TUSD'!$S$109),IF($B$2&lt;&gt;"Não se aplica",SUMIF(TUSD!$B$60:'TUSD'!$B$109,$I$2,TUSD!$S$60:'TUSD'!$S$109),SUMIF(TUSD!$A$60:'TUSD'!$A$109,$I$2,TUSD!$S$60:'TUSD'!$S$109)))))))</f>
        <v>0</v>
      </c>
      <c r="J9" s="20">
        <f>IF($G$2&lt;&gt;"Não se aplica",SUMIF(TUSD!$G$60:'TUSD'!$G$109,$I$2,TUSD!$T$60:'TUSD'!$T$109),IF($F$2&lt;&gt;"Não se aplica",SUMIF(TUSD!$F$60:'TUSD'!$F$109,$I$2,TUSD!$T$60:'TUSD'!$T$109),IF($E$2&lt;&gt;"Não se aplica",SUMIF(TUSD!$E$60:'TUSD'!$E$109,$I$2,TUSD!$T$60:'TUSD'!$T$109),IF($D$2&lt;&gt;"Não se aplica",SUMIF(TUSD!$D$60:'TUSD'!$D$109,$I$2,TUSD!$T$60:'TUSD'!$T$109),IF($C$2&lt;&gt;"Não se aplica",SUMIF(TUSD!$C$60:'TUSD'!$C$109,$I$2,TUSD!$T$60:'TUSD'!$T$109),IF($B$2&lt;&gt;"Não se aplica",SUMIF(TUSD!$B$60:'TUSD'!$B$109,$I$2,TUSD!$T$60:'TUSD'!$T$109),SUMIF(TUSD!$A$60:'TUSD'!$A$109,$I$2,TUSD!$T$60:'TUSD'!$T$109)))))))</f>
        <v>0</v>
      </c>
      <c r="K9" s="20">
        <f>IF($G$2&lt;&gt;"Não se aplica",SUMIF(TUSD!$G$60:'TUSD'!$G$109,$I$2,TUSD!$U$60:'TUSD'!$U$109),IF($F$2&lt;&gt;"Não se aplica",SUMIF(TUSD!$F$60:'TUSD'!$F$109,$I$2,TUSD!$U$60:'TUSD'!$U$109),IF($E$2&lt;&gt;"Não se aplica",SUMIF(TUSD!$E$60:'TUSD'!$E$109,$I$2,TUSD!$U$60:'TUSD'!$U$109),IF($D$2&lt;&gt;"Não se aplica",SUMIF(TUSD!$D$60:'TUSD'!$D$109,$I$2,TUSD!$U$60:'TUSD'!$U$109),IF($C$2&lt;&gt;"Não se aplica",SUMIF(TUSD!$C$60:'TUSD'!$C$109,$I$2,TUSD!$U$60:'TUSD'!$U$109),IF($B$2&lt;&gt;"Não se aplica",SUMIF(TUSD!$B$60:'TUSD'!$B$109,$I$2,TUSD!$U$60:'TUSD'!$U$109),SUMIF(TUSD!$A$60:'TUSD'!$A$109,$I$2,TUSD!$U$60:'TUSD'!$U$109)))))))</f>
        <v>0</v>
      </c>
      <c r="L9" s="20">
        <f>IF($G$2&lt;&gt;"Não se aplica",SUMIF(TUSD!$G$60:'TUSD'!$G$109,$I$2,TUSD!$V$60:'TUSD'!$V$109),IF($F$2&lt;&gt;"Não se aplica",SUMIF(TUSD!$F$60:'TUSD'!$F$109,$I$2,TUSD!$V$60:'TUSD'!$V$109),IF($E$2&lt;&gt;"Não se aplica",SUMIF(TUSD!$E$60:'TUSD'!$E$109,$I$2,TUSD!$V$60:'TUSD'!$V$109),IF($D$2&lt;&gt;"Não se aplica",SUMIF(TUSD!$D$60:'TUSD'!$D$109,$I$2,TUSD!$V$60:'TUSD'!$V$109),IF($C$2&lt;&gt;"Não se aplica",SUMIF(TUSD!$C$60:'TUSD'!$C$109,$I$2,TUSD!$V$60:'TUSD'!$V$109),IF($B$2&lt;&gt;"Não se aplica",SUMIF(TUSD!$B$60:'TUSD'!$B$109,$I$2,TUSD!$V$60:'TUSD'!$V$109),SUMIF(TUSD!$A$60:'TUSD'!$A$109,$I$2,TUSD!$V$60:'TUSD'!$V$109)))))))</f>
        <v>0</v>
      </c>
      <c r="M9" s="20">
        <f>IF($G$2&lt;&gt;"Não se aplica",SUMIF(TUSD!$G$60:'TUSD'!$G$109,$I$2,TUSD!$W$60:'TUSD'!$W$109),IF($F$2&lt;&gt;"Não se aplica",SUMIF(TUSD!$F$60:'TUSD'!$F$109,$I$2,TUSD!$W$60:'TUSD'!$W$109),IF($E$2&lt;&gt;"Não se aplica",SUMIF(TUSD!$E$60:'TUSD'!$E$109,$I$2,TUSD!$W$60:'TUSD'!$W$109),IF($D$2&lt;&gt;"Não se aplica",SUMIF(TUSD!$D$60:'TUSD'!$D$109,$I$2,TUSD!$W$60:'TUSD'!$W$109),IF($C$2&lt;&gt;"Não se aplica",SUMIF(TUSD!$C$60:'TUSD'!$C$109,$I$2,TUSD!$W$60:'TUSD'!$W$109),IF($B$2&lt;&gt;"Não se aplica",SUMIF(TUSD!$B$60:'TUSD'!$B$109,$I$2,TUSD!$W$60:'TUSD'!$W$109),SUMIF(TUSD!$A$60:'TUSD'!$A$109,$I$2,TUSD!$W$60:'TUSD'!$W$109)))))))</f>
        <v>0</v>
      </c>
      <c r="N9" s="20">
        <f>IF($G$2&lt;&gt;"Não se aplica",SUMIF(TUSD!$G$60:'TUSD'!$G$109,$I$2,TUSD!$X$60:'TUSD'!$X$109),IF($F$2&lt;&gt;"Não se aplica",SUMIF(TUSD!$F$60:'TUSD'!$F$109,$I$2,TUSD!$X$60:'TUSD'!$X$109),IF($E$2&lt;&gt;"Não se aplica",SUMIF(TUSD!$E$60:'TUSD'!$E$109,$I$2,TUSD!$X$60:'TUSD'!$X$109),IF($D$2&lt;&gt;"Não se aplica",SUMIF(TUSD!$D$60:'TUSD'!$D$109,$I$2,TUSD!$X$60:'TUSD'!$X$109),IF($C$2&lt;&gt;"Não se aplica",SUMIF(TUSD!$C$60:'TUSD'!$C$109,$I$2,TUSD!$X$60:'TUSD'!$X$109),IF($B$2&lt;&gt;"Não se aplica",SUMIF(TUSD!$B$60:'TUSD'!$B$109,$I$2,TUSD!$X$60:'TUSD'!$X$109),SUMIF(TUSD!$A$60:'TUSD'!$A$109,$I$2,TUSD!$X$60:'TUSD'!$X$109)))))))</f>
        <v>3937910.5960902423</v>
      </c>
      <c r="O9" s="20">
        <f>IF($G$2&lt;&gt;"Não se aplica",SUMIF(TUSD!$G$60:'TUSD'!$G$109,$I$2,TUSD!$Y$60:'TUSD'!$Y$109),IF($F$2&lt;&gt;"Não se aplica",SUMIF(TUSD!$F$60:'TUSD'!$F$109,$I$2,TUSD!$Y$60:'TUSD'!$Y$109),IF($E$2&lt;&gt;"Não se aplica",SUMIF(TUSD!$E$60:'TUSD'!$E$109,$I$2,TUSD!$Y$60:'TUSD'!$Y$109),IF($D$2&lt;&gt;"Não se aplica",SUMIF(TUSD!$D$60:'TUSD'!$D$109,$I$2,TUSD!$Y$60:'TUSD'!$Y$109),IF($C$2&lt;&gt;"Não se aplica",SUMIF(TUSD!$C$60:'TUSD'!$C$109,$I$2,TUSD!$Y$60:'TUSD'!$Y$109),IF($B$2&lt;&gt;"Não se aplica",SUMIF(TUSD!$B$60:'TUSD'!$B$109,$I$2,TUSD!$Y$60:'TUSD'!$Y$109),SUMIF(TUSD!$A$60:'TUSD'!$A$109,$I$2,TUSD!$Y$60:'TUSD'!$Y$109)))))))</f>
        <v>0</v>
      </c>
      <c r="P9" s="20">
        <f>IF($G$2&lt;&gt;"Não se aplica",SUMIF(TUSD!$G$60:'TUSD'!$G$109,$I$2,TUSD!$Z$60:'TUSD'!$Z$109),IF($F$2&lt;&gt;"Não se aplica",SUMIF(TUSD!$F$60:'TUSD'!$F$109,$I$2,TUSD!$Z$60:'TUSD'!$Z$109),IF($E$2&lt;&gt;"Não se aplica",SUMIF(TUSD!$E$60:'TUSD'!$E$109,$I$2,TUSD!$Z$60:'TUSD'!$Z$109),IF($D$2&lt;&gt;"Não se aplica",SUMIF(TUSD!$D$60:'TUSD'!$D$109,$I$2,TUSD!$Z$60:'TUSD'!$Z$109),IF($C$2&lt;&gt;"Não se aplica",SUMIF(TUSD!$C$60:'TUSD'!$C$109,$I$2,TUSD!$Z$60:'TUSD'!$Z$109),IF($B$2&lt;&gt;"Não se aplica",SUMIF(TUSD!$B$60:'TUSD'!$B$109,$I$2,TUSD!$Z$60:'TUSD'!$Z$109),SUMIF(TUSD!$A$60:'TUSD'!$A$109,$I$2,TUSD!$Z$60:'TUSD'!$Z$109)))))))</f>
        <v>0</v>
      </c>
      <c r="Q9" s="20">
        <f>IF($G$2&lt;&gt;"Não se aplica",SUMIF(TUSD!$G$60:'TUSD'!$G$109,$I$2,TUSD!$AA$60:'TUSD'!$AA$109),IF($F$2&lt;&gt;"Não se aplica",SUMIF(TUSD!$F$60:'TUSD'!$F$109,$I$2,TUSD!$AA$60:'TUSD'!$AA$109),IF($E$2&lt;&gt;"Não se aplica",SUMIF(TUSD!$E$60:'TUSD'!$E$109,$I$2,TUSD!$AA$60:'TUSD'!$AA$109),IF($D$2&lt;&gt;"Não se aplica",SUMIF(TUSD!$D$60:'TUSD'!$D$109,$I$2,TUSD!$AA$60:'TUSD'!$AA$109),IF($C$2&lt;&gt;"Não se aplica",SUMIF(TUSD!$C$60:'TUSD'!$C$109,$I$2,TUSD!$AA$60:'TUSD'!$AA$109),IF($B$2&lt;&gt;"Não se aplica",SUMIF(TUSD!$B$60:'TUSD'!$B$109,$I$2,TUSD!$AA$60:'TUSD'!$AA$109),SUMIF(TUSD!$A$60:'TUSD'!$A$109,$I$2,TUSD!$AA$60:'TUSD'!$AA$109)))))))</f>
        <v>4448625.2282797638</v>
      </c>
      <c r="R9" s="20">
        <f ca="1">IF($G$2&lt;&gt;"Não se aplica",SUMIF(TUSD!$G$60:'TUSD'!$G$109,$I$2,TUSD!$AB$60:'TUSD'!$AB$109),IF($F$2&lt;&gt;"Não se aplica",SUMIF(TUSD!$F$60:'TUSD'!$F$109,$I$2,TUSD!$AB$60:'TUSD'!$AB$109),IF($E$2&lt;&gt;"Não se aplica",SUMIF(TUSD!$E$60:'TUSD'!$E$109,$I$2,TUSD!$AB$60:'TUSD'!$AB$109),IF($D$2&lt;&gt;"Não se aplica",SUMIF(TUSD!$D$60:'TUSD'!$D$109,$I$2,TUSD!$AB$60:'TUSD'!$AB$109),IF($C$2&lt;&gt;"Não se aplica",SUMIF(TUSD!$C$60:'TUSD'!$C$109,$I$2,TUSD!$AB$60:'TUSD'!$AB$109),IF($B$2&lt;&gt;"Não se aplica",SUMIF(TUSD!$B$60:'TUSD'!$B$109,$I$2,TUSD!$AB$60:'TUSD'!$AB$109),SUMIF(TUSD!$A$60:'TUSD'!$A$109,$I$2,TUSD!$AB$60:'TUSD'!$AB$109)))))))</f>
        <v>-1188587.7779380279</v>
      </c>
      <c r="S9" s="20">
        <f ca="1">IF($G$2&lt;&gt;"Não se aplica",SUMIF(TUSD!$G$60:'TUSD'!$G$109,$I$2,TUSD!$AC$60:'TUSD'!$AC$109),IF($F$2&lt;&gt;"Não se aplica",SUMIF(TUSD!$F$60:'TUSD'!$F$109,$I$2,TUSD!$AC$60:'TUSD'!$AC$109),IF($E$2&lt;&gt;"Não se aplica",SUMIF(TUSD!$E$60:'TUSD'!$E$109,$I$2,TUSD!$AC$60:'TUSD'!$AC$109),IF($D$2&lt;&gt;"Não se aplica",SUMIF(TUSD!$D$60:'TUSD'!$D$109,$I$2,TUSD!$AC$60:'TUSD'!$AC$109),IF($C$2&lt;&gt;"Não se aplica",SUMIF(TUSD!$C$60:'TUSD'!$C$109,$I$2,TUSD!$AC$60:'TUSD'!$AC$109),IF($B$2&lt;&gt;"Não se aplica",SUMIF(TUSD!$B$60:'TUSD'!$B$109,$I$2,TUSD!$AC$60:'TUSD'!$AC$109),SUMIF(TUSD!$A$60:'TUSD'!$A$109,$I$2,TUSD!$AC$60:'TUSD'!$AC$109)))))))</f>
        <v>0</v>
      </c>
      <c r="T9" s="20">
        <f>IF($G$2&lt;&gt;"Não se aplica",SUMIF(TUSD!$G$60:'TUSD'!$G$109,$I$2,TUSD!$AD$60:'TUSD'!$AD$109),IF($F$2&lt;&gt;"Não se aplica",SUMIF(TUSD!$F$60:'TUSD'!$F$109,$I$2,TUSD!$AD$60:'TUSD'!$AD$109),IF($E$2&lt;&gt;"Não se aplica",SUMIF(TUSD!$E$60:'TUSD'!$E$109,$I$2,TUSD!$AD$60:'TUSD'!$AD$109),IF($D$2&lt;&gt;"Não se aplica",SUMIF(TUSD!$D$60:'TUSD'!$D$109,$I$2,TUSD!$AD$60:'TUSD'!$AD$109),IF($C$2&lt;&gt;"Não se aplica",SUMIF(TUSD!$C$60:'TUSD'!$C$109,$I$2,TUSD!$AD$60:'TUSD'!$AD$109),IF($B$2&lt;&gt;"Não se aplica",SUMIF(TUSD!$B$60:'TUSD'!$B$109,$I$2,TUSD!$AD$60:'TUSD'!$AD$109),SUMIF(TUSD!$A$60:'TUSD'!$A$109,$I$2,TUSD!$AD$60:'TUSD'!$AD$109)))))))</f>
        <v>278049.55246746639</v>
      </c>
      <c r="U9" s="20">
        <f>IF($G$2&lt;&gt;"Não se aplica",SUMIF(TUSD!$G$60:'TUSD'!$G$109,$I$2,TUSD!$AE$60:'TUSD'!$AE$109),IF($F$2&lt;&gt;"Não se aplica",SUMIF(TUSD!$F$60:'TUSD'!$F$109,$I$2,TUSD!$AE$60:'TUSD'!$AE$109),IF($E$2&lt;&gt;"Não se aplica",SUMIF(TUSD!$E$60:'TUSD'!$E$109,$I$2,TUSD!$AE$60:'TUSD'!$AE$109),IF($D$2&lt;&gt;"Não se aplica",SUMIF(TUSD!$D$60:'TUSD'!$D$109,$I$2,TUSD!$AE$60:'TUSD'!$AE$109),IF($C$2&lt;&gt;"Não se aplica",SUMIF(TUSD!$C$60:'TUSD'!$C$109,$I$2,TUSD!$AE$60:'TUSD'!$AE$109),IF($B$2&lt;&gt;"Não se aplica",SUMIF(TUSD!$B$60:'TUSD'!$B$109,$I$2,TUSD!$AE$60:'TUSD'!$AE$109),SUMIF(TUSD!$A$60:'TUSD'!$A$109,$I$2,TUSD!$AE$60:'TUSD'!$AE$109)))))))</f>
        <v>2843.6726308599959</v>
      </c>
      <c r="V9" s="20">
        <f ca="1">IF($G$2&lt;&gt;"Não se aplica",SUMIF(TUSD!$G$60:'TUSD'!$G$109,$I$2,TUSD!$AF$60:'TUSD'!$AF$109),IF($F$2&lt;&gt;"Não se aplica",SUMIF(TUSD!$F$60:'TUSD'!$F$109,$I$2,TUSD!$AF$60:'TUSD'!$AF$109),IF($E$2&lt;&gt;"Não se aplica",SUMIF(TUSD!$E$60:'TUSD'!$E$109,$I$2,TUSD!$AF$60:'TUSD'!$AF$109),IF($D$2&lt;&gt;"Não se aplica",SUMIF(TUSD!$D$60:'TUSD'!$D$109,$I$2,TUSD!$AF$60:'TUSD'!$AF$109),IF($C$2&lt;&gt;"Não se aplica",SUMIF(TUSD!$C$60:'TUSD'!$C$109,$I$2,TUSD!$AF$60:'TUSD'!$AF$109),IF($B$2&lt;&gt;"Não se aplica",SUMIF(TUSD!$B$60:'TUSD'!$B$109,$I$2,TUSD!$AF$60:'TUSD'!$AF$109),SUMIF(TUSD!$A$60:'TUSD'!$A$109,$I$2,TUSD!$AF$60:'TUSD'!$AF$109)))))))</f>
        <v>16232.668960432477</v>
      </c>
      <c r="W9" s="20">
        <f ca="1">IF($G$2&lt;&gt;"Não se aplica",SUMIF(TUSD!$G$60:'TUSD'!$G$109,$I$2,TUSD!$AG$60:'TUSD'!$AG$109),IF($F$2&lt;&gt;"Não se aplica",SUMIF(TUSD!$F$60:'TUSD'!$F$109,$I$2,TUSD!$AG$60:'TUSD'!$AG$109),IF($E$2&lt;&gt;"Não se aplica",SUMIF(TUSD!$E$60:'TUSD'!$E$109,$I$2,TUSD!$AG$60:'TUSD'!$AG$109),IF($D$2&lt;&gt;"Não se aplica",SUMIF(TUSD!$D$60:'TUSD'!$D$109,$I$2,TUSD!$AG$60:'TUSD'!$AG$109),IF($C$2&lt;&gt;"Não se aplica",SUMIF(TUSD!$C$60:'TUSD'!$C$109,$I$2,TUSD!$AG$60:'TUSD'!$AG$109),IF($B$2&lt;&gt;"Não se aplica",SUMIF(TUSD!$B$60:'TUSD'!$B$109,$I$2,TUSD!$AG$60:'TUSD'!$AG$109),SUMIF(TUSD!$A$60:'TUSD'!$A$109,$I$2,TUSD!$AG$60:'TUSD'!$AG$109)))))))</f>
        <v>6778.5205350782298</v>
      </c>
      <c r="X9" s="20">
        <f t="shared" ca="1" si="0"/>
        <v>9598604.6867159437</v>
      </c>
      <c r="AD9" s="14" t="s">
        <v>47</v>
      </c>
    </row>
    <row r="10" spans="1:33" x14ac:dyDescent="0.2">
      <c r="A10" s="14" t="s">
        <v>1224</v>
      </c>
      <c r="B10" s="20">
        <f>SUMIF(TUSD!$A$60:'TUSD'!$A$109,$A$2,TUSD!$AI$60:'TUSD'!$AI$109)</f>
        <v>58747.595941402535</v>
      </c>
      <c r="C10" s="20">
        <f>SUMIF(TUSD!$A$60:'TUSD'!$A$109,$A$2,TUSD!$AJ$60:'TUSD'!$AJ$109)</f>
        <v>17547.272159957556</v>
      </c>
      <c r="D10" s="20">
        <f>SUMIF(TUSD!$A$60:'TUSD'!$A$109,$A$2,TUSD!$AK$60:'TUSD'!$AK$109)</f>
        <v>25201.699406021893</v>
      </c>
      <c r="E10" s="20">
        <f>SUMIF(TUSD!$A$60:'TUSD'!$A$109,$A$2,TUSD!$AL$60:'TUSD'!$AL$109)</f>
        <v>0</v>
      </c>
      <c r="F10" s="20">
        <f>SUMIF(TUSD!$A$60:'TUSD'!$A$109,$A$2,TUSD!$AM$60:'TUSD'!$AM$109)</f>
        <v>0</v>
      </c>
      <c r="G10" s="20">
        <f>SUMIF(TUSD!$A$60:'TUSD'!$A$109,$A$2,TUSD!$AN$60:'TUSD'!$AN$109)</f>
        <v>1336897.7580026393</v>
      </c>
      <c r="H10" s="20">
        <f>SUMIF(TUSD!$A$60:'TUSD'!$A$109,$A$2,TUSD!$AO$60:'TUSD'!$AO$109)</f>
        <v>230609.20859547559</v>
      </c>
      <c r="I10" s="20">
        <f>SUMIF(TUSD!$A$60:'TUSD'!$A$109,$A$2,TUSD!$AP$60:'TUSD'!$AP$109)</f>
        <v>0</v>
      </c>
      <c r="J10" s="20">
        <f>SUMIF(TUSD!$A$60:'TUSD'!$A$109,$A$2,TUSD!$AQ$60:'TUSD'!$AQ$109)</f>
        <v>0</v>
      </c>
      <c r="K10" s="20">
        <f>SUMIF(TUSD!$A$60:'TUSD'!$A$109,$A$2,TUSD!$AR$60:'TUSD'!$AR$109)</f>
        <v>0</v>
      </c>
      <c r="L10" s="20">
        <f>SUMIF(TUSD!$A$60:'TUSD'!$A$109,$A$2,TUSD!$AS$60:'TUSD'!$AS$109)</f>
        <v>0</v>
      </c>
      <c r="M10" s="20">
        <f>SUMIF(TUSD!$A$60:'TUSD'!$A$109,$A$2,TUSD!$AT$60:'TUSD'!$AT$109)</f>
        <v>0</v>
      </c>
      <c r="N10" s="20">
        <f>SUMIF(TUSD!$A$60:'TUSD'!$A$109,$A$2,TUSD!$AU$60:'TUSD'!$AU$109)</f>
        <v>4091467.9836686663</v>
      </c>
      <c r="O10" s="20">
        <f>SUMIF(TUSD!$A$60:'TUSD'!$A$109,$A$2,TUSD!$AV$60:'TUSD'!$AV$109)</f>
        <v>0</v>
      </c>
      <c r="P10" s="20">
        <f>SUMIF(TUSD!$A$60:'TUSD'!$A$109,$A$2,TUSD!$AW$60:'TUSD'!$AW$109)</f>
        <v>0</v>
      </c>
      <c r="Q10" s="20">
        <f>SUMIF(TUSD!$A$60:'TUSD'!$A$109,$A$2,TUSD!$AX$60:'TUSD'!$AX$109)</f>
        <v>2806805.3705613781</v>
      </c>
      <c r="R10" s="20">
        <f>SUMIF(TUSD!$A$60:'TUSD'!$A$109,$A$2,TUSD!$AY$60:'TUSD'!$AY$109)</f>
        <v>-636486.02686418092</v>
      </c>
      <c r="S10" s="20">
        <f>SUMIF(TUSD!$A$60:'TUSD'!$A$109,$A$2,TUSD!$AZ$60:'TUSD'!$AZ$109)</f>
        <v>0</v>
      </c>
      <c r="T10" s="20">
        <f>SUMIF(TUSD!$A$60:'TUSD'!$A$109,$A$2,TUSD!$BA$60:'TUSD'!$BA$109)</f>
        <v>325413.0045510779</v>
      </c>
      <c r="U10" s="20">
        <f>SUMIF(TUSD!$A$60:'TUSD'!$A$109,$A$2,TUSD!$BB$60:'TUSD'!$BB$109)</f>
        <v>2444.3271585820985</v>
      </c>
      <c r="V10" s="20">
        <f>SUMIF(TUSD!$A$60:'TUSD'!$A$109,$A$2,TUSD!$BC$60:'TUSD'!$BC$109)</f>
        <v>21426.698975899202</v>
      </c>
      <c r="W10" s="20">
        <f>SUMIF(TUSD!$A$60:'TUSD'!$A$109,$A$2,TUSD!$BD$60:'TUSD'!$BD$109)</f>
        <v>6246.8051918252013</v>
      </c>
      <c r="X10" s="20">
        <f t="shared" si="0"/>
        <v>8286321.6973487446</v>
      </c>
      <c r="AD10" s="14" t="s">
        <v>98</v>
      </c>
    </row>
    <row r="11" spans="1:33" x14ac:dyDescent="0.2">
      <c r="A11" s="14" t="s">
        <v>1225</v>
      </c>
      <c r="B11" s="20">
        <f>SUMIF(TUSD!$A$60:'TUSD'!$A$109,$A$2,TUSD!$L$60:'TUSD'!$L$109)</f>
        <v>58617.308365669909</v>
      </c>
      <c r="C11" s="20">
        <f>SUMIF(TUSD!$A$60:'TUSD'!$A$109,$A$2,TUSD!$M$60:'TUSD'!$M$109)</f>
        <v>18338.09664264847</v>
      </c>
      <c r="D11" s="20">
        <f ca="1">SUMIF(TUSD!$A$60:'TUSD'!$A$109,$A$2,TUSD!$N$60:'TUSD'!$N$109)</f>
        <v>25856.992063977326</v>
      </c>
      <c r="E11" s="20">
        <f>SUMIF(TUSD!$A$60:'TUSD'!$A$109,$A$2,TUSD!$O$60:'TUSD'!$O$109)</f>
        <v>0</v>
      </c>
      <c r="F11" s="20">
        <f>SUMIF(TUSD!$A$60:'TUSD'!$A$109,$A$2,TUSD!$P$60:'TUSD'!$P$109)</f>
        <v>0</v>
      </c>
      <c r="G11" s="20">
        <f>SUMIF(TUSD!$A$60:'TUSD'!$A$109,$A$2,TUSD!$Q$60:'TUSD'!$Q$109)</f>
        <v>1659839.9554799213</v>
      </c>
      <c r="H11" s="20">
        <f>SUMIF(TUSD!$A$60:'TUSD'!$A$109,$A$2,TUSD!$R$60:'TUSD'!$R$109)</f>
        <v>334099.87313791102</v>
      </c>
      <c r="I11" s="20">
        <f>SUMIF(TUSD!$A$60:'TUSD'!$A$109,$A$2,TUSD!$S$60:'TUSD'!$S$109)</f>
        <v>0</v>
      </c>
      <c r="J11" s="20">
        <f>SUMIF(TUSD!$A$60:'TUSD'!$A$109,$A$2,TUSD!$T$60:'TUSD'!$T$109)</f>
        <v>0</v>
      </c>
      <c r="K11" s="20">
        <f>SUMIF(TUSD!$A$60:'TUSD'!$A$109,$A$2,TUSD!$U$60:'TUSD'!$U$109)</f>
        <v>0</v>
      </c>
      <c r="L11" s="20">
        <f>SUMIF(TUSD!$A$60:'TUSD'!$A$109,$A$2,TUSD!$V$60:'TUSD'!$V$109)</f>
        <v>0</v>
      </c>
      <c r="M11" s="20">
        <f>SUMIF(TUSD!$A$60:'TUSD'!$A$109,$A$2,TUSD!$W$60:'TUSD'!$W$109)</f>
        <v>0</v>
      </c>
      <c r="N11" s="20">
        <f>SUMIF(TUSD!$A$60:'TUSD'!$A$109,$A$2,TUSD!$X$60:'TUSD'!$X$109)</f>
        <v>3937910.5960902423</v>
      </c>
      <c r="O11" s="20">
        <f>SUMIF(TUSD!$A$60:'TUSD'!$A$109,$A$2,TUSD!$Y$60:'TUSD'!$Y$109)</f>
        <v>0</v>
      </c>
      <c r="P11" s="20">
        <f>SUMIF(TUSD!$A$60:'TUSD'!$A$109,$A$2,TUSD!$Z$60:'TUSD'!$Z$109)</f>
        <v>0</v>
      </c>
      <c r="Q11" s="20">
        <f>SUMIF(TUSD!$A$60:'TUSD'!$A$109,$A$2,TUSD!$AA$60:'TUSD'!$AA$109)</f>
        <v>4448625.2282797638</v>
      </c>
      <c r="R11" s="20">
        <f ca="1">SUMIF(TUSD!$A$60:'TUSD'!$A$109,$A$2,TUSD!$AB$60:'TUSD'!$AB$109)</f>
        <v>-1188587.7779380279</v>
      </c>
      <c r="S11" s="20">
        <f ca="1">SUMIF(TUSD!$A$60:'TUSD'!$A$109,$A$2,TUSD!$AC$60:'TUSD'!$AC$109)</f>
        <v>0</v>
      </c>
      <c r="T11" s="20">
        <f>SUMIF(TUSD!$A$60:'TUSD'!$A$109,$A$2,TUSD!$AD$60:'TUSD'!$AD$109)</f>
        <v>278049.55246746639</v>
      </c>
      <c r="U11" s="20">
        <f>SUMIF(TUSD!$A$60:'TUSD'!$A$109,$A$2,TUSD!$AE$60:'TUSD'!$AE$109)</f>
        <v>2843.6726308599959</v>
      </c>
      <c r="V11" s="20">
        <f ca="1">SUMIF(TUSD!$A$60:'TUSD'!$A$109,$A$2,TUSD!$AF$60:'TUSD'!$AF$109)</f>
        <v>16232.668960432477</v>
      </c>
      <c r="W11" s="20">
        <f ca="1">SUMIF(TUSD!$A$60:'TUSD'!$A$109,$A$2,TUSD!$AG$60:'TUSD'!$AG$109)</f>
        <v>6778.5205350782298</v>
      </c>
      <c r="X11" s="20">
        <f t="shared" ca="1" si="0"/>
        <v>9598604.6867159437</v>
      </c>
    </row>
    <row r="13" spans="1:33" x14ac:dyDescent="0.2">
      <c r="A13" s="14" t="s">
        <v>1229</v>
      </c>
      <c r="B13" s="31">
        <f t="shared" ref="B13:X13" si="1">IF($X$6&lt;&gt;0,(B$7-B$6)/$X$6,0)</f>
        <v>3.252920001163797E-4</v>
      </c>
      <c r="C13" s="31">
        <f t="shared" si="1"/>
        <v>-1.8882497593834143E-4</v>
      </c>
      <c r="D13" s="31">
        <f t="shared" ca="1" si="1"/>
        <v>1.0019144607092659E-3</v>
      </c>
      <c r="E13" s="31">
        <f t="shared" si="1"/>
        <v>0</v>
      </c>
      <c r="F13" s="31">
        <f t="shared" si="1"/>
        <v>0</v>
      </c>
      <c r="G13" s="31">
        <f t="shared" si="1"/>
        <v>5.2910375837087527E-2</v>
      </c>
      <c r="H13" s="31">
        <f t="shared" si="1"/>
        <v>1.3137138048624687E-2</v>
      </c>
      <c r="I13" s="31">
        <f t="shared" si="1"/>
        <v>0</v>
      </c>
      <c r="J13" s="31">
        <f t="shared" si="1"/>
        <v>0</v>
      </c>
      <c r="K13" s="31">
        <f t="shared" si="1"/>
        <v>0</v>
      </c>
      <c r="L13" s="31">
        <f t="shared" si="1"/>
        <v>0</v>
      </c>
      <c r="M13" s="31">
        <f t="shared" si="1"/>
        <v>0</v>
      </c>
      <c r="N13" s="31">
        <f t="shared" si="1"/>
        <v>-2.8499627797340409E-2</v>
      </c>
      <c r="O13" s="31">
        <f t="shared" si="1"/>
        <v>0</v>
      </c>
      <c r="P13" s="31">
        <f t="shared" si="1"/>
        <v>0</v>
      </c>
      <c r="Q13" s="31">
        <f t="shared" si="1"/>
        <v>0.16651556441194146</v>
      </c>
      <c r="R13" s="31">
        <f t="shared" ca="1" si="1"/>
        <v>-6.6846624367577934E-2</v>
      </c>
      <c r="S13" s="31">
        <f t="shared" ca="1" si="1"/>
        <v>0</v>
      </c>
      <c r="T13" s="31">
        <f t="shared" si="1"/>
        <v>-7.2951709412115134E-3</v>
      </c>
      <c r="U13" s="31">
        <f t="shared" si="1"/>
        <v>7.6607581961889886E-5</v>
      </c>
      <c r="V13" s="31">
        <f t="shared" ca="1" si="1"/>
        <v>-7.7431613159914005E-4</v>
      </c>
      <c r="W13" s="31">
        <f t="shared" ca="1" si="1"/>
        <v>2.807623739191146E-5</v>
      </c>
      <c r="X13" s="31">
        <f t="shared" ca="1" si="1"/>
        <v>0.13039040436416577</v>
      </c>
    </row>
    <row r="14" spans="1:33" x14ac:dyDescent="0.2">
      <c r="A14" s="14" t="s">
        <v>1230</v>
      </c>
      <c r="B14" s="31">
        <f t="shared" ref="B14:X14" si="2">IF($X$10&lt;&gt;0,(B$9-B$8)/$X$10,0)</f>
        <v>-1.5723209946617425E-5</v>
      </c>
      <c r="C14" s="31">
        <f t="shared" si="2"/>
        <v>9.5437337768812758E-5</v>
      </c>
      <c r="D14" s="31">
        <f t="shared" ca="1" si="2"/>
        <v>7.9081247613775103E-5</v>
      </c>
      <c r="E14" s="31">
        <f t="shared" si="2"/>
        <v>0</v>
      </c>
      <c r="F14" s="31">
        <f t="shared" si="2"/>
        <v>0</v>
      </c>
      <c r="G14" s="31">
        <f t="shared" si="2"/>
        <v>3.8972925415218816E-2</v>
      </c>
      <c r="H14" s="31">
        <f t="shared" si="2"/>
        <v>1.2489337045114705E-2</v>
      </c>
      <c r="I14" s="31">
        <f t="shared" si="2"/>
        <v>0</v>
      </c>
      <c r="J14" s="31">
        <f t="shared" si="2"/>
        <v>0</v>
      </c>
      <c r="K14" s="31">
        <f t="shared" si="2"/>
        <v>0</v>
      </c>
      <c r="L14" s="31">
        <f t="shared" si="2"/>
        <v>0</v>
      </c>
      <c r="M14" s="31">
        <f t="shared" si="2"/>
        <v>0</v>
      </c>
      <c r="N14" s="31">
        <f t="shared" si="2"/>
        <v>-1.8531429648399437E-2</v>
      </c>
      <c r="O14" s="31">
        <f t="shared" si="2"/>
        <v>0</v>
      </c>
      <c r="P14" s="31">
        <f t="shared" si="2"/>
        <v>0</v>
      </c>
      <c r="Q14" s="31">
        <f t="shared" si="2"/>
        <v>0.1981361474589739</v>
      </c>
      <c r="R14" s="31">
        <f t="shared" ca="1" si="2"/>
        <v>-6.6628085565456019E-2</v>
      </c>
      <c r="S14" s="31">
        <f t="shared" ca="1" si="2"/>
        <v>0</v>
      </c>
      <c r="T14" s="31">
        <f t="shared" si="2"/>
        <v>-5.7158596797859916E-3</v>
      </c>
      <c r="U14" s="31">
        <f t="shared" si="2"/>
        <v>4.8193334372435757E-5</v>
      </c>
      <c r="V14" s="31">
        <f t="shared" ca="1" si="2"/>
        <v>-6.2681974043182331E-4</v>
      </c>
      <c r="W14" s="31">
        <f t="shared" ca="1" si="2"/>
        <v>6.4167837391970175E-5</v>
      </c>
      <c r="X14" s="31">
        <f t="shared" ca="1" si="2"/>
        <v>0.1583673718324346</v>
      </c>
    </row>
    <row r="15" spans="1:33" x14ac:dyDescent="0.2">
      <c r="A15" s="14" t="s">
        <v>1231</v>
      </c>
      <c r="B15" s="31">
        <f t="shared" ref="B15:X15" si="3">IF($X$8&lt;&gt;0,(B$9-B$8)/$X$8,0)</f>
        <v>-1.5723209946617425E-5</v>
      </c>
      <c r="C15" s="31">
        <f t="shared" si="3"/>
        <v>9.5437337768812758E-5</v>
      </c>
      <c r="D15" s="31">
        <f t="shared" ca="1" si="3"/>
        <v>7.9081247613775103E-5</v>
      </c>
      <c r="E15" s="31">
        <f t="shared" si="3"/>
        <v>0</v>
      </c>
      <c r="F15" s="31">
        <f t="shared" si="3"/>
        <v>0</v>
      </c>
      <c r="G15" s="31">
        <f t="shared" si="3"/>
        <v>3.8972925415218816E-2</v>
      </c>
      <c r="H15" s="31">
        <f t="shared" si="3"/>
        <v>1.2489337045114705E-2</v>
      </c>
      <c r="I15" s="31">
        <f t="shared" si="3"/>
        <v>0</v>
      </c>
      <c r="J15" s="31">
        <f t="shared" si="3"/>
        <v>0</v>
      </c>
      <c r="K15" s="31">
        <f t="shared" si="3"/>
        <v>0</v>
      </c>
      <c r="L15" s="31">
        <f t="shared" si="3"/>
        <v>0</v>
      </c>
      <c r="M15" s="31">
        <f t="shared" si="3"/>
        <v>0</v>
      </c>
      <c r="N15" s="31">
        <f t="shared" si="3"/>
        <v>-1.8531429648399437E-2</v>
      </c>
      <c r="O15" s="31">
        <f t="shared" si="3"/>
        <v>0</v>
      </c>
      <c r="P15" s="31">
        <f t="shared" si="3"/>
        <v>0</v>
      </c>
      <c r="Q15" s="31">
        <f t="shared" si="3"/>
        <v>0.1981361474589739</v>
      </c>
      <c r="R15" s="31">
        <f t="shared" ca="1" si="3"/>
        <v>-6.6628085565456019E-2</v>
      </c>
      <c r="S15" s="31">
        <f t="shared" ca="1" si="3"/>
        <v>0</v>
      </c>
      <c r="T15" s="31">
        <f t="shared" si="3"/>
        <v>-5.7158596797859916E-3</v>
      </c>
      <c r="U15" s="31">
        <f t="shared" si="3"/>
        <v>4.8193334372435757E-5</v>
      </c>
      <c r="V15" s="31">
        <f t="shared" ca="1" si="3"/>
        <v>-6.2681974043182331E-4</v>
      </c>
      <c r="W15" s="31">
        <f t="shared" ca="1" si="3"/>
        <v>6.4167837391970175E-5</v>
      </c>
      <c r="X15" s="31">
        <f t="shared" ca="1" si="3"/>
        <v>0.1583673718324346</v>
      </c>
    </row>
  </sheetData>
  <dataValidations count="5">
    <dataValidation type="list" allowBlank="1" showInputMessage="1" showErrorMessage="1" error="Deve-se selecionar grupo válido" sqref="A2" xr:uid="{69072ABB-6D52-447D-BD6C-094133409602}">
      <formula1>AA1:AA6</formula1>
    </dataValidation>
    <dataValidation type="list" allowBlank="1" showInputMessage="1" showErrorMessage="1" error="Deve-se selecionar grupo válido" sqref="B2 G2" xr:uid="{57EBFC78-E73E-4AB5-8C87-3672691A065A}">
      <formula1>AB1:AB8</formula1>
    </dataValidation>
    <dataValidation type="list" allowBlank="1" showInputMessage="1" showErrorMessage="1" error="Deve-se selecionar grupo válido" sqref="C2 E2" xr:uid="{E2DD6B1B-A4EE-41BB-9A32-E8CFF6DD7D23}">
      <formula1>AC1:AC4</formula1>
    </dataValidation>
    <dataValidation type="list" allowBlank="1" showInputMessage="1" showErrorMessage="1" error="Deve-se selecionar grupo válido" sqref="D2" xr:uid="{0983C1D0-B847-468E-A94C-95B6B441B422}">
      <formula1>AD1:AD10</formula1>
    </dataValidation>
    <dataValidation type="list" allowBlank="1" showInputMessage="1" showErrorMessage="1" error="Deve-se selecionar grupo válido" sqref="F2" xr:uid="{0A4F996F-E29F-48F2-B774-127ED05B846C}">
      <formula1>AF1:AF2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996E6-3521-4728-AD9C-3E227C33ED12}">
  <sheetPr codeName="Planilha22"/>
  <dimension ref="A1:AG15"/>
  <sheetViews>
    <sheetView showGridLines="0" workbookViewId="0">
      <selection activeCell="J15" sqref="J15"/>
    </sheetView>
  </sheetViews>
  <sheetFormatPr defaultColWidth="9.109375" defaultRowHeight="10.199999999999999" x14ac:dyDescent="0.2"/>
  <cols>
    <col min="1" max="1" width="19.109375" style="14" bestFit="1" customWidth="1"/>
    <col min="2" max="2" width="10.5546875" style="14" bestFit="1" customWidth="1"/>
    <col min="3" max="5" width="10.33203125" style="14" bestFit="1" customWidth="1"/>
    <col min="6" max="6" width="10.5546875" style="14" bestFit="1" customWidth="1"/>
    <col min="7" max="7" width="14.88671875" style="14" bestFit="1" customWidth="1"/>
    <col min="8" max="8" width="8.6640625" style="14" bestFit="1" customWidth="1"/>
    <col min="9" max="9" width="9.5546875" style="14" bestFit="1" customWidth="1"/>
    <col min="10" max="10" width="6.44140625" style="14" bestFit="1" customWidth="1"/>
    <col min="11" max="11" width="10.5546875" style="14" bestFit="1" customWidth="1"/>
    <col min="12" max="12" width="10.6640625" style="14" bestFit="1" customWidth="1"/>
    <col min="13" max="13" width="10.88671875" style="14" bestFit="1" customWidth="1"/>
    <col min="14" max="26" width="9.109375" style="14"/>
    <col min="27" max="27" width="3" style="14" bestFit="1" customWidth="1"/>
    <col min="28" max="28" width="27.109375" style="14" bestFit="1" customWidth="1"/>
    <col min="29" max="29" width="13.5546875" style="14" bestFit="1" customWidth="1"/>
    <col min="30" max="30" width="25.109375" style="14" bestFit="1" customWidth="1"/>
    <col min="31" max="33" width="10.33203125" style="14" bestFit="1" customWidth="1"/>
    <col min="34" max="16384" width="9.109375" style="14"/>
  </cols>
  <sheetData>
    <row r="1" spans="1:33" x14ac:dyDescent="0.2">
      <c r="A1" s="14" t="s">
        <v>66</v>
      </c>
      <c r="B1" s="14" t="s">
        <v>67</v>
      </c>
      <c r="C1" s="14" t="s">
        <v>68</v>
      </c>
      <c r="D1" s="14" t="s">
        <v>69</v>
      </c>
      <c r="E1" s="14" t="s">
        <v>70</v>
      </c>
      <c r="F1" s="14" t="s">
        <v>15</v>
      </c>
      <c r="G1" s="14" t="s">
        <v>72</v>
      </c>
      <c r="I1" s="14" t="s">
        <v>1228</v>
      </c>
      <c r="AA1" s="14" t="s">
        <v>39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39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4" t="s">
        <v>22</v>
      </c>
      <c r="AB2" s="14" t="s">
        <v>75</v>
      </c>
      <c r="AC2" s="14" t="s">
        <v>24</v>
      </c>
      <c r="AD2" s="14" t="s">
        <v>24</v>
      </c>
      <c r="AE2" s="14" t="s">
        <v>80</v>
      </c>
      <c r="AG2" s="14" t="s">
        <v>77</v>
      </c>
    </row>
    <row r="3" spans="1:33" x14ac:dyDescent="0.2">
      <c r="AA3" s="14" t="s">
        <v>42</v>
      </c>
      <c r="AB3" s="14" t="s">
        <v>79</v>
      </c>
      <c r="AC3" s="14" t="s">
        <v>43</v>
      </c>
      <c r="AD3" s="14" t="s">
        <v>29</v>
      </c>
      <c r="AG3" s="14" t="s">
        <v>78</v>
      </c>
    </row>
    <row r="4" spans="1:33" x14ac:dyDescent="0.2">
      <c r="AA4" s="14" t="s">
        <v>37</v>
      </c>
      <c r="AB4" s="14" t="s">
        <v>82</v>
      </c>
      <c r="AC4" s="14" t="s">
        <v>46</v>
      </c>
      <c r="AD4" s="14" t="s">
        <v>30</v>
      </c>
      <c r="AG4" s="14" t="s">
        <v>81</v>
      </c>
    </row>
    <row r="5" spans="1:33" x14ac:dyDescent="0.2">
      <c r="A5" s="14" t="s">
        <v>1221</v>
      </c>
      <c r="B5" s="14" t="str">
        <f>TE!$X$4</f>
        <v>P&amp;D</v>
      </c>
      <c r="C5" s="14" t="str">
        <f>TE!$Y$4</f>
        <v>ESS/ERR</v>
      </c>
      <c r="D5" s="14" t="str">
        <f>TE!$Z$4</f>
        <v>CFURH</v>
      </c>
      <c r="E5" s="14" t="str">
        <f>TE!$AA$4</f>
        <v>CDE Covid TE</v>
      </c>
      <c r="F5" s="14" t="str">
        <f>TE!$AB$4</f>
        <v>CDE ELET</v>
      </c>
      <c r="G5" s="14" t="str">
        <f>TE!$AC$4</f>
        <v>ENERGIA REVENDA</v>
      </c>
      <c r="H5" s="14" t="str">
        <f>TE!$AD$4</f>
        <v>ITAIPU</v>
      </c>
      <c r="I5" s="14" t="str">
        <f>TE!$AE$4</f>
        <v>TUST ITAIPU</v>
      </c>
      <c r="J5" s="14" t="str">
        <f>TE!$AF$4</f>
        <v>TUST CI</v>
      </c>
      <c r="K5" s="14" t="str">
        <f>TE!$AG$4</f>
        <v>SUBSIDIO</v>
      </c>
      <c r="L5" s="14" t="str">
        <f>TE!$AH$4</f>
        <v>PERDAS RB/C</v>
      </c>
      <c r="M5" s="14" t="s">
        <v>648</v>
      </c>
      <c r="AA5" s="14" t="s">
        <v>45</v>
      </c>
      <c r="AB5" s="14" t="s">
        <v>89</v>
      </c>
      <c r="AD5" s="14" t="s">
        <v>31</v>
      </c>
      <c r="AG5" s="14" t="s">
        <v>93</v>
      </c>
    </row>
    <row r="6" spans="1:33" x14ac:dyDescent="0.2">
      <c r="A6" s="14" t="s">
        <v>1222</v>
      </c>
      <c r="B6" s="20">
        <f>SUM(TE!$X$51:'TE'!$X$91)</f>
        <v>152991.57326799835</v>
      </c>
      <c r="C6" s="20">
        <f>SUM(TE!$Y$51:'TE'!$Y$91)</f>
        <v>1343469.6379272917</v>
      </c>
      <c r="D6" s="20">
        <f>SUM(TE!$Z$51:'TE'!$Z$91)</f>
        <v>0</v>
      </c>
      <c r="E6" s="20">
        <f>SUM(TE!$AA$51:'TE'!$AA$91)</f>
        <v>0</v>
      </c>
      <c r="F6" s="20">
        <f>SUM(TE!$AB$51:'TE'!$AB$91)</f>
        <v>0</v>
      </c>
      <c r="G6" s="20">
        <f>SUM(TE!$AC$51:'TE'!$AC$91)</f>
        <v>12297200.025003897</v>
      </c>
      <c r="H6" s="20">
        <f>SUM(TE!$AD$51:'TE'!$AD$91)</f>
        <v>321137.02127222565</v>
      </c>
      <c r="I6" s="20">
        <f>SUM(TE!$AE$51:'TE'!$AE$91)</f>
        <v>283358.14617997542</v>
      </c>
      <c r="J6" s="20">
        <f>SUM(TE!$AF$51:'TE'!$AF$91)</f>
        <v>0</v>
      </c>
      <c r="K6" s="20">
        <f>SUM(TE!$AG$51:'TE'!$AG$91)</f>
        <v>-1224667.8020413672</v>
      </c>
      <c r="L6" s="20">
        <f>SUM(TE!$AH$51:'TE'!$AH$91)</f>
        <v>87928.590398049797</v>
      </c>
      <c r="M6" s="20">
        <f t="shared" ref="M6:M11" si="0">SUM(B6:L6)</f>
        <v>13261417.192008071</v>
      </c>
      <c r="AB6" s="14" t="s">
        <v>94</v>
      </c>
      <c r="AD6" s="14" t="s">
        <v>32</v>
      </c>
    </row>
    <row r="7" spans="1:33" x14ac:dyDescent="0.2">
      <c r="A7" s="14" t="s">
        <v>1223</v>
      </c>
      <c r="B7" s="20">
        <f>SUM(TE!$L$51:'TE'!$L$91)</f>
        <v>163707.40468903471</v>
      </c>
      <c r="C7" s="20">
        <f>SUM(TE!$M$51:'TE'!$M$91)</f>
        <v>2079316.3390311508</v>
      </c>
      <c r="D7" s="20">
        <f>SUM(TE!$N$51:'TE'!$N$91)</f>
        <v>0</v>
      </c>
      <c r="E7" s="20">
        <f>SUM(TE!$O$51:'TE'!$O$91)</f>
        <v>782658.9385066547</v>
      </c>
      <c r="F7" s="20">
        <f>SUM(TE!$P$51:'TE'!$P$91)</f>
        <v>-1082027.7962621851</v>
      </c>
      <c r="G7" s="20">
        <f>SUM(TE!$Q$51:'TE'!$Q$91)</f>
        <v>13885363.720333923</v>
      </c>
      <c r="H7" s="20">
        <f>SUM(TE!$R$51:'TE'!$R$91)</f>
        <v>458014.04535682814</v>
      </c>
      <c r="I7" s="20">
        <f>SUM(TE!$S$51:'TE'!$S$91)</f>
        <v>275667.82359857723</v>
      </c>
      <c r="J7" s="20">
        <f>SUM(TE!$T$51:'TE'!$T$91)</f>
        <v>0</v>
      </c>
      <c r="K7" s="20">
        <f>SUM(TE!$U$51:'TE'!$U$91)</f>
        <v>-1993440.6311812757</v>
      </c>
      <c r="L7" s="20">
        <f>SUM(TE!$V$51:'TE'!$V$91)</f>
        <v>136365.52060148868</v>
      </c>
      <c r="M7" s="20">
        <f t="shared" si="0"/>
        <v>14705625.364674196</v>
      </c>
      <c r="AD7" s="14" t="s">
        <v>96</v>
      </c>
    </row>
    <row r="8" spans="1:33" x14ac:dyDescent="0.2">
      <c r="A8" s="14" t="s">
        <v>1226</v>
      </c>
      <c r="B8" s="20">
        <f>IF($G$2&lt;&gt;"Não se aplica",SUMIF(TE!$G$51:'TE'!$G$91,$I$2,TE!$X$51:'TE'!$X$91),IF($F$2&lt;&gt;"Não se aplica",SUMIF(TE!$F$51:'TE'!$F$91,$I$2,TE!$X$51:'TE'!$X$91),IF($E$2&lt;&gt;"Não se aplica",SUMIF(TE!$E$51:'TE'!$E$91,$I$2,TE!$X$51:'TE'!$X$91),IF($D$2&lt;&gt;"Não se aplica",SUMIF(TE!$D$51:'TE'!$D$91,$I$2,TE!$X$51:'TE'!$X$91),IF($C$2&lt;&gt;"Não se aplica",SUMIF(TE!$C$51:'TE'!$C$91,$I$2,TE!$X$51:'TE'!$X$91),IF($B$2&lt;&gt;"Não se aplica",SUMIF(TE!$B$51:'TE'!$B$91,$I$2,TE!$X$51:'TE'!$X$91),SUMIF(TE!$A$51:'TE'!$A$91,$I$2,TE!$X$51:'TE'!$X$91)))))))</f>
        <v>37111.43257025857</v>
      </c>
      <c r="C8" s="20">
        <f>IF($G$2&lt;&gt;"Não se aplica",SUMIF(TE!$G$51:'TE'!$G$91,$I$2,TE!$Y$51:'TE'!$Y$91),IF($F$2&lt;&gt;"Não se aplica",SUMIF(TE!$F$51:'TE'!$F$91,$I$2,TE!$Y$51:'TE'!$Y$91),IF($E$2&lt;&gt;"Não se aplica",SUMIF(TE!$E$51:'TE'!$E$91,$I$2,TE!$Y$51:'TE'!$Y$91),IF($D$2&lt;&gt;"Não se aplica",SUMIF(TE!$D$51:'TE'!$D$91,$I$2,TE!$Y$51:'TE'!$Y$91),IF($C$2&lt;&gt;"Não se aplica",SUMIF(TE!$C$51:'TE'!$C$91,$I$2,TE!$Y$51:'TE'!$Y$91),IF($B$2&lt;&gt;"Não se aplica",SUMIF(TE!$B$51:'TE'!$B$91,$I$2,TE!$Y$51:'TE'!$Y$91),SUMIF(TE!$A$51:'TE'!$A$91,$I$2,TE!$Y$51:'TE'!$Y$91)))))))</f>
        <v>325887.7715492929</v>
      </c>
      <c r="D8" s="20">
        <f>IF($G$2&lt;&gt;"Não se aplica",SUMIF(TE!$G$51:'TE'!$G$91,$I$2,TE!$Z$51:'TE'!$Z$91),IF($F$2&lt;&gt;"Não se aplica",SUMIF(TE!$F$51:'TE'!$F$91,$I$2,TE!$Z$51:'TE'!$Z$91),IF($E$2&lt;&gt;"Não se aplica",SUMIF(TE!$E$51:'TE'!$E$91,$I$2,TE!$Z$51:'TE'!$Z$91),IF($D$2&lt;&gt;"Não se aplica",SUMIF(TE!$D$51:'TE'!$D$91,$I$2,TE!$Z$51:'TE'!$Z$91),IF($C$2&lt;&gt;"Não se aplica",SUMIF(TE!$C$51:'TE'!$C$91,$I$2,TE!$Z$51:'TE'!$Z$91),IF($B$2&lt;&gt;"Não se aplica",SUMIF(TE!$B$51:'TE'!$B$91,$I$2,TE!$Z$51:'TE'!$Z$91),SUMIF(TE!$A$51:'TE'!$A$91,$I$2,TE!$Z$51:'TE'!$Z$91)))))))</f>
        <v>0</v>
      </c>
      <c r="E8" s="20">
        <f>IF($G$2&lt;&gt;"Não se aplica",SUMIF(TE!$G$51:'TE'!$G$91,$I$2,TE!$AA$51:'TE'!$AA$91),IF($F$2&lt;&gt;"Não se aplica",SUMIF(TE!$F$51:'TE'!$F$91,$I$2,TE!$AA$51:'TE'!$AA$91),IF($E$2&lt;&gt;"Não se aplica",SUMIF(TE!$E$51:'TE'!$E$91,$I$2,TE!$AA$51:'TE'!$AA$91),IF($D$2&lt;&gt;"Não se aplica",SUMIF(TE!$D$51:'TE'!$D$91,$I$2,TE!$AA$51:'TE'!$AA$91),IF($C$2&lt;&gt;"Não se aplica",SUMIF(TE!$C$51:'TE'!$C$91,$I$2,TE!$AA$51:'TE'!$AA$91),IF($B$2&lt;&gt;"Não se aplica",SUMIF(TE!$B$51:'TE'!$B$91,$I$2,TE!$AA$51:'TE'!$AA$91),SUMIF(TE!$A$51:'TE'!$A$91,$I$2,TE!$AA$51:'TE'!$AA$91)))))))</f>
        <v>0</v>
      </c>
      <c r="F8" s="20">
        <f>IF($G$2&lt;&gt;"Não se aplica",SUMIF(TE!$G$51:'TE'!$G$91,$I$2,TE!$AB$51:'TE'!$AB$91),IF($F$2&lt;&gt;"Não se aplica",SUMIF(TE!$F$51:'TE'!$F$91,$I$2,TE!$AB$51:'TE'!$AB$91),IF($E$2&lt;&gt;"Não se aplica",SUMIF(TE!$E$51:'TE'!$E$91,$I$2,TE!$AB$51:'TE'!$AB$91),IF($D$2&lt;&gt;"Não se aplica",SUMIF(TE!$D$51:'TE'!$D$91,$I$2,TE!$AB$51:'TE'!$AB$91),IF($C$2&lt;&gt;"Não se aplica",SUMIF(TE!$C$51:'TE'!$C$91,$I$2,TE!$AB$51:'TE'!$AB$91),IF($B$2&lt;&gt;"Não se aplica",SUMIF(TE!$B$51:'TE'!$B$91,$I$2,TE!$AB$51:'TE'!$AB$91),SUMIF(TE!$A$51:'TE'!$A$91,$I$2,TE!$AB$51:'TE'!$AB$91)))))))</f>
        <v>0</v>
      </c>
      <c r="G8" s="20">
        <f>IF($G$2&lt;&gt;"Não se aplica",SUMIF(TE!$G$51:'TE'!$G$91,$I$2,TE!$AC$51:'TE'!$AC$91),IF($F$2&lt;&gt;"Não se aplica",SUMIF(TE!$F$51:'TE'!$F$91,$I$2,TE!$AC$51:'TE'!$AC$91),IF($E$2&lt;&gt;"Não se aplica",SUMIF(TE!$E$51:'TE'!$E$91,$I$2,TE!$AC$51:'TE'!$AC$91),IF($D$2&lt;&gt;"Não se aplica",SUMIF(TE!$D$51:'TE'!$D$91,$I$2,TE!$AC$51:'TE'!$AC$91),IF($C$2&lt;&gt;"Não se aplica",SUMIF(TE!$C$51:'TE'!$C$91,$I$2,TE!$AC$51:'TE'!$AC$91),IF($B$2&lt;&gt;"Não se aplica",SUMIF(TE!$B$51:'TE'!$B$91,$I$2,TE!$AC$51:'TE'!$AC$91),SUMIF(TE!$A$51:'TE'!$A$91,$I$2,TE!$AC$51:'TE'!$AC$91)))))))</f>
        <v>2935032.4531978909</v>
      </c>
      <c r="H8" s="20">
        <f>IF($G$2&lt;&gt;"Não se aplica",SUMIF(TE!$G$51:'TE'!$G$91,$I$2,TE!$AD$51:'TE'!$AD$91),IF($F$2&lt;&gt;"Não se aplica",SUMIF(TE!$F$51:'TE'!$F$91,$I$2,TE!$AD$51:'TE'!$AD$91),IF($E$2&lt;&gt;"Não se aplica",SUMIF(TE!$E$51:'TE'!$E$91,$I$2,TE!$AD$51:'TE'!$AD$91),IF($D$2&lt;&gt;"Não se aplica",SUMIF(TE!$D$51:'TE'!$D$91,$I$2,TE!$AD$51:'TE'!$AD$91),IF($C$2&lt;&gt;"Não se aplica",SUMIF(TE!$C$51:'TE'!$C$91,$I$2,TE!$AD$51:'TE'!$AD$91),IF($B$2&lt;&gt;"Não se aplica",SUMIF(TE!$B$51:'TE'!$B$91,$I$2,TE!$AD$51:'TE'!$AD$91),SUMIF(TE!$A$51:'TE'!$A$91,$I$2,TE!$AD$51:'TE'!$AD$91)))))))</f>
        <v>77898.766946341217</v>
      </c>
      <c r="I8" s="20">
        <f>IF($G$2&lt;&gt;"Não se aplica",SUMIF(TE!$G$51:'TE'!$G$91,$I$2,TE!$AE$51:'TE'!$AE$91),IF($F$2&lt;&gt;"Não se aplica",SUMIF(TE!$F$51:'TE'!$F$91,$I$2,TE!$AE$51:'TE'!$AE$91),IF($E$2&lt;&gt;"Não se aplica",SUMIF(TE!$E$51:'TE'!$E$91,$I$2,TE!$AE$51:'TE'!$AE$91),IF($D$2&lt;&gt;"Não se aplica",SUMIF(TE!$D$51:'TE'!$D$91,$I$2,TE!$AE$51:'TE'!$AE$91),IF($C$2&lt;&gt;"Não se aplica",SUMIF(TE!$C$51:'TE'!$C$91,$I$2,TE!$AE$51:'TE'!$AE$91),IF($B$2&lt;&gt;"Não se aplica",SUMIF(TE!$B$51:'TE'!$B$91,$I$2,TE!$AE$51:'TE'!$AE$91),SUMIF(TE!$A$51:'TE'!$A$91,$I$2,TE!$AE$51:'TE'!$AE$91)))))))</f>
        <v>68734.679371986393</v>
      </c>
      <c r="J8" s="20">
        <f>IF($G$2&lt;&gt;"Não se aplica",SUMIF(TE!$G$51:'TE'!$G$91,$I$2,TE!$AF$51:'TE'!$AF$91),IF($F$2&lt;&gt;"Não se aplica",SUMIF(TE!$F$51:'TE'!$F$91,$I$2,TE!$AF$51:'TE'!$AF$91),IF($E$2&lt;&gt;"Não se aplica",SUMIF(TE!$E$51:'TE'!$E$91,$I$2,TE!$AF$51:'TE'!$AF$91),IF($D$2&lt;&gt;"Não se aplica",SUMIF(TE!$D$51:'TE'!$D$91,$I$2,TE!$AF$51:'TE'!$AF$91),IF($C$2&lt;&gt;"Não se aplica",SUMIF(TE!$C$51:'TE'!$C$91,$I$2,TE!$AF$51:'TE'!$AF$91),IF($B$2&lt;&gt;"Não se aplica",SUMIF(TE!$B$51:'TE'!$B$91,$I$2,TE!$AF$51:'TE'!$AF$91),SUMIF(TE!$A$51:'TE'!$A$91,$I$2,TE!$AF$51:'TE'!$AF$91)))))))</f>
        <v>0</v>
      </c>
      <c r="K8" s="20">
        <f>IF($G$2&lt;&gt;"Não se aplica",SUMIF(TE!$G$51:'TE'!$G$91,$I$2,TE!$AG$51:'TE'!$AG$91),IF($F$2&lt;&gt;"Não se aplica",SUMIF(TE!$F$51:'TE'!$F$91,$I$2,TE!$AG$51:'TE'!$AG$91),IF($E$2&lt;&gt;"Não se aplica",SUMIF(TE!$E$51:'TE'!$E$91,$I$2,TE!$AG$51:'TE'!$AG$91),IF($D$2&lt;&gt;"Não se aplica",SUMIF(TE!$D$51:'TE'!$D$91,$I$2,TE!$AG$51:'TE'!$AG$91),IF($C$2&lt;&gt;"Não se aplica",SUMIF(TE!$C$51:'TE'!$C$91,$I$2,TE!$AG$51:'TE'!$AG$91),IF($B$2&lt;&gt;"Não se aplica",SUMIF(TE!$B$51:'TE'!$B$91,$I$2,TE!$AG$51:'TE'!$AG$91),SUMIF(TE!$A$51:'TE'!$A$91,$I$2,TE!$AG$51:'TE'!$AG$91)))))))</f>
        <v>-214100.63547362981</v>
      </c>
      <c r="L8" s="20">
        <f>IF($G$2&lt;&gt;"Não se aplica",SUMIF(TE!$G$51:'TE'!$G$91,$I$2,TE!$AH$51:'TE'!$AH$91),IF($F$2&lt;&gt;"Não se aplica",SUMIF(TE!$F$51:'TE'!$F$91,$I$2,TE!$AH$51:'TE'!$AH$91),IF($E$2&lt;&gt;"Não se aplica",SUMIF(TE!$E$51:'TE'!$E$91,$I$2,TE!$AH$51:'TE'!$AH$91),IF($D$2&lt;&gt;"Não se aplica",SUMIF(TE!$D$51:'TE'!$D$91,$I$2,TE!$AH$51:'TE'!$AH$91),IF($C$2&lt;&gt;"Não se aplica",SUMIF(TE!$C$51:'TE'!$C$91,$I$2,TE!$AH$51:'TE'!$AH$91),IF($B$2&lt;&gt;"Não se aplica",SUMIF(TE!$B$51:'TE'!$B$91,$I$2,TE!$AH$51:'TE'!$AH$91),SUMIF(TE!$A$51:'TE'!$A$91,$I$2,TE!$AH$51:'TE'!$AH$91)))))))</f>
        <v>21328.991419932499</v>
      </c>
      <c r="M8" s="20">
        <f t="shared" si="0"/>
        <v>3251893.4595820727</v>
      </c>
      <c r="AD8" s="14" t="s">
        <v>97</v>
      </c>
    </row>
    <row r="9" spans="1:33" x14ac:dyDescent="0.2">
      <c r="A9" s="14" t="s">
        <v>1227</v>
      </c>
      <c r="B9" s="20">
        <f>IF($G$2&lt;&gt;"Não se aplica",SUMIF(TE!$G$51:'TE'!$G$91,$I$2,TE!$L$51:'TE'!$L$91),IF($F$2&lt;&gt;"Não se aplica",SUMIF(TE!$F$51:'TE'!$F$91,$I$2,TE!$L$51:'TE'!$L$91),IF($E$2&lt;&gt;"Não se aplica",SUMIF(TE!$E$51:'TE'!$E$91,$I$2,TE!$L$51:'TE'!$L$91),IF($D$2&lt;&gt;"Não se aplica",SUMIF(TE!$D$51:'TE'!$D$91,$I$2,TE!$L$51:'TE'!$L$91),IF($C$2&lt;&gt;"Não se aplica",SUMIF(TE!$C$51:'TE'!$C$91,$I$2,TE!$L$51:'TE'!$L$91),IF($B$2&lt;&gt;"Não se aplica",SUMIF(TE!$B$51:'TE'!$B$91,$I$2,TE!$L$51:'TE'!$L$91),SUMIF(TE!$A$51:'TE'!$A$91,$I$2,TE!$L$51:'TE'!$L$91)))))))</f>
        <v>39083.727163391617</v>
      </c>
      <c r="C9" s="20">
        <f>IF($G$2&lt;&gt;"Não se aplica",SUMIF(TE!$G$51:'TE'!$G$91,$I$2,TE!$M$51:'TE'!$M$91),IF($F$2&lt;&gt;"Não se aplica",SUMIF(TE!$F$51:'TE'!$F$91,$I$2,TE!$M$51:'TE'!$M$91),IF($E$2&lt;&gt;"Não se aplica",SUMIF(TE!$E$51:'TE'!$E$91,$I$2,TE!$M$51:'TE'!$M$91),IF($D$2&lt;&gt;"Não se aplica",SUMIF(TE!$D$51:'TE'!$D$91,$I$2,TE!$M$51:'TE'!$M$91),IF($C$2&lt;&gt;"Não se aplica",SUMIF(TE!$C$51:'TE'!$C$91,$I$2,TE!$M$51:'TE'!$M$91),IF($B$2&lt;&gt;"Não se aplica",SUMIF(TE!$B$51:'TE'!$B$91,$I$2,TE!$M$51:'TE'!$M$91),SUMIF(TE!$A$51:'TE'!$A$91,$I$2,TE!$M$51:'TE'!$M$91)))))))</f>
        <v>496418.79446714593</v>
      </c>
      <c r="D9" s="20">
        <f>IF($G$2&lt;&gt;"Não se aplica",SUMIF(TE!$G$51:'TE'!$G$91,$I$2,TE!$N$51:'TE'!$N$91),IF($F$2&lt;&gt;"Não se aplica",SUMIF(TE!$F$51:'TE'!$F$91,$I$2,TE!$N$51:'TE'!$N$91),IF($E$2&lt;&gt;"Não se aplica",SUMIF(TE!$E$51:'TE'!$E$91,$I$2,TE!$N$51:'TE'!$N$91),IF($D$2&lt;&gt;"Não se aplica",SUMIF(TE!$D$51:'TE'!$D$91,$I$2,TE!$N$51:'TE'!$N$91),IF($C$2&lt;&gt;"Não se aplica",SUMIF(TE!$C$51:'TE'!$C$91,$I$2,TE!$N$51:'TE'!$N$91),IF($B$2&lt;&gt;"Não se aplica",SUMIF(TE!$B$51:'TE'!$B$91,$I$2,TE!$N$51:'TE'!$N$91),SUMIF(TE!$A$51:'TE'!$A$91,$I$2,TE!$N$51:'TE'!$N$91)))))))</f>
        <v>0</v>
      </c>
      <c r="E9" s="20">
        <f>IF($G$2&lt;&gt;"Não se aplica",SUMIF(TE!$G$51:'TE'!$G$91,$I$2,TE!$O$51:'TE'!$O$91),IF($F$2&lt;&gt;"Não se aplica",SUMIF(TE!$F$51:'TE'!$F$91,$I$2,TE!$O$51:'TE'!$O$91),IF($E$2&lt;&gt;"Não se aplica",SUMIF(TE!$E$51:'TE'!$E$91,$I$2,TE!$O$51:'TE'!$O$91),IF($D$2&lt;&gt;"Não se aplica",SUMIF(TE!$D$51:'TE'!$D$91,$I$2,TE!$O$51:'TE'!$O$91),IF($C$2&lt;&gt;"Não se aplica",SUMIF(TE!$C$51:'TE'!$C$91,$I$2,TE!$O$51:'TE'!$O$91),IF($B$2&lt;&gt;"Não se aplica",SUMIF(TE!$B$51:'TE'!$B$91,$I$2,TE!$O$51:'TE'!$O$91),SUMIF(TE!$A$51:'TE'!$A$91,$I$2,TE!$O$51:'TE'!$O$91)))))))</f>
        <v>186853.05330378065</v>
      </c>
      <c r="F9" s="20">
        <f>IF($G$2&lt;&gt;"Não se aplica",SUMIF(TE!$G$51:'TE'!$G$91,$I$2,TE!$P$51:'TE'!$P$91),IF($F$2&lt;&gt;"Não se aplica",SUMIF(TE!$F$51:'TE'!$F$91,$I$2,TE!$P$51:'TE'!$P$91),IF($E$2&lt;&gt;"Não se aplica",SUMIF(TE!$E$51:'TE'!$E$91,$I$2,TE!$P$51:'TE'!$P$91),IF($D$2&lt;&gt;"Não se aplica",SUMIF(TE!$D$51:'TE'!$D$91,$I$2,TE!$P$51:'TE'!$P$91),IF($C$2&lt;&gt;"Não se aplica",SUMIF(TE!$C$51:'TE'!$C$91,$I$2,TE!$P$51:'TE'!$P$91),IF($B$2&lt;&gt;"Não se aplica",SUMIF(TE!$B$51:'TE'!$B$91,$I$2,TE!$P$51:'TE'!$P$91),SUMIF(TE!$A$51:'TE'!$A$91,$I$2,TE!$P$51:'TE'!$P$91)))))))</f>
        <v>-258324.77921598702</v>
      </c>
      <c r="G9" s="20">
        <f>IF($G$2&lt;&gt;"Não se aplica",SUMIF(TE!$G$51:'TE'!$G$91,$I$2,TE!$Q$51:'TE'!$Q$91),IF($F$2&lt;&gt;"Não se aplica",SUMIF(TE!$F$51:'TE'!$F$91,$I$2,TE!$Q$51:'TE'!$Q$91),IF($E$2&lt;&gt;"Não se aplica",SUMIF(TE!$E$51:'TE'!$E$91,$I$2,TE!$Q$51:'TE'!$Q$91),IF($D$2&lt;&gt;"Não se aplica",SUMIF(TE!$D$51:'TE'!$D$91,$I$2,TE!$Q$51:'TE'!$Q$91),IF($C$2&lt;&gt;"Não se aplica",SUMIF(TE!$C$51:'TE'!$C$91,$I$2,TE!$Q$51:'TE'!$Q$91),IF($B$2&lt;&gt;"Não se aplica",SUMIF(TE!$B$51:'TE'!$B$91,$I$2,TE!$Q$51:'TE'!$Q$91),SUMIF(TE!$A$51:'TE'!$A$91,$I$2,TE!$Q$51:'TE'!$Q$91)))))))</f>
        <v>3261686.6507978709</v>
      </c>
      <c r="H9" s="20">
        <f>IF($G$2&lt;&gt;"Não se aplica",SUMIF(TE!$G$51:'TE'!$G$91,$I$2,TE!$R$51:'TE'!$R$91),IF($F$2&lt;&gt;"Não se aplica",SUMIF(TE!$F$51:'TE'!$F$91,$I$2,TE!$R$51:'TE'!$R$91),IF($E$2&lt;&gt;"Não se aplica",SUMIF(TE!$E$51:'TE'!$E$91,$I$2,TE!$R$51:'TE'!$R$91),IF($D$2&lt;&gt;"Não se aplica",SUMIF(TE!$D$51:'TE'!$D$91,$I$2,TE!$R$51:'TE'!$R$91),IF($C$2&lt;&gt;"Não se aplica",SUMIF(TE!$C$51:'TE'!$C$91,$I$2,TE!$R$51:'TE'!$R$91),IF($B$2&lt;&gt;"Não se aplica",SUMIF(TE!$B$51:'TE'!$B$91,$I$2,TE!$R$51:'TE'!$R$91),SUMIF(TE!$A$51:'TE'!$A$91,$I$2,TE!$R$51:'TE'!$R$91)))))))</f>
        <v>109346.89252285584</v>
      </c>
      <c r="I9" s="20">
        <f>IF($G$2&lt;&gt;"Não se aplica",SUMIF(TE!$G$51:'TE'!$G$91,$I$2,TE!$S$51:'TE'!$S$91),IF($F$2&lt;&gt;"Não se aplica",SUMIF(TE!$F$51:'TE'!$F$91,$I$2,TE!$S$51:'TE'!$S$91),IF($E$2&lt;&gt;"Não se aplica",SUMIF(TE!$E$51:'TE'!$E$91,$I$2,TE!$S$51:'TE'!$S$91),IF($D$2&lt;&gt;"Não se aplica",SUMIF(TE!$D$51:'TE'!$D$91,$I$2,TE!$S$51:'TE'!$S$91),IF($C$2&lt;&gt;"Não se aplica",SUMIF(TE!$C$51:'TE'!$C$91,$I$2,TE!$S$51:'TE'!$S$91),IF($B$2&lt;&gt;"Não se aplica",SUMIF(TE!$B$51:'TE'!$B$91,$I$2,TE!$S$51:'TE'!$S$91),SUMIF(TE!$A$51:'TE'!$A$91,$I$2,TE!$S$51:'TE'!$S$91)))))))</f>
        <v>65813.308968634738</v>
      </c>
      <c r="J9" s="20">
        <f>IF($G$2&lt;&gt;"Não se aplica",SUMIF(TE!$G$51:'TE'!$G$91,$I$2,TE!$T$51:'TE'!$T$91),IF($F$2&lt;&gt;"Não se aplica",SUMIF(TE!$F$51:'TE'!$F$91,$I$2,TE!$T$51:'TE'!$T$91),IF($E$2&lt;&gt;"Não se aplica",SUMIF(TE!$E$51:'TE'!$E$91,$I$2,TE!$T$51:'TE'!$T$91),IF($D$2&lt;&gt;"Não se aplica",SUMIF(TE!$D$51:'TE'!$D$91,$I$2,TE!$T$51:'TE'!$T$91),IF($C$2&lt;&gt;"Não se aplica",SUMIF(TE!$C$51:'TE'!$C$91,$I$2,TE!$T$51:'TE'!$T$91),IF($B$2&lt;&gt;"Não se aplica",SUMIF(TE!$B$51:'TE'!$B$91,$I$2,TE!$T$51:'TE'!$T$91),SUMIF(TE!$A$51:'TE'!$A$91,$I$2,TE!$T$51:'TE'!$T$91)))))))</f>
        <v>0</v>
      </c>
      <c r="K9" s="20">
        <f>IF($G$2&lt;&gt;"Não se aplica",SUMIF(TE!$G$51:'TE'!$G$91,$I$2,TE!$U$51:'TE'!$U$91),IF($F$2&lt;&gt;"Não se aplica",SUMIF(TE!$F$51:'TE'!$F$91,$I$2,TE!$U$51:'TE'!$U$91),IF($E$2&lt;&gt;"Não se aplica",SUMIF(TE!$E$51:'TE'!$E$91,$I$2,TE!$U$51:'TE'!$U$91),IF($D$2&lt;&gt;"Não se aplica",SUMIF(TE!$D$51:'TE'!$D$91,$I$2,TE!$U$51:'TE'!$U$91),IF($C$2&lt;&gt;"Não se aplica",SUMIF(TE!$C$51:'TE'!$C$91,$I$2,TE!$U$51:'TE'!$U$91),IF($B$2&lt;&gt;"Não se aplica",SUMIF(TE!$B$51:'TE'!$B$91,$I$2,TE!$U$51:'TE'!$U$91),SUMIF(TE!$A$51:'TE'!$A$91,$I$2,TE!$U$51:'TE'!$U$91)))))))</f>
        <v>-342512.90320143406</v>
      </c>
      <c r="L9" s="20">
        <f>IF($G$2&lt;&gt;"Não se aplica",SUMIF(TE!$G$51:'TE'!$G$91,$I$2,TE!$V$51:'TE'!$V$91),IF($F$2&lt;&gt;"Não se aplica",SUMIF(TE!$F$51:'TE'!$F$91,$I$2,TE!$V$51:'TE'!$V$91),IF($E$2&lt;&gt;"Não se aplica",SUMIF(TE!$E$51:'TE'!$E$91,$I$2,TE!$V$51:'TE'!$V$91),IF($D$2&lt;&gt;"Não se aplica",SUMIF(TE!$D$51:'TE'!$D$91,$I$2,TE!$V$51:'TE'!$V$91),IF($C$2&lt;&gt;"Não se aplica",SUMIF(TE!$C$51:'TE'!$C$91,$I$2,TE!$V$51:'TE'!$V$91),IF($B$2&lt;&gt;"Não se aplica",SUMIF(TE!$B$51:'TE'!$B$91,$I$2,TE!$V$51:'TE'!$V$91),SUMIF(TE!$A$51:'TE'!$A$91,$I$2,TE!$V$51:'TE'!$V$91)))))))</f>
        <v>32556.088784171108</v>
      </c>
      <c r="M9" s="20">
        <f t="shared" si="0"/>
        <v>3590920.8335904302</v>
      </c>
      <c r="AD9" s="14" t="s">
        <v>47</v>
      </c>
    </row>
    <row r="10" spans="1:33" x14ac:dyDescent="0.2">
      <c r="A10" s="14" t="s">
        <v>1224</v>
      </c>
      <c r="B10" s="20">
        <f>SUMIF(TE!$A$51:'TE'!$A$91,$A$2,TE!$X$51:'TE'!$X$91)</f>
        <v>37111.43257025857</v>
      </c>
      <c r="C10" s="20">
        <f>SUMIF(TE!$A$51:'TE'!$A$91,$A$2,TE!$Y$51:'TE'!$Y$91)</f>
        <v>325887.7715492929</v>
      </c>
      <c r="D10" s="20">
        <f>SUMIF(TE!$A$51:'TE'!$A$91,$A$2,TE!$Z$51:'TE'!$Z$91)</f>
        <v>0</v>
      </c>
      <c r="E10" s="20">
        <f>SUMIF(TE!$A$51:'TE'!$A$91,$A$2,TE!$AA$51:'TE'!$AA$91)</f>
        <v>0</v>
      </c>
      <c r="F10" s="20">
        <f>SUMIF(TE!$A$51:'TE'!$A$91,$A$2,TE!$AB$51:'TE'!$AB$91)</f>
        <v>0</v>
      </c>
      <c r="G10" s="20">
        <f>SUMIF(TE!$A$51:'TE'!$A$91,$A$2,TE!$AC$51:'TE'!$AC$91)</f>
        <v>2935032.4531978909</v>
      </c>
      <c r="H10" s="20">
        <f>SUMIF(TE!$A$51:'TE'!$A$91,$A$2,TE!$AD$51:'TE'!$AD$91)</f>
        <v>77898.766946341217</v>
      </c>
      <c r="I10" s="20">
        <f>SUMIF(TE!$A$51:'TE'!$A$91,$A$2,TE!$AE$51:'TE'!$AE$91)</f>
        <v>68734.679371986393</v>
      </c>
      <c r="J10" s="20">
        <f>SUMIF(TE!$A$51:'TE'!$A$91,$A$2,TE!$AF$51:'TE'!$AF$91)</f>
        <v>0</v>
      </c>
      <c r="K10" s="20">
        <f>SUMIF(TE!$A$51:'TE'!$A$91,$A$2,TE!$AG$51:'TE'!$AG$91)</f>
        <v>-214100.63547362981</v>
      </c>
      <c r="L10" s="20">
        <f>SUMIF(TE!$A$51:'TE'!$A$91,$A$2,TE!$AH$51:'TE'!$AH$91)</f>
        <v>21328.991419932499</v>
      </c>
      <c r="M10" s="20">
        <f t="shared" si="0"/>
        <v>3251893.4595820727</v>
      </c>
      <c r="AD10" s="14" t="s">
        <v>98</v>
      </c>
    </row>
    <row r="11" spans="1:33" x14ac:dyDescent="0.2">
      <c r="A11" s="14" t="s">
        <v>1225</v>
      </c>
      <c r="B11" s="20">
        <f>SUMIF(TE!$A$51:'TE'!$A$91,$A$2,TE!$L$51:'TE'!$L$91)</f>
        <v>39083.727163391617</v>
      </c>
      <c r="C11" s="20">
        <f>SUMIF(TE!$A$51:'TE'!$A$91,$A$2,TE!$M$51:'TE'!$M$91)</f>
        <v>496418.79446714593</v>
      </c>
      <c r="D11" s="20">
        <f>SUMIF(TE!$A$51:'TE'!$A$91,$A$2,TE!$N$51:'TE'!$N$91)</f>
        <v>0</v>
      </c>
      <c r="E11" s="20">
        <f>SUMIF(TE!$A$51:'TE'!$A$91,$A$2,TE!$O$51:'TE'!$O$91)</f>
        <v>186853.05330378065</v>
      </c>
      <c r="F11" s="20">
        <f>SUMIF(TE!$A$51:'TE'!$A$91,$A$2,TE!$P$51:'TE'!$P$91)</f>
        <v>-258324.77921598702</v>
      </c>
      <c r="G11" s="20">
        <f>SUMIF(TE!$A$51:'TE'!$A$91,$A$2,TE!$Q$51:'TE'!$Q$91)</f>
        <v>3261686.6507978709</v>
      </c>
      <c r="H11" s="20">
        <f>SUMIF(TE!$A$51:'TE'!$A$91,$A$2,TE!$R$51:'TE'!$R$91)</f>
        <v>109346.89252285584</v>
      </c>
      <c r="I11" s="20">
        <f>SUMIF(TE!$A$51:'TE'!$A$91,$A$2,TE!$S$51:'TE'!$S$91)</f>
        <v>65813.308968634738</v>
      </c>
      <c r="J11" s="20">
        <f>SUMIF(TE!$A$51:'TE'!$A$91,$A$2,TE!$T$51:'TE'!$T$91)</f>
        <v>0</v>
      </c>
      <c r="K11" s="20">
        <f>SUMIF(TE!$A$51:'TE'!$A$91,$A$2,TE!$U$51:'TE'!$U$91)</f>
        <v>-342512.90320143406</v>
      </c>
      <c r="L11" s="20">
        <f>SUMIF(TE!$A$51:'TE'!$A$91,$A$2,TE!$V$51:'TE'!$V$91)</f>
        <v>32556.088784171108</v>
      </c>
      <c r="M11" s="20">
        <f t="shared" si="0"/>
        <v>3590920.8335904302</v>
      </c>
    </row>
    <row r="13" spans="1:33" x14ac:dyDescent="0.2">
      <c r="A13" s="14" t="s">
        <v>1229</v>
      </c>
      <c r="B13" s="31">
        <f t="shared" ref="B13:M13" si="1">IF($M$6&lt;&gt;0,(B$7-B$6)/$M$6,0)</f>
        <v>8.0804572134976678E-4</v>
      </c>
      <c r="C13" s="31">
        <f t="shared" si="1"/>
        <v>5.5487787651180571E-2</v>
      </c>
      <c r="D13" s="31">
        <f t="shared" si="1"/>
        <v>0</v>
      </c>
      <c r="E13" s="31">
        <f t="shared" si="1"/>
        <v>5.9017745024892238E-2</v>
      </c>
      <c r="F13" s="31">
        <f t="shared" si="1"/>
        <v>-8.1592169267871606E-2</v>
      </c>
      <c r="G13" s="31">
        <f t="shared" si="1"/>
        <v>0.11975821832127602</v>
      </c>
      <c r="H13" s="31">
        <f t="shared" si="1"/>
        <v>1.0321447708250274E-2</v>
      </c>
      <c r="I13" s="31">
        <f t="shared" si="1"/>
        <v>-5.7990201726198013E-4</v>
      </c>
      <c r="J13" s="31">
        <f t="shared" si="1"/>
        <v>0</v>
      </c>
      <c r="K13" s="31">
        <f t="shared" si="1"/>
        <v>-5.7970639035713756E-2</v>
      </c>
      <c r="L13" s="31">
        <f t="shared" si="1"/>
        <v>3.6524701321235232E-3</v>
      </c>
      <c r="M13" s="31">
        <f t="shared" si="1"/>
        <v>0.10890300423822502</v>
      </c>
    </row>
    <row r="14" spans="1:33" x14ac:dyDescent="0.2">
      <c r="A14" s="14" t="s">
        <v>1230</v>
      </c>
      <c r="B14" s="31">
        <f t="shared" ref="B14:M14" si="2">IF($M$10&lt;&gt;0,(B$9-B$8)/$M$10,0)</f>
        <v>6.06506522322082E-4</v>
      </c>
      <c r="C14" s="31">
        <f t="shared" si="2"/>
        <v>5.244053196618851E-2</v>
      </c>
      <c r="D14" s="31">
        <f t="shared" si="2"/>
        <v>0</v>
      </c>
      <c r="E14" s="31">
        <f t="shared" si="2"/>
        <v>5.7459770938434941E-2</v>
      </c>
      <c r="F14" s="31">
        <f t="shared" si="2"/>
        <v>-7.9438266482809813E-2</v>
      </c>
      <c r="G14" s="31">
        <f t="shared" si="2"/>
        <v>0.10045046114209444</v>
      </c>
      <c r="H14" s="31">
        <f t="shared" si="2"/>
        <v>9.6707121458266578E-3</v>
      </c>
      <c r="I14" s="31">
        <f t="shared" si="2"/>
        <v>-8.9835981395500707E-4</v>
      </c>
      <c r="J14" s="31">
        <f t="shared" si="2"/>
        <v>0</v>
      </c>
      <c r="K14" s="31">
        <f t="shared" si="2"/>
        <v>-3.9488460899425516E-2</v>
      </c>
      <c r="L14" s="31">
        <f t="shared" si="2"/>
        <v>3.4524800716200263E-3</v>
      </c>
      <c r="M14" s="31">
        <f t="shared" si="2"/>
        <v>0.10425537559029646</v>
      </c>
    </row>
    <row r="15" spans="1:33" x14ac:dyDescent="0.2">
      <c r="A15" s="14" t="s">
        <v>1231</v>
      </c>
      <c r="B15" s="31">
        <f t="shared" ref="B15:M15" si="3">IF($M$8&lt;&gt;0,(B$9-B$8)/$M$8,0)</f>
        <v>6.06506522322082E-4</v>
      </c>
      <c r="C15" s="31">
        <f t="shared" si="3"/>
        <v>5.244053196618851E-2</v>
      </c>
      <c r="D15" s="31">
        <f t="shared" si="3"/>
        <v>0</v>
      </c>
      <c r="E15" s="31">
        <f t="shared" si="3"/>
        <v>5.7459770938434941E-2</v>
      </c>
      <c r="F15" s="31">
        <f t="shared" si="3"/>
        <v>-7.9438266482809813E-2</v>
      </c>
      <c r="G15" s="31">
        <f t="shared" si="3"/>
        <v>0.10045046114209444</v>
      </c>
      <c r="H15" s="31">
        <f t="shared" si="3"/>
        <v>9.6707121458266578E-3</v>
      </c>
      <c r="I15" s="31">
        <f t="shared" si="3"/>
        <v>-8.9835981395500707E-4</v>
      </c>
      <c r="J15" s="31">
        <f t="shared" si="3"/>
        <v>0</v>
      </c>
      <c r="K15" s="31">
        <f t="shared" si="3"/>
        <v>-3.9488460899425516E-2</v>
      </c>
      <c r="L15" s="31">
        <f t="shared" si="3"/>
        <v>3.4524800716200263E-3</v>
      </c>
      <c r="M15" s="31">
        <f t="shared" si="3"/>
        <v>0.10425537559029646</v>
      </c>
    </row>
  </sheetData>
  <dataValidations count="6">
    <dataValidation type="list" allowBlank="1" showInputMessage="1" showErrorMessage="1" sqref="A2 G2" xr:uid="{3F693A48-8725-4BC1-8F91-75784A43469F}">
      <formula1>AA1:AA5</formula1>
    </dataValidation>
    <dataValidation type="list" allowBlank="1" showInputMessage="1" showErrorMessage="1" sqref="B2" xr:uid="{99EE3782-50F3-4F6D-A845-D6AE964F230C}">
      <formula1>AB1:AB6</formula1>
    </dataValidation>
    <dataValidation type="list" allowBlank="1" showInputMessage="1" showErrorMessage="1" sqref="C2" xr:uid="{DA4484B1-A914-41B4-AC2D-8B6993889D41}">
      <formula1>AC1:AC4</formula1>
    </dataValidation>
    <dataValidation type="list" allowBlank="1" showInputMessage="1" showErrorMessage="1" sqref="D2" xr:uid="{1EA0E3B5-D78F-4523-B8C0-E0ABE8764FF4}">
      <formula1>AD1:AD10</formula1>
    </dataValidation>
    <dataValidation type="list" allowBlank="1" showInputMessage="1" showErrorMessage="1" sqref="E2" xr:uid="{22753A3B-1CBF-43B8-A559-833503AF9AD8}">
      <formula1>AE1:AE2</formula1>
    </dataValidation>
    <dataValidation type="list" allowBlank="1" showInputMessage="1" showErrorMessage="1" sqref="F2" xr:uid="{4FC49C2C-E319-4D9C-98D4-6E6A42F5B8C0}">
      <formula1>AF1:AF1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40251-6C5A-48FA-8993-CE5403A5112F}">
  <sheetPr codeName="Planilha23">
    <tabColor indexed="12" tint="-0.249977111117893"/>
  </sheetPr>
  <dimension ref="A1:BC61"/>
  <sheetViews>
    <sheetView showGridLines="0" topLeftCell="X38" workbookViewId="0">
      <selection activeCell="AO56" sqref="AO56:AP58"/>
    </sheetView>
  </sheetViews>
  <sheetFormatPr defaultColWidth="9.109375" defaultRowHeight="11.25" customHeight="1" x14ac:dyDescent="0.3"/>
  <cols>
    <col min="1" max="1" width="9.33203125" style="9" bestFit="1" customWidth="1"/>
    <col min="2" max="2" width="21.55468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8.6640625" style="9" bestFit="1" customWidth="1"/>
    <col min="10" max="10" width="9.109375" style="9"/>
    <col min="11" max="11" width="14.33203125" style="9" bestFit="1" customWidth="1"/>
    <col min="12" max="12" width="13.44140625" style="9" bestFit="1" customWidth="1"/>
    <col min="13" max="13" width="7.88671875" style="9" bestFit="1" customWidth="1"/>
    <col min="14" max="14" width="8.6640625" style="9" bestFit="1" customWidth="1"/>
    <col min="15" max="15" width="4.109375" style="9" bestFit="1" customWidth="1"/>
    <col min="16" max="16" width="4.44140625" style="9" bestFit="1" customWidth="1"/>
    <col min="17" max="18" width="10" style="9" bestFit="1" customWidth="1"/>
    <col min="19" max="19" width="8.6640625" style="9" bestFit="1" customWidth="1"/>
    <col min="20" max="20" width="10" style="9" bestFit="1" customWidth="1"/>
    <col min="21" max="21" width="7.44140625" style="9" bestFit="1" customWidth="1"/>
    <col min="22" max="22" width="7.33203125" style="9" bestFit="1" customWidth="1"/>
    <col min="23" max="24" width="9.88671875" style="9" bestFit="1" customWidth="1"/>
    <col min="25" max="25" width="10.88671875" style="9" bestFit="1" customWidth="1"/>
    <col min="26" max="26" width="7.6640625" style="9" bestFit="1" customWidth="1"/>
    <col min="27" max="27" width="9.88671875" style="9" bestFit="1" customWidth="1"/>
    <col min="28" max="28" width="10.88671875" style="9" bestFit="1" customWidth="1"/>
    <col min="29" max="29" width="11.6640625" style="9" bestFit="1" customWidth="1"/>
    <col min="30" max="30" width="10.88671875" style="9" bestFit="1" customWidth="1"/>
    <col min="31" max="31" width="10.5546875" style="9" bestFit="1" customWidth="1"/>
    <col min="32" max="32" width="7.33203125" style="9" bestFit="1" customWidth="1"/>
    <col min="33" max="33" width="10.5546875" style="9" bestFit="1" customWidth="1"/>
    <col min="34" max="34" width="15.33203125" style="9" bestFit="1" customWidth="1"/>
    <col min="35" max="35" width="18" style="9" bestFit="1" customWidth="1"/>
    <col min="36" max="36" width="19.109375" style="9" bestFit="1" customWidth="1"/>
    <col min="37" max="37" width="7.88671875" style="9" bestFit="1" customWidth="1"/>
    <col min="38" max="38" width="10" style="9" bestFit="1" customWidth="1"/>
    <col min="39" max="39" width="10.88671875" style="9" bestFit="1" customWidth="1"/>
    <col min="40" max="40" width="9.109375" style="9"/>
    <col min="41" max="41" width="11.109375" style="9" bestFit="1" customWidth="1"/>
    <col min="42" max="42" width="10.88671875" style="9" bestFit="1" customWidth="1"/>
    <col min="43" max="16384" width="9.109375" style="9"/>
  </cols>
  <sheetData>
    <row r="1" spans="1:55" ht="11.25" customHeight="1" x14ac:dyDescent="0.3">
      <c r="A1" s="134" t="s">
        <v>66</v>
      </c>
      <c r="B1" s="134" t="s">
        <v>67</v>
      </c>
      <c r="C1" s="134" t="s">
        <v>68</v>
      </c>
      <c r="D1" s="134" t="s">
        <v>69</v>
      </c>
      <c r="E1" s="134" t="s">
        <v>70</v>
      </c>
      <c r="F1" s="134" t="s">
        <v>15</v>
      </c>
      <c r="G1" s="134" t="s">
        <v>72</v>
      </c>
      <c r="H1" s="134" t="s">
        <v>73</v>
      </c>
      <c r="I1" s="134" t="s">
        <v>700</v>
      </c>
      <c r="J1" s="125"/>
      <c r="L1" s="133" t="s">
        <v>711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68"/>
      <c r="AP1" s="137" t="s">
        <v>702</v>
      </c>
      <c r="AQ1" s="153" t="s">
        <v>1</v>
      </c>
      <c r="AR1" s="151" t="s">
        <v>2</v>
      </c>
      <c r="AS1" s="151" t="s">
        <v>3</v>
      </c>
      <c r="AT1" s="151" t="s">
        <v>4</v>
      </c>
      <c r="AU1" s="151" t="s">
        <v>5</v>
      </c>
      <c r="AV1" s="151" t="s">
        <v>1254</v>
      </c>
      <c r="AW1" s="151" t="s">
        <v>1255</v>
      </c>
      <c r="AX1" s="151" t="s">
        <v>1256</v>
      </c>
      <c r="AY1" s="151" t="s">
        <v>1257</v>
      </c>
      <c r="AZ1" s="151" t="s">
        <v>1258</v>
      </c>
      <c r="BC1" s="151" t="s">
        <v>1259</v>
      </c>
    </row>
    <row r="2" spans="1:55" ht="11.25" customHeight="1" x14ac:dyDescent="0.3">
      <c r="A2" s="134"/>
      <c r="B2" s="134"/>
      <c r="C2" s="134"/>
      <c r="D2" s="134"/>
      <c r="E2" s="134"/>
      <c r="F2" s="134"/>
      <c r="G2" s="134"/>
      <c r="H2" s="134"/>
      <c r="I2" s="134"/>
      <c r="J2" s="125"/>
      <c r="L2" s="133" t="s">
        <v>610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68"/>
      <c r="AP2" s="138"/>
      <c r="AQ2" s="154"/>
      <c r="AR2" s="152"/>
      <c r="AS2" s="152"/>
      <c r="AT2" s="152"/>
      <c r="AU2" s="152"/>
      <c r="AV2" s="152"/>
      <c r="AW2" s="152"/>
      <c r="AX2" s="152"/>
      <c r="AY2" s="152"/>
      <c r="AZ2" s="152"/>
      <c r="BC2" s="152"/>
    </row>
    <row r="3" spans="1:55" ht="11.25" customHeight="1" x14ac:dyDescent="0.3">
      <c r="A3" s="134"/>
      <c r="B3" s="134"/>
      <c r="C3" s="134"/>
      <c r="D3" s="134"/>
      <c r="E3" s="134"/>
      <c r="F3" s="134"/>
      <c r="G3" s="134"/>
      <c r="H3" s="134"/>
      <c r="I3" s="134"/>
      <c r="J3" s="125"/>
      <c r="L3" s="133" t="s">
        <v>611</v>
      </c>
      <c r="M3" s="133"/>
      <c r="N3" s="133"/>
      <c r="O3" s="133"/>
      <c r="P3" s="133"/>
      <c r="Q3" s="133"/>
      <c r="R3" s="133"/>
      <c r="S3" s="133"/>
      <c r="T3" s="133"/>
      <c r="U3" s="133" t="s">
        <v>620</v>
      </c>
      <c r="V3" s="133"/>
      <c r="W3" s="133"/>
      <c r="X3" s="133"/>
      <c r="Y3" s="133"/>
      <c r="Z3" s="133"/>
      <c r="AA3" s="133"/>
      <c r="AB3" s="133"/>
      <c r="AC3" s="133" t="s">
        <v>628</v>
      </c>
      <c r="AD3" s="133"/>
      <c r="AE3" s="133" t="s">
        <v>630</v>
      </c>
      <c r="AF3" s="133"/>
      <c r="AG3" s="133"/>
      <c r="AH3" s="133" t="s">
        <v>633</v>
      </c>
      <c r="AI3" s="133"/>
      <c r="AJ3" s="133"/>
      <c r="AK3" s="133"/>
      <c r="AL3" s="133"/>
      <c r="AM3" s="133" t="s">
        <v>619</v>
      </c>
      <c r="AO3" s="68"/>
      <c r="AP3" s="138"/>
      <c r="AQ3" s="154"/>
      <c r="AR3" s="152"/>
      <c r="AS3" s="152"/>
      <c r="AT3" s="152"/>
      <c r="AU3" s="152"/>
      <c r="AV3" s="152"/>
      <c r="AW3" s="152"/>
      <c r="AX3" s="152"/>
      <c r="AY3" s="152"/>
      <c r="AZ3" s="152"/>
      <c r="BC3" s="152"/>
    </row>
    <row r="4" spans="1:55" ht="11.25" customHeight="1" x14ac:dyDescent="0.3">
      <c r="A4" s="134"/>
      <c r="B4" s="134"/>
      <c r="C4" s="134"/>
      <c r="D4" s="134"/>
      <c r="E4" s="134"/>
      <c r="F4" s="134"/>
      <c r="G4" s="134"/>
      <c r="H4" s="134"/>
      <c r="I4" s="134"/>
      <c r="J4" s="125"/>
      <c r="L4" s="57" t="s">
        <v>696</v>
      </c>
      <c r="M4" s="57" t="s">
        <v>612</v>
      </c>
      <c r="N4" s="57" t="s">
        <v>613</v>
      </c>
      <c r="O4" s="57" t="s">
        <v>614</v>
      </c>
      <c r="P4" s="57" t="s">
        <v>615</v>
      </c>
      <c r="Q4" s="57" t="s">
        <v>616</v>
      </c>
      <c r="R4" s="57" t="s">
        <v>617</v>
      </c>
      <c r="S4" s="57" t="s">
        <v>618</v>
      </c>
      <c r="T4" s="57" t="s">
        <v>619</v>
      </c>
      <c r="U4" s="57" t="s">
        <v>621</v>
      </c>
      <c r="V4" s="57" t="s">
        <v>622</v>
      </c>
      <c r="W4" s="57" t="s">
        <v>623</v>
      </c>
      <c r="X4" s="57" t="s">
        <v>624</v>
      </c>
      <c r="Y4" s="57" t="s">
        <v>625</v>
      </c>
      <c r="Z4" s="57" t="s">
        <v>626</v>
      </c>
      <c r="AA4" s="57" t="s">
        <v>627</v>
      </c>
      <c r="AB4" s="57" t="s">
        <v>619</v>
      </c>
      <c r="AC4" s="57" t="s">
        <v>629</v>
      </c>
      <c r="AD4" s="57" t="s">
        <v>619</v>
      </c>
      <c r="AE4" s="57" t="s">
        <v>631</v>
      </c>
      <c r="AF4" s="57" t="s">
        <v>632</v>
      </c>
      <c r="AG4" s="57" t="s">
        <v>619</v>
      </c>
      <c r="AH4" s="57" t="s">
        <v>634</v>
      </c>
      <c r="AI4" s="57" t="s">
        <v>635</v>
      </c>
      <c r="AJ4" s="57" t="s">
        <v>636</v>
      </c>
      <c r="AK4" s="57" t="s">
        <v>637</v>
      </c>
      <c r="AL4" s="57" t="s">
        <v>619</v>
      </c>
      <c r="AM4" s="136"/>
      <c r="AO4" s="69" t="s">
        <v>713</v>
      </c>
      <c r="AP4" s="139"/>
      <c r="AQ4" s="154"/>
      <c r="AR4" s="152"/>
      <c r="AS4" s="152"/>
      <c r="AT4" s="152"/>
      <c r="AU4" s="152"/>
      <c r="AV4" s="152"/>
      <c r="AW4" s="152"/>
      <c r="AX4" s="152"/>
      <c r="AY4" s="152"/>
      <c r="AZ4" s="152"/>
      <c r="BC4" s="152"/>
    </row>
    <row r="5" spans="1:55" ht="11.25" customHeight="1" x14ac:dyDescent="0.3">
      <c r="A5" s="132" t="s">
        <v>39</v>
      </c>
      <c r="B5" s="132" t="s">
        <v>83</v>
      </c>
      <c r="C5" s="132" t="s">
        <v>25</v>
      </c>
      <c r="D5" s="132" t="s">
        <v>25</v>
      </c>
      <c r="E5" s="132" t="s">
        <v>25</v>
      </c>
      <c r="F5" s="132" t="s">
        <v>25</v>
      </c>
      <c r="G5" s="66" t="s">
        <v>85</v>
      </c>
      <c r="H5" s="66" t="s">
        <v>84</v>
      </c>
      <c r="I5" s="66">
        <f>'MERCADO TUSD'!$U$2</f>
        <v>0</v>
      </c>
      <c r="J5" s="15"/>
      <c r="L5" s="61">
        <f>'TUSD BE'!$L$5*'TUSD BE'!$L$61</f>
        <v>0</v>
      </c>
      <c r="M5" s="61">
        <f>'TUSD BE'!$M$5*'TUSD BE'!$M$61</f>
        <v>0</v>
      </c>
      <c r="N5" s="61">
        <f ca="1">'TUSD BE'!$N$5*'TUSD BE'!$N$61</f>
        <v>0</v>
      </c>
      <c r="O5" s="61">
        <f>'TUSD BE'!$O$5*'TUSD BE'!$O$61</f>
        <v>0</v>
      </c>
      <c r="P5" s="61">
        <f>'TUSD BE'!$P$5*'TUSD BE'!$P$61</f>
        <v>0</v>
      </c>
      <c r="Q5" s="61">
        <f>'TUSD BE'!$Q$5*'TUSD BE'!$Q$61</f>
        <v>0</v>
      </c>
      <c r="R5" s="61">
        <f>'TUSD BE'!$R$5*'TUSD BE'!$R$61</f>
        <v>0</v>
      </c>
      <c r="S5" s="61">
        <f>'TUSD BE'!$R$5*'TUSD BE'!$S$61</f>
        <v>0</v>
      </c>
      <c r="T5" s="61">
        <f ca="1">SUM($L$5:$S$5)</f>
        <v>0</v>
      </c>
      <c r="U5" s="61">
        <f>'TUSD BE'!$U$5*'TUSD BE'!$U$61</f>
        <v>0</v>
      </c>
      <c r="V5" s="61">
        <f>'TUSD BE'!$V$5*'TUSD BE'!$V$61</f>
        <v>0</v>
      </c>
      <c r="W5" s="61">
        <f>'TUSD BE'!$W$5*'TUSD BE'!$W$61</f>
        <v>0</v>
      </c>
      <c r="X5" s="61">
        <f>'TUSD BE'!$X$5*'TUSD BE'!$X$61</f>
        <v>0</v>
      </c>
      <c r="Y5" s="61">
        <f>'TUSD BE'!$Y$5*'TUSD BE'!$Y$61</f>
        <v>-6.9158011129191301</v>
      </c>
      <c r="Z5" s="61">
        <f>'TUSD BE'!$Z$5*'TUSD BE'!$Z$61</f>
        <v>0</v>
      </c>
      <c r="AA5" s="61">
        <f>'TUSD BE'!$AA$5*'TUSD BE'!$AA$61</f>
        <v>0</v>
      </c>
      <c r="AB5" s="61">
        <f>SUM($U$5:$AA$5)</f>
        <v>-6.9158011129191301</v>
      </c>
      <c r="AC5" s="61">
        <f>'TUSD BE'!$AC$5*'TUSD BE'!$AC$61</f>
        <v>4.3524092680591489</v>
      </c>
      <c r="AD5" s="61">
        <f>SUM($AC$5:$AC$5)</f>
        <v>4.3524092680591489</v>
      </c>
      <c r="AE5" s="61">
        <f ca="1">$AO$5*$AO$58</f>
        <v>-10.634409965924327</v>
      </c>
      <c r="AF5" s="61">
        <f ca="1">$AP$5*$AP$58</f>
        <v>0</v>
      </c>
      <c r="AG5" s="61">
        <f ca="1">SUM($AE$5:$AF$5)</f>
        <v>-10.634409965924327</v>
      </c>
      <c r="AH5" s="61">
        <f>'TUSD BE'!$AH$5*'TUSD BE'!$AH$61</f>
        <v>0</v>
      </c>
      <c r="AI5" s="61">
        <f>'TUSD BE'!$AI$5*'TUSD BE'!$AI$61</f>
        <v>0</v>
      </c>
      <c r="AJ5" s="61">
        <f ca="1">'TUSD BE'!$AJ$5*'TUSD BE'!$AJ$61</f>
        <v>0</v>
      </c>
      <c r="AK5" s="61">
        <f ca="1">'TUSD BE'!$AK$5*'TUSD BE'!$AK$61</f>
        <v>0</v>
      </c>
      <c r="AL5" s="61">
        <f ca="1">SUM($AH$5:$AK$5)</f>
        <v>0</v>
      </c>
      <c r="AM5" s="61">
        <f ca="1">SUMIF($L$4:$AL$4,"SUBTOTAL",$L$5:$AL$5)+AZ5</f>
        <v>-38.872856052243776</v>
      </c>
      <c r="AO5" s="68">
        <f ca="1">+'TUSD BE'!$T$5+'TUSD BE'!$AB$5+'TUSD BE'!$AD$5+'TUSD BE'!$AL$5</f>
        <v>86.812856052243774</v>
      </c>
      <c r="AP5" s="68">
        <f ca="1">+'TUSD BE'!$T$5+'TUSD BE'!$AB$5+'TUSD BE'!$AD$5+'TUSD BE'!$AL$5</f>
        <v>86.812856052243774</v>
      </c>
      <c r="AQ5" s="9" t="str">
        <f t="shared" ref="AQ5:AQ36" si="0">IF($A5="",AQ4,$A5)</f>
        <v>A4</v>
      </c>
      <c r="AR5" s="9" t="str">
        <f t="shared" ref="AR5:AR36" si="1">IF($B5="",AR4,$B5)</f>
        <v>Azul</v>
      </c>
      <c r="AS5" s="9" t="str">
        <f t="shared" ref="AS5:AS36" si="2">IF($C5="",AS4,$C5)</f>
        <v>Não se aplica</v>
      </c>
      <c r="AT5" s="9" t="str">
        <f t="shared" ref="AT5:AT36" si="3">IF($D5="",AT4,$D5)</f>
        <v>Não se aplica</v>
      </c>
      <c r="AU5" s="9" t="str">
        <f t="shared" ref="AU5:AU36" si="4">IF($E5="",AU4,$E5)</f>
        <v>Não se aplica</v>
      </c>
      <c r="AV5" s="9">
        <f t="shared" ref="AV5:AV36" si="5">IF(OR(AR5="Distribuição",AR5="Geração"),0,1)</f>
        <v>1</v>
      </c>
      <c r="AW5" s="9">
        <f ca="1">IFERROR(VLOOKUP(AQ5,TarifaMedia!$C$17:$G$17,5,0),0)</f>
        <v>1</v>
      </c>
      <c r="AX5" s="15">
        <f ca="1">'TUSD BE'!$AM5+'TUSD BF'!$AM5+'TUSD CVA'!$AM5</f>
        <v>73.615054241459461</v>
      </c>
      <c r="AY5" s="9">
        <v>47.94</v>
      </c>
      <c r="AZ5" s="9">
        <f t="shared" ref="AZ5:AZ36" ca="1" si="6">(AY5-AX5)*AW5*AV5</f>
        <v>-25.675054241459463</v>
      </c>
      <c r="BC5" s="53" t="s">
        <v>1260</v>
      </c>
    </row>
    <row r="6" spans="1:55" ht="11.25" customHeight="1" x14ac:dyDescent="0.3">
      <c r="A6" s="132"/>
      <c r="B6" s="132"/>
      <c r="C6" s="132"/>
      <c r="D6" s="132"/>
      <c r="E6" s="132"/>
      <c r="F6" s="132"/>
      <c r="G6" s="66" t="s">
        <v>86</v>
      </c>
      <c r="H6" s="66" t="s">
        <v>84</v>
      </c>
      <c r="I6" s="66">
        <f>'MERCADO TUSD'!$U$3</f>
        <v>0</v>
      </c>
      <c r="J6" s="15"/>
      <c r="L6" s="61">
        <f>'TUSD BE'!$L$6*'TUSD BE'!$L$61</f>
        <v>0</v>
      </c>
      <c r="M6" s="61">
        <f>'TUSD BE'!$M$6*'TUSD BE'!$M$61</f>
        <v>0</v>
      </c>
      <c r="N6" s="61">
        <f ca="1">'TUSD BE'!$N$6*'TUSD BE'!$N$61</f>
        <v>0</v>
      </c>
      <c r="O6" s="61">
        <f>'TUSD BE'!$O$6*'TUSD BE'!$O$61</f>
        <v>0</v>
      </c>
      <c r="P6" s="61">
        <f>'TUSD BE'!$P$6*'TUSD BE'!$P$61</f>
        <v>0</v>
      </c>
      <c r="Q6" s="61">
        <f>'TUSD BE'!$Q$6*'TUSD BE'!$Q$61</f>
        <v>0</v>
      </c>
      <c r="R6" s="61">
        <f>'TUSD BE'!$R$6*'TUSD BE'!$R$61</f>
        <v>0</v>
      </c>
      <c r="S6" s="61">
        <f>'TUSD BE'!$R$6*'TUSD BE'!$S$61</f>
        <v>0</v>
      </c>
      <c r="T6" s="61">
        <f ca="1">SUM($L$6:$S$6)</f>
        <v>0</v>
      </c>
      <c r="U6" s="61">
        <f>'TUSD BE'!$U$6*'TUSD BE'!$U$61</f>
        <v>0</v>
      </c>
      <c r="V6" s="61">
        <f>'TUSD BE'!$V$6*'TUSD BE'!$V$61</f>
        <v>0</v>
      </c>
      <c r="W6" s="61">
        <f>'TUSD BE'!$W$6*'TUSD BE'!$W$61</f>
        <v>0</v>
      </c>
      <c r="X6" s="61">
        <f>'TUSD BE'!$X$6*'TUSD BE'!$X$61</f>
        <v>0</v>
      </c>
      <c r="Y6" s="61">
        <f>'TUSD BE'!$Y$6*'TUSD BE'!$Y$61</f>
        <v>-4.0225895200002757</v>
      </c>
      <c r="Z6" s="61">
        <f>'TUSD BE'!$Z$6*'TUSD BE'!$Z$61</f>
        <v>0</v>
      </c>
      <c r="AA6" s="61">
        <f>'TUSD BE'!$AA$6*'TUSD BE'!$AA$61</f>
        <v>0</v>
      </c>
      <c r="AB6" s="61">
        <f>SUM($U$6:$AA$6)</f>
        <v>-4.0225895200002757</v>
      </c>
      <c r="AC6" s="61">
        <f>'TUSD BE'!$AC$6*'TUSD BE'!$AC$61</f>
        <v>2.176209691359885</v>
      </c>
      <c r="AD6" s="61">
        <f>SUM($AC$6:$AC$6)</f>
        <v>2.176209691359885</v>
      </c>
      <c r="AE6" s="61">
        <f ca="1">$AO$6*$AO$58</f>
        <v>-5.7184661749981665</v>
      </c>
      <c r="AF6" s="61">
        <f ca="1">$AP$6*$AP$58</f>
        <v>0</v>
      </c>
      <c r="AG6" s="61">
        <f ca="1">SUM($AE$6:$AF$6)</f>
        <v>-5.7184661749981665</v>
      </c>
      <c r="AH6" s="61">
        <f>'TUSD BE'!$AH$6*'TUSD BE'!$AH$61</f>
        <v>0</v>
      </c>
      <c r="AI6" s="61">
        <f>'TUSD BE'!$AI$6*'TUSD BE'!$AI$61</f>
        <v>0</v>
      </c>
      <c r="AJ6" s="61">
        <f ca="1">'TUSD BE'!$AJ$6*'TUSD BE'!$AJ$61</f>
        <v>0</v>
      </c>
      <c r="AK6" s="61">
        <f ca="1">'TUSD BE'!$AK$6*'TUSD BE'!$AK$61</f>
        <v>0</v>
      </c>
      <c r="AL6" s="61">
        <f ca="1">SUM($AH$6:$AK$6)</f>
        <v>0</v>
      </c>
      <c r="AM6" s="61">
        <f ca="1">SUMIF($L$4:$AL$4,"SUBTOTAL",$L$6:$AL$6)+AZ6</f>
        <v>-14.372080386261594</v>
      </c>
      <c r="AO6" s="68">
        <f ca="1">+'TUSD BE'!$T$6+'TUSD BE'!$AB$6+'TUSD BE'!$AD$6+'TUSD BE'!$AL$6</f>
        <v>46.682080386261596</v>
      </c>
      <c r="AP6" s="68">
        <f ca="1">+'TUSD BE'!$T$6+'TUSD BE'!$AB$6+'TUSD BE'!$AD$6+'TUSD BE'!$AL$6</f>
        <v>46.682080386261596</v>
      </c>
      <c r="AQ6" s="9" t="str">
        <f t="shared" si="0"/>
        <v>A4</v>
      </c>
      <c r="AR6" s="9" t="str">
        <f t="shared" si="1"/>
        <v>Azul</v>
      </c>
      <c r="AS6" s="9" t="str">
        <f t="shared" si="2"/>
        <v>Não se aplica</v>
      </c>
      <c r="AT6" s="9" t="str">
        <f t="shared" si="3"/>
        <v>Não se aplica</v>
      </c>
      <c r="AU6" s="9" t="str">
        <f t="shared" si="4"/>
        <v>Não se aplica</v>
      </c>
      <c r="AV6" s="9">
        <f t="shared" si="5"/>
        <v>1</v>
      </c>
      <c r="AW6" s="9">
        <f ca="1">IFERROR(VLOOKUP(AQ6,TarifaMedia!$C$17:$G$17,5,0),0)</f>
        <v>1</v>
      </c>
      <c r="AX6" s="15">
        <f ca="1">'TUSD BE'!$AM6+'TUSD BF'!$AM6+'TUSD CVA'!$AM6</f>
        <v>39.117234382623039</v>
      </c>
      <c r="AY6" s="9">
        <v>32.31</v>
      </c>
      <c r="AZ6" s="9">
        <f t="shared" ca="1" si="6"/>
        <v>-6.8072343826230366</v>
      </c>
      <c r="BC6" s="53" t="s">
        <v>1261</v>
      </c>
    </row>
    <row r="7" spans="1:55" ht="11.25" customHeight="1" x14ac:dyDescent="0.3">
      <c r="A7" s="132"/>
      <c r="B7" s="132"/>
      <c r="C7" s="132"/>
      <c r="D7" s="132"/>
      <c r="E7" s="132"/>
      <c r="F7" s="132"/>
      <c r="G7" s="66" t="s">
        <v>81</v>
      </c>
      <c r="H7" s="66" t="s">
        <v>76</v>
      </c>
      <c r="I7" s="66">
        <f>'MERCADO TUSD'!$U$4</f>
        <v>0</v>
      </c>
      <c r="J7" s="15"/>
      <c r="L7" s="61">
        <f>'TUSD BE'!$L$7*'TUSD BE'!$L$61</f>
        <v>-7.581754916816677E-2</v>
      </c>
      <c r="M7" s="61">
        <f>'TUSD BE'!$M$7*'TUSD BE'!$M$61</f>
        <v>-1.883310484229701E-2</v>
      </c>
      <c r="N7" s="61">
        <f ca="1">'TUSD BE'!$N$7*'TUSD BE'!$N$61</f>
        <v>-2.9035839508873873E-6</v>
      </c>
      <c r="O7" s="61">
        <f>'TUSD BE'!$O$7*'TUSD BE'!$O$61</f>
        <v>0</v>
      </c>
      <c r="P7" s="61">
        <f>'TUSD BE'!$P$7*'TUSD BE'!$P$61</f>
        <v>0</v>
      </c>
      <c r="Q7" s="61">
        <f>'TUSD BE'!$Q$7*'TUSD BE'!$Q$61</f>
        <v>-0.80060739957191884</v>
      </c>
      <c r="R7" s="61">
        <f>'TUSD BE'!$R$7*'TUSD BE'!$R$61</f>
        <v>-0.1436055413628014</v>
      </c>
      <c r="S7" s="61">
        <f>'TUSD BE'!$R$7*'TUSD BE'!$S$61</f>
        <v>0</v>
      </c>
      <c r="T7" s="61">
        <f ca="1">SUM($L$7:$S$7)</f>
        <v>-1.0388664985291349</v>
      </c>
      <c r="U7" s="61">
        <f>'TUSD BE'!$U$7*'TUSD BE'!$U$61</f>
        <v>0</v>
      </c>
      <c r="V7" s="61">
        <f>'TUSD BE'!$V$7*'TUSD BE'!$V$61</f>
        <v>0</v>
      </c>
      <c r="W7" s="61">
        <f>'TUSD BE'!$W$7*'TUSD BE'!$W$61</f>
        <v>0</v>
      </c>
      <c r="X7" s="61">
        <f>'TUSD BE'!$X$7*'TUSD BE'!$X$61</f>
        <v>0</v>
      </c>
      <c r="Y7" s="61">
        <f>'TUSD BE'!$Y$7*'TUSD BE'!$Y$61</f>
        <v>0</v>
      </c>
      <c r="Z7" s="61">
        <f>'TUSD BE'!$Z$7*'TUSD BE'!$Z$61</f>
        <v>0</v>
      </c>
      <c r="AA7" s="61">
        <f>'TUSD BE'!$AA$7*'TUSD BE'!$AA$61</f>
        <v>0</v>
      </c>
      <c r="AB7" s="61">
        <f>SUM($U$7:$AA$7)</f>
        <v>0</v>
      </c>
      <c r="AC7" s="61">
        <f>'TUSD BE'!$AC$7*'TUSD BE'!$AC$61</f>
        <v>0</v>
      </c>
      <c r="AD7" s="61">
        <f>SUM($AC$7:$AC$7)</f>
        <v>0</v>
      </c>
      <c r="AE7" s="61">
        <f ca="1">$AO$7*$AO$58</f>
        <v>-13.040528959779035</v>
      </c>
      <c r="AF7" s="61">
        <f ca="1">$AP$7*$AP$58</f>
        <v>0</v>
      </c>
      <c r="AG7" s="61">
        <f ca="1">SUM($AE$7:$AF$7)</f>
        <v>-13.040528959779035</v>
      </c>
      <c r="AH7" s="61">
        <f>'TUSD BE'!$AH$7*'TUSD BE'!$AH$61</f>
        <v>-1.7199848427856608</v>
      </c>
      <c r="AI7" s="61">
        <f>'TUSD BE'!$AI$7*'TUSD BE'!$AI$61</f>
        <v>-1.7590655260975124E-2</v>
      </c>
      <c r="AJ7" s="61">
        <f ca="1">'TUSD BE'!$AJ$7*'TUSD BE'!$AJ$61</f>
        <v>-0.1282401166864337</v>
      </c>
      <c r="AK7" s="61">
        <f ca="1">'TUSD BE'!$AK$7*'TUSD BE'!$AK$61</f>
        <v>4.5159982338420848E-2</v>
      </c>
      <c r="AL7" s="61">
        <f ca="1">SUM($AH$7:$AK$7)</f>
        <v>-1.8206556323946488</v>
      </c>
      <c r="AM7" s="61">
        <f ca="1">SUMIF($L$4:$AL$4,"SUBTOTAL",$L$7:$AL$7)+AZ7</f>
        <v>-3.2565630104447099</v>
      </c>
      <c r="AO7" s="68">
        <f ca="1">+'TUSD BE'!$T$7+'TUSD BE'!$AB$7+'TUSD BE'!$AD$7+'TUSD BE'!$AL$7</f>
        <v>106.4549483288624</v>
      </c>
      <c r="AP7" s="68">
        <f ca="1">+'TUSD BE'!$T$7+'TUSD BE'!$AB$7+'TUSD BE'!$AD$7+'TUSD BE'!$AL$7</f>
        <v>106.4549483288624</v>
      </c>
      <c r="AQ7" s="9" t="str">
        <f t="shared" si="0"/>
        <v>A4</v>
      </c>
      <c r="AR7" s="9" t="str">
        <f t="shared" si="1"/>
        <v>Azul</v>
      </c>
      <c r="AS7" s="9" t="str">
        <f t="shared" si="2"/>
        <v>Não se aplica</v>
      </c>
      <c r="AT7" s="9" t="str">
        <f t="shared" si="3"/>
        <v>Não se aplica</v>
      </c>
      <c r="AU7" s="9" t="str">
        <f t="shared" si="4"/>
        <v>Não se aplica</v>
      </c>
      <c r="AV7" s="9">
        <f t="shared" si="5"/>
        <v>1</v>
      </c>
      <c r="AW7" s="9">
        <f ca="1">IFERROR(VLOOKUP(AQ7,TarifaMedia!$C$17:$G$17,5,0),0)</f>
        <v>1</v>
      </c>
      <c r="AX7" s="15">
        <f ca="1">'TUSD BE'!$AM7+'TUSD BF'!$AM7+'TUSD CVA'!$AM7</f>
        <v>104.1465119197419</v>
      </c>
      <c r="AY7" s="9">
        <v>116.79</v>
      </c>
      <c r="AZ7" s="9">
        <f t="shared" ca="1" si="6"/>
        <v>12.643488080258109</v>
      </c>
      <c r="BC7" s="53" t="s">
        <v>1262</v>
      </c>
    </row>
    <row r="8" spans="1:55" ht="11.25" customHeight="1" x14ac:dyDescent="0.3">
      <c r="A8" s="132"/>
      <c r="B8" s="132"/>
      <c r="C8" s="132"/>
      <c r="D8" s="132"/>
      <c r="E8" s="65" t="s">
        <v>87</v>
      </c>
      <c r="F8" s="65" t="s">
        <v>25</v>
      </c>
      <c r="G8" s="66" t="s">
        <v>81</v>
      </c>
      <c r="H8" s="66" t="s">
        <v>76</v>
      </c>
      <c r="I8" s="66">
        <f>'MERCADO TUSD'!$U$5</f>
        <v>0</v>
      </c>
      <c r="J8" s="15"/>
      <c r="L8" s="61">
        <f>'TUSD BE'!$L$8*'TUSD BE'!$L$61</f>
        <v>0</v>
      </c>
      <c r="M8" s="61">
        <f>'TUSD BE'!$M$8*'TUSD BE'!$M$61</f>
        <v>-1.883310484229701E-2</v>
      </c>
      <c r="N8" s="61">
        <f ca="1">'TUSD BE'!$N$8*'TUSD BE'!$N$61</f>
        <v>-2.8253215478585456E-6</v>
      </c>
      <c r="O8" s="61">
        <f>'TUSD BE'!$O$8*'TUSD BE'!$O$61</f>
        <v>0</v>
      </c>
      <c r="P8" s="61">
        <f>'TUSD BE'!$P$8*'TUSD BE'!$P$61</f>
        <v>0</v>
      </c>
      <c r="Q8" s="61">
        <f>'TUSD BE'!$Q$8*'TUSD BE'!$Q$61</f>
        <v>0</v>
      </c>
      <c r="R8" s="61">
        <f>'TUSD BE'!$R$8*'TUSD BE'!$R$61</f>
        <v>0</v>
      </c>
      <c r="S8" s="61">
        <f>'TUSD BE'!$R$8*'TUSD BE'!$S$61</f>
        <v>0</v>
      </c>
      <c r="T8" s="61">
        <f ca="1">SUM($L$8:$S$8)</f>
        <v>-1.8835930163844869E-2</v>
      </c>
      <c r="U8" s="61">
        <f>'TUSD BE'!$U$8*'TUSD BE'!$U$61</f>
        <v>0</v>
      </c>
      <c r="V8" s="61">
        <f>'TUSD BE'!$V$8*'TUSD BE'!$V$61</f>
        <v>0</v>
      </c>
      <c r="W8" s="61">
        <f>'TUSD BE'!$W$8*'TUSD BE'!$W$61</f>
        <v>0</v>
      </c>
      <c r="X8" s="61">
        <f>'TUSD BE'!$X$8*'TUSD BE'!$X$61</f>
        <v>0</v>
      </c>
      <c r="Y8" s="61">
        <f>'TUSD BE'!$Y$8*'TUSD BE'!$Y$61</f>
        <v>0</v>
      </c>
      <c r="Z8" s="61">
        <f>'TUSD BE'!$Z$8*'TUSD BE'!$Z$61</f>
        <v>0</v>
      </c>
      <c r="AA8" s="61">
        <f>'TUSD BE'!$AA$8*'TUSD BE'!$AA$61</f>
        <v>0</v>
      </c>
      <c r="AB8" s="61">
        <f>SUM($U$8:$AA$8)</f>
        <v>0</v>
      </c>
      <c r="AC8" s="61">
        <f>'TUSD BE'!$AC$8*'TUSD BE'!$AC$61</f>
        <v>0</v>
      </c>
      <c r="AD8" s="61">
        <f>SUM($AC$8:$AC$8)</f>
        <v>0</v>
      </c>
      <c r="AE8" s="61">
        <f ca="1">$AO$8*$AO$58</f>
        <v>-1.7294346181213043</v>
      </c>
      <c r="AF8" s="61">
        <f ca="1">$AP$8*$AP$58</f>
        <v>0</v>
      </c>
      <c r="AG8" s="61">
        <f ca="1">SUM($AE$8:$AF$8)</f>
        <v>-1.7294346181213043</v>
      </c>
      <c r="AH8" s="61">
        <f>'TUSD BE'!$AH$8*'TUSD BE'!$AH$61</f>
        <v>-1.7199848427856608</v>
      </c>
      <c r="AI8" s="61">
        <f>'TUSD BE'!$AI$8*'TUSD BE'!$AI$61</f>
        <v>-1.7590655260975124E-2</v>
      </c>
      <c r="AJ8" s="61">
        <f ca="1">'TUSD BE'!$AJ$8*'TUSD BE'!$AJ$61</f>
        <v>-0.1282401166864337</v>
      </c>
      <c r="AK8" s="61">
        <f ca="1">'TUSD BE'!$AK$8*'TUSD BE'!$AK$61</f>
        <v>4.5159982338420848E-2</v>
      </c>
      <c r="AL8" s="61">
        <f ca="1">SUM($AH$8:$AK$8)</f>
        <v>-1.8206556323946488</v>
      </c>
      <c r="AM8" s="61">
        <f ca="1">SUMIF($L$4:$AL$4,"SUBTOTAL",$L$8:$AL$8)+AZ8</f>
        <v>2.2178998118744246</v>
      </c>
      <c r="AO8" s="68">
        <f ca="1">+'TUSD BE'!$T$8+'TUSD BE'!$AB$8+'TUSD BE'!$AD$8+'TUSD BE'!$AL$8</f>
        <v>14.11805253284518</v>
      </c>
      <c r="AP8" s="68">
        <f ca="1">+'TUSD BE'!$T$8+'TUSD BE'!$AB$8+'TUSD BE'!$AD$8+'TUSD BE'!$AL$8</f>
        <v>14.11805253284518</v>
      </c>
      <c r="AQ8" s="9" t="str">
        <f t="shared" si="0"/>
        <v>A4</v>
      </c>
      <c r="AR8" s="9" t="str">
        <f t="shared" si="1"/>
        <v>Azul</v>
      </c>
      <c r="AS8" s="9" t="str">
        <f t="shared" si="2"/>
        <v>Não se aplica</v>
      </c>
      <c r="AT8" s="9" t="str">
        <f t="shared" si="3"/>
        <v>Não se aplica</v>
      </c>
      <c r="AU8" s="9" t="str">
        <f t="shared" si="4"/>
        <v>APE</v>
      </c>
      <c r="AV8" s="9">
        <f t="shared" si="5"/>
        <v>1</v>
      </c>
      <c r="AW8" s="9">
        <f ca="1">IFERROR(VLOOKUP(AQ8,TarifaMedia!$C$17:$G$17,5,0),0)</f>
        <v>1</v>
      </c>
      <c r="AX8" s="15">
        <f ca="1">'TUSD BE'!$AM8+'TUSD BF'!$AM8+'TUSD CVA'!$AM8</f>
        <v>11.823174007445777</v>
      </c>
      <c r="AY8" s="9">
        <v>17.61</v>
      </c>
      <c r="AZ8" s="9">
        <f t="shared" ca="1" si="6"/>
        <v>5.7868259925542223</v>
      </c>
      <c r="BC8" s="53" t="s">
        <v>1263</v>
      </c>
    </row>
    <row r="9" spans="1:55" ht="11.25" customHeight="1" x14ac:dyDescent="0.3">
      <c r="A9" s="132"/>
      <c r="B9" s="132" t="s">
        <v>56</v>
      </c>
      <c r="C9" s="132" t="s">
        <v>25</v>
      </c>
      <c r="D9" s="132" t="s">
        <v>25</v>
      </c>
      <c r="E9" s="132" t="s">
        <v>25</v>
      </c>
      <c r="F9" s="132" t="s">
        <v>58</v>
      </c>
      <c r="G9" s="66" t="s">
        <v>85</v>
      </c>
      <c r="H9" s="66" t="s">
        <v>84</v>
      </c>
      <c r="I9" s="66">
        <f>'MERCADO TUSD'!$U$6</f>
        <v>16540</v>
      </c>
      <c r="J9" s="15"/>
      <c r="L9" s="61">
        <f>'TUSD BE'!$L$9*'TUSD BE'!$L$61</f>
        <v>0</v>
      </c>
      <c r="M9" s="61">
        <f>'TUSD BE'!$M$9*'TUSD BE'!$M$61</f>
        <v>0</v>
      </c>
      <c r="N9" s="61">
        <f ca="1">'TUSD BE'!$N$9*'TUSD BE'!$N$61</f>
        <v>0</v>
      </c>
      <c r="O9" s="61">
        <f>'TUSD BE'!$O$9*'TUSD BE'!$O$61</f>
        <v>0</v>
      </c>
      <c r="P9" s="61">
        <f>'TUSD BE'!$P$9*'TUSD BE'!$P$61</f>
        <v>0</v>
      </c>
      <c r="Q9" s="61">
        <f>'TUSD BE'!$Q$9*'TUSD BE'!$Q$61</f>
        <v>0</v>
      </c>
      <c r="R9" s="61">
        <f>'TUSD BE'!$R$9*'TUSD BE'!$R$61</f>
        <v>0</v>
      </c>
      <c r="S9" s="61">
        <f>'TUSD BE'!$R$9*'TUSD BE'!$S$61</f>
        <v>0</v>
      </c>
      <c r="T9" s="61">
        <f ca="1">SUM($L$9:$S$9)</f>
        <v>0</v>
      </c>
      <c r="U9" s="61">
        <f>'TUSD BE'!$U$9*'TUSD BE'!$U$61</f>
        <v>0</v>
      </c>
      <c r="V9" s="61">
        <f>'TUSD BE'!$V$9*'TUSD BE'!$V$61</f>
        <v>0</v>
      </c>
      <c r="W9" s="61">
        <f>'TUSD BE'!$W$9*'TUSD BE'!$W$61</f>
        <v>0</v>
      </c>
      <c r="X9" s="61">
        <f>'TUSD BE'!$X$9*'TUSD BE'!$X$61</f>
        <v>0</v>
      </c>
      <c r="Y9" s="61">
        <f>'TUSD BE'!$Y$9*'TUSD BE'!$Y$61</f>
        <v>-6.9158011129191301</v>
      </c>
      <c r="Z9" s="61">
        <f>'TUSD BE'!$Z$9*'TUSD BE'!$Z$61</f>
        <v>0</v>
      </c>
      <c r="AA9" s="61">
        <f>'TUSD BE'!$AA$9*'TUSD BE'!$AA$61</f>
        <v>0</v>
      </c>
      <c r="AB9" s="61">
        <f>SUM($U$9:$AA$9)</f>
        <v>-6.9158011129191301</v>
      </c>
      <c r="AC9" s="61">
        <f>'TUSD BE'!$AC$9*'TUSD BE'!$AC$61</f>
        <v>0.76877489519832043</v>
      </c>
      <c r="AD9" s="61">
        <f>SUM($AC$9:$AC$9)</f>
        <v>0.76877489519832043</v>
      </c>
      <c r="AE9" s="61">
        <v>0</v>
      </c>
      <c r="AF9" s="61">
        <f ca="1">$AP$9*$AP$58</f>
        <v>0</v>
      </c>
      <c r="AG9" s="61">
        <f ca="1">SUM($AE$9:$AF$9)</f>
        <v>0</v>
      </c>
      <c r="AH9" s="61">
        <f>'TUSD BE'!$AH$9*'TUSD BE'!$AH$61</f>
        <v>0</v>
      </c>
      <c r="AI9" s="61">
        <f>'TUSD BE'!$AI$9*'TUSD BE'!$AI$61</f>
        <v>0</v>
      </c>
      <c r="AJ9" s="61">
        <f ca="1">'TUSD BE'!$AJ$9*'TUSD BE'!$AJ$61</f>
        <v>0</v>
      </c>
      <c r="AK9" s="61">
        <f ca="1">'TUSD BE'!$AK$9*'TUSD BE'!$AK$61</f>
        <v>0</v>
      </c>
      <c r="AL9" s="61">
        <f ca="1">SUM($AH$9:$AK$9)</f>
        <v>0</v>
      </c>
      <c r="AM9" s="61">
        <f ca="1">SUMIF($L$4:$AL$4,"SUBTOTAL",$L$9:$AL$9)+AZ9</f>
        <v>-6.1470262177208097</v>
      </c>
      <c r="AO9" s="68"/>
      <c r="AP9" s="68">
        <f ca="1">+'TUSD BE'!$T$9+'TUSD BE'!$AB$9+'TUSD BE'!$AD$9+'TUSD BE'!$AL$9</f>
        <v>48.364630873158333</v>
      </c>
      <c r="AQ9" s="9" t="str">
        <f t="shared" si="0"/>
        <v>A4</v>
      </c>
      <c r="AR9" s="9" t="str">
        <f t="shared" si="1"/>
        <v>Distribuição</v>
      </c>
      <c r="AS9" s="9" t="str">
        <f t="shared" si="2"/>
        <v>Não se aplica</v>
      </c>
      <c r="AT9" s="9" t="str">
        <f t="shared" si="3"/>
        <v>Não se aplica</v>
      </c>
      <c r="AU9" s="9" t="str">
        <f t="shared" si="4"/>
        <v>Não se aplica</v>
      </c>
      <c r="AV9" s="9">
        <f t="shared" si="5"/>
        <v>0</v>
      </c>
      <c r="AW9" s="9">
        <f ca="1">IFERROR(VLOOKUP(AQ9,TarifaMedia!$C$17:$G$17,5,0),0)</f>
        <v>1</v>
      </c>
      <c r="AX9" s="15">
        <f ca="1">'TUSD BE'!$AM9+'TUSD BF'!$AM9+'TUSD CVA'!$AM9</f>
        <v>42.217604655437526</v>
      </c>
      <c r="AY9" s="9">
        <v>0</v>
      </c>
      <c r="AZ9" s="9">
        <f t="shared" ca="1" si="6"/>
        <v>0</v>
      </c>
      <c r="BC9" s="53" t="s">
        <v>1264</v>
      </c>
    </row>
    <row r="10" spans="1:55" ht="11.25" customHeight="1" x14ac:dyDescent="0.3">
      <c r="A10" s="132"/>
      <c r="B10" s="132"/>
      <c r="C10" s="132"/>
      <c r="D10" s="132"/>
      <c r="E10" s="132"/>
      <c r="F10" s="132"/>
      <c r="G10" s="66" t="s">
        <v>86</v>
      </c>
      <c r="H10" s="66" t="s">
        <v>84</v>
      </c>
      <c r="I10" s="66">
        <f>'MERCADO TUSD'!$U$7</f>
        <v>16454</v>
      </c>
      <c r="J10" s="15"/>
      <c r="L10" s="61">
        <f>'TUSD BE'!$L$10*'TUSD BE'!$L$61</f>
        <v>0</v>
      </c>
      <c r="M10" s="61">
        <f>'TUSD BE'!$M$10*'TUSD BE'!$M$61</f>
        <v>0</v>
      </c>
      <c r="N10" s="61">
        <f ca="1">'TUSD BE'!$N$10*'TUSD BE'!$N$61</f>
        <v>0</v>
      </c>
      <c r="O10" s="61">
        <f>'TUSD BE'!$O$10*'TUSD BE'!$O$61</f>
        <v>0</v>
      </c>
      <c r="P10" s="61">
        <f>'TUSD BE'!$P$10*'TUSD BE'!$P$61</f>
        <v>0</v>
      </c>
      <c r="Q10" s="61">
        <f>'TUSD BE'!$Q$10*'TUSD BE'!$Q$61</f>
        <v>0</v>
      </c>
      <c r="R10" s="61">
        <f>'TUSD BE'!$R$10*'TUSD BE'!$R$61</f>
        <v>0</v>
      </c>
      <c r="S10" s="61">
        <f>'TUSD BE'!$R$10*'TUSD BE'!$S$61</f>
        <v>0</v>
      </c>
      <c r="T10" s="61">
        <f ca="1">SUM($L$10:$S$10)</f>
        <v>0</v>
      </c>
      <c r="U10" s="61">
        <f>'TUSD BE'!$U$10*'TUSD BE'!$U$61</f>
        <v>0</v>
      </c>
      <c r="V10" s="61">
        <f>'TUSD BE'!$V$10*'TUSD BE'!$V$61</f>
        <v>0</v>
      </c>
      <c r="W10" s="61">
        <f>'TUSD BE'!$W$10*'TUSD BE'!$W$61</f>
        <v>0</v>
      </c>
      <c r="X10" s="61">
        <f>'TUSD BE'!$X$10*'TUSD BE'!$X$61</f>
        <v>0</v>
      </c>
      <c r="Y10" s="61">
        <f>'TUSD BE'!$Y$10*'TUSD BE'!$Y$61</f>
        <v>-4.0225895200002757</v>
      </c>
      <c r="Z10" s="61">
        <f>'TUSD BE'!$Z$10*'TUSD BE'!$Z$61</f>
        <v>0</v>
      </c>
      <c r="AA10" s="61">
        <f>'TUSD BE'!$AA$10*'TUSD BE'!$AA$61</f>
        <v>0</v>
      </c>
      <c r="AB10" s="61">
        <f>SUM($U$10:$AA$10)</f>
        <v>-4.0225895200002757</v>
      </c>
      <c r="AC10" s="61">
        <f>'TUSD BE'!$AC$10*'TUSD BE'!$AC$61</f>
        <v>0.38438744759916021</v>
      </c>
      <c r="AD10" s="61">
        <f>SUM($AC$10:$AC$10)</f>
        <v>0.38438744759916021</v>
      </c>
      <c r="AE10" s="61">
        <v>0</v>
      </c>
      <c r="AF10" s="61">
        <f ca="1">$AP$10*$AP$58</f>
        <v>0</v>
      </c>
      <c r="AG10" s="61">
        <f ca="1">SUM($AE$10:$AF$10)</f>
        <v>0</v>
      </c>
      <c r="AH10" s="61">
        <f>'TUSD BE'!$AH$10*'TUSD BE'!$AH$61</f>
        <v>0</v>
      </c>
      <c r="AI10" s="61">
        <f>'TUSD BE'!$AI$10*'TUSD BE'!$AI$61</f>
        <v>0</v>
      </c>
      <c r="AJ10" s="61">
        <f ca="1">'TUSD BE'!$AJ$10*'TUSD BE'!$AJ$61</f>
        <v>0</v>
      </c>
      <c r="AK10" s="61">
        <f ca="1">'TUSD BE'!$AK$10*'TUSD BE'!$AK$61</f>
        <v>0</v>
      </c>
      <c r="AL10" s="61">
        <f ca="1">SUM($AH$10:$AK$10)</f>
        <v>0</v>
      </c>
      <c r="AM10" s="61">
        <f ca="1">SUMIF($L$4:$AL$4,"SUBTOTAL",$L$10:$AL$10)+AZ10</f>
        <v>-3.6382020724011155</v>
      </c>
      <c r="AO10" s="68"/>
      <c r="AP10" s="68">
        <f ca="1">+'TUSD BE'!$T$10+'TUSD BE'!$AB$10+'TUSD BE'!$AD$10+'TUSD BE'!$AL$10</f>
        <v>27.457913537451791</v>
      </c>
      <c r="AQ10" s="9" t="str">
        <f t="shared" si="0"/>
        <v>A4</v>
      </c>
      <c r="AR10" s="9" t="str">
        <f t="shared" si="1"/>
        <v>Distribuição</v>
      </c>
      <c r="AS10" s="9" t="str">
        <f t="shared" si="2"/>
        <v>Não se aplica</v>
      </c>
      <c r="AT10" s="9" t="str">
        <f t="shared" si="3"/>
        <v>Não se aplica</v>
      </c>
      <c r="AU10" s="9" t="str">
        <f t="shared" si="4"/>
        <v>Não se aplica</v>
      </c>
      <c r="AV10" s="9">
        <f t="shared" si="5"/>
        <v>0</v>
      </c>
      <c r="AW10" s="9">
        <f ca="1">IFERROR(VLOOKUP(AQ10,TarifaMedia!$C$17:$G$17,5,0),0)</f>
        <v>1</v>
      </c>
      <c r="AX10" s="15">
        <f ca="1">'TUSD BE'!$AM10+'TUSD BF'!$AM10+'TUSD CVA'!$AM10</f>
        <v>23.819711465050677</v>
      </c>
      <c r="AY10" s="9">
        <v>0</v>
      </c>
      <c r="AZ10" s="9">
        <f t="shared" ca="1" si="6"/>
        <v>0</v>
      </c>
      <c r="BC10" s="53" t="s">
        <v>1265</v>
      </c>
    </row>
    <row r="11" spans="1:55" ht="11.25" customHeight="1" x14ac:dyDescent="0.3">
      <c r="A11" s="132"/>
      <c r="B11" s="132"/>
      <c r="C11" s="132"/>
      <c r="D11" s="132"/>
      <c r="E11" s="132"/>
      <c r="F11" s="132"/>
      <c r="G11" s="66" t="s">
        <v>81</v>
      </c>
      <c r="H11" s="66" t="s">
        <v>76</v>
      </c>
      <c r="I11" s="66">
        <f>'MERCADO TUSD'!$U$8</f>
        <v>5489.0889999999999</v>
      </c>
      <c r="J11" s="15"/>
      <c r="L11" s="61">
        <f>'TUSD BE'!$L$11*'TUSD BE'!$L$61</f>
        <v>0</v>
      </c>
      <c r="M11" s="61">
        <f>'TUSD BE'!$M$11*'TUSD BE'!$M$61</f>
        <v>0</v>
      </c>
      <c r="N11" s="61">
        <f ca="1">'TUSD BE'!$N$11*'TUSD BE'!$N$61</f>
        <v>0</v>
      </c>
      <c r="O11" s="61">
        <f>'TUSD BE'!$O$11*'TUSD BE'!$O$61</f>
        <v>0</v>
      </c>
      <c r="P11" s="61">
        <f>'TUSD BE'!$P$11*'TUSD BE'!$P$61</f>
        <v>0</v>
      </c>
      <c r="Q11" s="61">
        <f>'TUSD BE'!$Q$11*'TUSD BE'!$Q$61</f>
        <v>0</v>
      </c>
      <c r="R11" s="61">
        <f>'TUSD BE'!$R$11*'TUSD BE'!$R$61</f>
        <v>0</v>
      </c>
      <c r="S11" s="61">
        <f>'TUSD BE'!$R$11*'TUSD BE'!$S$61</f>
        <v>0</v>
      </c>
      <c r="T11" s="61">
        <f ca="1">SUM($L$11:$S$11)</f>
        <v>0</v>
      </c>
      <c r="U11" s="61">
        <f>'TUSD BE'!$U$11*'TUSD BE'!$U$61</f>
        <v>0</v>
      </c>
      <c r="V11" s="61">
        <f>'TUSD BE'!$V$11*'TUSD BE'!$V$61</f>
        <v>0</v>
      </c>
      <c r="W11" s="61">
        <f>'TUSD BE'!$W$11*'TUSD BE'!$W$61</f>
        <v>0</v>
      </c>
      <c r="X11" s="61">
        <f>'TUSD BE'!$X$11*'TUSD BE'!$X$61</f>
        <v>0</v>
      </c>
      <c r="Y11" s="61">
        <f>'TUSD BE'!$Y$11*'TUSD BE'!$Y$61</f>
        <v>0</v>
      </c>
      <c r="Z11" s="61">
        <f>'TUSD BE'!$Z$11*'TUSD BE'!$Z$61</f>
        <v>0</v>
      </c>
      <c r="AA11" s="61">
        <f>'TUSD BE'!$AA$11*'TUSD BE'!$AA$61</f>
        <v>0</v>
      </c>
      <c r="AB11" s="61">
        <f>SUM($U$11:$AA$11)</f>
        <v>0</v>
      </c>
      <c r="AC11" s="61">
        <f>'TUSD BE'!$AC$11*'TUSD BE'!$AC$61</f>
        <v>0</v>
      </c>
      <c r="AD11" s="61">
        <f>SUM($AC$11:$AC$11)</f>
        <v>0</v>
      </c>
      <c r="AE11" s="61">
        <v>0</v>
      </c>
      <c r="AF11" s="61">
        <f ca="1">$AP$11*$AP$58</f>
        <v>0</v>
      </c>
      <c r="AG11" s="61">
        <f ca="1">SUM($AE$11:$AF$11)</f>
        <v>0</v>
      </c>
      <c r="AH11" s="61">
        <f>'TUSD BE'!$AH$11*'TUSD BE'!$AH$61</f>
        <v>-1.7199848427856608</v>
      </c>
      <c r="AI11" s="61">
        <f>'TUSD BE'!$AI$11*'TUSD BE'!$AI$61</f>
        <v>-1.7590655260975124E-2</v>
      </c>
      <c r="AJ11" s="61">
        <f ca="1">'TUSD BE'!$AJ$11*'TUSD BE'!$AJ$61</f>
        <v>0</v>
      </c>
      <c r="AK11" s="61">
        <f ca="1">'TUSD BE'!$AK$11*'TUSD BE'!$AK$61</f>
        <v>0</v>
      </c>
      <c r="AL11" s="61">
        <f ca="1">SUM($AH$11:$AK$11)</f>
        <v>-1.7375754980466358</v>
      </c>
      <c r="AM11" s="61">
        <f ca="1">SUMIF($L$4:$AL$4,"SUBTOTAL",$L$11:$AL$11)+AZ11</f>
        <v>-1.7375754980466358</v>
      </c>
      <c r="AO11" s="68"/>
      <c r="AP11" s="68">
        <f ca="1">+'TUSD BE'!$T$11+'TUSD BE'!$AB$11+'TUSD BE'!$AD$11+'TUSD BE'!$AL$11</f>
        <v>11.655022085078274</v>
      </c>
      <c r="AQ11" s="9" t="str">
        <f t="shared" si="0"/>
        <v>A4</v>
      </c>
      <c r="AR11" s="9" t="str">
        <f t="shared" si="1"/>
        <v>Distribuição</v>
      </c>
      <c r="AS11" s="9" t="str">
        <f t="shared" si="2"/>
        <v>Não se aplica</v>
      </c>
      <c r="AT11" s="9" t="str">
        <f t="shared" si="3"/>
        <v>Não se aplica</v>
      </c>
      <c r="AU11" s="9" t="str">
        <f t="shared" si="4"/>
        <v>Não se aplica</v>
      </c>
      <c r="AV11" s="9">
        <f t="shared" si="5"/>
        <v>0</v>
      </c>
      <c r="AW11" s="9">
        <f ca="1">IFERROR(VLOOKUP(AQ11,TarifaMedia!$C$17:$G$17,5,0),0)</f>
        <v>1</v>
      </c>
      <c r="AX11" s="15">
        <f ca="1">'TUSD BE'!$AM11+'TUSD BF'!$AM11+'TUSD CVA'!$AM11</f>
        <v>11.103927165111529</v>
      </c>
      <c r="AY11" s="9">
        <v>0</v>
      </c>
      <c r="AZ11" s="9">
        <f t="shared" ca="1" si="6"/>
        <v>0</v>
      </c>
      <c r="BC11" s="53" t="s">
        <v>1266</v>
      </c>
    </row>
    <row r="12" spans="1:55" ht="11.25" customHeight="1" x14ac:dyDescent="0.3">
      <c r="A12" s="132"/>
      <c r="B12" s="65" t="s">
        <v>88</v>
      </c>
      <c r="C12" s="65" t="s">
        <v>25</v>
      </c>
      <c r="D12" s="65" t="s">
        <v>25</v>
      </c>
      <c r="E12" s="65" t="s">
        <v>25</v>
      </c>
      <c r="F12" s="65" t="s">
        <v>25</v>
      </c>
      <c r="G12" s="66" t="s">
        <v>9</v>
      </c>
      <c r="H12" s="66" t="s">
        <v>84</v>
      </c>
      <c r="I12" s="66">
        <f>'MERCADO TUSD'!$U$9</f>
        <v>0</v>
      </c>
      <c r="J12" s="15"/>
      <c r="L12" s="61">
        <f>'TUSD BE'!$L$12*'TUSD BE'!$L$61</f>
        <v>0</v>
      </c>
      <c r="M12" s="61">
        <f>'TUSD BE'!$M$12*'TUSD BE'!$M$61</f>
        <v>-1.5937263326741009E-3</v>
      </c>
      <c r="N12" s="61">
        <f ca="1">'TUSD BE'!$N$12*'TUSD BE'!$N$61</f>
        <v>-1.5308126032441349E-6</v>
      </c>
      <c r="O12" s="61">
        <f>'TUSD BE'!$O$12*'TUSD BE'!$O$61</f>
        <v>0</v>
      </c>
      <c r="P12" s="61">
        <f>'TUSD BE'!$P$12*'TUSD BE'!$P$61</f>
        <v>0</v>
      </c>
      <c r="Q12" s="61">
        <f>'TUSD BE'!$Q$12*'TUSD BE'!$Q$61</f>
        <v>0</v>
      </c>
      <c r="R12" s="61">
        <f>'TUSD BE'!$R$12*'TUSD BE'!$R$61</f>
        <v>0</v>
      </c>
      <c r="S12" s="61">
        <f>'TUSD BE'!$R$12*'TUSD BE'!$S$61</f>
        <v>0</v>
      </c>
      <c r="T12" s="61">
        <f ca="1">SUM($L$12:$S$12)</f>
        <v>-1.5952571452773449E-3</v>
      </c>
      <c r="U12" s="61">
        <f>'TUSD BE'!$U$12*'TUSD BE'!$U$61</f>
        <v>0</v>
      </c>
      <c r="V12" s="61">
        <f>'TUSD BE'!$V$12*'TUSD BE'!$V$61</f>
        <v>0</v>
      </c>
      <c r="W12" s="61">
        <f>'TUSD BE'!$W$12*'TUSD BE'!$W$61</f>
        <v>0</v>
      </c>
      <c r="X12" s="61">
        <f>'TUSD BE'!$X$12*'TUSD BE'!$X$61</f>
        <v>0</v>
      </c>
      <c r="Y12" s="61">
        <f>'TUSD BE'!$Y$12*'TUSD BE'!$Y$61</f>
        <v>0</v>
      </c>
      <c r="Z12" s="61">
        <f>'TUSD BE'!$Z$12*'TUSD BE'!$Z$61</f>
        <v>0</v>
      </c>
      <c r="AA12" s="61">
        <f>'TUSD BE'!$AA$12*'TUSD BE'!$AA$61</f>
        <v>0</v>
      </c>
      <c r="AB12" s="61">
        <f>SUM($U$12:$AA$12)</f>
        <v>0</v>
      </c>
      <c r="AC12" s="61">
        <f>'TUSD BE'!$AC$12*'TUSD BE'!$AC$61</f>
        <v>1.9709933420101138</v>
      </c>
      <c r="AD12" s="61">
        <f>SUM($AC$12:$AC$12)</f>
        <v>1.9709933420101138</v>
      </c>
      <c r="AE12" s="61">
        <f ca="1">$AO$12*$AO$58</f>
        <v>-2.6241638300324204</v>
      </c>
      <c r="AF12" s="61">
        <f ca="1">$AP$12*$AP$58</f>
        <v>0</v>
      </c>
      <c r="AG12" s="61">
        <f ca="1">SUM($AE$12:$AF$12)</f>
        <v>-2.6241638300324204</v>
      </c>
      <c r="AH12" s="61">
        <f>'TUSD BE'!$AH$12*'TUSD BE'!$AH$61</f>
        <v>0</v>
      </c>
      <c r="AI12" s="61">
        <f>'TUSD BE'!$AI$12*'TUSD BE'!$AI$61</f>
        <v>0</v>
      </c>
      <c r="AJ12" s="61">
        <f ca="1">'TUSD BE'!$AJ$12*'TUSD BE'!$AJ$61</f>
        <v>0</v>
      </c>
      <c r="AK12" s="61">
        <f ca="1">'TUSD BE'!$AK$12*'TUSD BE'!$AK$61</f>
        <v>0</v>
      </c>
      <c r="AL12" s="61">
        <f ca="1">SUM($AH$12:$AK$12)</f>
        <v>0</v>
      </c>
      <c r="AM12" s="61">
        <f ca="1">SUMIF($L$4:$AL$4,"SUBTOTAL",$L$12:$AL$12)+AZ12</f>
        <v>-0.6547657451675839</v>
      </c>
      <c r="AO12" s="68">
        <f ca="1">+'TUSD BE'!$T$12+'TUSD BE'!$AB$12+'TUSD BE'!$AD$12+'TUSD BE'!$AL$12</f>
        <v>21.422077723548455</v>
      </c>
      <c r="AP12" s="68">
        <f ca="1">+'TUSD BE'!$T$12+'TUSD BE'!$AB$12+'TUSD BE'!$AD$12+'TUSD BE'!$AL$12</f>
        <v>21.422077723548455</v>
      </c>
      <c r="AQ12" s="9" t="str">
        <f t="shared" si="0"/>
        <v>A4</v>
      </c>
      <c r="AR12" s="9" t="str">
        <f t="shared" si="1"/>
        <v>Geração</v>
      </c>
      <c r="AS12" s="9" t="str">
        <f t="shared" si="2"/>
        <v>Não se aplica</v>
      </c>
      <c r="AT12" s="9" t="str">
        <f t="shared" si="3"/>
        <v>Não se aplica</v>
      </c>
      <c r="AU12" s="9" t="str">
        <f t="shared" si="4"/>
        <v>Não se aplica</v>
      </c>
      <c r="AV12" s="9">
        <f t="shared" si="5"/>
        <v>0</v>
      </c>
      <c r="AW12" s="9">
        <f ca="1">IFERROR(VLOOKUP(AQ12,TarifaMedia!$C$17:$G$17,5,0),0)</f>
        <v>1</v>
      </c>
      <c r="AX12" s="15">
        <f ca="1">'TUSD BE'!$AM12+'TUSD BF'!$AM12+'TUSD CVA'!$AM12</f>
        <v>20.767311978380871</v>
      </c>
      <c r="AY12" s="9">
        <v>8.82</v>
      </c>
      <c r="AZ12" s="9">
        <f t="shared" ca="1" si="6"/>
        <v>0</v>
      </c>
      <c r="BC12" s="53" t="s">
        <v>1267</v>
      </c>
    </row>
    <row r="13" spans="1:55" ht="11.25" customHeight="1" x14ac:dyDescent="0.3">
      <c r="A13" s="132"/>
      <c r="B13" s="132" t="s">
        <v>40</v>
      </c>
      <c r="C13" s="132" t="s">
        <v>25</v>
      </c>
      <c r="D13" s="132" t="s">
        <v>25</v>
      </c>
      <c r="E13" s="132" t="s">
        <v>25</v>
      </c>
      <c r="F13" s="132" t="s">
        <v>25</v>
      </c>
      <c r="G13" s="66" t="s">
        <v>9</v>
      </c>
      <c r="H13" s="66" t="s">
        <v>84</v>
      </c>
      <c r="I13" s="66">
        <f>'MERCADO TUSD'!$U$10</f>
        <v>119147</v>
      </c>
      <c r="J13" s="15"/>
      <c r="L13" s="61">
        <f>'TUSD BE'!$L$13*'TUSD BE'!$L$61</f>
        <v>0</v>
      </c>
      <c r="M13" s="61">
        <f>'TUSD BE'!$M$13*'TUSD BE'!$M$61</f>
        <v>0</v>
      </c>
      <c r="N13" s="61">
        <f ca="1">'TUSD BE'!$N$13*'TUSD BE'!$N$61</f>
        <v>0</v>
      </c>
      <c r="O13" s="61">
        <f>'TUSD BE'!$O$13*'TUSD BE'!$O$61</f>
        <v>0</v>
      </c>
      <c r="P13" s="61">
        <f>'TUSD BE'!$P$13*'TUSD BE'!$P$61</f>
        <v>0</v>
      </c>
      <c r="Q13" s="61">
        <f>'TUSD BE'!$Q$13*'TUSD BE'!$Q$61</f>
        <v>0</v>
      </c>
      <c r="R13" s="61">
        <f>'TUSD BE'!$R$13*'TUSD BE'!$R$61</f>
        <v>0</v>
      </c>
      <c r="S13" s="61">
        <f>'TUSD BE'!$R$13*'TUSD BE'!$S$61</f>
        <v>0</v>
      </c>
      <c r="T13" s="61">
        <f ca="1">SUM($L$13:$S$13)</f>
        <v>0</v>
      </c>
      <c r="U13" s="61">
        <f>'TUSD BE'!$U$13*'TUSD BE'!$U$61</f>
        <v>0</v>
      </c>
      <c r="V13" s="61">
        <f>'TUSD BE'!$V$13*'TUSD BE'!$V$61</f>
        <v>0</v>
      </c>
      <c r="W13" s="61">
        <f>'TUSD BE'!$W$13*'TUSD BE'!$W$61</f>
        <v>0</v>
      </c>
      <c r="X13" s="61">
        <f>'TUSD BE'!$X$13*'TUSD BE'!$X$61</f>
        <v>0</v>
      </c>
      <c r="Y13" s="61">
        <f>'TUSD BE'!$Y$13*'TUSD BE'!$Y$61</f>
        <v>-4.0225895200002757</v>
      </c>
      <c r="Z13" s="61">
        <f>'TUSD BE'!$Z$13*'TUSD BE'!$Z$61</f>
        <v>0</v>
      </c>
      <c r="AA13" s="61">
        <f>'TUSD BE'!$AA$13*'TUSD BE'!$AA$61</f>
        <v>0</v>
      </c>
      <c r="AB13" s="61">
        <f>SUM($U$13:$AA$13)</f>
        <v>-4.0225895200002757</v>
      </c>
      <c r="AC13" s="61">
        <f>'TUSD BE'!$AC$13*'TUSD BE'!$AC$61</f>
        <v>2.176209691359885</v>
      </c>
      <c r="AD13" s="61">
        <f>SUM($AC$13:$AC$13)</f>
        <v>2.176209691359885</v>
      </c>
      <c r="AE13" s="61">
        <f ca="1">$AO$13*$AO$58</f>
        <v>-5.7184661749981665</v>
      </c>
      <c r="AF13" s="61">
        <f ca="1">$AP$13*$AP$58</f>
        <v>0</v>
      </c>
      <c r="AG13" s="61">
        <f ca="1">SUM($AE$13:$AF$13)</f>
        <v>-5.7184661749981665</v>
      </c>
      <c r="AH13" s="61">
        <f>'TUSD BE'!$AH$13*'TUSD BE'!$AH$61</f>
        <v>0</v>
      </c>
      <c r="AI13" s="61">
        <f>'TUSD BE'!$AI$13*'TUSD BE'!$AI$61</f>
        <v>0</v>
      </c>
      <c r="AJ13" s="61">
        <f ca="1">'TUSD BE'!$AJ$13*'TUSD BE'!$AJ$61</f>
        <v>0</v>
      </c>
      <c r="AK13" s="61">
        <f ca="1">'TUSD BE'!$AK$13*'TUSD BE'!$AK$61</f>
        <v>0</v>
      </c>
      <c r="AL13" s="61">
        <f ca="1">SUM($AH$13:$AK$13)</f>
        <v>0</v>
      </c>
      <c r="AM13" s="61">
        <f ca="1">SUMIF($L$4:$AL$4,"SUBTOTAL",$L$13:$AL$13)+AZ13</f>
        <v>-14.372080386261594</v>
      </c>
      <c r="AO13" s="68">
        <f ca="1">+'TUSD BE'!$T$13+'TUSD BE'!$AB$13+'TUSD BE'!$AD$13+'TUSD BE'!$AL$13</f>
        <v>46.682080386261596</v>
      </c>
      <c r="AP13" s="68">
        <f ca="1">+'TUSD BE'!$T$13+'TUSD BE'!$AB$13+'TUSD BE'!$AD$13+'TUSD BE'!$AL$13</f>
        <v>46.682080386261596</v>
      </c>
      <c r="AQ13" s="9" t="str">
        <f t="shared" si="0"/>
        <v>A4</v>
      </c>
      <c r="AR13" s="9" t="str">
        <f t="shared" si="1"/>
        <v>Verde</v>
      </c>
      <c r="AS13" s="9" t="str">
        <f t="shared" si="2"/>
        <v>Não se aplica</v>
      </c>
      <c r="AT13" s="9" t="str">
        <f t="shared" si="3"/>
        <v>Não se aplica</v>
      </c>
      <c r="AU13" s="9" t="str">
        <f t="shared" si="4"/>
        <v>Não se aplica</v>
      </c>
      <c r="AV13" s="9">
        <f t="shared" si="5"/>
        <v>1</v>
      </c>
      <c r="AW13" s="9">
        <f ca="1">IFERROR(VLOOKUP(AQ13,TarifaMedia!$C$17:$G$17,5,0),0)</f>
        <v>1</v>
      </c>
      <c r="AX13" s="15">
        <f ca="1">'TUSD BE'!$AM13+'TUSD BF'!$AM13+'TUSD CVA'!$AM13</f>
        <v>39.117234382623039</v>
      </c>
      <c r="AY13" s="9">
        <v>32.31</v>
      </c>
      <c r="AZ13" s="9">
        <f t="shared" ca="1" si="6"/>
        <v>-6.8072343826230366</v>
      </c>
      <c r="BC13" s="53" t="s">
        <v>1268</v>
      </c>
    </row>
    <row r="14" spans="1:55" ht="11.25" customHeight="1" x14ac:dyDescent="0.3">
      <c r="A14" s="132"/>
      <c r="B14" s="132"/>
      <c r="C14" s="132"/>
      <c r="D14" s="132"/>
      <c r="E14" s="132"/>
      <c r="F14" s="132"/>
      <c r="G14" s="66" t="s">
        <v>77</v>
      </c>
      <c r="H14" s="66" t="s">
        <v>76</v>
      </c>
      <c r="I14" s="66">
        <f>'MERCADO TUSD'!$U$11</f>
        <v>964.50799999999992</v>
      </c>
      <c r="J14" s="15"/>
      <c r="L14" s="61">
        <f>'TUSD BE'!$L$14*'TUSD BE'!$L$61</f>
        <v>-7.581754916816677E-2</v>
      </c>
      <c r="M14" s="61">
        <f>'TUSD BE'!$M$14*'TUSD BE'!$M$61</f>
        <v>-1.883310484229701E-2</v>
      </c>
      <c r="N14" s="61">
        <f ca="1">'TUSD BE'!$N$14*'TUSD BE'!$N$61</f>
        <v>-1.5300533980831081E-4</v>
      </c>
      <c r="O14" s="61">
        <f>'TUSD BE'!$O$14*'TUSD BE'!$O$61</f>
        <v>0</v>
      </c>
      <c r="P14" s="61">
        <f>'TUSD BE'!$P$14*'TUSD BE'!$P$61</f>
        <v>0</v>
      </c>
      <c r="Q14" s="61">
        <f>'TUSD BE'!$Q$14*'TUSD BE'!$Q$61</f>
        <v>-0.80060739957191884</v>
      </c>
      <c r="R14" s="61">
        <f>'TUSD BE'!$R$14*'TUSD BE'!$R$61</f>
        <v>-0.1436055413628014</v>
      </c>
      <c r="S14" s="61">
        <f>'TUSD BE'!$R$14*'TUSD BE'!$S$61</f>
        <v>0</v>
      </c>
      <c r="T14" s="61">
        <f ca="1">SUM($L$14:$S$14)</f>
        <v>-1.0390166002849923</v>
      </c>
      <c r="U14" s="61">
        <f>'TUSD BE'!$U$14*'TUSD BE'!$U$61</f>
        <v>0</v>
      </c>
      <c r="V14" s="61">
        <f>'TUSD BE'!$V$14*'TUSD BE'!$V$61</f>
        <v>0</v>
      </c>
      <c r="W14" s="61">
        <f>'TUSD BE'!$W$14*'TUSD BE'!$W$61</f>
        <v>0</v>
      </c>
      <c r="X14" s="61">
        <f>'TUSD BE'!$X$14*'TUSD BE'!$X$61</f>
        <v>0</v>
      </c>
      <c r="Y14" s="61">
        <f>'TUSD BE'!$Y$14*'TUSD BE'!$Y$61</f>
        <v>-166.32504690254106</v>
      </c>
      <c r="Z14" s="61">
        <f>'TUSD BE'!$Z$14*'TUSD BE'!$Z$61</f>
        <v>0</v>
      </c>
      <c r="AA14" s="61">
        <f>'TUSD BE'!$AA$14*'TUSD BE'!$AA$61</f>
        <v>0</v>
      </c>
      <c r="AB14" s="61">
        <f>SUM($U$14:$AA$14)</f>
        <v>-166.32504690254106</v>
      </c>
      <c r="AC14" s="61">
        <f>'TUSD BE'!$AC$14*'TUSD BE'!$AC$61</f>
        <v>104.6756214205825</v>
      </c>
      <c r="AD14" s="61">
        <f>SUM($AC$14:$AC$14)</f>
        <v>104.6756214205825</v>
      </c>
      <c r="AE14" s="61">
        <f ca="1">$AO$14*$AO$58</f>
        <v>-271.14866684111485</v>
      </c>
      <c r="AF14" s="61">
        <f ca="1">$AP$14*$AP$58</f>
        <v>0</v>
      </c>
      <c r="AG14" s="61">
        <f ca="1">SUM($AE$14:$AF$14)</f>
        <v>-271.14866684111485</v>
      </c>
      <c r="AH14" s="61">
        <f>'TUSD BE'!$AH$14*'TUSD BE'!$AH$61</f>
        <v>-1.7199848427856608</v>
      </c>
      <c r="AI14" s="61">
        <f>'TUSD BE'!$AI$14*'TUSD BE'!$AI$61</f>
        <v>-1.7590655260975124E-2</v>
      </c>
      <c r="AJ14" s="61">
        <f ca="1">'TUSD BE'!$AJ$14*'TUSD BE'!$AJ$61</f>
        <v>-0.1282401166864337</v>
      </c>
      <c r="AK14" s="61">
        <f ca="1">'TUSD BE'!$AK$14*'TUSD BE'!$AK$61</f>
        <v>4.5159982338420848E-2</v>
      </c>
      <c r="AL14" s="61">
        <f ca="1">SUM($AH$14:$AK$14)</f>
        <v>-1.8206556323946488</v>
      </c>
      <c r="AM14" s="61">
        <f ca="1">SUMIF($L$4:$AL$4,"SUBTOTAL",$L$14:$AL$14)+AZ14</f>
        <v>-943.85444208449076</v>
      </c>
      <c r="AO14" s="68">
        <f ca="1">+'TUSD BE'!$T$14+'TUSD BE'!$AB$14+'TUSD BE'!$AD$14+'TUSD BE'!$AL$14</f>
        <v>2213.4928274029085</v>
      </c>
      <c r="AP14" s="68">
        <f ca="1">+'TUSD BE'!$T$14+'TUSD BE'!$AB$14+'TUSD BE'!$AD$14+'TUSD BE'!$AL$14</f>
        <v>2213.4928274029085</v>
      </c>
      <c r="AQ14" s="9" t="str">
        <f t="shared" si="0"/>
        <v>A4</v>
      </c>
      <c r="AR14" s="9" t="str">
        <f t="shared" si="1"/>
        <v>Verde</v>
      </c>
      <c r="AS14" s="9" t="str">
        <f t="shared" si="2"/>
        <v>Não se aplica</v>
      </c>
      <c r="AT14" s="9" t="str">
        <f t="shared" si="3"/>
        <v>Não se aplica</v>
      </c>
      <c r="AU14" s="9" t="str">
        <f t="shared" si="4"/>
        <v>Não se aplica</v>
      </c>
      <c r="AV14" s="9">
        <f t="shared" si="5"/>
        <v>1</v>
      </c>
      <c r="AW14" s="9">
        <f ca="1">IFERROR(VLOOKUP(AQ14,TarifaMedia!$C$17:$G$17,5,0),0)</f>
        <v>1</v>
      </c>
      <c r="AX14" s="15">
        <f ca="1">'TUSD BE'!$AM14+'TUSD BF'!$AM14+'TUSD CVA'!$AM14</f>
        <v>1891.4266775287376</v>
      </c>
      <c r="AY14" s="9">
        <v>1283.23</v>
      </c>
      <c r="AZ14" s="9">
        <f t="shared" ca="1" si="6"/>
        <v>-608.19667752873761</v>
      </c>
      <c r="BC14" s="53" t="s">
        <v>1269</v>
      </c>
    </row>
    <row r="15" spans="1:55" ht="11.25" customHeight="1" x14ac:dyDescent="0.3">
      <c r="A15" s="132"/>
      <c r="B15" s="132"/>
      <c r="C15" s="132"/>
      <c r="D15" s="132"/>
      <c r="E15" s="132"/>
      <c r="F15" s="132"/>
      <c r="G15" s="66" t="s">
        <v>78</v>
      </c>
      <c r="H15" s="66" t="s">
        <v>76</v>
      </c>
      <c r="I15" s="66">
        <f>'MERCADO TUSD'!$U$12</f>
        <v>18843.148999999998</v>
      </c>
      <c r="J15" s="15"/>
      <c r="L15" s="61">
        <f>'TUSD BE'!$L$15*'TUSD BE'!$L$61</f>
        <v>-7.581754916816677E-2</v>
      </c>
      <c r="M15" s="61">
        <f>'TUSD BE'!$M$15*'TUSD BE'!$M$61</f>
        <v>-1.883310484229701E-2</v>
      </c>
      <c r="N15" s="61">
        <f ca="1">'TUSD BE'!$N$15*'TUSD BE'!$N$61</f>
        <v>-2.9035839508873873E-6</v>
      </c>
      <c r="O15" s="61">
        <f>'TUSD BE'!$O$15*'TUSD BE'!$O$61</f>
        <v>0</v>
      </c>
      <c r="P15" s="61">
        <f>'TUSD BE'!$P$15*'TUSD BE'!$P$61</f>
        <v>0</v>
      </c>
      <c r="Q15" s="61">
        <f>'TUSD BE'!$Q$15*'TUSD BE'!$Q$61</f>
        <v>-0.80060739957191884</v>
      </c>
      <c r="R15" s="61">
        <f>'TUSD BE'!$R$15*'TUSD BE'!$R$61</f>
        <v>-0.1436055413628014</v>
      </c>
      <c r="S15" s="61">
        <f>'TUSD BE'!$R$15*'TUSD BE'!$S$61</f>
        <v>0</v>
      </c>
      <c r="T15" s="61">
        <f ca="1">SUM($L$15:$S$15)</f>
        <v>-1.0388664985291349</v>
      </c>
      <c r="U15" s="61">
        <f>'TUSD BE'!$U$15*'TUSD BE'!$U$61</f>
        <v>0</v>
      </c>
      <c r="V15" s="61">
        <f>'TUSD BE'!$V$15*'TUSD BE'!$V$61</f>
        <v>0</v>
      </c>
      <c r="W15" s="61">
        <f>'TUSD BE'!$W$15*'TUSD BE'!$W$61</f>
        <v>0</v>
      </c>
      <c r="X15" s="61">
        <f>'TUSD BE'!$X$15*'TUSD BE'!$X$61</f>
        <v>0</v>
      </c>
      <c r="Y15" s="61">
        <f>'TUSD BE'!$Y$15*'TUSD BE'!$Y$61</f>
        <v>0</v>
      </c>
      <c r="Z15" s="61">
        <f>'TUSD BE'!$Z$15*'TUSD BE'!$Z$61</f>
        <v>0</v>
      </c>
      <c r="AA15" s="61">
        <f>'TUSD BE'!$AA$15*'TUSD BE'!$AA$61</f>
        <v>0</v>
      </c>
      <c r="AB15" s="61">
        <f>SUM($U$15:$AA$15)</f>
        <v>0</v>
      </c>
      <c r="AC15" s="61">
        <f>'TUSD BE'!$AC$15*'TUSD BE'!$AC$61</f>
        <v>0</v>
      </c>
      <c r="AD15" s="61">
        <f>SUM($AC$15:$AC$15)</f>
        <v>0</v>
      </c>
      <c r="AE15" s="61">
        <f ca="1">$AO$15*$AO$58</f>
        <v>-13.040528959779035</v>
      </c>
      <c r="AF15" s="61">
        <f ca="1">$AP$15*$AP$58</f>
        <v>0</v>
      </c>
      <c r="AG15" s="61">
        <f ca="1">SUM($AE$15:$AF$15)</f>
        <v>-13.040528959779035</v>
      </c>
      <c r="AH15" s="61">
        <f>'TUSD BE'!$AH$15*'TUSD BE'!$AH$61</f>
        <v>-1.7199848427856608</v>
      </c>
      <c r="AI15" s="61">
        <f>'TUSD BE'!$AI$15*'TUSD BE'!$AI$61</f>
        <v>-1.7590655260975124E-2</v>
      </c>
      <c r="AJ15" s="61">
        <f ca="1">'TUSD BE'!$AJ$15*'TUSD BE'!$AJ$61</f>
        <v>-0.1282401166864337</v>
      </c>
      <c r="AK15" s="61">
        <f ca="1">'TUSD BE'!$AK$15*'TUSD BE'!$AK$61</f>
        <v>4.5159982338420848E-2</v>
      </c>
      <c r="AL15" s="61">
        <f ca="1">SUM($AH$15:$AK$15)</f>
        <v>-1.8206556323946488</v>
      </c>
      <c r="AM15" s="61">
        <f ca="1">SUMIF($L$4:$AL$4,"SUBTOTAL",$L$15:$AL$15)+AZ15</f>
        <v>-3.2565630104447099</v>
      </c>
      <c r="AO15" s="68">
        <f ca="1">+'TUSD BE'!$T$15+'TUSD BE'!$AB$15+'TUSD BE'!$AD$15+'TUSD BE'!$AL$15</f>
        <v>106.4549483288624</v>
      </c>
      <c r="AP15" s="68">
        <f ca="1">+'TUSD BE'!$T$15+'TUSD BE'!$AB$15+'TUSD BE'!$AD$15+'TUSD BE'!$AL$15</f>
        <v>106.4549483288624</v>
      </c>
      <c r="AQ15" s="9" t="str">
        <f t="shared" si="0"/>
        <v>A4</v>
      </c>
      <c r="AR15" s="9" t="str">
        <f t="shared" si="1"/>
        <v>Verde</v>
      </c>
      <c r="AS15" s="9" t="str">
        <f t="shared" si="2"/>
        <v>Não se aplica</v>
      </c>
      <c r="AT15" s="9" t="str">
        <f t="shared" si="3"/>
        <v>Não se aplica</v>
      </c>
      <c r="AU15" s="9" t="str">
        <f t="shared" si="4"/>
        <v>Não se aplica</v>
      </c>
      <c r="AV15" s="9">
        <f t="shared" si="5"/>
        <v>1</v>
      </c>
      <c r="AW15" s="9">
        <f ca="1">IFERROR(VLOOKUP(AQ15,TarifaMedia!$C$17:$G$17,5,0),0)</f>
        <v>1</v>
      </c>
      <c r="AX15" s="15">
        <f ca="1">'TUSD BE'!$AM15+'TUSD BF'!$AM15+'TUSD CVA'!$AM15</f>
        <v>104.1465119197419</v>
      </c>
      <c r="AY15" s="9">
        <v>116.79</v>
      </c>
      <c r="AZ15" s="9">
        <f t="shared" ca="1" si="6"/>
        <v>12.643488080258109</v>
      </c>
      <c r="BC15" s="53" t="s">
        <v>1270</v>
      </c>
    </row>
    <row r="16" spans="1:55" ht="11.25" customHeight="1" x14ac:dyDescent="0.3">
      <c r="A16" s="132"/>
      <c r="B16" s="132"/>
      <c r="C16" s="132"/>
      <c r="D16" s="132"/>
      <c r="E16" s="132" t="s">
        <v>87</v>
      </c>
      <c r="F16" s="132" t="s">
        <v>25</v>
      </c>
      <c r="G16" s="66" t="s">
        <v>77</v>
      </c>
      <c r="H16" s="66" t="s">
        <v>76</v>
      </c>
      <c r="I16" s="66">
        <f>'MERCADO TUSD'!$U$13</f>
        <v>0</v>
      </c>
      <c r="J16" s="15"/>
      <c r="L16" s="61">
        <f>'TUSD BE'!$L$16*'TUSD BE'!$L$61</f>
        <v>0</v>
      </c>
      <c r="M16" s="61">
        <f>'TUSD BE'!$M$16*'TUSD BE'!$M$61</f>
        <v>-1.883310484229701E-2</v>
      </c>
      <c r="N16" s="61">
        <f ca="1">'TUSD BE'!$N$16*'TUSD BE'!$N$61</f>
        <v>-1.5292707740528197E-4</v>
      </c>
      <c r="O16" s="61">
        <f>'TUSD BE'!$O$16*'TUSD BE'!$O$61</f>
        <v>0</v>
      </c>
      <c r="P16" s="61">
        <f>'TUSD BE'!$P$16*'TUSD BE'!$P$61</f>
        <v>0</v>
      </c>
      <c r="Q16" s="61">
        <f>'TUSD BE'!$Q$16*'TUSD BE'!$Q$61</f>
        <v>0</v>
      </c>
      <c r="R16" s="61">
        <f>'TUSD BE'!$R$16*'TUSD BE'!$R$61</f>
        <v>0</v>
      </c>
      <c r="S16" s="61">
        <f>'TUSD BE'!$R$16*'TUSD BE'!$S$61</f>
        <v>0</v>
      </c>
      <c r="T16" s="61">
        <f ca="1">SUM($L$16:$S$16)</f>
        <v>-1.898603191970229E-2</v>
      </c>
      <c r="U16" s="61">
        <f>'TUSD BE'!$U$16*'TUSD BE'!$U$61</f>
        <v>0</v>
      </c>
      <c r="V16" s="61">
        <f>'TUSD BE'!$V$16*'TUSD BE'!$V$61</f>
        <v>0</v>
      </c>
      <c r="W16" s="61">
        <f>'TUSD BE'!$W$16*'TUSD BE'!$W$61</f>
        <v>0</v>
      </c>
      <c r="X16" s="61">
        <f>'TUSD BE'!$X$16*'TUSD BE'!$X$61</f>
        <v>0</v>
      </c>
      <c r="Y16" s="61">
        <f>'TUSD BE'!$Y$16*'TUSD BE'!$Y$61</f>
        <v>-166.32504690254106</v>
      </c>
      <c r="Z16" s="61">
        <f>'TUSD BE'!$Z$16*'TUSD BE'!$Z$61</f>
        <v>0</v>
      </c>
      <c r="AA16" s="61">
        <f>'TUSD BE'!$AA$16*'TUSD BE'!$AA$61</f>
        <v>0</v>
      </c>
      <c r="AB16" s="61">
        <f>SUM($U$16:$AA$16)</f>
        <v>-166.32504690254106</v>
      </c>
      <c r="AC16" s="61">
        <f>'TUSD BE'!$AC$16*'TUSD BE'!$AC$61</f>
        <v>104.6756214205825</v>
      </c>
      <c r="AD16" s="61">
        <f>SUM($AC$16:$AC$16)</f>
        <v>104.6756214205825</v>
      </c>
      <c r="AE16" s="61">
        <f ca="1">$AO$16*$AO$58</f>
        <v>-259.83757249945705</v>
      </c>
      <c r="AF16" s="61">
        <f ca="1">$AP$16*$AP$58</f>
        <v>0</v>
      </c>
      <c r="AG16" s="61">
        <f ca="1">SUM($AE$16:$AF$16)</f>
        <v>-259.83757249945705</v>
      </c>
      <c r="AH16" s="61">
        <f>'TUSD BE'!$AH$16*'TUSD BE'!$AH$61</f>
        <v>-1.7199848427856608</v>
      </c>
      <c r="AI16" s="61">
        <f>'TUSD BE'!$AI$16*'TUSD BE'!$AI$61</f>
        <v>-1.7590655260975124E-2</v>
      </c>
      <c r="AJ16" s="61">
        <f ca="1">'TUSD BE'!$AJ$16*'TUSD BE'!$AJ$61</f>
        <v>-0.1282401166864337</v>
      </c>
      <c r="AK16" s="61">
        <f ca="1">'TUSD BE'!$AK$16*'TUSD BE'!$AK$61</f>
        <v>4.5159982338420848E-2</v>
      </c>
      <c r="AL16" s="61">
        <f ca="1">SUM($AH$16:$AK$16)</f>
        <v>-1.8206556323946488</v>
      </c>
      <c r="AM16" s="61">
        <f ca="1">SUMIF($L$4:$AL$4,"SUBTOTAL",$L$16:$AL$16)+AZ16</f>
        <v>-938.36997926217146</v>
      </c>
      <c r="AO16" s="68">
        <f ca="1">+'TUSD BE'!$T$16+'TUSD BE'!$AB$16+'TUSD BE'!$AD$16+'TUSD BE'!$AL$16</f>
        <v>2121.155931606891</v>
      </c>
      <c r="AP16" s="68">
        <f ca="1">+'TUSD BE'!$T$16+'TUSD BE'!$AB$16+'TUSD BE'!$AD$16+'TUSD BE'!$AL$16</f>
        <v>2121.155931606891</v>
      </c>
      <c r="AQ16" s="9" t="str">
        <f t="shared" si="0"/>
        <v>A4</v>
      </c>
      <c r="AR16" s="9" t="str">
        <f t="shared" si="1"/>
        <v>Verde</v>
      </c>
      <c r="AS16" s="9" t="str">
        <f t="shared" si="2"/>
        <v>Não se aplica</v>
      </c>
      <c r="AT16" s="9" t="str">
        <f t="shared" si="3"/>
        <v>Não se aplica</v>
      </c>
      <c r="AU16" s="9" t="str">
        <f t="shared" si="4"/>
        <v>APE</v>
      </c>
      <c r="AV16" s="9">
        <f t="shared" si="5"/>
        <v>1</v>
      </c>
      <c r="AW16" s="9">
        <f ca="1">IFERROR(VLOOKUP(AQ16,TarifaMedia!$C$17:$G$17,5,0),0)</f>
        <v>1</v>
      </c>
      <c r="AX16" s="15">
        <f ca="1">'TUSD BE'!$AM16+'TUSD BF'!$AM16+'TUSD CVA'!$AM16</f>
        <v>1799.1033396164414</v>
      </c>
      <c r="AY16" s="9">
        <v>1184.06</v>
      </c>
      <c r="AZ16" s="9">
        <f t="shared" ca="1" si="6"/>
        <v>-615.04333961644147</v>
      </c>
      <c r="BC16" s="53" t="s">
        <v>1271</v>
      </c>
    </row>
    <row r="17" spans="1:55" ht="11.25" customHeight="1" x14ac:dyDescent="0.3">
      <c r="A17" s="132"/>
      <c r="B17" s="132"/>
      <c r="C17" s="132"/>
      <c r="D17" s="132"/>
      <c r="E17" s="132"/>
      <c r="F17" s="132"/>
      <c r="G17" s="66" t="s">
        <v>78</v>
      </c>
      <c r="H17" s="66" t="s">
        <v>76</v>
      </c>
      <c r="I17" s="66">
        <f>'MERCADO TUSD'!$U$14</f>
        <v>0</v>
      </c>
      <c r="J17" s="15"/>
      <c r="L17" s="61">
        <f>'TUSD BE'!$L$17*'TUSD BE'!$L$61</f>
        <v>0</v>
      </c>
      <c r="M17" s="61">
        <f>'TUSD BE'!$M$17*'TUSD BE'!$M$61</f>
        <v>-1.883310484229701E-2</v>
      </c>
      <c r="N17" s="61">
        <f ca="1">'TUSD BE'!$N$17*'TUSD BE'!$N$61</f>
        <v>-2.8253215478585456E-6</v>
      </c>
      <c r="O17" s="61">
        <f>'TUSD BE'!$O$17*'TUSD BE'!$O$61</f>
        <v>0</v>
      </c>
      <c r="P17" s="61">
        <f>'TUSD BE'!$P$17*'TUSD BE'!$P$61</f>
        <v>0</v>
      </c>
      <c r="Q17" s="61">
        <f>'TUSD BE'!$Q$17*'TUSD BE'!$Q$61</f>
        <v>0</v>
      </c>
      <c r="R17" s="61">
        <f>'TUSD BE'!$R$17*'TUSD BE'!$R$61</f>
        <v>0</v>
      </c>
      <c r="S17" s="61">
        <f>'TUSD BE'!$R$17*'TUSD BE'!$S$61</f>
        <v>0</v>
      </c>
      <c r="T17" s="61">
        <f ca="1">SUM($L$17:$S$17)</f>
        <v>-1.8835930163844869E-2</v>
      </c>
      <c r="U17" s="61">
        <f>'TUSD BE'!$U$17*'TUSD BE'!$U$61</f>
        <v>0</v>
      </c>
      <c r="V17" s="61">
        <f>'TUSD BE'!$V$17*'TUSD BE'!$V$61</f>
        <v>0</v>
      </c>
      <c r="W17" s="61">
        <f>'TUSD BE'!$W$17*'TUSD BE'!$W$61</f>
        <v>0</v>
      </c>
      <c r="X17" s="61">
        <f>'TUSD BE'!$X$17*'TUSD BE'!$X$61</f>
        <v>0</v>
      </c>
      <c r="Y17" s="61">
        <f>'TUSD BE'!$Y$17*'TUSD BE'!$Y$61</f>
        <v>0</v>
      </c>
      <c r="Z17" s="61">
        <f>'TUSD BE'!$Z$17*'TUSD BE'!$Z$61</f>
        <v>0</v>
      </c>
      <c r="AA17" s="61">
        <f>'TUSD BE'!$AA$17*'TUSD BE'!$AA$61</f>
        <v>0</v>
      </c>
      <c r="AB17" s="61">
        <f>SUM($U$17:$AA$17)</f>
        <v>0</v>
      </c>
      <c r="AC17" s="61">
        <f>'TUSD BE'!$AC$17*'TUSD BE'!$AC$61</f>
        <v>0</v>
      </c>
      <c r="AD17" s="61">
        <f>SUM($AC$17:$AC$17)</f>
        <v>0</v>
      </c>
      <c r="AE17" s="61">
        <f ca="1">$AO$17*$AO$58</f>
        <v>-1.7294346181213043</v>
      </c>
      <c r="AF17" s="61">
        <f ca="1">$AP$17*$AP$58</f>
        <v>0</v>
      </c>
      <c r="AG17" s="61">
        <f ca="1">SUM($AE$17:$AF$17)</f>
        <v>-1.7294346181213043</v>
      </c>
      <c r="AH17" s="61">
        <f>'TUSD BE'!$AH$17*'TUSD BE'!$AH$61</f>
        <v>-1.7199848427856608</v>
      </c>
      <c r="AI17" s="61">
        <f>'TUSD BE'!$AI$17*'TUSD BE'!$AI$61</f>
        <v>-1.7590655260975124E-2</v>
      </c>
      <c r="AJ17" s="61">
        <f ca="1">'TUSD BE'!$AJ$17*'TUSD BE'!$AJ$61</f>
        <v>-0.1282401166864337</v>
      </c>
      <c r="AK17" s="61">
        <f ca="1">'TUSD BE'!$AK$17*'TUSD BE'!$AK$61</f>
        <v>4.5159982338420848E-2</v>
      </c>
      <c r="AL17" s="61">
        <f ca="1">SUM($AH$17:$AK$17)</f>
        <v>-1.8206556323946488</v>
      </c>
      <c r="AM17" s="61">
        <f ca="1">SUMIF($L$4:$AL$4,"SUBTOTAL",$L$17:$AL$17)+AZ17</f>
        <v>2.2178998118744246</v>
      </c>
      <c r="AO17" s="68">
        <f ca="1">+'TUSD BE'!$T$17+'TUSD BE'!$AB$17+'TUSD BE'!$AD$17+'TUSD BE'!$AL$17</f>
        <v>14.11805253284518</v>
      </c>
      <c r="AP17" s="68">
        <f ca="1">+'TUSD BE'!$T$17+'TUSD BE'!$AB$17+'TUSD BE'!$AD$17+'TUSD BE'!$AL$17</f>
        <v>14.11805253284518</v>
      </c>
      <c r="AQ17" s="9" t="str">
        <f t="shared" si="0"/>
        <v>A4</v>
      </c>
      <c r="AR17" s="9" t="str">
        <f t="shared" si="1"/>
        <v>Verde</v>
      </c>
      <c r="AS17" s="9" t="str">
        <f t="shared" si="2"/>
        <v>Não se aplica</v>
      </c>
      <c r="AT17" s="9" t="str">
        <f t="shared" si="3"/>
        <v>Não se aplica</v>
      </c>
      <c r="AU17" s="9" t="str">
        <f t="shared" si="4"/>
        <v>APE</v>
      </c>
      <c r="AV17" s="9">
        <f t="shared" si="5"/>
        <v>1</v>
      </c>
      <c r="AW17" s="9">
        <f ca="1">IFERROR(VLOOKUP(AQ17,TarifaMedia!$C$17:$G$17,5,0),0)</f>
        <v>1</v>
      </c>
      <c r="AX17" s="15">
        <f ca="1">'TUSD BE'!$AM17+'TUSD BF'!$AM17+'TUSD CVA'!$AM17</f>
        <v>11.823174007445777</v>
      </c>
      <c r="AY17" s="9">
        <v>17.61</v>
      </c>
      <c r="AZ17" s="9">
        <f t="shared" ca="1" si="6"/>
        <v>5.7868259925542223</v>
      </c>
      <c r="BC17" s="53" t="s">
        <v>1272</v>
      </c>
    </row>
    <row r="18" spans="1:55" ht="11.25" customHeight="1" x14ac:dyDescent="0.3">
      <c r="A18" s="132" t="s">
        <v>90</v>
      </c>
      <c r="B18" s="132" t="s">
        <v>88</v>
      </c>
      <c r="C18" s="132" t="s">
        <v>25</v>
      </c>
      <c r="D18" s="132" t="s">
        <v>25</v>
      </c>
      <c r="E18" s="65" t="s">
        <v>91</v>
      </c>
      <c r="F18" s="65" t="s">
        <v>25</v>
      </c>
      <c r="G18" s="66" t="s">
        <v>9</v>
      </c>
      <c r="H18" s="66" t="s">
        <v>84</v>
      </c>
      <c r="I18" s="66">
        <f>'MERCADO TUSD'!$U$15+0.00000001</f>
        <v>1E-8</v>
      </c>
      <c r="J18" s="15"/>
      <c r="L18" s="61">
        <f>'TUSD BE'!$L$18*'TUSD BE'!$L$61</f>
        <v>0</v>
      </c>
      <c r="M18" s="61">
        <f>'TUSD BE'!$M$18*'TUSD BE'!$M$61</f>
        <v>-4.6850234939970365E-4</v>
      </c>
      <c r="N18" s="61">
        <f ca="1">'TUSD BE'!$N$18*'TUSD BE'!$N$61</f>
        <v>-4.4922619338554882E-7</v>
      </c>
      <c r="O18" s="61">
        <f>'TUSD BE'!$O$18*'TUSD BE'!$O$61</f>
        <v>0</v>
      </c>
      <c r="P18" s="61">
        <f>'TUSD BE'!$P$18*'TUSD BE'!$P$61</f>
        <v>0</v>
      </c>
      <c r="Q18" s="61">
        <f>'TUSD BE'!$Q$18*'TUSD BE'!$Q$61</f>
        <v>0</v>
      </c>
      <c r="R18" s="61">
        <f>'TUSD BE'!$R$18*'TUSD BE'!$R$61</f>
        <v>0</v>
      </c>
      <c r="S18" s="61">
        <f>'TUSD BE'!$R$18*'TUSD BE'!$S$61</f>
        <v>0</v>
      </c>
      <c r="T18" s="61">
        <f ca="1">SUM($L$18:$S$18)</f>
        <v>-4.689515755930892E-4</v>
      </c>
      <c r="U18" s="61">
        <f>'TUSD BE'!$U$18*'TUSD BE'!$U$61</f>
        <v>0</v>
      </c>
      <c r="V18" s="61">
        <f>'TUSD BE'!$V$18*'TUSD BE'!$V$61</f>
        <v>0</v>
      </c>
      <c r="W18" s="61">
        <f>'TUSD BE'!$W$18*'TUSD BE'!$W$61</f>
        <v>0</v>
      </c>
      <c r="X18" s="61">
        <f>'TUSD BE'!$X$18*'TUSD BE'!$X$61</f>
        <v>0</v>
      </c>
      <c r="Y18" s="61">
        <f>'TUSD BE'!$Y$18*'TUSD BE'!$Y$61</f>
        <v>0</v>
      </c>
      <c r="Z18" s="61">
        <f>'TUSD BE'!$Z$18*'TUSD BE'!$Z$61</f>
        <v>0</v>
      </c>
      <c r="AA18" s="61">
        <f>'TUSD BE'!$AA$18*'TUSD BE'!$AA$61</f>
        <v>0</v>
      </c>
      <c r="AB18" s="61">
        <f>SUM($U$18:$AA$18)</f>
        <v>0</v>
      </c>
      <c r="AC18" s="61">
        <f>'TUSD BE'!$AC$18*'TUSD BE'!$AC$61</f>
        <v>0.57866984881708172</v>
      </c>
      <c r="AD18" s="61">
        <f>SUM($AC$18:$AC$18)</f>
        <v>0.57866984881708172</v>
      </c>
      <c r="AE18" s="61">
        <f ca="1">$AO$18*$AO$58</f>
        <v>-0.77043650767604388</v>
      </c>
      <c r="AF18" s="61">
        <f ca="1">$AP$18*$AP$58</f>
        <v>0</v>
      </c>
      <c r="AG18" s="61">
        <f ca="1">SUM($AE$18:$AF$18)</f>
        <v>-0.77043650767604388</v>
      </c>
      <c r="AH18" s="61">
        <f>'TUSD BE'!$AH$18*'TUSD BE'!$AH$61</f>
        <v>0</v>
      </c>
      <c r="AI18" s="61">
        <f>'TUSD BE'!$AI$18*'TUSD BE'!$AI$61</f>
        <v>0</v>
      </c>
      <c r="AJ18" s="61">
        <f ca="1">'TUSD BE'!$AJ$18*'TUSD BE'!$AJ$61</f>
        <v>0</v>
      </c>
      <c r="AK18" s="61">
        <f ca="1">'TUSD BE'!$AK$18*'TUSD BE'!$AK$61</f>
        <v>0</v>
      </c>
      <c r="AL18" s="61">
        <f ca="1">SUM($AH$18:$AK$18)</f>
        <v>0</v>
      </c>
      <c r="AM18" s="61">
        <f ca="1">SUMIF($L$4:$AL$4,"SUBTOTAL",$L$18:$AL$18)+AZ18</f>
        <v>-0.19223561043455528</v>
      </c>
      <c r="AO18" s="68">
        <f ca="1">+'TUSD BE'!$T$18+'TUSD BE'!$AB$18+'TUSD BE'!$AD$18+'TUSD BE'!$AL$18</f>
        <v>6.2893751371809525</v>
      </c>
      <c r="AP18" s="68">
        <f ca="1">+'TUSD BE'!$T$18+'TUSD BE'!$AB$18+'TUSD BE'!$AD$18+'TUSD BE'!$AL$18</f>
        <v>6.2893751371809525</v>
      </c>
      <c r="AQ18" s="9" t="str">
        <f t="shared" si="0"/>
        <v>B</v>
      </c>
      <c r="AR18" s="9" t="str">
        <f t="shared" si="1"/>
        <v>Geração</v>
      </c>
      <c r="AS18" s="9" t="str">
        <f t="shared" si="2"/>
        <v>Não se aplica</v>
      </c>
      <c r="AT18" s="9" t="str">
        <f t="shared" si="3"/>
        <v>Não se aplica</v>
      </c>
      <c r="AU18" s="9" t="str">
        <f t="shared" si="4"/>
        <v>TIPO 01</v>
      </c>
      <c r="AV18" s="9">
        <f t="shared" si="5"/>
        <v>0</v>
      </c>
      <c r="AW18" s="9">
        <f ca="1">TarifaMedia!$G$20</f>
        <v>0</v>
      </c>
      <c r="AX18" s="15">
        <f ca="1">'TUSD BE'!$AM18+'TUSD BF'!$AM18+'TUSD CVA'!$AM18</f>
        <v>6.097139526746397</v>
      </c>
      <c r="AY18" s="9">
        <v>5.23</v>
      </c>
      <c r="AZ18" s="9">
        <f t="shared" ca="1" si="6"/>
        <v>0</v>
      </c>
      <c r="BC18" s="53" t="s">
        <v>1273</v>
      </c>
    </row>
    <row r="19" spans="1:55" ht="11.25" customHeight="1" x14ac:dyDescent="0.3">
      <c r="A19" s="132"/>
      <c r="B19" s="132"/>
      <c r="C19" s="132"/>
      <c r="D19" s="132"/>
      <c r="E19" s="65" t="s">
        <v>92</v>
      </c>
      <c r="F19" s="65" t="s">
        <v>25</v>
      </c>
      <c r="G19" s="66" t="s">
        <v>9</v>
      </c>
      <c r="H19" s="66" t="s">
        <v>84</v>
      </c>
      <c r="I19" s="66">
        <f>'MERCADO TUSD'!$U$16+0.00000001</f>
        <v>1E-8</v>
      </c>
      <c r="J19" s="15"/>
      <c r="L19" s="61">
        <f>'TUSD BE'!$L$19*'TUSD BE'!$L$61</f>
        <v>0</v>
      </c>
      <c r="M19" s="61">
        <f>'TUSD BE'!$M$19*'TUSD BE'!$M$61</f>
        <v>-4.6850234939970365E-4</v>
      </c>
      <c r="N19" s="61">
        <f ca="1">'TUSD BE'!$N$19*'TUSD BE'!$N$61</f>
        <v>-4.4922619338554882E-7</v>
      </c>
      <c r="O19" s="61">
        <f>'TUSD BE'!$O$19*'TUSD BE'!$O$61</f>
        <v>0</v>
      </c>
      <c r="P19" s="61">
        <f>'TUSD BE'!$P$19*'TUSD BE'!$P$61</f>
        <v>0</v>
      </c>
      <c r="Q19" s="61">
        <f>'TUSD BE'!$Q$19*'TUSD BE'!$Q$61</f>
        <v>0</v>
      </c>
      <c r="R19" s="61">
        <f>'TUSD BE'!$R$19*'TUSD BE'!$R$61</f>
        <v>0</v>
      </c>
      <c r="S19" s="61">
        <f>'TUSD BE'!$R$19*'TUSD BE'!$S$61</f>
        <v>0</v>
      </c>
      <c r="T19" s="61">
        <f ca="1">SUM($L$19:$S$19)</f>
        <v>-4.689515755930892E-4</v>
      </c>
      <c r="U19" s="61">
        <f>'TUSD BE'!$U$19*'TUSD BE'!$U$61</f>
        <v>0</v>
      </c>
      <c r="V19" s="61">
        <f>'TUSD BE'!$V$19*'TUSD BE'!$V$61</f>
        <v>0</v>
      </c>
      <c r="W19" s="61">
        <f>'TUSD BE'!$W$19*'TUSD BE'!$W$61</f>
        <v>0</v>
      </c>
      <c r="X19" s="61">
        <f>'TUSD BE'!$X$19*'TUSD BE'!$X$61</f>
        <v>0</v>
      </c>
      <c r="Y19" s="61">
        <f>'TUSD BE'!$Y$19*'TUSD BE'!$Y$61</f>
        <v>0</v>
      </c>
      <c r="Z19" s="61">
        <f>'TUSD BE'!$Z$19*'TUSD BE'!$Z$61</f>
        <v>0</v>
      </c>
      <c r="AA19" s="61">
        <f>'TUSD BE'!$AA$19*'TUSD BE'!$AA$61</f>
        <v>0</v>
      </c>
      <c r="AB19" s="61">
        <f>SUM($U$19:$AA$19)</f>
        <v>0</v>
      </c>
      <c r="AC19" s="61">
        <f>'TUSD BE'!$AC$19*'TUSD BE'!$AC$61</f>
        <v>1.4950479864650652</v>
      </c>
      <c r="AD19" s="61">
        <f>SUM($AC$19:$AC$19)</f>
        <v>1.4950479864650652</v>
      </c>
      <c r="AE19" s="61">
        <f ca="1">$AO$19*$AO$58</f>
        <v>-1.9747974905736347</v>
      </c>
      <c r="AF19" s="61">
        <f ca="1">$AP$19*$AP$58</f>
        <v>0</v>
      </c>
      <c r="AG19" s="61">
        <f ca="1">SUM($AE$19:$AF$19)</f>
        <v>-1.9747974905736347</v>
      </c>
      <c r="AH19" s="61">
        <f>'TUSD BE'!$AH$19*'TUSD BE'!$AH$61</f>
        <v>0</v>
      </c>
      <c r="AI19" s="61">
        <f>'TUSD BE'!$AI$19*'TUSD BE'!$AI$61</f>
        <v>0</v>
      </c>
      <c r="AJ19" s="61">
        <f ca="1">'TUSD BE'!$AJ$19*'TUSD BE'!$AJ$61</f>
        <v>0</v>
      </c>
      <c r="AK19" s="61">
        <f ca="1">'TUSD BE'!$AK$19*'TUSD BE'!$AK$61</f>
        <v>0</v>
      </c>
      <c r="AL19" s="61">
        <f ca="1">SUM($AH$19:$AK$19)</f>
        <v>0</v>
      </c>
      <c r="AM19" s="61">
        <f ca="1">SUMIF($L$4:$AL$4,"SUBTOTAL",$L$19:$AL$19)+AZ19</f>
        <v>-0.48021845568416266</v>
      </c>
      <c r="AO19" s="68">
        <f ca="1">+'TUSD BE'!$T$19+'TUSD BE'!$AB$19+'TUSD BE'!$AD$19+'TUSD BE'!$AL$19</f>
        <v>16.121045815502381</v>
      </c>
      <c r="AP19" s="68">
        <f ca="1">+'TUSD BE'!$T$19+'TUSD BE'!$AB$19+'TUSD BE'!$AD$19+'TUSD BE'!$AL$19</f>
        <v>16.121045815502381</v>
      </c>
      <c r="AQ19" s="9" t="str">
        <f t="shared" si="0"/>
        <v>B</v>
      </c>
      <c r="AR19" s="9" t="str">
        <f t="shared" si="1"/>
        <v>Geração</v>
      </c>
      <c r="AS19" s="9" t="str">
        <f t="shared" si="2"/>
        <v>Não se aplica</v>
      </c>
      <c r="AT19" s="9" t="str">
        <f t="shared" si="3"/>
        <v>Não se aplica</v>
      </c>
      <c r="AU19" s="9" t="str">
        <f t="shared" si="4"/>
        <v>TIPO 02</v>
      </c>
      <c r="AV19" s="9">
        <f t="shared" si="5"/>
        <v>0</v>
      </c>
      <c r="AW19" s="9">
        <f ca="1">TarifaMedia!$G$20</f>
        <v>0</v>
      </c>
      <c r="AX19" s="15">
        <f ca="1">'TUSD BE'!$AM19+'TUSD BF'!$AM19+'TUSD CVA'!$AM19</f>
        <v>15.640827359818218</v>
      </c>
      <c r="AY19" s="9">
        <v>13.5</v>
      </c>
      <c r="AZ19" s="9">
        <f t="shared" ca="1" si="6"/>
        <v>0</v>
      </c>
      <c r="BC19" s="53" t="s">
        <v>1274</v>
      </c>
    </row>
    <row r="20" spans="1:55" ht="11.25" customHeight="1" x14ac:dyDescent="0.3">
      <c r="A20" s="132" t="s">
        <v>22</v>
      </c>
      <c r="B20" s="132" t="s">
        <v>33</v>
      </c>
      <c r="C20" s="132" t="s">
        <v>24</v>
      </c>
      <c r="D20" s="132" t="s">
        <v>24</v>
      </c>
      <c r="E20" s="132" t="s">
        <v>25</v>
      </c>
      <c r="F20" s="132" t="s">
        <v>25</v>
      </c>
      <c r="G20" s="66" t="s">
        <v>77</v>
      </c>
      <c r="H20" s="66" t="s">
        <v>76</v>
      </c>
      <c r="I20" s="66">
        <f>'MERCADO TUSD'!$U$17</f>
        <v>0.68800000000000017</v>
      </c>
      <c r="J20" s="15"/>
      <c r="L20" s="61">
        <f>'TUSD BE'!$L$20*'TUSD BE'!$L$61</f>
        <v>-9.0258987104960456E-2</v>
      </c>
      <c r="M20" s="61">
        <f>'TUSD BE'!$M$20*'TUSD BE'!$M$61</f>
        <v>-1.9491624390069004E-2</v>
      </c>
      <c r="N20" s="61">
        <f ca="1">'TUSD BE'!$N$20*'TUSD BE'!$N$61</f>
        <v>-8.4351401505315302E-5</v>
      </c>
      <c r="O20" s="61">
        <f>'TUSD BE'!$O$20*'TUSD BE'!$O$61</f>
        <v>0</v>
      </c>
      <c r="P20" s="61">
        <f>'TUSD BE'!$P$20*'TUSD BE'!$P$61</f>
        <v>0</v>
      </c>
      <c r="Q20" s="61">
        <f>'TUSD BE'!$Q$20*'TUSD BE'!$Q$61</f>
        <v>-0.9531040471094272</v>
      </c>
      <c r="R20" s="61">
        <f>'TUSD BE'!$R$20*'TUSD BE'!$R$61</f>
        <v>-0.1436055413628014</v>
      </c>
      <c r="S20" s="61">
        <f>'TUSD BE'!$R$20*'TUSD BE'!$S$61</f>
        <v>0</v>
      </c>
      <c r="T20" s="61">
        <f ca="1">SUM($L$20:$S$20)</f>
        <v>-1.2065445513687634</v>
      </c>
      <c r="U20" s="61">
        <f>'TUSD BE'!$U$20*'TUSD BE'!$U$61</f>
        <v>0</v>
      </c>
      <c r="V20" s="61">
        <f>'TUSD BE'!$V$20*'TUSD BE'!$V$61</f>
        <v>0</v>
      </c>
      <c r="W20" s="61">
        <f>'TUSD BE'!$W$20*'TUSD BE'!$W$61</f>
        <v>0</v>
      </c>
      <c r="X20" s="61">
        <f>'TUSD BE'!$X$20*'TUSD BE'!$X$61</f>
        <v>0</v>
      </c>
      <c r="Y20" s="61">
        <f>'TUSD BE'!$Y$20*'TUSD BE'!$Y$61</f>
        <v>-79.548551755654898</v>
      </c>
      <c r="Z20" s="61">
        <f>'TUSD BE'!$Z$20*'TUSD BE'!$Z$61</f>
        <v>0</v>
      </c>
      <c r="AA20" s="61">
        <f>'TUSD BE'!$AA$20*'TUSD BE'!$AA$61</f>
        <v>0</v>
      </c>
      <c r="AB20" s="61">
        <f>SUM($U$20:$AA$20)</f>
        <v>-79.548551755654898</v>
      </c>
      <c r="AC20" s="61">
        <f>'TUSD BE'!$AC$20*'TUSD BE'!$AC$61</f>
        <v>59.432147695601529</v>
      </c>
      <c r="AD20" s="61">
        <f>SUM($AC$20:$AC$20)</f>
        <v>59.432147695601529</v>
      </c>
      <c r="AE20" s="61">
        <f ca="1">$AO$20*$AO$58</f>
        <v>-152.12744438035693</v>
      </c>
      <c r="AF20" s="61">
        <f ca="1">$AP$20*$AP$58</f>
        <v>0</v>
      </c>
      <c r="AG20" s="61">
        <f ca="1">SUM($AE$20:$AF$20)</f>
        <v>-152.12744438035693</v>
      </c>
      <c r="AH20" s="61">
        <f>'TUSD BE'!$AH$20*'TUSD BE'!$AH$61</f>
        <v>-3.3489723642270079</v>
      </c>
      <c r="AI20" s="61">
        <f>'TUSD BE'!$AI$20*'TUSD BE'!$AI$61</f>
        <v>-3.4250661326898323E-2</v>
      </c>
      <c r="AJ20" s="61">
        <f ca="1">'TUSD BE'!$AJ$20*'TUSD BE'!$AJ$61</f>
        <v>-0.12589516163518874</v>
      </c>
      <c r="AK20" s="61">
        <f ca="1">'TUSD BE'!$AK$20*'TUSD BE'!$AK$61</f>
        <v>4.4334202298329732E-2</v>
      </c>
      <c r="AL20" s="61">
        <f ca="1">SUM($AH$20:$AK$20)</f>
        <v>-3.4647839848907651</v>
      </c>
      <c r="AM20" s="61">
        <f ca="1">SUMIF($L$4:$AL$4,"SUBTOTAL",$L$20:$AL$20)+AZ20</f>
        <v>-176.91517697666984</v>
      </c>
      <c r="AO20" s="68">
        <f ca="1">+'TUSD BE'!$T$20+'TUSD BE'!$AB$20+'TUSD BE'!$AD$20+'TUSD BE'!$AL$20</f>
        <v>1241.8759454361273</v>
      </c>
      <c r="AP20" s="68">
        <f ca="1">+'TUSD BE'!$T$20+'TUSD BE'!$AB$20+'TUSD BE'!$AD$20+'TUSD BE'!$AL$20</f>
        <v>1241.8759454361273</v>
      </c>
      <c r="AQ20" s="9" t="str">
        <f t="shared" si="0"/>
        <v>B1</v>
      </c>
      <c r="AR20" s="9" t="str">
        <f t="shared" si="1"/>
        <v>Branca</v>
      </c>
      <c r="AS20" s="9" t="str">
        <f t="shared" si="2"/>
        <v>Residencial</v>
      </c>
      <c r="AT20" s="9" t="str">
        <f t="shared" si="3"/>
        <v>Residencial</v>
      </c>
      <c r="AU20" s="9" t="str">
        <f t="shared" si="4"/>
        <v>Não se aplica</v>
      </c>
      <c r="AV20" s="9">
        <f t="shared" si="5"/>
        <v>1</v>
      </c>
      <c r="AW20" s="9">
        <f ca="1">TarifaMedia!$G$20</f>
        <v>0</v>
      </c>
      <c r="AX20" s="15">
        <f ca="1">'TUSD BE'!$AM20+'TUSD BF'!$AM20+'TUSD CVA'!$AM20</f>
        <v>1081.4828785686461</v>
      </c>
      <c r="AY20" s="9">
        <v>871.05</v>
      </c>
      <c r="AZ20" s="9">
        <f t="shared" ca="1" si="6"/>
        <v>0</v>
      </c>
      <c r="BC20" s="53" t="s">
        <v>1275</v>
      </c>
    </row>
    <row r="21" spans="1:55" ht="11.25" customHeight="1" x14ac:dyDescent="0.3">
      <c r="A21" s="132"/>
      <c r="B21" s="132"/>
      <c r="C21" s="132"/>
      <c r="D21" s="132"/>
      <c r="E21" s="132"/>
      <c r="F21" s="132"/>
      <c r="G21" s="66" t="s">
        <v>93</v>
      </c>
      <c r="H21" s="66" t="s">
        <v>76</v>
      </c>
      <c r="I21" s="66">
        <f>'MERCADO TUSD'!$U$18</f>
        <v>0.46</v>
      </c>
      <c r="J21" s="15"/>
      <c r="L21" s="61">
        <f>'TUSD BE'!$L$21*'TUSD BE'!$L$61</f>
        <v>-9.0258987104960456E-2</v>
      </c>
      <c r="M21" s="61">
        <f>'TUSD BE'!$M$21*'TUSD BE'!$M$61</f>
        <v>-1.9491624390069004E-2</v>
      </c>
      <c r="N21" s="61">
        <f ca="1">'TUSD BE'!$N$21*'TUSD BE'!$N$61</f>
        <v>-5.27359968196843E-5</v>
      </c>
      <c r="O21" s="61">
        <f>'TUSD BE'!$O$21*'TUSD BE'!$O$61</f>
        <v>0</v>
      </c>
      <c r="P21" s="61">
        <f>'TUSD BE'!$P$21*'TUSD BE'!$P$61</f>
        <v>0</v>
      </c>
      <c r="Q21" s="61">
        <f>'TUSD BE'!$Q$21*'TUSD BE'!$Q$61</f>
        <v>-0.9531040471094272</v>
      </c>
      <c r="R21" s="61">
        <f>'TUSD BE'!$R$21*'TUSD BE'!$R$61</f>
        <v>-0.1436055413628014</v>
      </c>
      <c r="S21" s="61">
        <f>'TUSD BE'!$R$21*'TUSD BE'!$S$61</f>
        <v>0</v>
      </c>
      <c r="T21" s="61">
        <f ca="1">SUM($L$21:$S$21)</f>
        <v>-1.2065129359640778</v>
      </c>
      <c r="U21" s="61">
        <f>'TUSD BE'!$U$21*'TUSD BE'!$U$61</f>
        <v>0</v>
      </c>
      <c r="V21" s="61">
        <f>'TUSD BE'!$V$21*'TUSD BE'!$V$61</f>
        <v>0</v>
      </c>
      <c r="W21" s="61">
        <f>'TUSD BE'!$W$21*'TUSD BE'!$W$61</f>
        <v>0</v>
      </c>
      <c r="X21" s="61">
        <f>'TUSD BE'!$X$21*'TUSD BE'!$X$61</f>
        <v>0</v>
      </c>
      <c r="Y21" s="61">
        <f>'TUSD BE'!$Y$21*'TUSD BE'!$Y$61</f>
        <v>-47.729138587601923</v>
      </c>
      <c r="Z21" s="61">
        <f>'TUSD BE'!$Z$21*'TUSD BE'!$Z$61</f>
        <v>0</v>
      </c>
      <c r="AA21" s="61">
        <f>'TUSD BE'!$AA$21*'TUSD BE'!$AA$61</f>
        <v>0</v>
      </c>
      <c r="AB21" s="61">
        <f>SUM($U$21:$AA$21)</f>
        <v>-47.729138587601923</v>
      </c>
      <c r="AC21" s="61">
        <f>'TUSD BE'!$AC$21*'TUSD BE'!$AC$61</f>
        <v>35.659286594428792</v>
      </c>
      <c r="AD21" s="61">
        <f>SUM($AC$21:$AC$21)</f>
        <v>35.659286594428792</v>
      </c>
      <c r="AE21" s="61">
        <f ca="1">$AO$21*$AO$58</f>
        <v>-97.778517708601072</v>
      </c>
      <c r="AF21" s="61">
        <f ca="1">$AP$21*$AP$58</f>
        <v>0</v>
      </c>
      <c r="AG21" s="61">
        <f ca="1">SUM($AE$21:$AF$21)</f>
        <v>-97.778517708601072</v>
      </c>
      <c r="AH21" s="61">
        <f>'TUSD BE'!$AH$21*'TUSD BE'!$AH$61</f>
        <v>-3.3489723642270079</v>
      </c>
      <c r="AI21" s="61">
        <f>'TUSD BE'!$AI$21*'TUSD BE'!$AI$61</f>
        <v>-3.4250661326898323E-2</v>
      </c>
      <c r="AJ21" s="61">
        <f ca="1">'TUSD BE'!$AJ$21*'TUSD BE'!$AJ$61</f>
        <v>-0.12589516163518874</v>
      </c>
      <c r="AK21" s="61">
        <f ca="1">'TUSD BE'!$AK$21*'TUSD BE'!$AK$61</f>
        <v>4.4334202298329732E-2</v>
      </c>
      <c r="AL21" s="61">
        <f ca="1">SUM($AH$21:$AK$21)</f>
        <v>-3.4647839848907651</v>
      </c>
      <c r="AM21" s="61">
        <f ca="1">SUMIF($L$4:$AL$4,"SUBTOTAL",$L$21:$AL$21)+AZ21</f>
        <v>-114.51966662262905</v>
      </c>
      <c r="AO21" s="68">
        <f ca="1">+'TUSD BE'!$T$21+'TUSD BE'!$AB$21+'TUSD BE'!$AD$21+'TUSD BE'!$AL$21</f>
        <v>798.20435830835038</v>
      </c>
      <c r="AP21" s="68">
        <f ca="1">+'TUSD BE'!$T$21+'TUSD BE'!$AB$21+'TUSD BE'!$AD$21+'TUSD BE'!$AL$21</f>
        <v>798.20435830835038</v>
      </c>
      <c r="AQ21" s="9" t="str">
        <f t="shared" si="0"/>
        <v>B1</v>
      </c>
      <c r="AR21" s="9" t="str">
        <f t="shared" si="1"/>
        <v>Branca</v>
      </c>
      <c r="AS21" s="9" t="str">
        <f t="shared" si="2"/>
        <v>Residencial</v>
      </c>
      <c r="AT21" s="9" t="str">
        <f t="shared" si="3"/>
        <v>Residencial</v>
      </c>
      <c r="AU21" s="9" t="str">
        <f t="shared" si="4"/>
        <v>Não se aplica</v>
      </c>
      <c r="AV21" s="9">
        <f t="shared" si="5"/>
        <v>1</v>
      </c>
      <c r="AW21" s="9">
        <f ca="1">TarifaMedia!$G$20</f>
        <v>0</v>
      </c>
      <c r="AX21" s="15">
        <f ca="1">'TUSD BE'!$AM21+'TUSD BF'!$AM21+'TUSD CVA'!$AM21</f>
        <v>700.20680179490989</v>
      </c>
      <c r="AY21" s="9">
        <v>582.04</v>
      </c>
      <c r="AZ21" s="9">
        <f t="shared" ca="1" si="6"/>
        <v>0</v>
      </c>
      <c r="BC21" s="53" t="s">
        <v>1276</v>
      </c>
    </row>
    <row r="22" spans="1:55" ht="11.25" customHeight="1" x14ac:dyDescent="0.3">
      <c r="A22" s="132"/>
      <c r="B22" s="132"/>
      <c r="C22" s="132"/>
      <c r="D22" s="132"/>
      <c r="E22" s="132"/>
      <c r="F22" s="132"/>
      <c r="G22" s="66" t="s">
        <v>78</v>
      </c>
      <c r="H22" s="66" t="s">
        <v>76</v>
      </c>
      <c r="I22" s="66">
        <f>'MERCADO TUSD'!$U$19</f>
        <v>5.6850000000000005</v>
      </c>
      <c r="J22" s="15"/>
      <c r="L22" s="61">
        <f>'TUSD BE'!$L$22*'TUSD BE'!$L$61</f>
        <v>-9.0258987104960456E-2</v>
      </c>
      <c r="M22" s="61">
        <f>'TUSD BE'!$M$22*'TUSD BE'!$M$61</f>
        <v>-1.9491624390069004E-2</v>
      </c>
      <c r="N22" s="61">
        <f ca="1">'TUSD BE'!$N$22*'TUSD BE'!$N$61</f>
        <v>-2.1120584307812985E-5</v>
      </c>
      <c r="O22" s="61">
        <f>'TUSD BE'!$O$22*'TUSD BE'!$O$61</f>
        <v>0</v>
      </c>
      <c r="P22" s="61">
        <f>'TUSD BE'!$P$22*'TUSD BE'!$P$61</f>
        <v>0</v>
      </c>
      <c r="Q22" s="61">
        <f>'TUSD BE'!$Q$22*'TUSD BE'!$Q$61</f>
        <v>-0.9531040471094272</v>
      </c>
      <c r="R22" s="61">
        <f>'TUSD BE'!$R$22*'TUSD BE'!$R$61</f>
        <v>-0.1436055413628014</v>
      </c>
      <c r="S22" s="61">
        <f>'TUSD BE'!$R$22*'TUSD BE'!$S$61</f>
        <v>0</v>
      </c>
      <c r="T22" s="61">
        <f ca="1">SUM($L$22:$S$22)</f>
        <v>-1.2064813205515659</v>
      </c>
      <c r="U22" s="61">
        <f>'TUSD BE'!$U$22*'TUSD BE'!$U$61</f>
        <v>0</v>
      </c>
      <c r="V22" s="61">
        <f>'TUSD BE'!$V$22*'TUSD BE'!$V$61</f>
        <v>0</v>
      </c>
      <c r="W22" s="61">
        <f>'TUSD BE'!$W$22*'TUSD BE'!$W$61</f>
        <v>0</v>
      </c>
      <c r="X22" s="61">
        <f>'TUSD BE'!$X$22*'TUSD BE'!$X$61</f>
        <v>0</v>
      </c>
      <c r="Y22" s="61">
        <f>'TUSD BE'!$Y$22*'TUSD BE'!$Y$61</f>
        <v>-15.909706584026488</v>
      </c>
      <c r="Z22" s="61">
        <f>'TUSD BE'!$Z$22*'TUSD BE'!$Z$61</f>
        <v>0</v>
      </c>
      <c r="AA22" s="61">
        <f>'TUSD BE'!$AA$22*'TUSD BE'!$AA$61</f>
        <v>0</v>
      </c>
      <c r="AB22" s="61">
        <f>SUM($U$22:$AA$22)</f>
        <v>-15.909706584026488</v>
      </c>
      <c r="AC22" s="61">
        <f>'TUSD BE'!$AC$22*'TUSD BE'!$AC$61</f>
        <v>11.886425493256057</v>
      </c>
      <c r="AD22" s="61">
        <f>SUM($AC$22:$AC$22)</f>
        <v>11.886425493256057</v>
      </c>
      <c r="AE22" s="61">
        <f ca="1">$AO$22*$AO$58</f>
        <v>-43.429577530226247</v>
      </c>
      <c r="AF22" s="61">
        <f ca="1">$AP$22*$AP$58</f>
        <v>0</v>
      </c>
      <c r="AG22" s="61">
        <f ca="1">SUM($AE$22:$AF$22)</f>
        <v>-43.429577530226247</v>
      </c>
      <c r="AH22" s="61">
        <f>'TUSD BE'!$AH$22*'TUSD BE'!$AH$61</f>
        <v>-3.3489723642270079</v>
      </c>
      <c r="AI22" s="61">
        <f>'TUSD BE'!$AI$22*'TUSD BE'!$AI$61</f>
        <v>-3.4250661326898323E-2</v>
      </c>
      <c r="AJ22" s="61">
        <f ca="1">'TUSD BE'!$AJ$22*'TUSD BE'!$AJ$61</f>
        <v>-0.12589516163518874</v>
      </c>
      <c r="AK22" s="61">
        <f ca="1">'TUSD BE'!$AK$22*'TUSD BE'!$AK$61</f>
        <v>4.4334202298329732E-2</v>
      </c>
      <c r="AL22" s="61">
        <f ca="1">SUM($AH$22:$AK$22)</f>
        <v>-3.4647839848907651</v>
      </c>
      <c r="AM22" s="61">
        <f ca="1">SUMIF($L$4:$AL$4,"SUBTOTAL",$L$22:$AL$22)+AZ22</f>
        <v>-52.124123926439012</v>
      </c>
      <c r="AO22" s="68">
        <f ca="1">+'TUSD BE'!$T$22+'TUSD BE'!$AB$22+'TUSD BE'!$AD$22+'TUSD BE'!$AL$22</f>
        <v>354.53266092074983</v>
      </c>
      <c r="AP22" s="68">
        <f ca="1">+'TUSD BE'!$T$22+'TUSD BE'!$AB$22+'TUSD BE'!$AD$22+'TUSD BE'!$AL$22</f>
        <v>354.53266092074983</v>
      </c>
      <c r="AQ22" s="9" t="str">
        <f t="shared" si="0"/>
        <v>B1</v>
      </c>
      <c r="AR22" s="9" t="str">
        <f t="shared" si="1"/>
        <v>Branca</v>
      </c>
      <c r="AS22" s="9" t="str">
        <f t="shared" si="2"/>
        <v>Residencial</v>
      </c>
      <c r="AT22" s="9" t="str">
        <f t="shared" si="3"/>
        <v>Residencial</v>
      </c>
      <c r="AU22" s="9" t="str">
        <f t="shared" si="4"/>
        <v>Não se aplica</v>
      </c>
      <c r="AV22" s="9">
        <f t="shared" si="5"/>
        <v>1</v>
      </c>
      <c r="AW22" s="9">
        <f ca="1">TarifaMedia!$G$20</f>
        <v>0</v>
      </c>
      <c r="AX22" s="15">
        <f ca="1">'TUSD BE'!$AM22+'TUSD BF'!$AM22+'TUSD CVA'!$AM22</f>
        <v>318.93064710349933</v>
      </c>
      <c r="AY22" s="9">
        <v>293.04000000000002</v>
      </c>
      <c r="AZ22" s="9">
        <f t="shared" ca="1" si="6"/>
        <v>0</v>
      </c>
      <c r="BC22" s="53" t="s">
        <v>1277</v>
      </c>
    </row>
    <row r="23" spans="1:55" ht="11.25" customHeight="1" x14ac:dyDescent="0.3">
      <c r="A23" s="132"/>
      <c r="B23" s="132" t="s">
        <v>23</v>
      </c>
      <c r="C23" s="132" t="s">
        <v>24</v>
      </c>
      <c r="D23" s="65" t="s">
        <v>24</v>
      </c>
      <c r="E23" s="65" t="s">
        <v>25</v>
      </c>
      <c r="F23" s="65" t="s">
        <v>25</v>
      </c>
      <c r="G23" s="66" t="s">
        <v>81</v>
      </c>
      <c r="H23" s="66" t="s">
        <v>76</v>
      </c>
      <c r="I23" s="66">
        <f>'MERCADO TUSD'!$U$20</f>
        <v>20470.671000000002</v>
      </c>
      <c r="J23" s="15"/>
      <c r="L23" s="61">
        <f>'TUSD BE'!$L$23*'TUSD BE'!$L$61</f>
        <v>-9.0258987104960456E-2</v>
      </c>
      <c r="M23" s="61">
        <f>'TUSD BE'!$M$23*'TUSD BE'!$M$61</f>
        <v>-1.9491624390069004E-2</v>
      </c>
      <c r="N23" s="61">
        <f ca="1">'TUSD BE'!$N$23*'TUSD BE'!$N$61</f>
        <v>-3.1659055145103425E-5</v>
      </c>
      <c r="O23" s="61">
        <f>'TUSD BE'!$O$23*'TUSD BE'!$O$61</f>
        <v>0</v>
      </c>
      <c r="P23" s="61">
        <f>'TUSD BE'!$P$23*'TUSD BE'!$P$61</f>
        <v>0</v>
      </c>
      <c r="Q23" s="61">
        <f>'TUSD BE'!$Q$23*'TUSD BE'!$Q$61</f>
        <v>-0.9531040471094272</v>
      </c>
      <c r="R23" s="61">
        <f>'TUSD BE'!$R$23*'TUSD BE'!$R$61</f>
        <v>-0.1436055413628014</v>
      </c>
      <c r="S23" s="61">
        <f>'TUSD BE'!$R$23*'TUSD BE'!$S$61</f>
        <v>0</v>
      </c>
      <c r="T23" s="61">
        <f ca="1">SUM($L$23:$S$23)</f>
        <v>-1.2064918590224032</v>
      </c>
      <c r="U23" s="61">
        <f>'TUSD BE'!$U$23*'TUSD BE'!$U$61</f>
        <v>0</v>
      </c>
      <c r="V23" s="61">
        <f>'TUSD BE'!$V$23*'TUSD BE'!$V$61</f>
        <v>0</v>
      </c>
      <c r="W23" s="61">
        <f>'TUSD BE'!$W$23*'TUSD BE'!$W$61</f>
        <v>0</v>
      </c>
      <c r="X23" s="61">
        <f>'TUSD BE'!$X$23*'TUSD BE'!$X$61</f>
        <v>0</v>
      </c>
      <c r="Y23" s="61">
        <f>'TUSD BE'!$Y$23*'TUSD BE'!$Y$61</f>
        <v>-26.516177640044145</v>
      </c>
      <c r="Z23" s="61">
        <f>'TUSD BE'!$Z$23*'TUSD BE'!$Z$61</f>
        <v>0</v>
      </c>
      <c r="AA23" s="61">
        <f>'TUSD BE'!$AA$23*'TUSD BE'!$AA$61</f>
        <v>0</v>
      </c>
      <c r="AB23" s="61">
        <f>SUM($U$23:$AA$23)</f>
        <v>-26.516177640044145</v>
      </c>
      <c r="AC23" s="61">
        <f>'TUSD BE'!$AC$23*'TUSD BE'!$AC$61</f>
        <v>19.810715898533843</v>
      </c>
      <c r="AD23" s="61">
        <f>SUM($AC$23:$AC$23)</f>
        <v>19.810715898533843</v>
      </c>
      <c r="AE23" s="61">
        <f ca="1">$AO$23*$AO$58</f>
        <v>-61.545890892764554</v>
      </c>
      <c r="AF23" s="61">
        <f ca="1">$AP$23*$AP$58</f>
        <v>0</v>
      </c>
      <c r="AG23" s="61">
        <f ca="1">SUM($AE$23:$AF$23)</f>
        <v>-61.545890892764554</v>
      </c>
      <c r="AH23" s="61">
        <f>'TUSD BE'!$AH$23*'TUSD BE'!$AH$61</f>
        <v>-3.3489723642270079</v>
      </c>
      <c r="AI23" s="61">
        <f>'TUSD BE'!$AI$23*'TUSD BE'!$AI$61</f>
        <v>-3.4250661326898323E-2</v>
      </c>
      <c r="AJ23" s="61">
        <f ca="1">'TUSD BE'!$AJ$23*'TUSD BE'!$AJ$61</f>
        <v>-0.12589516163518874</v>
      </c>
      <c r="AK23" s="61">
        <f ca="1">'TUSD BE'!$AK$23*'TUSD BE'!$AK$61</f>
        <v>4.4334202298329732E-2</v>
      </c>
      <c r="AL23" s="61">
        <f ca="1">SUM($AH$23:$AK$23)</f>
        <v>-3.4647839848907651</v>
      </c>
      <c r="AM23" s="61">
        <f ca="1">SUMIF($L$4:$AL$4,"SUBTOTAL",$L$23:$AL$23)+AZ23</f>
        <v>-72.922628478188017</v>
      </c>
      <c r="AO23" s="68">
        <f ca="1">+'TUSD BE'!$T$23+'TUSD BE'!$AB$23+'TUSD BE'!$AD$23+'TUSD BE'!$AL$23</f>
        <v>502.42322646964709</v>
      </c>
      <c r="AP23" s="68">
        <f ca="1">+'TUSD BE'!$T$23+'TUSD BE'!$AB$23+'TUSD BE'!$AD$23+'TUSD BE'!$AL$23</f>
        <v>502.42322646964709</v>
      </c>
      <c r="AQ23" s="9" t="str">
        <f t="shared" si="0"/>
        <v>B1</v>
      </c>
      <c r="AR23" s="9" t="str">
        <f t="shared" si="1"/>
        <v>Convencional</v>
      </c>
      <c r="AS23" s="9" t="str">
        <f t="shared" si="2"/>
        <v>Residencial</v>
      </c>
      <c r="AT23" s="9" t="str">
        <f t="shared" si="3"/>
        <v>Residencial</v>
      </c>
      <c r="AU23" s="9" t="str">
        <f t="shared" si="4"/>
        <v>Não se aplica</v>
      </c>
      <c r="AV23" s="9">
        <f t="shared" si="5"/>
        <v>1</v>
      </c>
      <c r="AW23" s="9">
        <f ca="1">TarifaMedia!$G$20</f>
        <v>0</v>
      </c>
      <c r="AX23" s="15">
        <f ca="1">'TUSD BE'!$AM23+'TUSD BF'!$AM23+'TUSD CVA'!$AM23</f>
        <v>446.02270810064761</v>
      </c>
      <c r="AY23" s="9">
        <v>437.54</v>
      </c>
      <c r="AZ23" s="9">
        <f t="shared" ca="1" si="6"/>
        <v>0</v>
      </c>
      <c r="BC23" s="53" t="s">
        <v>1278</v>
      </c>
    </row>
    <row r="24" spans="1:55" ht="11.25" customHeight="1" x14ac:dyDescent="0.3">
      <c r="A24" s="132"/>
      <c r="B24" s="132"/>
      <c r="C24" s="132"/>
      <c r="D24" s="65" t="s">
        <v>29</v>
      </c>
      <c r="E24" s="65" t="s">
        <v>25</v>
      </c>
      <c r="F24" s="65" t="s">
        <v>25</v>
      </c>
      <c r="G24" s="66" t="s">
        <v>81</v>
      </c>
      <c r="H24" s="66" t="s">
        <v>76</v>
      </c>
      <c r="I24" s="66">
        <f>'MERCADO TUSD'!$U$21</f>
        <v>425.12200000000001</v>
      </c>
      <c r="J24" s="15"/>
      <c r="L24" s="61">
        <f>'TUSD BE'!$L$24*'TUSD BE'!$L$61</f>
        <v>0</v>
      </c>
      <c r="M24" s="61">
        <f>'TUSD BE'!$M$24*'TUSD BE'!$M$61</f>
        <v>-1.9491624390069004E-2</v>
      </c>
      <c r="N24" s="61">
        <f ca="1">'TUSD BE'!$N$24*'TUSD BE'!$N$61</f>
        <v>-3.158079274207458E-5</v>
      </c>
      <c r="O24" s="61">
        <f>'TUSD BE'!$O$24*'TUSD BE'!$O$61</f>
        <v>0</v>
      </c>
      <c r="P24" s="61">
        <f>'TUSD BE'!$P$24*'TUSD BE'!$P$61</f>
        <v>0</v>
      </c>
      <c r="Q24" s="61">
        <f>'TUSD BE'!$Q$24*'TUSD BE'!$Q$61</f>
        <v>0</v>
      </c>
      <c r="R24" s="61">
        <f>'TUSD BE'!$R$24*'TUSD BE'!$R$61</f>
        <v>0</v>
      </c>
      <c r="S24" s="61">
        <f>'TUSD BE'!$R$24*'TUSD BE'!$S$61</f>
        <v>0</v>
      </c>
      <c r="T24" s="61">
        <f ca="1">SUM($L$24:$S$24)</f>
        <v>-1.9523205182811077E-2</v>
      </c>
      <c r="U24" s="61">
        <f>'TUSD BE'!$U$24*'TUSD BE'!$U$61</f>
        <v>0</v>
      </c>
      <c r="V24" s="61">
        <f>'TUSD BE'!$V$24*'TUSD BE'!$V$61</f>
        <v>0</v>
      </c>
      <c r="W24" s="61">
        <f>'TUSD BE'!$W$24*'TUSD BE'!$W$61</f>
        <v>0</v>
      </c>
      <c r="X24" s="61">
        <f>'TUSD BE'!$X$24*'TUSD BE'!$X$61</f>
        <v>0</v>
      </c>
      <c r="Y24" s="61">
        <f>'TUSD BE'!$Y$24*'TUSD BE'!$Y$61</f>
        <v>-26.516177640044145</v>
      </c>
      <c r="Z24" s="61">
        <f>'TUSD BE'!$Z$24*'TUSD BE'!$Z$61</f>
        <v>0</v>
      </c>
      <c r="AA24" s="61">
        <f>'TUSD BE'!$AA$24*'TUSD BE'!$AA$61</f>
        <v>0</v>
      </c>
      <c r="AB24" s="61">
        <f>SUM($U$24:$AA$24)</f>
        <v>-26.516177640044145</v>
      </c>
      <c r="AC24" s="61">
        <f>'TUSD BE'!$AC$24*'TUSD BE'!$AC$61</f>
        <v>19.810715898533843</v>
      </c>
      <c r="AD24" s="61">
        <f>SUM($AC$24:$AC$24)</f>
        <v>19.810715898533843</v>
      </c>
      <c r="AE24" s="61">
        <f ca="1">$AO$24*$AO$58</f>
        <v>-48.411567279592681</v>
      </c>
      <c r="AF24" s="61">
        <f ca="1">$AP$24*$AP$58</f>
        <v>0</v>
      </c>
      <c r="AG24" s="61">
        <f ca="1">SUM($AE$24:$AF$24)</f>
        <v>-48.411567279592681</v>
      </c>
      <c r="AH24" s="61">
        <f>'TUSD BE'!$AH$24*'TUSD BE'!$AH$61</f>
        <v>-3.3489723642270079</v>
      </c>
      <c r="AI24" s="61">
        <f>'TUSD BE'!$AI$24*'TUSD BE'!$AI$61</f>
        <v>-3.4250661326898323E-2</v>
      </c>
      <c r="AJ24" s="61">
        <f ca="1">'TUSD BE'!$AJ$24*'TUSD BE'!$AJ$61</f>
        <v>-0.12589516163518874</v>
      </c>
      <c r="AK24" s="61">
        <f ca="1">'TUSD BE'!$AK$24*'TUSD BE'!$AK$61</f>
        <v>4.4334202298329732E-2</v>
      </c>
      <c r="AL24" s="61">
        <f ca="1">SUM($AH$24:$AK$24)</f>
        <v>-3.4647839848907651</v>
      </c>
      <c r="AM24" s="61">
        <f ca="1">SUMIF($L$4:$AL$4,"SUBTOTAL",$L$24:$AL$24)+AZ24</f>
        <v>-58.601336211176559</v>
      </c>
      <c r="AO24" s="68">
        <f ca="1">+'TUSD BE'!$T$24+'TUSD BE'!$AB$24+'TUSD BE'!$AD$24+'TUSD BE'!$AL$24</f>
        <v>395.2025956281156</v>
      </c>
      <c r="AP24" s="68">
        <f ca="1">+'TUSD BE'!$T$24+'TUSD BE'!$AB$24+'TUSD BE'!$AD$24+'TUSD BE'!$AL$24</f>
        <v>395.2025956281156</v>
      </c>
      <c r="AQ24" s="9" t="str">
        <f t="shared" si="0"/>
        <v>B1</v>
      </c>
      <c r="AR24" s="9" t="str">
        <f t="shared" si="1"/>
        <v>Convencional</v>
      </c>
      <c r="AS24" s="9" t="str">
        <f t="shared" si="2"/>
        <v>Residencial</v>
      </c>
      <c r="AT24" s="9" t="str">
        <f t="shared" si="3"/>
        <v>Residencial baixa renda – faixa 01</v>
      </c>
      <c r="AU24" s="9" t="str">
        <f t="shared" si="4"/>
        <v>Não se aplica</v>
      </c>
      <c r="AV24" s="9">
        <f t="shared" si="5"/>
        <v>1</v>
      </c>
      <c r="AW24" s="9">
        <f ca="1">TarifaMedia!$G$20</f>
        <v>0</v>
      </c>
      <c r="AX24" s="15">
        <f ca="1">'TUSD BE'!$AM24+'TUSD BF'!$AM24+'TUSD CVA'!$AM24</f>
        <v>338.99741462283794</v>
      </c>
      <c r="AY24" s="9">
        <v>322.51</v>
      </c>
      <c r="AZ24" s="9">
        <f t="shared" ca="1" si="6"/>
        <v>0</v>
      </c>
      <c r="BC24" s="53" t="s">
        <v>1279</v>
      </c>
    </row>
    <row r="25" spans="1:55" ht="11.25" customHeight="1" x14ac:dyDescent="0.3">
      <c r="A25" s="132"/>
      <c r="B25" s="132"/>
      <c r="C25" s="132"/>
      <c r="D25" s="65" t="s">
        <v>30</v>
      </c>
      <c r="E25" s="65" t="s">
        <v>25</v>
      </c>
      <c r="F25" s="65" t="s">
        <v>25</v>
      </c>
      <c r="G25" s="66" t="s">
        <v>81</v>
      </c>
      <c r="H25" s="66" t="s">
        <v>76</v>
      </c>
      <c r="I25" s="66">
        <f>'MERCADO TUSD'!$U$22</f>
        <v>876.85199999999986</v>
      </c>
      <c r="J25" s="15"/>
      <c r="L25" s="61">
        <f>'TUSD BE'!$L$25*'TUSD BE'!$L$61</f>
        <v>0</v>
      </c>
      <c r="M25" s="61">
        <f>'TUSD BE'!$M$25*'TUSD BE'!$M$61</f>
        <v>-1.9491624390069004E-2</v>
      </c>
      <c r="N25" s="61">
        <f ca="1">'TUSD BE'!$N$25*'TUSD BE'!$N$61</f>
        <v>-3.158079274207458E-5</v>
      </c>
      <c r="O25" s="61">
        <f>'TUSD BE'!$O$25*'TUSD BE'!$O$61</f>
        <v>0</v>
      </c>
      <c r="P25" s="61">
        <f>'TUSD BE'!$P$25*'TUSD BE'!$P$61</f>
        <v>0</v>
      </c>
      <c r="Q25" s="61">
        <f>'TUSD BE'!$Q$25*'TUSD BE'!$Q$61</f>
        <v>0</v>
      </c>
      <c r="R25" s="61">
        <f>'TUSD BE'!$R$25*'TUSD BE'!$R$61</f>
        <v>0</v>
      </c>
      <c r="S25" s="61">
        <f>'TUSD BE'!$R$25*'TUSD BE'!$S$61</f>
        <v>0</v>
      </c>
      <c r="T25" s="61">
        <f ca="1">SUM($L$25:$S$25)</f>
        <v>-1.9523205182811077E-2</v>
      </c>
      <c r="U25" s="61">
        <f>'TUSD BE'!$U$25*'TUSD BE'!$U$61</f>
        <v>0</v>
      </c>
      <c r="V25" s="61">
        <f>'TUSD BE'!$V$25*'TUSD BE'!$V$61</f>
        <v>0</v>
      </c>
      <c r="W25" s="61">
        <f>'TUSD BE'!$W$25*'TUSD BE'!$W$61</f>
        <v>0</v>
      </c>
      <c r="X25" s="61">
        <f>'TUSD BE'!$X$25*'TUSD BE'!$X$61</f>
        <v>0</v>
      </c>
      <c r="Y25" s="61">
        <f>'TUSD BE'!$Y$25*'TUSD BE'!$Y$61</f>
        <v>-26.516177640044145</v>
      </c>
      <c r="Z25" s="61">
        <f>'TUSD BE'!$Z$25*'TUSD BE'!$Z$61</f>
        <v>0</v>
      </c>
      <c r="AA25" s="61">
        <f>'TUSD BE'!$AA$25*'TUSD BE'!$AA$61</f>
        <v>0</v>
      </c>
      <c r="AB25" s="61">
        <f>SUM($U$25:$AA$25)</f>
        <v>-26.516177640044145</v>
      </c>
      <c r="AC25" s="61">
        <f>'TUSD BE'!$AC$25*'TUSD BE'!$AC$61</f>
        <v>19.810715898533843</v>
      </c>
      <c r="AD25" s="61">
        <f>SUM($AC$25:$AC$25)</f>
        <v>19.810715898533843</v>
      </c>
      <c r="AE25" s="61">
        <f ca="1">$AO$25*$AO$58</f>
        <v>-48.411567279592681</v>
      </c>
      <c r="AF25" s="61">
        <f ca="1">$AP$25*$AP$58</f>
        <v>0</v>
      </c>
      <c r="AG25" s="61">
        <f ca="1">SUM($AE$25:$AF$25)</f>
        <v>-48.411567279592681</v>
      </c>
      <c r="AH25" s="61">
        <f>'TUSD BE'!$AH$25*'TUSD BE'!$AH$61</f>
        <v>-3.3489723642270079</v>
      </c>
      <c r="AI25" s="61">
        <f>'TUSD BE'!$AI$25*'TUSD BE'!$AI$61</f>
        <v>-3.4250661326898323E-2</v>
      </c>
      <c r="AJ25" s="61">
        <f ca="1">'TUSD BE'!$AJ$25*'TUSD BE'!$AJ$61</f>
        <v>-0.12589516163518874</v>
      </c>
      <c r="AK25" s="61">
        <f ca="1">'TUSD BE'!$AK$25*'TUSD BE'!$AK$61</f>
        <v>4.4334202298329732E-2</v>
      </c>
      <c r="AL25" s="61">
        <f ca="1">SUM($AH$25:$AK$25)</f>
        <v>-3.4647839848907651</v>
      </c>
      <c r="AM25" s="61">
        <f ca="1">SUMIF($L$4:$AL$4,"SUBTOTAL",$L$25:$AL$25)+AZ25</f>
        <v>-58.601336211176559</v>
      </c>
      <c r="AO25" s="68">
        <f ca="1">+'TUSD BE'!$T$25+'TUSD BE'!$AB$25+'TUSD BE'!$AD$25+'TUSD BE'!$AL$25</f>
        <v>395.2025956281156</v>
      </c>
      <c r="AP25" s="68">
        <f ca="1">+'TUSD BE'!$T$25+'TUSD BE'!$AB$25+'TUSD BE'!$AD$25+'TUSD BE'!$AL$25</f>
        <v>395.2025956281156</v>
      </c>
      <c r="AQ25" s="9" t="str">
        <f t="shared" si="0"/>
        <v>B1</v>
      </c>
      <c r="AR25" s="9" t="str">
        <f t="shared" si="1"/>
        <v>Convencional</v>
      </c>
      <c r="AS25" s="9" t="str">
        <f t="shared" si="2"/>
        <v>Residencial</v>
      </c>
      <c r="AT25" s="9" t="str">
        <f t="shared" si="3"/>
        <v>Residencial baixa renda – faixa 02</v>
      </c>
      <c r="AU25" s="9" t="str">
        <f t="shared" si="4"/>
        <v>Não se aplica</v>
      </c>
      <c r="AV25" s="9">
        <f t="shared" si="5"/>
        <v>1</v>
      </c>
      <c r="AW25" s="9">
        <f ca="1">TarifaMedia!$G$20</f>
        <v>0</v>
      </c>
      <c r="AX25" s="15">
        <f ca="1">'TUSD BE'!$AM25+'TUSD BF'!$AM25+'TUSD CVA'!$AM25</f>
        <v>338.99741462283794</v>
      </c>
      <c r="AY25" s="9">
        <v>322.51</v>
      </c>
      <c r="AZ25" s="9">
        <f t="shared" ca="1" si="6"/>
        <v>0</v>
      </c>
      <c r="BC25" s="53" t="s">
        <v>1279</v>
      </c>
    </row>
    <row r="26" spans="1:55" ht="11.25" customHeight="1" x14ac:dyDescent="0.3">
      <c r="A26" s="132"/>
      <c r="B26" s="132"/>
      <c r="C26" s="132"/>
      <c r="D26" s="65" t="s">
        <v>31</v>
      </c>
      <c r="E26" s="65" t="s">
        <v>25</v>
      </c>
      <c r="F26" s="65" t="s">
        <v>25</v>
      </c>
      <c r="G26" s="66" t="s">
        <v>81</v>
      </c>
      <c r="H26" s="66" t="s">
        <v>76</v>
      </c>
      <c r="I26" s="66">
        <f>'MERCADO TUSD'!$U$23</f>
        <v>876.00100000000009</v>
      </c>
      <c r="J26" s="15"/>
      <c r="L26" s="61">
        <f>'TUSD BE'!$L$26*'TUSD BE'!$L$61</f>
        <v>0</v>
      </c>
      <c r="M26" s="61">
        <f>'TUSD BE'!$M$26*'TUSD BE'!$M$61</f>
        <v>-1.9491624390069004E-2</v>
      </c>
      <c r="N26" s="61">
        <f ca="1">'TUSD BE'!$N$26*'TUSD BE'!$N$61</f>
        <v>-3.158079274207458E-5</v>
      </c>
      <c r="O26" s="61">
        <f>'TUSD BE'!$O$26*'TUSD BE'!$O$61</f>
        <v>0</v>
      </c>
      <c r="P26" s="61">
        <f>'TUSD BE'!$P$26*'TUSD BE'!$P$61</f>
        <v>0</v>
      </c>
      <c r="Q26" s="61">
        <f>'TUSD BE'!$Q$26*'TUSD BE'!$Q$61</f>
        <v>0</v>
      </c>
      <c r="R26" s="61">
        <f>'TUSD BE'!$R$26*'TUSD BE'!$R$61</f>
        <v>0</v>
      </c>
      <c r="S26" s="61">
        <f>'TUSD BE'!$R$26*'TUSD BE'!$S$61</f>
        <v>0</v>
      </c>
      <c r="T26" s="61">
        <f ca="1">SUM($L$26:$S$26)</f>
        <v>-1.9523205182811077E-2</v>
      </c>
      <c r="U26" s="61">
        <f>'TUSD BE'!$U$26*'TUSD BE'!$U$61</f>
        <v>0</v>
      </c>
      <c r="V26" s="61">
        <f>'TUSD BE'!$V$26*'TUSD BE'!$V$61</f>
        <v>0</v>
      </c>
      <c r="W26" s="61">
        <f>'TUSD BE'!$W$26*'TUSD BE'!$W$61</f>
        <v>0</v>
      </c>
      <c r="X26" s="61">
        <f>'TUSD BE'!$X$26*'TUSD BE'!$X$61</f>
        <v>0</v>
      </c>
      <c r="Y26" s="61">
        <f>'TUSD BE'!$Y$26*'TUSD BE'!$Y$61</f>
        <v>-26.516177640044145</v>
      </c>
      <c r="Z26" s="61">
        <f>'TUSD BE'!$Z$26*'TUSD BE'!$Z$61</f>
        <v>0</v>
      </c>
      <c r="AA26" s="61">
        <f>'TUSD BE'!$AA$26*'TUSD BE'!$AA$61</f>
        <v>0</v>
      </c>
      <c r="AB26" s="61">
        <f>SUM($U$26:$AA$26)</f>
        <v>-26.516177640044145</v>
      </c>
      <c r="AC26" s="61">
        <f>'TUSD BE'!$AC$26*'TUSD BE'!$AC$61</f>
        <v>19.810715898533843</v>
      </c>
      <c r="AD26" s="61">
        <f>SUM($AC$26:$AC$26)</f>
        <v>19.810715898533843</v>
      </c>
      <c r="AE26" s="61">
        <f ca="1">$AO$26*$AO$58</f>
        <v>-48.411567279592681</v>
      </c>
      <c r="AF26" s="61">
        <f ca="1">$AP$26*$AP$58</f>
        <v>0</v>
      </c>
      <c r="AG26" s="61">
        <f ca="1">SUM($AE$26:$AF$26)</f>
        <v>-48.411567279592681</v>
      </c>
      <c r="AH26" s="61">
        <f>'TUSD BE'!$AH$26*'TUSD BE'!$AH$61</f>
        <v>-3.3489723642270079</v>
      </c>
      <c r="AI26" s="61">
        <f>'TUSD BE'!$AI$26*'TUSD BE'!$AI$61</f>
        <v>-3.4250661326898323E-2</v>
      </c>
      <c r="AJ26" s="61">
        <f ca="1">'TUSD BE'!$AJ$26*'TUSD BE'!$AJ$61</f>
        <v>-0.12589516163518874</v>
      </c>
      <c r="AK26" s="61">
        <f ca="1">'TUSD BE'!$AK$26*'TUSD BE'!$AK$61</f>
        <v>4.4334202298329732E-2</v>
      </c>
      <c r="AL26" s="61">
        <f ca="1">SUM($AH$26:$AK$26)</f>
        <v>-3.4647839848907651</v>
      </c>
      <c r="AM26" s="61">
        <f ca="1">SUMIF($L$4:$AL$4,"SUBTOTAL",$L$26:$AL$26)+AZ26</f>
        <v>-58.601336211176559</v>
      </c>
      <c r="AO26" s="68">
        <f ca="1">+'TUSD BE'!$T$26+'TUSD BE'!$AB$26+'TUSD BE'!$AD$26+'TUSD BE'!$AL$26</f>
        <v>395.2025956281156</v>
      </c>
      <c r="AP26" s="68">
        <f ca="1">+'TUSD BE'!$T$26+'TUSD BE'!$AB$26+'TUSD BE'!$AD$26+'TUSD BE'!$AL$26</f>
        <v>395.2025956281156</v>
      </c>
      <c r="AQ26" s="9" t="str">
        <f t="shared" si="0"/>
        <v>B1</v>
      </c>
      <c r="AR26" s="9" t="str">
        <f t="shared" si="1"/>
        <v>Convencional</v>
      </c>
      <c r="AS26" s="9" t="str">
        <f t="shared" si="2"/>
        <v>Residencial</v>
      </c>
      <c r="AT26" s="9" t="str">
        <f t="shared" si="3"/>
        <v>Residencial baixa renda – faixa 03</v>
      </c>
      <c r="AU26" s="9" t="str">
        <f t="shared" si="4"/>
        <v>Não se aplica</v>
      </c>
      <c r="AV26" s="9">
        <f t="shared" si="5"/>
        <v>1</v>
      </c>
      <c r="AW26" s="9">
        <f ca="1">TarifaMedia!$G$20</f>
        <v>0</v>
      </c>
      <c r="AX26" s="15">
        <f ca="1">'TUSD BE'!$AM26+'TUSD BF'!$AM26+'TUSD CVA'!$AM26</f>
        <v>338.99741462283794</v>
      </c>
      <c r="AY26" s="9">
        <v>322.51</v>
      </c>
      <c r="AZ26" s="9">
        <f t="shared" ca="1" si="6"/>
        <v>0</v>
      </c>
      <c r="BC26" s="53" t="s">
        <v>1279</v>
      </c>
    </row>
    <row r="27" spans="1:55" ht="11.25" customHeight="1" x14ac:dyDescent="0.3">
      <c r="A27" s="132"/>
      <c r="B27" s="132"/>
      <c r="C27" s="132"/>
      <c r="D27" s="65" t="s">
        <v>32</v>
      </c>
      <c r="E27" s="65" t="s">
        <v>25</v>
      </c>
      <c r="F27" s="65" t="s">
        <v>25</v>
      </c>
      <c r="G27" s="66" t="s">
        <v>81</v>
      </c>
      <c r="H27" s="66" t="s">
        <v>76</v>
      </c>
      <c r="I27" s="66">
        <f>'MERCADO TUSD'!$U$24</f>
        <v>331.42999999999995</v>
      </c>
      <c r="J27" s="15"/>
      <c r="L27" s="61">
        <f>'TUSD BE'!$L$27*'TUSD BE'!$L$61</f>
        <v>0</v>
      </c>
      <c r="M27" s="61">
        <f>'TUSD BE'!$M$27*'TUSD BE'!$M$61</f>
        <v>-1.9491624390069004E-2</v>
      </c>
      <c r="N27" s="61">
        <f ca="1">'TUSD BE'!$N$27*'TUSD BE'!$N$61</f>
        <v>-3.158079274207458E-5</v>
      </c>
      <c r="O27" s="61">
        <f>'TUSD BE'!$O$27*'TUSD BE'!$O$61</f>
        <v>0</v>
      </c>
      <c r="P27" s="61">
        <f>'TUSD BE'!$P$27*'TUSD BE'!$P$61</f>
        <v>0</v>
      </c>
      <c r="Q27" s="61">
        <f>'TUSD BE'!$Q$27*'TUSD BE'!$Q$61</f>
        <v>0</v>
      </c>
      <c r="R27" s="61">
        <f>'TUSD BE'!$R$27*'TUSD BE'!$R$61</f>
        <v>0</v>
      </c>
      <c r="S27" s="61">
        <f>'TUSD BE'!$R$27*'TUSD BE'!$S$61</f>
        <v>0</v>
      </c>
      <c r="T27" s="61">
        <f ca="1">SUM($L$27:$S$27)</f>
        <v>-1.9523205182811077E-2</v>
      </c>
      <c r="U27" s="61">
        <f>'TUSD BE'!$U$27*'TUSD BE'!$U$61</f>
        <v>0</v>
      </c>
      <c r="V27" s="61">
        <f>'TUSD BE'!$V$27*'TUSD BE'!$V$61</f>
        <v>0</v>
      </c>
      <c r="W27" s="61">
        <f>'TUSD BE'!$W$27*'TUSD BE'!$W$61</f>
        <v>0</v>
      </c>
      <c r="X27" s="61">
        <f>'TUSD BE'!$X$27*'TUSD BE'!$X$61</f>
        <v>0</v>
      </c>
      <c r="Y27" s="61">
        <f>'TUSD BE'!$Y$27*'TUSD BE'!$Y$61</f>
        <v>-26.516177640044145</v>
      </c>
      <c r="Z27" s="61">
        <f>'TUSD BE'!$Z$27*'TUSD BE'!$Z$61</f>
        <v>0</v>
      </c>
      <c r="AA27" s="61">
        <f>'TUSD BE'!$AA$27*'TUSD BE'!$AA$61</f>
        <v>0</v>
      </c>
      <c r="AB27" s="61">
        <f>SUM($U$27:$AA$27)</f>
        <v>-26.516177640044145</v>
      </c>
      <c r="AC27" s="61">
        <f>'TUSD BE'!$AC$27*'TUSD BE'!$AC$61</f>
        <v>19.810715898533843</v>
      </c>
      <c r="AD27" s="61">
        <f>SUM($AC$27:$AC$27)</f>
        <v>19.810715898533843</v>
      </c>
      <c r="AE27" s="61">
        <f ca="1">$AO$27*$AO$58</f>
        <v>-48.411567279592681</v>
      </c>
      <c r="AF27" s="61">
        <f ca="1">$AP$27*$AP$58</f>
        <v>0</v>
      </c>
      <c r="AG27" s="61">
        <f ca="1">SUM($AE$27:$AF$27)</f>
        <v>-48.411567279592681</v>
      </c>
      <c r="AH27" s="61">
        <f>'TUSD BE'!$AH$27*'TUSD BE'!$AH$61</f>
        <v>-3.3489723642270079</v>
      </c>
      <c r="AI27" s="61">
        <f>'TUSD BE'!$AI$27*'TUSD BE'!$AI$61</f>
        <v>-3.4250661326898323E-2</v>
      </c>
      <c r="AJ27" s="61">
        <f ca="1">'TUSD BE'!$AJ$27*'TUSD BE'!$AJ$61</f>
        <v>-0.12589516163518874</v>
      </c>
      <c r="AK27" s="61">
        <f ca="1">'TUSD BE'!$AK$27*'TUSD BE'!$AK$61</f>
        <v>4.4334202298329732E-2</v>
      </c>
      <c r="AL27" s="61">
        <f ca="1">SUM($AH$27:$AK$27)</f>
        <v>-3.4647839848907651</v>
      </c>
      <c r="AM27" s="61">
        <f ca="1">SUMIF($L$4:$AL$4,"SUBTOTAL",$L$27:$AL$27)+AZ27</f>
        <v>-58.601336211176559</v>
      </c>
      <c r="AO27" s="68">
        <f ca="1">+'TUSD BE'!$T$27+'TUSD BE'!$AB$27+'TUSD BE'!$AD$27+'TUSD BE'!$AL$27</f>
        <v>395.2025956281156</v>
      </c>
      <c r="AP27" s="68">
        <f ca="1">+'TUSD BE'!$T$27+'TUSD BE'!$AB$27+'TUSD BE'!$AD$27+'TUSD BE'!$AL$27</f>
        <v>395.2025956281156</v>
      </c>
      <c r="AQ27" s="9" t="str">
        <f t="shared" si="0"/>
        <v>B1</v>
      </c>
      <c r="AR27" s="9" t="str">
        <f t="shared" si="1"/>
        <v>Convencional</v>
      </c>
      <c r="AS27" s="9" t="str">
        <f t="shared" si="2"/>
        <v>Residencial</v>
      </c>
      <c r="AT27" s="9" t="str">
        <f t="shared" si="3"/>
        <v>Residencial baixa renda – faixa 04</v>
      </c>
      <c r="AU27" s="9" t="str">
        <f t="shared" si="4"/>
        <v>Não se aplica</v>
      </c>
      <c r="AV27" s="9">
        <f t="shared" si="5"/>
        <v>1</v>
      </c>
      <c r="AW27" s="9">
        <f ca="1">TarifaMedia!$G$20</f>
        <v>0</v>
      </c>
      <c r="AX27" s="15">
        <f ca="1">'TUSD BE'!$AM27+'TUSD BF'!$AM27+'TUSD CVA'!$AM27</f>
        <v>338.99741462283794</v>
      </c>
      <c r="AY27" s="9">
        <v>322.51</v>
      </c>
      <c r="AZ27" s="9">
        <f t="shared" ca="1" si="6"/>
        <v>0</v>
      </c>
      <c r="BC27" s="53" t="s">
        <v>1279</v>
      </c>
    </row>
    <row r="28" spans="1:55" ht="11.25" customHeight="1" x14ac:dyDescent="0.3">
      <c r="A28" s="132"/>
      <c r="B28" s="132" t="s">
        <v>95</v>
      </c>
      <c r="C28" s="132" t="s">
        <v>24</v>
      </c>
      <c r="D28" s="65" t="s">
        <v>24</v>
      </c>
      <c r="E28" s="65" t="s">
        <v>25</v>
      </c>
      <c r="F28" s="65" t="s">
        <v>25</v>
      </c>
      <c r="G28" s="66" t="s">
        <v>81</v>
      </c>
      <c r="H28" s="66" t="s">
        <v>76</v>
      </c>
      <c r="I28" s="66">
        <f>'MERCADO TUSD'!$U$25</f>
        <v>0</v>
      </c>
      <c r="J28" s="15"/>
      <c r="L28" s="61">
        <f>'TUSD BE'!$L$28*'TUSD BE'!$L$61</f>
        <v>-9.0258987104960456E-2</v>
      </c>
      <c r="M28" s="61">
        <f>'TUSD BE'!$M$28*'TUSD BE'!$M$61</f>
        <v>-1.9491624390069004E-2</v>
      </c>
      <c r="N28" s="61">
        <f ca="1">'TUSD BE'!$N$28*'TUSD BE'!$N$61</f>
        <v>-3.1659055145103425E-5</v>
      </c>
      <c r="O28" s="61">
        <f>'TUSD BE'!$O$28*'TUSD BE'!$O$61</f>
        <v>0</v>
      </c>
      <c r="P28" s="61">
        <f>'TUSD BE'!$P$28*'TUSD BE'!$P$61</f>
        <v>0</v>
      </c>
      <c r="Q28" s="61">
        <f>'TUSD BE'!$Q$28*'TUSD BE'!$Q$61</f>
        <v>-0.9531040471094272</v>
      </c>
      <c r="R28" s="61">
        <f>'TUSD BE'!$R$28*'TUSD BE'!$R$61</f>
        <v>-0.1436055413628014</v>
      </c>
      <c r="S28" s="61">
        <f>'TUSD BE'!$R$28*'TUSD BE'!$S$61</f>
        <v>0</v>
      </c>
      <c r="T28" s="61">
        <f ca="1">SUM($L$28:$S$28)</f>
        <v>-1.2064918590224032</v>
      </c>
      <c r="U28" s="61">
        <f>'TUSD BE'!$U$28*'TUSD BE'!$U$61</f>
        <v>0</v>
      </c>
      <c r="V28" s="61">
        <f>'TUSD BE'!$V$28*'TUSD BE'!$V$61</f>
        <v>0</v>
      </c>
      <c r="W28" s="61">
        <f>'TUSD BE'!$W$28*'TUSD BE'!$W$61</f>
        <v>0</v>
      </c>
      <c r="X28" s="61">
        <f>'TUSD BE'!$X$28*'TUSD BE'!$X$61</f>
        <v>0</v>
      </c>
      <c r="Y28" s="61">
        <f>'TUSD BE'!$Y$28*'TUSD BE'!$Y$61</f>
        <v>-26.516177640044145</v>
      </c>
      <c r="Z28" s="61">
        <f>'TUSD BE'!$Z$28*'TUSD BE'!$Z$61</f>
        <v>0</v>
      </c>
      <c r="AA28" s="61">
        <f>'TUSD BE'!$AA$28*'TUSD BE'!$AA$61</f>
        <v>0</v>
      </c>
      <c r="AB28" s="61">
        <f>SUM($U$28:$AA$28)</f>
        <v>-26.516177640044145</v>
      </c>
      <c r="AC28" s="61">
        <f>'TUSD BE'!$AC$28*'TUSD BE'!$AC$61</f>
        <v>19.810715898533843</v>
      </c>
      <c r="AD28" s="61">
        <f>SUM($AC$28:$AC$28)</f>
        <v>19.810715898533843</v>
      </c>
      <c r="AE28" s="61">
        <f ca="1">$AO$28*$AO$58</f>
        <v>-61.545890892764554</v>
      </c>
      <c r="AF28" s="61">
        <f ca="1">$AP$28*$AP$58</f>
        <v>0</v>
      </c>
      <c r="AG28" s="61">
        <f ca="1">SUM($AE$28:$AF$28)</f>
        <v>-61.545890892764554</v>
      </c>
      <c r="AH28" s="61">
        <f>'TUSD BE'!$AH$28*'TUSD BE'!$AH$61</f>
        <v>-3.3489723642270079</v>
      </c>
      <c r="AI28" s="61">
        <f>'TUSD BE'!$AI$28*'TUSD BE'!$AI$61</f>
        <v>-3.4250661326898323E-2</v>
      </c>
      <c r="AJ28" s="61">
        <f ca="1">'TUSD BE'!$AJ$28*'TUSD BE'!$AJ$61</f>
        <v>-0.12589516163518874</v>
      </c>
      <c r="AK28" s="61">
        <f ca="1">'TUSD BE'!$AK$28*'TUSD BE'!$AK$61</f>
        <v>4.4334202298329732E-2</v>
      </c>
      <c r="AL28" s="61">
        <f ca="1">SUM($AH$28:$AK$28)</f>
        <v>-3.4647839848907651</v>
      </c>
      <c r="AM28" s="61">
        <f ca="1">SUMIF($L$4:$AL$4,"SUBTOTAL",$L$28:$AL$28)+AZ28</f>
        <v>-72.922628478188017</v>
      </c>
      <c r="AO28" s="68">
        <f ca="1">+'TUSD BE'!$T$28+'TUSD BE'!$AB$28+'TUSD BE'!$AD$28+'TUSD BE'!$AL$28</f>
        <v>502.42322646964709</v>
      </c>
      <c r="AP28" s="68">
        <f ca="1">+'TUSD BE'!$T$28+'TUSD BE'!$AB$28+'TUSD BE'!$AD$28+'TUSD BE'!$AL$28</f>
        <v>502.42322646964709</v>
      </c>
      <c r="AQ28" s="9" t="str">
        <f t="shared" si="0"/>
        <v>B1</v>
      </c>
      <c r="AR28" s="9" t="str">
        <f t="shared" si="1"/>
        <v>Convencional pré-pagamento</v>
      </c>
      <c r="AS28" s="9" t="str">
        <f t="shared" si="2"/>
        <v>Residencial</v>
      </c>
      <c r="AT28" s="9" t="str">
        <f t="shared" si="3"/>
        <v>Residencial</v>
      </c>
      <c r="AU28" s="9" t="str">
        <f t="shared" si="4"/>
        <v>Não se aplica</v>
      </c>
      <c r="AV28" s="9">
        <f t="shared" si="5"/>
        <v>1</v>
      </c>
      <c r="AW28" s="9">
        <f ca="1">TarifaMedia!$G$20</f>
        <v>0</v>
      </c>
      <c r="AX28" s="15">
        <f ca="1">'TUSD BE'!$AM28+'TUSD BF'!$AM28+'TUSD CVA'!$AM28</f>
        <v>446.02270810064761</v>
      </c>
      <c r="AY28" s="9">
        <v>437.54</v>
      </c>
      <c r="AZ28" s="9">
        <f t="shared" ca="1" si="6"/>
        <v>0</v>
      </c>
      <c r="BC28" s="53" t="s">
        <v>1280</v>
      </c>
    </row>
    <row r="29" spans="1:55" ht="11.25" customHeight="1" x14ac:dyDescent="0.3">
      <c r="A29" s="132"/>
      <c r="B29" s="132"/>
      <c r="C29" s="132"/>
      <c r="D29" s="65" t="s">
        <v>29</v>
      </c>
      <c r="E29" s="65" t="s">
        <v>25</v>
      </c>
      <c r="F29" s="65" t="s">
        <v>25</v>
      </c>
      <c r="G29" s="66" t="s">
        <v>81</v>
      </c>
      <c r="H29" s="66" t="s">
        <v>76</v>
      </c>
      <c r="I29" s="66">
        <f>'MERCADO TUSD'!$U$26</f>
        <v>0</v>
      </c>
      <c r="J29" s="15"/>
      <c r="L29" s="61">
        <f>'TUSD BE'!$L$29*'TUSD BE'!$L$61</f>
        <v>0</v>
      </c>
      <c r="M29" s="61">
        <f>'TUSD BE'!$M$29*'TUSD BE'!$M$61</f>
        <v>-1.9491624390069004E-2</v>
      </c>
      <c r="N29" s="61">
        <f ca="1">'TUSD BE'!$N$29*'TUSD BE'!$N$61</f>
        <v>-3.158079274207458E-5</v>
      </c>
      <c r="O29" s="61">
        <f>'TUSD BE'!$O$29*'TUSD BE'!$O$61</f>
        <v>0</v>
      </c>
      <c r="P29" s="61">
        <f>'TUSD BE'!$P$29*'TUSD BE'!$P$61</f>
        <v>0</v>
      </c>
      <c r="Q29" s="61">
        <f>'TUSD BE'!$Q$29*'TUSD BE'!$Q$61</f>
        <v>0</v>
      </c>
      <c r="R29" s="61">
        <f>'TUSD BE'!$R$29*'TUSD BE'!$R$61</f>
        <v>0</v>
      </c>
      <c r="S29" s="61">
        <f>'TUSD BE'!$R$29*'TUSD BE'!$S$61</f>
        <v>0</v>
      </c>
      <c r="T29" s="61">
        <f ca="1">SUM($L$29:$S$29)</f>
        <v>-1.9523205182811077E-2</v>
      </c>
      <c r="U29" s="61">
        <f>'TUSD BE'!$U$29*'TUSD BE'!$U$61</f>
        <v>0</v>
      </c>
      <c r="V29" s="61">
        <f>'TUSD BE'!$V$29*'TUSD BE'!$V$61</f>
        <v>0</v>
      </c>
      <c r="W29" s="61">
        <f>'TUSD BE'!$W$29*'TUSD BE'!$W$61</f>
        <v>0</v>
      </c>
      <c r="X29" s="61">
        <f>'TUSD BE'!$X$29*'TUSD BE'!$X$61</f>
        <v>0</v>
      </c>
      <c r="Y29" s="61">
        <f>'TUSD BE'!$Y$29*'TUSD BE'!$Y$61</f>
        <v>-26.516177640044145</v>
      </c>
      <c r="Z29" s="61">
        <f>'TUSD BE'!$Z$29*'TUSD BE'!$Z$61</f>
        <v>0</v>
      </c>
      <c r="AA29" s="61">
        <f>'TUSD BE'!$AA$29*'TUSD BE'!$AA$61</f>
        <v>0</v>
      </c>
      <c r="AB29" s="61">
        <f>SUM($U$29:$AA$29)</f>
        <v>-26.516177640044145</v>
      </c>
      <c r="AC29" s="61">
        <f>'TUSD BE'!$AC$29*'TUSD BE'!$AC$61</f>
        <v>19.810715898533843</v>
      </c>
      <c r="AD29" s="61">
        <f>SUM($AC$29:$AC$29)</f>
        <v>19.810715898533843</v>
      </c>
      <c r="AE29" s="61">
        <f ca="1">$AO$29*$AO$58</f>
        <v>-48.411567279592681</v>
      </c>
      <c r="AF29" s="61">
        <f ca="1">$AP$29*$AP$58</f>
        <v>0</v>
      </c>
      <c r="AG29" s="61">
        <f ca="1">SUM($AE$29:$AF$29)</f>
        <v>-48.411567279592681</v>
      </c>
      <c r="AH29" s="61">
        <f>'TUSD BE'!$AH$29*'TUSD BE'!$AH$61</f>
        <v>-3.3489723642270079</v>
      </c>
      <c r="AI29" s="61">
        <f>'TUSD BE'!$AI$29*'TUSD BE'!$AI$61</f>
        <v>-3.4250661326898323E-2</v>
      </c>
      <c r="AJ29" s="61">
        <f ca="1">'TUSD BE'!$AJ$29*'TUSD BE'!$AJ$61</f>
        <v>-0.12589516163518874</v>
      </c>
      <c r="AK29" s="61">
        <f ca="1">'TUSD BE'!$AK$29*'TUSD BE'!$AK$61</f>
        <v>4.4334202298329732E-2</v>
      </c>
      <c r="AL29" s="61">
        <f ca="1">SUM($AH$29:$AK$29)</f>
        <v>-3.4647839848907651</v>
      </c>
      <c r="AM29" s="61">
        <f ca="1">SUMIF($L$4:$AL$4,"SUBTOTAL",$L$29:$AL$29)+AZ29</f>
        <v>-58.601336211176559</v>
      </c>
      <c r="AO29" s="68">
        <f ca="1">+'TUSD BE'!$T$29+'TUSD BE'!$AB$29+'TUSD BE'!$AD$29+'TUSD BE'!$AL$29</f>
        <v>395.2025956281156</v>
      </c>
      <c r="AP29" s="68">
        <f ca="1">+'TUSD BE'!$T$29+'TUSD BE'!$AB$29+'TUSD BE'!$AD$29+'TUSD BE'!$AL$29</f>
        <v>395.2025956281156</v>
      </c>
      <c r="AQ29" s="9" t="str">
        <f t="shared" si="0"/>
        <v>B1</v>
      </c>
      <c r="AR29" s="9" t="str">
        <f t="shared" si="1"/>
        <v>Convencional pré-pagamento</v>
      </c>
      <c r="AS29" s="9" t="str">
        <f t="shared" si="2"/>
        <v>Residencial</v>
      </c>
      <c r="AT29" s="9" t="str">
        <f t="shared" si="3"/>
        <v>Residencial baixa renda – faixa 01</v>
      </c>
      <c r="AU29" s="9" t="str">
        <f t="shared" si="4"/>
        <v>Não se aplica</v>
      </c>
      <c r="AV29" s="9">
        <f t="shared" si="5"/>
        <v>1</v>
      </c>
      <c r="AW29" s="9">
        <f ca="1">TarifaMedia!$G$20</f>
        <v>0</v>
      </c>
      <c r="AX29" s="15">
        <f ca="1">'TUSD BE'!$AM29+'TUSD BF'!$AM29+'TUSD CVA'!$AM29</f>
        <v>338.99741462283794</v>
      </c>
      <c r="AY29" s="9">
        <v>322.51</v>
      </c>
      <c r="AZ29" s="9">
        <f t="shared" ca="1" si="6"/>
        <v>0</v>
      </c>
      <c r="BC29" s="53" t="s">
        <v>1281</v>
      </c>
    </row>
    <row r="30" spans="1:55" ht="11.25" customHeight="1" x14ac:dyDescent="0.3">
      <c r="A30" s="132"/>
      <c r="B30" s="132"/>
      <c r="C30" s="132"/>
      <c r="D30" s="65" t="s">
        <v>30</v>
      </c>
      <c r="E30" s="65" t="s">
        <v>25</v>
      </c>
      <c r="F30" s="65" t="s">
        <v>25</v>
      </c>
      <c r="G30" s="66" t="s">
        <v>81</v>
      </c>
      <c r="H30" s="66" t="s">
        <v>76</v>
      </c>
      <c r="I30" s="66">
        <f>'MERCADO TUSD'!$U$27</f>
        <v>0</v>
      </c>
      <c r="J30" s="15"/>
      <c r="L30" s="61">
        <f>'TUSD BE'!$L$30*'TUSD BE'!$L$61</f>
        <v>0</v>
      </c>
      <c r="M30" s="61">
        <f>'TUSD BE'!$M$30*'TUSD BE'!$M$61</f>
        <v>-1.9491624390069004E-2</v>
      </c>
      <c r="N30" s="61">
        <f ca="1">'TUSD BE'!$N$30*'TUSD BE'!$N$61</f>
        <v>-3.158079274207458E-5</v>
      </c>
      <c r="O30" s="61">
        <f>'TUSD BE'!$O$30*'TUSD BE'!$O$61</f>
        <v>0</v>
      </c>
      <c r="P30" s="61">
        <f>'TUSD BE'!$P$30*'TUSD BE'!$P$61</f>
        <v>0</v>
      </c>
      <c r="Q30" s="61">
        <f>'TUSD BE'!$Q$30*'TUSD BE'!$Q$61</f>
        <v>0</v>
      </c>
      <c r="R30" s="61">
        <f>'TUSD BE'!$R$30*'TUSD BE'!$R$61</f>
        <v>0</v>
      </c>
      <c r="S30" s="61">
        <f>'TUSD BE'!$R$30*'TUSD BE'!$S$61</f>
        <v>0</v>
      </c>
      <c r="T30" s="61">
        <f ca="1">SUM($L$30:$S$30)</f>
        <v>-1.9523205182811077E-2</v>
      </c>
      <c r="U30" s="61">
        <f>'TUSD BE'!$U$30*'TUSD BE'!$U$61</f>
        <v>0</v>
      </c>
      <c r="V30" s="61">
        <f>'TUSD BE'!$V$30*'TUSD BE'!$V$61</f>
        <v>0</v>
      </c>
      <c r="W30" s="61">
        <f>'TUSD BE'!$W$30*'TUSD BE'!$W$61</f>
        <v>0</v>
      </c>
      <c r="X30" s="61">
        <f>'TUSD BE'!$X$30*'TUSD BE'!$X$61</f>
        <v>0</v>
      </c>
      <c r="Y30" s="61">
        <f>'TUSD BE'!$Y$30*'TUSD BE'!$Y$61</f>
        <v>-26.516177640044145</v>
      </c>
      <c r="Z30" s="61">
        <f>'TUSD BE'!$Z$30*'TUSD BE'!$Z$61</f>
        <v>0</v>
      </c>
      <c r="AA30" s="61">
        <f>'TUSD BE'!$AA$30*'TUSD BE'!$AA$61</f>
        <v>0</v>
      </c>
      <c r="AB30" s="61">
        <f>SUM($U$30:$AA$30)</f>
        <v>-26.516177640044145</v>
      </c>
      <c r="AC30" s="61">
        <f>'TUSD BE'!$AC$30*'TUSD BE'!$AC$61</f>
        <v>19.810715898533843</v>
      </c>
      <c r="AD30" s="61">
        <f>SUM($AC$30:$AC$30)</f>
        <v>19.810715898533843</v>
      </c>
      <c r="AE30" s="61">
        <f ca="1">$AO$30*$AO$58</f>
        <v>-48.411567279592681</v>
      </c>
      <c r="AF30" s="61">
        <f ca="1">$AP$30*$AP$58</f>
        <v>0</v>
      </c>
      <c r="AG30" s="61">
        <f ca="1">SUM($AE$30:$AF$30)</f>
        <v>-48.411567279592681</v>
      </c>
      <c r="AH30" s="61">
        <f>'TUSD BE'!$AH$30*'TUSD BE'!$AH$61</f>
        <v>-3.3489723642270079</v>
      </c>
      <c r="AI30" s="61">
        <f>'TUSD BE'!$AI$30*'TUSD BE'!$AI$61</f>
        <v>-3.4250661326898323E-2</v>
      </c>
      <c r="AJ30" s="61">
        <f ca="1">'TUSD BE'!$AJ$30*'TUSD BE'!$AJ$61</f>
        <v>-0.12589516163518874</v>
      </c>
      <c r="AK30" s="61">
        <f ca="1">'TUSD BE'!$AK$30*'TUSD BE'!$AK$61</f>
        <v>4.4334202298329732E-2</v>
      </c>
      <c r="AL30" s="61">
        <f ca="1">SUM($AH$30:$AK$30)</f>
        <v>-3.4647839848907651</v>
      </c>
      <c r="AM30" s="61">
        <f ca="1">SUMIF($L$4:$AL$4,"SUBTOTAL",$L$30:$AL$30)+AZ30</f>
        <v>-58.601336211176559</v>
      </c>
      <c r="AO30" s="68">
        <f ca="1">+'TUSD BE'!$T$30+'TUSD BE'!$AB$30+'TUSD BE'!$AD$30+'TUSD BE'!$AL$30</f>
        <v>395.2025956281156</v>
      </c>
      <c r="AP30" s="68">
        <f ca="1">+'TUSD BE'!$T$30+'TUSD BE'!$AB$30+'TUSD BE'!$AD$30+'TUSD BE'!$AL$30</f>
        <v>395.2025956281156</v>
      </c>
      <c r="AQ30" s="9" t="str">
        <f t="shared" si="0"/>
        <v>B1</v>
      </c>
      <c r="AR30" s="9" t="str">
        <f t="shared" si="1"/>
        <v>Convencional pré-pagamento</v>
      </c>
      <c r="AS30" s="9" t="str">
        <f t="shared" si="2"/>
        <v>Residencial</v>
      </c>
      <c r="AT30" s="9" t="str">
        <f t="shared" si="3"/>
        <v>Residencial baixa renda – faixa 02</v>
      </c>
      <c r="AU30" s="9" t="str">
        <f t="shared" si="4"/>
        <v>Não se aplica</v>
      </c>
      <c r="AV30" s="9">
        <f t="shared" si="5"/>
        <v>1</v>
      </c>
      <c r="AW30" s="9">
        <f ca="1">TarifaMedia!$G$20</f>
        <v>0</v>
      </c>
      <c r="AX30" s="15">
        <f ca="1">'TUSD BE'!$AM30+'TUSD BF'!$AM30+'TUSD CVA'!$AM30</f>
        <v>338.99741462283794</v>
      </c>
      <c r="AY30" s="9">
        <v>322.51</v>
      </c>
      <c r="AZ30" s="9">
        <f t="shared" ca="1" si="6"/>
        <v>0</v>
      </c>
      <c r="BC30" s="53" t="s">
        <v>1281</v>
      </c>
    </row>
    <row r="31" spans="1:55" ht="11.25" customHeight="1" x14ac:dyDescent="0.3">
      <c r="A31" s="132"/>
      <c r="B31" s="132"/>
      <c r="C31" s="132"/>
      <c r="D31" s="65" t="s">
        <v>31</v>
      </c>
      <c r="E31" s="65" t="s">
        <v>25</v>
      </c>
      <c r="F31" s="65" t="s">
        <v>25</v>
      </c>
      <c r="G31" s="66" t="s">
        <v>81</v>
      </c>
      <c r="H31" s="66" t="s">
        <v>76</v>
      </c>
      <c r="I31" s="66">
        <f>'MERCADO TUSD'!$U$28</f>
        <v>0</v>
      </c>
      <c r="J31" s="15"/>
      <c r="L31" s="61">
        <f>'TUSD BE'!$L$31*'TUSD BE'!$L$61</f>
        <v>0</v>
      </c>
      <c r="M31" s="61">
        <f>'TUSD BE'!$M$31*'TUSD BE'!$M$61</f>
        <v>-1.9491624390069004E-2</v>
      </c>
      <c r="N31" s="61">
        <f ca="1">'TUSD BE'!$N$31*'TUSD BE'!$N$61</f>
        <v>-3.158079274207458E-5</v>
      </c>
      <c r="O31" s="61">
        <f>'TUSD BE'!$O$31*'TUSD BE'!$O$61</f>
        <v>0</v>
      </c>
      <c r="P31" s="61">
        <f>'TUSD BE'!$P$31*'TUSD BE'!$P$61</f>
        <v>0</v>
      </c>
      <c r="Q31" s="61">
        <f>'TUSD BE'!$Q$31*'TUSD BE'!$Q$61</f>
        <v>0</v>
      </c>
      <c r="R31" s="61">
        <f>'TUSD BE'!$R$31*'TUSD BE'!$R$61</f>
        <v>0</v>
      </c>
      <c r="S31" s="61">
        <f>'TUSD BE'!$R$31*'TUSD BE'!$S$61</f>
        <v>0</v>
      </c>
      <c r="T31" s="61">
        <f ca="1">SUM($L$31:$S$31)</f>
        <v>-1.9523205182811077E-2</v>
      </c>
      <c r="U31" s="61">
        <f>'TUSD BE'!$U$31*'TUSD BE'!$U$61</f>
        <v>0</v>
      </c>
      <c r="V31" s="61">
        <f>'TUSD BE'!$V$31*'TUSD BE'!$V$61</f>
        <v>0</v>
      </c>
      <c r="W31" s="61">
        <f>'TUSD BE'!$W$31*'TUSD BE'!$W$61</f>
        <v>0</v>
      </c>
      <c r="X31" s="61">
        <f>'TUSD BE'!$X$31*'TUSD BE'!$X$61</f>
        <v>0</v>
      </c>
      <c r="Y31" s="61">
        <f>'TUSD BE'!$Y$31*'TUSD BE'!$Y$61</f>
        <v>-26.516177640044145</v>
      </c>
      <c r="Z31" s="61">
        <f>'TUSD BE'!$Z$31*'TUSD BE'!$Z$61</f>
        <v>0</v>
      </c>
      <c r="AA31" s="61">
        <f>'TUSD BE'!$AA$31*'TUSD BE'!$AA$61</f>
        <v>0</v>
      </c>
      <c r="AB31" s="61">
        <f>SUM($U$31:$AA$31)</f>
        <v>-26.516177640044145</v>
      </c>
      <c r="AC31" s="61">
        <f>'TUSD BE'!$AC$31*'TUSD BE'!$AC$61</f>
        <v>19.810715898533843</v>
      </c>
      <c r="AD31" s="61">
        <f>SUM($AC$31:$AC$31)</f>
        <v>19.810715898533843</v>
      </c>
      <c r="AE31" s="61">
        <f ca="1">$AO$31*$AO$58</f>
        <v>-48.411567279592681</v>
      </c>
      <c r="AF31" s="61">
        <f ca="1">$AP$31*$AP$58</f>
        <v>0</v>
      </c>
      <c r="AG31" s="61">
        <f ca="1">SUM($AE$31:$AF$31)</f>
        <v>-48.411567279592681</v>
      </c>
      <c r="AH31" s="61">
        <f>'TUSD BE'!$AH$31*'TUSD BE'!$AH$61</f>
        <v>-3.3489723642270079</v>
      </c>
      <c r="AI31" s="61">
        <f>'TUSD BE'!$AI$31*'TUSD BE'!$AI$61</f>
        <v>-3.4250661326898323E-2</v>
      </c>
      <c r="AJ31" s="61">
        <f ca="1">'TUSD BE'!$AJ$31*'TUSD BE'!$AJ$61</f>
        <v>-0.12589516163518874</v>
      </c>
      <c r="AK31" s="61">
        <f ca="1">'TUSD BE'!$AK$31*'TUSD BE'!$AK$61</f>
        <v>4.4334202298329732E-2</v>
      </c>
      <c r="AL31" s="61">
        <f ca="1">SUM($AH$31:$AK$31)</f>
        <v>-3.4647839848907651</v>
      </c>
      <c r="AM31" s="61">
        <f ca="1">SUMIF($L$4:$AL$4,"SUBTOTAL",$L$31:$AL$31)+AZ31</f>
        <v>-58.601336211176559</v>
      </c>
      <c r="AO31" s="68">
        <f ca="1">+'TUSD BE'!$T$31+'TUSD BE'!$AB$31+'TUSD BE'!$AD$31+'TUSD BE'!$AL$31</f>
        <v>395.2025956281156</v>
      </c>
      <c r="AP31" s="68">
        <f ca="1">+'TUSD BE'!$T$31+'TUSD BE'!$AB$31+'TUSD BE'!$AD$31+'TUSD BE'!$AL$31</f>
        <v>395.2025956281156</v>
      </c>
      <c r="AQ31" s="9" t="str">
        <f t="shared" si="0"/>
        <v>B1</v>
      </c>
      <c r="AR31" s="9" t="str">
        <f t="shared" si="1"/>
        <v>Convencional pré-pagamento</v>
      </c>
      <c r="AS31" s="9" t="str">
        <f t="shared" si="2"/>
        <v>Residencial</v>
      </c>
      <c r="AT31" s="9" t="str">
        <f t="shared" si="3"/>
        <v>Residencial baixa renda – faixa 03</v>
      </c>
      <c r="AU31" s="9" t="str">
        <f t="shared" si="4"/>
        <v>Não se aplica</v>
      </c>
      <c r="AV31" s="9">
        <f t="shared" si="5"/>
        <v>1</v>
      </c>
      <c r="AW31" s="9">
        <f ca="1">TarifaMedia!$G$20</f>
        <v>0</v>
      </c>
      <c r="AX31" s="15">
        <f ca="1">'TUSD BE'!$AM31+'TUSD BF'!$AM31+'TUSD CVA'!$AM31</f>
        <v>338.99741462283794</v>
      </c>
      <c r="AY31" s="9">
        <v>322.51</v>
      </c>
      <c r="AZ31" s="9">
        <f t="shared" ca="1" si="6"/>
        <v>0</v>
      </c>
      <c r="BC31" s="53" t="s">
        <v>1281</v>
      </c>
    </row>
    <row r="32" spans="1:55" ht="11.25" customHeight="1" x14ac:dyDescent="0.3">
      <c r="A32" s="132"/>
      <c r="B32" s="132"/>
      <c r="C32" s="132"/>
      <c r="D32" s="65" t="s">
        <v>32</v>
      </c>
      <c r="E32" s="65" t="s">
        <v>25</v>
      </c>
      <c r="F32" s="65" t="s">
        <v>25</v>
      </c>
      <c r="G32" s="66" t="s">
        <v>81</v>
      </c>
      <c r="H32" s="66" t="s">
        <v>76</v>
      </c>
      <c r="I32" s="66">
        <f>'MERCADO TUSD'!$U$29</f>
        <v>0</v>
      </c>
      <c r="J32" s="15"/>
      <c r="L32" s="61">
        <f>'TUSD BE'!$L$32*'TUSD BE'!$L$61</f>
        <v>0</v>
      </c>
      <c r="M32" s="61">
        <f>'TUSD BE'!$M$32*'TUSD BE'!$M$61</f>
        <v>-1.9491624390069004E-2</v>
      </c>
      <c r="N32" s="61">
        <f ca="1">'TUSD BE'!$N$32*'TUSD BE'!$N$61</f>
        <v>-3.158079274207458E-5</v>
      </c>
      <c r="O32" s="61">
        <f>'TUSD BE'!$O$32*'TUSD BE'!$O$61</f>
        <v>0</v>
      </c>
      <c r="P32" s="61">
        <f>'TUSD BE'!$P$32*'TUSD BE'!$P$61</f>
        <v>0</v>
      </c>
      <c r="Q32" s="61">
        <f>'TUSD BE'!$Q$32*'TUSD BE'!$Q$61</f>
        <v>0</v>
      </c>
      <c r="R32" s="61">
        <f>'TUSD BE'!$R$32*'TUSD BE'!$R$61</f>
        <v>0</v>
      </c>
      <c r="S32" s="61">
        <f>'TUSD BE'!$R$32*'TUSD BE'!$S$61</f>
        <v>0</v>
      </c>
      <c r="T32" s="61">
        <f ca="1">SUM($L$32:$S$32)</f>
        <v>-1.9523205182811077E-2</v>
      </c>
      <c r="U32" s="61">
        <f>'TUSD BE'!$U$32*'TUSD BE'!$U$61</f>
        <v>0</v>
      </c>
      <c r="V32" s="61">
        <f>'TUSD BE'!$V$32*'TUSD BE'!$V$61</f>
        <v>0</v>
      </c>
      <c r="W32" s="61">
        <f>'TUSD BE'!$W$32*'TUSD BE'!$W$61</f>
        <v>0</v>
      </c>
      <c r="X32" s="61">
        <f>'TUSD BE'!$X$32*'TUSD BE'!$X$61</f>
        <v>0</v>
      </c>
      <c r="Y32" s="61">
        <f>'TUSD BE'!$Y$32*'TUSD BE'!$Y$61</f>
        <v>-26.516177640044145</v>
      </c>
      <c r="Z32" s="61">
        <f>'TUSD BE'!$Z$32*'TUSD BE'!$Z$61</f>
        <v>0</v>
      </c>
      <c r="AA32" s="61">
        <f>'TUSD BE'!$AA$32*'TUSD BE'!$AA$61</f>
        <v>0</v>
      </c>
      <c r="AB32" s="61">
        <f>SUM($U$32:$AA$32)</f>
        <v>-26.516177640044145</v>
      </c>
      <c r="AC32" s="61">
        <f>'TUSD BE'!$AC$32*'TUSD BE'!$AC$61</f>
        <v>19.810715898533843</v>
      </c>
      <c r="AD32" s="61">
        <f>SUM($AC$32:$AC$32)</f>
        <v>19.810715898533843</v>
      </c>
      <c r="AE32" s="61">
        <f ca="1">$AO$32*$AO$58</f>
        <v>-48.411567279592681</v>
      </c>
      <c r="AF32" s="61">
        <f ca="1">$AP$32*$AP$58</f>
        <v>0</v>
      </c>
      <c r="AG32" s="61">
        <f ca="1">SUM($AE$32:$AF$32)</f>
        <v>-48.411567279592681</v>
      </c>
      <c r="AH32" s="61">
        <f>'TUSD BE'!$AH$32*'TUSD BE'!$AH$61</f>
        <v>-3.3489723642270079</v>
      </c>
      <c r="AI32" s="61">
        <f>'TUSD BE'!$AI$32*'TUSD BE'!$AI$61</f>
        <v>-3.4250661326898323E-2</v>
      </c>
      <c r="AJ32" s="61">
        <f ca="1">'TUSD BE'!$AJ$32*'TUSD BE'!$AJ$61</f>
        <v>-0.12589516163518874</v>
      </c>
      <c r="AK32" s="61">
        <f ca="1">'TUSD BE'!$AK$32*'TUSD BE'!$AK$61</f>
        <v>4.4334202298329732E-2</v>
      </c>
      <c r="AL32" s="61">
        <f ca="1">SUM($AH$32:$AK$32)</f>
        <v>-3.4647839848907651</v>
      </c>
      <c r="AM32" s="61">
        <f ca="1">SUMIF($L$4:$AL$4,"SUBTOTAL",$L$32:$AL$32)+AZ32</f>
        <v>-58.601336211176559</v>
      </c>
      <c r="AO32" s="68">
        <f ca="1">+'TUSD BE'!$T$32+'TUSD BE'!$AB$32+'TUSD BE'!$AD$32+'TUSD BE'!$AL$32</f>
        <v>395.2025956281156</v>
      </c>
      <c r="AP32" s="68">
        <f ca="1">+'TUSD BE'!$T$32+'TUSD BE'!$AB$32+'TUSD BE'!$AD$32+'TUSD BE'!$AL$32</f>
        <v>395.2025956281156</v>
      </c>
      <c r="AQ32" s="9" t="str">
        <f t="shared" si="0"/>
        <v>B1</v>
      </c>
      <c r="AR32" s="9" t="str">
        <f t="shared" si="1"/>
        <v>Convencional pré-pagamento</v>
      </c>
      <c r="AS32" s="9" t="str">
        <f t="shared" si="2"/>
        <v>Residencial</v>
      </c>
      <c r="AT32" s="9" t="str">
        <f t="shared" si="3"/>
        <v>Residencial baixa renda – faixa 04</v>
      </c>
      <c r="AU32" s="9" t="str">
        <f t="shared" si="4"/>
        <v>Não se aplica</v>
      </c>
      <c r="AV32" s="9">
        <f t="shared" si="5"/>
        <v>1</v>
      </c>
      <c r="AW32" s="9">
        <f ca="1">TarifaMedia!$G$20</f>
        <v>0</v>
      </c>
      <c r="AX32" s="15">
        <f ca="1">'TUSD BE'!$AM32+'TUSD BF'!$AM32+'TUSD CVA'!$AM32</f>
        <v>338.99741462283794</v>
      </c>
      <c r="AY32" s="9">
        <v>322.51</v>
      </c>
      <c r="AZ32" s="9">
        <f t="shared" ca="1" si="6"/>
        <v>0</v>
      </c>
      <c r="BC32" s="53" t="s">
        <v>1281</v>
      </c>
    </row>
    <row r="33" spans="1:55" ht="11.25" customHeight="1" x14ac:dyDescent="0.3">
      <c r="A33" s="132" t="s">
        <v>42</v>
      </c>
      <c r="B33" s="132" t="s">
        <v>33</v>
      </c>
      <c r="C33" s="132" t="s">
        <v>43</v>
      </c>
      <c r="D33" s="132" t="s">
        <v>25</v>
      </c>
      <c r="E33" s="132" t="s">
        <v>25</v>
      </c>
      <c r="F33" s="132" t="s">
        <v>25</v>
      </c>
      <c r="G33" s="66" t="s">
        <v>77</v>
      </c>
      <c r="H33" s="66" t="s">
        <v>76</v>
      </c>
      <c r="I33" s="66">
        <f>'MERCADO TUSD'!$U$30</f>
        <v>0.36099999999999999</v>
      </c>
      <c r="J33" s="15"/>
      <c r="L33" s="61">
        <f>'TUSD BE'!$L$33*'TUSD BE'!$L$61</f>
        <v>-9.0258987104960456E-2</v>
      </c>
      <c r="M33" s="61">
        <f>'TUSD BE'!$M$33*'TUSD BE'!$M$61</f>
        <v>-1.9491624390069004E-2</v>
      </c>
      <c r="N33" s="61">
        <f ca="1">'TUSD BE'!$N$33*'TUSD BE'!$N$61</f>
        <v>-8.8303324156179056E-5</v>
      </c>
      <c r="O33" s="61">
        <f>'TUSD BE'!$O$33*'TUSD BE'!$O$61</f>
        <v>0</v>
      </c>
      <c r="P33" s="61">
        <f>'TUSD BE'!$P$33*'TUSD BE'!$P$61</f>
        <v>0</v>
      </c>
      <c r="Q33" s="61">
        <f>'TUSD BE'!$Q$33*'TUSD BE'!$Q$61</f>
        <v>-0.9531040471094272</v>
      </c>
      <c r="R33" s="61">
        <f>'TUSD BE'!$R$33*'TUSD BE'!$R$61</f>
        <v>-0.1436055413628014</v>
      </c>
      <c r="S33" s="61">
        <f>'TUSD BE'!$R$33*'TUSD BE'!$S$61</f>
        <v>0</v>
      </c>
      <c r="T33" s="61">
        <f ca="1">SUM($L$33:$S$33)</f>
        <v>-1.2065485032914143</v>
      </c>
      <c r="U33" s="61">
        <f>'TUSD BE'!$U$33*'TUSD BE'!$U$61</f>
        <v>0</v>
      </c>
      <c r="V33" s="61">
        <f>'TUSD BE'!$V$33*'TUSD BE'!$V$61</f>
        <v>0</v>
      </c>
      <c r="W33" s="61">
        <f>'TUSD BE'!$W$33*'TUSD BE'!$W$61</f>
        <v>0</v>
      </c>
      <c r="X33" s="61">
        <f>'TUSD BE'!$X$33*'TUSD BE'!$X$61</f>
        <v>0</v>
      </c>
      <c r="Y33" s="61">
        <f>'TUSD BE'!$Y$33*'TUSD BE'!$Y$61</f>
        <v>-83.525973692780909</v>
      </c>
      <c r="Z33" s="61">
        <f>'TUSD BE'!$Z$33*'TUSD BE'!$Z$61</f>
        <v>0</v>
      </c>
      <c r="AA33" s="61">
        <f>'TUSD BE'!$AA$33*'TUSD BE'!$AA$61</f>
        <v>0</v>
      </c>
      <c r="AB33" s="61">
        <f>SUM($U$33:$AA$33)</f>
        <v>-83.525973692780909</v>
      </c>
      <c r="AC33" s="61">
        <f>'TUSD BE'!$AC$33*'TUSD BE'!$AC$61</f>
        <v>62.403754068915539</v>
      </c>
      <c r="AD33" s="61">
        <f>SUM($AC$33:$AC$33)</f>
        <v>62.403754068915539</v>
      </c>
      <c r="AE33" s="61">
        <f ca="1">$AO$33*$AO$58</f>
        <v>-158.92105516068926</v>
      </c>
      <c r="AF33" s="61">
        <f ca="1">$AP$33*$AP$58</f>
        <v>0</v>
      </c>
      <c r="AG33" s="61">
        <f ca="1">SUM($AE$33:$AF$33)</f>
        <v>-158.92105516068926</v>
      </c>
      <c r="AH33" s="61">
        <f>'TUSD BE'!$AH$33*'TUSD BE'!$AH$61</f>
        <v>-3.3489723642270079</v>
      </c>
      <c r="AI33" s="61">
        <f>'TUSD BE'!$AI$33*'TUSD BE'!$AI$61</f>
        <v>-3.4250661326898323E-2</v>
      </c>
      <c r="AJ33" s="61">
        <f ca="1">'TUSD BE'!$AJ$33*'TUSD BE'!$AJ$61</f>
        <v>-0.12589516163518874</v>
      </c>
      <c r="AK33" s="61">
        <f ca="1">'TUSD BE'!$AK$33*'TUSD BE'!$AK$61</f>
        <v>4.4334202298329732E-2</v>
      </c>
      <c r="AL33" s="61">
        <f ca="1">SUM($AH$33:$AK$33)</f>
        <v>-3.4647839848907651</v>
      </c>
      <c r="AM33" s="61">
        <f ca="1">SUMIF($L$4:$AL$4,"SUBTOTAL",$L$33:$AL$33)+AZ33</f>
        <v>-184.71460727273683</v>
      </c>
      <c r="AO33" s="68">
        <f ca="1">+'TUSD BE'!$T$33+'TUSD BE'!$AB$33+'TUSD BE'!$AD$33+'TUSD BE'!$AL$33</f>
        <v>1297.3348525722788</v>
      </c>
      <c r="AP33" s="68">
        <f ca="1">+'TUSD BE'!$T$33+'TUSD BE'!$AB$33+'TUSD BE'!$AD$33+'TUSD BE'!$AL$33</f>
        <v>1297.3348525722788</v>
      </c>
      <c r="AQ33" s="9" t="str">
        <f t="shared" si="0"/>
        <v>B2</v>
      </c>
      <c r="AR33" s="9" t="str">
        <f t="shared" si="1"/>
        <v>Branca</v>
      </c>
      <c r="AS33" s="9" t="str">
        <f t="shared" si="2"/>
        <v>Rural</v>
      </c>
      <c r="AT33" s="9" t="str">
        <f t="shared" si="3"/>
        <v>Não se aplica</v>
      </c>
      <c r="AU33" s="9" t="str">
        <f t="shared" si="4"/>
        <v>Não se aplica</v>
      </c>
      <c r="AV33" s="9">
        <f t="shared" si="5"/>
        <v>1</v>
      </c>
      <c r="AW33" s="9">
        <f ca="1">TarifaMedia!$G$20</f>
        <v>0</v>
      </c>
      <c r="AX33" s="15">
        <f ca="1">'TUSD BE'!$AM33+'TUSD BF'!$AM33+'TUSD CVA'!$AM33</f>
        <v>1129.1423554087305</v>
      </c>
      <c r="AY33" s="9">
        <f>ROUND(845.96/(1-CUSTOS!$M$38),2)</f>
        <v>899.96</v>
      </c>
      <c r="AZ33" s="9">
        <f t="shared" ca="1" si="6"/>
        <v>0</v>
      </c>
      <c r="BC33" s="53" t="s">
        <v>1282</v>
      </c>
    </row>
    <row r="34" spans="1:55" ht="11.25" customHeight="1" x14ac:dyDescent="0.3">
      <c r="A34" s="132"/>
      <c r="B34" s="132"/>
      <c r="C34" s="132"/>
      <c r="D34" s="132"/>
      <c r="E34" s="132"/>
      <c r="F34" s="132"/>
      <c r="G34" s="66" t="s">
        <v>93</v>
      </c>
      <c r="H34" s="66" t="s">
        <v>76</v>
      </c>
      <c r="I34" s="66">
        <f>'MERCADO TUSD'!$U$31</f>
        <v>0.21399999999999994</v>
      </c>
      <c r="J34" s="15"/>
      <c r="L34" s="61">
        <f>'TUSD BE'!$L$34*'TUSD BE'!$L$61</f>
        <v>-9.0258987104960456E-2</v>
      </c>
      <c r="M34" s="61">
        <f>'TUSD BE'!$M$34*'TUSD BE'!$M$61</f>
        <v>-1.9491624390069004E-2</v>
      </c>
      <c r="N34" s="61">
        <f ca="1">'TUSD BE'!$N$34*'TUSD BE'!$N$61</f>
        <v>-5.5107144149210322E-5</v>
      </c>
      <c r="O34" s="61">
        <f>'TUSD BE'!$O$34*'TUSD BE'!$O$61</f>
        <v>0</v>
      </c>
      <c r="P34" s="61">
        <f>'TUSD BE'!$P$34*'TUSD BE'!$P$61</f>
        <v>0</v>
      </c>
      <c r="Q34" s="61">
        <f>'TUSD BE'!$Q$34*'TUSD BE'!$Q$61</f>
        <v>-0.9531040471094272</v>
      </c>
      <c r="R34" s="61">
        <f>'TUSD BE'!$R$34*'TUSD BE'!$R$61</f>
        <v>-0.1436055413628014</v>
      </c>
      <c r="S34" s="61">
        <f>'TUSD BE'!$R$34*'TUSD BE'!$S$61</f>
        <v>0</v>
      </c>
      <c r="T34" s="61">
        <f ca="1">SUM($L$34:$S$34)</f>
        <v>-1.2065153071114074</v>
      </c>
      <c r="U34" s="61">
        <f>'TUSD BE'!$U$34*'TUSD BE'!$U$61</f>
        <v>0</v>
      </c>
      <c r="V34" s="61">
        <f>'TUSD BE'!$V$34*'TUSD BE'!$V$61</f>
        <v>0</v>
      </c>
      <c r="W34" s="61">
        <f>'TUSD BE'!$W$34*'TUSD BE'!$W$61</f>
        <v>0</v>
      </c>
      <c r="X34" s="61">
        <f>'TUSD BE'!$X$34*'TUSD BE'!$X$61</f>
        <v>0</v>
      </c>
      <c r="Y34" s="61">
        <f>'TUSD BE'!$Y$34*'TUSD BE'!$Y$61</f>
        <v>-50.115580448564053</v>
      </c>
      <c r="Z34" s="61">
        <f>'TUSD BE'!$Z$34*'TUSD BE'!$Z$61</f>
        <v>0</v>
      </c>
      <c r="AA34" s="61">
        <f>'TUSD BE'!$AA$34*'TUSD BE'!$AA$61</f>
        <v>0</v>
      </c>
      <c r="AB34" s="61">
        <f>SUM($U$34:$AA$34)</f>
        <v>-50.115580448564053</v>
      </c>
      <c r="AC34" s="61">
        <f>'TUSD BE'!$AC$34*'TUSD BE'!$AC$61</f>
        <v>37.44224839548508</v>
      </c>
      <c r="AD34" s="61">
        <f>SUM($AC$34:$AC$34)</f>
        <v>37.44224839548508</v>
      </c>
      <c r="AE34" s="61">
        <f ca="1">$AO$34*$AO$58</f>
        <v>-101.85467338965728</v>
      </c>
      <c r="AF34" s="61">
        <f ca="1">$AP$34*$AP$58</f>
        <v>0</v>
      </c>
      <c r="AG34" s="61">
        <f ca="1">SUM($AE$34:$AF$34)</f>
        <v>-101.85467338965728</v>
      </c>
      <c r="AH34" s="61">
        <f>'TUSD BE'!$AH$34*'TUSD BE'!$AH$61</f>
        <v>-3.3489723642270079</v>
      </c>
      <c r="AI34" s="61">
        <f>'TUSD BE'!$AI$34*'TUSD BE'!$AI$61</f>
        <v>-3.4250661326898323E-2</v>
      </c>
      <c r="AJ34" s="61">
        <f ca="1">'TUSD BE'!$AJ$34*'TUSD BE'!$AJ$61</f>
        <v>-0.12589516163518874</v>
      </c>
      <c r="AK34" s="61">
        <f ca="1">'TUSD BE'!$AK$34*'TUSD BE'!$AK$61</f>
        <v>4.4334202298329732E-2</v>
      </c>
      <c r="AL34" s="61">
        <f ca="1">SUM($AH$34:$AK$34)</f>
        <v>-3.4647839848907651</v>
      </c>
      <c r="AM34" s="61">
        <f ca="1">SUMIF($L$4:$AL$4,"SUBTOTAL",$L$34:$AL$34)+AZ34</f>
        <v>-119.19930473473843</v>
      </c>
      <c r="AO34" s="68">
        <f ca="1">+'TUSD BE'!$T$34+'TUSD BE'!$AB$34+'TUSD BE'!$AD$34+'TUSD BE'!$AL$34</f>
        <v>831.47961453036407</v>
      </c>
      <c r="AP34" s="68">
        <f ca="1">+'TUSD BE'!$T$34+'TUSD BE'!$AB$34+'TUSD BE'!$AD$34+'TUSD BE'!$AL$34</f>
        <v>831.47961453036407</v>
      </c>
      <c r="AQ34" s="9" t="str">
        <f t="shared" si="0"/>
        <v>B2</v>
      </c>
      <c r="AR34" s="9" t="str">
        <f t="shared" si="1"/>
        <v>Branca</v>
      </c>
      <c r="AS34" s="9" t="str">
        <f t="shared" si="2"/>
        <v>Rural</v>
      </c>
      <c r="AT34" s="9" t="str">
        <f t="shared" si="3"/>
        <v>Não se aplica</v>
      </c>
      <c r="AU34" s="9" t="str">
        <f t="shared" si="4"/>
        <v>Não se aplica</v>
      </c>
      <c r="AV34" s="9">
        <f t="shared" si="5"/>
        <v>1</v>
      </c>
      <c r="AW34" s="9">
        <f ca="1">TarifaMedia!$G$20</f>
        <v>0</v>
      </c>
      <c r="AX34" s="15">
        <f ca="1">'TUSD BE'!$AM34+'TUSD BF'!$AM34+'TUSD CVA'!$AM34</f>
        <v>728.8024199048142</v>
      </c>
      <c r="AY34" s="9">
        <f>ROUND(563.42/(1-CUSTOS!$M$38),2)</f>
        <v>599.38</v>
      </c>
      <c r="AZ34" s="9">
        <f t="shared" ca="1" si="6"/>
        <v>0</v>
      </c>
      <c r="BC34" s="53" t="s">
        <v>1283</v>
      </c>
    </row>
    <row r="35" spans="1:55" ht="11.25" customHeight="1" x14ac:dyDescent="0.3">
      <c r="A35" s="132"/>
      <c r="B35" s="132"/>
      <c r="C35" s="132"/>
      <c r="D35" s="132"/>
      <c r="E35" s="132"/>
      <c r="F35" s="132"/>
      <c r="G35" s="66" t="s">
        <v>78</v>
      </c>
      <c r="H35" s="66" t="s">
        <v>76</v>
      </c>
      <c r="I35" s="66">
        <f>'MERCADO TUSD'!$U$32</f>
        <v>2.4970000000000008</v>
      </c>
      <c r="J35" s="15"/>
      <c r="L35" s="61">
        <f>'TUSD BE'!$L$35*'TUSD BE'!$L$61</f>
        <v>-9.0258987104960456E-2</v>
      </c>
      <c r="M35" s="61">
        <f>'TUSD BE'!$M$35*'TUSD BE'!$M$61</f>
        <v>-1.9491624390069004E-2</v>
      </c>
      <c r="N35" s="61">
        <f ca="1">'TUSD BE'!$N$35*'TUSD BE'!$N$61</f>
        <v>-2.1910971968481861E-5</v>
      </c>
      <c r="O35" s="61">
        <f>'TUSD BE'!$O$35*'TUSD BE'!$O$61</f>
        <v>0</v>
      </c>
      <c r="P35" s="61">
        <f>'TUSD BE'!$P$35*'TUSD BE'!$P$61</f>
        <v>0</v>
      </c>
      <c r="Q35" s="61">
        <f>'TUSD BE'!$Q$35*'TUSD BE'!$Q$61</f>
        <v>-0.9531040471094272</v>
      </c>
      <c r="R35" s="61">
        <f>'TUSD BE'!$R$35*'TUSD BE'!$R$61</f>
        <v>-0.1436055413628014</v>
      </c>
      <c r="S35" s="61">
        <f>'TUSD BE'!$R$35*'TUSD BE'!$S$61</f>
        <v>0</v>
      </c>
      <c r="T35" s="61">
        <f ca="1">SUM($L$35:$S$35)</f>
        <v>-1.2064821109392265</v>
      </c>
      <c r="U35" s="61">
        <f>'TUSD BE'!$U$35*'TUSD BE'!$U$61</f>
        <v>0</v>
      </c>
      <c r="V35" s="61">
        <f>'TUSD BE'!$V$35*'TUSD BE'!$V$61</f>
        <v>0</v>
      </c>
      <c r="W35" s="61">
        <f>'TUSD BE'!$W$35*'TUSD BE'!$W$61</f>
        <v>0</v>
      </c>
      <c r="X35" s="61">
        <f>'TUSD BE'!$X$35*'TUSD BE'!$X$61</f>
        <v>0</v>
      </c>
      <c r="Y35" s="61">
        <f>'TUSD BE'!$Y$35*'TUSD BE'!$Y$61</f>
        <v>-16.705187204347197</v>
      </c>
      <c r="Z35" s="61">
        <f>'TUSD BE'!$Z$35*'TUSD BE'!$Z$61</f>
        <v>0</v>
      </c>
      <c r="AA35" s="61">
        <f>'TUSD BE'!$AA$35*'TUSD BE'!$AA$61</f>
        <v>0</v>
      </c>
      <c r="AB35" s="61">
        <f>SUM($U$35:$AA$35)</f>
        <v>-16.705187204347197</v>
      </c>
      <c r="AC35" s="61">
        <f>'TUSD BE'!$AC$35*'TUSD BE'!$AC$61</f>
        <v>12.480752836715233</v>
      </c>
      <c r="AD35" s="61">
        <f>SUM($AC$35:$AC$35)</f>
        <v>12.480752836715233</v>
      </c>
      <c r="AE35" s="61">
        <f ca="1">$AO$35*$AO$58</f>
        <v>-44.788305034484367</v>
      </c>
      <c r="AF35" s="61">
        <f ca="1">$AP$35*$AP$58</f>
        <v>0</v>
      </c>
      <c r="AG35" s="61">
        <f ca="1">SUM($AE$35:$AF$35)</f>
        <v>-44.788305034484367</v>
      </c>
      <c r="AH35" s="61">
        <f>'TUSD BE'!$AH$35*'TUSD BE'!$AH$61</f>
        <v>-3.3489723642270079</v>
      </c>
      <c r="AI35" s="61">
        <f>'TUSD BE'!$AI$35*'TUSD BE'!$AI$61</f>
        <v>-3.4250661326898323E-2</v>
      </c>
      <c r="AJ35" s="61">
        <f ca="1">'TUSD BE'!$AJ$35*'TUSD BE'!$AJ$61</f>
        <v>-0.12589516163518874</v>
      </c>
      <c r="AK35" s="61">
        <f ca="1">'TUSD BE'!$AK$35*'TUSD BE'!$AK$61</f>
        <v>4.4334202298329732E-2</v>
      </c>
      <c r="AL35" s="61">
        <f ca="1">SUM($AH$35:$AK$35)</f>
        <v>-3.4647839848907651</v>
      </c>
      <c r="AM35" s="61">
        <f ca="1">SUMIF($L$4:$AL$4,"SUBTOTAL",$L$35:$AL$35)+AZ35</f>
        <v>-53.684005497946323</v>
      </c>
      <c r="AO35" s="68">
        <f ca="1">+'TUSD BE'!$T$35+'TUSD BE'!$AB$35+'TUSD BE'!$AD$35+'TUSD BE'!$AL$35</f>
        <v>365.62448600736451</v>
      </c>
      <c r="AP35" s="68">
        <f ca="1">+'TUSD BE'!$T$35+'TUSD BE'!$AB$35+'TUSD BE'!$AD$35+'TUSD BE'!$AL$35</f>
        <v>365.62448600736451</v>
      </c>
      <c r="AQ35" s="9" t="str">
        <f t="shared" si="0"/>
        <v>B2</v>
      </c>
      <c r="AR35" s="9" t="str">
        <f t="shared" si="1"/>
        <v>Branca</v>
      </c>
      <c r="AS35" s="9" t="str">
        <f t="shared" si="2"/>
        <v>Rural</v>
      </c>
      <c r="AT35" s="9" t="str">
        <f t="shared" si="3"/>
        <v>Não se aplica</v>
      </c>
      <c r="AU35" s="9" t="str">
        <f t="shared" si="4"/>
        <v>Não se aplica</v>
      </c>
      <c r="AV35" s="9">
        <f t="shared" si="5"/>
        <v>1</v>
      </c>
      <c r="AW35" s="9">
        <f ca="1">TarifaMedia!$G$20</f>
        <v>0</v>
      </c>
      <c r="AX35" s="15">
        <f ca="1">'TUSD BE'!$AM35+'TUSD BF'!$AM35+'TUSD CVA'!$AM35</f>
        <v>328.46259061860673</v>
      </c>
      <c r="AY35" s="9">
        <f>ROUND(280.89/(1-CUSTOS!$M$38),2)</f>
        <v>298.82</v>
      </c>
      <c r="AZ35" s="9">
        <f t="shared" ca="1" si="6"/>
        <v>0</v>
      </c>
      <c r="BC35" s="53" t="s">
        <v>1284</v>
      </c>
    </row>
    <row r="36" spans="1:55" ht="11.25" customHeight="1" x14ac:dyDescent="0.3">
      <c r="A36" s="132"/>
      <c r="B36" s="65" t="s">
        <v>23</v>
      </c>
      <c r="C36" s="65" t="s">
        <v>43</v>
      </c>
      <c r="D36" s="65" t="s">
        <v>25</v>
      </c>
      <c r="E36" s="65" t="s">
        <v>25</v>
      </c>
      <c r="F36" s="65" t="s">
        <v>25</v>
      </c>
      <c r="G36" s="66" t="s">
        <v>81</v>
      </c>
      <c r="H36" s="66" t="s">
        <v>76</v>
      </c>
      <c r="I36" s="66">
        <f>'MERCADO TUSD'!$U$33</f>
        <v>18691.718999999997</v>
      </c>
      <c r="J36" s="15"/>
      <c r="L36" s="61">
        <f>'TUSD BE'!$L$36*'TUSD BE'!$L$61</f>
        <v>-9.0258987104960456E-2</v>
      </c>
      <c r="M36" s="61">
        <f>'TUSD BE'!$M$36*'TUSD BE'!$M$61</f>
        <v>-1.9491624390069004E-2</v>
      </c>
      <c r="N36" s="61">
        <f ca="1">'TUSD BE'!$N$36*'TUSD BE'!$N$61</f>
        <v>-3.1659055145103425E-5</v>
      </c>
      <c r="O36" s="61">
        <f>'TUSD BE'!$O$36*'TUSD BE'!$O$61</f>
        <v>0</v>
      </c>
      <c r="P36" s="61">
        <f>'TUSD BE'!$P$36*'TUSD BE'!$P$61</f>
        <v>0</v>
      </c>
      <c r="Q36" s="61">
        <f>'TUSD BE'!$Q$36*'TUSD BE'!$Q$61</f>
        <v>-0.9531040471094272</v>
      </c>
      <c r="R36" s="61">
        <f>'TUSD BE'!$R$36*'TUSD BE'!$R$61</f>
        <v>-0.1436055413628014</v>
      </c>
      <c r="S36" s="61">
        <f>'TUSD BE'!$R$36*'TUSD BE'!$S$61</f>
        <v>0</v>
      </c>
      <c r="T36" s="61">
        <f ca="1">SUM($L$36:$S$36)</f>
        <v>-1.2064918590224032</v>
      </c>
      <c r="U36" s="61">
        <f>'TUSD BE'!$U$36*'TUSD BE'!$U$61</f>
        <v>0</v>
      </c>
      <c r="V36" s="61">
        <f>'TUSD BE'!$V$36*'TUSD BE'!$V$61</f>
        <v>0</v>
      </c>
      <c r="W36" s="61">
        <f>'TUSD BE'!$W$36*'TUSD BE'!$W$61</f>
        <v>0</v>
      </c>
      <c r="X36" s="61">
        <f>'TUSD BE'!$X$36*'TUSD BE'!$X$61</f>
        <v>0</v>
      </c>
      <c r="Y36" s="61">
        <f>'TUSD BE'!$Y$36*'TUSD BE'!$Y$61</f>
        <v>-26.516177640044145</v>
      </c>
      <c r="Z36" s="61">
        <f>'TUSD BE'!$Z$36*'TUSD BE'!$Z$61</f>
        <v>0</v>
      </c>
      <c r="AA36" s="61">
        <f>'TUSD BE'!$AA$36*'TUSD BE'!$AA$61</f>
        <v>0</v>
      </c>
      <c r="AB36" s="61">
        <f>SUM($U$36:$AA$36)</f>
        <v>-26.516177640044145</v>
      </c>
      <c r="AC36" s="61">
        <f>'TUSD BE'!$AC$36*'TUSD BE'!$AC$61</f>
        <v>19.810715898533843</v>
      </c>
      <c r="AD36" s="61">
        <f>SUM($AC$36:$AC$36)</f>
        <v>19.810715898533843</v>
      </c>
      <c r="AE36" s="61">
        <f ca="1">$AO$36*$AO$58</f>
        <v>-61.545890892764554</v>
      </c>
      <c r="AF36" s="61">
        <f ca="1">$AP$36*$AP$58</f>
        <v>0</v>
      </c>
      <c r="AG36" s="61">
        <f ca="1">SUM($AE$36:$AF$36)</f>
        <v>-61.545890892764554</v>
      </c>
      <c r="AH36" s="61">
        <f>'TUSD BE'!$AH$36*'TUSD BE'!$AH$61</f>
        <v>-3.3489723642270079</v>
      </c>
      <c r="AI36" s="61">
        <f>'TUSD BE'!$AI$36*'TUSD BE'!$AI$61</f>
        <v>-3.4250661326898323E-2</v>
      </c>
      <c r="AJ36" s="61">
        <f ca="1">'TUSD BE'!$AJ$36*'TUSD BE'!$AJ$61</f>
        <v>-0.12589516163518874</v>
      </c>
      <c r="AK36" s="61">
        <f ca="1">'TUSD BE'!$AK$36*'TUSD BE'!$AK$61</f>
        <v>4.4334202298329732E-2</v>
      </c>
      <c r="AL36" s="61">
        <f ca="1">SUM($AH$36:$AK$36)</f>
        <v>-3.4647839848907651</v>
      </c>
      <c r="AM36" s="61">
        <f ca="1">SUMIF($L$4:$AL$4,"SUBTOTAL",$L$36:$AL$36)+AZ36</f>
        <v>-72.922628478188017</v>
      </c>
      <c r="AO36" s="68">
        <f ca="1">+'TUSD BE'!$T$36+'TUSD BE'!$AB$36+'TUSD BE'!$AD$36+'TUSD BE'!$AL$36</f>
        <v>502.42322646964709</v>
      </c>
      <c r="AP36" s="68">
        <f ca="1">+'TUSD BE'!$T$36+'TUSD BE'!$AB$36+'TUSD BE'!$AD$36+'TUSD BE'!$AL$36</f>
        <v>502.42322646964709</v>
      </c>
      <c r="AQ36" s="9" t="str">
        <f t="shared" si="0"/>
        <v>B2</v>
      </c>
      <c r="AR36" s="9" t="str">
        <f t="shared" si="1"/>
        <v>Convencional</v>
      </c>
      <c r="AS36" s="9" t="str">
        <f t="shared" si="2"/>
        <v>Rural</v>
      </c>
      <c r="AT36" s="9" t="str">
        <f t="shared" si="3"/>
        <v>Não se aplica</v>
      </c>
      <c r="AU36" s="9" t="str">
        <f t="shared" si="4"/>
        <v>Não se aplica</v>
      </c>
      <c r="AV36" s="9">
        <f t="shared" si="5"/>
        <v>1</v>
      </c>
      <c r="AW36" s="9">
        <f ca="1">TarifaMedia!$G$20</f>
        <v>0</v>
      </c>
      <c r="AX36" s="15">
        <f ca="1">'TUSD BE'!$AM36+'TUSD BF'!$AM36+'TUSD CVA'!$AM36</f>
        <v>446.02270810064761</v>
      </c>
      <c r="AY36" s="9">
        <v>437.54</v>
      </c>
      <c r="AZ36" s="9">
        <f t="shared" ca="1" si="6"/>
        <v>0</v>
      </c>
      <c r="BC36" s="53" t="s">
        <v>1278</v>
      </c>
    </row>
    <row r="37" spans="1:55" ht="11.25" customHeight="1" x14ac:dyDescent="0.3">
      <c r="A37" s="132"/>
      <c r="B37" s="132" t="s">
        <v>33</v>
      </c>
      <c r="C37" s="132" t="s">
        <v>43</v>
      </c>
      <c r="D37" s="132" t="s">
        <v>96</v>
      </c>
      <c r="E37" s="132" t="s">
        <v>25</v>
      </c>
      <c r="F37" s="132" t="s">
        <v>25</v>
      </c>
      <c r="G37" s="66" t="s">
        <v>77</v>
      </c>
      <c r="H37" s="66" t="s">
        <v>76</v>
      </c>
      <c r="I37" s="66">
        <f>'MERCADO TUSD'!$U$34</f>
        <v>0</v>
      </c>
      <c r="J37" s="15"/>
      <c r="L37" s="61">
        <f>'TUSD BE'!$L$37*'TUSD BE'!$L$61</f>
        <v>-9.0258987104960456E-2</v>
      </c>
      <c r="M37" s="61">
        <f>'TUSD BE'!$M$37*'TUSD BE'!$M$61</f>
        <v>-1.9491624390069004E-2</v>
      </c>
      <c r="N37" s="61">
        <f ca="1">'TUSD BE'!$N$37*'TUSD BE'!$N$61</f>
        <v>-8.8303324156179056E-5</v>
      </c>
      <c r="O37" s="61">
        <f>'TUSD BE'!$O$37*'TUSD BE'!$O$61</f>
        <v>0</v>
      </c>
      <c r="P37" s="61">
        <f>'TUSD BE'!$P$37*'TUSD BE'!$P$61</f>
        <v>0</v>
      </c>
      <c r="Q37" s="61">
        <f>'TUSD BE'!$Q$37*'TUSD BE'!$Q$61</f>
        <v>-0.9531040471094272</v>
      </c>
      <c r="R37" s="61">
        <f>'TUSD BE'!$R$37*'TUSD BE'!$R$61</f>
        <v>-0.1436055413628014</v>
      </c>
      <c r="S37" s="61">
        <f>'TUSD BE'!$R$37*'TUSD BE'!$S$61</f>
        <v>0</v>
      </c>
      <c r="T37" s="61">
        <f ca="1">SUM($L$37:$S$37)</f>
        <v>-1.2065485032914143</v>
      </c>
      <c r="U37" s="61">
        <f>'TUSD BE'!$U$37*'TUSD BE'!$U$61</f>
        <v>0</v>
      </c>
      <c r="V37" s="61">
        <f>'TUSD BE'!$V$37*'TUSD BE'!$V$61</f>
        <v>0</v>
      </c>
      <c r="W37" s="61">
        <f>'TUSD BE'!$W$37*'TUSD BE'!$W$61</f>
        <v>0</v>
      </c>
      <c r="X37" s="61">
        <f>'TUSD BE'!$X$37*'TUSD BE'!$X$61</f>
        <v>0</v>
      </c>
      <c r="Y37" s="61">
        <f>'TUSD BE'!$Y$37*'TUSD BE'!$Y$61</f>
        <v>-83.525973692780909</v>
      </c>
      <c r="Z37" s="61">
        <f>'TUSD BE'!$Z$37*'TUSD BE'!$Z$61</f>
        <v>0</v>
      </c>
      <c r="AA37" s="61">
        <f>'TUSD BE'!$AA$37*'TUSD BE'!$AA$61</f>
        <v>0</v>
      </c>
      <c r="AB37" s="61">
        <f>SUM($U$37:$AA$37)</f>
        <v>-83.525973692780909</v>
      </c>
      <c r="AC37" s="61">
        <f>'TUSD BE'!$AC$37*'TUSD BE'!$AC$61</f>
        <v>62.403754068915539</v>
      </c>
      <c r="AD37" s="61">
        <f>SUM($AC$37:$AC$37)</f>
        <v>62.403754068915539</v>
      </c>
      <c r="AE37" s="61">
        <f ca="1">$AO$37*$AO$58</f>
        <v>-158.92105516068926</v>
      </c>
      <c r="AF37" s="61">
        <f ca="1">$AP$37*$AP$58</f>
        <v>0</v>
      </c>
      <c r="AG37" s="61">
        <f ca="1">SUM($AE$37:$AF$37)</f>
        <v>-158.92105516068926</v>
      </c>
      <c r="AH37" s="61">
        <f>'TUSD BE'!$AH$37*'TUSD BE'!$AH$61</f>
        <v>-3.3489723642270079</v>
      </c>
      <c r="AI37" s="61">
        <f>'TUSD BE'!$AI$37*'TUSD BE'!$AI$61</f>
        <v>-3.4250661326898323E-2</v>
      </c>
      <c r="AJ37" s="61">
        <f ca="1">'TUSD BE'!$AJ$37*'TUSD BE'!$AJ$61</f>
        <v>-0.12589516163518874</v>
      </c>
      <c r="AK37" s="61">
        <f ca="1">'TUSD BE'!$AK$37*'TUSD BE'!$AK$61</f>
        <v>4.4334202298329732E-2</v>
      </c>
      <c r="AL37" s="61">
        <f ca="1">SUM($AH$37:$AK$37)</f>
        <v>-3.4647839848907651</v>
      </c>
      <c r="AM37" s="61">
        <f ca="1">SUMIF($L$4:$AL$4,"SUBTOTAL",$L$37:$AL$37)+AZ37</f>
        <v>-184.71460727273683</v>
      </c>
      <c r="AO37" s="68">
        <f ca="1">+'TUSD BE'!$T$37+'TUSD BE'!$AB$37+'TUSD BE'!$AD$37+'TUSD BE'!$AL$37</f>
        <v>1297.3348525722788</v>
      </c>
      <c r="AP37" s="68">
        <f ca="1">+'TUSD BE'!$T$37+'TUSD BE'!$AB$37+'TUSD BE'!$AD$37+'TUSD BE'!$AL$37</f>
        <v>1297.3348525722788</v>
      </c>
      <c r="AQ37" s="9" t="str">
        <f t="shared" ref="AQ37:AQ54" si="7">IF($A37="",AQ36,$A37)</f>
        <v>B2</v>
      </c>
      <c r="AR37" s="9" t="str">
        <f t="shared" ref="AR37:AR54" si="8">IF($B37="",AR36,$B37)</f>
        <v>Branca</v>
      </c>
      <c r="AS37" s="9" t="str">
        <f t="shared" ref="AS37:AS54" si="9">IF($C37="",AS36,$C37)</f>
        <v>Rural</v>
      </c>
      <c r="AT37" s="9" t="str">
        <f t="shared" ref="AT37:AT54" si="10">IF($D37="",AT36,$D37)</f>
        <v>Cooperativa de eletrificação rural</v>
      </c>
      <c r="AU37" s="9" t="str">
        <f t="shared" ref="AU37:AU54" si="11">IF($E37="",AU36,$E37)</f>
        <v>Não se aplica</v>
      </c>
      <c r="AV37" s="9">
        <f t="shared" ref="AV37:AV54" si="12">IF(OR(AR37="Distribuição",AR37="Geração"),0,1)</f>
        <v>1</v>
      </c>
      <c r="AW37" s="9">
        <f ca="1">TarifaMedia!$G$20</f>
        <v>0</v>
      </c>
      <c r="AX37" s="15">
        <f ca="1">'TUSD BE'!$AM37+'TUSD BF'!$AM37+'TUSD CVA'!$AM37</f>
        <v>1129.1423554087305</v>
      </c>
      <c r="AY37" s="9">
        <f>ROUND(845.96/(1-CUSTOS!$M$38),2)</f>
        <v>899.96</v>
      </c>
      <c r="AZ37" s="9">
        <f t="shared" ref="AZ37:AZ54" ca="1" si="13">(AY37-AX37)*AW37*AV37</f>
        <v>0</v>
      </c>
      <c r="BC37" s="53" t="s">
        <v>1282</v>
      </c>
    </row>
    <row r="38" spans="1:55" ht="11.25" customHeight="1" x14ac:dyDescent="0.3">
      <c r="A38" s="132"/>
      <c r="B38" s="132"/>
      <c r="C38" s="132"/>
      <c r="D38" s="132"/>
      <c r="E38" s="132"/>
      <c r="F38" s="132"/>
      <c r="G38" s="66" t="s">
        <v>93</v>
      </c>
      <c r="H38" s="66" t="s">
        <v>76</v>
      </c>
      <c r="I38" s="66">
        <f>'MERCADO TUSD'!$U$35</f>
        <v>0</v>
      </c>
      <c r="J38" s="15"/>
      <c r="L38" s="61">
        <f>'TUSD BE'!$L$38*'TUSD BE'!$L$61</f>
        <v>-9.0258987104960456E-2</v>
      </c>
      <c r="M38" s="61">
        <f>'TUSD BE'!$M$38*'TUSD BE'!$M$61</f>
        <v>-1.9491624390069004E-2</v>
      </c>
      <c r="N38" s="61">
        <f ca="1">'TUSD BE'!$N$38*'TUSD BE'!$N$61</f>
        <v>-5.5107144149210322E-5</v>
      </c>
      <c r="O38" s="61">
        <f>'TUSD BE'!$O$38*'TUSD BE'!$O$61</f>
        <v>0</v>
      </c>
      <c r="P38" s="61">
        <f>'TUSD BE'!$P$38*'TUSD BE'!$P$61</f>
        <v>0</v>
      </c>
      <c r="Q38" s="61">
        <f>'TUSD BE'!$Q$38*'TUSD BE'!$Q$61</f>
        <v>-0.9531040471094272</v>
      </c>
      <c r="R38" s="61">
        <f>'TUSD BE'!$R$38*'TUSD BE'!$R$61</f>
        <v>-0.1436055413628014</v>
      </c>
      <c r="S38" s="61">
        <f>'TUSD BE'!$R$38*'TUSD BE'!$S$61</f>
        <v>0</v>
      </c>
      <c r="T38" s="61">
        <f ca="1">SUM($L$38:$S$38)</f>
        <v>-1.2065153071114074</v>
      </c>
      <c r="U38" s="61">
        <f>'TUSD BE'!$U$38*'TUSD BE'!$U$61</f>
        <v>0</v>
      </c>
      <c r="V38" s="61">
        <f>'TUSD BE'!$V$38*'TUSD BE'!$V$61</f>
        <v>0</v>
      </c>
      <c r="W38" s="61">
        <f>'TUSD BE'!$W$38*'TUSD BE'!$W$61</f>
        <v>0</v>
      </c>
      <c r="X38" s="61">
        <f>'TUSD BE'!$X$38*'TUSD BE'!$X$61</f>
        <v>0</v>
      </c>
      <c r="Y38" s="61">
        <f>'TUSD BE'!$Y$38*'TUSD BE'!$Y$61</f>
        <v>-50.115580448564053</v>
      </c>
      <c r="Z38" s="61">
        <f>'TUSD BE'!$Z$38*'TUSD BE'!$Z$61</f>
        <v>0</v>
      </c>
      <c r="AA38" s="61">
        <f>'TUSD BE'!$AA$38*'TUSD BE'!$AA$61</f>
        <v>0</v>
      </c>
      <c r="AB38" s="61">
        <f>SUM($U$38:$AA$38)</f>
        <v>-50.115580448564053</v>
      </c>
      <c r="AC38" s="61">
        <f>'TUSD BE'!$AC$38*'TUSD BE'!$AC$61</f>
        <v>37.44224839548508</v>
      </c>
      <c r="AD38" s="61">
        <f>SUM($AC$38:$AC$38)</f>
        <v>37.44224839548508</v>
      </c>
      <c r="AE38" s="61">
        <f ca="1">$AO$38*$AO$58</f>
        <v>-101.85467338965728</v>
      </c>
      <c r="AF38" s="61">
        <f ca="1">$AP$38*$AP$58</f>
        <v>0</v>
      </c>
      <c r="AG38" s="61">
        <f ca="1">SUM($AE$38:$AF$38)</f>
        <v>-101.85467338965728</v>
      </c>
      <c r="AH38" s="61">
        <f>'TUSD BE'!$AH$38*'TUSD BE'!$AH$61</f>
        <v>-3.3489723642270079</v>
      </c>
      <c r="AI38" s="61">
        <f>'TUSD BE'!$AI$38*'TUSD BE'!$AI$61</f>
        <v>-3.4250661326898323E-2</v>
      </c>
      <c r="AJ38" s="61">
        <f ca="1">'TUSD BE'!$AJ$38*'TUSD BE'!$AJ$61</f>
        <v>-0.12589516163518874</v>
      </c>
      <c r="AK38" s="61">
        <f ca="1">'TUSD BE'!$AK$38*'TUSD BE'!$AK$61</f>
        <v>4.4334202298329732E-2</v>
      </c>
      <c r="AL38" s="61">
        <f ca="1">SUM($AH$38:$AK$38)</f>
        <v>-3.4647839848907651</v>
      </c>
      <c r="AM38" s="61">
        <f ca="1">SUMIF($L$4:$AL$4,"SUBTOTAL",$L$38:$AL$38)+AZ38</f>
        <v>-119.19930473473843</v>
      </c>
      <c r="AO38" s="68">
        <f ca="1">+'TUSD BE'!$T$38+'TUSD BE'!$AB$38+'TUSD BE'!$AD$38+'TUSD BE'!$AL$38</f>
        <v>831.47961453036407</v>
      </c>
      <c r="AP38" s="68">
        <f ca="1">+'TUSD BE'!$T$38+'TUSD BE'!$AB$38+'TUSD BE'!$AD$38+'TUSD BE'!$AL$38</f>
        <v>831.47961453036407</v>
      </c>
      <c r="AQ38" s="9" t="str">
        <f t="shared" si="7"/>
        <v>B2</v>
      </c>
      <c r="AR38" s="9" t="str">
        <f t="shared" si="8"/>
        <v>Branca</v>
      </c>
      <c r="AS38" s="9" t="str">
        <f t="shared" si="9"/>
        <v>Rural</v>
      </c>
      <c r="AT38" s="9" t="str">
        <f t="shared" si="10"/>
        <v>Cooperativa de eletrificação rural</v>
      </c>
      <c r="AU38" s="9" t="str">
        <f t="shared" si="11"/>
        <v>Não se aplica</v>
      </c>
      <c r="AV38" s="9">
        <f t="shared" si="12"/>
        <v>1</v>
      </c>
      <c r="AW38" s="9">
        <f ca="1">TarifaMedia!$G$20</f>
        <v>0</v>
      </c>
      <c r="AX38" s="15">
        <f ca="1">'TUSD BE'!$AM38+'TUSD BF'!$AM38+'TUSD CVA'!$AM38</f>
        <v>728.8024199048142</v>
      </c>
      <c r="AY38" s="9">
        <f>ROUND(563.42/(1-CUSTOS!$M$38),2)</f>
        <v>599.38</v>
      </c>
      <c r="AZ38" s="9">
        <f t="shared" ca="1" si="13"/>
        <v>0</v>
      </c>
      <c r="BC38" s="53" t="s">
        <v>1283</v>
      </c>
    </row>
    <row r="39" spans="1:55" ht="11.25" customHeight="1" x14ac:dyDescent="0.3">
      <c r="A39" s="132"/>
      <c r="B39" s="132"/>
      <c r="C39" s="132"/>
      <c r="D39" s="132"/>
      <c r="E39" s="132"/>
      <c r="F39" s="132"/>
      <c r="G39" s="66" t="s">
        <v>78</v>
      </c>
      <c r="H39" s="66" t="s">
        <v>76</v>
      </c>
      <c r="I39" s="66">
        <f>'MERCADO TUSD'!$U$36</f>
        <v>0</v>
      </c>
      <c r="J39" s="15"/>
      <c r="L39" s="61">
        <f>'TUSD BE'!$L$39*'TUSD BE'!$L$61</f>
        <v>-9.0258987104960456E-2</v>
      </c>
      <c r="M39" s="61">
        <f>'TUSD BE'!$M$39*'TUSD BE'!$M$61</f>
        <v>-1.9491624390069004E-2</v>
      </c>
      <c r="N39" s="61">
        <f ca="1">'TUSD BE'!$N$39*'TUSD BE'!$N$61</f>
        <v>-2.1910971968481861E-5</v>
      </c>
      <c r="O39" s="61">
        <f>'TUSD BE'!$O$39*'TUSD BE'!$O$61</f>
        <v>0</v>
      </c>
      <c r="P39" s="61">
        <f>'TUSD BE'!$P$39*'TUSD BE'!$P$61</f>
        <v>0</v>
      </c>
      <c r="Q39" s="61">
        <f>'TUSD BE'!$Q$39*'TUSD BE'!$Q$61</f>
        <v>-0.9531040471094272</v>
      </c>
      <c r="R39" s="61">
        <f>'TUSD BE'!$R$39*'TUSD BE'!$R$61</f>
        <v>-0.1436055413628014</v>
      </c>
      <c r="S39" s="61">
        <f>'TUSD BE'!$R$39*'TUSD BE'!$S$61</f>
        <v>0</v>
      </c>
      <c r="T39" s="61">
        <f ca="1">SUM($L$39:$S$39)</f>
        <v>-1.2064821109392265</v>
      </c>
      <c r="U39" s="61">
        <f>'TUSD BE'!$U$39*'TUSD BE'!$U$61</f>
        <v>0</v>
      </c>
      <c r="V39" s="61">
        <f>'TUSD BE'!$V$39*'TUSD BE'!$V$61</f>
        <v>0</v>
      </c>
      <c r="W39" s="61">
        <f>'TUSD BE'!$W$39*'TUSD BE'!$W$61</f>
        <v>0</v>
      </c>
      <c r="X39" s="61">
        <f>'TUSD BE'!$X$39*'TUSD BE'!$X$61</f>
        <v>0</v>
      </c>
      <c r="Y39" s="61">
        <f>'TUSD BE'!$Y$39*'TUSD BE'!$Y$61</f>
        <v>-16.705187204347197</v>
      </c>
      <c r="Z39" s="61">
        <f>'TUSD BE'!$Z$39*'TUSD BE'!$Z$61</f>
        <v>0</v>
      </c>
      <c r="AA39" s="61">
        <f>'TUSD BE'!$AA$39*'TUSD BE'!$AA$61</f>
        <v>0</v>
      </c>
      <c r="AB39" s="61">
        <f>SUM($U$39:$AA$39)</f>
        <v>-16.705187204347197</v>
      </c>
      <c r="AC39" s="61">
        <f>'TUSD BE'!$AC$39*'TUSD BE'!$AC$61</f>
        <v>12.480752836715233</v>
      </c>
      <c r="AD39" s="61">
        <f>SUM($AC$39:$AC$39)</f>
        <v>12.480752836715233</v>
      </c>
      <c r="AE39" s="61">
        <f ca="1">$AO$39*$AO$58</f>
        <v>-44.788305034484367</v>
      </c>
      <c r="AF39" s="61">
        <f ca="1">$AP$39*$AP$58</f>
        <v>0</v>
      </c>
      <c r="AG39" s="61">
        <f ca="1">SUM($AE$39:$AF$39)</f>
        <v>-44.788305034484367</v>
      </c>
      <c r="AH39" s="61">
        <f>'TUSD BE'!$AH$39*'TUSD BE'!$AH$61</f>
        <v>-3.3489723642270079</v>
      </c>
      <c r="AI39" s="61">
        <f>'TUSD BE'!$AI$39*'TUSD BE'!$AI$61</f>
        <v>-3.4250661326898323E-2</v>
      </c>
      <c r="AJ39" s="61">
        <f ca="1">'TUSD BE'!$AJ$39*'TUSD BE'!$AJ$61</f>
        <v>-0.12589516163518874</v>
      </c>
      <c r="AK39" s="61">
        <f ca="1">'TUSD BE'!$AK$39*'TUSD BE'!$AK$61</f>
        <v>4.4334202298329732E-2</v>
      </c>
      <c r="AL39" s="61">
        <f ca="1">SUM($AH$39:$AK$39)</f>
        <v>-3.4647839848907651</v>
      </c>
      <c r="AM39" s="61">
        <f ca="1">SUMIF($L$4:$AL$4,"SUBTOTAL",$L$39:$AL$39)+AZ39</f>
        <v>-53.684005497946323</v>
      </c>
      <c r="AO39" s="68">
        <f ca="1">+'TUSD BE'!$T$39+'TUSD BE'!$AB$39+'TUSD BE'!$AD$39+'TUSD BE'!$AL$39</f>
        <v>365.62448600736451</v>
      </c>
      <c r="AP39" s="68">
        <f ca="1">+'TUSD BE'!$T$39+'TUSD BE'!$AB$39+'TUSD BE'!$AD$39+'TUSD BE'!$AL$39</f>
        <v>365.62448600736451</v>
      </c>
      <c r="AQ39" s="9" t="str">
        <f t="shared" si="7"/>
        <v>B2</v>
      </c>
      <c r="AR39" s="9" t="str">
        <f t="shared" si="8"/>
        <v>Branca</v>
      </c>
      <c r="AS39" s="9" t="str">
        <f t="shared" si="9"/>
        <v>Rural</v>
      </c>
      <c r="AT39" s="9" t="str">
        <f t="shared" si="10"/>
        <v>Cooperativa de eletrificação rural</v>
      </c>
      <c r="AU39" s="9" t="str">
        <f t="shared" si="11"/>
        <v>Não se aplica</v>
      </c>
      <c r="AV39" s="9">
        <f t="shared" si="12"/>
        <v>1</v>
      </c>
      <c r="AW39" s="9">
        <f ca="1">TarifaMedia!$G$20</f>
        <v>0</v>
      </c>
      <c r="AX39" s="15">
        <f ca="1">'TUSD BE'!$AM39+'TUSD BF'!$AM39+'TUSD CVA'!$AM39</f>
        <v>328.46259061860673</v>
      </c>
      <c r="AY39" s="9">
        <f>ROUND(280.89/(1-CUSTOS!$M$38),2)</f>
        <v>298.82</v>
      </c>
      <c r="AZ39" s="9">
        <f t="shared" ca="1" si="13"/>
        <v>0</v>
      </c>
      <c r="BC39" s="53" t="s">
        <v>1284</v>
      </c>
    </row>
    <row r="40" spans="1:55" ht="11.25" customHeight="1" x14ac:dyDescent="0.3">
      <c r="A40" s="132"/>
      <c r="B40" s="65" t="s">
        <v>23</v>
      </c>
      <c r="C40" s="65" t="s">
        <v>43</v>
      </c>
      <c r="D40" s="65" t="s">
        <v>96</v>
      </c>
      <c r="E40" s="65" t="s">
        <v>25</v>
      </c>
      <c r="F40" s="65" t="s">
        <v>25</v>
      </c>
      <c r="G40" s="66" t="s">
        <v>81</v>
      </c>
      <c r="H40" s="66" t="s">
        <v>76</v>
      </c>
      <c r="I40" s="66">
        <f>'MERCADO TUSD'!$U$37</f>
        <v>0</v>
      </c>
      <c r="J40" s="15"/>
      <c r="L40" s="61">
        <f>'TUSD BE'!$L$40*'TUSD BE'!$L$61</f>
        <v>-9.0258987104960456E-2</v>
      </c>
      <c r="M40" s="61">
        <f>'TUSD BE'!$M$40*'TUSD BE'!$M$61</f>
        <v>-1.9491624390069004E-2</v>
      </c>
      <c r="N40" s="61">
        <f ca="1">'TUSD BE'!$N$40*'TUSD BE'!$N$61</f>
        <v>-3.1659055145103425E-5</v>
      </c>
      <c r="O40" s="61">
        <f>'TUSD BE'!$O$40*'TUSD BE'!$O$61</f>
        <v>0</v>
      </c>
      <c r="P40" s="61">
        <f>'TUSD BE'!$P$40*'TUSD BE'!$P$61</f>
        <v>0</v>
      </c>
      <c r="Q40" s="61">
        <f>'TUSD BE'!$Q$40*'TUSD BE'!$Q$61</f>
        <v>-0.9531040471094272</v>
      </c>
      <c r="R40" s="61">
        <f>'TUSD BE'!$R$40*'TUSD BE'!$R$61</f>
        <v>-0.1436055413628014</v>
      </c>
      <c r="S40" s="61">
        <f>'TUSD BE'!$R$40*'TUSD BE'!$S$61</f>
        <v>0</v>
      </c>
      <c r="T40" s="61">
        <f ca="1">SUM($L$40:$S$40)</f>
        <v>-1.2064918590224032</v>
      </c>
      <c r="U40" s="61">
        <f>'TUSD BE'!$U$40*'TUSD BE'!$U$61</f>
        <v>0</v>
      </c>
      <c r="V40" s="61">
        <f>'TUSD BE'!$V$40*'TUSD BE'!$V$61</f>
        <v>0</v>
      </c>
      <c r="W40" s="61">
        <f>'TUSD BE'!$W$40*'TUSD BE'!$W$61</f>
        <v>0</v>
      </c>
      <c r="X40" s="61">
        <f>'TUSD BE'!$X$40*'TUSD BE'!$X$61</f>
        <v>0</v>
      </c>
      <c r="Y40" s="61">
        <f>'TUSD BE'!$Y$40*'TUSD BE'!$Y$61</f>
        <v>-26.516177640044145</v>
      </c>
      <c r="Z40" s="61">
        <f>'TUSD BE'!$Z$40*'TUSD BE'!$Z$61</f>
        <v>0</v>
      </c>
      <c r="AA40" s="61">
        <f>'TUSD BE'!$AA$40*'TUSD BE'!$AA$61</f>
        <v>0</v>
      </c>
      <c r="AB40" s="61">
        <f>SUM($U$40:$AA$40)</f>
        <v>-26.516177640044145</v>
      </c>
      <c r="AC40" s="61">
        <f>'TUSD BE'!$AC$40*'TUSD BE'!$AC$61</f>
        <v>19.810715898533843</v>
      </c>
      <c r="AD40" s="61">
        <f>SUM($AC$40:$AC$40)</f>
        <v>19.810715898533843</v>
      </c>
      <c r="AE40" s="61">
        <f ca="1">$AO$40*$AO$58</f>
        <v>-61.545890892764554</v>
      </c>
      <c r="AF40" s="61">
        <f ca="1">$AP$40*$AP$58</f>
        <v>0</v>
      </c>
      <c r="AG40" s="61">
        <f ca="1">SUM($AE$40:$AF$40)</f>
        <v>-61.545890892764554</v>
      </c>
      <c r="AH40" s="61">
        <f>'TUSD BE'!$AH$40*'TUSD BE'!$AH$61</f>
        <v>-3.3489723642270079</v>
      </c>
      <c r="AI40" s="61">
        <f>'TUSD BE'!$AI$40*'TUSD BE'!$AI$61</f>
        <v>-3.4250661326898323E-2</v>
      </c>
      <c r="AJ40" s="61">
        <f ca="1">'TUSD BE'!$AJ$40*'TUSD BE'!$AJ$61</f>
        <v>-0.12589516163518874</v>
      </c>
      <c r="AK40" s="61">
        <f ca="1">'TUSD BE'!$AK$40*'TUSD BE'!$AK$61</f>
        <v>4.4334202298329732E-2</v>
      </c>
      <c r="AL40" s="61">
        <f ca="1">SUM($AH$40:$AK$40)</f>
        <v>-3.4647839848907651</v>
      </c>
      <c r="AM40" s="61">
        <f ca="1">SUMIF($L$4:$AL$4,"SUBTOTAL",$L$40:$AL$40)+AZ40</f>
        <v>-72.922628478188017</v>
      </c>
      <c r="AO40" s="68">
        <f ca="1">+'TUSD BE'!$T$40+'TUSD BE'!$AB$40+'TUSD BE'!$AD$40+'TUSD BE'!$AL$40</f>
        <v>502.42322646964709</v>
      </c>
      <c r="AP40" s="68">
        <f ca="1">+'TUSD BE'!$T$40+'TUSD BE'!$AB$40+'TUSD BE'!$AD$40+'TUSD BE'!$AL$40</f>
        <v>502.42322646964709</v>
      </c>
      <c r="AQ40" s="9" t="str">
        <f t="shared" si="7"/>
        <v>B2</v>
      </c>
      <c r="AR40" s="9" t="str">
        <f t="shared" si="8"/>
        <v>Convencional</v>
      </c>
      <c r="AS40" s="9" t="str">
        <f t="shared" si="9"/>
        <v>Rural</v>
      </c>
      <c r="AT40" s="9" t="str">
        <f t="shared" si="10"/>
        <v>Cooperativa de eletrificação rural</v>
      </c>
      <c r="AU40" s="9" t="str">
        <f t="shared" si="11"/>
        <v>Não se aplica</v>
      </c>
      <c r="AV40" s="9">
        <f t="shared" si="12"/>
        <v>1</v>
      </c>
      <c r="AW40" s="9">
        <f ca="1">TarifaMedia!$G$20</f>
        <v>0</v>
      </c>
      <c r="AX40" s="15">
        <f ca="1">'TUSD BE'!$AM40+'TUSD BF'!$AM40+'TUSD CVA'!$AM40</f>
        <v>446.02270810064761</v>
      </c>
      <c r="AY40" s="9">
        <v>437.54</v>
      </c>
      <c r="AZ40" s="9">
        <f t="shared" ca="1" si="13"/>
        <v>0</v>
      </c>
      <c r="BC40" s="53" t="s">
        <v>1278</v>
      </c>
    </row>
    <row r="41" spans="1:55" ht="11.25" customHeight="1" x14ac:dyDescent="0.3">
      <c r="A41" s="132"/>
      <c r="B41" s="132" t="s">
        <v>33</v>
      </c>
      <c r="C41" s="132" t="s">
        <v>43</v>
      </c>
      <c r="D41" s="132" t="s">
        <v>97</v>
      </c>
      <c r="E41" s="132" t="s">
        <v>25</v>
      </c>
      <c r="F41" s="132" t="s">
        <v>25</v>
      </c>
      <c r="G41" s="66" t="s">
        <v>77</v>
      </c>
      <c r="H41" s="66" t="s">
        <v>76</v>
      </c>
      <c r="I41" s="66">
        <f>'MERCADO TUSD'!$U$38</f>
        <v>0</v>
      </c>
      <c r="J41" s="15"/>
      <c r="L41" s="61">
        <f>'TUSD BE'!$L$41*'TUSD BE'!$L$61</f>
        <v>-9.0258987104960456E-2</v>
      </c>
      <c r="M41" s="61">
        <f>'TUSD BE'!$M$41*'TUSD BE'!$M$61</f>
        <v>-1.9491624390069004E-2</v>
      </c>
      <c r="N41" s="61">
        <f ca="1">'TUSD BE'!$N$41*'TUSD BE'!$N$61</f>
        <v>-8.8303324156179056E-5</v>
      </c>
      <c r="O41" s="61">
        <f>'TUSD BE'!$O$41*'TUSD BE'!$O$61</f>
        <v>0</v>
      </c>
      <c r="P41" s="61">
        <f>'TUSD BE'!$P$41*'TUSD BE'!$P$61</f>
        <v>0</v>
      </c>
      <c r="Q41" s="61">
        <f>'TUSD BE'!$Q$41*'TUSD BE'!$Q$61</f>
        <v>-0.9531040471094272</v>
      </c>
      <c r="R41" s="61">
        <f>'TUSD BE'!$R$41*'TUSD BE'!$R$61</f>
        <v>-0.1436055413628014</v>
      </c>
      <c r="S41" s="61">
        <f>'TUSD BE'!$R$41*'TUSD BE'!$S$61</f>
        <v>0</v>
      </c>
      <c r="T41" s="61">
        <f ca="1">SUM($L$41:$S$41)</f>
        <v>-1.2065485032914143</v>
      </c>
      <c r="U41" s="61">
        <f>'TUSD BE'!$U$41*'TUSD BE'!$U$61</f>
        <v>0</v>
      </c>
      <c r="V41" s="61">
        <f>'TUSD BE'!$V$41*'TUSD BE'!$V$61</f>
        <v>0</v>
      </c>
      <c r="W41" s="61">
        <f>'TUSD BE'!$W$41*'TUSD BE'!$W$61</f>
        <v>0</v>
      </c>
      <c r="X41" s="61">
        <f>'TUSD BE'!$X$41*'TUSD BE'!$X$61</f>
        <v>0</v>
      </c>
      <c r="Y41" s="61">
        <f>'TUSD BE'!$Y$41*'TUSD BE'!$Y$61</f>
        <v>-83.525973692780909</v>
      </c>
      <c r="Z41" s="61">
        <f>'TUSD BE'!$Z$41*'TUSD BE'!$Z$61</f>
        <v>0</v>
      </c>
      <c r="AA41" s="61">
        <f>'TUSD BE'!$AA$41*'TUSD BE'!$AA$61</f>
        <v>0</v>
      </c>
      <c r="AB41" s="61">
        <f>SUM($U$41:$AA$41)</f>
        <v>-83.525973692780909</v>
      </c>
      <c r="AC41" s="61">
        <f>'TUSD BE'!$AC$41*'TUSD BE'!$AC$61</f>
        <v>62.403754068915539</v>
      </c>
      <c r="AD41" s="61">
        <f>SUM($AC$41:$AC$41)</f>
        <v>62.403754068915539</v>
      </c>
      <c r="AE41" s="61">
        <f ca="1">$AO$41*$AO$58</f>
        <v>-158.92105516068926</v>
      </c>
      <c r="AF41" s="61">
        <f ca="1">$AP$41*$AP$58</f>
        <v>0</v>
      </c>
      <c r="AG41" s="61">
        <f ca="1">SUM($AE$41:$AF$41)</f>
        <v>-158.92105516068926</v>
      </c>
      <c r="AH41" s="61">
        <f>'TUSD BE'!$AH$41*'TUSD BE'!$AH$61</f>
        <v>-3.3489723642270079</v>
      </c>
      <c r="AI41" s="61">
        <f>'TUSD BE'!$AI$41*'TUSD BE'!$AI$61</f>
        <v>-3.4250661326898323E-2</v>
      </c>
      <c r="AJ41" s="61">
        <f ca="1">'TUSD BE'!$AJ$41*'TUSD BE'!$AJ$61</f>
        <v>-0.12589516163518874</v>
      </c>
      <c r="AK41" s="61">
        <f ca="1">'TUSD BE'!$AK$41*'TUSD BE'!$AK$61</f>
        <v>4.4334202298329732E-2</v>
      </c>
      <c r="AL41" s="61">
        <f ca="1">SUM($AH$41:$AK$41)</f>
        <v>-3.4647839848907651</v>
      </c>
      <c r="AM41" s="61">
        <f ca="1">SUMIF($L$4:$AL$4,"SUBTOTAL",$L$41:$AL$41)+AZ41</f>
        <v>-184.71460727273683</v>
      </c>
      <c r="AO41" s="68">
        <f ca="1">+'TUSD BE'!$T$41+'TUSD BE'!$AB$41+'TUSD BE'!$AD$41+'TUSD BE'!$AL$41</f>
        <v>1297.3348525722788</v>
      </c>
      <c r="AP41" s="68">
        <f ca="1">+'TUSD BE'!$T$41+'TUSD BE'!$AB$41+'TUSD BE'!$AD$41+'TUSD BE'!$AL$41</f>
        <v>1297.3348525722788</v>
      </c>
      <c r="AQ41" s="9" t="str">
        <f t="shared" si="7"/>
        <v>B2</v>
      </c>
      <c r="AR41" s="9" t="str">
        <f t="shared" si="8"/>
        <v>Branca</v>
      </c>
      <c r="AS41" s="9" t="str">
        <f t="shared" si="9"/>
        <v>Rural</v>
      </c>
      <c r="AT41" s="9" t="str">
        <f t="shared" si="10"/>
        <v>Serviço público de irrigação rural</v>
      </c>
      <c r="AU41" s="9" t="str">
        <f t="shared" si="11"/>
        <v>Não se aplica</v>
      </c>
      <c r="AV41" s="9">
        <f t="shared" si="12"/>
        <v>1</v>
      </c>
      <c r="AW41" s="9">
        <f ca="1">TarifaMedia!$G$20</f>
        <v>0</v>
      </c>
      <c r="AX41" s="15">
        <f ca="1">'TUSD BE'!$AM41+'TUSD BF'!$AM41+'TUSD CVA'!$AM41</f>
        <v>1129.1423554087305</v>
      </c>
      <c r="AY41" s="9">
        <f>ROUND(845.96/(1-CUSTOS!$M$38),2)</f>
        <v>899.96</v>
      </c>
      <c r="AZ41" s="9">
        <f t="shared" ca="1" si="13"/>
        <v>0</v>
      </c>
      <c r="BC41" s="53" t="s">
        <v>1282</v>
      </c>
    </row>
    <row r="42" spans="1:55" ht="11.25" customHeight="1" x14ac:dyDescent="0.3">
      <c r="A42" s="132"/>
      <c r="B42" s="132"/>
      <c r="C42" s="132"/>
      <c r="D42" s="132"/>
      <c r="E42" s="132"/>
      <c r="F42" s="132"/>
      <c r="G42" s="66" t="s">
        <v>93</v>
      </c>
      <c r="H42" s="66" t="s">
        <v>76</v>
      </c>
      <c r="I42" s="66">
        <f>'MERCADO TUSD'!$U$39</f>
        <v>0</v>
      </c>
      <c r="J42" s="15"/>
      <c r="L42" s="61">
        <f>'TUSD BE'!$L$42*'TUSD BE'!$L$61</f>
        <v>-9.0258987104960456E-2</v>
      </c>
      <c r="M42" s="61">
        <f>'TUSD BE'!$M$42*'TUSD BE'!$M$61</f>
        <v>-1.9491624390069004E-2</v>
      </c>
      <c r="N42" s="61">
        <f ca="1">'TUSD BE'!$N$42*'TUSD BE'!$N$61</f>
        <v>-5.5107144149210322E-5</v>
      </c>
      <c r="O42" s="61">
        <f>'TUSD BE'!$O$42*'TUSD BE'!$O$61</f>
        <v>0</v>
      </c>
      <c r="P42" s="61">
        <f>'TUSD BE'!$P$42*'TUSD BE'!$P$61</f>
        <v>0</v>
      </c>
      <c r="Q42" s="61">
        <f>'TUSD BE'!$Q$42*'TUSD BE'!$Q$61</f>
        <v>-0.9531040471094272</v>
      </c>
      <c r="R42" s="61">
        <f>'TUSD BE'!$R$42*'TUSD BE'!$R$61</f>
        <v>-0.1436055413628014</v>
      </c>
      <c r="S42" s="61">
        <f>'TUSD BE'!$R$42*'TUSD BE'!$S$61</f>
        <v>0</v>
      </c>
      <c r="T42" s="61">
        <f ca="1">SUM($L$42:$S$42)</f>
        <v>-1.2065153071114074</v>
      </c>
      <c r="U42" s="61">
        <f>'TUSD BE'!$U$42*'TUSD BE'!$U$61</f>
        <v>0</v>
      </c>
      <c r="V42" s="61">
        <f>'TUSD BE'!$V$42*'TUSD BE'!$V$61</f>
        <v>0</v>
      </c>
      <c r="W42" s="61">
        <f>'TUSD BE'!$W$42*'TUSD BE'!$W$61</f>
        <v>0</v>
      </c>
      <c r="X42" s="61">
        <f>'TUSD BE'!$X$42*'TUSD BE'!$X$61</f>
        <v>0</v>
      </c>
      <c r="Y42" s="61">
        <f>'TUSD BE'!$Y$42*'TUSD BE'!$Y$61</f>
        <v>-50.115580448564053</v>
      </c>
      <c r="Z42" s="61">
        <f>'TUSD BE'!$Z$42*'TUSD BE'!$Z$61</f>
        <v>0</v>
      </c>
      <c r="AA42" s="61">
        <f>'TUSD BE'!$AA$42*'TUSD BE'!$AA$61</f>
        <v>0</v>
      </c>
      <c r="AB42" s="61">
        <f>SUM($U$42:$AA$42)</f>
        <v>-50.115580448564053</v>
      </c>
      <c r="AC42" s="61">
        <f>'TUSD BE'!$AC$42*'TUSD BE'!$AC$61</f>
        <v>37.44224839548508</v>
      </c>
      <c r="AD42" s="61">
        <f>SUM($AC$42:$AC$42)</f>
        <v>37.44224839548508</v>
      </c>
      <c r="AE42" s="61">
        <f ca="1">$AO$42*$AO$58</f>
        <v>-101.85467338965728</v>
      </c>
      <c r="AF42" s="61">
        <f ca="1">$AP$42*$AP$58</f>
        <v>0</v>
      </c>
      <c r="AG42" s="61">
        <f ca="1">SUM($AE$42:$AF$42)</f>
        <v>-101.85467338965728</v>
      </c>
      <c r="AH42" s="61">
        <f>'TUSD BE'!$AH$42*'TUSD BE'!$AH$61</f>
        <v>-3.3489723642270079</v>
      </c>
      <c r="AI42" s="61">
        <f>'TUSD BE'!$AI$42*'TUSD BE'!$AI$61</f>
        <v>-3.4250661326898323E-2</v>
      </c>
      <c r="AJ42" s="61">
        <f ca="1">'TUSD BE'!$AJ$42*'TUSD BE'!$AJ$61</f>
        <v>-0.12589516163518874</v>
      </c>
      <c r="AK42" s="61">
        <f ca="1">'TUSD BE'!$AK$42*'TUSD BE'!$AK$61</f>
        <v>4.4334202298329732E-2</v>
      </c>
      <c r="AL42" s="61">
        <f ca="1">SUM($AH$42:$AK$42)</f>
        <v>-3.4647839848907651</v>
      </c>
      <c r="AM42" s="61">
        <f ca="1">SUMIF($L$4:$AL$4,"SUBTOTAL",$L$42:$AL$42)+AZ42</f>
        <v>-119.19930473473843</v>
      </c>
      <c r="AO42" s="68">
        <f ca="1">+'TUSD BE'!$T$42+'TUSD BE'!$AB$42+'TUSD BE'!$AD$42+'TUSD BE'!$AL$42</f>
        <v>831.47961453036407</v>
      </c>
      <c r="AP42" s="68">
        <f ca="1">+'TUSD BE'!$T$42+'TUSD BE'!$AB$42+'TUSD BE'!$AD$42+'TUSD BE'!$AL$42</f>
        <v>831.47961453036407</v>
      </c>
      <c r="AQ42" s="9" t="str">
        <f t="shared" si="7"/>
        <v>B2</v>
      </c>
      <c r="AR42" s="9" t="str">
        <f t="shared" si="8"/>
        <v>Branca</v>
      </c>
      <c r="AS42" s="9" t="str">
        <f t="shared" si="9"/>
        <v>Rural</v>
      </c>
      <c r="AT42" s="9" t="str">
        <f t="shared" si="10"/>
        <v>Serviço público de irrigação rural</v>
      </c>
      <c r="AU42" s="9" t="str">
        <f t="shared" si="11"/>
        <v>Não se aplica</v>
      </c>
      <c r="AV42" s="9">
        <f t="shared" si="12"/>
        <v>1</v>
      </c>
      <c r="AW42" s="9">
        <f ca="1">TarifaMedia!$G$20</f>
        <v>0</v>
      </c>
      <c r="AX42" s="15">
        <f ca="1">'TUSD BE'!$AM42+'TUSD BF'!$AM42+'TUSD CVA'!$AM42</f>
        <v>728.8024199048142</v>
      </c>
      <c r="AY42" s="9">
        <f>ROUND(563.42/(1-CUSTOS!$M$38),2)</f>
        <v>599.38</v>
      </c>
      <c r="AZ42" s="9">
        <f t="shared" ca="1" si="13"/>
        <v>0</v>
      </c>
      <c r="BC42" s="53" t="s">
        <v>1283</v>
      </c>
    </row>
    <row r="43" spans="1:55" ht="11.25" customHeight="1" x14ac:dyDescent="0.3">
      <c r="A43" s="132"/>
      <c r="B43" s="132"/>
      <c r="C43" s="132"/>
      <c r="D43" s="132"/>
      <c r="E43" s="132"/>
      <c r="F43" s="132"/>
      <c r="G43" s="66" t="s">
        <v>78</v>
      </c>
      <c r="H43" s="66" t="s">
        <v>76</v>
      </c>
      <c r="I43" s="66">
        <f>'MERCADO TUSD'!$U$40</f>
        <v>0</v>
      </c>
      <c r="J43" s="15"/>
      <c r="L43" s="61">
        <f>'TUSD BE'!$L$43*'TUSD BE'!$L$61</f>
        <v>-9.0258987104960456E-2</v>
      </c>
      <c r="M43" s="61">
        <f>'TUSD BE'!$M$43*'TUSD BE'!$M$61</f>
        <v>-1.9491624390069004E-2</v>
      </c>
      <c r="N43" s="61">
        <f ca="1">'TUSD BE'!$N$43*'TUSD BE'!$N$61</f>
        <v>-2.1910971968481861E-5</v>
      </c>
      <c r="O43" s="61">
        <f>'TUSD BE'!$O$43*'TUSD BE'!$O$61</f>
        <v>0</v>
      </c>
      <c r="P43" s="61">
        <f>'TUSD BE'!$P$43*'TUSD BE'!$P$61</f>
        <v>0</v>
      </c>
      <c r="Q43" s="61">
        <f>'TUSD BE'!$Q$43*'TUSD BE'!$Q$61</f>
        <v>-0.9531040471094272</v>
      </c>
      <c r="R43" s="61">
        <f>'TUSD BE'!$R$43*'TUSD BE'!$R$61</f>
        <v>-0.1436055413628014</v>
      </c>
      <c r="S43" s="61">
        <f>'TUSD BE'!$R$43*'TUSD BE'!$S$61</f>
        <v>0</v>
      </c>
      <c r="T43" s="61">
        <f ca="1">SUM($L$43:$S$43)</f>
        <v>-1.2064821109392265</v>
      </c>
      <c r="U43" s="61">
        <f>'TUSD BE'!$U$43*'TUSD BE'!$U$61</f>
        <v>0</v>
      </c>
      <c r="V43" s="61">
        <f>'TUSD BE'!$V$43*'TUSD BE'!$V$61</f>
        <v>0</v>
      </c>
      <c r="W43" s="61">
        <f>'TUSD BE'!$W$43*'TUSD BE'!$W$61</f>
        <v>0</v>
      </c>
      <c r="X43" s="61">
        <f>'TUSD BE'!$X$43*'TUSD BE'!$X$61</f>
        <v>0</v>
      </c>
      <c r="Y43" s="61">
        <f>'TUSD BE'!$Y$43*'TUSD BE'!$Y$61</f>
        <v>-16.705187204347197</v>
      </c>
      <c r="Z43" s="61">
        <f>'TUSD BE'!$Z$43*'TUSD BE'!$Z$61</f>
        <v>0</v>
      </c>
      <c r="AA43" s="61">
        <f>'TUSD BE'!$AA$43*'TUSD BE'!$AA$61</f>
        <v>0</v>
      </c>
      <c r="AB43" s="61">
        <f>SUM($U$43:$AA$43)</f>
        <v>-16.705187204347197</v>
      </c>
      <c r="AC43" s="61">
        <f>'TUSD BE'!$AC$43*'TUSD BE'!$AC$61</f>
        <v>12.480752836715233</v>
      </c>
      <c r="AD43" s="61">
        <f>SUM($AC$43:$AC$43)</f>
        <v>12.480752836715233</v>
      </c>
      <c r="AE43" s="61">
        <f ca="1">$AO$43*$AO$58</f>
        <v>-44.788305034484367</v>
      </c>
      <c r="AF43" s="61">
        <f ca="1">$AP$43*$AP$58</f>
        <v>0</v>
      </c>
      <c r="AG43" s="61">
        <f ca="1">SUM($AE$43:$AF$43)</f>
        <v>-44.788305034484367</v>
      </c>
      <c r="AH43" s="61">
        <f>'TUSD BE'!$AH$43*'TUSD BE'!$AH$61</f>
        <v>-3.3489723642270079</v>
      </c>
      <c r="AI43" s="61">
        <f>'TUSD BE'!$AI$43*'TUSD BE'!$AI$61</f>
        <v>-3.4250661326898323E-2</v>
      </c>
      <c r="AJ43" s="61">
        <f ca="1">'TUSD BE'!$AJ$43*'TUSD BE'!$AJ$61</f>
        <v>-0.12589516163518874</v>
      </c>
      <c r="AK43" s="61">
        <f ca="1">'TUSD BE'!$AK$43*'TUSD BE'!$AK$61</f>
        <v>4.4334202298329732E-2</v>
      </c>
      <c r="AL43" s="61">
        <f ca="1">SUM($AH$43:$AK$43)</f>
        <v>-3.4647839848907651</v>
      </c>
      <c r="AM43" s="61">
        <f ca="1">SUMIF($L$4:$AL$4,"SUBTOTAL",$L$43:$AL$43)+AZ43</f>
        <v>-53.684005497946323</v>
      </c>
      <c r="AO43" s="68">
        <f ca="1">+'TUSD BE'!$T$43+'TUSD BE'!$AB$43+'TUSD BE'!$AD$43+'TUSD BE'!$AL$43</f>
        <v>365.62448600736451</v>
      </c>
      <c r="AP43" s="68">
        <f ca="1">+'TUSD BE'!$T$43+'TUSD BE'!$AB$43+'TUSD BE'!$AD$43+'TUSD BE'!$AL$43</f>
        <v>365.62448600736451</v>
      </c>
      <c r="AQ43" s="9" t="str">
        <f t="shared" si="7"/>
        <v>B2</v>
      </c>
      <c r="AR43" s="9" t="str">
        <f t="shared" si="8"/>
        <v>Branca</v>
      </c>
      <c r="AS43" s="9" t="str">
        <f t="shared" si="9"/>
        <v>Rural</v>
      </c>
      <c r="AT43" s="9" t="str">
        <f t="shared" si="10"/>
        <v>Serviço público de irrigação rural</v>
      </c>
      <c r="AU43" s="9" t="str">
        <f t="shared" si="11"/>
        <v>Não se aplica</v>
      </c>
      <c r="AV43" s="9">
        <f t="shared" si="12"/>
        <v>1</v>
      </c>
      <c r="AW43" s="9">
        <f ca="1">TarifaMedia!$G$20</f>
        <v>0</v>
      </c>
      <c r="AX43" s="15">
        <f ca="1">'TUSD BE'!$AM43+'TUSD BF'!$AM43+'TUSD CVA'!$AM43</f>
        <v>328.46259061860673</v>
      </c>
      <c r="AY43" s="9">
        <f>ROUND(280.89/(1-CUSTOS!$M$38),2)</f>
        <v>298.82</v>
      </c>
      <c r="AZ43" s="9">
        <f t="shared" ca="1" si="13"/>
        <v>0</v>
      </c>
      <c r="BC43" s="53" t="s">
        <v>1284</v>
      </c>
    </row>
    <row r="44" spans="1:55" ht="11.25" customHeight="1" x14ac:dyDescent="0.3">
      <c r="A44" s="132"/>
      <c r="B44" s="65" t="s">
        <v>23</v>
      </c>
      <c r="C44" s="65" t="s">
        <v>43</v>
      </c>
      <c r="D44" s="65" t="s">
        <v>97</v>
      </c>
      <c r="E44" s="65" t="s">
        <v>25</v>
      </c>
      <c r="F44" s="65" t="s">
        <v>25</v>
      </c>
      <c r="G44" s="66" t="s">
        <v>81</v>
      </c>
      <c r="H44" s="66" t="s">
        <v>76</v>
      </c>
      <c r="I44" s="66">
        <f>'MERCADO TUSD'!$U$41</f>
        <v>0</v>
      </c>
      <c r="J44" s="15"/>
      <c r="L44" s="61">
        <f>'TUSD BE'!$L$44*'TUSD BE'!$L$61</f>
        <v>-9.0258987104960456E-2</v>
      </c>
      <c r="M44" s="61">
        <f>'TUSD BE'!$M$44*'TUSD BE'!$M$61</f>
        <v>-1.9491624390069004E-2</v>
      </c>
      <c r="N44" s="61">
        <f ca="1">'TUSD BE'!$N$44*'TUSD BE'!$N$61</f>
        <v>-3.1659055145103425E-5</v>
      </c>
      <c r="O44" s="61">
        <f>'TUSD BE'!$O$44*'TUSD BE'!$O$61</f>
        <v>0</v>
      </c>
      <c r="P44" s="61">
        <f>'TUSD BE'!$P$44*'TUSD BE'!$P$61</f>
        <v>0</v>
      </c>
      <c r="Q44" s="61">
        <f>'TUSD BE'!$Q$44*'TUSD BE'!$Q$61</f>
        <v>-0.9531040471094272</v>
      </c>
      <c r="R44" s="61">
        <f>'TUSD BE'!$R$44*'TUSD BE'!$R$61</f>
        <v>-0.1436055413628014</v>
      </c>
      <c r="S44" s="61">
        <f>'TUSD BE'!$R$44*'TUSD BE'!$S$61</f>
        <v>0</v>
      </c>
      <c r="T44" s="61">
        <f ca="1">SUM($L$44:$S$44)</f>
        <v>-1.2064918590224032</v>
      </c>
      <c r="U44" s="61">
        <f>'TUSD BE'!$U$44*'TUSD BE'!$U$61</f>
        <v>0</v>
      </c>
      <c r="V44" s="61">
        <f>'TUSD BE'!$V$44*'TUSD BE'!$V$61</f>
        <v>0</v>
      </c>
      <c r="W44" s="61">
        <f>'TUSD BE'!$W$44*'TUSD BE'!$W$61</f>
        <v>0</v>
      </c>
      <c r="X44" s="61">
        <f>'TUSD BE'!$X$44*'TUSD BE'!$X$61</f>
        <v>0</v>
      </c>
      <c r="Y44" s="61">
        <f>'TUSD BE'!$Y$44*'TUSD BE'!$Y$61</f>
        <v>-26.516177640044145</v>
      </c>
      <c r="Z44" s="61">
        <f>'TUSD BE'!$Z$44*'TUSD BE'!$Z$61</f>
        <v>0</v>
      </c>
      <c r="AA44" s="61">
        <f>'TUSD BE'!$AA$44*'TUSD BE'!$AA$61</f>
        <v>0</v>
      </c>
      <c r="AB44" s="61">
        <f>SUM($U$44:$AA$44)</f>
        <v>-26.516177640044145</v>
      </c>
      <c r="AC44" s="61">
        <f>'TUSD BE'!$AC$44*'TUSD BE'!$AC$61</f>
        <v>19.810715898533843</v>
      </c>
      <c r="AD44" s="61">
        <f>SUM($AC$44:$AC$44)</f>
        <v>19.810715898533843</v>
      </c>
      <c r="AE44" s="61">
        <f ca="1">$AO$44*$AO$58</f>
        <v>-61.545890892764554</v>
      </c>
      <c r="AF44" s="61">
        <f ca="1">$AP$44*$AP$58</f>
        <v>0</v>
      </c>
      <c r="AG44" s="61">
        <f ca="1">SUM($AE$44:$AF$44)</f>
        <v>-61.545890892764554</v>
      </c>
      <c r="AH44" s="61">
        <f>'TUSD BE'!$AH$44*'TUSD BE'!$AH$61</f>
        <v>-3.3489723642270079</v>
      </c>
      <c r="AI44" s="61">
        <f>'TUSD BE'!$AI$44*'TUSD BE'!$AI$61</f>
        <v>-3.4250661326898323E-2</v>
      </c>
      <c r="AJ44" s="61">
        <f ca="1">'TUSD BE'!$AJ$44*'TUSD BE'!$AJ$61</f>
        <v>-0.12589516163518874</v>
      </c>
      <c r="AK44" s="61">
        <f ca="1">'TUSD BE'!$AK$44*'TUSD BE'!$AK$61</f>
        <v>4.4334202298329732E-2</v>
      </c>
      <c r="AL44" s="61">
        <f ca="1">SUM($AH$44:$AK$44)</f>
        <v>-3.4647839848907651</v>
      </c>
      <c r="AM44" s="61">
        <f ca="1">SUMIF($L$4:$AL$4,"SUBTOTAL",$L$44:$AL$44)+AZ44</f>
        <v>-72.922628478188017</v>
      </c>
      <c r="AO44" s="68">
        <f ca="1">+'TUSD BE'!$T$44+'TUSD BE'!$AB$44+'TUSD BE'!$AD$44+'TUSD BE'!$AL$44</f>
        <v>502.42322646964709</v>
      </c>
      <c r="AP44" s="68">
        <f ca="1">+'TUSD BE'!$T$44+'TUSD BE'!$AB$44+'TUSD BE'!$AD$44+'TUSD BE'!$AL$44</f>
        <v>502.42322646964709</v>
      </c>
      <c r="AQ44" s="9" t="str">
        <f t="shared" si="7"/>
        <v>B2</v>
      </c>
      <c r="AR44" s="9" t="str">
        <f t="shared" si="8"/>
        <v>Convencional</v>
      </c>
      <c r="AS44" s="9" t="str">
        <f t="shared" si="9"/>
        <v>Rural</v>
      </c>
      <c r="AT44" s="9" t="str">
        <f t="shared" si="10"/>
        <v>Serviço público de irrigação rural</v>
      </c>
      <c r="AU44" s="9" t="str">
        <f t="shared" si="11"/>
        <v>Não se aplica</v>
      </c>
      <c r="AV44" s="9">
        <f t="shared" si="12"/>
        <v>1</v>
      </c>
      <c r="AW44" s="9">
        <f ca="1">TarifaMedia!$G$20</f>
        <v>0</v>
      </c>
      <c r="AX44" s="15">
        <f ca="1">'TUSD BE'!$AM44+'TUSD BF'!$AM44+'TUSD CVA'!$AM44</f>
        <v>446.02270810064761</v>
      </c>
      <c r="AY44" s="9">
        <v>437.54</v>
      </c>
      <c r="AZ44" s="9">
        <f t="shared" ca="1" si="13"/>
        <v>0</v>
      </c>
      <c r="BC44" s="53" t="s">
        <v>1278</v>
      </c>
    </row>
    <row r="45" spans="1:55" ht="11.25" customHeight="1" x14ac:dyDescent="0.3">
      <c r="A45" s="132"/>
      <c r="B45" s="132" t="s">
        <v>95</v>
      </c>
      <c r="C45" s="132" t="s">
        <v>43</v>
      </c>
      <c r="D45" s="65" t="s">
        <v>25</v>
      </c>
      <c r="E45" s="65" t="s">
        <v>25</v>
      </c>
      <c r="F45" s="65" t="s">
        <v>25</v>
      </c>
      <c r="G45" s="66" t="s">
        <v>81</v>
      </c>
      <c r="H45" s="66" t="s">
        <v>76</v>
      </c>
      <c r="I45" s="66">
        <f>'MERCADO TUSD'!$U$42</f>
        <v>0</v>
      </c>
      <c r="J45" s="15"/>
      <c r="L45" s="61">
        <f>'TUSD BE'!$L$45*'TUSD BE'!$L$61</f>
        <v>-9.0258987104960456E-2</v>
      </c>
      <c r="M45" s="61">
        <f>'TUSD BE'!$M$45*'TUSD BE'!$M$61</f>
        <v>-1.9491624390069004E-2</v>
      </c>
      <c r="N45" s="61">
        <f ca="1">'TUSD BE'!$N$45*'TUSD BE'!$N$61</f>
        <v>-3.1659055145103425E-5</v>
      </c>
      <c r="O45" s="61">
        <f>'TUSD BE'!$O$45*'TUSD BE'!$O$61</f>
        <v>0</v>
      </c>
      <c r="P45" s="61">
        <f>'TUSD BE'!$P$45*'TUSD BE'!$P$61</f>
        <v>0</v>
      </c>
      <c r="Q45" s="61">
        <f>'TUSD BE'!$Q$45*'TUSD BE'!$Q$61</f>
        <v>-0.9531040471094272</v>
      </c>
      <c r="R45" s="61">
        <f>'TUSD BE'!$R$45*'TUSD BE'!$R$61</f>
        <v>-0.1436055413628014</v>
      </c>
      <c r="S45" s="61">
        <f>'TUSD BE'!$R$45*'TUSD BE'!$S$61</f>
        <v>0</v>
      </c>
      <c r="T45" s="61">
        <f ca="1">SUM($L$45:$S$45)</f>
        <v>-1.2064918590224032</v>
      </c>
      <c r="U45" s="61">
        <f>'TUSD BE'!$U$45*'TUSD BE'!$U$61</f>
        <v>0</v>
      </c>
      <c r="V45" s="61">
        <f>'TUSD BE'!$V$45*'TUSD BE'!$V$61</f>
        <v>0</v>
      </c>
      <c r="W45" s="61">
        <f>'TUSD BE'!$W$45*'TUSD BE'!$W$61</f>
        <v>0</v>
      </c>
      <c r="X45" s="61">
        <f>'TUSD BE'!$X$45*'TUSD BE'!$X$61</f>
        <v>0</v>
      </c>
      <c r="Y45" s="61">
        <f>'TUSD BE'!$Y$45*'TUSD BE'!$Y$61</f>
        <v>-26.516177640044145</v>
      </c>
      <c r="Z45" s="61">
        <f>'TUSD BE'!$Z$45*'TUSD BE'!$Z$61</f>
        <v>0</v>
      </c>
      <c r="AA45" s="61">
        <f>'TUSD BE'!$AA$45*'TUSD BE'!$AA$61</f>
        <v>0</v>
      </c>
      <c r="AB45" s="61">
        <f>SUM($U$45:$AA$45)</f>
        <v>-26.516177640044145</v>
      </c>
      <c r="AC45" s="61">
        <f>'TUSD BE'!$AC$45*'TUSD BE'!$AC$61</f>
        <v>19.810715898533843</v>
      </c>
      <c r="AD45" s="61">
        <f>SUM($AC$45:$AC$45)</f>
        <v>19.810715898533843</v>
      </c>
      <c r="AE45" s="61">
        <f ca="1">$AO$45*$AO$58</f>
        <v>-61.545890892764554</v>
      </c>
      <c r="AF45" s="61">
        <f ca="1">$AP$45*$AP$58</f>
        <v>0</v>
      </c>
      <c r="AG45" s="61">
        <f ca="1">SUM($AE$45:$AF$45)</f>
        <v>-61.545890892764554</v>
      </c>
      <c r="AH45" s="61">
        <f>'TUSD BE'!$AH$45*'TUSD BE'!$AH$61</f>
        <v>-3.3489723642270079</v>
      </c>
      <c r="AI45" s="61">
        <f>'TUSD BE'!$AI$45*'TUSD BE'!$AI$61</f>
        <v>-3.4250661326898323E-2</v>
      </c>
      <c r="AJ45" s="61">
        <f ca="1">'TUSD BE'!$AJ$45*'TUSD BE'!$AJ$61</f>
        <v>-0.12589516163518874</v>
      </c>
      <c r="AK45" s="61">
        <f ca="1">'TUSD BE'!$AK$45*'TUSD BE'!$AK$61</f>
        <v>4.4334202298329732E-2</v>
      </c>
      <c r="AL45" s="61">
        <f ca="1">SUM($AH$45:$AK$45)</f>
        <v>-3.4647839848907651</v>
      </c>
      <c r="AM45" s="61">
        <f ca="1">SUMIF($L$4:$AL$4,"SUBTOTAL",$L$45:$AL$45)+AZ45</f>
        <v>-72.922628478188017</v>
      </c>
      <c r="AO45" s="68">
        <f ca="1">+'TUSD BE'!$T$45+'TUSD BE'!$AB$45+'TUSD BE'!$AD$45+'TUSD BE'!$AL$45</f>
        <v>502.42322646964709</v>
      </c>
      <c r="AP45" s="68">
        <f ca="1">+'TUSD BE'!$T$45+'TUSD BE'!$AB$45+'TUSD BE'!$AD$45+'TUSD BE'!$AL$45</f>
        <v>502.42322646964709</v>
      </c>
      <c r="AQ45" s="9" t="str">
        <f t="shared" si="7"/>
        <v>B2</v>
      </c>
      <c r="AR45" s="9" t="str">
        <f t="shared" si="8"/>
        <v>Convencional pré-pagamento</v>
      </c>
      <c r="AS45" s="9" t="str">
        <f t="shared" si="9"/>
        <v>Rural</v>
      </c>
      <c r="AT45" s="9" t="str">
        <f t="shared" si="10"/>
        <v>Não se aplica</v>
      </c>
      <c r="AU45" s="9" t="str">
        <f t="shared" si="11"/>
        <v>Não se aplica</v>
      </c>
      <c r="AV45" s="9">
        <f t="shared" si="12"/>
        <v>1</v>
      </c>
      <c r="AW45" s="9">
        <f ca="1">TarifaMedia!$G$20</f>
        <v>0</v>
      </c>
      <c r="AX45" s="15">
        <f ca="1">'TUSD BE'!$AM45+'TUSD BF'!$AM45+'TUSD CVA'!$AM45</f>
        <v>446.02270810064761</v>
      </c>
      <c r="AY45" s="9">
        <v>437.54</v>
      </c>
      <c r="AZ45" s="9">
        <f t="shared" ca="1" si="13"/>
        <v>0</v>
      </c>
      <c r="BC45" s="53" t="s">
        <v>1278</v>
      </c>
    </row>
    <row r="46" spans="1:55" ht="11.25" customHeight="1" x14ac:dyDescent="0.3">
      <c r="A46" s="132"/>
      <c r="B46" s="132"/>
      <c r="C46" s="132"/>
      <c r="D46" s="65" t="s">
        <v>96</v>
      </c>
      <c r="E46" s="65" t="s">
        <v>25</v>
      </c>
      <c r="F46" s="65" t="s">
        <v>25</v>
      </c>
      <c r="G46" s="66" t="s">
        <v>81</v>
      </c>
      <c r="H46" s="66" t="s">
        <v>76</v>
      </c>
      <c r="I46" s="66">
        <f>'MERCADO TUSD'!$U$43</f>
        <v>0</v>
      </c>
      <c r="J46" s="15"/>
      <c r="L46" s="61">
        <f>'TUSD BE'!$L$46*'TUSD BE'!$L$61</f>
        <v>-9.0258987104960456E-2</v>
      </c>
      <c r="M46" s="61">
        <f>'TUSD BE'!$M$46*'TUSD BE'!$M$61</f>
        <v>-1.9491624390069004E-2</v>
      </c>
      <c r="N46" s="61">
        <f ca="1">'TUSD BE'!$N$46*'TUSD BE'!$N$61</f>
        <v>-3.1659055145103425E-5</v>
      </c>
      <c r="O46" s="61">
        <f>'TUSD BE'!$O$46*'TUSD BE'!$O$61</f>
        <v>0</v>
      </c>
      <c r="P46" s="61">
        <f>'TUSD BE'!$P$46*'TUSD BE'!$P$61</f>
        <v>0</v>
      </c>
      <c r="Q46" s="61">
        <f>'TUSD BE'!$Q$46*'TUSD BE'!$Q$61</f>
        <v>-0.9531040471094272</v>
      </c>
      <c r="R46" s="61">
        <f>'TUSD BE'!$R$46*'TUSD BE'!$R$61</f>
        <v>-0.1436055413628014</v>
      </c>
      <c r="S46" s="61">
        <f>'TUSD BE'!$R$46*'TUSD BE'!$S$61</f>
        <v>0</v>
      </c>
      <c r="T46" s="61">
        <f ca="1">SUM($L$46:$S$46)</f>
        <v>-1.2064918590224032</v>
      </c>
      <c r="U46" s="61">
        <f>'TUSD BE'!$U$46*'TUSD BE'!$U$61</f>
        <v>0</v>
      </c>
      <c r="V46" s="61">
        <f>'TUSD BE'!$V$46*'TUSD BE'!$V$61</f>
        <v>0</v>
      </c>
      <c r="W46" s="61">
        <f>'TUSD BE'!$W$46*'TUSD BE'!$W$61</f>
        <v>0</v>
      </c>
      <c r="X46" s="61">
        <f>'TUSD BE'!$X$46*'TUSD BE'!$X$61</f>
        <v>0</v>
      </c>
      <c r="Y46" s="61">
        <f>'TUSD BE'!$Y$46*'TUSD BE'!$Y$61</f>
        <v>-26.516177640044145</v>
      </c>
      <c r="Z46" s="61">
        <f>'TUSD BE'!$Z$46*'TUSD BE'!$Z$61</f>
        <v>0</v>
      </c>
      <c r="AA46" s="61">
        <f>'TUSD BE'!$AA$46*'TUSD BE'!$AA$61</f>
        <v>0</v>
      </c>
      <c r="AB46" s="61">
        <f>SUM($U$46:$AA$46)</f>
        <v>-26.516177640044145</v>
      </c>
      <c r="AC46" s="61">
        <f>'TUSD BE'!$AC$46*'TUSD BE'!$AC$61</f>
        <v>19.810715898533843</v>
      </c>
      <c r="AD46" s="61">
        <f>SUM($AC$46:$AC$46)</f>
        <v>19.810715898533843</v>
      </c>
      <c r="AE46" s="61">
        <f ca="1">$AO$46*$AO$58</f>
        <v>-61.545890892764554</v>
      </c>
      <c r="AF46" s="61">
        <f ca="1">$AP$46*$AP$58</f>
        <v>0</v>
      </c>
      <c r="AG46" s="61">
        <f ca="1">SUM($AE$46:$AF$46)</f>
        <v>-61.545890892764554</v>
      </c>
      <c r="AH46" s="61">
        <f>'TUSD BE'!$AH$46*'TUSD BE'!$AH$61</f>
        <v>-3.3489723642270079</v>
      </c>
      <c r="AI46" s="61">
        <f>'TUSD BE'!$AI$46*'TUSD BE'!$AI$61</f>
        <v>-3.4250661326898323E-2</v>
      </c>
      <c r="AJ46" s="61">
        <f ca="1">'TUSD BE'!$AJ$46*'TUSD BE'!$AJ$61</f>
        <v>-0.12589516163518874</v>
      </c>
      <c r="AK46" s="61">
        <f ca="1">'TUSD BE'!$AK$46*'TUSD BE'!$AK$61</f>
        <v>4.4334202298329732E-2</v>
      </c>
      <c r="AL46" s="61">
        <f ca="1">SUM($AH$46:$AK$46)</f>
        <v>-3.4647839848907651</v>
      </c>
      <c r="AM46" s="61">
        <f ca="1">SUMIF($L$4:$AL$4,"SUBTOTAL",$L$46:$AL$46)+AZ46</f>
        <v>-72.922628478188017</v>
      </c>
      <c r="AO46" s="68">
        <f ca="1">+'TUSD BE'!$T$46+'TUSD BE'!$AB$46+'TUSD BE'!$AD$46+'TUSD BE'!$AL$46</f>
        <v>502.42322646964709</v>
      </c>
      <c r="AP46" s="68">
        <f ca="1">+'TUSD BE'!$T$46+'TUSD BE'!$AB$46+'TUSD BE'!$AD$46+'TUSD BE'!$AL$46</f>
        <v>502.42322646964709</v>
      </c>
      <c r="AQ46" s="9" t="str">
        <f t="shared" si="7"/>
        <v>B2</v>
      </c>
      <c r="AR46" s="9" t="str">
        <f t="shared" si="8"/>
        <v>Convencional pré-pagamento</v>
      </c>
      <c r="AS46" s="9" t="str">
        <f t="shared" si="9"/>
        <v>Rural</v>
      </c>
      <c r="AT46" s="9" t="str">
        <f t="shared" si="10"/>
        <v>Cooperativa de eletrificação rural</v>
      </c>
      <c r="AU46" s="9" t="str">
        <f t="shared" si="11"/>
        <v>Não se aplica</v>
      </c>
      <c r="AV46" s="9">
        <f t="shared" si="12"/>
        <v>1</v>
      </c>
      <c r="AW46" s="9">
        <f ca="1">TarifaMedia!$G$20</f>
        <v>0</v>
      </c>
      <c r="AX46" s="15">
        <f ca="1">'TUSD BE'!$AM46+'TUSD BF'!$AM46+'TUSD CVA'!$AM46</f>
        <v>446.02270810064761</v>
      </c>
      <c r="AY46" s="9">
        <v>437.54</v>
      </c>
      <c r="AZ46" s="9">
        <f t="shared" ca="1" si="13"/>
        <v>0</v>
      </c>
      <c r="BC46" s="53" t="s">
        <v>1278</v>
      </c>
    </row>
    <row r="47" spans="1:55" ht="11.25" customHeight="1" x14ac:dyDescent="0.3">
      <c r="A47" s="132"/>
      <c r="B47" s="132"/>
      <c r="C47" s="132"/>
      <c r="D47" s="65" t="s">
        <v>97</v>
      </c>
      <c r="E47" s="65" t="s">
        <v>25</v>
      </c>
      <c r="F47" s="65" t="s">
        <v>25</v>
      </c>
      <c r="G47" s="66" t="s">
        <v>81</v>
      </c>
      <c r="H47" s="66" t="s">
        <v>76</v>
      </c>
      <c r="I47" s="66">
        <f>'MERCADO TUSD'!$U$44</f>
        <v>0</v>
      </c>
      <c r="J47" s="15"/>
      <c r="L47" s="61">
        <f>'TUSD BE'!$L$47*'TUSD BE'!$L$61</f>
        <v>-9.0258987104960456E-2</v>
      </c>
      <c r="M47" s="61">
        <f>'TUSD BE'!$M$47*'TUSD BE'!$M$61</f>
        <v>-1.9491624390069004E-2</v>
      </c>
      <c r="N47" s="61">
        <f ca="1">'TUSD BE'!$N$47*'TUSD BE'!$N$61</f>
        <v>-3.1659055145103425E-5</v>
      </c>
      <c r="O47" s="61">
        <f>'TUSD BE'!$O$47*'TUSD BE'!$O$61</f>
        <v>0</v>
      </c>
      <c r="P47" s="61">
        <f>'TUSD BE'!$P$47*'TUSD BE'!$P$61</f>
        <v>0</v>
      </c>
      <c r="Q47" s="61">
        <f>'TUSD BE'!$Q$47*'TUSD BE'!$Q$61</f>
        <v>-0.9531040471094272</v>
      </c>
      <c r="R47" s="61">
        <f>'TUSD BE'!$R$47*'TUSD BE'!$R$61</f>
        <v>-0.1436055413628014</v>
      </c>
      <c r="S47" s="61">
        <f>'TUSD BE'!$R$47*'TUSD BE'!$S$61</f>
        <v>0</v>
      </c>
      <c r="T47" s="61">
        <f ca="1">SUM($L$47:$S$47)</f>
        <v>-1.2064918590224032</v>
      </c>
      <c r="U47" s="61">
        <f>'TUSD BE'!$U$47*'TUSD BE'!$U$61</f>
        <v>0</v>
      </c>
      <c r="V47" s="61">
        <f>'TUSD BE'!$V$47*'TUSD BE'!$V$61</f>
        <v>0</v>
      </c>
      <c r="W47" s="61">
        <f>'TUSD BE'!$W$47*'TUSD BE'!$W$61</f>
        <v>0</v>
      </c>
      <c r="X47" s="61">
        <f>'TUSD BE'!$X$47*'TUSD BE'!$X$61</f>
        <v>0</v>
      </c>
      <c r="Y47" s="61">
        <f>'TUSD BE'!$Y$47*'TUSD BE'!$Y$61</f>
        <v>-26.516177640044145</v>
      </c>
      <c r="Z47" s="61">
        <f>'TUSD BE'!$Z$47*'TUSD BE'!$Z$61</f>
        <v>0</v>
      </c>
      <c r="AA47" s="61">
        <f>'TUSD BE'!$AA$47*'TUSD BE'!$AA$61</f>
        <v>0</v>
      </c>
      <c r="AB47" s="61">
        <f>SUM($U$47:$AA$47)</f>
        <v>-26.516177640044145</v>
      </c>
      <c r="AC47" s="61">
        <f>'TUSD BE'!$AC$47*'TUSD BE'!$AC$61</f>
        <v>19.810715898533843</v>
      </c>
      <c r="AD47" s="61">
        <f>SUM($AC$47:$AC$47)</f>
        <v>19.810715898533843</v>
      </c>
      <c r="AE47" s="61">
        <f ca="1">$AO$47*$AO$58</f>
        <v>-61.545890892764554</v>
      </c>
      <c r="AF47" s="61">
        <f ca="1">$AP$47*$AP$58</f>
        <v>0</v>
      </c>
      <c r="AG47" s="61">
        <f ca="1">SUM($AE$47:$AF$47)</f>
        <v>-61.545890892764554</v>
      </c>
      <c r="AH47" s="61">
        <f>'TUSD BE'!$AH$47*'TUSD BE'!$AH$61</f>
        <v>-3.3489723642270079</v>
      </c>
      <c r="AI47" s="61">
        <f>'TUSD BE'!$AI$47*'TUSD BE'!$AI$61</f>
        <v>-3.4250661326898323E-2</v>
      </c>
      <c r="AJ47" s="61">
        <f ca="1">'TUSD BE'!$AJ$47*'TUSD BE'!$AJ$61</f>
        <v>-0.12589516163518874</v>
      </c>
      <c r="AK47" s="61">
        <f ca="1">'TUSD BE'!$AK$47*'TUSD BE'!$AK$61</f>
        <v>4.4334202298329732E-2</v>
      </c>
      <c r="AL47" s="61">
        <f ca="1">SUM($AH$47:$AK$47)</f>
        <v>-3.4647839848907651</v>
      </c>
      <c r="AM47" s="61">
        <f ca="1">SUMIF($L$4:$AL$4,"SUBTOTAL",$L$47:$AL$47)+AZ47</f>
        <v>-72.922628478188017</v>
      </c>
      <c r="AO47" s="68">
        <f ca="1">+'TUSD BE'!$T$47+'TUSD BE'!$AB$47+'TUSD BE'!$AD$47+'TUSD BE'!$AL$47</f>
        <v>502.42322646964709</v>
      </c>
      <c r="AP47" s="68">
        <f ca="1">+'TUSD BE'!$T$47+'TUSD BE'!$AB$47+'TUSD BE'!$AD$47+'TUSD BE'!$AL$47</f>
        <v>502.42322646964709</v>
      </c>
      <c r="AQ47" s="9" t="str">
        <f t="shared" si="7"/>
        <v>B2</v>
      </c>
      <c r="AR47" s="9" t="str">
        <f t="shared" si="8"/>
        <v>Convencional pré-pagamento</v>
      </c>
      <c r="AS47" s="9" t="str">
        <f t="shared" si="9"/>
        <v>Rural</v>
      </c>
      <c r="AT47" s="9" t="str">
        <f t="shared" si="10"/>
        <v>Serviço público de irrigação rural</v>
      </c>
      <c r="AU47" s="9" t="str">
        <f t="shared" si="11"/>
        <v>Não se aplica</v>
      </c>
      <c r="AV47" s="9">
        <f t="shared" si="12"/>
        <v>1</v>
      </c>
      <c r="AW47" s="9">
        <f ca="1">TarifaMedia!$G$20</f>
        <v>0</v>
      </c>
      <c r="AX47" s="15">
        <f ca="1">'TUSD BE'!$AM47+'TUSD BF'!$AM47+'TUSD CVA'!$AM47</f>
        <v>446.02270810064761</v>
      </c>
      <c r="AY47" s="9">
        <v>437.54</v>
      </c>
      <c r="AZ47" s="9">
        <f t="shared" ca="1" si="13"/>
        <v>0</v>
      </c>
      <c r="BC47" s="53" t="s">
        <v>1278</v>
      </c>
    </row>
    <row r="48" spans="1:55" ht="11.25" customHeight="1" x14ac:dyDescent="0.3">
      <c r="A48" s="132" t="s">
        <v>37</v>
      </c>
      <c r="B48" s="132" t="s">
        <v>33</v>
      </c>
      <c r="C48" s="132" t="s">
        <v>25</v>
      </c>
      <c r="D48" s="132" t="s">
        <v>25</v>
      </c>
      <c r="E48" s="132" t="s">
        <v>25</v>
      </c>
      <c r="F48" s="132" t="s">
        <v>25</v>
      </c>
      <c r="G48" s="66" t="s">
        <v>77</v>
      </c>
      <c r="H48" s="66" t="s">
        <v>76</v>
      </c>
      <c r="I48" s="66">
        <f>'MERCADO TUSD'!$U$45</f>
        <v>9.1080000000000005</v>
      </c>
      <c r="J48" s="15"/>
      <c r="L48" s="61">
        <f>'TUSD BE'!$L$48*'TUSD BE'!$L$61</f>
        <v>-9.0258987104960456E-2</v>
      </c>
      <c r="M48" s="61">
        <f>'TUSD BE'!$M$48*'TUSD BE'!$M$61</f>
        <v>-1.9491624390069004E-2</v>
      </c>
      <c r="N48" s="61">
        <f ca="1">'TUSD BE'!$N$48*'TUSD BE'!$N$61</f>
        <v>-1.0015909993501065E-4</v>
      </c>
      <c r="O48" s="61">
        <f>'TUSD BE'!$O$48*'TUSD BE'!$O$61</f>
        <v>0</v>
      </c>
      <c r="P48" s="61">
        <f>'TUSD BE'!$P$48*'TUSD BE'!$P$61</f>
        <v>0</v>
      </c>
      <c r="Q48" s="61">
        <f>'TUSD BE'!$Q$48*'TUSD BE'!$Q$61</f>
        <v>-0.9531040471094272</v>
      </c>
      <c r="R48" s="61">
        <f>'TUSD BE'!$R$48*'TUSD BE'!$R$61</f>
        <v>-0.1436055413628014</v>
      </c>
      <c r="S48" s="61">
        <f>'TUSD BE'!$R$48*'TUSD BE'!$S$61</f>
        <v>0</v>
      </c>
      <c r="T48" s="61">
        <f ca="1">SUM($L$48:$S$48)</f>
        <v>-1.2065603590671932</v>
      </c>
      <c r="U48" s="61">
        <f>'TUSD BE'!$U$48*'TUSD BE'!$U$61</f>
        <v>0</v>
      </c>
      <c r="V48" s="61">
        <f>'TUSD BE'!$V$48*'TUSD BE'!$V$61</f>
        <v>0</v>
      </c>
      <c r="W48" s="61">
        <f>'TUSD BE'!$W$48*'TUSD BE'!$W$61</f>
        <v>0</v>
      </c>
      <c r="X48" s="61">
        <f>'TUSD BE'!$X$48*'TUSD BE'!$X$61</f>
        <v>0</v>
      </c>
      <c r="Y48" s="61">
        <f>'TUSD BE'!$Y$48*'TUSD BE'!$Y$61</f>
        <v>-95.458258339681393</v>
      </c>
      <c r="Z48" s="61">
        <f>'TUSD BE'!$Z$48*'TUSD BE'!$Z$61</f>
        <v>0</v>
      </c>
      <c r="AA48" s="61">
        <f>'TUSD BE'!$AA$48*'TUSD BE'!$AA$61</f>
        <v>0</v>
      </c>
      <c r="AB48" s="61">
        <f>SUM($U$48:$AA$48)</f>
        <v>-95.458258339681393</v>
      </c>
      <c r="AC48" s="61">
        <f>'TUSD BE'!$AC$48*'TUSD BE'!$AC$61</f>
        <v>71.318573188857584</v>
      </c>
      <c r="AD48" s="61">
        <f>SUM($AC$48:$AC$48)</f>
        <v>71.318573188857584</v>
      </c>
      <c r="AE48" s="61">
        <f ca="1">$AO$48*$AO$58</f>
        <v>-179.30190100830532</v>
      </c>
      <c r="AF48" s="61">
        <f ca="1">$AP$48*$AP$58</f>
        <v>0</v>
      </c>
      <c r="AG48" s="61">
        <f ca="1">SUM($AE$48:$AF$48)</f>
        <v>-179.30190100830532</v>
      </c>
      <c r="AH48" s="61">
        <f>'TUSD BE'!$AH$48*'TUSD BE'!$AH$61</f>
        <v>-3.3489723642270079</v>
      </c>
      <c r="AI48" s="61">
        <f>'TUSD BE'!$AI$48*'TUSD BE'!$AI$61</f>
        <v>-3.4250661326898323E-2</v>
      </c>
      <c r="AJ48" s="61">
        <f ca="1">'TUSD BE'!$AJ$48*'TUSD BE'!$AJ$61</f>
        <v>-0.12589516163518874</v>
      </c>
      <c r="AK48" s="61">
        <f ca="1">'TUSD BE'!$AK$48*'TUSD BE'!$AK$61</f>
        <v>4.4334202298329732E-2</v>
      </c>
      <c r="AL48" s="61">
        <f ca="1">SUM($AH$48:$AK$48)</f>
        <v>-3.4647839848907651</v>
      </c>
      <c r="AM48" s="61">
        <f ca="1">SUMIF($L$4:$AL$4,"SUBTOTAL",$L$48:$AL$48)+AZ48</f>
        <v>-208.11293050308709</v>
      </c>
      <c r="AO48" s="68">
        <f ca="1">+'TUSD BE'!$T$48+'TUSD BE'!$AB$48+'TUSD BE'!$AD$48+'TUSD BE'!$AL$48</f>
        <v>1463.711684240558</v>
      </c>
      <c r="AP48" s="68">
        <f ca="1">+'TUSD BE'!$T$48+'TUSD BE'!$AB$48+'TUSD BE'!$AD$48+'TUSD BE'!$AL$48</f>
        <v>1463.711684240558</v>
      </c>
      <c r="AQ48" s="9" t="str">
        <f t="shared" si="7"/>
        <v>B3</v>
      </c>
      <c r="AR48" s="9" t="str">
        <f t="shared" si="8"/>
        <v>Branca</v>
      </c>
      <c r="AS48" s="9" t="str">
        <f t="shared" si="9"/>
        <v>Não se aplica</v>
      </c>
      <c r="AT48" s="9" t="str">
        <f t="shared" si="10"/>
        <v>Não se aplica</v>
      </c>
      <c r="AU48" s="9" t="str">
        <f t="shared" si="11"/>
        <v>Não se aplica</v>
      </c>
      <c r="AV48" s="9">
        <f t="shared" si="12"/>
        <v>1</v>
      </c>
      <c r="AW48" s="9">
        <f ca="1">TarifaMedia!$G$20</f>
        <v>0</v>
      </c>
      <c r="AX48" s="15">
        <f ca="1">'TUSD BE'!$AM48+'TUSD BF'!$AM48+'TUSD CVA'!$AM48</f>
        <v>1272.1208638466596</v>
      </c>
      <c r="AY48" s="9">
        <v>1015.56</v>
      </c>
      <c r="AZ48" s="9">
        <f t="shared" ca="1" si="13"/>
        <v>0</v>
      </c>
      <c r="BC48" s="53" t="s">
        <v>1285</v>
      </c>
    </row>
    <row r="49" spans="1:55" ht="11.25" customHeight="1" x14ac:dyDescent="0.3">
      <c r="A49" s="132"/>
      <c r="B49" s="132"/>
      <c r="C49" s="132"/>
      <c r="D49" s="132"/>
      <c r="E49" s="132"/>
      <c r="F49" s="132"/>
      <c r="G49" s="66" t="s">
        <v>93</v>
      </c>
      <c r="H49" s="66" t="s">
        <v>76</v>
      </c>
      <c r="I49" s="66">
        <f>'MERCADO TUSD'!$U$46</f>
        <v>0.627</v>
      </c>
      <c r="J49" s="15"/>
      <c r="L49" s="61">
        <f>'TUSD BE'!$L$49*'TUSD BE'!$L$61</f>
        <v>-9.0258987104960456E-2</v>
      </c>
      <c r="M49" s="61">
        <f>'TUSD BE'!$M$49*'TUSD BE'!$M$61</f>
        <v>-1.9491624390069004E-2</v>
      </c>
      <c r="N49" s="61">
        <f ca="1">'TUSD BE'!$N$49*'TUSD BE'!$N$61</f>
        <v>-6.2220617442749582E-5</v>
      </c>
      <c r="O49" s="61">
        <f>'TUSD BE'!$O$49*'TUSD BE'!$O$61</f>
        <v>0</v>
      </c>
      <c r="P49" s="61">
        <f>'TUSD BE'!$P$49*'TUSD BE'!$P$61</f>
        <v>0</v>
      </c>
      <c r="Q49" s="61">
        <f>'TUSD BE'!$Q$49*'TUSD BE'!$Q$61</f>
        <v>-0.9531040471094272</v>
      </c>
      <c r="R49" s="61">
        <f>'TUSD BE'!$R$49*'TUSD BE'!$R$61</f>
        <v>-0.1436055413628014</v>
      </c>
      <c r="S49" s="61">
        <f>'TUSD BE'!$R$49*'TUSD BE'!$S$61</f>
        <v>0</v>
      </c>
      <c r="T49" s="61">
        <f ca="1">SUM($L$49:$S$49)</f>
        <v>-1.2065224205847009</v>
      </c>
      <c r="U49" s="61">
        <f>'TUSD BE'!$U$49*'TUSD BE'!$U$61</f>
        <v>0</v>
      </c>
      <c r="V49" s="61">
        <f>'TUSD BE'!$V$49*'TUSD BE'!$V$61</f>
        <v>0</v>
      </c>
      <c r="W49" s="61">
        <f>'TUSD BE'!$W$49*'TUSD BE'!$W$61</f>
        <v>0</v>
      </c>
      <c r="X49" s="61">
        <f>'TUSD BE'!$X$49*'TUSD BE'!$X$61</f>
        <v>0</v>
      </c>
      <c r="Y49" s="61">
        <f>'TUSD BE'!$Y$49*'TUSD BE'!$Y$61</f>
        <v>-57.274962538017817</v>
      </c>
      <c r="Z49" s="61">
        <f>'TUSD BE'!$Z$49*'TUSD BE'!$Z$61</f>
        <v>0</v>
      </c>
      <c r="AA49" s="61">
        <f>'TUSD BE'!$AA$49*'TUSD BE'!$AA$61</f>
        <v>0</v>
      </c>
      <c r="AB49" s="61">
        <f>SUM($U$49:$AA$49)</f>
        <v>-57.274962538017817</v>
      </c>
      <c r="AC49" s="61">
        <f>'TUSD BE'!$AC$49*'TUSD BE'!$AC$61</f>
        <v>42.791143913314556</v>
      </c>
      <c r="AD49" s="61">
        <f>SUM($AC$49:$AC$49)</f>
        <v>42.791143913314556</v>
      </c>
      <c r="AE49" s="61">
        <f ca="1">$AO$49*$AO$58</f>
        <v>-114.08319436854192</v>
      </c>
      <c r="AF49" s="61">
        <f ca="1">$AP$49*$AP$58</f>
        <v>0</v>
      </c>
      <c r="AG49" s="61">
        <f ca="1">SUM($AE$49:$AF$49)</f>
        <v>-114.08319436854192</v>
      </c>
      <c r="AH49" s="61">
        <f>'TUSD BE'!$AH$49*'TUSD BE'!$AH$61</f>
        <v>-3.3489723642270079</v>
      </c>
      <c r="AI49" s="61">
        <f>'TUSD BE'!$AI$49*'TUSD BE'!$AI$61</f>
        <v>-3.4250661326898323E-2</v>
      </c>
      <c r="AJ49" s="61">
        <f ca="1">'TUSD BE'!$AJ$49*'TUSD BE'!$AJ$61</f>
        <v>-0.12589516163518874</v>
      </c>
      <c r="AK49" s="61">
        <f ca="1">'TUSD BE'!$AK$49*'TUSD BE'!$AK$61</f>
        <v>4.4334202298329732E-2</v>
      </c>
      <c r="AL49" s="61">
        <f ca="1">SUM($AH$49:$AK$49)</f>
        <v>-3.4647839848907651</v>
      </c>
      <c r="AM49" s="61">
        <f ca="1">SUMIF($L$4:$AL$4,"SUBTOTAL",$L$49:$AL$49)+AZ49</f>
        <v>-133.23831939872068</v>
      </c>
      <c r="AO49" s="68">
        <f ca="1">+'TUSD BE'!$T$49+'TUSD BE'!$AB$49+'TUSD BE'!$AD$49+'TUSD BE'!$AL$49</f>
        <v>931.30582349479198</v>
      </c>
      <c r="AP49" s="68">
        <f ca="1">+'TUSD BE'!$T$49+'TUSD BE'!$AB$49+'TUSD BE'!$AD$49+'TUSD BE'!$AL$49</f>
        <v>931.30582349479198</v>
      </c>
      <c r="AQ49" s="9" t="str">
        <f t="shared" si="7"/>
        <v>B3</v>
      </c>
      <c r="AR49" s="9" t="str">
        <f t="shared" si="8"/>
        <v>Branca</v>
      </c>
      <c r="AS49" s="9" t="str">
        <f t="shared" si="9"/>
        <v>Não se aplica</v>
      </c>
      <c r="AT49" s="9" t="str">
        <f t="shared" si="10"/>
        <v>Não se aplica</v>
      </c>
      <c r="AU49" s="9" t="str">
        <f t="shared" si="11"/>
        <v>Não se aplica</v>
      </c>
      <c r="AV49" s="9">
        <f t="shared" si="12"/>
        <v>1</v>
      </c>
      <c r="AW49" s="9">
        <f ca="1">TarifaMedia!$G$20</f>
        <v>0</v>
      </c>
      <c r="AX49" s="15">
        <f ca="1">'TUSD BE'!$AM49+'TUSD BF'!$AM49+'TUSD CVA'!$AM49</f>
        <v>814.58961420525986</v>
      </c>
      <c r="AY49" s="9">
        <v>668.75</v>
      </c>
      <c r="AZ49" s="9">
        <f t="shared" ca="1" si="13"/>
        <v>0</v>
      </c>
      <c r="BC49" s="53" t="s">
        <v>1286</v>
      </c>
    </row>
    <row r="50" spans="1:55" ht="11.25" customHeight="1" x14ac:dyDescent="0.3">
      <c r="A50" s="132"/>
      <c r="B50" s="132"/>
      <c r="C50" s="132"/>
      <c r="D50" s="132"/>
      <c r="E50" s="132"/>
      <c r="F50" s="132"/>
      <c r="G50" s="66" t="s">
        <v>78</v>
      </c>
      <c r="H50" s="66" t="s">
        <v>76</v>
      </c>
      <c r="I50" s="66">
        <f>'MERCADO TUSD'!$U$47</f>
        <v>7.484</v>
      </c>
      <c r="J50" s="15"/>
      <c r="L50" s="61">
        <f>'TUSD BE'!$L$50*'TUSD BE'!$L$61</f>
        <v>-9.0258987104960456E-2</v>
      </c>
      <c r="M50" s="61">
        <f>'TUSD BE'!$M$50*'TUSD BE'!$M$61</f>
        <v>-1.9491624390069004E-2</v>
      </c>
      <c r="N50" s="61">
        <f ca="1">'TUSD BE'!$N$50*'TUSD BE'!$N$61</f>
        <v>-2.4282127124248169E-5</v>
      </c>
      <c r="O50" s="61">
        <f>'TUSD BE'!$O$50*'TUSD BE'!$O$61</f>
        <v>0</v>
      </c>
      <c r="P50" s="61">
        <f>'TUSD BE'!$P$50*'TUSD BE'!$P$61</f>
        <v>0</v>
      </c>
      <c r="Q50" s="61">
        <f>'TUSD BE'!$Q$50*'TUSD BE'!$Q$61</f>
        <v>-0.9531040471094272</v>
      </c>
      <c r="R50" s="61">
        <f>'TUSD BE'!$R$50*'TUSD BE'!$R$61</f>
        <v>-0.1436055413628014</v>
      </c>
      <c r="S50" s="61">
        <f>'TUSD BE'!$R$50*'TUSD BE'!$S$61</f>
        <v>0</v>
      </c>
      <c r="T50" s="61">
        <f ca="1">SUM($L$50:$S$50)</f>
        <v>-1.2064844820943823</v>
      </c>
      <c r="U50" s="61">
        <f>'TUSD BE'!$U$50*'TUSD BE'!$U$61</f>
        <v>0</v>
      </c>
      <c r="V50" s="61">
        <f>'TUSD BE'!$V$50*'TUSD BE'!$V$61</f>
        <v>0</v>
      </c>
      <c r="W50" s="61">
        <f>'TUSD BE'!$W$50*'TUSD BE'!$W$61</f>
        <v>0</v>
      </c>
      <c r="X50" s="61">
        <f>'TUSD BE'!$X$50*'TUSD BE'!$X$61</f>
        <v>0</v>
      </c>
      <c r="Y50" s="61">
        <f>'TUSD BE'!$Y$50*'TUSD BE'!$Y$61</f>
        <v>-19.091647900831784</v>
      </c>
      <c r="Z50" s="61">
        <f>'TUSD BE'!$Z$50*'TUSD BE'!$Z$61</f>
        <v>0</v>
      </c>
      <c r="AA50" s="61">
        <f>'TUSD BE'!$AA$50*'TUSD BE'!$AA$61</f>
        <v>0</v>
      </c>
      <c r="AB50" s="61">
        <f>SUM($U$50:$AA$50)</f>
        <v>-19.091647900831784</v>
      </c>
      <c r="AC50" s="61">
        <f>'TUSD BE'!$AC$50*'TUSD BE'!$AC$61</f>
        <v>14.263714637771514</v>
      </c>
      <c r="AD50" s="61">
        <f>SUM($AC$50:$AC$50)</f>
        <v>14.263714637771514</v>
      </c>
      <c r="AE50" s="61">
        <f ca="1">$AO$50*$AO$58</f>
        <v>-48.864474222159551</v>
      </c>
      <c r="AF50" s="61">
        <f ca="1">$AP$50*$AP$58</f>
        <v>0</v>
      </c>
      <c r="AG50" s="61">
        <f ca="1">SUM($AE$50:$AF$50)</f>
        <v>-48.864474222159551</v>
      </c>
      <c r="AH50" s="61">
        <f>'TUSD BE'!$AH$50*'TUSD BE'!$AH$61</f>
        <v>-3.3489723642270079</v>
      </c>
      <c r="AI50" s="61">
        <f>'TUSD BE'!$AI$50*'TUSD BE'!$AI$61</f>
        <v>-3.4250661326898323E-2</v>
      </c>
      <c r="AJ50" s="61">
        <f ca="1">'TUSD BE'!$AJ$50*'TUSD BE'!$AJ$61</f>
        <v>-0.12589516163518874</v>
      </c>
      <c r="AK50" s="61">
        <f ca="1">'TUSD BE'!$AK$50*'TUSD BE'!$AK$61</f>
        <v>4.4334202298329732E-2</v>
      </c>
      <c r="AL50" s="61">
        <f ca="1">SUM($AH$50:$AK$50)</f>
        <v>-3.4647839848907651</v>
      </c>
      <c r="AM50" s="61">
        <f ca="1">SUMIF($L$4:$AL$4,"SUBTOTAL",$L$50:$AL$50)+AZ50</f>
        <v>-58.363675952204964</v>
      </c>
      <c r="AO50" s="68">
        <f ca="1">+'TUSD BE'!$T$50+'TUSD BE'!$AB$50+'TUSD BE'!$AD$50+'TUSD BE'!$AL$50</f>
        <v>398.89985248920203</v>
      </c>
      <c r="AP50" s="68">
        <f ca="1">+'TUSD BE'!$T$50+'TUSD BE'!$AB$50+'TUSD BE'!$AD$50+'TUSD BE'!$AL$50</f>
        <v>398.89985248920203</v>
      </c>
      <c r="AQ50" s="9" t="str">
        <f t="shared" si="7"/>
        <v>B3</v>
      </c>
      <c r="AR50" s="9" t="str">
        <f t="shared" si="8"/>
        <v>Branca</v>
      </c>
      <c r="AS50" s="9" t="str">
        <f t="shared" si="9"/>
        <v>Não se aplica</v>
      </c>
      <c r="AT50" s="9" t="str">
        <f t="shared" si="10"/>
        <v>Não se aplica</v>
      </c>
      <c r="AU50" s="9" t="str">
        <f t="shared" si="11"/>
        <v>Não se aplica</v>
      </c>
      <c r="AV50" s="9">
        <f t="shared" si="12"/>
        <v>1</v>
      </c>
      <c r="AW50" s="9">
        <f ca="1">TarifaMedia!$G$20</f>
        <v>0</v>
      </c>
      <c r="AX50" s="15">
        <f ca="1">'TUSD BE'!$AM50+'TUSD BF'!$AM50+'TUSD CVA'!$AM50</f>
        <v>357.05828664618559</v>
      </c>
      <c r="AY50" s="9">
        <v>321.94</v>
      </c>
      <c r="AZ50" s="9">
        <f t="shared" ca="1" si="13"/>
        <v>0</v>
      </c>
      <c r="BC50" s="53" t="s">
        <v>1287</v>
      </c>
    </row>
    <row r="51" spans="1:55" ht="11.25" customHeight="1" x14ac:dyDescent="0.3">
      <c r="A51" s="132"/>
      <c r="B51" s="65" t="s">
        <v>23</v>
      </c>
      <c r="C51" s="65" t="s">
        <v>25</v>
      </c>
      <c r="D51" s="65" t="s">
        <v>25</v>
      </c>
      <c r="E51" s="65" t="s">
        <v>25</v>
      </c>
      <c r="F51" s="65" t="s">
        <v>25</v>
      </c>
      <c r="G51" s="66" t="s">
        <v>81</v>
      </c>
      <c r="H51" s="66" t="s">
        <v>76</v>
      </c>
      <c r="I51" s="66">
        <f>'MERCADO TUSD'!$U$48</f>
        <v>11812.039999999999</v>
      </c>
      <c r="J51" s="15"/>
      <c r="L51" s="61">
        <f>'TUSD BE'!$L$51*'TUSD BE'!$L$61</f>
        <v>-9.0258987104960456E-2</v>
      </c>
      <c r="M51" s="61">
        <f>'TUSD BE'!$M$51*'TUSD BE'!$M$61</f>
        <v>-1.9491624390069004E-2</v>
      </c>
      <c r="N51" s="61">
        <f ca="1">'TUSD BE'!$N$51*'TUSD BE'!$N$61</f>
        <v>-3.1659055145103425E-5</v>
      </c>
      <c r="O51" s="61">
        <f>'TUSD BE'!$O$51*'TUSD BE'!$O$61</f>
        <v>0</v>
      </c>
      <c r="P51" s="61">
        <f>'TUSD BE'!$P$51*'TUSD BE'!$P$61</f>
        <v>0</v>
      </c>
      <c r="Q51" s="61">
        <f>'TUSD BE'!$Q$51*'TUSD BE'!$Q$61</f>
        <v>-0.9531040471094272</v>
      </c>
      <c r="R51" s="61">
        <f>'TUSD BE'!$R$51*'TUSD BE'!$R$61</f>
        <v>-0.1436055413628014</v>
      </c>
      <c r="S51" s="61">
        <f>'TUSD BE'!$R$51*'TUSD BE'!$S$61</f>
        <v>0</v>
      </c>
      <c r="T51" s="61">
        <f ca="1">SUM($L$51:$S$51)</f>
        <v>-1.2064918590224032</v>
      </c>
      <c r="U51" s="61">
        <f>'TUSD BE'!$U$51*'TUSD BE'!$U$61</f>
        <v>0</v>
      </c>
      <c r="V51" s="61">
        <f>'TUSD BE'!$V$51*'TUSD BE'!$V$61</f>
        <v>0</v>
      </c>
      <c r="W51" s="61">
        <f>'TUSD BE'!$W$51*'TUSD BE'!$W$61</f>
        <v>0</v>
      </c>
      <c r="X51" s="61">
        <f>'TUSD BE'!$X$51*'TUSD BE'!$X$61</f>
        <v>0</v>
      </c>
      <c r="Y51" s="61">
        <f>'TUSD BE'!$Y$51*'TUSD BE'!$Y$61</f>
        <v>-26.516177640044145</v>
      </c>
      <c r="Z51" s="61">
        <f>'TUSD BE'!$Z$51*'TUSD BE'!$Z$61</f>
        <v>0</v>
      </c>
      <c r="AA51" s="61">
        <f>'TUSD BE'!$AA$51*'TUSD BE'!$AA$61</f>
        <v>0</v>
      </c>
      <c r="AB51" s="61">
        <f>SUM($U$51:$AA$51)</f>
        <v>-26.516177640044145</v>
      </c>
      <c r="AC51" s="61">
        <f>'TUSD BE'!$AC$51*'TUSD BE'!$AC$61</f>
        <v>19.810715898533843</v>
      </c>
      <c r="AD51" s="61">
        <f>SUM($AC$51:$AC$51)</f>
        <v>19.810715898533843</v>
      </c>
      <c r="AE51" s="61">
        <f ca="1">$AO$51*$AO$58</f>
        <v>-61.545890892764554</v>
      </c>
      <c r="AF51" s="61">
        <f ca="1">$AP$51*$AP$58</f>
        <v>0</v>
      </c>
      <c r="AG51" s="61">
        <f ca="1">SUM($AE$51:$AF$51)</f>
        <v>-61.545890892764554</v>
      </c>
      <c r="AH51" s="61">
        <f>'TUSD BE'!$AH$51*'TUSD BE'!$AH$61</f>
        <v>-3.3489723642270079</v>
      </c>
      <c r="AI51" s="61">
        <f>'TUSD BE'!$AI$51*'TUSD BE'!$AI$61</f>
        <v>-3.4250661326898323E-2</v>
      </c>
      <c r="AJ51" s="61">
        <f ca="1">'TUSD BE'!$AJ$51*'TUSD BE'!$AJ$61</f>
        <v>-0.12589516163518874</v>
      </c>
      <c r="AK51" s="61">
        <f ca="1">'TUSD BE'!$AK$51*'TUSD BE'!$AK$61</f>
        <v>4.4334202298329732E-2</v>
      </c>
      <c r="AL51" s="61">
        <f ca="1">SUM($AH$51:$AK$51)</f>
        <v>-3.4647839848907651</v>
      </c>
      <c r="AM51" s="61">
        <f ca="1">SUMIF($L$4:$AL$4,"SUBTOTAL",$L$51:$AL$51)+AZ51</f>
        <v>-72.922628478188017</v>
      </c>
      <c r="AO51" s="68">
        <f ca="1">+'TUSD BE'!$T$51+'TUSD BE'!$AB$51+'TUSD BE'!$AD$51+'TUSD BE'!$AL$51</f>
        <v>502.42322646964709</v>
      </c>
      <c r="AP51" s="68">
        <f ca="1">+'TUSD BE'!$T$51+'TUSD BE'!$AB$51+'TUSD BE'!$AD$51+'TUSD BE'!$AL$51</f>
        <v>502.42322646964709</v>
      </c>
      <c r="AQ51" s="9" t="str">
        <f t="shared" si="7"/>
        <v>B3</v>
      </c>
      <c r="AR51" s="9" t="str">
        <f t="shared" si="8"/>
        <v>Convencional</v>
      </c>
      <c r="AS51" s="9" t="str">
        <f t="shared" si="9"/>
        <v>Não se aplica</v>
      </c>
      <c r="AT51" s="9" t="str">
        <f t="shared" si="10"/>
        <v>Não se aplica</v>
      </c>
      <c r="AU51" s="9" t="str">
        <f t="shared" si="11"/>
        <v>Não se aplica</v>
      </c>
      <c r="AV51" s="9">
        <f t="shared" si="12"/>
        <v>1</v>
      </c>
      <c r="AW51" s="9">
        <f ca="1">TarifaMedia!$G$20</f>
        <v>0</v>
      </c>
      <c r="AX51" s="15">
        <f ca="1">'TUSD BE'!$AM51+'TUSD BF'!$AM51+'TUSD CVA'!$AM51</f>
        <v>446.02270810064761</v>
      </c>
      <c r="AY51" s="9">
        <v>437.54</v>
      </c>
      <c r="AZ51" s="9">
        <f t="shared" ca="1" si="13"/>
        <v>0</v>
      </c>
      <c r="BC51" s="53" t="s">
        <v>1288</v>
      </c>
    </row>
    <row r="52" spans="1:55" ht="11.25" customHeight="1" x14ac:dyDescent="0.3">
      <c r="A52" s="132"/>
      <c r="B52" s="65" t="s">
        <v>95</v>
      </c>
      <c r="C52" s="65" t="s">
        <v>25</v>
      </c>
      <c r="D52" s="65" t="s">
        <v>25</v>
      </c>
      <c r="E52" s="65" t="s">
        <v>25</v>
      </c>
      <c r="F52" s="65" t="s">
        <v>25</v>
      </c>
      <c r="G52" s="66" t="s">
        <v>81</v>
      </c>
      <c r="H52" s="66" t="s">
        <v>76</v>
      </c>
      <c r="I52" s="66">
        <f>'MERCADO TUSD'!$U$49</f>
        <v>0</v>
      </c>
      <c r="J52" s="15"/>
      <c r="L52" s="61">
        <f>'TUSD BE'!$L$52*'TUSD BE'!$L$61</f>
        <v>-9.0258987104960456E-2</v>
      </c>
      <c r="M52" s="61">
        <f>'TUSD BE'!$M$52*'TUSD BE'!$M$61</f>
        <v>-1.9491624390069004E-2</v>
      </c>
      <c r="N52" s="61">
        <f ca="1">'TUSD BE'!$N$52*'TUSD BE'!$N$61</f>
        <v>-3.1659055145103425E-5</v>
      </c>
      <c r="O52" s="61">
        <f>'TUSD BE'!$O$52*'TUSD BE'!$O$61</f>
        <v>0</v>
      </c>
      <c r="P52" s="61">
        <f>'TUSD BE'!$P$52*'TUSD BE'!$P$61</f>
        <v>0</v>
      </c>
      <c r="Q52" s="61">
        <f>'TUSD BE'!$Q$52*'TUSD BE'!$Q$61</f>
        <v>-0.9531040471094272</v>
      </c>
      <c r="R52" s="61">
        <f>'TUSD BE'!$R$52*'TUSD BE'!$R$61</f>
        <v>-0.1436055413628014</v>
      </c>
      <c r="S52" s="61">
        <f>'TUSD BE'!$R$52*'TUSD BE'!$S$61</f>
        <v>0</v>
      </c>
      <c r="T52" s="61">
        <f ca="1">SUM($L$52:$S$52)</f>
        <v>-1.2064918590224032</v>
      </c>
      <c r="U52" s="61">
        <f>'TUSD BE'!$U$52*'TUSD BE'!$U$61</f>
        <v>0</v>
      </c>
      <c r="V52" s="61">
        <f>'TUSD BE'!$V$52*'TUSD BE'!$V$61</f>
        <v>0</v>
      </c>
      <c r="W52" s="61">
        <f>'TUSD BE'!$W$52*'TUSD BE'!$W$61</f>
        <v>0</v>
      </c>
      <c r="X52" s="61">
        <f>'TUSD BE'!$X$52*'TUSD BE'!$X$61</f>
        <v>0</v>
      </c>
      <c r="Y52" s="61">
        <f>'TUSD BE'!$Y$52*'TUSD BE'!$Y$61</f>
        <v>-26.516177640044145</v>
      </c>
      <c r="Z52" s="61">
        <f>'TUSD BE'!$Z$52*'TUSD BE'!$Z$61</f>
        <v>0</v>
      </c>
      <c r="AA52" s="61">
        <f>'TUSD BE'!$AA$52*'TUSD BE'!$AA$61</f>
        <v>0</v>
      </c>
      <c r="AB52" s="61">
        <f>SUM($U$52:$AA$52)</f>
        <v>-26.516177640044145</v>
      </c>
      <c r="AC52" s="61">
        <f>'TUSD BE'!$AC$52*'TUSD BE'!$AC$61</f>
        <v>19.810715898533843</v>
      </c>
      <c r="AD52" s="61">
        <f>SUM($AC$52:$AC$52)</f>
        <v>19.810715898533843</v>
      </c>
      <c r="AE52" s="61">
        <f ca="1">$AO$52*$AO$58</f>
        <v>-61.545890892764554</v>
      </c>
      <c r="AF52" s="61">
        <f ca="1">$AP$52*$AP$58</f>
        <v>0</v>
      </c>
      <c r="AG52" s="61">
        <f ca="1">SUM($AE$52:$AF$52)</f>
        <v>-61.545890892764554</v>
      </c>
      <c r="AH52" s="61">
        <f>'TUSD BE'!$AH$52*'TUSD BE'!$AH$61</f>
        <v>-3.3489723642270079</v>
      </c>
      <c r="AI52" s="61">
        <f>'TUSD BE'!$AI$52*'TUSD BE'!$AI$61</f>
        <v>-3.4250661326898323E-2</v>
      </c>
      <c r="AJ52" s="61">
        <f ca="1">'TUSD BE'!$AJ$52*'TUSD BE'!$AJ$61</f>
        <v>-0.12589516163518874</v>
      </c>
      <c r="AK52" s="61">
        <f ca="1">'TUSD BE'!$AK$52*'TUSD BE'!$AK$61</f>
        <v>4.4334202298329732E-2</v>
      </c>
      <c r="AL52" s="61">
        <f ca="1">SUM($AH$52:$AK$52)</f>
        <v>-3.4647839848907651</v>
      </c>
      <c r="AM52" s="61">
        <f ca="1">SUMIF($L$4:$AL$4,"SUBTOTAL",$L$52:$AL$52)+AZ52</f>
        <v>-72.922628478188017</v>
      </c>
      <c r="AO52" s="68">
        <f ca="1">+'TUSD BE'!$T$52+'TUSD BE'!$AB$52+'TUSD BE'!$AD$52+'TUSD BE'!$AL$52</f>
        <v>502.42322646964709</v>
      </c>
      <c r="AP52" s="68">
        <f ca="1">+'TUSD BE'!$T$52+'TUSD BE'!$AB$52+'TUSD BE'!$AD$52+'TUSD BE'!$AL$52</f>
        <v>502.42322646964709</v>
      </c>
      <c r="AQ52" s="9" t="str">
        <f t="shared" si="7"/>
        <v>B3</v>
      </c>
      <c r="AR52" s="9" t="str">
        <f t="shared" si="8"/>
        <v>Convencional pré-pagamento</v>
      </c>
      <c r="AS52" s="9" t="str">
        <f t="shared" si="9"/>
        <v>Não se aplica</v>
      </c>
      <c r="AT52" s="9" t="str">
        <f t="shared" si="10"/>
        <v>Não se aplica</v>
      </c>
      <c r="AU52" s="9" t="str">
        <f t="shared" si="11"/>
        <v>Não se aplica</v>
      </c>
      <c r="AV52" s="9">
        <f t="shared" si="12"/>
        <v>1</v>
      </c>
      <c r="AW52" s="9">
        <f ca="1">TarifaMedia!$G$20</f>
        <v>0</v>
      </c>
      <c r="AX52" s="15">
        <f ca="1">'TUSD BE'!$AM52+'TUSD BF'!$AM52+'TUSD CVA'!$AM52</f>
        <v>446.02270810064761</v>
      </c>
      <c r="AY52" s="9">
        <v>437.54</v>
      </c>
      <c r="AZ52" s="9">
        <f t="shared" ca="1" si="13"/>
        <v>0</v>
      </c>
      <c r="BC52" s="53" t="s">
        <v>1289</v>
      </c>
    </row>
    <row r="53" spans="1:55" ht="11.25" customHeight="1" x14ac:dyDescent="0.3">
      <c r="A53" s="132" t="s">
        <v>45</v>
      </c>
      <c r="B53" s="132" t="s">
        <v>23</v>
      </c>
      <c r="C53" s="132" t="s">
        <v>46</v>
      </c>
      <c r="D53" s="65" t="s">
        <v>47</v>
      </c>
      <c r="E53" s="65" t="s">
        <v>25</v>
      </c>
      <c r="F53" s="65" t="s">
        <v>25</v>
      </c>
      <c r="G53" s="66" t="s">
        <v>81</v>
      </c>
      <c r="H53" s="66" t="s">
        <v>76</v>
      </c>
      <c r="I53" s="66">
        <f>'MERCADO TUSD'!$U$50</f>
        <v>4365.4290000000001</v>
      </c>
      <c r="J53" s="15"/>
      <c r="L53" s="61">
        <f>'TUSD BE'!$L$53*'TUSD BE'!$L$61</f>
        <v>-4.9642442907728249E-2</v>
      </c>
      <c r="M53" s="61">
        <f>'TUSD BE'!$M$53*'TUSD BE'!$M$61</f>
        <v>-1.0720393414537951E-2</v>
      </c>
      <c r="N53" s="61">
        <f ca="1">'TUSD BE'!$N$53*'TUSD BE'!$N$61</f>
        <v>-1.7412480329806886E-5</v>
      </c>
      <c r="O53" s="61">
        <f>'TUSD BE'!$O$53*'TUSD BE'!$O$61</f>
        <v>0</v>
      </c>
      <c r="P53" s="61">
        <f>'TUSD BE'!$P$53*'TUSD BE'!$P$61</f>
        <v>0</v>
      </c>
      <c r="Q53" s="61">
        <f>'TUSD BE'!$Q$53*'TUSD BE'!$Q$61</f>
        <v>-0.52420722591018498</v>
      </c>
      <c r="R53" s="61">
        <f>'TUSD BE'!$R$53*'TUSD BE'!$R$61</f>
        <v>-7.8983047749540777E-2</v>
      </c>
      <c r="S53" s="61">
        <f>'TUSD BE'!$R$53*'TUSD BE'!$S$61</f>
        <v>0</v>
      </c>
      <c r="T53" s="61">
        <f ca="1">SUM($L$53:$S$53)</f>
        <v>-0.66357052246232173</v>
      </c>
      <c r="U53" s="61">
        <f>'TUSD BE'!$U$53*'TUSD BE'!$U$61</f>
        <v>0</v>
      </c>
      <c r="V53" s="61">
        <f>'TUSD BE'!$V$53*'TUSD BE'!$V$61</f>
        <v>0</v>
      </c>
      <c r="W53" s="61">
        <f>'TUSD BE'!$W$53*'TUSD BE'!$W$61</f>
        <v>0</v>
      </c>
      <c r="X53" s="61">
        <f>'TUSD BE'!$X$53*'TUSD BE'!$X$61</f>
        <v>0</v>
      </c>
      <c r="Y53" s="61">
        <f>'TUSD BE'!$Y$53*'TUSD BE'!$Y$61</f>
        <v>-14.583897702024281</v>
      </c>
      <c r="Z53" s="61">
        <f>'TUSD BE'!$Z$53*'TUSD BE'!$Z$61</f>
        <v>0</v>
      </c>
      <c r="AA53" s="61">
        <f>'TUSD BE'!$AA$53*'TUSD BE'!$AA$61</f>
        <v>0</v>
      </c>
      <c r="AB53" s="61">
        <f>SUM($U$53:$AA$53)</f>
        <v>-14.583897702024281</v>
      </c>
      <c r="AC53" s="61">
        <f>'TUSD BE'!$AC$53*'TUSD BE'!$AC$61</f>
        <v>10.895893744193616</v>
      </c>
      <c r="AD53" s="61">
        <f>SUM($AC$53:$AC$53)</f>
        <v>10.895893744193616</v>
      </c>
      <c r="AE53" s="61">
        <f ca="1">$AO$53*$AO$58</f>
        <v>-33.850239991020509</v>
      </c>
      <c r="AF53" s="61">
        <f ca="1">$AP$53*$AP$58</f>
        <v>0</v>
      </c>
      <c r="AG53" s="61">
        <f ca="1">SUM($AE$53:$AF$53)</f>
        <v>-33.850239991020509</v>
      </c>
      <c r="AH53" s="61">
        <f>'TUSD BE'!$AH$53*'TUSD BE'!$AH$61</f>
        <v>-1.8419348003248548</v>
      </c>
      <c r="AI53" s="61">
        <f>'TUSD BE'!$AI$53*'TUSD BE'!$AI$61</f>
        <v>-1.8837863729794079E-2</v>
      </c>
      <c r="AJ53" s="61">
        <f ca="1">'TUSD BE'!$AJ$53*'TUSD BE'!$AJ$61</f>
        <v>-6.9242338899353814E-2</v>
      </c>
      <c r="AK53" s="61">
        <f ca="1">'TUSD BE'!$AK$53*'TUSD BE'!$AK$61</f>
        <v>2.4383811264081352E-2</v>
      </c>
      <c r="AL53" s="61">
        <f ca="1">SUM($AH$53:$AK$53)</f>
        <v>-1.9056311916899213</v>
      </c>
      <c r="AM53" s="61">
        <f ca="1">SUMIF($L$4:$AL$4,"SUBTOTAL",$L$53:$AL$53)+AZ53</f>
        <v>-40.107445663003418</v>
      </c>
      <c r="AO53" s="68">
        <f ca="1">+'TUSD BE'!$T$53+'TUSD BE'!$AB$53+'TUSD BE'!$AD$53+'TUSD BE'!$AL$53</f>
        <v>276.33277455830597</v>
      </c>
      <c r="AP53" s="68">
        <f ca="1">+'TUSD BE'!$T$53+'TUSD BE'!$AB$53+'TUSD BE'!$AD$53+'TUSD BE'!$AL$53</f>
        <v>276.33277455830597</v>
      </c>
      <c r="AQ53" s="9" t="str">
        <f t="shared" si="7"/>
        <v>B4</v>
      </c>
      <c r="AR53" s="9" t="str">
        <f t="shared" si="8"/>
        <v>Convencional</v>
      </c>
      <c r="AS53" s="9" t="str">
        <f t="shared" si="9"/>
        <v>Iluminação pública</v>
      </c>
      <c r="AT53" s="9" t="str">
        <f t="shared" si="10"/>
        <v>Iluminação pública – B4a</v>
      </c>
      <c r="AU53" s="9" t="str">
        <f t="shared" si="11"/>
        <v>Não se aplica</v>
      </c>
      <c r="AV53" s="9">
        <f t="shared" si="12"/>
        <v>1</v>
      </c>
      <c r="AW53" s="9">
        <f ca="1">TarifaMedia!$G$20</f>
        <v>0</v>
      </c>
      <c r="AX53" s="15">
        <f ca="1">'TUSD BE'!$AM53+'TUSD BF'!$AM53+'TUSD CVA'!$AM53</f>
        <v>245.31248945535623</v>
      </c>
      <c r="AY53" s="9">
        <v>240.65</v>
      </c>
      <c r="AZ53" s="9">
        <f t="shared" ca="1" si="13"/>
        <v>0</v>
      </c>
      <c r="BC53" s="53" t="s">
        <v>1290</v>
      </c>
    </row>
    <row r="54" spans="1:55" ht="11.25" customHeight="1" x14ac:dyDescent="0.3">
      <c r="A54" s="132"/>
      <c r="B54" s="132"/>
      <c r="C54" s="132"/>
      <c r="D54" s="66" t="s">
        <v>98</v>
      </c>
      <c r="E54" s="66" t="s">
        <v>25</v>
      </c>
      <c r="F54" s="66" t="s">
        <v>25</v>
      </c>
      <c r="G54" s="66" t="s">
        <v>81</v>
      </c>
      <c r="H54" s="66" t="s">
        <v>76</v>
      </c>
      <c r="I54" s="66">
        <f>'MERCADO TUSD'!$U$51</f>
        <v>0</v>
      </c>
      <c r="J54" s="15"/>
      <c r="L54" s="61">
        <f>'TUSD BE'!$L$54*'TUSD BE'!$L$61</f>
        <v>-5.4155392262976269E-2</v>
      </c>
      <c r="M54" s="61">
        <f>'TUSD BE'!$M$54*'TUSD BE'!$M$61</f>
        <v>-1.1694974634041401E-2</v>
      </c>
      <c r="N54" s="61">
        <f ca="1">'TUSD BE'!$N$54*'TUSD BE'!$N$61</f>
        <v>-1.8995433087062052E-5</v>
      </c>
      <c r="O54" s="61">
        <f>'TUSD BE'!$O$54*'TUSD BE'!$O$61</f>
        <v>0</v>
      </c>
      <c r="P54" s="61">
        <f>'TUSD BE'!$P$54*'TUSD BE'!$P$61</f>
        <v>0</v>
      </c>
      <c r="Q54" s="61">
        <f>'TUSD BE'!$Q$54*'TUSD BE'!$Q$61</f>
        <v>-0.57186242826565636</v>
      </c>
      <c r="R54" s="61">
        <f>'TUSD BE'!$R$54*'TUSD BE'!$R$61</f>
        <v>-8.6163324817680839E-2</v>
      </c>
      <c r="S54" s="61">
        <f>'TUSD BE'!$R$54*'TUSD BE'!$S$61</f>
        <v>0</v>
      </c>
      <c r="T54" s="61">
        <f ca="1">SUM($L$54:$S$54)</f>
        <v>-0.72389511541344198</v>
      </c>
      <c r="U54" s="61">
        <f>'TUSD BE'!$U$54*'TUSD BE'!$U$61</f>
        <v>0</v>
      </c>
      <c r="V54" s="61">
        <f>'TUSD BE'!$V$54*'TUSD BE'!$V$61</f>
        <v>0</v>
      </c>
      <c r="W54" s="61">
        <f>'TUSD BE'!$W$54*'TUSD BE'!$W$61</f>
        <v>0</v>
      </c>
      <c r="X54" s="61">
        <f>'TUSD BE'!$X$54*'TUSD BE'!$X$61</f>
        <v>0</v>
      </c>
      <c r="Y54" s="61">
        <f>'TUSD BE'!$Y$54*'TUSD BE'!$Y$61</f>
        <v>-15.909706584026488</v>
      </c>
      <c r="Z54" s="61">
        <f>'TUSD BE'!$Z$54*'TUSD BE'!$Z$61</f>
        <v>0</v>
      </c>
      <c r="AA54" s="61">
        <f>'TUSD BE'!$AA$54*'TUSD BE'!$AA$61</f>
        <v>0</v>
      </c>
      <c r="AB54" s="61">
        <f>SUM($U$54:$AA$54)</f>
        <v>-15.909706584026488</v>
      </c>
      <c r="AC54" s="61">
        <f>'TUSD BE'!$AC$54*'TUSD BE'!$AC$61</f>
        <v>11.886429539120305</v>
      </c>
      <c r="AD54" s="61">
        <f>SUM($AC$54:$AC$54)</f>
        <v>11.886429539120305</v>
      </c>
      <c r="AE54" s="61">
        <f ca="1">$AO$54*$AO$58</f>
        <v>-36.927534535658729</v>
      </c>
      <c r="AF54" s="61">
        <f ca="1">$AP$54*$AP$58</f>
        <v>0</v>
      </c>
      <c r="AG54" s="61">
        <f ca="1">SUM($AE$54:$AF$54)</f>
        <v>-36.927534535658729</v>
      </c>
      <c r="AH54" s="61">
        <f>'TUSD BE'!$AH$54*'TUSD BE'!$AH$61</f>
        <v>-2.0093834185362049</v>
      </c>
      <c r="AI54" s="61">
        <f>'TUSD BE'!$AI$54*'TUSD BE'!$AI$61</f>
        <v>-2.055039679613899E-2</v>
      </c>
      <c r="AJ54" s="61">
        <f ca="1">'TUSD BE'!$AJ$54*'TUSD BE'!$AJ$61</f>
        <v>-7.553709698111323E-2</v>
      </c>
      <c r="AK54" s="61">
        <f ca="1">'TUSD BE'!$AK$54*'TUSD BE'!$AK$61</f>
        <v>2.6600521378997839E-2</v>
      </c>
      <c r="AL54" s="61">
        <f ca="1">SUM($AH$54:$AK$54)</f>
        <v>-2.0788703909344592</v>
      </c>
      <c r="AM54" s="61">
        <f ca="1">SUMIF($L$4:$AL$4,"SUBTOTAL",$L$54:$AL$54)+AZ54</f>
        <v>-43.753577086912813</v>
      </c>
      <c r="AO54" s="68">
        <f ca="1">+'TUSD BE'!$T$54+'TUSD BE'!$AB$54+'TUSD BE'!$AD$54+'TUSD BE'!$AL$54</f>
        <v>301.45393588178825</v>
      </c>
      <c r="AP54" s="68">
        <f ca="1">+'TUSD BE'!$T$54+'TUSD BE'!$AB$54+'TUSD BE'!$AD$54+'TUSD BE'!$AL$54</f>
        <v>301.45393588178825</v>
      </c>
      <c r="AQ54" s="9" t="str">
        <f t="shared" si="7"/>
        <v>B4</v>
      </c>
      <c r="AR54" s="9" t="str">
        <f t="shared" si="8"/>
        <v>Convencional</v>
      </c>
      <c r="AS54" s="9" t="str">
        <f t="shared" si="9"/>
        <v>Iluminação pública</v>
      </c>
      <c r="AT54" s="9" t="str">
        <f t="shared" si="10"/>
        <v>Iluminação pública – B4b</v>
      </c>
      <c r="AU54" s="9" t="str">
        <f t="shared" si="11"/>
        <v>Não se aplica</v>
      </c>
      <c r="AV54" s="9">
        <f t="shared" si="12"/>
        <v>1</v>
      </c>
      <c r="AW54" s="9">
        <f ca="1">TarifaMedia!$G$20</f>
        <v>0</v>
      </c>
      <c r="AX54" s="15">
        <f ca="1">'TUSD BE'!$AM54+'TUSD BF'!$AM54+'TUSD CVA'!$AM54</f>
        <v>267.6136248603886</v>
      </c>
      <c r="AY54" s="9">
        <v>262.52</v>
      </c>
      <c r="AZ54" s="9">
        <f t="shared" ca="1" si="13"/>
        <v>0</v>
      </c>
      <c r="BC54" s="53" t="s">
        <v>1291</v>
      </c>
    </row>
    <row r="56" spans="1:55" ht="11.25" customHeight="1" x14ac:dyDescent="0.3">
      <c r="K56" s="60" t="s">
        <v>709</v>
      </c>
      <c r="L56" s="61">
        <f>SUMPRODUCT($I$5:$I54,$L$5:$L54)</f>
        <v>-6321.8271732228695</v>
      </c>
      <c r="M56" s="61">
        <f>SUMPRODUCT($I$5:$I54,$M$5:$M54)</f>
        <v>-1462.854310844883</v>
      </c>
      <c r="N56" s="61">
        <f ca="1">SUMPRODUCT($I$5:$I54,$N$5:$N54)</f>
        <v>-1.97278550929241</v>
      </c>
      <c r="O56" s="61">
        <f>SUMPRODUCT($I$5:$I54,$O$5:$O54)</f>
        <v>0</v>
      </c>
      <c r="P56" s="61">
        <f>SUMPRODUCT($I$5:$I54,$P$5:$P54)</f>
        <v>0</v>
      </c>
      <c r="Q56" s="61">
        <f>SUMPRODUCT($I$5:$I54,$Q$5:$Q54)</f>
        <v>-66756.333714650376</v>
      </c>
      <c r="R56" s="61">
        <f>SUMPRODUCT($I$5:$I54,$R$5:$R54)</f>
        <v>-10513.389966282062</v>
      </c>
      <c r="S56" s="61">
        <f>SUMPRODUCT($I$5:$I54,$S$5:$S54)</f>
        <v>0</v>
      </c>
      <c r="T56" s="61">
        <f ca="1">SUMPRODUCT($I$5:$I54,$T$5:$T54)</f>
        <v>-85056.377950509486</v>
      </c>
      <c r="U56" s="61">
        <f>SUMPRODUCT($I$5:$I54,$U$5:$U54)</f>
        <v>0</v>
      </c>
      <c r="V56" s="61">
        <f>SUMPRODUCT($I$5:$I54,$V$5:$V54)</f>
        <v>0</v>
      </c>
      <c r="W56" s="61">
        <f>SUMPRODUCT($I$5:$I54,$W$5:$W54)</f>
        <v>0</v>
      </c>
      <c r="X56" s="61">
        <f>SUMPRODUCT($I$5:$I54,$X$5:$X54)</f>
        <v>0</v>
      </c>
      <c r="Y56" s="61">
        <f>SUMPRODUCT($I$5:$I54,$Y$5:$Y54)</f>
        <v>-2303426.1390031916</v>
      </c>
      <c r="Z56" s="61">
        <f>SUMPRODUCT($I$5:$I54,$Z$5:$Z54)</f>
        <v>0</v>
      </c>
      <c r="AA56" s="61">
        <f>SUMPRODUCT($I$5:$I54,$AA$5:$AA54)</f>
        <v>0</v>
      </c>
      <c r="AB56" s="61">
        <f>SUMPRODUCT($I$5:$I54,$AB$5:$AB54)</f>
        <v>-2303426.1390031916</v>
      </c>
      <c r="AC56" s="61">
        <f>SUMPRODUCT($I$5:$I54,$AC$5:$AC54)</f>
        <v>1487377.6100786324</v>
      </c>
      <c r="AD56" s="61">
        <f>SUMPRODUCT($I$5:$I54,$AD$5:$AD54)</f>
        <v>1487377.6100786324</v>
      </c>
      <c r="AE56" s="61">
        <f ca="1">SUMPRODUCT($I$5:$I54,$AE$5:$AE54)</f>
        <v>-4597767.3896910865</v>
      </c>
      <c r="AF56" s="61">
        <f ca="1">SUMPRODUCT($I$5:$I54,$AF$5:$AF54)</f>
        <v>0</v>
      </c>
      <c r="AG56" s="61">
        <f ca="1">SUMPRODUCT($I$5:$I54,$AG$5:$AG54)</f>
        <v>-4597767.3896910865</v>
      </c>
      <c r="AH56" s="61">
        <f>SUMPRODUCT($I$5:$I54,$AH$5:$AH54)</f>
        <v>-230757.57815953059</v>
      </c>
      <c r="AI56" s="61">
        <f>SUMPRODUCT($I$5:$I54,$AI$5:$AI54)</f>
        <v>-2360.0074287210841</v>
      </c>
      <c r="AJ56" s="61">
        <f ca="1">SUMPRODUCT($I$5:$I54,$AJ$5:$AJ54)</f>
        <v>-9579.1795917828804</v>
      </c>
      <c r="AK56" s="61">
        <f ca="1">SUMPRODUCT($I$5:$I54,$AK$5:$AK54)</f>
        <v>3373.3249185918735</v>
      </c>
      <c r="AL56" s="61">
        <f ca="1">SUMPRODUCT($I$5:$I54,$AL$5:$AL54)</f>
        <v>-239323.44026144265</v>
      </c>
      <c r="AM56" s="61">
        <f ca="1">SUMPRODUCT($I$5:$I54,$AM$5:$AM54)</f>
        <v>-6897624.7230878463</v>
      </c>
      <c r="AO56" s="66">
        <f ca="1">SUMPRODUCT($I$5:$I54,$AO$5:$AO54)</f>
        <v>37533377.013104439</v>
      </c>
      <c r="AP56" s="66">
        <f ca="1">SUMPRODUCT($I$5:$I54,$AP$5:$AP54)</f>
        <v>38849095.970613673</v>
      </c>
    </row>
    <row r="57" spans="1:55" ht="11.25" customHeight="1" x14ac:dyDescent="0.3">
      <c r="K57" s="60" t="s">
        <v>652</v>
      </c>
      <c r="L57" s="61">
        <f>'TR TUSD'!$L$59</f>
        <v>237499.78640641886</v>
      </c>
      <c r="M57" s="61">
        <f>'TR TUSD'!$M$59</f>
        <v>73374.677892889988</v>
      </c>
      <c r="N57" s="61">
        <f>'TR TUSD'!$N$59</f>
        <v>252169.25620839672</v>
      </c>
      <c r="O57" s="61">
        <f>'TR TUSD'!$O$59</f>
        <v>0</v>
      </c>
      <c r="P57" s="61">
        <f>'TR TUSD'!$P$59</f>
        <v>0</v>
      </c>
      <c r="Q57" s="61">
        <f>'TR TUSD'!$Q$59</f>
        <v>6277945.6326438915</v>
      </c>
      <c r="R57" s="61">
        <f>'TR TUSD'!$R$59</f>
        <v>1038653.7823800762</v>
      </c>
      <c r="S57" s="61">
        <f>'TR TUSD'!$S$59</f>
        <v>0</v>
      </c>
      <c r="T57" s="61">
        <f>'TR TUSD'!$T$59</f>
        <v>7879643.1355316732</v>
      </c>
      <c r="U57" s="61">
        <f>'TR TUSD'!$U$59</f>
        <v>0</v>
      </c>
      <c r="V57" s="61">
        <f>'TR TUSD'!$V$59</f>
        <v>0</v>
      </c>
      <c r="W57" s="61">
        <f>'TR TUSD'!$W$59</f>
        <v>0</v>
      </c>
      <c r="X57" s="61">
        <f>'TR TUSD'!$X$59</f>
        <v>0</v>
      </c>
      <c r="Y57" s="61">
        <f>'TR TUSD'!$Y$59</f>
        <v>13361511.865062799</v>
      </c>
      <c r="Z57" s="61">
        <f>'TR TUSD'!$Z$59</f>
        <v>0</v>
      </c>
      <c r="AA57" s="61">
        <f>'TR TUSD'!$AA$59</f>
        <v>0</v>
      </c>
      <c r="AB57" s="61">
        <f>'TR TUSD'!$AB$59</f>
        <v>13361511.865062799</v>
      </c>
      <c r="AC57" s="61">
        <f>'TR TUSD'!$AC$59</f>
        <v>15957830.327701807</v>
      </c>
      <c r="AD57" s="61">
        <f>'TR TUSD'!$AD$59</f>
        <v>15957830.327701807</v>
      </c>
      <c r="AE57" s="61">
        <f>'TR TUSD'!$AE$59</f>
        <v>0</v>
      </c>
      <c r="AF57" s="61">
        <f>'TR TUSD'!$AF$59</f>
        <v>0</v>
      </c>
      <c r="AG57" s="61">
        <f>'TR TUSD'!$AG$59</f>
        <v>0</v>
      </c>
      <c r="AH57" s="61">
        <f>'TR TUSD'!$AH$59</f>
        <v>1547837.5890843272</v>
      </c>
      <c r="AI57" s="61">
        <f>'TR TUSD'!$AI$59</f>
        <v>15830.06823796428</v>
      </c>
      <c r="AJ57" s="61">
        <f>'TR TUSD'!$AJ$59</f>
        <v>64253.639525114879</v>
      </c>
      <c r="AK57" s="61">
        <f>'TR TUSD'!$AK$59</f>
        <v>22189.345469980515</v>
      </c>
      <c r="AL57" s="61">
        <f>'TR TUSD'!$AL$59</f>
        <v>1650110.6423173868</v>
      </c>
      <c r="AM57" s="61">
        <f>'TUSD BE'!$AM$57</f>
        <v>38849095.970613666</v>
      </c>
      <c r="AO57" s="66">
        <f>$AE$58</f>
        <v>-4597767.3896910865</v>
      </c>
      <c r="AP57" s="66">
        <f>$AF$58</f>
        <v>0</v>
      </c>
    </row>
    <row r="58" spans="1:55" ht="11.25" customHeight="1" x14ac:dyDescent="0.3">
      <c r="K58" s="60" t="s">
        <v>653</v>
      </c>
      <c r="L58" s="61">
        <f>CUSTOS!$E$2</f>
        <v>-6321.8271732228659</v>
      </c>
      <c r="M58" s="61">
        <f>CUSTOS!$E$3</f>
        <v>-1462.854310844883</v>
      </c>
      <c r="N58" s="61">
        <f>CUSTOS!$E$4</f>
        <v>-1.9727855092924103</v>
      </c>
      <c r="O58" s="61">
        <f>CUSTOS!$E$5</f>
        <v>0</v>
      </c>
      <c r="P58" s="61">
        <f>CUSTOS!$E$6</f>
        <v>0</v>
      </c>
      <c r="Q58" s="61">
        <f>CUSTOS!$E$7</f>
        <v>-66756.333714650362</v>
      </c>
      <c r="R58" s="61">
        <f>CUSTOS!$E$8</f>
        <v>-10513.389966282062</v>
      </c>
      <c r="S58" s="61">
        <f>CUSTOS!$E$9</f>
        <v>0</v>
      </c>
      <c r="T58" s="61">
        <f>CUSTOS!$E$10</f>
        <v>-85056.377950509472</v>
      </c>
      <c r="U58" s="61">
        <f>CUSTOS!$E$11</f>
        <v>0</v>
      </c>
      <c r="V58" s="61">
        <f>CUSTOS!$E$12</f>
        <v>0</v>
      </c>
      <c r="W58" s="61">
        <f>CUSTOS!$E$13</f>
        <v>0</v>
      </c>
      <c r="X58" s="61">
        <f>CUSTOS!$E$14</f>
        <v>0</v>
      </c>
      <c r="Y58" s="61">
        <f>CUSTOS!$E$15</f>
        <v>-2303426.1390031921</v>
      </c>
      <c r="Z58" s="61">
        <f>CUSTOS!$E$16</f>
        <v>0</v>
      </c>
      <c r="AA58" s="61">
        <f>CUSTOS!$E$17</f>
        <v>0</v>
      </c>
      <c r="AB58" s="61">
        <f>CUSTOS!$E$18</f>
        <v>-2303426.1390031921</v>
      </c>
      <c r="AC58" s="61">
        <f>CUSTOS!$E$19</f>
        <v>1487377.6100786317</v>
      </c>
      <c r="AD58" s="61">
        <f>CUSTOS!$E$20</f>
        <v>1487377.6100786317</v>
      </c>
      <c r="AE58" s="61">
        <f>CUSTOS!$E$21</f>
        <v>-4597767.3896910865</v>
      </c>
      <c r="AF58" s="61">
        <f>CUSTOS!$E$22</f>
        <v>0</v>
      </c>
      <c r="AG58" s="61">
        <f>CUSTOS!$E$23</f>
        <v>-4597767.3896910865</v>
      </c>
      <c r="AH58" s="61">
        <f>CUSTOS!$E$24</f>
        <v>-230757.57815953059</v>
      </c>
      <c r="AI58" s="61">
        <f>CUSTOS!$E$25</f>
        <v>-2360.0074287210841</v>
      </c>
      <c r="AJ58" s="61">
        <f>CUSTOS!$E$26</f>
        <v>-9579.1795917828786</v>
      </c>
      <c r="AK58" s="61">
        <f>CUSTOS!$E$27</f>
        <v>3373.324918591873</v>
      </c>
      <c r="AL58" s="61">
        <f>CUSTOS!$E$28</f>
        <v>-239323.44026144268</v>
      </c>
      <c r="AM58" s="61">
        <f>CUSTOS!$E$29</f>
        <v>-5738195.7368275989</v>
      </c>
      <c r="AO58" s="66">
        <f ca="1">IF(AO56&lt;&gt;0,AO57/AO56,0)</f>
        <v>-0.12249810050627252</v>
      </c>
      <c r="AP58" s="66">
        <f ca="1">IF(AP56&lt;&gt;0,AP57/AP56,0)</f>
        <v>0</v>
      </c>
    </row>
    <row r="59" spans="1:55" ht="11.25" customHeight="1" x14ac:dyDescent="0.3">
      <c r="K59" s="60" t="s">
        <v>654</v>
      </c>
      <c r="L59" s="61">
        <f>CUSTOS!$F$2</f>
        <v>15576.859586323053</v>
      </c>
      <c r="M59" s="61">
        <f>CUSTOS!$F$3</f>
        <v>0</v>
      </c>
      <c r="N59" s="61">
        <f>CUSTOS!$F$4</f>
        <v>0</v>
      </c>
      <c r="O59" s="61">
        <f>CUSTOS!$F$5</f>
        <v>0</v>
      </c>
      <c r="P59" s="61">
        <f>CUSTOS!$F$6</f>
        <v>0</v>
      </c>
      <c r="Q59" s="61">
        <f>CUSTOS!$F$7</f>
        <v>776055.91760000004</v>
      </c>
      <c r="R59" s="61">
        <f>CUSTOS!$F$8</f>
        <v>206711.2366</v>
      </c>
      <c r="S59" s="61">
        <f>CUSTOS!$F$9</f>
        <v>0</v>
      </c>
      <c r="T59" s="61">
        <f>CUSTOS!$F$10</f>
        <v>998344.01378632314</v>
      </c>
      <c r="U59" s="61">
        <f>CUSTOS!$F$11</f>
        <v>0</v>
      </c>
      <c r="V59" s="61">
        <f>CUSTOS!$F$12</f>
        <v>0</v>
      </c>
      <c r="W59" s="61">
        <f>CUSTOS!$F$13</f>
        <v>0</v>
      </c>
      <c r="X59" s="61">
        <f>CUSTOS!$F$14</f>
        <v>0</v>
      </c>
      <c r="Y59" s="61">
        <f>CUSTOS!$F$15</f>
        <v>0</v>
      </c>
      <c r="Z59" s="61">
        <f>CUSTOS!$F$16</f>
        <v>0</v>
      </c>
      <c r="AA59" s="61">
        <f>CUSTOS!$F$17</f>
        <v>0</v>
      </c>
      <c r="AB59" s="61">
        <f>CUSTOS!$F$18</f>
        <v>0</v>
      </c>
      <c r="AC59" s="61">
        <f>CUSTOS!$F$19</f>
        <v>0</v>
      </c>
      <c r="AD59" s="61">
        <f>CUSTOS!$F$20</f>
        <v>0</v>
      </c>
      <c r="AE59" s="61">
        <f>CUSTOS!$F$21</f>
        <v>0</v>
      </c>
      <c r="AF59" s="61">
        <f>CUSTOS!$F$22</f>
        <v>0</v>
      </c>
      <c r="AG59" s="61">
        <f>CUSTOS!$F$23</f>
        <v>0</v>
      </c>
      <c r="AH59" s="61">
        <f>CUSTOS!$F$24</f>
        <v>157569.77756582474</v>
      </c>
      <c r="AI59" s="61">
        <f>CUSTOS!$F$25</f>
        <v>1611.5000363723336</v>
      </c>
      <c r="AJ59" s="61">
        <f>CUSTOS!$F$26</f>
        <v>6541.0168089770114</v>
      </c>
      <c r="AK59" s="61">
        <f>CUSTOS!$F$27</f>
        <v>0</v>
      </c>
      <c r="AL59" s="61">
        <f>CUSTOS!$F$28</f>
        <v>165722.29441117408</v>
      </c>
      <c r="AM59" s="61">
        <f>CUSTOS!$F$29</f>
        <v>1164066.3081974972</v>
      </c>
    </row>
    <row r="60" spans="1:55" ht="11.25" customHeight="1" x14ac:dyDescent="0.3">
      <c r="K60" s="60" t="s">
        <v>706</v>
      </c>
      <c r="L60" s="61">
        <v>0</v>
      </c>
      <c r="M60" s="61">
        <v>0</v>
      </c>
      <c r="N60" s="61">
        <v>0</v>
      </c>
      <c r="O60" s="61">
        <v>0</v>
      </c>
      <c r="P60" s="61">
        <v>0</v>
      </c>
      <c r="Q60" s="61">
        <v>0</v>
      </c>
      <c r="R60" s="61">
        <v>0</v>
      </c>
      <c r="S60" s="61">
        <v>0</v>
      </c>
      <c r="T60" s="61">
        <f>SUM($L$60:$S$60)</f>
        <v>0</v>
      </c>
      <c r="U60" s="61">
        <v>0</v>
      </c>
      <c r="V60" s="61">
        <v>0</v>
      </c>
      <c r="W60" s="61">
        <v>0</v>
      </c>
      <c r="X60" s="61">
        <v>0</v>
      </c>
      <c r="Y60" s="61">
        <v>0</v>
      </c>
      <c r="Z60" s="61">
        <v>0</v>
      </c>
      <c r="AA60" s="61">
        <v>0</v>
      </c>
      <c r="AB60" s="61">
        <f>SUM($U$60:$AA$60)</f>
        <v>0</v>
      </c>
      <c r="AC60" s="61">
        <v>0</v>
      </c>
      <c r="AD60" s="61">
        <f>SUM($AC$60:$AC$60)</f>
        <v>0</v>
      </c>
      <c r="AE60" s="61">
        <v>0</v>
      </c>
      <c r="AF60" s="61">
        <v>0</v>
      </c>
      <c r="AG60" s="61">
        <f>SUM($AE$60:$AF$60)</f>
        <v>0</v>
      </c>
      <c r="AH60" s="61">
        <v>0</v>
      </c>
      <c r="AI60" s="61">
        <v>0</v>
      </c>
      <c r="AJ60" s="61">
        <v>0</v>
      </c>
      <c r="AK60" s="61">
        <v>0</v>
      </c>
      <c r="AL60" s="61">
        <f>SUM($AH$60:$AK$60)</f>
        <v>0</v>
      </c>
      <c r="AM60" s="61"/>
    </row>
    <row r="61" spans="1:55" ht="11.25" customHeight="1" x14ac:dyDescent="0.3">
      <c r="K61" s="60" t="s">
        <v>712</v>
      </c>
      <c r="L61" s="61">
        <f t="shared" ref="L61:R61" si="14">IF((L57-(0))&lt;&gt;0,(L59)/(L57-(0)),0)</f>
        <v>6.5586836190527451E-2</v>
      </c>
      <c r="M61" s="61">
        <f t="shared" si="14"/>
        <v>0</v>
      </c>
      <c r="N61" s="61">
        <f t="shared" si="14"/>
        <v>0</v>
      </c>
      <c r="O61" s="61">
        <f t="shared" si="14"/>
        <v>0</v>
      </c>
      <c r="P61" s="61">
        <f t="shared" si="14"/>
        <v>0</v>
      </c>
      <c r="Q61" s="61">
        <f t="shared" si="14"/>
        <v>0.12361622145382807</v>
      </c>
      <c r="R61" s="61">
        <f t="shared" si="14"/>
        <v>0.19901842183284693</v>
      </c>
      <c r="S61" s="61">
        <f>IF((R56-(0)&lt;&gt;0),(S58)/(R56-(0)),0)</f>
        <v>0</v>
      </c>
      <c r="T61" s="61"/>
      <c r="U61" s="61">
        <f t="shared" ref="U61:AA61" si="15">IF((U57-(0))&lt;&gt;0,(U59)/(U57-(0)),0)</f>
        <v>0</v>
      </c>
      <c r="V61" s="61">
        <f t="shared" si="15"/>
        <v>0</v>
      </c>
      <c r="W61" s="61">
        <f t="shared" si="15"/>
        <v>0</v>
      </c>
      <c r="X61" s="61">
        <f t="shared" si="15"/>
        <v>0</v>
      </c>
      <c r="Y61" s="61">
        <f t="shared" si="15"/>
        <v>0</v>
      </c>
      <c r="Z61" s="61">
        <f t="shared" si="15"/>
        <v>0</v>
      </c>
      <c r="AA61" s="61">
        <f t="shared" si="15"/>
        <v>0</v>
      </c>
      <c r="AB61" s="61"/>
      <c r="AC61" s="61">
        <f>IF((AC57-(0))&lt;&gt;0,(AC59)/(AC57-(0)),0)</f>
        <v>0</v>
      </c>
      <c r="AD61" s="61"/>
      <c r="AE61" s="61">
        <f ca="1">IF(($AM56-(0))&lt;&gt;0,(AE58)/($AM56-(0)),0)</f>
        <v>0.6665725629145004</v>
      </c>
      <c r="AF61" s="61">
        <f ca="1">IF(($AM56-(0))&lt;&gt;0,(AF58)/($AM56-(0)),0)</f>
        <v>0</v>
      </c>
      <c r="AG61" s="61"/>
      <c r="AH61" s="61">
        <f>IF((AH57-(0))&lt;&gt;0,(AH59)/(AH57-(0)),0)</f>
        <v>0.10179994249851509</v>
      </c>
      <c r="AI61" s="61">
        <f>IF((AI57-(0))&lt;&gt;0,(AI59)/(AI57-(0)),0)</f>
        <v>0.10179994249851508</v>
      </c>
      <c r="AJ61" s="61">
        <f>IF((AJ57-(0))&lt;&gt;0,(AJ59)/(AJ57-(0)),0)</f>
        <v>0.10179994249851509</v>
      </c>
      <c r="AK61" s="61">
        <f>IF((AK57-(0))&lt;&gt;0,(AK59)/(AK57-(0)),0)</f>
        <v>0</v>
      </c>
      <c r="AL61" s="61"/>
      <c r="AM61" s="61"/>
    </row>
  </sheetData>
  <mergeCells count="89">
    <mergeCell ref="AZ1:AZ4"/>
    <mergeCell ref="BC1:BC4"/>
    <mergeCell ref="AT1:AT4"/>
    <mergeCell ref="AU1:AU4"/>
    <mergeCell ref="AV1:AV4"/>
    <mergeCell ref="AW1:AW4"/>
    <mergeCell ref="AX1:AX4"/>
    <mergeCell ref="AY1:AY4"/>
    <mergeCell ref="A53:A54"/>
    <mergeCell ref="B53:B54"/>
    <mergeCell ref="C53:C54"/>
    <mergeCell ref="AQ1:AQ4"/>
    <mergeCell ref="AR1:AR4"/>
    <mergeCell ref="C37:C39"/>
    <mergeCell ref="D37:D39"/>
    <mergeCell ref="E37:E39"/>
    <mergeCell ref="F37:F39"/>
    <mergeCell ref="F20:F22"/>
    <mergeCell ref="B23:B27"/>
    <mergeCell ref="C23:C27"/>
    <mergeCell ref="B28:B32"/>
    <mergeCell ref="C28:C32"/>
    <mergeCell ref="A33:A47"/>
    <mergeCell ref="B33:B35"/>
    <mergeCell ref="AS1:AS4"/>
    <mergeCell ref="A48:A52"/>
    <mergeCell ref="B48:B50"/>
    <mergeCell ref="C48:C50"/>
    <mergeCell ref="D48:D50"/>
    <mergeCell ref="E48:E50"/>
    <mergeCell ref="F48:F50"/>
    <mergeCell ref="B41:B43"/>
    <mergeCell ref="C41:C43"/>
    <mergeCell ref="D41:D43"/>
    <mergeCell ref="E41:E43"/>
    <mergeCell ref="F41:F43"/>
    <mergeCell ref="B45:B47"/>
    <mergeCell ref="C45:C47"/>
    <mergeCell ref="F33:F35"/>
    <mergeCell ref="B37:B39"/>
    <mergeCell ref="A18:A19"/>
    <mergeCell ref="B18:B19"/>
    <mergeCell ref="C18:C19"/>
    <mergeCell ref="D18:D19"/>
    <mergeCell ref="A20:A32"/>
    <mergeCell ref="B20:B22"/>
    <mergeCell ref="C20:C22"/>
    <mergeCell ref="D20:D22"/>
    <mergeCell ref="F13:F15"/>
    <mergeCell ref="E16:E17"/>
    <mergeCell ref="C33:C35"/>
    <mergeCell ref="D33:D35"/>
    <mergeCell ref="E33:E35"/>
    <mergeCell ref="F16:F17"/>
    <mergeCell ref="E20:E22"/>
    <mergeCell ref="J1:J4"/>
    <mergeCell ref="L1:AM1"/>
    <mergeCell ref="A1:A4"/>
    <mergeCell ref="C9:C11"/>
    <mergeCell ref="D9:D11"/>
    <mergeCell ref="E9:E11"/>
    <mergeCell ref="F9:F11"/>
    <mergeCell ref="F5:F7"/>
    <mergeCell ref="B9:B11"/>
    <mergeCell ref="G1:G4"/>
    <mergeCell ref="H1:H4"/>
    <mergeCell ref="I1:I4"/>
    <mergeCell ref="A5:A17"/>
    <mergeCell ref="B5:B8"/>
    <mergeCell ref="C5:C8"/>
    <mergeCell ref="D5:D8"/>
    <mergeCell ref="E5:E7"/>
    <mergeCell ref="B13:B17"/>
    <mergeCell ref="C13:C17"/>
    <mergeCell ref="D13:D17"/>
    <mergeCell ref="E13:E15"/>
    <mergeCell ref="AP1:AP4"/>
    <mergeCell ref="L2:AM2"/>
    <mergeCell ref="L3:T3"/>
    <mergeCell ref="U3:AB3"/>
    <mergeCell ref="AC3:AD3"/>
    <mergeCell ref="AE3:AG3"/>
    <mergeCell ref="AH3:AL3"/>
    <mergeCell ref="AM3:AM4"/>
    <mergeCell ref="B1:B4"/>
    <mergeCell ref="C1:C4"/>
    <mergeCell ref="D1:D4"/>
    <mergeCell ref="E1:E4"/>
    <mergeCell ref="F1:F4"/>
  </mergeCells>
  <conditionalFormatting sqref="L56">
    <cfRule type="cellIs" dxfId="2988" priority="55" operator="notEqual">
      <formula>$L$58</formula>
    </cfRule>
    <cfRule type="cellIs" dxfId="2987" priority="56" operator="equal">
      <formula>$L$58</formula>
    </cfRule>
  </conditionalFormatting>
  <conditionalFormatting sqref="M56">
    <cfRule type="cellIs" dxfId="2986" priority="53" operator="notEqual">
      <formula>$M$58</formula>
    </cfRule>
    <cfRule type="cellIs" dxfId="2985" priority="54" operator="equal">
      <formula>$M$58</formula>
    </cfRule>
  </conditionalFormatting>
  <conditionalFormatting sqref="N56">
    <cfRule type="cellIs" dxfId="2984" priority="51" operator="notEqual">
      <formula>$N$58</formula>
    </cfRule>
    <cfRule type="cellIs" dxfId="2983" priority="52" operator="equal">
      <formula>$N$58</formula>
    </cfRule>
  </conditionalFormatting>
  <conditionalFormatting sqref="O56">
    <cfRule type="cellIs" dxfId="2982" priority="49" operator="notEqual">
      <formula>$O$58</formula>
    </cfRule>
    <cfRule type="cellIs" dxfId="2981" priority="50" operator="equal">
      <formula>$O$58</formula>
    </cfRule>
  </conditionalFormatting>
  <conditionalFormatting sqref="P56">
    <cfRule type="cellIs" dxfId="2980" priority="47" operator="notEqual">
      <formula>$P$58</formula>
    </cfRule>
    <cfRule type="cellIs" dxfId="2979" priority="48" operator="equal">
      <formula>$P$58</formula>
    </cfRule>
  </conditionalFormatting>
  <conditionalFormatting sqref="Q56">
    <cfRule type="cellIs" dxfId="2978" priority="45" operator="notEqual">
      <formula>$Q$58</formula>
    </cfRule>
    <cfRule type="cellIs" dxfId="2977" priority="46" operator="equal">
      <formula>$Q$58</formula>
    </cfRule>
  </conditionalFormatting>
  <conditionalFormatting sqref="R56">
    <cfRule type="cellIs" dxfId="2976" priority="43" operator="notEqual">
      <formula>$R$58</formula>
    </cfRule>
    <cfRule type="cellIs" dxfId="2975" priority="44" operator="equal">
      <formula>$R$58</formula>
    </cfRule>
  </conditionalFormatting>
  <conditionalFormatting sqref="S56">
    <cfRule type="cellIs" dxfId="2974" priority="41" operator="notEqual">
      <formula>$S$58</formula>
    </cfRule>
    <cfRule type="cellIs" dxfId="2973" priority="42" operator="equal">
      <formula>$S$58</formula>
    </cfRule>
  </conditionalFormatting>
  <conditionalFormatting sqref="T56">
    <cfRule type="cellIs" dxfId="2972" priority="39" operator="notEqual">
      <formula>$T$58</formula>
    </cfRule>
    <cfRule type="cellIs" dxfId="2971" priority="40" operator="equal">
      <formula>$T$58</formula>
    </cfRule>
  </conditionalFormatting>
  <conditionalFormatting sqref="U56">
    <cfRule type="cellIs" dxfId="2970" priority="37" operator="notEqual">
      <formula>$U$58</formula>
    </cfRule>
    <cfRule type="cellIs" dxfId="2969" priority="38" operator="equal">
      <formula>$U$58</formula>
    </cfRule>
  </conditionalFormatting>
  <conditionalFormatting sqref="V56">
    <cfRule type="cellIs" dxfId="2968" priority="35" operator="notEqual">
      <formula>$V$58</formula>
    </cfRule>
    <cfRule type="cellIs" dxfId="2967" priority="36" operator="equal">
      <formula>$V$58</formula>
    </cfRule>
  </conditionalFormatting>
  <conditionalFormatting sqref="W56">
    <cfRule type="cellIs" dxfId="2966" priority="33" operator="notEqual">
      <formula>$W$58</formula>
    </cfRule>
    <cfRule type="cellIs" dxfId="2965" priority="34" operator="equal">
      <formula>$W$58</formula>
    </cfRule>
  </conditionalFormatting>
  <conditionalFormatting sqref="X56">
    <cfRule type="cellIs" dxfId="2964" priority="31" operator="notEqual">
      <formula>$X$58</formula>
    </cfRule>
    <cfRule type="cellIs" dxfId="2963" priority="32" operator="equal">
      <formula>$X$58</formula>
    </cfRule>
  </conditionalFormatting>
  <conditionalFormatting sqref="Y56">
    <cfRule type="cellIs" dxfId="2962" priority="29" operator="notEqual">
      <formula>$Y$58</formula>
    </cfRule>
    <cfRule type="cellIs" dxfId="2961" priority="30" operator="equal">
      <formula>$Y$58</formula>
    </cfRule>
  </conditionalFormatting>
  <conditionalFormatting sqref="Z56">
    <cfRule type="cellIs" dxfId="2960" priority="27" operator="notEqual">
      <formula>$Z$58</formula>
    </cfRule>
    <cfRule type="cellIs" dxfId="2959" priority="28" operator="equal">
      <formula>$Z$58</formula>
    </cfRule>
  </conditionalFormatting>
  <conditionalFormatting sqref="AA56">
    <cfRule type="cellIs" dxfId="2958" priority="25" operator="notEqual">
      <formula>$AA$58</formula>
    </cfRule>
    <cfRule type="cellIs" dxfId="2957" priority="26" operator="equal">
      <formula>$AA$58</formula>
    </cfRule>
  </conditionalFormatting>
  <conditionalFormatting sqref="AB56">
    <cfRule type="cellIs" dxfId="2956" priority="23" operator="notEqual">
      <formula>$AB$58</formula>
    </cfRule>
    <cfRule type="cellIs" dxfId="2955" priority="24" operator="equal">
      <formula>$AB$58</formula>
    </cfRule>
  </conditionalFormatting>
  <conditionalFormatting sqref="AC56">
    <cfRule type="cellIs" dxfId="2954" priority="21" operator="notEqual">
      <formula>$AC$58</formula>
    </cfRule>
    <cfRule type="cellIs" dxfId="2953" priority="22" operator="equal">
      <formula>$AC$58</formula>
    </cfRule>
  </conditionalFormatting>
  <conditionalFormatting sqref="AD56">
    <cfRule type="cellIs" dxfId="2952" priority="19" operator="notEqual">
      <formula>$AD$58</formula>
    </cfRule>
    <cfRule type="cellIs" dxfId="2951" priority="20" operator="equal">
      <formula>$AD$58</formula>
    </cfRule>
  </conditionalFormatting>
  <conditionalFormatting sqref="AE56">
    <cfRule type="cellIs" dxfId="2950" priority="17" operator="notEqual">
      <formula>$AE$58</formula>
    </cfRule>
    <cfRule type="cellIs" dxfId="2949" priority="18" operator="equal">
      <formula>$AE$58</formula>
    </cfRule>
  </conditionalFormatting>
  <conditionalFormatting sqref="AF56">
    <cfRule type="cellIs" dxfId="2948" priority="16" operator="equal">
      <formula>$AF$58</formula>
    </cfRule>
  </conditionalFormatting>
  <conditionalFormatting sqref="AF56">
    <cfRule type="cellIs" dxfId="2947" priority="15" operator="notEqual">
      <formula>$AF$58</formula>
    </cfRule>
  </conditionalFormatting>
  <conditionalFormatting sqref="AG56">
    <cfRule type="cellIs" dxfId="2946" priority="14" operator="equal">
      <formula>$AG$58</formula>
    </cfRule>
  </conditionalFormatting>
  <conditionalFormatting sqref="AG56">
    <cfRule type="cellIs" dxfId="2945" priority="13" operator="notEqual">
      <formula>$AG$58</formula>
    </cfRule>
  </conditionalFormatting>
  <conditionalFormatting sqref="AH56">
    <cfRule type="cellIs" dxfId="2944" priority="12" operator="equal">
      <formula>$AH$58</formula>
    </cfRule>
  </conditionalFormatting>
  <conditionalFormatting sqref="AH56">
    <cfRule type="cellIs" dxfId="2943" priority="11" operator="notEqual">
      <formula>$AH$58</formula>
    </cfRule>
  </conditionalFormatting>
  <conditionalFormatting sqref="AI56">
    <cfRule type="cellIs" dxfId="2942" priority="10" operator="equal">
      <formula>$AI$58</formula>
    </cfRule>
  </conditionalFormatting>
  <conditionalFormatting sqref="AI56">
    <cfRule type="cellIs" dxfId="2941" priority="9" operator="notEqual">
      <formula>$AI$58</formula>
    </cfRule>
  </conditionalFormatting>
  <conditionalFormatting sqref="AJ56">
    <cfRule type="cellIs" dxfId="2940" priority="8" operator="equal">
      <formula>$AJ$58</formula>
    </cfRule>
  </conditionalFormatting>
  <conditionalFormatting sqref="AJ56">
    <cfRule type="cellIs" dxfId="2939" priority="7" operator="notEqual">
      <formula>$AJ$58</formula>
    </cfRule>
  </conditionalFormatting>
  <conditionalFormatting sqref="AK56">
    <cfRule type="cellIs" dxfId="2938" priority="6" operator="equal">
      <formula>$AK$58</formula>
    </cfRule>
  </conditionalFormatting>
  <conditionalFormatting sqref="AK56">
    <cfRule type="cellIs" dxfId="2937" priority="5" operator="notEqual">
      <formula>$AK$58</formula>
    </cfRule>
  </conditionalFormatting>
  <conditionalFormatting sqref="AL56">
    <cfRule type="cellIs" dxfId="2936" priority="4" operator="equal">
      <formula>$AL$58</formula>
    </cfRule>
  </conditionalFormatting>
  <conditionalFormatting sqref="AL56">
    <cfRule type="cellIs" dxfId="2935" priority="3" operator="notEqual">
      <formula>$AL$58</formula>
    </cfRule>
  </conditionalFormatting>
  <conditionalFormatting sqref="AM56">
    <cfRule type="cellIs" dxfId="2934" priority="2" operator="equal">
      <formula>$AM$58</formula>
    </cfRule>
  </conditionalFormatting>
  <conditionalFormatting sqref="AM56">
    <cfRule type="cellIs" dxfId="2933" priority="1" operator="notEqual">
      <formula>$AM$58</formula>
    </cfRule>
  </conditionalFormatting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7B2D3-8793-4372-8698-D83DB09FAC79}">
  <sheetPr codeName="Planilha24">
    <tabColor indexed="12" tint="-0.249977111117893"/>
  </sheetPr>
  <dimension ref="A1:AO53"/>
  <sheetViews>
    <sheetView showGridLines="0" topLeftCell="R29" workbookViewId="0">
      <selection activeCell="AB47" sqref="AB47"/>
    </sheetView>
  </sheetViews>
  <sheetFormatPr defaultColWidth="9.109375" defaultRowHeight="11.25" customHeight="1" x14ac:dyDescent="0.3"/>
  <cols>
    <col min="1" max="1" width="9.33203125" style="9" bestFit="1" customWidth="1"/>
    <col min="2" max="2" width="27.109375" style="9" bestFit="1" customWidth="1"/>
    <col min="3" max="3" width="13.5546875" style="9" bestFit="1" customWidth="1"/>
    <col min="4" max="4" width="25.109375" style="9" bestFit="1" customWidth="1"/>
    <col min="5" max="6" width="10.33203125" style="9" bestFit="1" customWidth="1"/>
    <col min="7" max="7" width="6.33203125" style="9" bestFit="1" customWidth="1"/>
    <col min="8" max="8" width="7.44140625" style="9" bestFit="1" customWidth="1"/>
    <col min="9" max="9" width="7.88671875" style="9" bestFit="1" customWidth="1"/>
    <col min="10" max="10" width="9.109375" style="9"/>
    <col min="11" max="11" width="20" style="9" bestFit="1" customWidth="1"/>
    <col min="12" max="12" width="8.6640625" style="9" bestFit="1" customWidth="1"/>
    <col min="13" max="13" width="10" style="9" bestFit="1" customWidth="1"/>
    <col min="14" max="14" width="7.88671875" style="9" bestFit="1" customWidth="1"/>
    <col min="15" max="15" width="11.109375" style="9" bestFit="1" customWidth="1"/>
    <col min="16" max="16" width="10.5546875" style="9" bestFit="1" customWidth="1"/>
    <col min="17" max="17" width="10" style="9" bestFit="1" customWidth="1"/>
    <col min="18" max="18" width="15" style="9" bestFit="1" customWidth="1"/>
    <col min="19" max="19" width="10.88671875" style="9" bestFit="1" customWidth="1"/>
    <col min="20" max="20" width="8.6640625" style="9" bestFit="1" customWidth="1"/>
    <col min="21" max="21" width="10.44140625" style="9" bestFit="1" customWidth="1"/>
    <col min="22" max="22" width="7.88671875" style="9" bestFit="1" customWidth="1"/>
    <col min="23" max="23" width="9.33203125" style="9" bestFit="1" customWidth="1"/>
    <col min="24" max="25" width="10.5546875" style="9" bestFit="1" customWidth="1"/>
    <col min="26" max="26" width="11" style="9" bestFit="1" customWidth="1"/>
    <col min="27" max="27" width="9.33203125" style="9" bestFit="1" customWidth="1"/>
    <col min="28" max="28" width="10.88671875" style="9" bestFit="1" customWidth="1"/>
    <col min="29" max="16384" width="9.109375" style="9"/>
  </cols>
  <sheetData>
    <row r="1" spans="1:41" ht="11.25" customHeight="1" x14ac:dyDescent="0.3">
      <c r="A1" s="142" t="s">
        <v>66</v>
      </c>
      <c r="B1" s="142" t="s">
        <v>67</v>
      </c>
      <c r="C1" s="142" t="s">
        <v>68</v>
      </c>
      <c r="D1" s="142" t="s">
        <v>69</v>
      </c>
      <c r="E1" s="142" t="s">
        <v>70</v>
      </c>
      <c r="F1" s="142" t="s">
        <v>15</v>
      </c>
      <c r="G1" s="142" t="s">
        <v>72</v>
      </c>
      <c r="H1" s="142" t="s">
        <v>73</v>
      </c>
      <c r="I1" s="142" t="s">
        <v>700</v>
      </c>
      <c r="J1" s="125"/>
      <c r="L1" s="140" t="s">
        <v>721</v>
      </c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53" t="s">
        <v>1</v>
      </c>
      <c r="AD1" s="151" t="s">
        <v>2</v>
      </c>
      <c r="AE1" s="151" t="s">
        <v>3</v>
      </c>
      <c r="AF1" s="151" t="s">
        <v>4</v>
      </c>
      <c r="AG1" s="151" t="s">
        <v>5</v>
      </c>
      <c r="AH1" s="151" t="s">
        <v>1254</v>
      </c>
      <c r="AI1" s="151" t="s">
        <v>1292</v>
      </c>
      <c r="AJ1" s="151" t="s">
        <v>1256</v>
      </c>
      <c r="AK1" s="151" t="s">
        <v>1257</v>
      </c>
      <c r="AL1" s="151" t="s">
        <v>1258</v>
      </c>
      <c r="AO1" s="151" t="s">
        <v>1259</v>
      </c>
    </row>
    <row r="2" spans="1:41" ht="11.25" customHeight="1" x14ac:dyDescent="0.3">
      <c r="A2" s="142"/>
      <c r="B2" s="142"/>
      <c r="C2" s="142"/>
      <c r="D2" s="142"/>
      <c r="E2" s="142"/>
      <c r="F2" s="142"/>
      <c r="G2" s="142"/>
      <c r="H2" s="142"/>
      <c r="I2" s="142"/>
      <c r="J2" s="125"/>
      <c r="L2" s="140" t="s">
        <v>638</v>
      </c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54"/>
      <c r="AD2" s="152"/>
      <c r="AE2" s="152"/>
      <c r="AF2" s="152"/>
      <c r="AG2" s="152"/>
      <c r="AH2" s="152"/>
      <c r="AI2" s="152"/>
      <c r="AJ2" s="152"/>
      <c r="AK2" s="152"/>
      <c r="AL2" s="152"/>
      <c r="AO2" s="152"/>
    </row>
    <row r="3" spans="1:41" ht="11.25" customHeight="1" x14ac:dyDescent="0.3">
      <c r="A3" s="142"/>
      <c r="B3" s="142"/>
      <c r="C3" s="142"/>
      <c r="D3" s="142"/>
      <c r="E3" s="142"/>
      <c r="F3" s="142"/>
      <c r="G3" s="142"/>
      <c r="H3" s="142"/>
      <c r="I3" s="142"/>
      <c r="J3" s="125"/>
      <c r="L3" s="140" t="s">
        <v>611</v>
      </c>
      <c r="M3" s="140"/>
      <c r="N3" s="140"/>
      <c r="O3" s="140"/>
      <c r="P3" s="140"/>
      <c r="Q3" s="140"/>
      <c r="R3" s="140" t="s">
        <v>642</v>
      </c>
      <c r="S3" s="140"/>
      <c r="T3" s="140" t="s">
        <v>620</v>
      </c>
      <c r="U3" s="140"/>
      <c r="V3" s="140"/>
      <c r="W3" s="140"/>
      <c r="X3" s="140" t="s">
        <v>630</v>
      </c>
      <c r="Y3" s="140"/>
      <c r="Z3" s="140" t="s">
        <v>633</v>
      </c>
      <c r="AA3" s="140"/>
      <c r="AB3" s="140" t="s">
        <v>619</v>
      </c>
      <c r="AC3" s="154"/>
      <c r="AD3" s="152"/>
      <c r="AE3" s="152"/>
      <c r="AF3" s="152"/>
      <c r="AG3" s="152"/>
      <c r="AH3" s="152"/>
      <c r="AI3" s="152"/>
      <c r="AJ3" s="152"/>
      <c r="AK3" s="152"/>
      <c r="AL3" s="152"/>
      <c r="AO3" s="152"/>
    </row>
    <row r="4" spans="1:41" ht="11.25" customHeight="1" x14ac:dyDescent="0.3">
      <c r="A4" s="142"/>
      <c r="B4" s="142"/>
      <c r="C4" s="142"/>
      <c r="D4" s="142"/>
      <c r="E4" s="142"/>
      <c r="F4" s="142"/>
      <c r="G4" s="142"/>
      <c r="H4" s="142"/>
      <c r="I4" s="142"/>
      <c r="J4" s="125"/>
      <c r="L4" s="72" t="s">
        <v>613</v>
      </c>
      <c r="M4" s="72" t="s">
        <v>639</v>
      </c>
      <c r="N4" s="72" t="s">
        <v>640</v>
      </c>
      <c r="O4" s="72" t="s">
        <v>699</v>
      </c>
      <c r="P4" s="72" t="s">
        <v>641</v>
      </c>
      <c r="Q4" s="72" t="s">
        <v>619</v>
      </c>
      <c r="R4" s="72" t="s">
        <v>643</v>
      </c>
      <c r="S4" s="72" t="s">
        <v>619</v>
      </c>
      <c r="T4" s="72" t="s">
        <v>644</v>
      </c>
      <c r="U4" s="72" t="s">
        <v>645</v>
      </c>
      <c r="V4" s="72" t="s">
        <v>646</v>
      </c>
      <c r="W4" s="72" t="s">
        <v>619</v>
      </c>
      <c r="X4" s="72" t="s">
        <v>631</v>
      </c>
      <c r="Y4" s="72" t="s">
        <v>619</v>
      </c>
      <c r="Z4" s="72" t="s">
        <v>647</v>
      </c>
      <c r="AA4" s="72" t="s">
        <v>619</v>
      </c>
      <c r="AB4" s="141"/>
      <c r="AC4" s="154"/>
      <c r="AD4" s="152"/>
      <c r="AE4" s="152"/>
      <c r="AF4" s="152"/>
      <c r="AG4" s="152"/>
      <c r="AH4" s="152"/>
      <c r="AI4" s="152"/>
      <c r="AJ4" s="152"/>
      <c r="AK4" s="152"/>
      <c r="AL4" s="152"/>
      <c r="AO4" s="152"/>
    </row>
    <row r="5" spans="1:41" ht="11.25" customHeight="1" x14ac:dyDescent="0.3">
      <c r="A5" s="143" t="s">
        <v>39</v>
      </c>
      <c r="B5" s="143" t="s">
        <v>75</v>
      </c>
      <c r="C5" s="143" t="s">
        <v>25</v>
      </c>
      <c r="D5" s="143" t="s">
        <v>25</v>
      </c>
      <c r="E5" s="143" t="s">
        <v>25</v>
      </c>
      <c r="F5" s="143" t="s">
        <v>25</v>
      </c>
      <c r="G5" s="71" t="s">
        <v>77</v>
      </c>
      <c r="H5" s="71" t="s">
        <v>76</v>
      </c>
      <c r="I5" s="71">
        <f>'MERCADO TE'!$U$2</f>
        <v>529.99099999999999</v>
      </c>
      <c r="J5" s="15"/>
      <c r="L5" s="68">
        <f>'TE BE'!$L$5*'TE BE'!$L$52</f>
        <v>-1.8029780823116748E-5</v>
      </c>
      <c r="M5" s="68">
        <f>'TE BE'!$M$5*'TE BE'!$M$52</f>
        <v>-6.7693775455836445</v>
      </c>
      <c r="N5" s="68">
        <f>'TE BE'!$N$5*'TE BE'!$N$52</f>
        <v>0</v>
      </c>
      <c r="O5" s="68">
        <f>'TE BE'!$O$5*'TE BE'!$O$52</f>
        <v>-0.54823604289407346</v>
      </c>
      <c r="P5" s="68">
        <f>'TE BE'!$P$5*'TE BE'!$P$52</f>
        <v>0</v>
      </c>
      <c r="Q5" s="68">
        <f>SUM($L$5:$P$5)</f>
        <v>-7.3176316182585408</v>
      </c>
      <c r="R5" s="68">
        <f>'TE BE'!$R$5*'TE BE'!$R$52</f>
        <v>-49.879286888702524</v>
      </c>
      <c r="S5" s="68">
        <f>SUM($R$5:$R$5)</f>
        <v>-49.879286888702524</v>
      </c>
      <c r="T5" s="68">
        <f>'TE BE'!$T$5*'TE BE'!$T$52</f>
        <v>-0.42733105334292093</v>
      </c>
      <c r="U5" s="68">
        <f>'TE BE'!$U$5*'TE BE'!$U$52</f>
        <v>-3.154913540486641E-2</v>
      </c>
      <c r="V5" s="68">
        <f>'TE BE'!$V$5*'TE BE'!$V$52</f>
        <v>0</v>
      </c>
      <c r="W5" s="68">
        <f>SUM($T$5:$V$5)</f>
        <v>-0.45888018874778735</v>
      </c>
      <c r="X5" s="68">
        <f>'TE BE'!$AB$5*'TE BE'!$X$52</f>
        <v>-46.950777141991558</v>
      </c>
      <c r="Y5" s="68">
        <f>SUM($X$5:$X$5)</f>
        <v>-46.950777141991558</v>
      </c>
      <c r="Z5" s="68">
        <f>'TE BE'!$Z$5*'TE BE'!$Z$52</f>
        <v>-0.30040188164310694</v>
      </c>
      <c r="AA5" s="68">
        <f>SUM($Z$5:$Z$5)</f>
        <v>-0.30040188164310694</v>
      </c>
      <c r="AB5" s="68">
        <f ca="1">SUMIF($L$4:$AA$4,"SUBTOTAL",$L$5:$AA$5)+AL5</f>
        <v>-104.90697771934352</v>
      </c>
      <c r="AC5" s="9" t="str">
        <f t="shared" ref="AC5:AC45" si="0">IF($A5="",AC4,$A5)</f>
        <v>A4</v>
      </c>
      <c r="AD5" s="9" t="str">
        <f t="shared" ref="AD5:AD45" si="1">IF($B5="",AD4,$B5)</f>
        <v>Energia horária</v>
      </c>
      <c r="AE5" s="9" t="str">
        <f t="shared" ref="AE5:AE45" si="2">IF($C5="",AE4,$C5)</f>
        <v>Não se aplica</v>
      </c>
      <c r="AF5" s="9" t="str">
        <f t="shared" ref="AF5:AF45" si="3">IF($D5="",AF4,$D5)</f>
        <v>Não se aplica</v>
      </c>
      <c r="AG5" s="9" t="str">
        <f t="shared" ref="AG5:AG45" si="4">IF($E5="",AG4,$E5)</f>
        <v>Não se aplica</v>
      </c>
      <c r="AH5" s="9">
        <v>1</v>
      </c>
      <c r="AI5" s="9">
        <f ca="1">IFERROR(VLOOKUP(AC5,TarifaMedia!$C$18:$G$18,5,0),0)</f>
        <v>0</v>
      </c>
      <c r="AJ5" s="15">
        <f>'TE BE'!$AB5+'TE BF'!$AB5+'TE CVA'!$AB5</f>
        <v>311.4117891483653</v>
      </c>
      <c r="AK5" s="9">
        <v>393.63</v>
      </c>
      <c r="AL5" s="9">
        <f t="shared" ref="AL5:AL45" ca="1" si="5">(AK5-AJ5)*AI5*AH5</f>
        <v>0</v>
      </c>
      <c r="AO5" s="53" t="s">
        <v>1293</v>
      </c>
    </row>
    <row r="6" spans="1:41" ht="11.25" customHeight="1" x14ac:dyDescent="0.3">
      <c r="A6" s="143"/>
      <c r="B6" s="143"/>
      <c r="C6" s="143"/>
      <c r="D6" s="143"/>
      <c r="E6" s="143"/>
      <c r="F6" s="143"/>
      <c r="G6" s="71" t="s">
        <v>78</v>
      </c>
      <c r="H6" s="71" t="s">
        <v>76</v>
      </c>
      <c r="I6" s="71">
        <f>'MERCADO TE'!$U$3</f>
        <v>10939.779999999999</v>
      </c>
      <c r="J6" s="15"/>
      <c r="L6" s="68">
        <f>'TE BE'!$L$6*'TE BE'!$L$52</f>
        <v>-1.8029780823116748E-5</v>
      </c>
      <c r="M6" s="68">
        <f>'TE BE'!$M$6*'TE BE'!$M$52</f>
        <v>-6.7693775455836445</v>
      </c>
      <c r="N6" s="68">
        <f>'TE BE'!$N$6*'TE BE'!$N$52</f>
        <v>0</v>
      </c>
      <c r="O6" s="68">
        <f>'TE BE'!$O$6*'TE BE'!$O$52</f>
        <v>-0.54823604289407346</v>
      </c>
      <c r="P6" s="68">
        <f>'TE BE'!$P$6*'TE BE'!$P$52</f>
        <v>0</v>
      </c>
      <c r="Q6" s="68">
        <f>SUM($L$6:$P$6)</f>
        <v>-7.3176316182585408</v>
      </c>
      <c r="R6" s="68">
        <f>'TE BE'!$R$6*'TE BE'!$R$52</f>
        <v>-28.999585400408446</v>
      </c>
      <c r="S6" s="68">
        <f>SUM($R$6:$R$6)</f>
        <v>-28.999585400408446</v>
      </c>
      <c r="T6" s="68">
        <f>'TE BE'!$T$6*'TE BE'!$T$52</f>
        <v>-0.42733105334292093</v>
      </c>
      <c r="U6" s="68">
        <f>'TE BE'!$U$6*'TE BE'!$U$52</f>
        <v>-3.154913540486641E-2</v>
      </c>
      <c r="V6" s="68">
        <f>'TE BE'!$V$6*'TE BE'!$V$52</f>
        <v>0</v>
      </c>
      <c r="W6" s="68">
        <f>SUM($T$6:$V$6)</f>
        <v>-0.45888018874778735</v>
      </c>
      <c r="X6" s="68">
        <f>'TE BE'!$AB$6*'TE BE'!$X$52</f>
        <v>-29.03435113623609</v>
      </c>
      <c r="Y6" s="68">
        <f>SUM($X$6:$X$6)</f>
        <v>-29.03435113623609</v>
      </c>
      <c r="Z6" s="68">
        <f>'TE BE'!$Z$6*'TE BE'!$Z$52</f>
        <v>-0.30040188164310694</v>
      </c>
      <c r="AA6" s="68">
        <f>SUM($Z$6:$Z$6)</f>
        <v>-0.30040188164310694</v>
      </c>
      <c r="AB6" s="68">
        <f ca="1">SUMIF($L$4:$AA$4,"SUBTOTAL",$L$6:$AA$6)+AL6</f>
        <v>-66.110850225293973</v>
      </c>
      <c r="AC6" s="9" t="str">
        <f t="shared" si="0"/>
        <v>A4</v>
      </c>
      <c r="AD6" s="9" t="str">
        <f t="shared" si="1"/>
        <v>Energia horária</v>
      </c>
      <c r="AE6" s="9" t="str">
        <f t="shared" si="2"/>
        <v>Não se aplica</v>
      </c>
      <c r="AF6" s="9" t="str">
        <f t="shared" si="3"/>
        <v>Não se aplica</v>
      </c>
      <c r="AG6" s="9" t="str">
        <f t="shared" si="4"/>
        <v>Não se aplica</v>
      </c>
      <c r="AH6" s="9">
        <v>1</v>
      </c>
      <c r="AI6" s="9">
        <f ca="1">IFERROR(VLOOKUP(AC6,TarifaMedia!$C$18:$G$18,5,0),0)</f>
        <v>0</v>
      </c>
      <c r="AJ6" s="15">
        <f>'TE BE'!$AB6+'TE BF'!$AB6+'TE CVA'!$AB6</f>
        <v>195.89707226799715</v>
      </c>
      <c r="AK6" s="9">
        <v>249.61</v>
      </c>
      <c r="AL6" s="9">
        <f t="shared" ca="1" si="5"/>
        <v>0</v>
      </c>
      <c r="AO6" s="53" t="s">
        <v>1294</v>
      </c>
    </row>
    <row r="7" spans="1:41" ht="11.25" customHeight="1" x14ac:dyDescent="0.3">
      <c r="A7" s="143"/>
      <c r="B7" s="70" t="s">
        <v>79</v>
      </c>
      <c r="C7" s="70" t="s">
        <v>25</v>
      </c>
      <c r="D7" s="70" t="s">
        <v>25</v>
      </c>
      <c r="E7" s="70" t="s">
        <v>80</v>
      </c>
      <c r="F7" s="70" t="s">
        <v>25</v>
      </c>
      <c r="G7" s="71" t="s">
        <v>81</v>
      </c>
      <c r="H7" s="71" t="s">
        <v>76</v>
      </c>
      <c r="I7" s="71">
        <f>'MERCADO TE'!$U$4</f>
        <v>0</v>
      </c>
      <c r="J7" s="15"/>
      <c r="L7" s="68">
        <f>'TE BE'!$L$7*'TE BE'!$L$52</f>
        <v>-1.8029780823116748E-5</v>
      </c>
      <c r="M7" s="68">
        <f>'TE BE'!$M$7*'TE BE'!$M$52</f>
        <v>-6.7693775455836445</v>
      </c>
      <c r="N7" s="68">
        <f>'TE BE'!$N$7*'TE BE'!$N$52</f>
        <v>0</v>
      </c>
      <c r="O7" s="68">
        <f>'TE BE'!$O$7*'TE BE'!$O$52</f>
        <v>-0.54823604289407335</v>
      </c>
      <c r="P7" s="68">
        <f>'TE BE'!$P$7*'TE BE'!$P$52</f>
        <v>0</v>
      </c>
      <c r="Q7" s="68">
        <f>SUM($L$7:$P$7)</f>
        <v>-7.3176316182585408</v>
      </c>
      <c r="R7" s="68">
        <f>'TE BE'!$R$7*'TE BE'!$R$52</f>
        <v>-30.3718441829506</v>
      </c>
      <c r="S7" s="68">
        <f>SUM($R$7:$R$7)</f>
        <v>-30.3718441829506</v>
      </c>
      <c r="T7" s="68">
        <f>'TE BE'!$T$7*'TE BE'!$T$52</f>
        <v>-0.42733105334292093</v>
      </c>
      <c r="U7" s="68">
        <f>'TE BE'!$U$7*'TE BE'!$U$52</f>
        <v>-3.154913540486641E-2</v>
      </c>
      <c r="V7" s="68">
        <f>'TE BE'!$V$7*'TE BE'!$V$52</f>
        <v>0</v>
      </c>
      <c r="W7" s="68">
        <f>SUM($T$7:$V$7)</f>
        <v>-0.45888018874778735</v>
      </c>
      <c r="X7" s="68">
        <v>0</v>
      </c>
      <c r="Y7" s="68">
        <f>SUM($X$7:$X$7)</f>
        <v>0</v>
      </c>
      <c r="Z7" s="68">
        <f>'TE BE'!$Z$7*'TE BE'!$Z$52</f>
        <v>-0.30040188164310694</v>
      </c>
      <c r="AA7" s="68">
        <f>SUM($Z$7:$Z$7)</f>
        <v>-0.30040188164310694</v>
      </c>
      <c r="AB7" s="68">
        <f ca="1">SUMIF($L$4:$AA$4,"SUBTOTAL",$L$7:$AA$7)+AL7</f>
        <v>-38.44875787160003</v>
      </c>
      <c r="AC7" s="9" t="str">
        <f t="shared" si="0"/>
        <v>A4</v>
      </c>
      <c r="AD7" s="9" t="str">
        <f t="shared" si="1"/>
        <v>Energia suprimento concessionária</v>
      </c>
      <c r="AE7" s="9" t="str">
        <f t="shared" si="2"/>
        <v>Não se aplica</v>
      </c>
      <c r="AF7" s="9" t="str">
        <f t="shared" si="3"/>
        <v>Não se aplica</v>
      </c>
      <c r="AG7" s="9" t="str">
        <f t="shared" si="4"/>
        <v>&lt;500GWh</v>
      </c>
      <c r="AH7" s="9">
        <v>1</v>
      </c>
      <c r="AI7" s="9">
        <f ca="1">IFERROR(VLOOKUP(AC7,TarifaMedia!$C$18:$G$18,5,0),0)</f>
        <v>0</v>
      </c>
      <c r="AJ7" s="15">
        <f>'TE BE'!$AB7+'TE BF'!$AB7+'TE CVA'!$AB7</f>
        <v>233.70080441251889</v>
      </c>
      <c r="AK7" s="9">
        <v>273.92</v>
      </c>
      <c r="AL7" s="9">
        <f t="shared" ca="1" si="5"/>
        <v>0</v>
      </c>
      <c r="AO7" s="53" t="s">
        <v>1295</v>
      </c>
    </row>
    <row r="8" spans="1:41" ht="11.25" customHeight="1" x14ac:dyDescent="0.3">
      <c r="A8" s="143"/>
      <c r="B8" s="70" t="s">
        <v>82</v>
      </c>
      <c r="C8" s="70" t="s">
        <v>25</v>
      </c>
      <c r="D8" s="70" t="s">
        <v>25</v>
      </c>
      <c r="E8" s="70" t="s">
        <v>25</v>
      </c>
      <c r="F8" s="70" t="s">
        <v>25</v>
      </c>
      <c r="G8" s="71" t="s">
        <v>81</v>
      </c>
      <c r="H8" s="71" t="s">
        <v>76</v>
      </c>
      <c r="I8" s="71">
        <f>'MERCADO TE'!$U$5</f>
        <v>0</v>
      </c>
      <c r="J8" s="15"/>
      <c r="L8" s="68">
        <f>'TE BE'!$L$8*'TE BE'!$L$52</f>
        <v>-1.8029780823116748E-5</v>
      </c>
      <c r="M8" s="68">
        <f>'TE BE'!$M$8*'TE BE'!$M$52</f>
        <v>-6.7693775455836445</v>
      </c>
      <c r="N8" s="68">
        <f>'TE BE'!$N$8*'TE BE'!$N$52</f>
        <v>0</v>
      </c>
      <c r="O8" s="68">
        <f>'TE BE'!$O$8*'TE BE'!$O$52</f>
        <v>-0.54823604289407346</v>
      </c>
      <c r="P8" s="68">
        <f>'TE BE'!$P$8*'TE BE'!$P$52</f>
        <v>0</v>
      </c>
      <c r="Q8" s="68">
        <f>SUM($L$8:$P$8)</f>
        <v>-7.3176316182585408</v>
      </c>
      <c r="R8" s="68">
        <f>'TE BE'!$R$8*'TE BE'!$R$52</f>
        <v>-30.739560524432953</v>
      </c>
      <c r="S8" s="68">
        <f>SUM($R$8:$R$8)</f>
        <v>-30.739560524432953</v>
      </c>
      <c r="T8" s="68">
        <f>'TE BE'!$T$8*'TE BE'!$T$52</f>
        <v>-0.42733105334292093</v>
      </c>
      <c r="U8" s="68">
        <f>'TE BE'!$U$8*'TE BE'!$U$52</f>
        <v>-3.154913540486641E-2</v>
      </c>
      <c r="V8" s="68">
        <f>'TE BE'!$V$8*'TE BE'!$V$52</f>
        <v>0</v>
      </c>
      <c r="W8" s="68">
        <f>SUM($T$8:$V$8)</f>
        <v>-0.45888018874778735</v>
      </c>
      <c r="X8" s="68">
        <f>'TE BE'!$AB$8*'TE BE'!$X$52</f>
        <v>-30.527386636715711</v>
      </c>
      <c r="Y8" s="68">
        <f>SUM($X$8:$X$8)</f>
        <v>-30.527386636715711</v>
      </c>
      <c r="Z8" s="68">
        <f>'TE BE'!$Z$8*'TE BE'!$Z$52</f>
        <v>-0.30040188164310694</v>
      </c>
      <c r="AA8" s="68">
        <f>SUM($Z$8:$Z$8)</f>
        <v>-0.30040188164310694</v>
      </c>
      <c r="AB8" s="68">
        <f ca="1">SUMIF($L$4:$AA$4,"SUBTOTAL",$L$8:$AA$8)+AL8</f>
        <v>-69.343860849798105</v>
      </c>
      <c r="AC8" s="9" t="str">
        <f t="shared" si="0"/>
        <v>A4</v>
      </c>
      <c r="AD8" s="9" t="str">
        <f t="shared" si="1"/>
        <v>Energia convencional</v>
      </c>
      <c r="AE8" s="9" t="str">
        <f t="shared" si="2"/>
        <v>Não se aplica</v>
      </c>
      <c r="AF8" s="9" t="str">
        <f t="shared" si="3"/>
        <v>Não se aplica</v>
      </c>
      <c r="AG8" s="9" t="str">
        <f t="shared" si="4"/>
        <v>Não se aplica</v>
      </c>
      <c r="AH8" s="9">
        <v>1</v>
      </c>
      <c r="AI8" s="9">
        <f ca="1">IFERROR(VLOOKUP(AC8,TarifaMedia!$C$18:$G$18,5,0),0)</f>
        <v>0</v>
      </c>
      <c r="AJ8" s="15">
        <f>'TE BE'!$AB8+'TE BF'!$AB8+'TE CVA'!$AB8</f>
        <v>205.52329867469447</v>
      </c>
      <c r="AK8" s="9">
        <v>0</v>
      </c>
      <c r="AL8" s="9">
        <f t="shared" ca="1" si="5"/>
        <v>0</v>
      </c>
      <c r="AO8" s="53" t="s">
        <v>1296</v>
      </c>
    </row>
    <row r="9" spans="1:41" ht="11.25" customHeight="1" x14ac:dyDescent="0.3">
      <c r="A9" s="143"/>
      <c r="B9" s="70" t="s">
        <v>89</v>
      </c>
      <c r="C9" s="70" t="s">
        <v>25</v>
      </c>
      <c r="D9" s="70" t="s">
        <v>25</v>
      </c>
      <c r="E9" s="70" t="s">
        <v>80</v>
      </c>
      <c r="F9" s="70" t="s">
        <v>25</v>
      </c>
      <c r="G9" s="71" t="s">
        <v>81</v>
      </c>
      <c r="H9" s="71" t="s">
        <v>76</v>
      </c>
      <c r="I9" s="71">
        <f>'MERCADO TE'!$U$6</f>
        <v>5489.0889999999999</v>
      </c>
      <c r="J9" s="15"/>
      <c r="L9" s="68">
        <f>'TE BE'!$L$9*'TE BE'!$L$52</f>
        <v>-1.8029780823116748E-5</v>
      </c>
      <c r="M9" s="68">
        <f>'TE BE'!$M$9*'TE BE'!$M$52</f>
        <v>-6.7693775455836445</v>
      </c>
      <c r="N9" s="68">
        <f>'TE BE'!$N$9*'TE BE'!$N$52</f>
        <v>0</v>
      </c>
      <c r="O9" s="68">
        <f>'TE BE'!$O$9*'TE BE'!$O$52</f>
        <v>-0.54823604289407335</v>
      </c>
      <c r="P9" s="68">
        <f>'TE BE'!$P$9*'TE BE'!$P$52</f>
        <v>0</v>
      </c>
      <c r="Q9" s="68">
        <f>SUM($L$9:$P$9)</f>
        <v>-7.3176316182585408</v>
      </c>
      <c r="R9" s="68">
        <f>'TE BE'!$R$9*'TE BE'!$R$52</f>
        <v>-30.3718441829506</v>
      </c>
      <c r="S9" s="68">
        <f>SUM($R$9:$R$9)</f>
        <v>-30.3718441829506</v>
      </c>
      <c r="T9" s="68">
        <f>'TE BE'!$T$9*'TE BE'!$T$52</f>
        <v>-0.42733105334292093</v>
      </c>
      <c r="U9" s="68">
        <f>'TE BE'!$U$9*'TE BE'!$U$52</f>
        <v>-3.154913540486641E-2</v>
      </c>
      <c r="V9" s="68">
        <f>'TE BE'!$V$9*'TE BE'!$V$52</f>
        <v>0</v>
      </c>
      <c r="W9" s="68">
        <f>SUM($T$9:$V$9)</f>
        <v>-0.45888018874778735</v>
      </c>
      <c r="X9" s="68">
        <v>0</v>
      </c>
      <c r="Y9" s="68">
        <f>SUM($X$9:$X$9)</f>
        <v>0</v>
      </c>
      <c r="Z9" s="68">
        <f>'TE BE'!$Z$9*'TE BE'!$Z$52</f>
        <v>-0.30040188164310694</v>
      </c>
      <c r="AA9" s="68">
        <f>SUM($Z$9:$Z$9)</f>
        <v>-0.30040188164310694</v>
      </c>
      <c r="AB9" s="68">
        <f ca="1">SUMIF($L$4:$AA$4,"SUBTOTAL",$L$9:$AA$9)+AL9</f>
        <v>-38.44875787160003</v>
      </c>
      <c r="AC9" s="9" t="str">
        <f t="shared" si="0"/>
        <v>A4</v>
      </c>
      <c r="AD9" s="9" t="str">
        <f t="shared" si="1"/>
        <v>Energia suprimento permissionária</v>
      </c>
      <c r="AE9" s="9" t="str">
        <f t="shared" si="2"/>
        <v>Não se aplica</v>
      </c>
      <c r="AF9" s="9" t="str">
        <f t="shared" si="3"/>
        <v>Não se aplica</v>
      </c>
      <c r="AG9" s="9" t="str">
        <f t="shared" si="4"/>
        <v>&lt;500GWh</v>
      </c>
      <c r="AH9" s="9">
        <v>1</v>
      </c>
      <c r="AI9" s="9">
        <f ca="1">IFERROR(VLOOKUP(AC9,TarifaMedia!$C$18:$G$18,5,0),0)</f>
        <v>0</v>
      </c>
      <c r="AJ9" s="15">
        <f>'TE BE'!$AB9+'TE BF'!$AB9+'TE CVA'!$AB9</f>
        <v>233.70080441251889</v>
      </c>
      <c r="AK9" s="9">
        <v>273.92</v>
      </c>
      <c r="AL9" s="9">
        <f t="shared" ca="1" si="5"/>
        <v>0</v>
      </c>
      <c r="AO9" s="53" t="s">
        <v>1297</v>
      </c>
    </row>
    <row r="10" spans="1:41" ht="11.25" customHeight="1" x14ac:dyDescent="0.3">
      <c r="A10" s="143"/>
      <c r="B10" s="70" t="s">
        <v>79</v>
      </c>
      <c r="C10" s="70" t="s">
        <v>25</v>
      </c>
      <c r="D10" s="70" t="s">
        <v>25</v>
      </c>
      <c r="E10" s="70" t="s">
        <v>25</v>
      </c>
      <c r="F10" s="70" t="s">
        <v>25</v>
      </c>
      <c r="G10" s="71" t="s">
        <v>81</v>
      </c>
      <c r="H10" s="71" t="s">
        <v>76</v>
      </c>
      <c r="I10" s="71">
        <f>'MERCADO TE'!$U$7</f>
        <v>0</v>
      </c>
      <c r="J10" s="15"/>
      <c r="L10" s="68">
        <f>'TE BE'!$L$10*'TE BE'!$L$52</f>
        <v>-1.8029780823116748E-5</v>
      </c>
      <c r="M10" s="68">
        <f>'TE BE'!$M$10*'TE BE'!$M$52</f>
        <v>0</v>
      </c>
      <c r="N10" s="68">
        <f>'TE BE'!$N$10*'TE BE'!$N$52</f>
        <v>0</v>
      </c>
      <c r="O10" s="68">
        <f>'TE BE'!$O$10*'TE BE'!$O$52</f>
        <v>-0.54823604289407335</v>
      </c>
      <c r="P10" s="68">
        <f>'TE BE'!$P$10*'TE BE'!$P$52</f>
        <v>0</v>
      </c>
      <c r="Q10" s="68">
        <f>SUM($L$10:$P$10)</f>
        <v>-0.54825407267489645</v>
      </c>
      <c r="R10" s="68">
        <f>'TE BE'!$R$10*'TE BE'!$R$52</f>
        <v>-30.3718441829506</v>
      </c>
      <c r="S10" s="68">
        <f>SUM($R$10:$R$10)</f>
        <v>-30.3718441829506</v>
      </c>
      <c r="T10" s="68">
        <f>'TE BE'!$T$10*'TE BE'!$T$52</f>
        <v>-0.42733105334292093</v>
      </c>
      <c r="U10" s="68">
        <f>'TE BE'!$U$10*'TE BE'!$U$52</f>
        <v>-3.154913540486641E-2</v>
      </c>
      <c r="V10" s="68">
        <f>'TE BE'!$V$10*'TE BE'!$V$52</f>
        <v>0</v>
      </c>
      <c r="W10" s="68">
        <f>SUM($T$10:$V$10)</f>
        <v>-0.45888018874778735</v>
      </c>
      <c r="X10" s="68">
        <v>0</v>
      </c>
      <c r="Y10" s="68">
        <f>SUM($X$10:$X$10)</f>
        <v>0</v>
      </c>
      <c r="Z10" s="68">
        <f>'TE BE'!$Z$10*'TE BE'!$Z$52</f>
        <v>0</v>
      </c>
      <c r="AA10" s="68">
        <f>SUM($Z$10:$Z$10)</f>
        <v>0</v>
      </c>
      <c r="AB10" s="68">
        <f ca="1">SUMIF($L$4:$AA$4,"SUBTOTAL",$L$10:$AA$10)+AL10</f>
        <v>-31.378978444373285</v>
      </c>
      <c r="AC10" s="9" t="str">
        <f t="shared" si="0"/>
        <v>A4</v>
      </c>
      <c r="AD10" s="9" t="str">
        <f t="shared" si="1"/>
        <v>Energia suprimento concessionária</v>
      </c>
      <c r="AE10" s="9" t="str">
        <f t="shared" si="2"/>
        <v>Não se aplica</v>
      </c>
      <c r="AF10" s="9" t="str">
        <f t="shared" si="3"/>
        <v>Não se aplica</v>
      </c>
      <c r="AG10" s="9" t="str">
        <f t="shared" si="4"/>
        <v>Não se aplica</v>
      </c>
      <c r="AH10" s="9">
        <v>1</v>
      </c>
      <c r="AI10" s="9">
        <f ca="1">IFERROR(VLOOKUP(AC10,TarifaMedia!$C$18:$G$18,5,0),0)</f>
        <v>0</v>
      </c>
      <c r="AJ10" s="15">
        <f>'TE BE'!$AB10+'TE BF'!$AB10+'TE CVA'!$AB10</f>
        <v>202.50915100826197</v>
      </c>
      <c r="AK10" s="9">
        <v>226.9</v>
      </c>
      <c r="AL10" s="9">
        <f t="shared" ca="1" si="5"/>
        <v>0</v>
      </c>
      <c r="AO10" s="53" t="s">
        <v>1298</v>
      </c>
    </row>
    <row r="11" spans="1:41" ht="11.25" customHeight="1" x14ac:dyDescent="0.3">
      <c r="A11" s="143" t="s">
        <v>22</v>
      </c>
      <c r="B11" s="143" t="s">
        <v>75</v>
      </c>
      <c r="C11" s="143" t="s">
        <v>24</v>
      </c>
      <c r="D11" s="143" t="s">
        <v>24</v>
      </c>
      <c r="E11" s="143" t="s">
        <v>25</v>
      </c>
      <c r="F11" s="143" t="s">
        <v>25</v>
      </c>
      <c r="G11" s="71" t="s">
        <v>77</v>
      </c>
      <c r="H11" s="71" t="s">
        <v>76</v>
      </c>
      <c r="I11" s="71">
        <f>'MERCADO TE'!$U$8</f>
        <v>0.68800000000000017</v>
      </c>
      <c r="J11" s="15"/>
      <c r="L11" s="68">
        <f>'TE BE'!$L$11*'TE BE'!$L$52</f>
        <v>-1.8029780823116748E-5</v>
      </c>
      <c r="M11" s="68">
        <f>'TE BE'!$M$11*'TE BE'!$M$52</f>
        <v>-6.7693775455836445</v>
      </c>
      <c r="N11" s="68">
        <f>'TE BE'!$N$11*'TE BE'!$N$52</f>
        <v>0</v>
      </c>
      <c r="O11" s="68">
        <f>'TE BE'!$O$11*'TE BE'!$O$52</f>
        <v>-0.54823604289407346</v>
      </c>
      <c r="P11" s="68">
        <f>'TE BE'!$P$11*'TE BE'!$P$52</f>
        <v>0</v>
      </c>
      <c r="Q11" s="68">
        <f>SUM($L$11:$P$11)</f>
        <v>-7.3176316182585408</v>
      </c>
      <c r="R11" s="68">
        <f>'TE BE'!$R$11*'TE BE'!$R$52</f>
        <v>-49.879286888702524</v>
      </c>
      <c r="S11" s="68">
        <f>SUM($R$11:$R$11)</f>
        <v>-49.879286888702524</v>
      </c>
      <c r="T11" s="68">
        <f>'TE BE'!$T$11*'TE BE'!$T$52</f>
        <v>-0.42733105334292093</v>
      </c>
      <c r="U11" s="68">
        <f>'TE BE'!$U$11*'TE BE'!$U$52</f>
        <v>-3.154913540486641E-2</v>
      </c>
      <c r="V11" s="68">
        <f>'TE BE'!$V$11*'TE BE'!$V$52</f>
        <v>0</v>
      </c>
      <c r="W11" s="68">
        <f>SUM($T$11:$V$11)</f>
        <v>-0.45888018874778735</v>
      </c>
      <c r="X11" s="68">
        <f>'TE BE'!$AB$11*'TE BE'!$X$52</f>
        <v>-46.950777141991558</v>
      </c>
      <c r="Y11" s="68">
        <f>SUM($X$11:$X$11)</f>
        <v>-46.950777141991558</v>
      </c>
      <c r="Z11" s="68">
        <f>'TE BE'!$Z$11*'TE BE'!$Z$52</f>
        <v>-0.30040188164310694</v>
      </c>
      <c r="AA11" s="68">
        <f>SUM($Z$11:$Z$11)</f>
        <v>-0.30040188164310694</v>
      </c>
      <c r="AB11" s="68">
        <f ca="1">SUMIF($L$4:$AA$4,"SUBTOTAL",$L$11:$AA$11)+AL11</f>
        <v>-104.90697771934352</v>
      </c>
      <c r="AC11" s="9" t="str">
        <f t="shared" si="0"/>
        <v>B1</v>
      </c>
      <c r="AD11" s="9" t="str">
        <f t="shared" si="1"/>
        <v>Energia horária</v>
      </c>
      <c r="AE11" s="9" t="str">
        <f t="shared" si="2"/>
        <v>Residencial</v>
      </c>
      <c r="AF11" s="9" t="str">
        <f t="shared" si="3"/>
        <v>Residencial</v>
      </c>
      <c r="AG11" s="9" t="str">
        <f t="shared" si="4"/>
        <v>Não se aplica</v>
      </c>
      <c r="AH11" s="9">
        <v>1</v>
      </c>
      <c r="AI11" s="9">
        <f ca="1">TarifaMedia!$G$20</f>
        <v>0</v>
      </c>
      <c r="AJ11" s="15">
        <f>'TE BE'!$AB11+'TE BF'!$AB11+'TE CVA'!$AB11</f>
        <v>311.4117891483653</v>
      </c>
      <c r="AK11" s="9">
        <v>393.63</v>
      </c>
      <c r="AL11" s="9">
        <f t="shared" ca="1" si="5"/>
        <v>0</v>
      </c>
      <c r="AO11" s="53" t="s">
        <v>1299</v>
      </c>
    </row>
    <row r="12" spans="1:41" ht="11.25" customHeight="1" x14ac:dyDescent="0.3">
      <c r="A12" s="143"/>
      <c r="B12" s="143"/>
      <c r="C12" s="143"/>
      <c r="D12" s="143"/>
      <c r="E12" s="143"/>
      <c r="F12" s="143"/>
      <c r="G12" s="71" t="s">
        <v>93</v>
      </c>
      <c r="H12" s="71" t="s">
        <v>76</v>
      </c>
      <c r="I12" s="71">
        <f>'MERCADO TE'!$U$9</f>
        <v>0.46</v>
      </c>
      <c r="J12" s="15"/>
      <c r="L12" s="68">
        <f>'TE BE'!$L$12*'TE BE'!$L$52</f>
        <v>-1.8029780823116748E-5</v>
      </c>
      <c r="M12" s="68">
        <f>'TE BE'!$M$12*'TE BE'!$M$52</f>
        <v>-6.7693775455836445</v>
      </c>
      <c r="N12" s="68">
        <f>'TE BE'!$N$12*'TE BE'!$N$52</f>
        <v>0</v>
      </c>
      <c r="O12" s="68">
        <f>'TE BE'!$O$12*'TE BE'!$O$52</f>
        <v>-0.54823604289407346</v>
      </c>
      <c r="P12" s="68">
        <f>'TE BE'!$P$12*'TE BE'!$P$52</f>
        <v>0</v>
      </c>
      <c r="Q12" s="68">
        <f>SUM($L$12:$P$12)</f>
        <v>-7.3176316182585408</v>
      </c>
      <c r="R12" s="68">
        <f>'TE BE'!$R$12*'TE BE'!$R$52</f>
        <v>-28.999585400408446</v>
      </c>
      <c r="S12" s="68">
        <f>SUM($R$12:$R$12)</f>
        <v>-28.999585400408446</v>
      </c>
      <c r="T12" s="68">
        <f>'TE BE'!$T$12*'TE BE'!$T$52</f>
        <v>-0.42733105334292093</v>
      </c>
      <c r="U12" s="68">
        <f>'TE BE'!$U$12*'TE BE'!$U$52</f>
        <v>-3.154913540486641E-2</v>
      </c>
      <c r="V12" s="68">
        <f>'TE BE'!$V$12*'TE BE'!$V$52</f>
        <v>0</v>
      </c>
      <c r="W12" s="68">
        <f>SUM($T$12:$V$12)</f>
        <v>-0.45888018874778735</v>
      </c>
      <c r="X12" s="68">
        <f>'TE BE'!$AB$12*'TE BE'!$X$52</f>
        <v>-29.03435113623609</v>
      </c>
      <c r="Y12" s="68">
        <f>SUM($X$12:$X$12)</f>
        <v>-29.03435113623609</v>
      </c>
      <c r="Z12" s="68">
        <f>'TE BE'!$Z$12*'TE BE'!$Z$52</f>
        <v>-0.30040188164310694</v>
      </c>
      <c r="AA12" s="68">
        <f>SUM($Z$12:$Z$12)</f>
        <v>-0.30040188164310694</v>
      </c>
      <c r="AB12" s="68">
        <f ca="1">SUMIF($L$4:$AA$4,"SUBTOTAL",$L$12:$AA$12)+AL12</f>
        <v>-66.110850225293973</v>
      </c>
      <c r="AC12" s="9" t="str">
        <f t="shared" si="0"/>
        <v>B1</v>
      </c>
      <c r="AD12" s="9" t="str">
        <f t="shared" si="1"/>
        <v>Energia horária</v>
      </c>
      <c r="AE12" s="9" t="str">
        <f t="shared" si="2"/>
        <v>Residencial</v>
      </c>
      <c r="AF12" s="9" t="str">
        <f t="shared" si="3"/>
        <v>Residencial</v>
      </c>
      <c r="AG12" s="9" t="str">
        <f t="shared" si="4"/>
        <v>Não se aplica</v>
      </c>
      <c r="AH12" s="9">
        <v>1</v>
      </c>
      <c r="AI12" s="9">
        <f ca="1">TarifaMedia!$G$20</f>
        <v>0</v>
      </c>
      <c r="AJ12" s="15">
        <f>'TE BE'!$AB12+'TE BF'!$AB12+'TE CVA'!$AB12</f>
        <v>195.89707226799715</v>
      </c>
      <c r="AK12" s="9">
        <v>249.61</v>
      </c>
      <c r="AL12" s="9">
        <f t="shared" ca="1" si="5"/>
        <v>0</v>
      </c>
      <c r="AO12" s="53" t="s">
        <v>1300</v>
      </c>
    </row>
    <row r="13" spans="1:41" ht="11.25" customHeight="1" x14ac:dyDescent="0.3">
      <c r="A13" s="143"/>
      <c r="B13" s="143"/>
      <c r="C13" s="143"/>
      <c r="D13" s="143"/>
      <c r="E13" s="143"/>
      <c r="F13" s="143"/>
      <c r="G13" s="71" t="s">
        <v>78</v>
      </c>
      <c r="H13" s="71" t="s">
        <v>76</v>
      </c>
      <c r="I13" s="71">
        <f>'MERCADO TE'!$U$10</f>
        <v>5.6850000000000005</v>
      </c>
      <c r="J13" s="15"/>
      <c r="L13" s="68">
        <f>'TE BE'!$L$13*'TE BE'!$L$52</f>
        <v>-1.8029780823116748E-5</v>
      </c>
      <c r="M13" s="68">
        <f>'TE BE'!$M$13*'TE BE'!$M$52</f>
        <v>-6.7693775455836445</v>
      </c>
      <c r="N13" s="68">
        <f>'TE BE'!$N$13*'TE BE'!$N$52</f>
        <v>0</v>
      </c>
      <c r="O13" s="68">
        <f>'TE BE'!$O$13*'TE BE'!$O$52</f>
        <v>-0.54823604289407346</v>
      </c>
      <c r="P13" s="68">
        <f>'TE BE'!$P$13*'TE BE'!$P$52</f>
        <v>0</v>
      </c>
      <c r="Q13" s="68">
        <f>SUM($L$13:$P$13)</f>
        <v>-7.3176316182585408</v>
      </c>
      <c r="R13" s="68">
        <f>'TE BE'!$R$13*'TE BE'!$R$52</f>
        <v>-28.999585400408446</v>
      </c>
      <c r="S13" s="68">
        <f>SUM($R$13:$R$13)</f>
        <v>-28.999585400408446</v>
      </c>
      <c r="T13" s="68">
        <f>'TE BE'!$T$13*'TE BE'!$T$52</f>
        <v>-0.42733105334292093</v>
      </c>
      <c r="U13" s="68">
        <f>'TE BE'!$U$13*'TE BE'!$U$52</f>
        <v>-3.154913540486641E-2</v>
      </c>
      <c r="V13" s="68">
        <f>'TE BE'!$V$13*'TE BE'!$V$52</f>
        <v>0</v>
      </c>
      <c r="W13" s="68">
        <f>SUM($T$13:$V$13)</f>
        <v>-0.45888018874778735</v>
      </c>
      <c r="X13" s="68">
        <f>'TE BE'!$AB$13*'TE BE'!$X$52</f>
        <v>-29.03435113623609</v>
      </c>
      <c r="Y13" s="68">
        <f>SUM($X$13:$X$13)</f>
        <v>-29.03435113623609</v>
      </c>
      <c r="Z13" s="68">
        <f>'TE BE'!$Z$13*'TE BE'!$Z$52</f>
        <v>-0.30040188164310694</v>
      </c>
      <c r="AA13" s="68">
        <f>SUM($Z$13:$Z$13)</f>
        <v>-0.30040188164310694</v>
      </c>
      <c r="AB13" s="68">
        <f ca="1">SUMIF($L$4:$AA$4,"SUBTOTAL",$L$13:$AA$13)+AL13</f>
        <v>-66.110850225293973</v>
      </c>
      <c r="AC13" s="9" t="str">
        <f t="shared" si="0"/>
        <v>B1</v>
      </c>
      <c r="AD13" s="9" t="str">
        <f t="shared" si="1"/>
        <v>Energia horária</v>
      </c>
      <c r="AE13" s="9" t="str">
        <f t="shared" si="2"/>
        <v>Residencial</v>
      </c>
      <c r="AF13" s="9" t="str">
        <f t="shared" si="3"/>
        <v>Residencial</v>
      </c>
      <c r="AG13" s="9" t="str">
        <f t="shared" si="4"/>
        <v>Não se aplica</v>
      </c>
      <c r="AH13" s="9">
        <v>1</v>
      </c>
      <c r="AI13" s="9">
        <f ca="1">TarifaMedia!$G$20</f>
        <v>0</v>
      </c>
      <c r="AJ13" s="15">
        <f>'TE BE'!$AB13+'TE BF'!$AB13+'TE CVA'!$AB13</f>
        <v>195.89707226799715</v>
      </c>
      <c r="AK13" s="9">
        <v>249.61</v>
      </c>
      <c r="AL13" s="9">
        <f t="shared" ca="1" si="5"/>
        <v>0</v>
      </c>
      <c r="AO13" s="53" t="s">
        <v>1301</v>
      </c>
    </row>
    <row r="14" spans="1:41" ht="11.25" customHeight="1" x14ac:dyDescent="0.3">
      <c r="A14" s="143"/>
      <c r="B14" s="143" t="s">
        <v>82</v>
      </c>
      <c r="C14" s="143" t="s">
        <v>24</v>
      </c>
      <c r="D14" s="70" t="s">
        <v>24</v>
      </c>
      <c r="E14" s="70" t="s">
        <v>25</v>
      </c>
      <c r="F14" s="70" t="s">
        <v>25</v>
      </c>
      <c r="G14" s="71" t="s">
        <v>81</v>
      </c>
      <c r="H14" s="71" t="s">
        <v>76</v>
      </c>
      <c r="I14" s="71">
        <f>'MERCADO TE'!$U$11</f>
        <v>20470.671000000002</v>
      </c>
      <c r="J14" s="15"/>
      <c r="L14" s="68">
        <f>'TE BE'!$L$14*'TE BE'!$L$52</f>
        <v>-1.8029780823116748E-5</v>
      </c>
      <c r="M14" s="68">
        <f>'TE BE'!$M$14*'TE BE'!$M$52</f>
        <v>-6.7693775455836445</v>
      </c>
      <c r="N14" s="68">
        <f>'TE BE'!$N$14*'TE BE'!$N$52</f>
        <v>0</v>
      </c>
      <c r="O14" s="68">
        <f>'TE BE'!$O$14*'TE BE'!$O$52</f>
        <v>-0.54823604289407346</v>
      </c>
      <c r="P14" s="68">
        <f>'TE BE'!$P$14*'TE BE'!$P$52</f>
        <v>0</v>
      </c>
      <c r="Q14" s="68">
        <f>SUM($L$14:$P$14)</f>
        <v>-7.3176316182585408</v>
      </c>
      <c r="R14" s="68">
        <f>'TE BE'!$R$14*'TE BE'!$R$52</f>
        <v>-30.739560524432953</v>
      </c>
      <c r="S14" s="68">
        <f>SUM($R$14:$R$14)</f>
        <v>-30.739560524432953</v>
      </c>
      <c r="T14" s="68">
        <f>'TE BE'!$T$14*'TE BE'!$T$52</f>
        <v>-0.42733105334292093</v>
      </c>
      <c r="U14" s="68">
        <f>'TE BE'!$U$14*'TE BE'!$U$52</f>
        <v>-3.154913540486641E-2</v>
      </c>
      <c r="V14" s="68">
        <f>'TE BE'!$V$14*'TE BE'!$V$52</f>
        <v>0</v>
      </c>
      <c r="W14" s="68">
        <f>SUM($T$14:$V$14)</f>
        <v>-0.45888018874778735</v>
      </c>
      <c r="X14" s="68">
        <f>'TE BE'!$AB$14*'TE BE'!$X$52</f>
        <v>-30.527386636715711</v>
      </c>
      <c r="Y14" s="68">
        <f>SUM($X$14:$X$14)</f>
        <v>-30.527386636715711</v>
      </c>
      <c r="Z14" s="68">
        <f>'TE BE'!$Z$14*'TE BE'!$Z$52</f>
        <v>-0.30040188164310694</v>
      </c>
      <c r="AA14" s="68">
        <f>SUM($Z$14:$Z$14)</f>
        <v>-0.30040188164310694</v>
      </c>
      <c r="AB14" s="68">
        <f ca="1">SUMIF($L$4:$AA$4,"SUBTOTAL",$L$14:$AA$14)+AL14</f>
        <v>-69.343860849798105</v>
      </c>
      <c r="AC14" s="9" t="str">
        <f t="shared" si="0"/>
        <v>B1</v>
      </c>
      <c r="AD14" s="9" t="str">
        <f t="shared" si="1"/>
        <v>Energia convencional</v>
      </c>
      <c r="AE14" s="9" t="str">
        <f t="shared" si="2"/>
        <v>Residencial</v>
      </c>
      <c r="AF14" s="9" t="str">
        <f t="shared" si="3"/>
        <v>Residencial</v>
      </c>
      <c r="AG14" s="9" t="str">
        <f t="shared" si="4"/>
        <v>Não se aplica</v>
      </c>
      <c r="AH14" s="9">
        <v>1</v>
      </c>
      <c r="AI14" s="9">
        <f ca="1">TarifaMedia!$G$20</f>
        <v>0</v>
      </c>
      <c r="AJ14" s="15">
        <f>'TE BE'!$AB14+'TE BF'!$AB14+'TE CVA'!$AB14</f>
        <v>205.52329867469447</v>
      </c>
      <c r="AK14" s="9">
        <v>261.62</v>
      </c>
      <c r="AL14" s="9">
        <f t="shared" ca="1" si="5"/>
        <v>0</v>
      </c>
      <c r="AO14" s="53" t="s">
        <v>1302</v>
      </c>
    </row>
    <row r="15" spans="1:41" ht="11.25" customHeight="1" x14ac:dyDescent="0.3">
      <c r="A15" s="143"/>
      <c r="B15" s="143"/>
      <c r="C15" s="143"/>
      <c r="D15" s="70" t="s">
        <v>29</v>
      </c>
      <c r="E15" s="70" t="s">
        <v>25</v>
      </c>
      <c r="F15" s="70" t="s">
        <v>25</v>
      </c>
      <c r="G15" s="71" t="s">
        <v>81</v>
      </c>
      <c r="H15" s="71" t="s">
        <v>76</v>
      </c>
      <c r="I15" s="71">
        <f>'MERCADO TE'!$U$12</f>
        <v>425.12200000000001</v>
      </c>
      <c r="J15" s="15"/>
      <c r="L15" s="68">
        <f>'TE BE'!$L$15*'TE BE'!$L$52</f>
        <v>-1.8029780823116748E-5</v>
      </c>
      <c r="M15" s="68">
        <f>'TE BE'!$M$15*'TE BE'!$M$52</f>
        <v>-6.7693775455836445</v>
      </c>
      <c r="N15" s="68">
        <f>'TE BE'!$N$15*'TE BE'!$N$52</f>
        <v>0</v>
      </c>
      <c r="O15" s="68">
        <f>'TE BE'!$O$15*'TE BE'!$O$52</f>
        <v>-0.54823604289407346</v>
      </c>
      <c r="P15" s="68">
        <f>'TE BE'!$P$15*'TE BE'!$P$52</f>
        <v>0</v>
      </c>
      <c r="Q15" s="68">
        <f>SUM($L$15:$P$15)</f>
        <v>-7.3176316182585408</v>
      </c>
      <c r="R15" s="68">
        <f>'TE BE'!$R$15*'TE BE'!$R$52</f>
        <v>-30.739560524432953</v>
      </c>
      <c r="S15" s="68">
        <f>SUM($R$15:$R$15)</f>
        <v>-30.739560524432953</v>
      </c>
      <c r="T15" s="68">
        <f>'TE BE'!$T$15*'TE BE'!$T$52</f>
        <v>-0.42733105334292093</v>
      </c>
      <c r="U15" s="68">
        <f>'TE BE'!$U$15*'TE BE'!$U$52</f>
        <v>-3.154913540486641E-2</v>
      </c>
      <c r="V15" s="68">
        <f>'TE BE'!$V$15*'TE BE'!$V$52</f>
        <v>0</v>
      </c>
      <c r="W15" s="68">
        <f>SUM($T$15:$V$15)</f>
        <v>-0.45888018874778735</v>
      </c>
      <c r="X15" s="68">
        <f>'TE BE'!$AB$15*'TE BE'!$X$52</f>
        <v>-30.527386636715711</v>
      </c>
      <c r="Y15" s="68">
        <f>SUM($X$15:$X$15)</f>
        <v>-30.527386636715711</v>
      </c>
      <c r="Z15" s="68">
        <f>'TE BE'!$Z$15*'TE BE'!$Z$52</f>
        <v>-0.30040188164310694</v>
      </c>
      <c r="AA15" s="68">
        <f>SUM($Z$15:$Z$15)</f>
        <v>-0.30040188164310694</v>
      </c>
      <c r="AB15" s="68">
        <f ca="1">SUMIF($L$4:$AA$4,"SUBTOTAL",$L$15:$AA$15)+AL15</f>
        <v>-69.343860849798105</v>
      </c>
      <c r="AC15" s="9" t="str">
        <f t="shared" si="0"/>
        <v>B1</v>
      </c>
      <c r="AD15" s="9" t="str">
        <f t="shared" si="1"/>
        <v>Energia convencional</v>
      </c>
      <c r="AE15" s="9" t="str">
        <f t="shared" si="2"/>
        <v>Residencial</v>
      </c>
      <c r="AF15" s="9" t="str">
        <f t="shared" si="3"/>
        <v>Residencial baixa renda – faixa 01</v>
      </c>
      <c r="AG15" s="9" t="str">
        <f t="shared" si="4"/>
        <v>Não se aplica</v>
      </c>
      <c r="AH15" s="9">
        <v>1</v>
      </c>
      <c r="AI15" s="9">
        <f ca="1">TarifaMedia!$G$20</f>
        <v>0</v>
      </c>
      <c r="AJ15" s="15">
        <f>'TE BE'!$AB15+'TE BF'!$AB15+'TE CVA'!$AB15</f>
        <v>205.52329867469447</v>
      </c>
      <c r="AK15" s="9">
        <v>261.62</v>
      </c>
      <c r="AL15" s="9">
        <f t="shared" ca="1" si="5"/>
        <v>0</v>
      </c>
      <c r="AO15" s="53" t="s">
        <v>1303</v>
      </c>
    </row>
    <row r="16" spans="1:41" ht="11.25" customHeight="1" x14ac:dyDescent="0.3">
      <c r="A16" s="143"/>
      <c r="B16" s="143"/>
      <c r="C16" s="143"/>
      <c r="D16" s="70" t="s">
        <v>30</v>
      </c>
      <c r="E16" s="70" t="s">
        <v>25</v>
      </c>
      <c r="F16" s="70" t="s">
        <v>25</v>
      </c>
      <c r="G16" s="71" t="s">
        <v>81</v>
      </c>
      <c r="H16" s="71" t="s">
        <v>76</v>
      </c>
      <c r="I16" s="71">
        <f>'MERCADO TE'!$U$13</f>
        <v>876.85199999999986</v>
      </c>
      <c r="J16" s="15"/>
      <c r="L16" s="68">
        <f>'TE BE'!$L$16*'TE BE'!$L$52</f>
        <v>-1.8029780823116748E-5</v>
      </c>
      <c r="M16" s="68">
        <f>'TE BE'!$M$16*'TE BE'!$M$52</f>
        <v>-6.7693775455836445</v>
      </c>
      <c r="N16" s="68">
        <f>'TE BE'!$N$16*'TE BE'!$N$52</f>
        <v>0</v>
      </c>
      <c r="O16" s="68">
        <f>'TE BE'!$O$16*'TE BE'!$O$52</f>
        <v>-0.54823604289407346</v>
      </c>
      <c r="P16" s="68">
        <f>'TE BE'!$P$16*'TE BE'!$P$52</f>
        <v>0</v>
      </c>
      <c r="Q16" s="68">
        <f>SUM($L$16:$P$16)</f>
        <v>-7.3176316182585408</v>
      </c>
      <c r="R16" s="68">
        <f>'TE BE'!$R$16*'TE BE'!$R$52</f>
        <v>-30.739560524432953</v>
      </c>
      <c r="S16" s="68">
        <f>SUM($R$16:$R$16)</f>
        <v>-30.739560524432953</v>
      </c>
      <c r="T16" s="68">
        <f>'TE BE'!$T$16*'TE BE'!$T$52</f>
        <v>-0.42733105334292093</v>
      </c>
      <c r="U16" s="68">
        <f>'TE BE'!$U$16*'TE BE'!$U$52</f>
        <v>-3.154913540486641E-2</v>
      </c>
      <c r="V16" s="68">
        <f>'TE BE'!$V$16*'TE BE'!$V$52</f>
        <v>0</v>
      </c>
      <c r="W16" s="68">
        <f>SUM($T$16:$V$16)</f>
        <v>-0.45888018874778735</v>
      </c>
      <c r="X16" s="68">
        <f>'TE BE'!$AB$16*'TE BE'!$X$52</f>
        <v>-30.527386636715711</v>
      </c>
      <c r="Y16" s="68">
        <f>SUM($X$16:$X$16)</f>
        <v>-30.527386636715711</v>
      </c>
      <c r="Z16" s="68">
        <f>'TE BE'!$Z$16*'TE BE'!$Z$52</f>
        <v>-0.30040188164310694</v>
      </c>
      <c r="AA16" s="68">
        <f>SUM($Z$16:$Z$16)</f>
        <v>-0.30040188164310694</v>
      </c>
      <c r="AB16" s="68">
        <f ca="1">SUMIF($L$4:$AA$4,"SUBTOTAL",$L$16:$AA$16)+AL16</f>
        <v>-69.343860849798105</v>
      </c>
      <c r="AC16" s="9" t="str">
        <f t="shared" si="0"/>
        <v>B1</v>
      </c>
      <c r="AD16" s="9" t="str">
        <f t="shared" si="1"/>
        <v>Energia convencional</v>
      </c>
      <c r="AE16" s="9" t="str">
        <f t="shared" si="2"/>
        <v>Residencial</v>
      </c>
      <c r="AF16" s="9" t="str">
        <f t="shared" si="3"/>
        <v>Residencial baixa renda – faixa 02</v>
      </c>
      <c r="AG16" s="9" t="str">
        <f t="shared" si="4"/>
        <v>Não se aplica</v>
      </c>
      <c r="AH16" s="9">
        <v>1</v>
      </c>
      <c r="AI16" s="9">
        <f ca="1">TarifaMedia!$G$20</f>
        <v>0</v>
      </c>
      <c r="AJ16" s="15">
        <f>'TE BE'!$AB16+'TE BF'!$AB16+'TE CVA'!$AB16</f>
        <v>205.52329867469447</v>
      </c>
      <c r="AK16" s="9">
        <v>261.62</v>
      </c>
      <c r="AL16" s="9">
        <f t="shared" ca="1" si="5"/>
        <v>0</v>
      </c>
      <c r="AO16" s="53" t="s">
        <v>1303</v>
      </c>
    </row>
    <row r="17" spans="1:41" ht="11.25" customHeight="1" x14ac:dyDescent="0.3">
      <c r="A17" s="143"/>
      <c r="B17" s="143"/>
      <c r="C17" s="143"/>
      <c r="D17" s="70" t="s">
        <v>31</v>
      </c>
      <c r="E17" s="70" t="s">
        <v>25</v>
      </c>
      <c r="F17" s="70" t="s">
        <v>25</v>
      </c>
      <c r="G17" s="71" t="s">
        <v>81</v>
      </c>
      <c r="H17" s="71" t="s">
        <v>76</v>
      </c>
      <c r="I17" s="71">
        <f>'MERCADO TE'!$U$14</f>
        <v>876.00100000000009</v>
      </c>
      <c r="J17" s="15"/>
      <c r="L17" s="68">
        <f>'TE BE'!$L$17*'TE BE'!$L$52</f>
        <v>-1.8029780823116748E-5</v>
      </c>
      <c r="M17" s="68">
        <f>'TE BE'!$M$17*'TE BE'!$M$52</f>
        <v>-6.7693775455836445</v>
      </c>
      <c r="N17" s="68">
        <f>'TE BE'!$N$17*'TE BE'!$N$52</f>
        <v>0</v>
      </c>
      <c r="O17" s="68">
        <f>'TE BE'!$O$17*'TE BE'!$O$52</f>
        <v>-0.54823604289407346</v>
      </c>
      <c r="P17" s="68">
        <f>'TE BE'!$P$17*'TE BE'!$P$52</f>
        <v>0</v>
      </c>
      <c r="Q17" s="68">
        <f>SUM($L$17:$P$17)</f>
        <v>-7.3176316182585408</v>
      </c>
      <c r="R17" s="68">
        <f>'TE BE'!$R$17*'TE BE'!$R$52</f>
        <v>-30.739560524432953</v>
      </c>
      <c r="S17" s="68">
        <f>SUM($R$17:$R$17)</f>
        <v>-30.739560524432953</v>
      </c>
      <c r="T17" s="68">
        <f>'TE BE'!$T$17*'TE BE'!$T$52</f>
        <v>-0.42733105334292093</v>
      </c>
      <c r="U17" s="68">
        <f>'TE BE'!$U$17*'TE BE'!$U$52</f>
        <v>-3.154913540486641E-2</v>
      </c>
      <c r="V17" s="68">
        <f>'TE BE'!$V$17*'TE BE'!$V$52</f>
        <v>0</v>
      </c>
      <c r="W17" s="68">
        <f>SUM($T$17:$V$17)</f>
        <v>-0.45888018874778735</v>
      </c>
      <c r="X17" s="68">
        <f>'TE BE'!$AB$17*'TE BE'!$X$52</f>
        <v>-30.527386636715711</v>
      </c>
      <c r="Y17" s="68">
        <f>SUM($X$17:$X$17)</f>
        <v>-30.527386636715711</v>
      </c>
      <c r="Z17" s="68">
        <f>'TE BE'!$Z$17*'TE BE'!$Z$52</f>
        <v>-0.30040188164310694</v>
      </c>
      <c r="AA17" s="68">
        <f>SUM($Z$17:$Z$17)</f>
        <v>-0.30040188164310694</v>
      </c>
      <c r="AB17" s="68">
        <f ca="1">SUMIF($L$4:$AA$4,"SUBTOTAL",$L$17:$AA$17)+AL17</f>
        <v>-69.343860849798105</v>
      </c>
      <c r="AC17" s="9" t="str">
        <f t="shared" si="0"/>
        <v>B1</v>
      </c>
      <c r="AD17" s="9" t="str">
        <f t="shared" si="1"/>
        <v>Energia convencional</v>
      </c>
      <c r="AE17" s="9" t="str">
        <f t="shared" si="2"/>
        <v>Residencial</v>
      </c>
      <c r="AF17" s="9" t="str">
        <f t="shared" si="3"/>
        <v>Residencial baixa renda – faixa 03</v>
      </c>
      <c r="AG17" s="9" t="str">
        <f t="shared" si="4"/>
        <v>Não se aplica</v>
      </c>
      <c r="AH17" s="9">
        <v>1</v>
      </c>
      <c r="AI17" s="9">
        <f ca="1">TarifaMedia!$G$20</f>
        <v>0</v>
      </c>
      <c r="AJ17" s="15">
        <f>'TE BE'!$AB17+'TE BF'!$AB17+'TE CVA'!$AB17</f>
        <v>205.52329867469447</v>
      </c>
      <c r="AK17" s="9">
        <v>261.62</v>
      </c>
      <c r="AL17" s="9">
        <f t="shared" ca="1" si="5"/>
        <v>0</v>
      </c>
      <c r="AO17" s="53" t="s">
        <v>1303</v>
      </c>
    </row>
    <row r="18" spans="1:41" ht="11.25" customHeight="1" x14ac:dyDescent="0.3">
      <c r="A18" s="143"/>
      <c r="B18" s="143"/>
      <c r="C18" s="143"/>
      <c r="D18" s="70" t="s">
        <v>32</v>
      </c>
      <c r="E18" s="70" t="s">
        <v>25</v>
      </c>
      <c r="F18" s="70" t="s">
        <v>25</v>
      </c>
      <c r="G18" s="71" t="s">
        <v>81</v>
      </c>
      <c r="H18" s="71" t="s">
        <v>76</v>
      </c>
      <c r="I18" s="71">
        <f>'MERCADO TE'!$U$15</f>
        <v>331.42999999999995</v>
      </c>
      <c r="J18" s="15"/>
      <c r="L18" s="68">
        <f>'TE BE'!$L$18*'TE BE'!$L$52</f>
        <v>-1.8029780823116748E-5</v>
      </c>
      <c r="M18" s="68">
        <f>'TE BE'!$M$18*'TE BE'!$M$52</f>
        <v>-6.7693775455836445</v>
      </c>
      <c r="N18" s="68">
        <f>'TE BE'!$N$18*'TE BE'!$N$52</f>
        <v>0</v>
      </c>
      <c r="O18" s="68">
        <f>'TE BE'!$O$18*'TE BE'!$O$52</f>
        <v>-0.54823604289407346</v>
      </c>
      <c r="P18" s="68">
        <f>'TE BE'!$P$18*'TE BE'!$P$52</f>
        <v>0</v>
      </c>
      <c r="Q18" s="68">
        <f>SUM($L$18:$P$18)</f>
        <v>-7.3176316182585408</v>
      </c>
      <c r="R18" s="68">
        <f>'TE BE'!$R$18*'TE BE'!$R$52</f>
        <v>-30.739560524432953</v>
      </c>
      <c r="S18" s="68">
        <f>SUM($R$18:$R$18)</f>
        <v>-30.739560524432953</v>
      </c>
      <c r="T18" s="68">
        <f>'TE BE'!$T$18*'TE BE'!$T$52</f>
        <v>-0.42733105334292093</v>
      </c>
      <c r="U18" s="68">
        <f>'TE BE'!$U$18*'TE BE'!$U$52</f>
        <v>-3.154913540486641E-2</v>
      </c>
      <c r="V18" s="68">
        <f>'TE BE'!$V$18*'TE BE'!$V$52</f>
        <v>0</v>
      </c>
      <c r="W18" s="68">
        <f>SUM($T$18:$V$18)</f>
        <v>-0.45888018874778735</v>
      </c>
      <c r="X18" s="68">
        <f>'TE BE'!$AB$18*'TE BE'!$X$52</f>
        <v>-30.527386636715711</v>
      </c>
      <c r="Y18" s="68">
        <f>SUM($X$18:$X$18)</f>
        <v>-30.527386636715711</v>
      </c>
      <c r="Z18" s="68">
        <f>'TE BE'!$Z$18*'TE BE'!$Z$52</f>
        <v>-0.30040188164310694</v>
      </c>
      <c r="AA18" s="68">
        <f>SUM($Z$18:$Z$18)</f>
        <v>-0.30040188164310694</v>
      </c>
      <c r="AB18" s="68">
        <f ca="1">SUMIF($L$4:$AA$4,"SUBTOTAL",$L$18:$AA$18)+AL18</f>
        <v>-69.343860849798105</v>
      </c>
      <c r="AC18" s="9" t="str">
        <f t="shared" si="0"/>
        <v>B1</v>
      </c>
      <c r="AD18" s="9" t="str">
        <f t="shared" si="1"/>
        <v>Energia convencional</v>
      </c>
      <c r="AE18" s="9" t="str">
        <f t="shared" si="2"/>
        <v>Residencial</v>
      </c>
      <c r="AF18" s="9" t="str">
        <f t="shared" si="3"/>
        <v>Residencial baixa renda – faixa 04</v>
      </c>
      <c r="AG18" s="9" t="str">
        <f t="shared" si="4"/>
        <v>Não se aplica</v>
      </c>
      <c r="AH18" s="9">
        <v>1</v>
      </c>
      <c r="AI18" s="9">
        <f ca="1">TarifaMedia!$G$20</f>
        <v>0</v>
      </c>
      <c r="AJ18" s="15">
        <f>'TE BE'!$AB18+'TE BF'!$AB18+'TE CVA'!$AB18</f>
        <v>205.52329867469447</v>
      </c>
      <c r="AK18" s="9">
        <v>261.62</v>
      </c>
      <c r="AL18" s="9">
        <f t="shared" ca="1" si="5"/>
        <v>0</v>
      </c>
      <c r="AO18" s="53" t="s">
        <v>1303</v>
      </c>
    </row>
    <row r="19" spans="1:41" ht="11.25" customHeight="1" x14ac:dyDescent="0.3">
      <c r="A19" s="143"/>
      <c r="B19" s="143" t="s">
        <v>94</v>
      </c>
      <c r="C19" s="143" t="s">
        <v>24</v>
      </c>
      <c r="D19" s="70" t="s">
        <v>24</v>
      </c>
      <c r="E19" s="70" t="s">
        <v>25</v>
      </c>
      <c r="F19" s="70" t="s">
        <v>25</v>
      </c>
      <c r="G19" s="71" t="s">
        <v>81</v>
      </c>
      <c r="H19" s="71" t="s">
        <v>76</v>
      </c>
      <c r="I19" s="71">
        <f>'MERCADO TE'!$U$16</f>
        <v>0</v>
      </c>
      <c r="J19" s="15"/>
      <c r="L19" s="68">
        <f>'TE BE'!$L$19*'TE BE'!$L$52</f>
        <v>-1.8029780823116748E-5</v>
      </c>
      <c r="M19" s="68">
        <f>'TE BE'!$M$19*'TE BE'!$M$52</f>
        <v>-6.7693775455836445</v>
      </c>
      <c r="N19" s="68">
        <f>'TE BE'!$N$19*'TE BE'!$N$52</f>
        <v>0</v>
      </c>
      <c r="O19" s="68">
        <f>'TE BE'!$O$19*'TE BE'!$O$52</f>
        <v>-0.54823604289407346</v>
      </c>
      <c r="P19" s="68">
        <f>'TE BE'!$P$19*'TE BE'!$P$52</f>
        <v>0</v>
      </c>
      <c r="Q19" s="68">
        <f>SUM($L$19:$P$19)</f>
        <v>-7.3176316182585408</v>
      </c>
      <c r="R19" s="68">
        <f>'TE BE'!$R$19*'TE BE'!$R$52</f>
        <v>-30.739560524432953</v>
      </c>
      <c r="S19" s="68">
        <f>SUM($R$19:$R$19)</f>
        <v>-30.739560524432953</v>
      </c>
      <c r="T19" s="68">
        <f>'TE BE'!$T$19*'TE BE'!$T$52</f>
        <v>-0.42733105334292093</v>
      </c>
      <c r="U19" s="68">
        <f>'TE BE'!$U$19*'TE BE'!$U$52</f>
        <v>-3.154913540486641E-2</v>
      </c>
      <c r="V19" s="68">
        <f>'TE BE'!$V$19*'TE BE'!$V$52</f>
        <v>0</v>
      </c>
      <c r="W19" s="68">
        <f>SUM($T$19:$V$19)</f>
        <v>-0.45888018874778735</v>
      </c>
      <c r="X19" s="68">
        <f>'TE BE'!$AB$19*'TE BE'!$X$52</f>
        <v>-30.527386636715711</v>
      </c>
      <c r="Y19" s="68">
        <f>SUM($X$19:$X$19)</f>
        <v>-30.527386636715711</v>
      </c>
      <c r="Z19" s="68">
        <f>'TE BE'!$Z$19*'TE BE'!$Z$52</f>
        <v>-0.30040188164310694</v>
      </c>
      <c r="AA19" s="68">
        <f>SUM($Z$19:$Z$19)</f>
        <v>-0.30040188164310694</v>
      </c>
      <c r="AB19" s="68">
        <f ca="1">SUMIF($L$4:$AA$4,"SUBTOTAL",$L$19:$AA$19)+AL19</f>
        <v>-69.343860849798105</v>
      </c>
      <c r="AC19" s="9" t="str">
        <f t="shared" si="0"/>
        <v>B1</v>
      </c>
      <c r="AD19" s="9" t="str">
        <f t="shared" si="1"/>
        <v>Energia convencional pré-pagamento</v>
      </c>
      <c r="AE19" s="9" t="str">
        <f t="shared" si="2"/>
        <v>Residencial</v>
      </c>
      <c r="AF19" s="9" t="str">
        <f t="shared" si="3"/>
        <v>Residencial</v>
      </c>
      <c r="AG19" s="9" t="str">
        <f t="shared" si="4"/>
        <v>Não se aplica</v>
      </c>
      <c r="AH19" s="9">
        <v>1</v>
      </c>
      <c r="AI19" s="9">
        <f ca="1">TarifaMedia!$G$20</f>
        <v>0</v>
      </c>
      <c r="AJ19" s="15">
        <f>'TE BE'!$AB19+'TE BF'!$AB19+'TE CVA'!$AB19</f>
        <v>205.52329867469447</v>
      </c>
      <c r="AK19" s="9">
        <v>261.62</v>
      </c>
      <c r="AL19" s="9">
        <f t="shared" ca="1" si="5"/>
        <v>0</v>
      </c>
      <c r="AO19" s="53" t="s">
        <v>1304</v>
      </c>
    </row>
    <row r="20" spans="1:41" ht="11.25" customHeight="1" x14ac:dyDescent="0.3">
      <c r="A20" s="143"/>
      <c r="B20" s="143"/>
      <c r="C20" s="143"/>
      <c r="D20" s="70" t="s">
        <v>29</v>
      </c>
      <c r="E20" s="70" t="s">
        <v>25</v>
      </c>
      <c r="F20" s="70" t="s">
        <v>25</v>
      </c>
      <c r="G20" s="71" t="s">
        <v>81</v>
      </c>
      <c r="H20" s="71" t="s">
        <v>76</v>
      </c>
      <c r="I20" s="71">
        <f>'MERCADO TE'!$U$17</f>
        <v>0</v>
      </c>
      <c r="J20" s="15"/>
      <c r="L20" s="68">
        <f>'TE BE'!$L$20*'TE BE'!$L$52</f>
        <v>-1.8029780823116748E-5</v>
      </c>
      <c r="M20" s="68">
        <f>'TE BE'!$M$20*'TE BE'!$M$52</f>
        <v>-6.7693775455836445</v>
      </c>
      <c r="N20" s="68">
        <f>'TE BE'!$N$20*'TE BE'!$N$52</f>
        <v>0</v>
      </c>
      <c r="O20" s="68">
        <f>'TE BE'!$O$20*'TE BE'!$O$52</f>
        <v>-0.54823604289407346</v>
      </c>
      <c r="P20" s="68">
        <f>'TE BE'!$P$20*'TE BE'!$P$52</f>
        <v>0</v>
      </c>
      <c r="Q20" s="68">
        <f>SUM($L$20:$P$20)</f>
        <v>-7.3176316182585408</v>
      </c>
      <c r="R20" s="68">
        <f>'TE BE'!$R$20*'TE BE'!$R$52</f>
        <v>-30.739560524432953</v>
      </c>
      <c r="S20" s="68">
        <f>SUM($R$20:$R$20)</f>
        <v>-30.739560524432953</v>
      </c>
      <c r="T20" s="68">
        <f>'TE BE'!$T$20*'TE BE'!$T$52</f>
        <v>-0.42733105334292093</v>
      </c>
      <c r="U20" s="68">
        <f>'TE BE'!$U$20*'TE BE'!$U$52</f>
        <v>-3.154913540486641E-2</v>
      </c>
      <c r="V20" s="68">
        <f>'TE BE'!$V$20*'TE BE'!$V$52</f>
        <v>0</v>
      </c>
      <c r="W20" s="68">
        <f>SUM($T$20:$V$20)</f>
        <v>-0.45888018874778735</v>
      </c>
      <c r="X20" s="68">
        <f>'TE BE'!$AB$20*'TE BE'!$X$52</f>
        <v>-30.527386636715711</v>
      </c>
      <c r="Y20" s="68">
        <f>SUM($X$20:$X$20)</f>
        <v>-30.527386636715711</v>
      </c>
      <c r="Z20" s="68">
        <f>'TE BE'!$Z$20*'TE BE'!$Z$52</f>
        <v>-0.30040188164310694</v>
      </c>
      <c r="AA20" s="68">
        <f>SUM($Z$20:$Z$20)</f>
        <v>-0.30040188164310694</v>
      </c>
      <c r="AB20" s="68">
        <f ca="1">SUMIF($L$4:$AA$4,"SUBTOTAL",$L$20:$AA$20)+AL20</f>
        <v>-69.343860849798105</v>
      </c>
      <c r="AC20" s="9" t="str">
        <f t="shared" si="0"/>
        <v>B1</v>
      </c>
      <c r="AD20" s="9" t="str">
        <f t="shared" si="1"/>
        <v>Energia convencional pré-pagamento</v>
      </c>
      <c r="AE20" s="9" t="str">
        <f t="shared" si="2"/>
        <v>Residencial</v>
      </c>
      <c r="AF20" s="9" t="str">
        <f t="shared" si="3"/>
        <v>Residencial baixa renda – faixa 01</v>
      </c>
      <c r="AG20" s="9" t="str">
        <f t="shared" si="4"/>
        <v>Não se aplica</v>
      </c>
      <c r="AH20" s="9">
        <v>1</v>
      </c>
      <c r="AI20" s="9">
        <f ca="1">TarifaMedia!$G$20</f>
        <v>0</v>
      </c>
      <c r="AJ20" s="15">
        <f>'TE BE'!$AB20+'TE BF'!$AB20+'TE CVA'!$AB20</f>
        <v>205.52329867469447</v>
      </c>
      <c r="AK20" s="9">
        <v>261.62</v>
      </c>
      <c r="AL20" s="9">
        <f t="shared" ca="1" si="5"/>
        <v>0</v>
      </c>
      <c r="AO20" s="53" t="s">
        <v>1305</v>
      </c>
    </row>
    <row r="21" spans="1:41" ht="11.25" customHeight="1" x14ac:dyDescent="0.3">
      <c r="A21" s="143"/>
      <c r="B21" s="143"/>
      <c r="C21" s="143"/>
      <c r="D21" s="70" t="s">
        <v>30</v>
      </c>
      <c r="E21" s="70" t="s">
        <v>25</v>
      </c>
      <c r="F21" s="70" t="s">
        <v>25</v>
      </c>
      <c r="G21" s="71" t="s">
        <v>81</v>
      </c>
      <c r="H21" s="71" t="s">
        <v>76</v>
      </c>
      <c r="I21" s="71">
        <f>'MERCADO TE'!$U$18</f>
        <v>0</v>
      </c>
      <c r="J21" s="15"/>
      <c r="L21" s="68">
        <f>'TE BE'!$L$21*'TE BE'!$L$52</f>
        <v>-1.8029780823116748E-5</v>
      </c>
      <c r="M21" s="68">
        <f>'TE BE'!$M$21*'TE BE'!$M$52</f>
        <v>-6.7693775455836445</v>
      </c>
      <c r="N21" s="68">
        <f>'TE BE'!$N$21*'TE BE'!$N$52</f>
        <v>0</v>
      </c>
      <c r="O21" s="68">
        <f>'TE BE'!$O$21*'TE BE'!$O$52</f>
        <v>-0.54823604289407346</v>
      </c>
      <c r="P21" s="68">
        <f>'TE BE'!$P$21*'TE BE'!$P$52</f>
        <v>0</v>
      </c>
      <c r="Q21" s="68">
        <f>SUM($L$21:$P$21)</f>
        <v>-7.3176316182585408</v>
      </c>
      <c r="R21" s="68">
        <f>'TE BE'!$R$21*'TE BE'!$R$52</f>
        <v>-30.739560524432953</v>
      </c>
      <c r="S21" s="68">
        <f>SUM($R$21:$R$21)</f>
        <v>-30.739560524432953</v>
      </c>
      <c r="T21" s="68">
        <f>'TE BE'!$T$21*'TE BE'!$T$52</f>
        <v>-0.42733105334292093</v>
      </c>
      <c r="U21" s="68">
        <f>'TE BE'!$U$21*'TE BE'!$U$52</f>
        <v>-3.154913540486641E-2</v>
      </c>
      <c r="V21" s="68">
        <f>'TE BE'!$V$21*'TE BE'!$V$52</f>
        <v>0</v>
      </c>
      <c r="W21" s="68">
        <f>SUM($T$21:$V$21)</f>
        <v>-0.45888018874778735</v>
      </c>
      <c r="X21" s="68">
        <f>'TE BE'!$AB$21*'TE BE'!$X$52</f>
        <v>-30.527386636715711</v>
      </c>
      <c r="Y21" s="68">
        <f>SUM($X$21:$X$21)</f>
        <v>-30.527386636715711</v>
      </c>
      <c r="Z21" s="68">
        <f>'TE BE'!$Z$21*'TE BE'!$Z$52</f>
        <v>-0.30040188164310694</v>
      </c>
      <c r="AA21" s="68">
        <f>SUM($Z$21:$Z$21)</f>
        <v>-0.30040188164310694</v>
      </c>
      <c r="AB21" s="68">
        <f ca="1">SUMIF($L$4:$AA$4,"SUBTOTAL",$L$21:$AA$21)+AL21</f>
        <v>-69.343860849798105</v>
      </c>
      <c r="AC21" s="9" t="str">
        <f t="shared" si="0"/>
        <v>B1</v>
      </c>
      <c r="AD21" s="9" t="str">
        <f t="shared" si="1"/>
        <v>Energia convencional pré-pagamento</v>
      </c>
      <c r="AE21" s="9" t="str">
        <f t="shared" si="2"/>
        <v>Residencial</v>
      </c>
      <c r="AF21" s="9" t="str">
        <f t="shared" si="3"/>
        <v>Residencial baixa renda – faixa 02</v>
      </c>
      <c r="AG21" s="9" t="str">
        <f t="shared" si="4"/>
        <v>Não se aplica</v>
      </c>
      <c r="AH21" s="9">
        <v>1</v>
      </c>
      <c r="AI21" s="9">
        <f ca="1">TarifaMedia!$G$20</f>
        <v>0</v>
      </c>
      <c r="AJ21" s="15">
        <f>'TE BE'!$AB21+'TE BF'!$AB21+'TE CVA'!$AB21</f>
        <v>205.52329867469447</v>
      </c>
      <c r="AK21" s="9">
        <v>261.62</v>
      </c>
      <c r="AL21" s="9">
        <f t="shared" ca="1" si="5"/>
        <v>0</v>
      </c>
      <c r="AO21" s="53" t="s">
        <v>1305</v>
      </c>
    </row>
    <row r="22" spans="1:41" ht="11.25" customHeight="1" x14ac:dyDescent="0.3">
      <c r="A22" s="143"/>
      <c r="B22" s="143"/>
      <c r="C22" s="143"/>
      <c r="D22" s="70" t="s">
        <v>31</v>
      </c>
      <c r="E22" s="70" t="s">
        <v>25</v>
      </c>
      <c r="F22" s="70" t="s">
        <v>25</v>
      </c>
      <c r="G22" s="71" t="s">
        <v>81</v>
      </c>
      <c r="H22" s="71" t="s">
        <v>76</v>
      </c>
      <c r="I22" s="71">
        <f>'MERCADO TE'!$U$19</f>
        <v>0</v>
      </c>
      <c r="J22" s="15"/>
      <c r="L22" s="68">
        <f>'TE BE'!$L$22*'TE BE'!$L$52</f>
        <v>-1.8029780823116748E-5</v>
      </c>
      <c r="M22" s="68">
        <f>'TE BE'!$M$22*'TE BE'!$M$52</f>
        <v>-6.7693775455836445</v>
      </c>
      <c r="N22" s="68">
        <f>'TE BE'!$N$22*'TE BE'!$N$52</f>
        <v>0</v>
      </c>
      <c r="O22" s="68">
        <f>'TE BE'!$O$22*'TE BE'!$O$52</f>
        <v>-0.54823604289407346</v>
      </c>
      <c r="P22" s="68">
        <f>'TE BE'!$P$22*'TE BE'!$P$52</f>
        <v>0</v>
      </c>
      <c r="Q22" s="68">
        <f>SUM($L$22:$P$22)</f>
        <v>-7.3176316182585408</v>
      </c>
      <c r="R22" s="68">
        <f>'TE BE'!$R$22*'TE BE'!$R$52</f>
        <v>-30.739560524432953</v>
      </c>
      <c r="S22" s="68">
        <f>SUM($R$22:$R$22)</f>
        <v>-30.739560524432953</v>
      </c>
      <c r="T22" s="68">
        <f>'TE BE'!$T$22*'TE BE'!$T$52</f>
        <v>-0.42733105334292093</v>
      </c>
      <c r="U22" s="68">
        <f>'TE BE'!$U$22*'TE BE'!$U$52</f>
        <v>-3.154913540486641E-2</v>
      </c>
      <c r="V22" s="68">
        <f>'TE BE'!$V$22*'TE BE'!$V$52</f>
        <v>0</v>
      </c>
      <c r="W22" s="68">
        <f>SUM($T$22:$V$22)</f>
        <v>-0.45888018874778735</v>
      </c>
      <c r="X22" s="68">
        <f>'TE BE'!$AB$22*'TE BE'!$X$52</f>
        <v>-30.527386636715711</v>
      </c>
      <c r="Y22" s="68">
        <f>SUM($X$22:$X$22)</f>
        <v>-30.527386636715711</v>
      </c>
      <c r="Z22" s="68">
        <f>'TE BE'!$Z$22*'TE BE'!$Z$52</f>
        <v>-0.30040188164310694</v>
      </c>
      <c r="AA22" s="68">
        <f>SUM($Z$22:$Z$22)</f>
        <v>-0.30040188164310694</v>
      </c>
      <c r="AB22" s="68">
        <f ca="1">SUMIF($L$4:$AA$4,"SUBTOTAL",$L$22:$AA$22)+AL22</f>
        <v>-69.343860849798105</v>
      </c>
      <c r="AC22" s="9" t="str">
        <f t="shared" si="0"/>
        <v>B1</v>
      </c>
      <c r="AD22" s="9" t="str">
        <f t="shared" si="1"/>
        <v>Energia convencional pré-pagamento</v>
      </c>
      <c r="AE22" s="9" t="str">
        <f t="shared" si="2"/>
        <v>Residencial</v>
      </c>
      <c r="AF22" s="9" t="str">
        <f t="shared" si="3"/>
        <v>Residencial baixa renda – faixa 03</v>
      </c>
      <c r="AG22" s="9" t="str">
        <f t="shared" si="4"/>
        <v>Não se aplica</v>
      </c>
      <c r="AH22" s="9">
        <v>1</v>
      </c>
      <c r="AI22" s="9">
        <f ca="1">TarifaMedia!$G$20</f>
        <v>0</v>
      </c>
      <c r="AJ22" s="15">
        <f>'TE BE'!$AB22+'TE BF'!$AB22+'TE CVA'!$AB22</f>
        <v>205.52329867469447</v>
      </c>
      <c r="AK22" s="9">
        <v>261.62</v>
      </c>
      <c r="AL22" s="9">
        <f t="shared" ca="1" si="5"/>
        <v>0</v>
      </c>
      <c r="AO22" s="53" t="s">
        <v>1305</v>
      </c>
    </row>
    <row r="23" spans="1:41" ht="11.25" customHeight="1" x14ac:dyDescent="0.3">
      <c r="A23" s="143"/>
      <c r="B23" s="143"/>
      <c r="C23" s="143"/>
      <c r="D23" s="70" t="s">
        <v>32</v>
      </c>
      <c r="E23" s="70" t="s">
        <v>25</v>
      </c>
      <c r="F23" s="70" t="s">
        <v>25</v>
      </c>
      <c r="G23" s="71" t="s">
        <v>81</v>
      </c>
      <c r="H23" s="71" t="s">
        <v>76</v>
      </c>
      <c r="I23" s="71">
        <f>'MERCADO TE'!$U$20</f>
        <v>0</v>
      </c>
      <c r="J23" s="15"/>
      <c r="L23" s="68">
        <f>'TE BE'!$L$23*'TE BE'!$L$52</f>
        <v>-1.8029780823116748E-5</v>
      </c>
      <c r="M23" s="68">
        <f>'TE BE'!$M$23*'TE BE'!$M$52</f>
        <v>-6.7693775455836445</v>
      </c>
      <c r="N23" s="68">
        <f>'TE BE'!$N$23*'TE BE'!$N$52</f>
        <v>0</v>
      </c>
      <c r="O23" s="68">
        <f>'TE BE'!$O$23*'TE BE'!$O$52</f>
        <v>-0.54823604289407346</v>
      </c>
      <c r="P23" s="68">
        <f>'TE BE'!$P$23*'TE BE'!$P$52</f>
        <v>0</v>
      </c>
      <c r="Q23" s="68">
        <f>SUM($L$23:$P$23)</f>
        <v>-7.3176316182585408</v>
      </c>
      <c r="R23" s="68">
        <f>'TE BE'!$R$23*'TE BE'!$R$52</f>
        <v>-30.739560524432953</v>
      </c>
      <c r="S23" s="68">
        <f>SUM($R$23:$R$23)</f>
        <v>-30.739560524432953</v>
      </c>
      <c r="T23" s="68">
        <f>'TE BE'!$T$23*'TE BE'!$T$52</f>
        <v>-0.42733105334292093</v>
      </c>
      <c r="U23" s="68">
        <f>'TE BE'!$U$23*'TE BE'!$U$52</f>
        <v>-3.154913540486641E-2</v>
      </c>
      <c r="V23" s="68">
        <f>'TE BE'!$V$23*'TE BE'!$V$52</f>
        <v>0</v>
      </c>
      <c r="W23" s="68">
        <f>SUM($T$23:$V$23)</f>
        <v>-0.45888018874778735</v>
      </c>
      <c r="X23" s="68">
        <f>'TE BE'!$AB$23*'TE BE'!$X$52</f>
        <v>-30.527386636715711</v>
      </c>
      <c r="Y23" s="68">
        <f>SUM($X$23:$X$23)</f>
        <v>-30.527386636715711</v>
      </c>
      <c r="Z23" s="68">
        <f>'TE BE'!$Z$23*'TE BE'!$Z$52</f>
        <v>-0.30040188164310694</v>
      </c>
      <c r="AA23" s="68">
        <f>SUM($Z$23:$Z$23)</f>
        <v>-0.30040188164310694</v>
      </c>
      <c r="AB23" s="68">
        <f ca="1">SUMIF($L$4:$AA$4,"SUBTOTAL",$L$23:$AA$23)+AL23</f>
        <v>-69.343860849798105</v>
      </c>
      <c r="AC23" s="9" t="str">
        <f t="shared" si="0"/>
        <v>B1</v>
      </c>
      <c r="AD23" s="9" t="str">
        <f t="shared" si="1"/>
        <v>Energia convencional pré-pagamento</v>
      </c>
      <c r="AE23" s="9" t="str">
        <f t="shared" si="2"/>
        <v>Residencial</v>
      </c>
      <c r="AF23" s="9" t="str">
        <f t="shared" si="3"/>
        <v>Residencial baixa renda – faixa 04</v>
      </c>
      <c r="AG23" s="9" t="str">
        <f t="shared" si="4"/>
        <v>Não se aplica</v>
      </c>
      <c r="AH23" s="9">
        <v>1</v>
      </c>
      <c r="AI23" s="9">
        <f ca="1">TarifaMedia!$G$20</f>
        <v>0</v>
      </c>
      <c r="AJ23" s="15">
        <f>'TE BE'!$AB23+'TE BF'!$AB23+'TE CVA'!$AB23</f>
        <v>205.52329867469447</v>
      </c>
      <c r="AK23" s="9">
        <v>261.62</v>
      </c>
      <c r="AL23" s="9">
        <f t="shared" ca="1" si="5"/>
        <v>0</v>
      </c>
      <c r="AO23" s="53" t="s">
        <v>1305</v>
      </c>
    </row>
    <row r="24" spans="1:41" ht="11.25" customHeight="1" x14ac:dyDescent="0.3">
      <c r="A24" s="143" t="s">
        <v>42</v>
      </c>
      <c r="B24" s="143" t="s">
        <v>75</v>
      </c>
      <c r="C24" s="143" t="s">
        <v>43</v>
      </c>
      <c r="D24" s="143" t="s">
        <v>25</v>
      </c>
      <c r="E24" s="143" t="s">
        <v>25</v>
      </c>
      <c r="F24" s="143" t="s">
        <v>25</v>
      </c>
      <c r="G24" s="71" t="s">
        <v>77</v>
      </c>
      <c r="H24" s="71" t="s">
        <v>76</v>
      </c>
      <c r="I24" s="71">
        <f>'MERCADO TE'!$U$21</f>
        <v>0.36099999999999999</v>
      </c>
      <c r="J24" s="15"/>
      <c r="L24" s="68">
        <f>'TE BE'!$L$24*'TE BE'!$L$52</f>
        <v>-1.8029780823116748E-5</v>
      </c>
      <c r="M24" s="68">
        <f>'TE BE'!$M$24*'TE BE'!$M$52</f>
        <v>-6.7693775455836445</v>
      </c>
      <c r="N24" s="68">
        <f>'TE BE'!$N$24*'TE BE'!$N$52</f>
        <v>0</v>
      </c>
      <c r="O24" s="68">
        <f>'TE BE'!$O$24*'TE BE'!$O$52</f>
        <v>-0.54823604289407346</v>
      </c>
      <c r="P24" s="68">
        <f>'TE BE'!$P$24*'TE BE'!$P$52</f>
        <v>0</v>
      </c>
      <c r="Q24" s="68">
        <f>SUM($L$24:$P$24)</f>
        <v>-7.3176316182585408</v>
      </c>
      <c r="R24" s="68">
        <f>'TE BE'!$R$24*'TE BE'!$R$52</f>
        <v>-49.879286888702524</v>
      </c>
      <c r="S24" s="68">
        <f>SUM($R$24:$R$24)</f>
        <v>-49.879286888702524</v>
      </c>
      <c r="T24" s="68">
        <f>'TE BE'!$T$24*'TE BE'!$T$52</f>
        <v>-0.42733105334292093</v>
      </c>
      <c r="U24" s="68">
        <f>'TE BE'!$U$24*'TE BE'!$U$52</f>
        <v>-3.154913540486641E-2</v>
      </c>
      <c r="V24" s="68">
        <f>'TE BE'!$V$24*'TE BE'!$V$52</f>
        <v>0</v>
      </c>
      <c r="W24" s="68">
        <f>SUM($T$24:$V$24)</f>
        <v>-0.45888018874778735</v>
      </c>
      <c r="X24" s="68">
        <f>'TE BE'!$AB$24*'TE BE'!$X$52</f>
        <v>-46.950777141991558</v>
      </c>
      <c r="Y24" s="68">
        <f>SUM($X$24:$X$24)</f>
        <v>-46.950777141991558</v>
      </c>
      <c r="Z24" s="68">
        <f>'TE BE'!$Z$24*'TE BE'!$Z$52</f>
        <v>-0.30040188164310694</v>
      </c>
      <c r="AA24" s="68">
        <f>SUM($Z$24:$Z$24)</f>
        <v>-0.30040188164310694</v>
      </c>
      <c r="AB24" s="68">
        <f ca="1">SUMIF($L$4:$AA$4,"SUBTOTAL",$L$24:$AA$24)+AL24</f>
        <v>-104.90697771934352</v>
      </c>
      <c r="AC24" s="9" t="str">
        <f t="shared" si="0"/>
        <v>B2</v>
      </c>
      <c r="AD24" s="9" t="str">
        <f t="shared" si="1"/>
        <v>Energia horária</v>
      </c>
      <c r="AE24" s="9" t="str">
        <f t="shared" si="2"/>
        <v>Rural</v>
      </c>
      <c r="AF24" s="9" t="str">
        <f t="shared" si="3"/>
        <v>Não se aplica</v>
      </c>
      <c r="AG24" s="9" t="str">
        <f t="shared" si="4"/>
        <v>Não se aplica</v>
      </c>
      <c r="AH24" s="9">
        <v>1</v>
      </c>
      <c r="AI24" s="9">
        <f ca="1">TarifaMedia!$G$20</f>
        <v>0</v>
      </c>
      <c r="AJ24" s="15">
        <f>'TE BE'!$AB24+'TE BF'!$AB24+'TE CVA'!$AB24</f>
        <v>311.4117891483653</v>
      </c>
      <c r="AK24" s="9">
        <f>ROUND(370.01/(1-CUSTOS!$M$38),2)</f>
        <v>393.63</v>
      </c>
      <c r="AL24" s="9">
        <f t="shared" ca="1" si="5"/>
        <v>0</v>
      </c>
      <c r="AO24" s="53" t="s">
        <v>1306</v>
      </c>
    </row>
    <row r="25" spans="1:41" ht="11.25" customHeight="1" x14ac:dyDescent="0.3">
      <c r="A25" s="143"/>
      <c r="B25" s="143"/>
      <c r="C25" s="143"/>
      <c r="D25" s="143"/>
      <c r="E25" s="143"/>
      <c r="F25" s="143"/>
      <c r="G25" s="71" t="s">
        <v>93</v>
      </c>
      <c r="H25" s="71" t="s">
        <v>76</v>
      </c>
      <c r="I25" s="71">
        <f>'MERCADO TE'!$U$22</f>
        <v>0.21399999999999994</v>
      </c>
      <c r="J25" s="15"/>
      <c r="L25" s="68">
        <f>'TE BE'!$L$25*'TE BE'!$L$52</f>
        <v>-1.8029780823116748E-5</v>
      </c>
      <c r="M25" s="68">
        <f>'TE BE'!$M$25*'TE BE'!$M$52</f>
        <v>-6.7693775455836445</v>
      </c>
      <c r="N25" s="68">
        <f>'TE BE'!$N$25*'TE BE'!$N$52</f>
        <v>0</v>
      </c>
      <c r="O25" s="68">
        <f>'TE BE'!$O$25*'TE BE'!$O$52</f>
        <v>-0.54823604289407346</v>
      </c>
      <c r="P25" s="68">
        <f>'TE BE'!$P$25*'TE BE'!$P$52</f>
        <v>0</v>
      </c>
      <c r="Q25" s="68">
        <f>SUM($L$25:$P$25)</f>
        <v>-7.3176316182585408</v>
      </c>
      <c r="R25" s="68">
        <f>'TE BE'!$R$25*'TE BE'!$R$52</f>
        <v>-28.999585400408446</v>
      </c>
      <c r="S25" s="68">
        <f>SUM($R$25:$R$25)</f>
        <v>-28.999585400408446</v>
      </c>
      <c r="T25" s="68">
        <f>'TE BE'!$T$25*'TE BE'!$T$52</f>
        <v>-0.42733105334292093</v>
      </c>
      <c r="U25" s="68">
        <f>'TE BE'!$U$25*'TE BE'!$U$52</f>
        <v>-3.154913540486641E-2</v>
      </c>
      <c r="V25" s="68">
        <f>'TE BE'!$V$25*'TE BE'!$V$52</f>
        <v>0</v>
      </c>
      <c r="W25" s="68">
        <f>SUM($T$25:$V$25)</f>
        <v>-0.45888018874778735</v>
      </c>
      <c r="X25" s="68">
        <f>'TE BE'!$AB$25*'TE BE'!$X$52</f>
        <v>-29.03435113623609</v>
      </c>
      <c r="Y25" s="68">
        <f>SUM($X$25:$X$25)</f>
        <v>-29.03435113623609</v>
      </c>
      <c r="Z25" s="68">
        <f>'TE BE'!$Z$25*'TE BE'!$Z$52</f>
        <v>-0.30040188164310694</v>
      </c>
      <c r="AA25" s="68">
        <f>SUM($Z$25:$Z$25)</f>
        <v>-0.30040188164310694</v>
      </c>
      <c r="AB25" s="68">
        <f ca="1">SUMIF($L$4:$AA$4,"SUBTOTAL",$L$25:$AA$25)+AL25</f>
        <v>-66.110850225293973</v>
      </c>
      <c r="AC25" s="9" t="str">
        <f t="shared" si="0"/>
        <v>B2</v>
      </c>
      <c r="AD25" s="9" t="str">
        <f t="shared" si="1"/>
        <v>Energia horária</v>
      </c>
      <c r="AE25" s="9" t="str">
        <f t="shared" si="2"/>
        <v>Rural</v>
      </c>
      <c r="AF25" s="9" t="str">
        <f t="shared" si="3"/>
        <v>Não se aplica</v>
      </c>
      <c r="AG25" s="9" t="str">
        <f t="shared" si="4"/>
        <v>Não se aplica</v>
      </c>
      <c r="AH25" s="9">
        <v>1</v>
      </c>
      <c r="AI25" s="9">
        <f ca="1">TarifaMedia!$G$20</f>
        <v>0</v>
      </c>
      <c r="AJ25" s="15">
        <f>'TE BE'!$AB25+'TE BF'!$AB25+'TE CVA'!$AB25</f>
        <v>195.89707226799715</v>
      </c>
      <c r="AK25" s="9">
        <f>ROUND(234.64/(1-CUSTOS!$M$38),2)</f>
        <v>249.62</v>
      </c>
      <c r="AL25" s="9">
        <f t="shared" ca="1" si="5"/>
        <v>0</v>
      </c>
      <c r="AO25" s="53" t="s">
        <v>1307</v>
      </c>
    </row>
    <row r="26" spans="1:41" ht="11.25" customHeight="1" x14ac:dyDescent="0.3">
      <c r="A26" s="143"/>
      <c r="B26" s="143"/>
      <c r="C26" s="143"/>
      <c r="D26" s="143"/>
      <c r="E26" s="143"/>
      <c r="F26" s="143"/>
      <c r="G26" s="71" t="s">
        <v>78</v>
      </c>
      <c r="H26" s="71" t="s">
        <v>76</v>
      </c>
      <c r="I26" s="71">
        <f>'MERCADO TE'!$U$23</f>
        <v>2.4970000000000008</v>
      </c>
      <c r="J26" s="15"/>
      <c r="L26" s="68">
        <f>'TE BE'!$L$26*'TE BE'!$L$52</f>
        <v>-1.8029780823116748E-5</v>
      </c>
      <c r="M26" s="68">
        <f>'TE BE'!$M$26*'TE BE'!$M$52</f>
        <v>-6.7693775455836445</v>
      </c>
      <c r="N26" s="68">
        <f>'TE BE'!$N$26*'TE BE'!$N$52</f>
        <v>0</v>
      </c>
      <c r="O26" s="68">
        <f>'TE BE'!$O$26*'TE BE'!$O$52</f>
        <v>-0.54823604289407346</v>
      </c>
      <c r="P26" s="68">
        <f>'TE BE'!$P$26*'TE BE'!$P$52</f>
        <v>0</v>
      </c>
      <c r="Q26" s="68">
        <f>SUM($L$26:$P$26)</f>
        <v>-7.3176316182585408</v>
      </c>
      <c r="R26" s="68">
        <f>'TE BE'!$R$26*'TE BE'!$R$52</f>
        <v>-28.999585400408446</v>
      </c>
      <c r="S26" s="68">
        <f>SUM($R$26:$R$26)</f>
        <v>-28.999585400408446</v>
      </c>
      <c r="T26" s="68">
        <f>'TE BE'!$T$26*'TE BE'!$T$52</f>
        <v>-0.42733105334292093</v>
      </c>
      <c r="U26" s="68">
        <f>'TE BE'!$U$26*'TE BE'!$U$52</f>
        <v>-3.154913540486641E-2</v>
      </c>
      <c r="V26" s="68">
        <f>'TE BE'!$V$26*'TE BE'!$V$52</f>
        <v>0</v>
      </c>
      <c r="W26" s="68">
        <f>SUM($T$26:$V$26)</f>
        <v>-0.45888018874778735</v>
      </c>
      <c r="X26" s="68">
        <f>'TE BE'!$AB$26*'TE BE'!$X$52</f>
        <v>-29.03435113623609</v>
      </c>
      <c r="Y26" s="68">
        <f>SUM($X$26:$X$26)</f>
        <v>-29.03435113623609</v>
      </c>
      <c r="Z26" s="68">
        <f>'TE BE'!$Z$26*'TE BE'!$Z$52</f>
        <v>-0.30040188164310694</v>
      </c>
      <c r="AA26" s="68">
        <f>SUM($Z$26:$Z$26)</f>
        <v>-0.30040188164310694</v>
      </c>
      <c r="AB26" s="68">
        <f ca="1">SUMIF($L$4:$AA$4,"SUBTOTAL",$L$26:$AA$26)+AL26</f>
        <v>-66.110850225293973</v>
      </c>
      <c r="AC26" s="9" t="str">
        <f t="shared" si="0"/>
        <v>B2</v>
      </c>
      <c r="AD26" s="9" t="str">
        <f t="shared" si="1"/>
        <v>Energia horária</v>
      </c>
      <c r="AE26" s="9" t="str">
        <f t="shared" si="2"/>
        <v>Rural</v>
      </c>
      <c r="AF26" s="9" t="str">
        <f t="shared" si="3"/>
        <v>Não se aplica</v>
      </c>
      <c r="AG26" s="9" t="str">
        <f t="shared" si="4"/>
        <v>Não se aplica</v>
      </c>
      <c r="AH26" s="9">
        <v>1</v>
      </c>
      <c r="AI26" s="9">
        <f ca="1">TarifaMedia!$G$20</f>
        <v>0</v>
      </c>
      <c r="AJ26" s="15">
        <f>'TE BE'!$AB26+'TE BF'!$AB26+'TE CVA'!$AB26</f>
        <v>195.89707226799715</v>
      </c>
      <c r="AK26" s="9">
        <f>ROUND(234.64/(1-CUSTOS!$M$38),2)</f>
        <v>249.62</v>
      </c>
      <c r="AL26" s="9">
        <f t="shared" ca="1" si="5"/>
        <v>0</v>
      </c>
      <c r="AO26" s="53" t="s">
        <v>1308</v>
      </c>
    </row>
    <row r="27" spans="1:41" ht="11.25" customHeight="1" x14ac:dyDescent="0.3">
      <c r="A27" s="143"/>
      <c r="B27" s="70" t="s">
        <v>82</v>
      </c>
      <c r="C27" s="70" t="s">
        <v>43</v>
      </c>
      <c r="D27" s="70" t="s">
        <v>25</v>
      </c>
      <c r="E27" s="70" t="s">
        <v>25</v>
      </c>
      <c r="F27" s="70" t="s">
        <v>25</v>
      </c>
      <c r="G27" s="71" t="s">
        <v>81</v>
      </c>
      <c r="H27" s="71" t="s">
        <v>76</v>
      </c>
      <c r="I27" s="71">
        <f>'MERCADO TE'!$U$24</f>
        <v>18691.718999999997</v>
      </c>
      <c r="J27" s="15"/>
      <c r="L27" s="68">
        <f>'TE BE'!$L$27*'TE BE'!$L$52</f>
        <v>-1.8029780823116748E-5</v>
      </c>
      <c r="M27" s="68">
        <f>'TE BE'!$M$27*'TE BE'!$M$52</f>
        <v>-6.7693775455836445</v>
      </c>
      <c r="N27" s="68">
        <f>'TE BE'!$N$27*'TE BE'!$N$52</f>
        <v>0</v>
      </c>
      <c r="O27" s="68">
        <f>'TE BE'!$O$27*'TE BE'!$O$52</f>
        <v>-0.54823604289407346</v>
      </c>
      <c r="P27" s="68">
        <f>'TE BE'!$P$27*'TE BE'!$P$52</f>
        <v>0</v>
      </c>
      <c r="Q27" s="68">
        <f>SUM($L$27:$P$27)</f>
        <v>-7.3176316182585408</v>
      </c>
      <c r="R27" s="68">
        <f>'TE BE'!$R$27*'TE BE'!$R$52</f>
        <v>-30.739560524432953</v>
      </c>
      <c r="S27" s="68">
        <f>SUM($R$27:$R$27)</f>
        <v>-30.739560524432953</v>
      </c>
      <c r="T27" s="68">
        <f>'TE BE'!$T$27*'TE BE'!$T$52</f>
        <v>-0.42733105334292093</v>
      </c>
      <c r="U27" s="68">
        <f>'TE BE'!$U$27*'TE BE'!$U$52</f>
        <v>-3.154913540486641E-2</v>
      </c>
      <c r="V27" s="68">
        <f>'TE BE'!$V$27*'TE BE'!$V$52</f>
        <v>0</v>
      </c>
      <c r="W27" s="68">
        <f>SUM($T$27:$V$27)</f>
        <v>-0.45888018874778735</v>
      </c>
      <c r="X27" s="68">
        <f>'TE BE'!$AB$27*'TE BE'!$X$52</f>
        <v>-30.527386636715711</v>
      </c>
      <c r="Y27" s="68">
        <f>SUM($X$27:$X$27)</f>
        <v>-30.527386636715711</v>
      </c>
      <c r="Z27" s="68">
        <f>'TE BE'!$Z$27*'TE BE'!$Z$52</f>
        <v>-0.30040188164310694</v>
      </c>
      <c r="AA27" s="68">
        <f>SUM($Z$27:$Z$27)</f>
        <v>-0.30040188164310694</v>
      </c>
      <c r="AB27" s="68">
        <f ca="1">SUMIF($L$4:$AA$4,"SUBTOTAL",$L$27:$AA$27)+AL27</f>
        <v>-69.343860849798105</v>
      </c>
      <c r="AC27" s="9" t="str">
        <f t="shared" si="0"/>
        <v>B2</v>
      </c>
      <c r="AD27" s="9" t="str">
        <f t="shared" si="1"/>
        <v>Energia convencional</v>
      </c>
      <c r="AE27" s="9" t="str">
        <f t="shared" si="2"/>
        <v>Rural</v>
      </c>
      <c r="AF27" s="9" t="str">
        <f t="shared" si="3"/>
        <v>Não se aplica</v>
      </c>
      <c r="AG27" s="9" t="str">
        <f t="shared" si="4"/>
        <v>Não se aplica</v>
      </c>
      <c r="AH27" s="9">
        <v>1</v>
      </c>
      <c r="AI27" s="9">
        <f ca="1">TarifaMedia!$G$20</f>
        <v>0</v>
      </c>
      <c r="AJ27" s="15">
        <f>'TE BE'!$AB27+'TE BF'!$AB27+'TE CVA'!$AB27</f>
        <v>205.52329867469447</v>
      </c>
      <c r="AK27" s="9">
        <v>261.62</v>
      </c>
      <c r="AL27" s="9">
        <f t="shared" ca="1" si="5"/>
        <v>0</v>
      </c>
      <c r="AO27" s="53" t="s">
        <v>1302</v>
      </c>
    </row>
    <row r="28" spans="1:41" ht="11.25" customHeight="1" x14ac:dyDescent="0.3">
      <c r="A28" s="143"/>
      <c r="B28" s="143" t="s">
        <v>75</v>
      </c>
      <c r="C28" s="143" t="s">
        <v>43</v>
      </c>
      <c r="D28" s="143" t="s">
        <v>96</v>
      </c>
      <c r="E28" s="143" t="s">
        <v>25</v>
      </c>
      <c r="F28" s="143" t="s">
        <v>25</v>
      </c>
      <c r="G28" s="71" t="s">
        <v>77</v>
      </c>
      <c r="H28" s="71" t="s">
        <v>76</v>
      </c>
      <c r="I28" s="71">
        <f>'MERCADO TE'!$U$25</f>
        <v>0</v>
      </c>
      <c r="J28" s="15"/>
      <c r="L28" s="68">
        <f>'TE BE'!$L$28*'TE BE'!$L$52</f>
        <v>-1.8029780823116748E-5</v>
      </c>
      <c r="M28" s="68">
        <f>'TE BE'!$M$28*'TE BE'!$M$52</f>
        <v>-6.7693775455836445</v>
      </c>
      <c r="N28" s="68">
        <f>'TE BE'!$N$28*'TE BE'!$N$52</f>
        <v>0</v>
      </c>
      <c r="O28" s="68">
        <f>'TE BE'!$O$28*'TE BE'!$O$52</f>
        <v>-0.54823604289407346</v>
      </c>
      <c r="P28" s="68">
        <f>'TE BE'!$P$28*'TE BE'!$P$52</f>
        <v>0</v>
      </c>
      <c r="Q28" s="68">
        <f>SUM($L$28:$P$28)</f>
        <v>-7.3176316182585408</v>
      </c>
      <c r="R28" s="68">
        <f>'TE BE'!$R$28*'TE BE'!$R$52</f>
        <v>-49.879286888702524</v>
      </c>
      <c r="S28" s="68">
        <f>SUM($R$28:$R$28)</f>
        <v>-49.879286888702524</v>
      </c>
      <c r="T28" s="68">
        <f>'TE BE'!$T$28*'TE BE'!$T$52</f>
        <v>-0.42733105334292093</v>
      </c>
      <c r="U28" s="68">
        <f>'TE BE'!$U$28*'TE BE'!$U$52</f>
        <v>-3.154913540486641E-2</v>
      </c>
      <c r="V28" s="68">
        <f>'TE BE'!$V$28*'TE BE'!$V$52</f>
        <v>0</v>
      </c>
      <c r="W28" s="68">
        <f>SUM($T$28:$V$28)</f>
        <v>-0.45888018874778735</v>
      </c>
      <c r="X28" s="68">
        <f>'TE BE'!$AB$28*'TE BE'!$X$52</f>
        <v>-46.950777141991558</v>
      </c>
      <c r="Y28" s="68">
        <f>SUM($X$28:$X$28)</f>
        <v>-46.950777141991558</v>
      </c>
      <c r="Z28" s="68">
        <f>'TE BE'!$Z$28*'TE BE'!$Z$52</f>
        <v>-0.30040188164310694</v>
      </c>
      <c r="AA28" s="68">
        <f>SUM($Z$28:$Z$28)</f>
        <v>-0.30040188164310694</v>
      </c>
      <c r="AB28" s="68">
        <f ca="1">SUMIF($L$4:$AA$4,"SUBTOTAL",$L$28:$AA$28)+AL28</f>
        <v>-104.90697771934352</v>
      </c>
      <c r="AC28" s="9" t="str">
        <f t="shared" si="0"/>
        <v>B2</v>
      </c>
      <c r="AD28" s="9" t="str">
        <f t="shared" si="1"/>
        <v>Energia horária</v>
      </c>
      <c r="AE28" s="9" t="str">
        <f t="shared" si="2"/>
        <v>Rural</v>
      </c>
      <c r="AF28" s="9" t="str">
        <f t="shared" si="3"/>
        <v>Cooperativa de eletrificação rural</v>
      </c>
      <c r="AG28" s="9" t="str">
        <f t="shared" si="4"/>
        <v>Não se aplica</v>
      </c>
      <c r="AH28" s="9">
        <v>1</v>
      </c>
      <c r="AI28" s="9">
        <f ca="1">TarifaMedia!$G$20</f>
        <v>0</v>
      </c>
      <c r="AJ28" s="15">
        <f>'TE BE'!$AB28+'TE BF'!$AB28+'TE CVA'!$AB28</f>
        <v>311.4117891483653</v>
      </c>
      <c r="AK28" s="9">
        <f>ROUND(370.01/(1-CUSTOS!$M$38),2)</f>
        <v>393.63</v>
      </c>
      <c r="AL28" s="9">
        <f t="shared" ca="1" si="5"/>
        <v>0</v>
      </c>
      <c r="AO28" s="53" t="s">
        <v>1306</v>
      </c>
    </row>
    <row r="29" spans="1:41" ht="11.25" customHeight="1" x14ac:dyDescent="0.3">
      <c r="A29" s="143"/>
      <c r="B29" s="143"/>
      <c r="C29" s="143"/>
      <c r="D29" s="143"/>
      <c r="E29" s="143"/>
      <c r="F29" s="143"/>
      <c r="G29" s="71" t="s">
        <v>93</v>
      </c>
      <c r="H29" s="71" t="s">
        <v>76</v>
      </c>
      <c r="I29" s="71">
        <f>'MERCADO TE'!$U$26</f>
        <v>0</v>
      </c>
      <c r="J29" s="15"/>
      <c r="L29" s="68">
        <f>'TE BE'!$L$29*'TE BE'!$L$52</f>
        <v>-1.8029780823116748E-5</v>
      </c>
      <c r="M29" s="68">
        <f>'TE BE'!$M$29*'TE BE'!$M$52</f>
        <v>-6.7693775455836445</v>
      </c>
      <c r="N29" s="68">
        <f>'TE BE'!$N$29*'TE BE'!$N$52</f>
        <v>0</v>
      </c>
      <c r="O29" s="68">
        <f>'TE BE'!$O$29*'TE BE'!$O$52</f>
        <v>-0.54823604289407346</v>
      </c>
      <c r="P29" s="68">
        <f>'TE BE'!$P$29*'TE BE'!$P$52</f>
        <v>0</v>
      </c>
      <c r="Q29" s="68">
        <f>SUM($L$29:$P$29)</f>
        <v>-7.3176316182585408</v>
      </c>
      <c r="R29" s="68">
        <f>'TE BE'!$R$29*'TE BE'!$R$52</f>
        <v>-28.999585400408446</v>
      </c>
      <c r="S29" s="68">
        <f>SUM($R$29:$R$29)</f>
        <v>-28.999585400408446</v>
      </c>
      <c r="T29" s="68">
        <f>'TE BE'!$T$29*'TE BE'!$T$52</f>
        <v>-0.42733105334292093</v>
      </c>
      <c r="U29" s="68">
        <f>'TE BE'!$U$29*'TE BE'!$U$52</f>
        <v>-3.154913540486641E-2</v>
      </c>
      <c r="V29" s="68">
        <f>'TE BE'!$V$29*'TE BE'!$V$52</f>
        <v>0</v>
      </c>
      <c r="W29" s="68">
        <f>SUM($T$29:$V$29)</f>
        <v>-0.45888018874778735</v>
      </c>
      <c r="X29" s="68">
        <f>'TE BE'!$AB$29*'TE BE'!$X$52</f>
        <v>-29.03435113623609</v>
      </c>
      <c r="Y29" s="68">
        <f>SUM($X$29:$X$29)</f>
        <v>-29.03435113623609</v>
      </c>
      <c r="Z29" s="68">
        <f>'TE BE'!$Z$29*'TE BE'!$Z$52</f>
        <v>-0.30040188164310694</v>
      </c>
      <c r="AA29" s="68">
        <f>SUM($Z$29:$Z$29)</f>
        <v>-0.30040188164310694</v>
      </c>
      <c r="AB29" s="68">
        <f ca="1">SUMIF($L$4:$AA$4,"SUBTOTAL",$L$29:$AA$29)+AL29</f>
        <v>-66.110850225293973</v>
      </c>
      <c r="AC29" s="9" t="str">
        <f t="shared" si="0"/>
        <v>B2</v>
      </c>
      <c r="AD29" s="9" t="str">
        <f t="shared" si="1"/>
        <v>Energia horária</v>
      </c>
      <c r="AE29" s="9" t="str">
        <f t="shared" si="2"/>
        <v>Rural</v>
      </c>
      <c r="AF29" s="9" t="str">
        <f t="shared" si="3"/>
        <v>Cooperativa de eletrificação rural</v>
      </c>
      <c r="AG29" s="9" t="str">
        <f t="shared" si="4"/>
        <v>Não se aplica</v>
      </c>
      <c r="AH29" s="9">
        <v>1</v>
      </c>
      <c r="AI29" s="9">
        <f ca="1">TarifaMedia!$G$20</f>
        <v>0</v>
      </c>
      <c r="AJ29" s="15">
        <f>'TE BE'!$AB29+'TE BF'!$AB29+'TE CVA'!$AB29</f>
        <v>195.89707226799715</v>
      </c>
      <c r="AK29" s="9">
        <f>ROUND(234.64/(1-CUSTOS!$M$38),2)</f>
        <v>249.62</v>
      </c>
      <c r="AL29" s="9">
        <f t="shared" ca="1" si="5"/>
        <v>0</v>
      </c>
      <c r="AO29" s="53" t="s">
        <v>1307</v>
      </c>
    </row>
    <row r="30" spans="1:41" ht="11.25" customHeight="1" x14ac:dyDescent="0.3">
      <c r="A30" s="143"/>
      <c r="B30" s="143"/>
      <c r="C30" s="143"/>
      <c r="D30" s="143"/>
      <c r="E30" s="143"/>
      <c r="F30" s="143"/>
      <c r="G30" s="71" t="s">
        <v>78</v>
      </c>
      <c r="H30" s="71" t="s">
        <v>76</v>
      </c>
      <c r="I30" s="71">
        <f>'MERCADO TE'!$U$27</f>
        <v>0</v>
      </c>
      <c r="J30" s="15"/>
      <c r="L30" s="68">
        <f>'TE BE'!$L$30*'TE BE'!$L$52</f>
        <v>-1.8029780823116748E-5</v>
      </c>
      <c r="M30" s="68">
        <f>'TE BE'!$M$30*'TE BE'!$M$52</f>
        <v>-6.7693775455836445</v>
      </c>
      <c r="N30" s="68">
        <f>'TE BE'!$N$30*'TE BE'!$N$52</f>
        <v>0</v>
      </c>
      <c r="O30" s="68">
        <f>'TE BE'!$O$30*'TE BE'!$O$52</f>
        <v>-0.54823604289407346</v>
      </c>
      <c r="P30" s="68">
        <f>'TE BE'!$P$30*'TE BE'!$P$52</f>
        <v>0</v>
      </c>
      <c r="Q30" s="68">
        <f>SUM($L$30:$P$30)</f>
        <v>-7.3176316182585408</v>
      </c>
      <c r="R30" s="68">
        <f>'TE BE'!$R$30*'TE BE'!$R$52</f>
        <v>-28.999585400408446</v>
      </c>
      <c r="S30" s="68">
        <f>SUM($R$30:$R$30)</f>
        <v>-28.999585400408446</v>
      </c>
      <c r="T30" s="68">
        <f>'TE BE'!$T$30*'TE BE'!$T$52</f>
        <v>-0.42733105334292093</v>
      </c>
      <c r="U30" s="68">
        <f>'TE BE'!$U$30*'TE BE'!$U$52</f>
        <v>-3.154913540486641E-2</v>
      </c>
      <c r="V30" s="68">
        <f>'TE BE'!$V$30*'TE BE'!$V$52</f>
        <v>0</v>
      </c>
      <c r="W30" s="68">
        <f>SUM($T$30:$V$30)</f>
        <v>-0.45888018874778735</v>
      </c>
      <c r="X30" s="68">
        <f>'TE BE'!$AB$30*'TE BE'!$X$52</f>
        <v>-29.03435113623609</v>
      </c>
      <c r="Y30" s="68">
        <f>SUM($X$30:$X$30)</f>
        <v>-29.03435113623609</v>
      </c>
      <c r="Z30" s="68">
        <f>'TE BE'!$Z$30*'TE BE'!$Z$52</f>
        <v>-0.30040188164310694</v>
      </c>
      <c r="AA30" s="68">
        <f>SUM($Z$30:$Z$30)</f>
        <v>-0.30040188164310694</v>
      </c>
      <c r="AB30" s="68">
        <f ca="1">SUMIF($L$4:$AA$4,"SUBTOTAL",$L$30:$AA$30)+AL30</f>
        <v>-66.110850225293973</v>
      </c>
      <c r="AC30" s="9" t="str">
        <f t="shared" si="0"/>
        <v>B2</v>
      </c>
      <c r="AD30" s="9" t="str">
        <f t="shared" si="1"/>
        <v>Energia horária</v>
      </c>
      <c r="AE30" s="9" t="str">
        <f t="shared" si="2"/>
        <v>Rural</v>
      </c>
      <c r="AF30" s="9" t="str">
        <f t="shared" si="3"/>
        <v>Cooperativa de eletrificação rural</v>
      </c>
      <c r="AG30" s="9" t="str">
        <f t="shared" si="4"/>
        <v>Não se aplica</v>
      </c>
      <c r="AH30" s="9">
        <v>1</v>
      </c>
      <c r="AI30" s="9">
        <f ca="1">TarifaMedia!$G$20</f>
        <v>0</v>
      </c>
      <c r="AJ30" s="15">
        <f>'TE BE'!$AB30+'TE BF'!$AB30+'TE CVA'!$AB30</f>
        <v>195.89707226799715</v>
      </c>
      <c r="AK30" s="9">
        <f>ROUND(234.64/(1-CUSTOS!$M$38),2)</f>
        <v>249.62</v>
      </c>
      <c r="AL30" s="9">
        <f t="shared" ca="1" si="5"/>
        <v>0</v>
      </c>
      <c r="AO30" s="53" t="s">
        <v>1308</v>
      </c>
    </row>
    <row r="31" spans="1:41" ht="11.25" customHeight="1" x14ac:dyDescent="0.3">
      <c r="A31" s="143"/>
      <c r="B31" s="70" t="s">
        <v>82</v>
      </c>
      <c r="C31" s="70" t="s">
        <v>43</v>
      </c>
      <c r="D31" s="70" t="s">
        <v>96</v>
      </c>
      <c r="E31" s="70" t="s">
        <v>25</v>
      </c>
      <c r="F31" s="70" t="s">
        <v>25</v>
      </c>
      <c r="G31" s="71" t="s">
        <v>81</v>
      </c>
      <c r="H31" s="71" t="s">
        <v>76</v>
      </c>
      <c r="I31" s="71">
        <f>'MERCADO TE'!$U$28</f>
        <v>0</v>
      </c>
      <c r="J31" s="15"/>
      <c r="L31" s="68">
        <f>'TE BE'!$L$31*'TE BE'!$L$52</f>
        <v>-1.8029780823116748E-5</v>
      </c>
      <c r="M31" s="68">
        <f>'TE BE'!$M$31*'TE BE'!$M$52</f>
        <v>-6.7693775455836445</v>
      </c>
      <c r="N31" s="68">
        <f>'TE BE'!$N$31*'TE BE'!$N$52</f>
        <v>0</v>
      </c>
      <c r="O31" s="68">
        <f>'TE BE'!$O$31*'TE BE'!$O$52</f>
        <v>-0.54823604289407346</v>
      </c>
      <c r="P31" s="68">
        <f>'TE BE'!$P$31*'TE BE'!$P$52</f>
        <v>0</v>
      </c>
      <c r="Q31" s="68">
        <f>SUM($L$31:$P$31)</f>
        <v>-7.3176316182585408</v>
      </c>
      <c r="R31" s="68">
        <f>'TE BE'!$R$31*'TE BE'!$R$52</f>
        <v>-30.739560524432953</v>
      </c>
      <c r="S31" s="68">
        <f>SUM($R$31:$R$31)</f>
        <v>-30.739560524432953</v>
      </c>
      <c r="T31" s="68">
        <f>'TE BE'!$T$31*'TE BE'!$T$52</f>
        <v>-0.42733105334292093</v>
      </c>
      <c r="U31" s="68">
        <f>'TE BE'!$U$31*'TE BE'!$U$52</f>
        <v>-3.154913540486641E-2</v>
      </c>
      <c r="V31" s="68">
        <f>'TE BE'!$V$31*'TE BE'!$V$52</f>
        <v>0</v>
      </c>
      <c r="W31" s="68">
        <f>SUM($T$31:$V$31)</f>
        <v>-0.45888018874778735</v>
      </c>
      <c r="X31" s="68">
        <f>'TE BE'!$AB$31*'TE BE'!$X$52</f>
        <v>-30.527386636715711</v>
      </c>
      <c r="Y31" s="68">
        <f>SUM($X$31:$X$31)</f>
        <v>-30.527386636715711</v>
      </c>
      <c r="Z31" s="68">
        <f>'TE BE'!$Z$31*'TE BE'!$Z$52</f>
        <v>-0.30040188164310694</v>
      </c>
      <c r="AA31" s="68">
        <f>SUM($Z$31:$Z$31)</f>
        <v>-0.30040188164310694</v>
      </c>
      <c r="AB31" s="68">
        <f ca="1">SUMIF($L$4:$AA$4,"SUBTOTAL",$L$31:$AA$31)+AL31</f>
        <v>-69.343860849798105</v>
      </c>
      <c r="AC31" s="9" t="str">
        <f t="shared" si="0"/>
        <v>B2</v>
      </c>
      <c r="AD31" s="9" t="str">
        <f t="shared" si="1"/>
        <v>Energia convencional</v>
      </c>
      <c r="AE31" s="9" t="str">
        <f t="shared" si="2"/>
        <v>Rural</v>
      </c>
      <c r="AF31" s="9" t="str">
        <f t="shared" si="3"/>
        <v>Cooperativa de eletrificação rural</v>
      </c>
      <c r="AG31" s="9" t="str">
        <f t="shared" si="4"/>
        <v>Não se aplica</v>
      </c>
      <c r="AH31" s="9">
        <v>1</v>
      </c>
      <c r="AI31" s="9">
        <f ca="1">TarifaMedia!$G$20</f>
        <v>0</v>
      </c>
      <c r="AJ31" s="15">
        <f>'TE BE'!$AB31+'TE BF'!$AB31+'TE CVA'!$AB31</f>
        <v>205.52329867469447</v>
      </c>
      <c r="AK31" s="9">
        <v>261.62</v>
      </c>
      <c r="AL31" s="9">
        <f t="shared" ca="1" si="5"/>
        <v>0</v>
      </c>
      <c r="AO31" s="53" t="s">
        <v>1302</v>
      </c>
    </row>
    <row r="32" spans="1:41" ht="11.25" customHeight="1" x14ac:dyDescent="0.3">
      <c r="A32" s="143"/>
      <c r="B32" s="143" t="s">
        <v>75</v>
      </c>
      <c r="C32" s="143" t="s">
        <v>43</v>
      </c>
      <c r="D32" s="143" t="s">
        <v>97</v>
      </c>
      <c r="E32" s="143" t="s">
        <v>25</v>
      </c>
      <c r="F32" s="143" t="s">
        <v>25</v>
      </c>
      <c r="G32" s="71" t="s">
        <v>77</v>
      </c>
      <c r="H32" s="71" t="s">
        <v>76</v>
      </c>
      <c r="I32" s="71">
        <f>'MERCADO TE'!$U$29</f>
        <v>0</v>
      </c>
      <c r="J32" s="15"/>
      <c r="L32" s="68">
        <f>'TE BE'!$L$32*'TE BE'!$L$52</f>
        <v>-1.8029780823116748E-5</v>
      </c>
      <c r="M32" s="68">
        <f>'TE BE'!$M$32*'TE BE'!$M$52</f>
        <v>-6.7693775455836445</v>
      </c>
      <c r="N32" s="68">
        <f>'TE BE'!$N$32*'TE BE'!$N$52</f>
        <v>0</v>
      </c>
      <c r="O32" s="68">
        <f>'TE BE'!$O$32*'TE BE'!$O$52</f>
        <v>-0.54823604289407346</v>
      </c>
      <c r="P32" s="68">
        <f>'TE BE'!$P$32*'TE BE'!$P$52</f>
        <v>0</v>
      </c>
      <c r="Q32" s="68">
        <f>SUM($L$32:$P$32)</f>
        <v>-7.3176316182585408</v>
      </c>
      <c r="R32" s="68">
        <f>'TE BE'!$R$32*'TE BE'!$R$52</f>
        <v>-49.879286888702524</v>
      </c>
      <c r="S32" s="68">
        <f>SUM($R$32:$R$32)</f>
        <v>-49.879286888702524</v>
      </c>
      <c r="T32" s="68">
        <f>'TE BE'!$T$32*'TE BE'!$T$52</f>
        <v>-0.42733105334292093</v>
      </c>
      <c r="U32" s="68">
        <f>'TE BE'!$U$32*'TE BE'!$U$52</f>
        <v>-3.154913540486641E-2</v>
      </c>
      <c r="V32" s="68">
        <f>'TE BE'!$V$32*'TE BE'!$V$52</f>
        <v>0</v>
      </c>
      <c r="W32" s="68">
        <f>SUM($T$32:$V$32)</f>
        <v>-0.45888018874778735</v>
      </c>
      <c r="X32" s="68">
        <f>'TE BE'!$AB$32*'TE BE'!$X$52</f>
        <v>-46.950777141991558</v>
      </c>
      <c r="Y32" s="68">
        <f>SUM($X$32:$X$32)</f>
        <v>-46.950777141991558</v>
      </c>
      <c r="Z32" s="68">
        <f>'TE BE'!$Z$32*'TE BE'!$Z$52</f>
        <v>-0.30040188164310694</v>
      </c>
      <c r="AA32" s="68">
        <f>SUM($Z$32:$Z$32)</f>
        <v>-0.30040188164310694</v>
      </c>
      <c r="AB32" s="68">
        <f ca="1">SUMIF($L$4:$AA$4,"SUBTOTAL",$L$32:$AA$32)+AL32</f>
        <v>-104.90697771934352</v>
      </c>
      <c r="AC32" s="9" t="str">
        <f t="shared" si="0"/>
        <v>B2</v>
      </c>
      <c r="AD32" s="9" t="str">
        <f t="shared" si="1"/>
        <v>Energia horária</v>
      </c>
      <c r="AE32" s="9" t="str">
        <f t="shared" si="2"/>
        <v>Rural</v>
      </c>
      <c r="AF32" s="9" t="str">
        <f t="shared" si="3"/>
        <v>Serviço público de irrigação rural</v>
      </c>
      <c r="AG32" s="9" t="str">
        <f t="shared" si="4"/>
        <v>Não se aplica</v>
      </c>
      <c r="AH32" s="9">
        <v>1</v>
      </c>
      <c r="AI32" s="9">
        <f ca="1">TarifaMedia!$G$20</f>
        <v>0</v>
      </c>
      <c r="AJ32" s="15">
        <f>'TE BE'!$AB32+'TE BF'!$AB32+'TE CVA'!$AB32</f>
        <v>311.4117891483653</v>
      </c>
      <c r="AK32" s="9">
        <f>ROUND(370.01/(1-CUSTOS!$M$38),2)</f>
        <v>393.63</v>
      </c>
      <c r="AL32" s="9">
        <f t="shared" ca="1" si="5"/>
        <v>0</v>
      </c>
      <c r="AO32" s="53" t="s">
        <v>1306</v>
      </c>
    </row>
    <row r="33" spans="1:41" ht="11.25" customHeight="1" x14ac:dyDescent="0.3">
      <c r="A33" s="143"/>
      <c r="B33" s="143"/>
      <c r="C33" s="143"/>
      <c r="D33" s="143"/>
      <c r="E33" s="143"/>
      <c r="F33" s="143"/>
      <c r="G33" s="71" t="s">
        <v>93</v>
      </c>
      <c r="H33" s="71" t="s">
        <v>76</v>
      </c>
      <c r="I33" s="71">
        <f>'MERCADO TE'!$U$30</f>
        <v>0</v>
      </c>
      <c r="J33" s="15"/>
      <c r="L33" s="68">
        <f>'TE BE'!$L$33*'TE BE'!$L$52</f>
        <v>-1.8029780823116748E-5</v>
      </c>
      <c r="M33" s="68">
        <f>'TE BE'!$M$33*'TE BE'!$M$52</f>
        <v>-6.7693775455836445</v>
      </c>
      <c r="N33" s="68">
        <f>'TE BE'!$N$33*'TE BE'!$N$52</f>
        <v>0</v>
      </c>
      <c r="O33" s="68">
        <f>'TE BE'!$O$33*'TE BE'!$O$52</f>
        <v>-0.54823604289407346</v>
      </c>
      <c r="P33" s="68">
        <f>'TE BE'!$P$33*'TE BE'!$P$52</f>
        <v>0</v>
      </c>
      <c r="Q33" s="68">
        <f>SUM($L$33:$P$33)</f>
        <v>-7.3176316182585408</v>
      </c>
      <c r="R33" s="68">
        <f>'TE BE'!$R$33*'TE BE'!$R$52</f>
        <v>-28.999585400408446</v>
      </c>
      <c r="S33" s="68">
        <f>SUM($R$33:$R$33)</f>
        <v>-28.999585400408446</v>
      </c>
      <c r="T33" s="68">
        <f>'TE BE'!$T$33*'TE BE'!$T$52</f>
        <v>-0.42733105334292093</v>
      </c>
      <c r="U33" s="68">
        <f>'TE BE'!$U$33*'TE BE'!$U$52</f>
        <v>-3.154913540486641E-2</v>
      </c>
      <c r="V33" s="68">
        <f>'TE BE'!$V$33*'TE BE'!$V$52</f>
        <v>0</v>
      </c>
      <c r="W33" s="68">
        <f>SUM($T$33:$V$33)</f>
        <v>-0.45888018874778735</v>
      </c>
      <c r="X33" s="68">
        <f>'TE BE'!$AB$33*'TE BE'!$X$52</f>
        <v>-29.03435113623609</v>
      </c>
      <c r="Y33" s="68">
        <f>SUM($X$33:$X$33)</f>
        <v>-29.03435113623609</v>
      </c>
      <c r="Z33" s="68">
        <f>'TE BE'!$Z$33*'TE BE'!$Z$52</f>
        <v>-0.30040188164310694</v>
      </c>
      <c r="AA33" s="68">
        <f>SUM($Z$33:$Z$33)</f>
        <v>-0.30040188164310694</v>
      </c>
      <c r="AB33" s="68">
        <f ca="1">SUMIF($L$4:$AA$4,"SUBTOTAL",$L$33:$AA$33)+AL33</f>
        <v>-66.110850225293973</v>
      </c>
      <c r="AC33" s="9" t="str">
        <f t="shared" si="0"/>
        <v>B2</v>
      </c>
      <c r="AD33" s="9" t="str">
        <f t="shared" si="1"/>
        <v>Energia horária</v>
      </c>
      <c r="AE33" s="9" t="str">
        <f t="shared" si="2"/>
        <v>Rural</v>
      </c>
      <c r="AF33" s="9" t="str">
        <f t="shared" si="3"/>
        <v>Serviço público de irrigação rural</v>
      </c>
      <c r="AG33" s="9" t="str">
        <f t="shared" si="4"/>
        <v>Não se aplica</v>
      </c>
      <c r="AH33" s="9">
        <v>1</v>
      </c>
      <c r="AI33" s="9">
        <f ca="1">TarifaMedia!$G$20</f>
        <v>0</v>
      </c>
      <c r="AJ33" s="15">
        <f>'TE BE'!$AB33+'TE BF'!$AB33+'TE CVA'!$AB33</f>
        <v>195.89707226799715</v>
      </c>
      <c r="AK33" s="9">
        <f>ROUND(234.64/(1-CUSTOS!$M$38),2)</f>
        <v>249.62</v>
      </c>
      <c r="AL33" s="9">
        <f t="shared" ca="1" si="5"/>
        <v>0</v>
      </c>
      <c r="AO33" s="53" t="s">
        <v>1307</v>
      </c>
    </row>
    <row r="34" spans="1:41" ht="11.25" customHeight="1" x14ac:dyDescent="0.3">
      <c r="A34" s="143"/>
      <c r="B34" s="143"/>
      <c r="C34" s="143"/>
      <c r="D34" s="143"/>
      <c r="E34" s="143"/>
      <c r="F34" s="143"/>
      <c r="G34" s="71" t="s">
        <v>78</v>
      </c>
      <c r="H34" s="71" t="s">
        <v>76</v>
      </c>
      <c r="I34" s="71">
        <f>'MERCADO TE'!$U$31</f>
        <v>0</v>
      </c>
      <c r="J34" s="15"/>
      <c r="L34" s="68">
        <f>'TE BE'!$L$34*'TE BE'!$L$52</f>
        <v>-1.8029780823116748E-5</v>
      </c>
      <c r="M34" s="68">
        <f>'TE BE'!$M$34*'TE BE'!$M$52</f>
        <v>-6.7693775455836445</v>
      </c>
      <c r="N34" s="68">
        <f>'TE BE'!$N$34*'TE BE'!$N$52</f>
        <v>0</v>
      </c>
      <c r="O34" s="68">
        <f>'TE BE'!$O$34*'TE BE'!$O$52</f>
        <v>-0.54823604289407346</v>
      </c>
      <c r="P34" s="68">
        <f>'TE BE'!$P$34*'TE BE'!$P$52</f>
        <v>0</v>
      </c>
      <c r="Q34" s="68">
        <f>SUM($L$34:$P$34)</f>
        <v>-7.3176316182585408</v>
      </c>
      <c r="R34" s="68">
        <f>'TE BE'!$R$34*'TE BE'!$R$52</f>
        <v>-28.999585400408446</v>
      </c>
      <c r="S34" s="68">
        <f>SUM($R$34:$R$34)</f>
        <v>-28.999585400408446</v>
      </c>
      <c r="T34" s="68">
        <f>'TE BE'!$T$34*'TE BE'!$T$52</f>
        <v>-0.42733105334292093</v>
      </c>
      <c r="U34" s="68">
        <f>'TE BE'!$U$34*'TE BE'!$U$52</f>
        <v>-3.154913540486641E-2</v>
      </c>
      <c r="V34" s="68">
        <f>'TE BE'!$V$34*'TE BE'!$V$52</f>
        <v>0</v>
      </c>
      <c r="W34" s="68">
        <f>SUM($T$34:$V$34)</f>
        <v>-0.45888018874778735</v>
      </c>
      <c r="X34" s="68">
        <f>'TE BE'!$AB$34*'TE BE'!$X$52</f>
        <v>-29.03435113623609</v>
      </c>
      <c r="Y34" s="68">
        <f>SUM($X$34:$X$34)</f>
        <v>-29.03435113623609</v>
      </c>
      <c r="Z34" s="68">
        <f>'TE BE'!$Z$34*'TE BE'!$Z$52</f>
        <v>-0.30040188164310694</v>
      </c>
      <c r="AA34" s="68">
        <f>SUM($Z$34:$Z$34)</f>
        <v>-0.30040188164310694</v>
      </c>
      <c r="AB34" s="68">
        <f ca="1">SUMIF($L$4:$AA$4,"SUBTOTAL",$L$34:$AA$34)+AL34</f>
        <v>-66.110850225293973</v>
      </c>
      <c r="AC34" s="9" t="str">
        <f t="shared" si="0"/>
        <v>B2</v>
      </c>
      <c r="AD34" s="9" t="str">
        <f t="shared" si="1"/>
        <v>Energia horária</v>
      </c>
      <c r="AE34" s="9" t="str">
        <f t="shared" si="2"/>
        <v>Rural</v>
      </c>
      <c r="AF34" s="9" t="str">
        <f t="shared" si="3"/>
        <v>Serviço público de irrigação rural</v>
      </c>
      <c r="AG34" s="9" t="str">
        <f t="shared" si="4"/>
        <v>Não se aplica</v>
      </c>
      <c r="AH34" s="9">
        <v>1</v>
      </c>
      <c r="AI34" s="9">
        <f ca="1">TarifaMedia!$G$20</f>
        <v>0</v>
      </c>
      <c r="AJ34" s="15">
        <f>'TE BE'!$AB34+'TE BF'!$AB34+'TE CVA'!$AB34</f>
        <v>195.89707226799715</v>
      </c>
      <c r="AK34" s="9">
        <f>ROUND(234.64/(1-CUSTOS!$M$38),2)</f>
        <v>249.62</v>
      </c>
      <c r="AL34" s="9">
        <f t="shared" ca="1" si="5"/>
        <v>0</v>
      </c>
      <c r="AO34" s="53" t="s">
        <v>1308</v>
      </c>
    </row>
    <row r="35" spans="1:41" ht="11.25" customHeight="1" x14ac:dyDescent="0.3">
      <c r="A35" s="143"/>
      <c r="B35" s="70" t="s">
        <v>82</v>
      </c>
      <c r="C35" s="70" t="s">
        <v>43</v>
      </c>
      <c r="D35" s="70" t="s">
        <v>97</v>
      </c>
      <c r="E35" s="70" t="s">
        <v>25</v>
      </c>
      <c r="F35" s="70" t="s">
        <v>25</v>
      </c>
      <c r="G35" s="71" t="s">
        <v>81</v>
      </c>
      <c r="H35" s="71" t="s">
        <v>76</v>
      </c>
      <c r="I35" s="71">
        <f>'MERCADO TE'!$U$32</f>
        <v>0</v>
      </c>
      <c r="J35" s="15"/>
      <c r="L35" s="68">
        <f>'TE BE'!$L$35*'TE BE'!$L$52</f>
        <v>-1.8029780823116748E-5</v>
      </c>
      <c r="M35" s="68">
        <f>'TE BE'!$M$35*'TE BE'!$M$52</f>
        <v>-6.7693775455836445</v>
      </c>
      <c r="N35" s="68">
        <f>'TE BE'!$N$35*'TE BE'!$N$52</f>
        <v>0</v>
      </c>
      <c r="O35" s="68">
        <f>'TE BE'!$O$35*'TE BE'!$O$52</f>
        <v>-0.54823604289407346</v>
      </c>
      <c r="P35" s="68">
        <f>'TE BE'!$P$35*'TE BE'!$P$52</f>
        <v>0</v>
      </c>
      <c r="Q35" s="68">
        <f>SUM($L$35:$P$35)</f>
        <v>-7.3176316182585408</v>
      </c>
      <c r="R35" s="68">
        <f>'TE BE'!$R$35*'TE BE'!$R$52</f>
        <v>-30.739560524432953</v>
      </c>
      <c r="S35" s="68">
        <f>SUM($R$35:$R$35)</f>
        <v>-30.739560524432953</v>
      </c>
      <c r="T35" s="68">
        <f>'TE BE'!$T$35*'TE BE'!$T$52</f>
        <v>-0.42733105334292093</v>
      </c>
      <c r="U35" s="68">
        <f>'TE BE'!$U$35*'TE BE'!$U$52</f>
        <v>-3.154913540486641E-2</v>
      </c>
      <c r="V35" s="68">
        <f>'TE BE'!$V$35*'TE BE'!$V$52</f>
        <v>0</v>
      </c>
      <c r="W35" s="68">
        <f>SUM($T$35:$V$35)</f>
        <v>-0.45888018874778735</v>
      </c>
      <c r="X35" s="68">
        <f>'TE BE'!$AB$35*'TE BE'!$X$52</f>
        <v>-30.527386636715711</v>
      </c>
      <c r="Y35" s="68">
        <f>SUM($X$35:$X$35)</f>
        <v>-30.527386636715711</v>
      </c>
      <c r="Z35" s="68">
        <f>'TE BE'!$Z$35*'TE BE'!$Z$52</f>
        <v>-0.30040188164310694</v>
      </c>
      <c r="AA35" s="68">
        <f>SUM($Z$35:$Z$35)</f>
        <v>-0.30040188164310694</v>
      </c>
      <c r="AB35" s="68">
        <f ca="1">SUMIF($L$4:$AA$4,"SUBTOTAL",$L$35:$AA$35)+AL35</f>
        <v>-69.343860849798105</v>
      </c>
      <c r="AC35" s="9" t="str">
        <f t="shared" si="0"/>
        <v>B2</v>
      </c>
      <c r="AD35" s="9" t="str">
        <f t="shared" si="1"/>
        <v>Energia convencional</v>
      </c>
      <c r="AE35" s="9" t="str">
        <f t="shared" si="2"/>
        <v>Rural</v>
      </c>
      <c r="AF35" s="9" t="str">
        <f t="shared" si="3"/>
        <v>Serviço público de irrigação rural</v>
      </c>
      <c r="AG35" s="9" t="str">
        <f t="shared" si="4"/>
        <v>Não se aplica</v>
      </c>
      <c r="AH35" s="9">
        <v>1</v>
      </c>
      <c r="AI35" s="9">
        <f ca="1">TarifaMedia!$G$20</f>
        <v>0</v>
      </c>
      <c r="AJ35" s="15">
        <f>'TE BE'!$AB35+'TE BF'!$AB35+'TE CVA'!$AB35</f>
        <v>205.52329867469447</v>
      </c>
      <c r="AK35" s="9">
        <v>261.62</v>
      </c>
      <c r="AL35" s="9">
        <f t="shared" ca="1" si="5"/>
        <v>0</v>
      </c>
      <c r="AO35" s="53" t="s">
        <v>1302</v>
      </c>
    </row>
    <row r="36" spans="1:41" ht="11.25" customHeight="1" x14ac:dyDescent="0.3">
      <c r="A36" s="143"/>
      <c r="B36" s="143" t="s">
        <v>94</v>
      </c>
      <c r="C36" s="143" t="s">
        <v>43</v>
      </c>
      <c r="D36" s="70" t="s">
        <v>25</v>
      </c>
      <c r="E36" s="70" t="s">
        <v>25</v>
      </c>
      <c r="F36" s="70" t="s">
        <v>25</v>
      </c>
      <c r="G36" s="71" t="s">
        <v>81</v>
      </c>
      <c r="H36" s="71" t="s">
        <v>76</v>
      </c>
      <c r="I36" s="71">
        <f>'MERCADO TE'!$U$33</f>
        <v>0</v>
      </c>
      <c r="J36" s="15"/>
      <c r="L36" s="68">
        <f>'TE BE'!$L$36*'TE BE'!$L$52</f>
        <v>-1.8029780823116748E-5</v>
      </c>
      <c r="M36" s="68">
        <f>'TE BE'!$M$36*'TE BE'!$M$52</f>
        <v>-6.7693775455836445</v>
      </c>
      <c r="N36" s="68">
        <f>'TE BE'!$N$36*'TE BE'!$N$52</f>
        <v>0</v>
      </c>
      <c r="O36" s="68">
        <f>'TE BE'!$O$36*'TE BE'!$O$52</f>
        <v>-0.54823604289407346</v>
      </c>
      <c r="P36" s="68">
        <f>'TE BE'!$P$36*'TE BE'!$P$52</f>
        <v>0</v>
      </c>
      <c r="Q36" s="68">
        <f>SUM($L$36:$P$36)</f>
        <v>-7.3176316182585408</v>
      </c>
      <c r="R36" s="68">
        <f>'TE BE'!$R$36*'TE BE'!$R$52</f>
        <v>-30.739560524432953</v>
      </c>
      <c r="S36" s="68">
        <f>SUM($R$36:$R$36)</f>
        <v>-30.739560524432953</v>
      </c>
      <c r="T36" s="68">
        <f>'TE BE'!$T$36*'TE BE'!$T$52</f>
        <v>-0.42733105334292093</v>
      </c>
      <c r="U36" s="68">
        <f>'TE BE'!$U$36*'TE BE'!$U$52</f>
        <v>-3.154913540486641E-2</v>
      </c>
      <c r="V36" s="68">
        <f>'TE BE'!$V$36*'TE BE'!$V$52</f>
        <v>0</v>
      </c>
      <c r="W36" s="68">
        <f>SUM($T$36:$V$36)</f>
        <v>-0.45888018874778735</v>
      </c>
      <c r="X36" s="68">
        <f>'TE BE'!$AB$36*'TE BE'!$X$52</f>
        <v>-30.527386636715711</v>
      </c>
      <c r="Y36" s="68">
        <f>SUM($X$36:$X$36)</f>
        <v>-30.527386636715711</v>
      </c>
      <c r="Z36" s="68">
        <f>'TE BE'!$Z$36*'TE BE'!$Z$52</f>
        <v>-0.30040188164310694</v>
      </c>
      <c r="AA36" s="68">
        <f>SUM($Z$36:$Z$36)</f>
        <v>-0.30040188164310694</v>
      </c>
      <c r="AB36" s="68">
        <f ca="1">SUMIF($L$4:$AA$4,"SUBTOTAL",$L$36:$AA$36)+AL36</f>
        <v>-69.343860849798105</v>
      </c>
      <c r="AC36" s="9" t="str">
        <f t="shared" si="0"/>
        <v>B2</v>
      </c>
      <c r="AD36" s="9" t="str">
        <f t="shared" si="1"/>
        <v>Energia convencional pré-pagamento</v>
      </c>
      <c r="AE36" s="9" t="str">
        <f t="shared" si="2"/>
        <v>Rural</v>
      </c>
      <c r="AF36" s="9" t="str">
        <f t="shared" si="3"/>
        <v>Não se aplica</v>
      </c>
      <c r="AG36" s="9" t="str">
        <f t="shared" si="4"/>
        <v>Não se aplica</v>
      </c>
      <c r="AH36" s="9">
        <v>1</v>
      </c>
      <c r="AI36" s="9">
        <f ca="1">TarifaMedia!$G$20</f>
        <v>0</v>
      </c>
      <c r="AJ36" s="15">
        <f>'TE BE'!$AB36+'TE BF'!$AB36+'TE CVA'!$AB36</f>
        <v>205.52329867469447</v>
      </c>
      <c r="AK36" s="9">
        <v>261.62</v>
      </c>
      <c r="AL36" s="9">
        <f t="shared" ca="1" si="5"/>
        <v>0</v>
      </c>
      <c r="AO36" s="53" t="s">
        <v>1302</v>
      </c>
    </row>
    <row r="37" spans="1:41" ht="11.25" customHeight="1" x14ac:dyDescent="0.3">
      <c r="A37" s="143"/>
      <c r="B37" s="143"/>
      <c r="C37" s="143"/>
      <c r="D37" s="70" t="s">
        <v>96</v>
      </c>
      <c r="E37" s="70" t="s">
        <v>25</v>
      </c>
      <c r="F37" s="70" t="s">
        <v>25</v>
      </c>
      <c r="G37" s="71" t="s">
        <v>81</v>
      </c>
      <c r="H37" s="71" t="s">
        <v>76</v>
      </c>
      <c r="I37" s="71">
        <f>'MERCADO TE'!$U$34</f>
        <v>0</v>
      </c>
      <c r="J37" s="15"/>
      <c r="L37" s="68">
        <f>'TE BE'!$L$37*'TE BE'!$L$52</f>
        <v>-1.8029780823116748E-5</v>
      </c>
      <c r="M37" s="68">
        <f>'TE BE'!$M$37*'TE BE'!$M$52</f>
        <v>-6.7693775455836445</v>
      </c>
      <c r="N37" s="68">
        <f>'TE BE'!$N$37*'TE BE'!$N$52</f>
        <v>0</v>
      </c>
      <c r="O37" s="68">
        <f>'TE BE'!$O$37*'TE BE'!$O$52</f>
        <v>-0.54823604289407346</v>
      </c>
      <c r="P37" s="68">
        <f>'TE BE'!$P$37*'TE BE'!$P$52</f>
        <v>0</v>
      </c>
      <c r="Q37" s="68">
        <f>SUM($L$37:$P$37)</f>
        <v>-7.3176316182585408</v>
      </c>
      <c r="R37" s="68">
        <f>'TE BE'!$R$37*'TE BE'!$R$52</f>
        <v>-30.739560524432953</v>
      </c>
      <c r="S37" s="68">
        <f>SUM($R$37:$R$37)</f>
        <v>-30.739560524432953</v>
      </c>
      <c r="T37" s="68">
        <f>'TE BE'!$T$37*'TE BE'!$T$52</f>
        <v>-0.42733105334292093</v>
      </c>
      <c r="U37" s="68">
        <f>'TE BE'!$U$37*'TE BE'!$U$52</f>
        <v>-3.154913540486641E-2</v>
      </c>
      <c r="V37" s="68">
        <f>'TE BE'!$V$37*'TE BE'!$V$52</f>
        <v>0</v>
      </c>
      <c r="W37" s="68">
        <f>SUM($T$37:$V$37)</f>
        <v>-0.45888018874778735</v>
      </c>
      <c r="X37" s="68">
        <f>'TE BE'!$AB$37*'TE BE'!$X$52</f>
        <v>-30.527386636715711</v>
      </c>
      <c r="Y37" s="68">
        <f>SUM($X$37:$X$37)</f>
        <v>-30.527386636715711</v>
      </c>
      <c r="Z37" s="68">
        <f>'TE BE'!$Z$37*'TE BE'!$Z$52</f>
        <v>-0.30040188164310694</v>
      </c>
      <c r="AA37" s="68">
        <f>SUM($Z$37:$Z$37)</f>
        <v>-0.30040188164310694</v>
      </c>
      <c r="AB37" s="68">
        <f ca="1">SUMIF($L$4:$AA$4,"SUBTOTAL",$L$37:$AA$37)+AL37</f>
        <v>-69.343860849798105</v>
      </c>
      <c r="AC37" s="9" t="str">
        <f t="shared" si="0"/>
        <v>B2</v>
      </c>
      <c r="AD37" s="9" t="str">
        <f t="shared" si="1"/>
        <v>Energia convencional pré-pagamento</v>
      </c>
      <c r="AE37" s="9" t="str">
        <f t="shared" si="2"/>
        <v>Rural</v>
      </c>
      <c r="AF37" s="9" t="str">
        <f t="shared" si="3"/>
        <v>Cooperativa de eletrificação rural</v>
      </c>
      <c r="AG37" s="9" t="str">
        <f t="shared" si="4"/>
        <v>Não se aplica</v>
      </c>
      <c r="AH37" s="9">
        <v>1</v>
      </c>
      <c r="AI37" s="9">
        <f ca="1">TarifaMedia!$G$20</f>
        <v>0</v>
      </c>
      <c r="AJ37" s="15">
        <f>'TE BE'!$AB37+'TE BF'!$AB37+'TE CVA'!$AB37</f>
        <v>205.52329867469447</v>
      </c>
      <c r="AK37" s="9">
        <v>261.62</v>
      </c>
      <c r="AL37" s="9">
        <f t="shared" ca="1" si="5"/>
        <v>0</v>
      </c>
      <c r="AO37" s="53" t="s">
        <v>1302</v>
      </c>
    </row>
    <row r="38" spans="1:41" ht="11.25" customHeight="1" x14ac:dyDescent="0.3">
      <c r="A38" s="143"/>
      <c r="B38" s="143"/>
      <c r="C38" s="143"/>
      <c r="D38" s="70" t="s">
        <v>97</v>
      </c>
      <c r="E38" s="70" t="s">
        <v>25</v>
      </c>
      <c r="F38" s="70" t="s">
        <v>25</v>
      </c>
      <c r="G38" s="71" t="s">
        <v>81</v>
      </c>
      <c r="H38" s="71" t="s">
        <v>76</v>
      </c>
      <c r="I38" s="71">
        <f>'MERCADO TE'!$U$35</f>
        <v>0</v>
      </c>
      <c r="J38" s="15"/>
      <c r="L38" s="68">
        <f>'TE BE'!$L$38*'TE BE'!$L$52</f>
        <v>-1.8029780823116748E-5</v>
      </c>
      <c r="M38" s="68">
        <f>'TE BE'!$M$38*'TE BE'!$M$52</f>
        <v>-6.7693775455836445</v>
      </c>
      <c r="N38" s="68">
        <f>'TE BE'!$N$38*'TE BE'!$N$52</f>
        <v>0</v>
      </c>
      <c r="O38" s="68">
        <f>'TE BE'!$O$38*'TE BE'!$O$52</f>
        <v>-0.54823604289407346</v>
      </c>
      <c r="P38" s="68">
        <f>'TE BE'!$P$38*'TE BE'!$P$52</f>
        <v>0</v>
      </c>
      <c r="Q38" s="68">
        <f>SUM($L$38:$P$38)</f>
        <v>-7.3176316182585408</v>
      </c>
      <c r="R38" s="68">
        <f>'TE BE'!$R$38*'TE BE'!$R$52</f>
        <v>-30.739560524432953</v>
      </c>
      <c r="S38" s="68">
        <f>SUM($R$38:$R$38)</f>
        <v>-30.739560524432953</v>
      </c>
      <c r="T38" s="68">
        <f>'TE BE'!$T$38*'TE BE'!$T$52</f>
        <v>-0.42733105334292093</v>
      </c>
      <c r="U38" s="68">
        <f>'TE BE'!$U$38*'TE BE'!$U$52</f>
        <v>-3.154913540486641E-2</v>
      </c>
      <c r="V38" s="68">
        <f>'TE BE'!$V$38*'TE BE'!$V$52</f>
        <v>0</v>
      </c>
      <c r="W38" s="68">
        <f>SUM($T$38:$V$38)</f>
        <v>-0.45888018874778735</v>
      </c>
      <c r="X38" s="68">
        <f>'TE BE'!$AB$38*'TE BE'!$X$52</f>
        <v>-30.527386636715711</v>
      </c>
      <c r="Y38" s="68">
        <f>SUM($X$38:$X$38)</f>
        <v>-30.527386636715711</v>
      </c>
      <c r="Z38" s="68">
        <f>'TE BE'!$Z$38*'TE BE'!$Z$52</f>
        <v>-0.30040188164310694</v>
      </c>
      <c r="AA38" s="68">
        <f>SUM($Z$38:$Z$38)</f>
        <v>-0.30040188164310694</v>
      </c>
      <c r="AB38" s="68">
        <f ca="1">SUMIF($L$4:$AA$4,"SUBTOTAL",$L$38:$AA$38)+AL38</f>
        <v>-69.343860849798105</v>
      </c>
      <c r="AC38" s="9" t="str">
        <f t="shared" si="0"/>
        <v>B2</v>
      </c>
      <c r="AD38" s="9" t="str">
        <f t="shared" si="1"/>
        <v>Energia convencional pré-pagamento</v>
      </c>
      <c r="AE38" s="9" t="str">
        <f t="shared" si="2"/>
        <v>Rural</v>
      </c>
      <c r="AF38" s="9" t="str">
        <f t="shared" si="3"/>
        <v>Serviço público de irrigação rural</v>
      </c>
      <c r="AG38" s="9" t="str">
        <f t="shared" si="4"/>
        <v>Não se aplica</v>
      </c>
      <c r="AH38" s="9">
        <v>1</v>
      </c>
      <c r="AI38" s="9">
        <f ca="1">TarifaMedia!$G$20</f>
        <v>0</v>
      </c>
      <c r="AJ38" s="15">
        <f>'TE BE'!$AB38+'TE BF'!$AB38+'TE CVA'!$AB38</f>
        <v>205.52329867469447</v>
      </c>
      <c r="AK38" s="9">
        <v>261.62</v>
      </c>
      <c r="AL38" s="9">
        <f t="shared" ca="1" si="5"/>
        <v>0</v>
      </c>
      <c r="AO38" s="53" t="s">
        <v>1302</v>
      </c>
    </row>
    <row r="39" spans="1:41" ht="11.25" customHeight="1" x14ac:dyDescent="0.3">
      <c r="A39" s="143" t="s">
        <v>37</v>
      </c>
      <c r="B39" s="143" t="s">
        <v>75</v>
      </c>
      <c r="C39" s="143" t="s">
        <v>25</v>
      </c>
      <c r="D39" s="143" t="s">
        <v>25</v>
      </c>
      <c r="E39" s="143" t="s">
        <v>25</v>
      </c>
      <c r="F39" s="143" t="s">
        <v>25</v>
      </c>
      <c r="G39" s="71" t="s">
        <v>77</v>
      </c>
      <c r="H39" s="71" t="s">
        <v>76</v>
      </c>
      <c r="I39" s="71">
        <f>'MERCADO TE'!$U$36</f>
        <v>9.1080000000000005</v>
      </c>
      <c r="J39" s="15"/>
      <c r="L39" s="68">
        <f>'TE BE'!$L$39*'TE BE'!$L$52</f>
        <v>-1.8029780823116748E-5</v>
      </c>
      <c r="M39" s="68">
        <f>'TE BE'!$M$39*'TE BE'!$M$52</f>
        <v>-6.7693775455836445</v>
      </c>
      <c r="N39" s="68">
        <f>'TE BE'!$N$39*'TE BE'!$N$52</f>
        <v>0</v>
      </c>
      <c r="O39" s="68">
        <f>'TE BE'!$O$39*'TE BE'!$O$52</f>
        <v>-0.54823604289407346</v>
      </c>
      <c r="P39" s="68">
        <f>'TE BE'!$P$39*'TE BE'!$P$52</f>
        <v>0</v>
      </c>
      <c r="Q39" s="68">
        <f>SUM($L$39:$P$39)</f>
        <v>-7.3176316182585408</v>
      </c>
      <c r="R39" s="68">
        <f>'TE BE'!$R$39*'TE BE'!$R$52</f>
        <v>-49.879286888702524</v>
      </c>
      <c r="S39" s="68">
        <f>SUM($R$39:$R$39)</f>
        <v>-49.879286888702524</v>
      </c>
      <c r="T39" s="68">
        <f>'TE BE'!$T$39*'TE BE'!$T$52</f>
        <v>-0.42733105334292093</v>
      </c>
      <c r="U39" s="68">
        <f>'TE BE'!$U$39*'TE BE'!$U$52</f>
        <v>-3.154913540486641E-2</v>
      </c>
      <c r="V39" s="68">
        <f>'TE BE'!$V$39*'TE BE'!$V$52</f>
        <v>0</v>
      </c>
      <c r="W39" s="68">
        <f>SUM($T$39:$V$39)</f>
        <v>-0.45888018874778735</v>
      </c>
      <c r="X39" s="68">
        <f>'TE BE'!$AB$39*'TE BE'!$X$52</f>
        <v>-46.950777141991558</v>
      </c>
      <c r="Y39" s="68">
        <f>SUM($X$39:$X$39)</f>
        <v>-46.950777141991558</v>
      </c>
      <c r="Z39" s="68">
        <f>'TE BE'!$Z$39*'TE BE'!$Z$52</f>
        <v>-0.30040188164310694</v>
      </c>
      <c r="AA39" s="68">
        <f>SUM($Z$39:$Z$39)</f>
        <v>-0.30040188164310694</v>
      </c>
      <c r="AB39" s="68">
        <f ca="1">SUMIF($L$4:$AA$4,"SUBTOTAL",$L$39:$AA$39)+AL39</f>
        <v>-104.90697771934352</v>
      </c>
      <c r="AC39" s="9" t="str">
        <f t="shared" si="0"/>
        <v>B3</v>
      </c>
      <c r="AD39" s="9" t="str">
        <f t="shared" si="1"/>
        <v>Energia horária</v>
      </c>
      <c r="AE39" s="9" t="str">
        <f t="shared" si="2"/>
        <v>Não se aplica</v>
      </c>
      <c r="AF39" s="9" t="str">
        <f t="shared" si="3"/>
        <v>Não se aplica</v>
      </c>
      <c r="AG39" s="9" t="str">
        <f t="shared" si="4"/>
        <v>Não se aplica</v>
      </c>
      <c r="AH39" s="9">
        <v>1</v>
      </c>
      <c r="AI39" s="9">
        <f ca="1">TarifaMedia!$G$20</f>
        <v>0</v>
      </c>
      <c r="AJ39" s="15">
        <f>'TE BE'!$AB39+'TE BF'!$AB39+'TE CVA'!$AB39</f>
        <v>311.4117891483653</v>
      </c>
      <c r="AK39" s="9">
        <v>393.63</v>
      </c>
      <c r="AL39" s="9">
        <f t="shared" ca="1" si="5"/>
        <v>0</v>
      </c>
      <c r="AO39" s="53" t="s">
        <v>1309</v>
      </c>
    </row>
    <row r="40" spans="1:41" ht="11.25" customHeight="1" x14ac:dyDescent="0.3">
      <c r="A40" s="143"/>
      <c r="B40" s="143"/>
      <c r="C40" s="143"/>
      <c r="D40" s="143"/>
      <c r="E40" s="143"/>
      <c r="F40" s="143"/>
      <c r="G40" s="71" t="s">
        <v>93</v>
      </c>
      <c r="H40" s="71" t="s">
        <v>76</v>
      </c>
      <c r="I40" s="71">
        <f>'MERCADO TE'!$U$37</f>
        <v>0.627</v>
      </c>
      <c r="J40" s="15"/>
      <c r="L40" s="68">
        <f>'TE BE'!$L$40*'TE BE'!$L$52</f>
        <v>-1.8029780823116748E-5</v>
      </c>
      <c r="M40" s="68">
        <f>'TE BE'!$M$40*'TE BE'!$M$52</f>
        <v>-6.7693775455836445</v>
      </c>
      <c r="N40" s="68">
        <f>'TE BE'!$N$40*'TE BE'!$N$52</f>
        <v>0</v>
      </c>
      <c r="O40" s="68">
        <f>'TE BE'!$O$40*'TE BE'!$O$52</f>
        <v>-0.54823604289407346</v>
      </c>
      <c r="P40" s="68">
        <f>'TE BE'!$P$40*'TE BE'!$P$52</f>
        <v>0</v>
      </c>
      <c r="Q40" s="68">
        <f>SUM($L$40:$P$40)</f>
        <v>-7.3176316182585408</v>
      </c>
      <c r="R40" s="68">
        <f>'TE BE'!$R$40*'TE BE'!$R$52</f>
        <v>-28.999585400408446</v>
      </c>
      <c r="S40" s="68">
        <f>SUM($R$40:$R$40)</f>
        <v>-28.999585400408446</v>
      </c>
      <c r="T40" s="68">
        <f>'TE BE'!$T$40*'TE BE'!$T$52</f>
        <v>-0.42733105334292093</v>
      </c>
      <c r="U40" s="68">
        <f>'TE BE'!$U$40*'TE BE'!$U$52</f>
        <v>-3.154913540486641E-2</v>
      </c>
      <c r="V40" s="68">
        <f>'TE BE'!$V$40*'TE BE'!$V$52</f>
        <v>0</v>
      </c>
      <c r="W40" s="68">
        <f>SUM($T$40:$V$40)</f>
        <v>-0.45888018874778735</v>
      </c>
      <c r="X40" s="68">
        <f>'TE BE'!$AB$40*'TE BE'!$X$52</f>
        <v>-29.03435113623609</v>
      </c>
      <c r="Y40" s="68">
        <f>SUM($X$40:$X$40)</f>
        <v>-29.03435113623609</v>
      </c>
      <c r="Z40" s="68">
        <f>'TE BE'!$Z$40*'TE BE'!$Z$52</f>
        <v>-0.30040188164310694</v>
      </c>
      <c r="AA40" s="68">
        <f>SUM($Z$40:$Z$40)</f>
        <v>-0.30040188164310694</v>
      </c>
      <c r="AB40" s="68">
        <f ca="1">SUMIF($L$4:$AA$4,"SUBTOTAL",$L$40:$AA$40)+AL40</f>
        <v>-66.110850225293973</v>
      </c>
      <c r="AC40" s="9" t="str">
        <f t="shared" si="0"/>
        <v>B3</v>
      </c>
      <c r="AD40" s="9" t="str">
        <f t="shared" si="1"/>
        <v>Energia horária</v>
      </c>
      <c r="AE40" s="9" t="str">
        <f t="shared" si="2"/>
        <v>Não se aplica</v>
      </c>
      <c r="AF40" s="9" t="str">
        <f t="shared" si="3"/>
        <v>Não se aplica</v>
      </c>
      <c r="AG40" s="9" t="str">
        <f t="shared" si="4"/>
        <v>Não se aplica</v>
      </c>
      <c r="AH40" s="9">
        <v>1</v>
      </c>
      <c r="AI40" s="9">
        <f ca="1">TarifaMedia!$G$20</f>
        <v>0</v>
      </c>
      <c r="AJ40" s="15">
        <f>'TE BE'!$AB40+'TE BF'!$AB40+'TE CVA'!$AB40</f>
        <v>195.89707226799715</v>
      </c>
      <c r="AK40" s="9">
        <v>249.61</v>
      </c>
      <c r="AL40" s="9">
        <f t="shared" ca="1" si="5"/>
        <v>0</v>
      </c>
      <c r="AO40" s="53" t="s">
        <v>1310</v>
      </c>
    </row>
    <row r="41" spans="1:41" ht="11.25" customHeight="1" x14ac:dyDescent="0.3">
      <c r="A41" s="143"/>
      <c r="B41" s="143"/>
      <c r="C41" s="143"/>
      <c r="D41" s="143"/>
      <c r="E41" s="143"/>
      <c r="F41" s="143"/>
      <c r="G41" s="71" t="s">
        <v>78</v>
      </c>
      <c r="H41" s="71" t="s">
        <v>76</v>
      </c>
      <c r="I41" s="71">
        <f>'MERCADO TE'!$U$38</f>
        <v>7.484</v>
      </c>
      <c r="J41" s="15"/>
      <c r="L41" s="68">
        <f>'TE BE'!$L$41*'TE BE'!$L$52</f>
        <v>-1.8029780823116748E-5</v>
      </c>
      <c r="M41" s="68">
        <f>'TE BE'!$M$41*'TE BE'!$M$52</f>
        <v>-6.7693775455836445</v>
      </c>
      <c r="N41" s="68">
        <f>'TE BE'!$N$41*'TE BE'!$N$52</f>
        <v>0</v>
      </c>
      <c r="O41" s="68">
        <f>'TE BE'!$O$41*'TE BE'!$O$52</f>
        <v>-0.54823604289407346</v>
      </c>
      <c r="P41" s="68">
        <f>'TE BE'!$P$41*'TE BE'!$P$52</f>
        <v>0</v>
      </c>
      <c r="Q41" s="68">
        <f>SUM($L$41:$P$41)</f>
        <v>-7.3176316182585408</v>
      </c>
      <c r="R41" s="68">
        <f>'TE BE'!$R$41*'TE BE'!$R$52</f>
        <v>-28.999585400408446</v>
      </c>
      <c r="S41" s="68">
        <f>SUM($R$41:$R$41)</f>
        <v>-28.999585400408446</v>
      </c>
      <c r="T41" s="68">
        <f>'TE BE'!$T$41*'TE BE'!$T$52</f>
        <v>-0.42733105334292093</v>
      </c>
      <c r="U41" s="68">
        <f>'TE BE'!$U$41*'TE BE'!$U$52</f>
        <v>-3.154913540486641E-2</v>
      </c>
      <c r="V41" s="68">
        <f>'TE BE'!$V$41*'TE BE'!$V$52</f>
        <v>0</v>
      </c>
      <c r="W41" s="68">
        <f>SUM($T$41:$V$41)</f>
        <v>-0.45888018874778735</v>
      </c>
      <c r="X41" s="68">
        <f>'TE BE'!$AB$41*'TE BE'!$X$52</f>
        <v>-29.03435113623609</v>
      </c>
      <c r="Y41" s="68">
        <f>SUM($X$41:$X$41)</f>
        <v>-29.03435113623609</v>
      </c>
      <c r="Z41" s="68">
        <f>'TE BE'!$Z$41*'TE BE'!$Z$52</f>
        <v>-0.30040188164310694</v>
      </c>
      <c r="AA41" s="68">
        <f>SUM($Z$41:$Z$41)</f>
        <v>-0.30040188164310694</v>
      </c>
      <c r="AB41" s="68">
        <f ca="1">SUMIF($L$4:$AA$4,"SUBTOTAL",$L$41:$AA$41)+AL41</f>
        <v>-66.110850225293973</v>
      </c>
      <c r="AC41" s="9" t="str">
        <f t="shared" si="0"/>
        <v>B3</v>
      </c>
      <c r="AD41" s="9" t="str">
        <f t="shared" si="1"/>
        <v>Energia horária</v>
      </c>
      <c r="AE41" s="9" t="str">
        <f t="shared" si="2"/>
        <v>Não se aplica</v>
      </c>
      <c r="AF41" s="9" t="str">
        <f t="shared" si="3"/>
        <v>Não se aplica</v>
      </c>
      <c r="AG41" s="9" t="str">
        <f t="shared" si="4"/>
        <v>Não se aplica</v>
      </c>
      <c r="AH41" s="9">
        <v>1</v>
      </c>
      <c r="AI41" s="9">
        <f ca="1">TarifaMedia!$G$20</f>
        <v>0</v>
      </c>
      <c r="AJ41" s="15">
        <f>'TE BE'!$AB41+'TE BF'!$AB41+'TE CVA'!$AB41</f>
        <v>195.89707226799715</v>
      </c>
      <c r="AK41" s="9">
        <v>249.61</v>
      </c>
      <c r="AL41" s="9">
        <f t="shared" ca="1" si="5"/>
        <v>0</v>
      </c>
      <c r="AO41" s="53" t="s">
        <v>1311</v>
      </c>
    </row>
    <row r="42" spans="1:41" ht="11.25" customHeight="1" x14ac:dyDescent="0.3">
      <c r="A42" s="143"/>
      <c r="B42" s="70" t="s">
        <v>82</v>
      </c>
      <c r="C42" s="70" t="s">
        <v>25</v>
      </c>
      <c r="D42" s="70" t="s">
        <v>25</v>
      </c>
      <c r="E42" s="70" t="s">
        <v>25</v>
      </c>
      <c r="F42" s="70" t="s">
        <v>25</v>
      </c>
      <c r="G42" s="71" t="s">
        <v>81</v>
      </c>
      <c r="H42" s="71" t="s">
        <v>76</v>
      </c>
      <c r="I42" s="71">
        <f>'MERCADO TE'!$U$39</f>
        <v>11812.039999999999</v>
      </c>
      <c r="J42" s="15"/>
      <c r="L42" s="68">
        <f>'TE BE'!$L$42*'TE BE'!$L$52</f>
        <v>-1.8029780823116748E-5</v>
      </c>
      <c r="M42" s="68">
        <f>'TE BE'!$M$42*'TE BE'!$M$52</f>
        <v>-6.7693775455836445</v>
      </c>
      <c r="N42" s="68">
        <f>'TE BE'!$N$42*'TE BE'!$N$52</f>
        <v>0</v>
      </c>
      <c r="O42" s="68">
        <f>'TE BE'!$O$42*'TE BE'!$O$52</f>
        <v>-0.54823604289407346</v>
      </c>
      <c r="P42" s="68">
        <f>'TE BE'!$P$42*'TE BE'!$P$52</f>
        <v>0</v>
      </c>
      <c r="Q42" s="68">
        <f>SUM($L$42:$P$42)</f>
        <v>-7.3176316182585408</v>
      </c>
      <c r="R42" s="68">
        <f>'TE BE'!$R$42*'TE BE'!$R$52</f>
        <v>-30.739560524432953</v>
      </c>
      <c r="S42" s="68">
        <f>SUM($R$42:$R$42)</f>
        <v>-30.739560524432953</v>
      </c>
      <c r="T42" s="68">
        <f>'TE BE'!$T$42*'TE BE'!$T$52</f>
        <v>-0.42733105334292093</v>
      </c>
      <c r="U42" s="68">
        <f>'TE BE'!$U$42*'TE BE'!$U$52</f>
        <v>-3.154913540486641E-2</v>
      </c>
      <c r="V42" s="68">
        <f>'TE BE'!$V$42*'TE BE'!$V$52</f>
        <v>0</v>
      </c>
      <c r="W42" s="68">
        <f>SUM($T$42:$V$42)</f>
        <v>-0.45888018874778735</v>
      </c>
      <c r="X42" s="68">
        <f>'TE BE'!$AB$42*'TE BE'!$X$52</f>
        <v>-30.527386636715711</v>
      </c>
      <c r="Y42" s="68">
        <f>SUM($X$42:$X$42)</f>
        <v>-30.527386636715711</v>
      </c>
      <c r="Z42" s="68">
        <f>'TE BE'!$Z$42*'TE BE'!$Z$52</f>
        <v>-0.30040188164310694</v>
      </c>
      <c r="AA42" s="68">
        <f>SUM($Z$42:$Z$42)</f>
        <v>-0.30040188164310694</v>
      </c>
      <c r="AB42" s="68">
        <f ca="1">SUMIF($L$4:$AA$4,"SUBTOTAL",$L$42:$AA$42)+AL42</f>
        <v>-69.343860849798105</v>
      </c>
      <c r="AC42" s="9" t="str">
        <f t="shared" si="0"/>
        <v>B3</v>
      </c>
      <c r="AD42" s="9" t="str">
        <f t="shared" si="1"/>
        <v>Energia convencional</v>
      </c>
      <c r="AE42" s="9" t="str">
        <f t="shared" si="2"/>
        <v>Não se aplica</v>
      </c>
      <c r="AF42" s="9" t="str">
        <f t="shared" si="3"/>
        <v>Não se aplica</v>
      </c>
      <c r="AG42" s="9" t="str">
        <f t="shared" si="4"/>
        <v>Não se aplica</v>
      </c>
      <c r="AH42" s="9">
        <v>1</v>
      </c>
      <c r="AI42" s="9">
        <f ca="1">TarifaMedia!$G$20</f>
        <v>0</v>
      </c>
      <c r="AJ42" s="15">
        <f>'TE BE'!$AB42+'TE BF'!$AB42+'TE CVA'!$AB42</f>
        <v>205.52329867469447</v>
      </c>
      <c r="AK42" s="9">
        <v>261.62</v>
      </c>
      <c r="AL42" s="9">
        <f t="shared" ca="1" si="5"/>
        <v>0</v>
      </c>
      <c r="AO42" s="53" t="s">
        <v>1312</v>
      </c>
    </row>
    <row r="43" spans="1:41" ht="11.25" customHeight="1" x14ac:dyDescent="0.3">
      <c r="A43" s="143"/>
      <c r="B43" s="70" t="s">
        <v>94</v>
      </c>
      <c r="C43" s="70" t="s">
        <v>25</v>
      </c>
      <c r="D43" s="70" t="s">
        <v>25</v>
      </c>
      <c r="E43" s="70" t="s">
        <v>25</v>
      </c>
      <c r="F43" s="70" t="s">
        <v>25</v>
      </c>
      <c r="G43" s="71" t="s">
        <v>81</v>
      </c>
      <c r="H43" s="71" t="s">
        <v>76</v>
      </c>
      <c r="I43" s="71">
        <f>'MERCADO TE'!$U$40</f>
        <v>0</v>
      </c>
      <c r="J43" s="15"/>
      <c r="L43" s="68">
        <f>'TE BE'!$L$43*'TE BE'!$L$52</f>
        <v>-1.8029780823116748E-5</v>
      </c>
      <c r="M43" s="68">
        <f>'TE BE'!$M$43*'TE BE'!$M$52</f>
        <v>-6.7693775455836445</v>
      </c>
      <c r="N43" s="68">
        <f>'TE BE'!$N$43*'TE BE'!$N$52</f>
        <v>0</v>
      </c>
      <c r="O43" s="68">
        <f>'TE BE'!$O$43*'TE BE'!$O$52</f>
        <v>-0.54823604289407346</v>
      </c>
      <c r="P43" s="68">
        <f>'TE BE'!$P$43*'TE BE'!$P$52</f>
        <v>0</v>
      </c>
      <c r="Q43" s="68">
        <f>SUM($L$43:$P$43)</f>
        <v>-7.3176316182585408</v>
      </c>
      <c r="R43" s="68">
        <f>'TE BE'!$R$43*'TE BE'!$R$52</f>
        <v>-30.739560524432953</v>
      </c>
      <c r="S43" s="68">
        <f>SUM($R$43:$R$43)</f>
        <v>-30.739560524432953</v>
      </c>
      <c r="T43" s="68">
        <f>'TE BE'!$T$43*'TE BE'!$T$52</f>
        <v>-0.42733105334292093</v>
      </c>
      <c r="U43" s="68">
        <f>'TE BE'!$U$43*'TE BE'!$U$52</f>
        <v>-3.154913540486641E-2</v>
      </c>
      <c r="V43" s="68">
        <f>'TE BE'!$V$43*'TE BE'!$V$52</f>
        <v>0</v>
      </c>
      <c r="W43" s="68">
        <f>SUM($T$43:$V$43)</f>
        <v>-0.45888018874778735</v>
      </c>
      <c r="X43" s="68">
        <f>'TE BE'!$AB$43*'TE BE'!$X$52</f>
        <v>-30.527386636715711</v>
      </c>
      <c r="Y43" s="68">
        <f>SUM($X$43:$X$43)</f>
        <v>-30.527386636715711</v>
      </c>
      <c r="Z43" s="68">
        <f>'TE BE'!$Z$43*'TE BE'!$Z$52</f>
        <v>-0.30040188164310694</v>
      </c>
      <c r="AA43" s="68">
        <f>SUM($Z$43:$Z$43)</f>
        <v>-0.30040188164310694</v>
      </c>
      <c r="AB43" s="68">
        <f ca="1">SUMIF($L$4:$AA$4,"SUBTOTAL",$L$43:$AA$43)+AL43</f>
        <v>-69.343860849798105</v>
      </c>
      <c r="AC43" s="9" t="str">
        <f t="shared" si="0"/>
        <v>B3</v>
      </c>
      <c r="AD43" s="9" t="str">
        <f t="shared" si="1"/>
        <v>Energia convencional pré-pagamento</v>
      </c>
      <c r="AE43" s="9" t="str">
        <f t="shared" si="2"/>
        <v>Não se aplica</v>
      </c>
      <c r="AF43" s="9" t="str">
        <f t="shared" si="3"/>
        <v>Não se aplica</v>
      </c>
      <c r="AG43" s="9" t="str">
        <f t="shared" si="4"/>
        <v>Não se aplica</v>
      </c>
      <c r="AH43" s="9">
        <v>1</v>
      </c>
      <c r="AI43" s="9">
        <f ca="1">TarifaMedia!$G$20</f>
        <v>0</v>
      </c>
      <c r="AJ43" s="15">
        <f>'TE BE'!$AB43+'TE BF'!$AB43+'TE CVA'!$AB43</f>
        <v>205.52329867469447</v>
      </c>
      <c r="AK43" s="9">
        <v>261.62</v>
      </c>
      <c r="AL43" s="9">
        <f t="shared" ca="1" si="5"/>
        <v>0</v>
      </c>
      <c r="AO43" s="53" t="s">
        <v>1313</v>
      </c>
    </row>
    <row r="44" spans="1:41" ht="11.25" customHeight="1" x14ac:dyDescent="0.3">
      <c r="A44" s="143" t="s">
        <v>45</v>
      </c>
      <c r="B44" s="143" t="s">
        <v>82</v>
      </c>
      <c r="C44" s="143" t="s">
        <v>46</v>
      </c>
      <c r="D44" s="70" t="s">
        <v>47</v>
      </c>
      <c r="E44" s="70" t="s">
        <v>25</v>
      </c>
      <c r="F44" s="70" t="s">
        <v>25</v>
      </c>
      <c r="G44" s="71" t="s">
        <v>81</v>
      </c>
      <c r="H44" s="71" t="s">
        <v>76</v>
      </c>
      <c r="I44" s="71">
        <f>'MERCADO TE'!$U$41</f>
        <v>4365.4290000000001</v>
      </c>
      <c r="J44" s="15"/>
      <c r="L44" s="68">
        <f>'TE BE'!$L$44*'TE BE'!$L$52</f>
        <v>-9.9163794527142123E-6</v>
      </c>
      <c r="M44" s="68">
        <f>'TE BE'!$M$44*'TE BE'!$M$52</f>
        <v>-3.7231576500710051</v>
      </c>
      <c r="N44" s="68">
        <f>'TE BE'!$N$44*'TE BE'!$N$52</f>
        <v>0</v>
      </c>
      <c r="O44" s="68">
        <f>'TE BE'!$O$44*'TE BE'!$O$52</f>
        <v>-0.30152982359174041</v>
      </c>
      <c r="P44" s="68">
        <f>'TE BE'!$P$44*'TE BE'!$P$52</f>
        <v>0</v>
      </c>
      <c r="Q44" s="68">
        <f>SUM($L$44:$P$44)</f>
        <v>-4.0246973900421983</v>
      </c>
      <c r="R44" s="68">
        <f>'TE BE'!$R$44*'TE BE'!$R$52</f>
        <v>-16.906758288438127</v>
      </c>
      <c r="S44" s="68">
        <f>SUM($R$44:$R$44)</f>
        <v>-16.906758288438127</v>
      </c>
      <c r="T44" s="68">
        <f>'TE BE'!$T$44*'TE BE'!$T$52</f>
        <v>-0.23503207933860654</v>
      </c>
      <c r="U44" s="68">
        <f>'TE BE'!$U$44*'TE BE'!$U$52</f>
        <v>-1.7352024472676527E-2</v>
      </c>
      <c r="V44" s="68">
        <f>'TE BE'!$V$44*'TE BE'!$V$52</f>
        <v>0</v>
      </c>
      <c r="W44" s="68">
        <f>SUM($T$44:$V$44)</f>
        <v>-0.25238410381128307</v>
      </c>
      <c r="X44" s="68">
        <f>'TE BE'!$AB$44*'TE BE'!$X$52</f>
        <v>-16.790062650193644</v>
      </c>
      <c r="Y44" s="68">
        <f>SUM($X$44:$X$44)</f>
        <v>-16.790062650193644</v>
      </c>
      <c r="Z44" s="68">
        <f>'TE BE'!$Z$44*'TE BE'!$Z$52</f>
        <v>-0.16522103490370882</v>
      </c>
      <c r="AA44" s="68">
        <f>SUM($Z$44:$Z$44)</f>
        <v>-0.16522103490370882</v>
      </c>
      <c r="AB44" s="68">
        <f ca="1">SUMIF($L$4:$AA$4,"SUBTOTAL",$L$44:$AA$44)+AL44</f>
        <v>-38.139123467388963</v>
      </c>
      <c r="AC44" s="9" t="str">
        <f t="shared" si="0"/>
        <v>B4</v>
      </c>
      <c r="AD44" s="9" t="str">
        <f t="shared" si="1"/>
        <v>Energia convencional</v>
      </c>
      <c r="AE44" s="9" t="str">
        <f t="shared" si="2"/>
        <v>Iluminação pública</v>
      </c>
      <c r="AF44" s="9" t="str">
        <f t="shared" si="3"/>
        <v>Iluminação pública – B4a</v>
      </c>
      <c r="AG44" s="9" t="str">
        <f t="shared" si="4"/>
        <v>Não se aplica</v>
      </c>
      <c r="AH44" s="9">
        <v>1</v>
      </c>
      <c r="AI44" s="9">
        <f ca="1">TarifaMedia!$G$20</f>
        <v>0</v>
      </c>
      <c r="AJ44" s="15">
        <f>'TE BE'!$AB44+'TE BF'!$AB44+'TE CVA'!$AB44</f>
        <v>113.03781427108197</v>
      </c>
      <c r="AK44" s="9">
        <v>143.88999999999999</v>
      </c>
      <c r="AL44" s="9">
        <f t="shared" ca="1" si="5"/>
        <v>0</v>
      </c>
      <c r="AO44" s="53" t="s">
        <v>1314</v>
      </c>
    </row>
    <row r="45" spans="1:41" ht="11.25" customHeight="1" x14ac:dyDescent="0.3">
      <c r="A45" s="143"/>
      <c r="B45" s="143"/>
      <c r="C45" s="143"/>
      <c r="D45" s="71" t="s">
        <v>98</v>
      </c>
      <c r="E45" s="71" t="s">
        <v>25</v>
      </c>
      <c r="F45" s="71" t="s">
        <v>25</v>
      </c>
      <c r="G45" s="71" t="s">
        <v>81</v>
      </c>
      <c r="H45" s="71" t="s">
        <v>76</v>
      </c>
      <c r="I45" s="71">
        <f>'MERCADO TE'!$U$42</f>
        <v>0</v>
      </c>
      <c r="J45" s="15"/>
      <c r="L45" s="68">
        <f>'TE BE'!$L$45*'TE BE'!$L$52</f>
        <v>-1.0817868493870049E-5</v>
      </c>
      <c r="M45" s="68">
        <f>'TE BE'!$M$45*'TE BE'!$M$52</f>
        <v>-4.061626527350187</v>
      </c>
      <c r="N45" s="68">
        <f>'TE BE'!$N$45*'TE BE'!$N$52</f>
        <v>0</v>
      </c>
      <c r="O45" s="68">
        <f>'TE BE'!$O$45*'TE BE'!$O$52</f>
        <v>-0.32894162573644409</v>
      </c>
      <c r="P45" s="68">
        <f>'TE BE'!$P$45*'TE BE'!$P$52</f>
        <v>0</v>
      </c>
      <c r="Q45" s="68">
        <f>SUM($L$45:$P$45)</f>
        <v>-4.3905789709551248</v>
      </c>
      <c r="R45" s="68">
        <f>'TE BE'!$R$45*'TE BE'!$R$52</f>
        <v>-18.44373631465977</v>
      </c>
      <c r="S45" s="68">
        <f>SUM($R$45:$R$45)</f>
        <v>-18.44373631465977</v>
      </c>
      <c r="T45" s="68">
        <f>'TE BE'!$T$45*'TE BE'!$T$52</f>
        <v>-0.25639863200575258</v>
      </c>
      <c r="U45" s="68">
        <f>'TE BE'!$U$45*'TE BE'!$U$52</f>
        <v>-1.8929481242919849E-2</v>
      </c>
      <c r="V45" s="68">
        <f>'TE BE'!$V$45*'TE BE'!$V$52</f>
        <v>0</v>
      </c>
      <c r="W45" s="68">
        <f>SUM($T$45:$V$45)</f>
        <v>-0.27532811324867246</v>
      </c>
      <c r="X45" s="68">
        <f>'TE BE'!$AB$45*'TE BE'!$X$52</f>
        <v>-18.316431982029428</v>
      </c>
      <c r="Y45" s="68">
        <f>SUM($X$45:$X$45)</f>
        <v>-18.316431982029428</v>
      </c>
      <c r="Z45" s="68">
        <f>'TE BE'!$Z$45*'TE BE'!$Z$52</f>
        <v>-0.18024112898586414</v>
      </c>
      <c r="AA45" s="68">
        <f>SUM($Z$45:$Z$45)</f>
        <v>-0.18024112898586414</v>
      </c>
      <c r="AB45" s="68">
        <f ca="1">SUMIF($L$4:$AA$4,"SUBTOTAL",$L$45:$AA$45)+AL45</f>
        <v>-41.606316509878859</v>
      </c>
      <c r="AC45" s="9" t="str">
        <f t="shared" si="0"/>
        <v>B4</v>
      </c>
      <c r="AD45" s="9" t="str">
        <f t="shared" si="1"/>
        <v>Energia convencional</v>
      </c>
      <c r="AE45" s="9" t="str">
        <f t="shared" si="2"/>
        <v>Iluminação pública</v>
      </c>
      <c r="AF45" s="9" t="str">
        <f t="shared" si="3"/>
        <v>Iluminação pública – B4b</v>
      </c>
      <c r="AG45" s="9" t="str">
        <f t="shared" si="4"/>
        <v>Não se aplica</v>
      </c>
      <c r="AH45" s="9">
        <v>1</v>
      </c>
      <c r="AI45" s="9">
        <f ca="1">TarifaMedia!$G$20</f>
        <v>0</v>
      </c>
      <c r="AJ45" s="15">
        <f>'TE BE'!$AB45+'TE BF'!$AB45+'TE CVA'!$AB45</f>
        <v>123.31397920481669</v>
      </c>
      <c r="AK45" s="9">
        <v>156.97</v>
      </c>
      <c r="AL45" s="9">
        <f t="shared" ca="1" si="5"/>
        <v>0</v>
      </c>
      <c r="AO45" s="53" t="s">
        <v>1315</v>
      </c>
    </row>
    <row r="47" spans="1:41" ht="11.25" customHeight="1" x14ac:dyDescent="0.3">
      <c r="K47" s="73" t="s">
        <v>716</v>
      </c>
      <c r="L47" s="68">
        <f t="shared" ref="L47:AB47" si="6">SUMPRODUCT($I$5:$I$45,L$5:L$45)</f>
        <v>-1.3138446416525909</v>
      </c>
      <c r="M47" s="68">
        <f t="shared" si="6"/>
        <v>-493289.9907571355</v>
      </c>
      <c r="N47" s="68">
        <f t="shared" si="6"/>
        <v>0</v>
      </c>
      <c r="O47" s="68">
        <f t="shared" si="6"/>
        <v>-39950.401748293858</v>
      </c>
      <c r="P47" s="68">
        <f t="shared" si="6"/>
        <v>0</v>
      </c>
      <c r="Q47" s="68">
        <f t="shared" si="6"/>
        <v>-533241.70635007112</v>
      </c>
      <c r="R47" s="68">
        <f t="shared" si="6"/>
        <v>-2229271.9091954995</v>
      </c>
      <c r="S47" s="68">
        <f t="shared" si="6"/>
        <v>-2229271.9091954995</v>
      </c>
      <c r="T47" s="68">
        <f t="shared" si="6"/>
        <v>-31139.957837230035</v>
      </c>
      <c r="U47" s="68">
        <f t="shared" si="6"/>
        <v>-2299.0108924291599</v>
      </c>
      <c r="V47" s="68">
        <f t="shared" si="6"/>
        <v>0</v>
      </c>
      <c r="W47" s="68">
        <f t="shared" si="6"/>
        <v>-33438.968729659195</v>
      </c>
      <c r="X47" s="68">
        <f t="shared" si="6"/>
        <v>-2049499.9443448738</v>
      </c>
      <c r="Y47" s="68">
        <f t="shared" si="6"/>
        <v>-2049499.9443448738</v>
      </c>
      <c r="Z47" s="68">
        <f t="shared" si="6"/>
        <v>-21890.526923827827</v>
      </c>
      <c r="AA47" s="68">
        <f t="shared" si="6"/>
        <v>-21890.526923827827</v>
      </c>
      <c r="AB47" s="68">
        <f t="shared" ca="1" si="6"/>
        <v>-4867343.0555439321</v>
      </c>
    </row>
    <row r="48" spans="1:41" ht="11.25" customHeight="1" x14ac:dyDescent="0.3">
      <c r="K48" s="73" t="s">
        <v>652</v>
      </c>
      <c r="L48" s="68">
        <f>CUSTOS!$D$30</f>
        <v>167940.82504070833</v>
      </c>
      <c r="M48" s="68">
        <f>CUSTOS!$D$31</f>
        <v>1712489.293852424</v>
      </c>
      <c r="N48" s="68">
        <f>CUSTOS!$D$32</f>
        <v>0</v>
      </c>
      <c r="O48" s="68">
        <f>CUSTOS!$D$33</f>
        <v>790965.44408662</v>
      </c>
      <c r="P48" s="68">
        <f>CUSTOS!$D$34</f>
        <v>-1110000</v>
      </c>
      <c r="Q48" s="68">
        <f>CUSTOS!$D$35</f>
        <v>1561395.5629797522</v>
      </c>
      <c r="R48" s="68">
        <f>CUSTOS!$D$36</f>
        <v>14953142.10204223</v>
      </c>
      <c r="S48" s="68">
        <f>CUSTOS!$D$37</f>
        <v>14953142.10204223</v>
      </c>
      <c r="T48" s="68">
        <f>CUSTOS!$D$38</f>
        <v>385890.19522984239</v>
      </c>
      <c r="U48" s="68">
        <f>CUSTOS!$D$39</f>
        <v>270104.33764690749</v>
      </c>
      <c r="V48" s="68">
        <f>CUSTOS!$D$40</f>
        <v>0</v>
      </c>
      <c r="W48" s="68">
        <f>CUSTOS!$D$41</f>
        <v>655994.53287674987</v>
      </c>
      <c r="X48" s="68">
        <f>CUSTOS!$D$42</f>
        <v>0</v>
      </c>
      <c r="Y48" s="68">
        <f>CUSTOS!$D$43</f>
        <v>0</v>
      </c>
      <c r="Z48" s="68">
        <f>CUSTOS!$D$44</f>
        <v>146833.6627893484</v>
      </c>
      <c r="AA48" s="68">
        <f>CUSTOS!$D$45</f>
        <v>146833.6627893484</v>
      </c>
      <c r="AB48" s="68">
        <f>CUSTOS!$D$46</f>
        <v>17317365.860688079</v>
      </c>
    </row>
    <row r="49" spans="11:28" ht="11.25" customHeight="1" x14ac:dyDescent="0.3">
      <c r="K49" s="73" t="s">
        <v>653</v>
      </c>
      <c r="L49" s="68">
        <f>CUSTOS!$E$30</f>
        <v>-1.3138446416525909</v>
      </c>
      <c r="M49" s="68">
        <f>CUSTOS!$E$31</f>
        <v>-493289.99075713538</v>
      </c>
      <c r="N49" s="68">
        <f>CUSTOS!$E$32</f>
        <v>0</v>
      </c>
      <c r="O49" s="68">
        <f>CUSTOS!$E$33</f>
        <v>-39950.401748293851</v>
      </c>
      <c r="P49" s="68">
        <f>CUSTOS!$E$34</f>
        <v>0</v>
      </c>
      <c r="Q49" s="68">
        <f>CUSTOS!$E$35</f>
        <v>-533241.70635007089</v>
      </c>
      <c r="R49" s="68">
        <f>CUSTOS!$E$36</f>
        <v>-2229271.9091954995</v>
      </c>
      <c r="S49" s="68">
        <f>CUSTOS!$E$37</f>
        <v>-2229271.9091954995</v>
      </c>
      <c r="T49" s="68">
        <f>CUSTOS!$E$38</f>
        <v>-31139.957837230031</v>
      </c>
      <c r="U49" s="68">
        <f>CUSTOS!$E$39</f>
        <v>-2299.010892429159</v>
      </c>
      <c r="V49" s="68">
        <f>CUSTOS!$E$40</f>
        <v>0</v>
      </c>
      <c r="W49" s="68">
        <f>CUSTOS!$E$41</f>
        <v>-33438.968729659187</v>
      </c>
      <c r="X49" s="68">
        <f>CUSTOS!$E$42</f>
        <v>-2049499.9443448738</v>
      </c>
      <c r="Y49" s="68">
        <f>CUSTOS!$E$43</f>
        <v>-2049499.9443448738</v>
      </c>
      <c r="Z49" s="68">
        <f>CUSTOS!$E$44</f>
        <v>-21890.526923827827</v>
      </c>
      <c r="AA49" s="68">
        <f>CUSTOS!$E$45</f>
        <v>-21890.526923827827</v>
      </c>
      <c r="AB49" s="68">
        <f>CUSTOS!$E$46</f>
        <v>-4867343.0555439312</v>
      </c>
    </row>
    <row r="50" spans="11:28" ht="11.25" customHeight="1" x14ac:dyDescent="0.3">
      <c r="K50" s="73" t="s">
        <v>654</v>
      </c>
      <c r="L50" s="68">
        <f>CUSTOS!$F$30</f>
        <v>0</v>
      </c>
      <c r="M50" s="68">
        <f>CUSTOS!$F$31</f>
        <v>913870.79390000005</v>
      </c>
      <c r="N50" s="68">
        <f>CUSTOS!$F$32</f>
        <v>0</v>
      </c>
      <c r="O50" s="68">
        <f>CUSTOS!$F$33</f>
        <v>51876.921013676954</v>
      </c>
      <c r="P50" s="68">
        <f>CUSTOS!$F$34</f>
        <v>0</v>
      </c>
      <c r="Q50" s="68">
        <f>CUSTOS!$F$35</f>
        <v>965747.71491367696</v>
      </c>
      <c r="R50" s="68">
        <f>CUSTOS!$F$36</f>
        <v>1522229.0061600239</v>
      </c>
      <c r="S50" s="68">
        <f>CUSTOS!$F$37</f>
        <v>1522229.0061600239</v>
      </c>
      <c r="T50" s="68">
        <f>CUSTOS!$F$38</f>
        <v>115104.2267</v>
      </c>
      <c r="U50" s="68">
        <f>CUSTOS!$F$39</f>
        <v>14988.964900000001</v>
      </c>
      <c r="V50" s="68">
        <f>CUSTOS!$F$40</f>
        <v>0</v>
      </c>
      <c r="W50" s="68">
        <f>CUSTOS!$F$41</f>
        <v>130093.19160000001</v>
      </c>
      <c r="X50" s="68">
        <f>CUSTOS!$F$42</f>
        <v>0</v>
      </c>
      <c r="Y50" s="68">
        <f>CUSTOS!$F$43</f>
        <v>0</v>
      </c>
      <c r="Z50" s="68">
        <f>CUSTOS!$F$44</f>
        <v>14947.65842880202</v>
      </c>
      <c r="AA50" s="68">
        <f>CUSTOS!$F$45</f>
        <v>14947.65842880202</v>
      </c>
      <c r="AB50" s="68">
        <f>CUSTOS!$F$46</f>
        <v>2633017.5711025032</v>
      </c>
    </row>
    <row r="51" spans="11:28" ht="11.25" customHeight="1" x14ac:dyDescent="0.3">
      <c r="K51" s="73" t="s">
        <v>717</v>
      </c>
      <c r="L51" s="68">
        <f>'TR TE'!$L$51*L52</f>
        <v>0</v>
      </c>
      <c r="M51" s="68">
        <f>'TR TE'!$M$51*M52</f>
        <v>12.540972952433405</v>
      </c>
      <c r="N51" s="68">
        <f>'TR TE'!$N$51*N52</f>
        <v>0</v>
      </c>
      <c r="O51" s="68">
        <f>'TR TE'!$O$51*O52</f>
        <v>0.71190267555397657</v>
      </c>
      <c r="P51" s="68">
        <f>'TR TE'!$P$51*P52</f>
        <v>0</v>
      </c>
      <c r="Q51" s="68"/>
      <c r="R51" s="68">
        <f>'TR TE'!$R$51*R52</f>
        <v>20.739014381850147</v>
      </c>
      <c r="S51" s="68"/>
      <c r="T51" s="68">
        <f>'TR TE'!$T$51*T52</f>
        <v>1.5795657366345588</v>
      </c>
      <c r="U51" s="68">
        <f>'TR TE'!$U$51*U52</f>
        <v>0.20569231958237072</v>
      </c>
      <c r="V51" s="68">
        <f>'TR TE'!$V$51*V52</f>
        <v>0</v>
      </c>
      <c r="W51" s="68"/>
      <c r="X51" s="68"/>
      <c r="Y51" s="68"/>
      <c r="Z51" s="68">
        <f>'TR TE'!$Z$51*Z52</f>
        <v>0.20512547431112221</v>
      </c>
      <c r="AA51" s="68"/>
      <c r="AB51" s="68"/>
    </row>
    <row r="52" spans="11:28" ht="11.25" customHeight="1" x14ac:dyDescent="0.3">
      <c r="K52" s="73" t="s">
        <v>712</v>
      </c>
      <c r="L52" s="68">
        <f>IF(L48&lt;&gt;0,L50/L48,0)</f>
        <v>0</v>
      </c>
      <c r="M52" s="68">
        <f>IF(M48&lt;&gt;0,M50/M48,0)</f>
        <v>0.53365051517732531</v>
      </c>
      <c r="N52" s="68">
        <f>IF(N48&lt;&gt;0,N50/N48,0)</f>
        <v>0</v>
      </c>
      <c r="O52" s="68">
        <f>IF(O48&lt;&gt;0,O50/O48,0)</f>
        <v>6.5586836190527464E-2</v>
      </c>
      <c r="P52" s="68">
        <f>IF(P48&lt;&gt;0,P50/P48,0)</f>
        <v>0</v>
      </c>
      <c r="Q52" s="68"/>
      <c r="R52" s="68">
        <f>IF(R48&lt;&gt;0,R50/R48,0)</f>
        <v>0.10179994249851508</v>
      </c>
      <c r="S52" s="68"/>
      <c r="T52" s="68">
        <f>IF(T48&lt;&gt;0,T50/T48,0)</f>
        <v>0.29828233036976248</v>
      </c>
      <c r="U52" s="68">
        <f>IF(U48&lt;&gt;0,U50/U48,0)</f>
        <v>5.5493240244050612E-2</v>
      </c>
      <c r="V52" s="68">
        <f>IF(V48&lt;&gt;0,V50/V48,0)</f>
        <v>0</v>
      </c>
      <c r="W52" s="68"/>
      <c r="X52" s="68">
        <f>IF($AB48&lt;&gt;0,X50/($AB48-SUM('TR TE'!$L51:'TR TE'!$AA51)*0),0)</f>
        <v>0</v>
      </c>
      <c r="Y52" s="68"/>
      <c r="Z52" s="68">
        <f>IF(Z48&lt;&gt;0,Z50/Z48,0)</f>
        <v>0.10179994249851508</v>
      </c>
      <c r="AA52" s="68"/>
      <c r="AB52" s="68"/>
    </row>
    <row r="53" spans="11:28" ht="11.25" customHeight="1" x14ac:dyDescent="0.3"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</row>
  </sheetData>
  <mergeCells count="72">
    <mergeCell ref="AJ1:AJ4"/>
    <mergeCell ref="AK1:AK4"/>
    <mergeCell ref="AL1:AL4"/>
    <mergeCell ref="AO1:AO4"/>
    <mergeCell ref="AD1:AD4"/>
    <mergeCell ref="AE1:AE4"/>
    <mergeCell ref="AF1:AF4"/>
    <mergeCell ref="AG1:AG4"/>
    <mergeCell ref="AH1:AH4"/>
    <mergeCell ref="AI1:AI4"/>
    <mergeCell ref="E39:E41"/>
    <mergeCell ref="F39:F41"/>
    <mergeCell ref="A44:A45"/>
    <mergeCell ref="B44:B45"/>
    <mergeCell ref="C44:C45"/>
    <mergeCell ref="AC1:AC4"/>
    <mergeCell ref="B36:B38"/>
    <mergeCell ref="C36:C38"/>
    <mergeCell ref="A39:A43"/>
    <mergeCell ref="B39:B41"/>
    <mergeCell ref="C39:C41"/>
    <mergeCell ref="D39:D41"/>
    <mergeCell ref="F28:F30"/>
    <mergeCell ref="B32:B34"/>
    <mergeCell ref="C32:C34"/>
    <mergeCell ref="D32:D34"/>
    <mergeCell ref="E32:E34"/>
    <mergeCell ref="F32:F34"/>
    <mergeCell ref="A24:A38"/>
    <mergeCell ref="B24:B26"/>
    <mergeCell ref="C24:C26"/>
    <mergeCell ref="D24:D26"/>
    <mergeCell ref="E24:E26"/>
    <mergeCell ref="F24:F26"/>
    <mergeCell ref="B28:B30"/>
    <mergeCell ref="C28:C30"/>
    <mergeCell ref="D28:D30"/>
    <mergeCell ref="E28:E30"/>
    <mergeCell ref="A11:A23"/>
    <mergeCell ref="B11:B13"/>
    <mergeCell ref="C11:C13"/>
    <mergeCell ref="D11:D13"/>
    <mergeCell ref="E11:E13"/>
    <mergeCell ref="F11:F13"/>
    <mergeCell ref="B14:B18"/>
    <mergeCell ref="C14:C18"/>
    <mergeCell ref="B19:B23"/>
    <mergeCell ref="C19:C23"/>
    <mergeCell ref="Z3:AA3"/>
    <mergeCell ref="AB3:AB4"/>
    <mergeCell ref="A5:A10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B1"/>
    <mergeCell ref="L2:AB2"/>
    <mergeCell ref="L3:Q3"/>
    <mergeCell ref="R3:S3"/>
    <mergeCell ref="T3:W3"/>
    <mergeCell ref="X3:Y3"/>
    <mergeCell ref="A1:A4"/>
    <mergeCell ref="B1:B4"/>
    <mergeCell ref="C1:C4"/>
    <mergeCell ref="D1:D4"/>
    <mergeCell ref="E1:E4"/>
    <mergeCell ref="F1:F4"/>
  </mergeCells>
  <conditionalFormatting sqref="L47">
    <cfRule type="cellIs" dxfId="2932" priority="33" operator="notEqual">
      <formula>$L$49</formula>
    </cfRule>
    <cfRule type="cellIs" dxfId="2931" priority="34" operator="equal">
      <formula>$L$49</formula>
    </cfRule>
  </conditionalFormatting>
  <conditionalFormatting sqref="M47">
    <cfRule type="cellIs" dxfId="2930" priority="31" operator="notEqual">
      <formula>$M$49</formula>
    </cfRule>
    <cfRule type="cellIs" dxfId="2929" priority="32" operator="equal">
      <formula>$M$49</formula>
    </cfRule>
  </conditionalFormatting>
  <conditionalFormatting sqref="N47">
    <cfRule type="cellIs" dxfId="2928" priority="29" operator="notEqual">
      <formula>$N$49</formula>
    </cfRule>
    <cfRule type="cellIs" dxfId="2927" priority="30" operator="equal">
      <formula>$N$49</formula>
    </cfRule>
  </conditionalFormatting>
  <conditionalFormatting sqref="O47">
    <cfRule type="cellIs" dxfId="2926" priority="27" operator="notEqual">
      <formula>$O$49</formula>
    </cfRule>
    <cfRule type="cellIs" dxfId="2925" priority="28" operator="equal">
      <formula>$O$49</formula>
    </cfRule>
  </conditionalFormatting>
  <conditionalFormatting sqref="P47">
    <cfRule type="cellIs" dxfId="2924" priority="25" operator="notEqual">
      <formula>$P$49</formula>
    </cfRule>
    <cfRule type="cellIs" dxfId="2923" priority="26" operator="equal">
      <formula>$P$49</formula>
    </cfRule>
  </conditionalFormatting>
  <conditionalFormatting sqref="Q47">
    <cfRule type="cellIs" dxfId="2922" priority="23" operator="notEqual">
      <formula>$Q$49</formula>
    </cfRule>
    <cfRule type="cellIs" dxfId="2921" priority="24" operator="equal">
      <formula>$Q$49</formula>
    </cfRule>
  </conditionalFormatting>
  <conditionalFormatting sqref="R47">
    <cfRule type="cellIs" dxfId="2920" priority="21" operator="notEqual">
      <formula>$R$49</formula>
    </cfRule>
    <cfRule type="cellIs" dxfId="2919" priority="22" operator="equal">
      <formula>$R$49</formula>
    </cfRule>
  </conditionalFormatting>
  <conditionalFormatting sqref="S47">
    <cfRule type="cellIs" dxfId="2918" priority="19" operator="notEqual">
      <formula>$S$49</formula>
    </cfRule>
    <cfRule type="cellIs" dxfId="2917" priority="20" operator="equal">
      <formula>$S$49</formula>
    </cfRule>
  </conditionalFormatting>
  <conditionalFormatting sqref="T47">
    <cfRule type="cellIs" dxfId="2916" priority="17" operator="notEqual">
      <formula>$T$49</formula>
    </cfRule>
    <cfRule type="cellIs" dxfId="2915" priority="18" operator="equal">
      <formula>$T$49</formula>
    </cfRule>
  </conditionalFormatting>
  <conditionalFormatting sqref="U47">
    <cfRule type="cellIs" dxfId="2914" priority="15" operator="notEqual">
      <formula>$U$49</formula>
    </cfRule>
    <cfRule type="cellIs" dxfId="2913" priority="16" operator="equal">
      <formula>$U$49</formula>
    </cfRule>
  </conditionalFormatting>
  <conditionalFormatting sqref="V47">
    <cfRule type="cellIs" dxfId="2912" priority="13" operator="notEqual">
      <formula>$V$49</formula>
    </cfRule>
    <cfRule type="cellIs" dxfId="2911" priority="14" operator="equal">
      <formula>$V$49</formula>
    </cfRule>
  </conditionalFormatting>
  <conditionalFormatting sqref="W47">
    <cfRule type="cellIs" dxfId="2910" priority="11" operator="notEqual">
      <formula>$W$49</formula>
    </cfRule>
    <cfRule type="cellIs" dxfId="2909" priority="12" operator="equal">
      <formula>$W$49</formula>
    </cfRule>
  </conditionalFormatting>
  <conditionalFormatting sqref="X47">
    <cfRule type="cellIs" dxfId="2908" priority="9" operator="notEqual">
      <formula>$X$49</formula>
    </cfRule>
    <cfRule type="cellIs" dxfId="2907" priority="10" operator="equal">
      <formula>$X$49</formula>
    </cfRule>
  </conditionalFormatting>
  <conditionalFormatting sqref="Y47">
    <cfRule type="cellIs" dxfId="2906" priority="7" operator="notEqual">
      <formula>$Y$49</formula>
    </cfRule>
    <cfRule type="cellIs" dxfId="2905" priority="8" operator="equal">
      <formula>$Y$49</formula>
    </cfRule>
  </conditionalFormatting>
  <conditionalFormatting sqref="Z47">
    <cfRule type="cellIs" dxfId="2904" priority="5" operator="notEqual">
      <formula>$Z$49</formula>
    </cfRule>
    <cfRule type="cellIs" dxfId="2903" priority="6" operator="equal">
      <formula>$Z$49</formula>
    </cfRule>
  </conditionalFormatting>
  <conditionalFormatting sqref="AA47">
    <cfRule type="cellIs" dxfId="2902" priority="3" operator="notEqual">
      <formula>$AA$49</formula>
    </cfRule>
    <cfRule type="cellIs" dxfId="2901" priority="4" operator="equal">
      <formula>$AA$49</formula>
    </cfRule>
  </conditionalFormatting>
  <conditionalFormatting sqref="AB47">
    <cfRule type="cellIs" dxfId="2900" priority="1" operator="notEqual">
      <formula>$AB$49</formula>
    </cfRule>
    <cfRule type="cellIs" dxfId="2899" priority="2" operator="equal">
      <formula>$AB$49</formula>
    </cfRule>
  </conditionalFormatting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8C545-9110-4472-A4B2-FB2460B3214F}">
  <sheetPr codeName="Planilha31">
    <tabColor indexed="12" tint="-0.249977111117893"/>
  </sheetPr>
  <dimension ref="A1:AV667"/>
  <sheetViews>
    <sheetView showGridLines="0" workbookViewId="0">
      <selection activeCell="AK31" sqref="AK31"/>
    </sheetView>
  </sheetViews>
  <sheetFormatPr defaultColWidth="8.88671875" defaultRowHeight="11.25" customHeight="1" x14ac:dyDescent="0.3"/>
  <cols>
    <col min="1" max="1" width="19.109375" style="3" bestFit="1" customWidth="1"/>
    <col min="2" max="2" width="13.33203125" style="3" bestFit="1" customWidth="1"/>
    <col min="3" max="3" width="14.5546875" style="3" bestFit="1" customWidth="1"/>
    <col min="4" max="4" width="13.5546875" style="3" bestFit="1" customWidth="1"/>
    <col min="5" max="5" width="25.109375" style="3" bestFit="1" customWidth="1"/>
    <col min="6" max="6" width="13.33203125" style="3" bestFit="1" customWidth="1"/>
    <col min="7" max="7" width="11.33203125" style="3" bestFit="1" customWidth="1"/>
    <col min="8" max="8" width="10.33203125" style="3" bestFit="1" customWidth="1"/>
    <col min="9" max="9" width="12.109375" style="6" bestFit="1" customWidth="1"/>
    <col min="10" max="10" width="7" style="4" bestFit="1" customWidth="1"/>
    <col min="11" max="11" width="7.88671875" style="4" bestFit="1" customWidth="1"/>
    <col min="12" max="12" width="11.33203125" style="4" bestFit="1" customWidth="1"/>
    <col min="13" max="13" width="12.5546875" style="4" bestFit="1" customWidth="1"/>
    <col min="14" max="14" width="9.109375" style="4" bestFit="1" customWidth="1"/>
    <col min="15" max="15" width="10.44140625" style="4" bestFit="1" customWidth="1"/>
    <col min="16" max="16" width="7.6640625" style="4" bestFit="1" customWidth="1"/>
    <col min="17" max="17" width="11.109375" style="3" bestFit="1" customWidth="1"/>
    <col min="18" max="18" width="13.109375" style="3" bestFit="1" customWidth="1"/>
    <col min="19" max="19" width="23" style="3" bestFit="1" customWidth="1"/>
    <col min="20" max="20" width="24.44140625" style="3" bestFit="1" customWidth="1"/>
    <col min="21" max="21" width="22.33203125" style="3" bestFit="1" customWidth="1"/>
    <col min="22" max="22" width="15.88671875" style="3" bestFit="1" customWidth="1"/>
    <col min="23" max="23" width="17.33203125" style="3" bestFit="1" customWidth="1"/>
    <col min="24" max="24" width="15.109375" style="3" bestFit="1" customWidth="1"/>
    <col min="25" max="25" width="20.88671875" style="3" bestFit="1" customWidth="1"/>
    <col min="26" max="26" width="22.44140625" style="3" bestFit="1" customWidth="1"/>
    <col min="27" max="27" width="20.109375" style="3" bestFit="1" customWidth="1"/>
    <col min="28" max="28" width="23.33203125" style="3" bestFit="1" customWidth="1"/>
    <col min="29" max="29" width="24.6640625" style="3" bestFit="1" customWidth="1"/>
    <col min="30" max="30" width="22.5546875" style="3" bestFit="1" customWidth="1"/>
    <col min="31" max="31" width="24.109375" style="3" bestFit="1" customWidth="1"/>
    <col min="32" max="32" width="25.5546875" style="3" bestFit="1" customWidth="1"/>
    <col min="33" max="33" width="23.44140625" style="3" bestFit="1" customWidth="1"/>
    <col min="34" max="34" width="8.88671875" style="3"/>
    <col min="35" max="35" width="9.33203125" style="3" bestFit="1" customWidth="1"/>
    <col min="36" max="36" width="14.5546875" style="3" bestFit="1" customWidth="1"/>
    <col min="37" max="37" width="15.44140625" style="3" bestFit="1" customWidth="1"/>
    <col min="38" max="38" width="9.33203125" style="3" bestFit="1" customWidth="1"/>
    <col min="39" max="39" width="8.88671875" style="3"/>
    <col min="40" max="40" width="9.33203125" style="3" bestFit="1" customWidth="1"/>
    <col min="41" max="41" width="12.33203125" style="3" bestFit="1" customWidth="1"/>
    <col min="42" max="42" width="13.33203125" style="3" bestFit="1" customWidth="1"/>
    <col min="43" max="43" width="9.33203125" style="3" bestFit="1" customWidth="1"/>
    <col min="44" max="44" width="8.88671875" style="3"/>
    <col min="45" max="45" width="9.33203125" style="3" bestFit="1" customWidth="1"/>
    <col min="46" max="47" width="10.88671875" style="3" bestFit="1" customWidth="1"/>
    <col min="48" max="48" width="9.33203125" style="3" bestFit="1" customWidth="1"/>
    <col min="49" max="16384" width="8.88671875" style="3"/>
  </cols>
  <sheetData>
    <row r="1" spans="1:48" s="1" customFormat="1" ht="11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737</v>
      </c>
      <c r="W1" s="1" t="s">
        <v>738</v>
      </c>
      <c r="X1" s="1" t="s">
        <v>739</v>
      </c>
      <c r="Y1" s="1" t="s">
        <v>740</v>
      </c>
      <c r="Z1" s="1" t="s">
        <v>741</v>
      </c>
      <c r="AA1" s="1" t="s">
        <v>742</v>
      </c>
      <c r="AB1" s="1" t="s">
        <v>745</v>
      </c>
      <c r="AC1" s="1" t="s">
        <v>746</v>
      </c>
      <c r="AD1" s="1" t="s">
        <v>747</v>
      </c>
      <c r="AE1" s="1" t="s">
        <v>748</v>
      </c>
      <c r="AF1" s="1" t="s">
        <v>749</v>
      </c>
      <c r="AG1" s="1" t="s">
        <v>750</v>
      </c>
      <c r="AI1" s="82" t="s">
        <v>66</v>
      </c>
      <c r="AJ1" s="82" t="s">
        <v>751</v>
      </c>
      <c r="AK1" s="82" t="s">
        <v>752</v>
      </c>
      <c r="AL1" s="82" t="s">
        <v>753</v>
      </c>
      <c r="AN1" s="82" t="s">
        <v>66</v>
      </c>
      <c r="AO1" s="82" t="s">
        <v>754</v>
      </c>
      <c r="AP1" s="82" t="s">
        <v>755</v>
      </c>
      <c r="AQ1" s="82" t="s">
        <v>753</v>
      </c>
      <c r="AS1" s="82" t="s">
        <v>66</v>
      </c>
      <c r="AT1" s="82" t="s">
        <v>756</v>
      </c>
      <c r="AU1" s="82" t="s">
        <v>757</v>
      </c>
      <c r="AV1" s="82" t="s">
        <v>753</v>
      </c>
    </row>
    <row r="2" spans="1:48" ht="11.25" customHeight="1" x14ac:dyDescent="0.3">
      <c r="A2" s="3" t="s">
        <v>21</v>
      </c>
      <c r="B2" s="3" t="s">
        <v>39</v>
      </c>
      <c r="C2" s="3" t="s">
        <v>56</v>
      </c>
      <c r="D2" s="3" t="s">
        <v>25</v>
      </c>
      <c r="E2" s="3" t="s">
        <v>25</v>
      </c>
      <c r="F2" s="3" t="s">
        <v>57</v>
      </c>
      <c r="G2" s="3" t="s">
        <v>58</v>
      </c>
      <c r="H2" s="3" t="s">
        <v>35</v>
      </c>
      <c r="I2" s="6">
        <v>44378</v>
      </c>
      <c r="J2" s="4">
        <v>1083</v>
      </c>
      <c r="K2" s="18">
        <f>J2*(1-SUMIFS(CUSTOS!$T$40:$T$100,CUSTOS!$O$40:$O$100,EFEITO_350!G2,CUSTOS!$S$40:$S$100,EFEITO_350!B2,CUSTOS!$R$40:$R$100,"Potência"))</f>
        <v>1083</v>
      </c>
      <c r="L2" s="4">
        <v>292.06900000000002</v>
      </c>
      <c r="M2" s="18">
        <f>L2*(1-SUMIFS(CUSTOS!$T$40:$T$100,CUSTOS!$O$40:$O$100,EFEITO_350!G2,CUSTOS!$S$40:$S$100,EFEITO_350!B2,CUSTOS!$R$40:$R$100,"Potência"))</f>
        <v>292.06900000000002</v>
      </c>
      <c r="N2" s="4">
        <v>0</v>
      </c>
      <c r="O2" s="18">
        <f>N2*(1-SUMIFS(CUSTOS!$T$40:$T$100,CUSTOS!$O$40:$O$100,EFEITO_350!G2,CUSTOS!$S$40:$S$100,EFEITO_350!B2,CUSTOS!$R$40:$R$100,"Energia"))</f>
        <v>0</v>
      </c>
      <c r="P2" s="4">
        <v>0</v>
      </c>
      <c r="Q2" s="3" t="s">
        <v>59</v>
      </c>
      <c r="R2" s="3">
        <v>5343</v>
      </c>
      <c r="S2" s="4">
        <v>6</v>
      </c>
      <c r="T2" s="4">
        <v>7</v>
      </c>
      <c r="U2" s="4">
        <v>0</v>
      </c>
      <c r="V2" s="4">
        <f>IF(ISERROR(VLOOKUP($S$2,'TAR FIN'!$A$1:$O$91,15,0)),0,VLOOKUP($S$2,'TAR FIN'!$A$1:$O$91,15,0))</f>
        <v>23.37</v>
      </c>
      <c r="W2" s="4">
        <f>IF(ISERROR(VLOOKUP($T$2,'TAR FIN'!$A$1:$O$91,15,0)),0,VLOOKUP($T$2,'TAR FIN'!$A$1:$O$91,15,0))</f>
        <v>12.96</v>
      </c>
      <c r="X2" s="4">
        <f>IF(ISERROR(VLOOKUP($U$2,'TAR FIN'!$A$1:$O$91,15,0)),0,VLOOKUP($U$2,'TAR FIN'!$A$1:$O$91,15,0))</f>
        <v>0</v>
      </c>
      <c r="Y2" s="4">
        <f ca="1">('TUSD BE'!$AM$10+'TUSD BF_350'!$AM$10+'TUSD CVA'!$AM$10)*1</f>
        <v>23.819711465050677</v>
      </c>
      <c r="Z2" s="4">
        <f ca="1">('TUSD BE'!$AM$11+'TUSD BF_350'!$AM$11+'TUSD CVA'!$AM$11)*1</f>
        <v>11.103927165111529</v>
      </c>
      <c r="AA2" s="4">
        <f ca="1">('TE BE'!$AB$9+'TE BF_350'!$AB$9+'TE CVA'!$AB$9)*1</f>
        <v>233.70080441251889</v>
      </c>
      <c r="AB2" s="4">
        <f>$K$2*$V$2</f>
        <v>25309.710000000003</v>
      </c>
      <c r="AC2" s="4">
        <f>$M$2*$W$2</f>
        <v>3785.2142400000002</v>
      </c>
      <c r="AD2" s="4">
        <f>$O$2*$X$2</f>
        <v>0</v>
      </c>
      <c r="AE2" s="4">
        <f ca="1">$K$2*$Y$2</f>
        <v>25796.747516649884</v>
      </c>
      <c r="AF2" s="4">
        <f ca="1">$M$2*$Z$2</f>
        <v>3243.1129031869591</v>
      </c>
      <c r="AG2" s="4">
        <f ca="1">$O$2*$AA$2</f>
        <v>0</v>
      </c>
      <c r="AI2" s="83" t="s">
        <v>39</v>
      </c>
      <c r="AJ2" s="84">
        <f>SUMIF($B$2:$B$667,AI2,$AB$2:$AB$667)+SUMIF($B$2:$B$667,AI2,$AC$2:$AC$667)</f>
        <v>6758483.0079467688</v>
      </c>
      <c r="AK2" s="84">
        <f ca="1">SUMIF($B$2:$B$667,AI2,$AE$2:$AE$667)+SUMIF($B$2:$B$667,AI2,$AF$2:$AF$667)</f>
        <v>7101341.9945810465</v>
      </c>
      <c r="AL2" s="85">
        <f t="shared" ref="AL2:AL9" ca="1" si="0">IF(AJ2&lt;&gt;0,AK2/AJ2-1,0)</f>
        <v>5.0730169215656318E-2</v>
      </c>
      <c r="AN2" s="83" t="s">
        <v>39</v>
      </c>
      <c r="AO2" s="84">
        <f>SUMIF($B$2:$B$667,AN2,$AD$2:$AD$667)</f>
        <v>3252057.230512457</v>
      </c>
      <c r="AP2" s="84">
        <f ca="1">SUMIF($B$2:$B$667,AN2,$AG$2:$AG$667)</f>
        <v>3407565.1931590186</v>
      </c>
      <c r="AQ2" s="85">
        <f t="shared" ref="AQ2:AQ9" ca="1" si="1">IF(AO2&lt;&gt;0,AP2/AO2-1,0)</f>
        <v>4.7818335171812665E-2</v>
      </c>
      <c r="AS2" s="83" t="s">
        <v>39</v>
      </c>
      <c r="AT2" s="84">
        <f>SUMIF($B$2:$B$667,AS2,$AB$2:$AB$667)+SUMIF($B$2:$B$667,AS2,$AC$2:$AC$667)+SUMIF($B$2:$B$667,AS2,$AD$2:$AD$667)</f>
        <v>10010540.238459226</v>
      </c>
      <c r="AU2" s="84">
        <f ca="1">SUMIF($B$2:$B$667,AS2,$AE$2:$AE$667)+SUMIF($B$2:$B$667,AS2,$AF$2:$AF$667)+SUMIF($B$2:$B$667,AS2,$AG$2:$AG$667)</f>
        <v>10508907.187740065</v>
      </c>
      <c r="AV2" s="85">
        <f t="shared" ref="AV2:AV9" ca="1" si="2">IF(AT2&lt;&gt;0,AU2/AT2-1,0)</f>
        <v>4.9784221171818244E-2</v>
      </c>
    </row>
    <row r="3" spans="1:48" ht="11.25" customHeight="1" x14ac:dyDescent="0.3">
      <c r="A3" s="3" t="s">
        <v>21</v>
      </c>
      <c r="B3" s="3" t="s">
        <v>39</v>
      </c>
      <c r="C3" s="3" t="s">
        <v>56</v>
      </c>
      <c r="D3" s="3" t="s">
        <v>25</v>
      </c>
      <c r="E3" s="3" t="s">
        <v>25</v>
      </c>
      <c r="F3" s="3" t="s">
        <v>57</v>
      </c>
      <c r="G3" s="3" t="s">
        <v>58</v>
      </c>
      <c r="H3" s="3" t="s">
        <v>35</v>
      </c>
      <c r="I3" s="6">
        <v>44409</v>
      </c>
      <c r="J3" s="4">
        <v>1058</v>
      </c>
      <c r="K3" s="18">
        <f>J3*(1-SUMIFS(CUSTOS!$T$40:$T$100,CUSTOS!$O$40:$O$100,EFEITO_350!G3,CUSTOS!$S$40:$S$100,EFEITO_350!B3,CUSTOS!$R$40:$R$100,"Potência"))</f>
        <v>1058</v>
      </c>
      <c r="L3" s="4">
        <v>315.666</v>
      </c>
      <c r="M3" s="18">
        <f>L3*(1-SUMIFS(CUSTOS!$T$40:$T$100,CUSTOS!$O$40:$O$100,EFEITO_350!G3,CUSTOS!$S$40:$S$100,EFEITO_350!B3,CUSTOS!$R$40:$R$100,"Potência"))</f>
        <v>315.666</v>
      </c>
      <c r="N3" s="4">
        <v>0</v>
      </c>
      <c r="O3" s="18">
        <f>N3*(1-SUMIFS(CUSTOS!$T$40:$T$100,CUSTOS!$O$40:$O$100,EFEITO_350!G3,CUSTOS!$S$40:$S$100,EFEITO_350!B3,CUSTOS!$R$40:$R$100,"Energia"))</f>
        <v>0</v>
      </c>
      <c r="P3" s="4">
        <v>0</v>
      </c>
      <c r="Q3" s="3" t="s">
        <v>59</v>
      </c>
      <c r="R3" s="3">
        <v>5343</v>
      </c>
      <c r="S3" s="4">
        <v>6</v>
      </c>
      <c r="T3" s="4">
        <v>7</v>
      </c>
      <c r="U3" s="4">
        <v>0</v>
      </c>
      <c r="V3" s="4">
        <f>IF(ISERROR(VLOOKUP($S$3,'TAR FIN'!$A$1:$O$91,15,0)),0,VLOOKUP($S$3,'TAR FIN'!$A$1:$O$91,15,0))</f>
        <v>23.37</v>
      </c>
      <c r="W3" s="4">
        <f>IF(ISERROR(VLOOKUP($T$3,'TAR FIN'!$A$1:$O$91,15,0)),0,VLOOKUP($T$3,'TAR FIN'!$A$1:$O$91,15,0))</f>
        <v>12.96</v>
      </c>
      <c r="X3" s="4">
        <f>IF(ISERROR(VLOOKUP($U$3,'TAR FIN'!$A$1:$O$91,15,0)),0,VLOOKUP($U$3,'TAR FIN'!$A$1:$O$91,15,0))</f>
        <v>0</v>
      </c>
      <c r="Y3" s="4">
        <f ca="1">('TUSD BE'!$AM$10+'TUSD BF_350'!$AM$10+'TUSD CVA'!$AM$10)*1</f>
        <v>23.819711465050677</v>
      </c>
      <c r="Z3" s="4">
        <f ca="1">('TUSD BE'!$AM$11+'TUSD BF_350'!$AM$11+'TUSD CVA'!$AM$11)*1</f>
        <v>11.103927165111529</v>
      </c>
      <c r="AA3" s="4">
        <f ca="1">('TE BE'!$AB$9+'TE BF_350'!$AB$9+'TE CVA'!$AB$9)*1</f>
        <v>233.70080441251889</v>
      </c>
      <c r="AB3" s="4">
        <f>$K$3*$V$3</f>
        <v>24725.460000000003</v>
      </c>
      <c r="AC3" s="4">
        <f>$M$3*$W$3</f>
        <v>4091.0313600000004</v>
      </c>
      <c r="AD3" s="4">
        <f>$O$3*$X$3</f>
        <v>0</v>
      </c>
      <c r="AE3" s="4">
        <f ca="1">$K$3*$Y$3</f>
        <v>25201.254730023615</v>
      </c>
      <c r="AF3" s="4">
        <f ca="1">$M$3*$Z$3</f>
        <v>3505.1322725020959</v>
      </c>
      <c r="AG3" s="4">
        <f ca="1">$O$3*$AA$3</f>
        <v>0</v>
      </c>
      <c r="AI3" s="83" t="s">
        <v>22</v>
      </c>
      <c r="AJ3" s="84">
        <f>SUMIF($B$2:$B$667,AI3,$AB$2:$AB$667)+SUMIF($B$2:$B$667,AI3,$AC$2:$AC$667)</f>
        <v>8899216.1056600064</v>
      </c>
      <c r="AK3" s="84">
        <f ca="1">SUMIF($B$2:$B$667,AI3,$AE$2:$AE$667)+SUMIF($B$2:$B$667,AI3,$AF$2:$AF$667)</f>
        <v>9741600.7580365166</v>
      </c>
      <c r="AL3" s="85">
        <f t="shared" ca="1" si="0"/>
        <v>9.4658298256263596E-2</v>
      </c>
      <c r="AN3" s="83" t="s">
        <v>22</v>
      </c>
      <c r="AO3" s="84">
        <f>SUMIF($B$2:$B$667,AN3,$AD$2:$AD$667)</f>
        <v>4432817.8783229999</v>
      </c>
      <c r="AP3" s="84">
        <f ca="1">SUMIF($B$2:$B$667,AN3,$AG$2:$AG$667)</f>
        <v>4577433.3722882662</v>
      </c>
      <c r="AQ3" s="85">
        <f t="shared" ca="1" si="1"/>
        <v>3.2623829341704491E-2</v>
      </c>
      <c r="AS3" s="83" t="s">
        <v>22</v>
      </c>
      <c r="AT3" s="84">
        <f>SUMIF($B$2:$B$667,AS3,$AB$2:$AB$667)+SUMIF($B$2:$B$667,AS3,$AC$2:$AC$667)+SUMIF($B$2:$B$667,AS3,$AD$2:$AD$667)</f>
        <v>13332033.983983006</v>
      </c>
      <c r="AU3" s="84">
        <f ca="1">SUMIF($B$2:$B$667,AS3,$AE$2:$AE$667)+SUMIF($B$2:$B$667,AS3,$AF$2:$AF$667)+SUMIF($B$2:$B$667,AS3,$AG$2:$AG$667)</f>
        <v>14319034.130324783</v>
      </c>
      <c r="AV3" s="85">
        <f t="shared" ca="1" si="2"/>
        <v>7.4032225504941707E-2</v>
      </c>
    </row>
    <row r="4" spans="1:48" ht="11.25" customHeight="1" x14ac:dyDescent="0.3">
      <c r="A4" s="3" t="s">
        <v>21</v>
      </c>
      <c r="B4" s="3" t="s">
        <v>39</v>
      </c>
      <c r="C4" s="3" t="s">
        <v>56</v>
      </c>
      <c r="D4" s="3" t="s">
        <v>25</v>
      </c>
      <c r="E4" s="3" t="s">
        <v>25</v>
      </c>
      <c r="F4" s="3" t="s">
        <v>57</v>
      </c>
      <c r="G4" s="3" t="s">
        <v>58</v>
      </c>
      <c r="H4" s="3" t="s">
        <v>35</v>
      </c>
      <c r="I4" s="6">
        <v>44440</v>
      </c>
      <c r="J4" s="4">
        <v>1067</v>
      </c>
      <c r="K4" s="18">
        <f>J4*(1-SUMIFS(CUSTOS!$T$40:$T$100,CUSTOS!$O$40:$O$100,EFEITO_350!G4,CUSTOS!$S$40:$S$100,EFEITO_350!B4,CUSTOS!$R$40:$R$100,"Potência"))</f>
        <v>1067</v>
      </c>
      <c r="L4" s="4">
        <v>290.14600000000002</v>
      </c>
      <c r="M4" s="18">
        <f>L4*(1-SUMIFS(CUSTOS!$T$40:$T$100,CUSTOS!$O$40:$O$100,EFEITO_350!G4,CUSTOS!$S$40:$S$100,EFEITO_350!B4,CUSTOS!$R$40:$R$100,"Potência"))</f>
        <v>290.14600000000002</v>
      </c>
      <c r="N4" s="4">
        <v>0</v>
      </c>
      <c r="O4" s="18">
        <f>N4*(1-SUMIFS(CUSTOS!$T$40:$T$100,CUSTOS!$O$40:$O$100,EFEITO_350!G4,CUSTOS!$S$40:$S$100,EFEITO_350!B4,CUSTOS!$R$40:$R$100,"Energia"))</f>
        <v>0</v>
      </c>
      <c r="P4" s="4">
        <v>0</v>
      </c>
      <c r="Q4" s="3" t="s">
        <v>59</v>
      </c>
      <c r="R4" s="3">
        <v>5343</v>
      </c>
      <c r="S4" s="4">
        <v>6</v>
      </c>
      <c r="T4" s="4">
        <v>7</v>
      </c>
      <c r="U4" s="4">
        <v>0</v>
      </c>
      <c r="V4" s="4">
        <f>IF(ISERROR(VLOOKUP($S$4,'TAR FIN'!$A$1:$O$91,15,0)),0,VLOOKUP($S$4,'TAR FIN'!$A$1:$O$91,15,0))</f>
        <v>23.37</v>
      </c>
      <c r="W4" s="4">
        <f>IF(ISERROR(VLOOKUP($T$4,'TAR FIN'!$A$1:$O$91,15,0)),0,VLOOKUP($T$4,'TAR FIN'!$A$1:$O$91,15,0))</f>
        <v>12.96</v>
      </c>
      <c r="X4" s="4">
        <f>IF(ISERROR(VLOOKUP($U$4,'TAR FIN'!$A$1:$O$91,15,0)),0,VLOOKUP($U$4,'TAR FIN'!$A$1:$O$91,15,0))</f>
        <v>0</v>
      </c>
      <c r="Y4" s="4">
        <f ca="1">('TUSD BE'!$AM$10+'TUSD BF_350'!$AM$10+'TUSD CVA'!$AM$10)*1</f>
        <v>23.819711465050677</v>
      </c>
      <c r="Z4" s="4">
        <f ca="1">('TUSD BE'!$AM$11+'TUSD BF_350'!$AM$11+'TUSD CVA'!$AM$11)*1</f>
        <v>11.103927165111529</v>
      </c>
      <c r="AA4" s="4">
        <f ca="1">('TE BE'!$AB$9+'TE BF_350'!$AB$9+'TE CVA'!$AB$9)*1</f>
        <v>233.70080441251889</v>
      </c>
      <c r="AB4" s="4">
        <f>$K$4*$V$4</f>
        <v>24935.79</v>
      </c>
      <c r="AC4" s="4">
        <f>$M$4*$W$4</f>
        <v>3760.2921600000004</v>
      </c>
      <c r="AD4" s="4">
        <f>$O$4*$X$4</f>
        <v>0</v>
      </c>
      <c r="AE4" s="4">
        <f ca="1">$K$4*$Y$4</f>
        <v>25415.632133209074</v>
      </c>
      <c r="AF4" s="4">
        <f ca="1">$M$4*$Z$4</f>
        <v>3221.7600512484496</v>
      </c>
      <c r="AG4" s="4">
        <f ca="1">$O$4*$AA$4</f>
        <v>0</v>
      </c>
      <c r="AI4" s="83" t="s">
        <v>42</v>
      </c>
      <c r="AJ4" s="84">
        <f>SUMIF($B$2:$B$667,AI4,$AB$2:$AB$667)+SUMIF($B$2:$B$667,AI4,$AC$2:$AC$667)</f>
        <v>6672341.7710739998</v>
      </c>
      <c r="AK4" s="84">
        <f ca="1">SUMIF($B$2:$B$667,AI4,$AE$2:$AE$667)+SUMIF($B$2:$B$667,AI4,$AF$2:$AF$667)</f>
        <v>7819904.1511015249</v>
      </c>
      <c r="AL4" s="85">
        <f t="shared" ca="1" si="0"/>
        <v>0.17198794956853813</v>
      </c>
      <c r="AN4" s="83" t="s">
        <v>42</v>
      </c>
      <c r="AO4" s="84">
        <f>SUMIF($B$2:$B$667,AN4,$AD$2:$AD$667)</f>
        <v>3266836.3144799997</v>
      </c>
      <c r="AP4" s="84">
        <f ca="1">SUMIF($B$2:$B$667,AN4,$AG$2:$AG$667)</f>
        <v>3603347.8345978656</v>
      </c>
      <c r="AQ4" s="85">
        <f t="shared" ca="1" si="1"/>
        <v>0.10300838111364952</v>
      </c>
      <c r="AS4" s="83" t="s">
        <v>42</v>
      </c>
      <c r="AT4" s="84">
        <f>SUMIF($B$2:$B$667,AS4,$AB$2:$AB$667)+SUMIF($B$2:$B$667,AS4,$AC$2:$AC$667)+SUMIF($B$2:$B$667,AS4,$AD$2:$AD$667)</f>
        <v>9939178.085554</v>
      </c>
      <c r="AU4" s="84">
        <f ca="1">SUMIF($B$2:$B$667,AS4,$AE$2:$AE$667)+SUMIF($B$2:$B$667,AS4,$AF$2:$AF$667)+SUMIF($B$2:$B$667,AS4,$AG$2:$AG$667)</f>
        <v>11423251.985699391</v>
      </c>
      <c r="AV4" s="85">
        <f t="shared" ca="1" si="2"/>
        <v>0.14931555581063627</v>
      </c>
    </row>
    <row r="5" spans="1:48" ht="11.25" customHeight="1" x14ac:dyDescent="0.3">
      <c r="A5" s="3" t="s">
        <v>21</v>
      </c>
      <c r="B5" s="3" t="s">
        <v>39</v>
      </c>
      <c r="C5" s="3" t="s">
        <v>56</v>
      </c>
      <c r="D5" s="3" t="s">
        <v>25</v>
      </c>
      <c r="E5" s="3" t="s">
        <v>25</v>
      </c>
      <c r="F5" s="3" t="s">
        <v>57</v>
      </c>
      <c r="G5" s="3" t="s">
        <v>58</v>
      </c>
      <c r="H5" s="3" t="s">
        <v>35</v>
      </c>
      <c r="I5" s="6">
        <v>44470</v>
      </c>
      <c r="J5" s="4">
        <v>1154</v>
      </c>
      <c r="K5" s="18">
        <f>J5*(1-SUMIFS(CUSTOS!$T$40:$T$100,CUSTOS!$O$40:$O$100,EFEITO_350!G5,CUSTOS!$S$40:$S$100,EFEITO_350!B5,CUSTOS!$R$40:$R$100,"Potência"))</f>
        <v>1154</v>
      </c>
      <c r="L5" s="4">
        <v>296.44299999999998</v>
      </c>
      <c r="M5" s="18">
        <f>L5*(1-SUMIFS(CUSTOS!$T$40:$T$100,CUSTOS!$O$40:$O$100,EFEITO_350!G5,CUSTOS!$S$40:$S$100,EFEITO_350!B5,CUSTOS!$R$40:$R$100,"Potência"))</f>
        <v>296.44299999999998</v>
      </c>
      <c r="N5" s="4">
        <v>0</v>
      </c>
      <c r="O5" s="18">
        <f>N5*(1-SUMIFS(CUSTOS!$T$40:$T$100,CUSTOS!$O$40:$O$100,EFEITO_350!G5,CUSTOS!$S$40:$S$100,EFEITO_350!B5,CUSTOS!$R$40:$R$100,"Energia"))</f>
        <v>0</v>
      </c>
      <c r="P5" s="4">
        <v>0</v>
      </c>
      <c r="Q5" s="3" t="s">
        <v>59</v>
      </c>
      <c r="R5" s="3">
        <v>5343</v>
      </c>
      <c r="S5" s="4">
        <v>6</v>
      </c>
      <c r="T5" s="4">
        <v>7</v>
      </c>
      <c r="U5" s="4">
        <v>0</v>
      </c>
      <c r="V5" s="4">
        <f>IF(ISERROR(VLOOKUP($S$5,'TAR FIN'!$A$1:$O$91,15,0)),0,VLOOKUP($S$5,'TAR FIN'!$A$1:$O$91,15,0))</f>
        <v>23.37</v>
      </c>
      <c r="W5" s="4">
        <f>IF(ISERROR(VLOOKUP($T$5,'TAR FIN'!$A$1:$O$91,15,0)),0,VLOOKUP($T$5,'TAR FIN'!$A$1:$O$91,15,0))</f>
        <v>12.96</v>
      </c>
      <c r="X5" s="4">
        <f>IF(ISERROR(VLOOKUP($U$5,'TAR FIN'!$A$1:$O$91,15,0)),0,VLOOKUP($U$5,'TAR FIN'!$A$1:$O$91,15,0))</f>
        <v>0</v>
      </c>
      <c r="Y5" s="4">
        <f ca="1">('TUSD BE'!$AM$10+'TUSD BF_350'!$AM$10+'TUSD CVA'!$AM$10)*1</f>
        <v>23.819711465050677</v>
      </c>
      <c r="Z5" s="4">
        <f ca="1">('TUSD BE'!$AM$11+'TUSD BF_350'!$AM$11+'TUSD CVA'!$AM$11)*1</f>
        <v>11.103927165111529</v>
      </c>
      <c r="AA5" s="4">
        <f ca="1">('TE BE'!$AB$9+'TE BF_350'!$AB$9+'TE CVA'!$AB$9)*1</f>
        <v>233.70080441251889</v>
      </c>
      <c r="AB5" s="4">
        <f>$K$5*$V$5</f>
        <v>26968.98</v>
      </c>
      <c r="AC5" s="4">
        <f>$M$5*$W$5</f>
        <v>3841.90128</v>
      </c>
      <c r="AD5" s="4">
        <f>$O$5*$X$5</f>
        <v>0</v>
      </c>
      <c r="AE5" s="4">
        <f ca="1">$K$5*$Y$5</f>
        <v>27487.947030668482</v>
      </c>
      <c r="AF5" s="4">
        <f ca="1">$M$5*$Z$5</f>
        <v>3291.6814806071566</v>
      </c>
      <c r="AG5" s="4">
        <f ca="1">$O$5*$AA$5</f>
        <v>0</v>
      </c>
      <c r="AI5" s="83" t="s">
        <v>37</v>
      </c>
      <c r="AJ5" s="84">
        <f>SUMIF($B$2:$B$667,AI5,$AB$2:$AB$667)+SUMIF($B$2:$B$667,AI5,$AC$2:$AC$667)</f>
        <v>4791242.2508452013</v>
      </c>
      <c r="AK5" s="84">
        <f ca="1">SUMIF($B$2:$B$667,AI5,$AE$2:$AE$667)+SUMIF($B$2:$B$667,AI5,$AF$2:$AF$667)</f>
        <v>5270220.1430396894</v>
      </c>
      <c r="AL5" s="85">
        <f t="shared" ca="1" si="0"/>
        <v>9.996945825688397E-2</v>
      </c>
      <c r="AN5" s="83" t="s">
        <v>37</v>
      </c>
      <c r="AO5" s="84">
        <f>SUMIF($B$2:$B$667,AN5,$AD$2:$AD$667)</f>
        <v>2343633.3278737995</v>
      </c>
      <c r="AP5" s="84">
        <f ca="1">SUMIF($B$2:$B$667,AN5,$AG$2:$AG$667)</f>
        <v>2426095.9385259552</v>
      </c>
      <c r="AQ5" s="85">
        <f t="shared" ca="1" si="1"/>
        <v>3.5185798764420184E-2</v>
      </c>
      <c r="AS5" s="83" t="s">
        <v>37</v>
      </c>
      <c r="AT5" s="84">
        <f>SUMIF($B$2:$B$667,AS5,$AB$2:$AB$667)+SUMIF($B$2:$B$667,AS5,$AC$2:$AC$667)+SUMIF($B$2:$B$667,AS5,$AD$2:$AD$667)</f>
        <v>7134875.5787190013</v>
      </c>
      <c r="AU5" s="84">
        <f ca="1">SUMIF($B$2:$B$667,AS5,$AE$2:$AE$667)+SUMIF($B$2:$B$667,AS5,$AF$2:$AF$667)+SUMIF($B$2:$B$667,AS5,$AG$2:$AG$667)</f>
        <v>7696316.0815656446</v>
      </c>
      <c r="AV5" s="85">
        <f t="shared" ca="1" si="2"/>
        <v>7.8689599650656472E-2</v>
      </c>
    </row>
    <row r="6" spans="1:48" ht="11.25" customHeight="1" x14ac:dyDescent="0.3">
      <c r="A6" s="3" t="s">
        <v>21</v>
      </c>
      <c r="B6" s="3" t="s">
        <v>39</v>
      </c>
      <c r="C6" s="3" t="s">
        <v>56</v>
      </c>
      <c r="D6" s="3" t="s">
        <v>25</v>
      </c>
      <c r="E6" s="3" t="s">
        <v>25</v>
      </c>
      <c r="F6" s="3" t="s">
        <v>57</v>
      </c>
      <c r="G6" s="3" t="s">
        <v>58</v>
      </c>
      <c r="H6" s="3" t="s">
        <v>35</v>
      </c>
      <c r="I6" s="6">
        <v>44501</v>
      </c>
      <c r="J6" s="4">
        <v>1511</v>
      </c>
      <c r="K6" s="18">
        <f>J6*(1-SUMIFS(CUSTOS!$T$40:$T$100,CUSTOS!$O$40:$O$100,EFEITO_350!G6,CUSTOS!$S$40:$S$100,EFEITO_350!B6,CUSTOS!$R$40:$R$100,"Potência"))</f>
        <v>1511</v>
      </c>
      <c r="L6" s="4">
        <v>431.755</v>
      </c>
      <c r="M6" s="18">
        <f>L6*(1-SUMIFS(CUSTOS!$T$40:$T$100,CUSTOS!$O$40:$O$100,EFEITO_350!G6,CUSTOS!$S$40:$S$100,EFEITO_350!B6,CUSTOS!$R$40:$R$100,"Potência"))</f>
        <v>431.755</v>
      </c>
      <c r="N6" s="4">
        <v>0</v>
      </c>
      <c r="O6" s="18">
        <f>N6*(1-SUMIFS(CUSTOS!$T$40:$T$100,CUSTOS!$O$40:$O$100,EFEITO_350!G6,CUSTOS!$S$40:$S$100,EFEITO_350!B6,CUSTOS!$R$40:$R$100,"Energia"))</f>
        <v>0</v>
      </c>
      <c r="P6" s="4">
        <v>0</v>
      </c>
      <c r="Q6" s="3" t="s">
        <v>59</v>
      </c>
      <c r="R6" s="3">
        <v>5343</v>
      </c>
      <c r="S6" s="4">
        <v>6</v>
      </c>
      <c r="T6" s="4">
        <v>7</v>
      </c>
      <c r="U6" s="4">
        <v>0</v>
      </c>
      <c r="V6" s="4">
        <f>IF(ISERROR(VLOOKUP($S$6,'TAR FIN'!$A$1:$O$91,15,0)),0,VLOOKUP($S$6,'TAR FIN'!$A$1:$O$91,15,0))</f>
        <v>23.37</v>
      </c>
      <c r="W6" s="4">
        <f>IF(ISERROR(VLOOKUP($T$6,'TAR FIN'!$A$1:$O$91,15,0)),0,VLOOKUP($T$6,'TAR FIN'!$A$1:$O$91,15,0))</f>
        <v>12.96</v>
      </c>
      <c r="X6" s="4">
        <f>IF(ISERROR(VLOOKUP($U$6,'TAR FIN'!$A$1:$O$91,15,0)),0,VLOOKUP($U$6,'TAR FIN'!$A$1:$O$91,15,0))</f>
        <v>0</v>
      </c>
      <c r="Y6" s="4">
        <f ca="1">('TUSD BE'!$AM$10+'TUSD BF_350'!$AM$10+'TUSD CVA'!$AM$10)*1</f>
        <v>23.819711465050677</v>
      </c>
      <c r="Z6" s="4">
        <f ca="1">('TUSD BE'!$AM$11+'TUSD BF_350'!$AM$11+'TUSD CVA'!$AM$11)*1</f>
        <v>11.103927165111529</v>
      </c>
      <c r="AA6" s="4">
        <f ca="1">('TE BE'!$AB$9+'TE BF_350'!$AB$9+'TE CVA'!$AB$9)*1</f>
        <v>233.70080441251889</v>
      </c>
      <c r="AB6" s="4">
        <f>$K$6*$V$6</f>
        <v>35312.07</v>
      </c>
      <c r="AC6" s="4">
        <f>$M$6*$W$6</f>
        <v>5595.5448000000006</v>
      </c>
      <c r="AD6" s="4">
        <f>$O$6*$X$6</f>
        <v>0</v>
      </c>
      <c r="AE6" s="4">
        <f ca="1">$K$6*$Y$6</f>
        <v>35991.584023691576</v>
      </c>
      <c r="AF6" s="4">
        <f ca="1">$M$6*$Z$6</f>
        <v>4794.1760731727281</v>
      </c>
      <c r="AG6" s="4">
        <f ca="1">$O$6*$AA$6</f>
        <v>0</v>
      </c>
      <c r="AI6" s="83" t="s">
        <v>45</v>
      </c>
      <c r="AJ6" s="84">
        <f>SUMIF($B$2:$B$667,AI6,$AB$2:$AB$667)+SUMIF($B$2:$B$667,AI6,$AC$2:$AC$667)</f>
        <v>976066.27011000016</v>
      </c>
      <c r="AK6" s="84">
        <f ca="1">SUMIF($B$2:$B$667,AI6,$AE$2:$AE$667)+SUMIF($B$2:$B$667,AI6,$AF$2:$AF$667)</f>
        <v>1070894.2555306063</v>
      </c>
      <c r="AL6" s="85">
        <f t="shared" ca="1" si="0"/>
        <v>9.7153224452596998E-2</v>
      </c>
      <c r="AN6" s="83" t="s">
        <v>45</v>
      </c>
      <c r="AO6" s="84">
        <f>SUMIF($B$2:$B$667,AN6,$AD$2:$AD$667)</f>
        <v>477883.51262999995</v>
      </c>
      <c r="AP6" s="84">
        <f ca="1">SUMIF($B$2:$B$667,AN6,$AG$2:$AG$667)</f>
        <v>493458.55251559499</v>
      </c>
      <c r="AQ6" s="85">
        <f t="shared" ca="1" si="1"/>
        <v>3.2591707966401318E-2</v>
      </c>
      <c r="AS6" s="83" t="s">
        <v>45</v>
      </c>
      <c r="AT6" s="84">
        <f>SUMIF($B$2:$B$667,AS6,$AB$2:$AB$667)+SUMIF($B$2:$B$667,AS6,$AC$2:$AC$667)+SUMIF($B$2:$B$667,AS6,$AD$2:$AD$667)</f>
        <v>1453949.7827400002</v>
      </c>
      <c r="AU6" s="84">
        <f ca="1">SUMIF($B$2:$B$667,AS6,$AE$2:$AE$667)+SUMIF($B$2:$B$667,AS6,$AF$2:$AF$667)+SUMIF($B$2:$B$667,AS6,$AG$2:$AG$667)</f>
        <v>1564352.8080462012</v>
      </c>
      <c r="AV6" s="85">
        <f t="shared" ca="1" si="2"/>
        <v>7.5933176383949252E-2</v>
      </c>
    </row>
    <row r="7" spans="1:48" ht="11.25" customHeight="1" x14ac:dyDescent="0.3">
      <c r="A7" s="3" t="s">
        <v>21</v>
      </c>
      <c r="B7" s="3" t="s">
        <v>39</v>
      </c>
      <c r="C7" s="3" t="s">
        <v>56</v>
      </c>
      <c r="D7" s="3" t="s">
        <v>25</v>
      </c>
      <c r="E7" s="3" t="s">
        <v>25</v>
      </c>
      <c r="F7" s="3" t="s">
        <v>57</v>
      </c>
      <c r="G7" s="3" t="s">
        <v>58</v>
      </c>
      <c r="H7" s="3" t="s">
        <v>35</v>
      </c>
      <c r="I7" s="6">
        <v>44531</v>
      </c>
      <c r="J7" s="4">
        <v>1813</v>
      </c>
      <c r="K7" s="18">
        <f>J7*(1-SUMIFS(CUSTOS!$T$40:$T$100,CUSTOS!$O$40:$O$100,EFEITO_350!G7,CUSTOS!$S$40:$S$100,EFEITO_350!B7,CUSTOS!$R$40:$R$100,"Potência"))</f>
        <v>1813</v>
      </c>
      <c r="L7" s="4">
        <v>603.375</v>
      </c>
      <c r="M7" s="18">
        <f>L7*(1-SUMIFS(CUSTOS!$T$40:$T$100,CUSTOS!$O$40:$O$100,EFEITO_350!G7,CUSTOS!$S$40:$S$100,EFEITO_350!B7,CUSTOS!$R$40:$R$100,"Potência"))</f>
        <v>603.375</v>
      </c>
      <c r="N7" s="4">
        <v>0</v>
      </c>
      <c r="O7" s="18">
        <f>N7*(1-SUMIFS(CUSTOS!$T$40:$T$100,CUSTOS!$O$40:$O$100,EFEITO_350!G7,CUSTOS!$S$40:$S$100,EFEITO_350!B7,CUSTOS!$R$40:$R$100,"Energia"))</f>
        <v>0</v>
      </c>
      <c r="P7" s="4">
        <v>0</v>
      </c>
      <c r="Q7" s="3" t="s">
        <v>59</v>
      </c>
      <c r="R7" s="3">
        <v>5343</v>
      </c>
      <c r="S7" s="4">
        <v>6</v>
      </c>
      <c r="T7" s="4">
        <v>7</v>
      </c>
      <c r="U7" s="4">
        <v>0</v>
      </c>
      <c r="V7" s="4">
        <f>IF(ISERROR(VLOOKUP($S$7,'TAR FIN'!$A$1:$O$91,15,0)),0,VLOOKUP($S$7,'TAR FIN'!$A$1:$O$91,15,0))</f>
        <v>23.37</v>
      </c>
      <c r="W7" s="4">
        <f>IF(ISERROR(VLOOKUP($T$7,'TAR FIN'!$A$1:$O$91,15,0)),0,VLOOKUP($T$7,'TAR FIN'!$A$1:$O$91,15,0))</f>
        <v>12.96</v>
      </c>
      <c r="X7" s="4">
        <f>IF(ISERROR(VLOOKUP($U$7,'TAR FIN'!$A$1:$O$91,15,0)),0,VLOOKUP($U$7,'TAR FIN'!$A$1:$O$91,15,0))</f>
        <v>0</v>
      </c>
      <c r="Y7" s="4">
        <f ca="1">('TUSD BE'!$AM$10+'TUSD BF_350'!$AM$10+'TUSD CVA'!$AM$10)*1</f>
        <v>23.819711465050677</v>
      </c>
      <c r="Z7" s="4">
        <f ca="1">('TUSD BE'!$AM$11+'TUSD BF_350'!$AM$11+'TUSD CVA'!$AM$11)*1</f>
        <v>11.103927165111529</v>
      </c>
      <c r="AA7" s="4">
        <f ca="1">('TE BE'!$AB$9+'TE BF_350'!$AB$9+'TE CVA'!$AB$9)*1</f>
        <v>233.70080441251889</v>
      </c>
      <c r="AB7" s="4">
        <f>$K$7*$V$7</f>
        <v>42369.810000000005</v>
      </c>
      <c r="AC7" s="4">
        <f>$M$7*$W$7</f>
        <v>7819.7400000000007</v>
      </c>
      <c r="AD7" s="4">
        <f>$O$7*$X$7</f>
        <v>0</v>
      </c>
      <c r="AE7" s="4">
        <f ca="1">$K$7*$Y$7</f>
        <v>43185.136886136876</v>
      </c>
      <c r="AF7" s="4">
        <f ca="1">$M$7*$Z$7</f>
        <v>6699.8320532491689</v>
      </c>
      <c r="AG7" s="4">
        <f ca="1">$O$7*$AA$7</f>
        <v>0</v>
      </c>
      <c r="AI7" s="83" t="s">
        <v>758</v>
      </c>
      <c r="AJ7" s="84">
        <f>+$AJ$2</f>
        <v>6758483.0079467688</v>
      </c>
      <c r="AK7" s="84">
        <f ca="1">+$AK$2</f>
        <v>7101341.9945810465</v>
      </c>
      <c r="AL7" s="85">
        <f t="shared" ca="1" si="0"/>
        <v>5.0730169215656318E-2</v>
      </c>
      <c r="AN7" s="83" t="s">
        <v>758</v>
      </c>
      <c r="AO7" s="84">
        <f>+$AO$2</f>
        <v>3252057.230512457</v>
      </c>
      <c r="AP7" s="84">
        <f ca="1">+$AP$2</f>
        <v>3407565.1931590186</v>
      </c>
      <c r="AQ7" s="85">
        <f t="shared" ca="1" si="1"/>
        <v>4.7818335171812665E-2</v>
      </c>
      <c r="AS7" s="83" t="s">
        <v>758</v>
      </c>
      <c r="AT7" s="84">
        <f>+$AT$2</f>
        <v>10010540.238459226</v>
      </c>
      <c r="AU7" s="84">
        <f ca="1">+$AU$2</f>
        <v>10508907.187740065</v>
      </c>
      <c r="AV7" s="85">
        <f t="shared" ca="1" si="2"/>
        <v>4.9784221171818244E-2</v>
      </c>
    </row>
    <row r="8" spans="1:48" ht="11.25" customHeight="1" x14ac:dyDescent="0.3">
      <c r="A8" s="3" t="s">
        <v>21</v>
      </c>
      <c r="B8" s="3" t="s">
        <v>39</v>
      </c>
      <c r="C8" s="3" t="s">
        <v>56</v>
      </c>
      <c r="D8" s="3" t="s">
        <v>25</v>
      </c>
      <c r="E8" s="3" t="s">
        <v>25</v>
      </c>
      <c r="F8" s="3" t="s">
        <v>57</v>
      </c>
      <c r="G8" s="3" t="s">
        <v>58</v>
      </c>
      <c r="H8" s="3" t="s">
        <v>35</v>
      </c>
      <c r="I8" s="6">
        <v>44562</v>
      </c>
      <c r="J8" s="4">
        <v>2086</v>
      </c>
      <c r="K8" s="18">
        <f>J8*(1-SUMIFS(CUSTOS!$T$40:$T$100,CUSTOS!$O$40:$O$100,EFEITO_350!G8,CUSTOS!$S$40:$S$100,EFEITO_350!B8,CUSTOS!$R$40:$R$100,"Potência"))</f>
        <v>2086</v>
      </c>
      <c r="L8" s="4">
        <v>632.43200000000002</v>
      </c>
      <c r="M8" s="18">
        <f>L8*(1-SUMIFS(CUSTOS!$T$40:$T$100,CUSTOS!$O$40:$O$100,EFEITO_350!G8,CUSTOS!$S$40:$S$100,EFEITO_350!B8,CUSTOS!$R$40:$R$100,"Potência"))</f>
        <v>632.43200000000002</v>
      </c>
      <c r="N8" s="4">
        <v>0</v>
      </c>
      <c r="O8" s="18">
        <f>N8*(1-SUMIFS(CUSTOS!$T$40:$T$100,CUSTOS!$O$40:$O$100,EFEITO_350!G8,CUSTOS!$S$40:$S$100,EFEITO_350!B8,CUSTOS!$R$40:$R$100,"Energia"))</f>
        <v>0</v>
      </c>
      <c r="P8" s="4">
        <v>0</v>
      </c>
      <c r="Q8" s="3" t="s">
        <v>59</v>
      </c>
      <c r="R8" s="3">
        <v>5343</v>
      </c>
      <c r="S8" s="4">
        <v>6</v>
      </c>
      <c r="T8" s="4">
        <v>7</v>
      </c>
      <c r="U8" s="4">
        <v>0</v>
      </c>
      <c r="V8" s="4">
        <f>IF(ISERROR(VLOOKUP($S$8,'TAR FIN'!$A$1:$O$91,15,0)),0,VLOOKUP($S$8,'TAR FIN'!$A$1:$O$91,15,0))</f>
        <v>23.37</v>
      </c>
      <c r="W8" s="4">
        <f>IF(ISERROR(VLOOKUP($T$8,'TAR FIN'!$A$1:$O$91,15,0)),0,VLOOKUP($T$8,'TAR FIN'!$A$1:$O$91,15,0))</f>
        <v>12.96</v>
      </c>
      <c r="X8" s="4">
        <f>IF(ISERROR(VLOOKUP($U$8,'TAR FIN'!$A$1:$O$91,15,0)),0,VLOOKUP($U$8,'TAR FIN'!$A$1:$O$91,15,0))</f>
        <v>0</v>
      </c>
      <c r="Y8" s="4">
        <f ca="1">('TUSD BE'!$AM$10+'TUSD BF_350'!$AM$10+'TUSD CVA'!$AM$10)*1</f>
        <v>23.819711465050677</v>
      </c>
      <c r="Z8" s="4">
        <f ca="1">('TUSD BE'!$AM$11+'TUSD BF_350'!$AM$11+'TUSD CVA'!$AM$11)*1</f>
        <v>11.103927165111529</v>
      </c>
      <c r="AA8" s="4">
        <f ca="1">('TE BE'!$AB$9+'TE BF_350'!$AB$9+'TE CVA'!$AB$9)*1</f>
        <v>233.70080441251889</v>
      </c>
      <c r="AB8" s="4">
        <f>$K$8*$V$8</f>
        <v>48749.82</v>
      </c>
      <c r="AC8" s="4">
        <f>$M$8*$W$8</f>
        <v>8196.3187200000011</v>
      </c>
      <c r="AD8" s="4">
        <f>$O$8*$X$8</f>
        <v>0</v>
      </c>
      <c r="AE8" s="4">
        <f ca="1">$K$8*$Y$8</f>
        <v>49687.918116095709</v>
      </c>
      <c r="AF8" s="4">
        <f ca="1">$M$8*$Z$8</f>
        <v>7022.4788648858148</v>
      </c>
      <c r="AG8" s="4">
        <f ca="1">$O$8*$AA$8</f>
        <v>0</v>
      </c>
      <c r="AI8" s="83" t="s">
        <v>90</v>
      </c>
      <c r="AJ8" s="84">
        <f>+$AJ$3+$AJ$4+$AJ$5+$AJ$6</f>
        <v>21338866.397689208</v>
      </c>
      <c r="AK8" s="84">
        <f ca="1">+$AK$3+$AK$4+$AK$5+$AK$6</f>
        <v>23902619.307708338</v>
      </c>
      <c r="AL8" s="85">
        <f t="shared" ca="1" si="0"/>
        <v>0.12014475662572033</v>
      </c>
      <c r="AN8" s="83" t="s">
        <v>90</v>
      </c>
      <c r="AO8" s="84">
        <f>+$AO$3+$AO$4+$AO$5+$AO$6</f>
        <v>10521171.0333068</v>
      </c>
      <c r="AP8" s="84">
        <f ca="1">+$AP$3+$AP$4+$AP$5+$AP$6</f>
        <v>11100335.697927682</v>
      </c>
      <c r="AQ8" s="85">
        <f t="shared" ca="1" si="1"/>
        <v>5.5047547728995561E-2</v>
      </c>
      <c r="AS8" s="83" t="s">
        <v>90</v>
      </c>
      <c r="AT8" s="84">
        <f>+$AT$3+$AT$4+$AT$5+$AT$6</f>
        <v>31860037.430996008</v>
      </c>
      <c r="AU8" s="84">
        <f ca="1">+$AU$3+$AU$4+$AU$5+$AU$6</f>
        <v>35002955.005636021</v>
      </c>
      <c r="AV8" s="85">
        <f t="shared" ca="1" si="2"/>
        <v>9.8647642252370105E-2</v>
      </c>
    </row>
    <row r="9" spans="1:48" ht="11.25" customHeight="1" x14ac:dyDescent="0.3">
      <c r="A9" s="3" t="s">
        <v>21</v>
      </c>
      <c r="B9" s="3" t="s">
        <v>39</v>
      </c>
      <c r="C9" s="3" t="s">
        <v>56</v>
      </c>
      <c r="D9" s="3" t="s">
        <v>25</v>
      </c>
      <c r="E9" s="3" t="s">
        <v>25</v>
      </c>
      <c r="F9" s="3" t="s">
        <v>57</v>
      </c>
      <c r="G9" s="3" t="s">
        <v>58</v>
      </c>
      <c r="H9" s="3" t="s">
        <v>35</v>
      </c>
      <c r="I9" s="6">
        <v>44593</v>
      </c>
      <c r="J9" s="4">
        <v>1549</v>
      </c>
      <c r="K9" s="18">
        <f>J9*(1-SUMIFS(CUSTOS!$T$40:$T$100,CUSTOS!$O$40:$O$100,EFEITO_350!G9,CUSTOS!$S$40:$S$100,EFEITO_350!B9,CUSTOS!$R$40:$R$100,"Potência"))</f>
        <v>1549</v>
      </c>
      <c r="L9" s="4">
        <v>438.084</v>
      </c>
      <c r="M9" s="18">
        <f>L9*(1-SUMIFS(CUSTOS!$T$40:$T$100,CUSTOS!$O$40:$O$100,EFEITO_350!G9,CUSTOS!$S$40:$S$100,EFEITO_350!B9,CUSTOS!$R$40:$R$100,"Potência"))</f>
        <v>438.084</v>
      </c>
      <c r="N9" s="4">
        <v>0</v>
      </c>
      <c r="O9" s="18">
        <f>N9*(1-SUMIFS(CUSTOS!$T$40:$T$100,CUSTOS!$O$40:$O$100,EFEITO_350!G9,CUSTOS!$S$40:$S$100,EFEITO_350!B9,CUSTOS!$R$40:$R$100,"Energia"))</f>
        <v>0</v>
      </c>
      <c r="P9" s="4">
        <v>0</v>
      </c>
      <c r="Q9" s="3" t="s">
        <v>59</v>
      </c>
      <c r="R9" s="3">
        <v>5343</v>
      </c>
      <c r="S9" s="4">
        <v>6</v>
      </c>
      <c r="T9" s="4">
        <v>7</v>
      </c>
      <c r="U9" s="4">
        <v>0</v>
      </c>
      <c r="V9" s="4">
        <f>IF(ISERROR(VLOOKUP($S$9,'TAR FIN'!$A$1:$O$91,15,0)),0,VLOOKUP($S$9,'TAR FIN'!$A$1:$O$91,15,0))</f>
        <v>23.37</v>
      </c>
      <c r="W9" s="4">
        <f>IF(ISERROR(VLOOKUP($T$9,'TAR FIN'!$A$1:$O$91,15,0)),0,VLOOKUP($T$9,'TAR FIN'!$A$1:$O$91,15,0))</f>
        <v>12.96</v>
      </c>
      <c r="X9" s="4">
        <f>IF(ISERROR(VLOOKUP($U$9,'TAR FIN'!$A$1:$O$91,15,0)),0,VLOOKUP($U$9,'TAR FIN'!$A$1:$O$91,15,0))</f>
        <v>0</v>
      </c>
      <c r="Y9" s="4">
        <f ca="1">('TUSD BE'!$AM$10+'TUSD BF_350'!$AM$10+'TUSD CVA'!$AM$10)*1</f>
        <v>23.819711465050677</v>
      </c>
      <c r="Z9" s="4">
        <f ca="1">('TUSD BE'!$AM$11+'TUSD BF_350'!$AM$11+'TUSD CVA'!$AM$11)*1</f>
        <v>11.103927165111529</v>
      </c>
      <c r="AA9" s="4">
        <f ca="1">('TE BE'!$AB$9+'TE BF_350'!$AB$9+'TE CVA'!$AB$9)*1</f>
        <v>233.70080441251889</v>
      </c>
      <c r="AB9" s="4">
        <f>$K$9*$V$9</f>
        <v>36200.130000000005</v>
      </c>
      <c r="AC9" s="4">
        <f>$M$9*$W$9</f>
        <v>5677.5686400000004</v>
      </c>
      <c r="AD9" s="4">
        <f>$O$9*$X$9</f>
        <v>0</v>
      </c>
      <c r="AE9" s="4">
        <f ca="1">$K$9*$Y$9</f>
        <v>36896.733059363498</v>
      </c>
      <c r="AF9" s="4">
        <f ca="1">$M$9*$Z$9</f>
        <v>4864.4528282007186</v>
      </c>
      <c r="AG9" s="4">
        <f ca="1">$O$9*$AA$9</f>
        <v>0</v>
      </c>
      <c r="AI9" s="83" t="s">
        <v>759</v>
      </c>
      <c r="AJ9" s="84">
        <f>AJ8+AJ7</f>
        <v>28097349.405635975</v>
      </c>
      <c r="AK9" s="84">
        <f ca="1">AK8+AK7</f>
        <v>31003961.302289385</v>
      </c>
      <c r="AL9" s="85">
        <f t="shared" ca="1" si="0"/>
        <v>0.10344790373964519</v>
      </c>
      <c r="AN9" s="83" t="s">
        <v>759</v>
      </c>
      <c r="AO9" s="84">
        <f>AO8+AO7</f>
        <v>13773228.263819257</v>
      </c>
      <c r="AP9" s="84">
        <f ca="1">AP8+AP7</f>
        <v>14507900.891086701</v>
      </c>
      <c r="AQ9" s="85">
        <f t="shared" ca="1" si="1"/>
        <v>5.3340626699504234E-2</v>
      </c>
      <c r="AS9" s="83" t="s">
        <v>759</v>
      </c>
      <c r="AT9" s="84">
        <f>AT8+AT7</f>
        <v>41870577.66945523</v>
      </c>
      <c r="AU9" s="84">
        <f ca="1">AU8+AU7</f>
        <v>45511862.193376087</v>
      </c>
      <c r="AV9" s="85">
        <f t="shared" ca="1" si="2"/>
        <v>8.6965232547464799E-2</v>
      </c>
    </row>
    <row r="10" spans="1:48" ht="11.25" customHeight="1" x14ac:dyDescent="0.3">
      <c r="A10" s="3" t="s">
        <v>21</v>
      </c>
      <c r="B10" s="3" t="s">
        <v>39</v>
      </c>
      <c r="C10" s="3" t="s">
        <v>56</v>
      </c>
      <c r="D10" s="3" t="s">
        <v>25</v>
      </c>
      <c r="E10" s="3" t="s">
        <v>25</v>
      </c>
      <c r="F10" s="3" t="s">
        <v>57</v>
      </c>
      <c r="G10" s="3" t="s">
        <v>58</v>
      </c>
      <c r="H10" s="3" t="s">
        <v>35</v>
      </c>
      <c r="I10" s="6">
        <v>44621</v>
      </c>
      <c r="J10" s="4">
        <v>1215</v>
      </c>
      <c r="K10" s="18">
        <f>J10*(1-SUMIFS(CUSTOS!$T$40:$T$100,CUSTOS!$O$40:$O$100,EFEITO_350!G10,CUSTOS!$S$40:$S$100,EFEITO_350!B10,CUSTOS!$R$40:$R$100,"Potência"))</f>
        <v>1215</v>
      </c>
      <c r="L10" s="4">
        <v>410.32900000000001</v>
      </c>
      <c r="M10" s="18">
        <f>L10*(1-SUMIFS(CUSTOS!$T$40:$T$100,CUSTOS!$O$40:$O$100,EFEITO_350!G10,CUSTOS!$S$40:$S$100,EFEITO_350!B10,CUSTOS!$R$40:$R$100,"Potência"))</f>
        <v>410.32900000000001</v>
      </c>
      <c r="N10" s="4">
        <v>0</v>
      </c>
      <c r="O10" s="18">
        <f>N10*(1-SUMIFS(CUSTOS!$T$40:$T$100,CUSTOS!$O$40:$O$100,EFEITO_350!G10,CUSTOS!$S$40:$S$100,EFEITO_350!B10,CUSTOS!$R$40:$R$100,"Energia"))</f>
        <v>0</v>
      </c>
      <c r="P10" s="4">
        <v>0</v>
      </c>
      <c r="Q10" s="3" t="s">
        <v>59</v>
      </c>
      <c r="R10" s="3">
        <v>5343</v>
      </c>
      <c r="S10" s="4">
        <v>6</v>
      </c>
      <c r="T10" s="4">
        <v>7</v>
      </c>
      <c r="U10" s="4">
        <v>0</v>
      </c>
      <c r="V10" s="4">
        <f>IF(ISERROR(VLOOKUP($S$10,'TAR FIN'!$A$1:$O$91,15,0)),0,VLOOKUP($S$10,'TAR FIN'!$A$1:$O$91,15,0))</f>
        <v>23.37</v>
      </c>
      <c r="W10" s="4">
        <f>IF(ISERROR(VLOOKUP($T$10,'TAR FIN'!$A$1:$O$91,15,0)),0,VLOOKUP($T$10,'TAR FIN'!$A$1:$O$91,15,0))</f>
        <v>12.96</v>
      </c>
      <c r="X10" s="4">
        <f>IF(ISERROR(VLOOKUP($U$10,'TAR FIN'!$A$1:$O$91,15,0)),0,VLOOKUP($U$10,'TAR FIN'!$A$1:$O$91,15,0))</f>
        <v>0</v>
      </c>
      <c r="Y10" s="4">
        <f ca="1">('TUSD BE'!$AM$10+'TUSD BF_350'!$AM$10+'TUSD CVA'!$AM$10)*1</f>
        <v>23.819711465050677</v>
      </c>
      <c r="Z10" s="4">
        <f ca="1">('TUSD BE'!$AM$11+'TUSD BF_350'!$AM$11+'TUSD CVA'!$AM$11)*1</f>
        <v>11.103927165111529</v>
      </c>
      <c r="AA10" s="4">
        <f ca="1">('TE BE'!$AB$9+'TE BF_350'!$AB$9+'TE CVA'!$AB$9)*1</f>
        <v>233.70080441251889</v>
      </c>
      <c r="AB10" s="4">
        <f>$K$10*$V$10</f>
        <v>28394.550000000003</v>
      </c>
      <c r="AC10" s="4">
        <f>$M$10*$W$10</f>
        <v>5317.8638400000009</v>
      </c>
      <c r="AD10" s="4">
        <f>$O$10*$X$10</f>
        <v>0</v>
      </c>
      <c r="AE10" s="4">
        <f ca="1">$K$10*$Y$10</f>
        <v>28940.949430036573</v>
      </c>
      <c r="AF10" s="4">
        <f ca="1">$M$10*$Z$10</f>
        <v>4556.2633297330485</v>
      </c>
      <c r="AG10" s="4">
        <f ca="1">$O$10*$AA$10</f>
        <v>0</v>
      </c>
    </row>
    <row r="11" spans="1:48" ht="11.25" customHeight="1" x14ac:dyDescent="0.3">
      <c r="A11" s="3" t="s">
        <v>21</v>
      </c>
      <c r="B11" s="3" t="s">
        <v>39</v>
      </c>
      <c r="C11" s="3" t="s">
        <v>56</v>
      </c>
      <c r="D11" s="3" t="s">
        <v>25</v>
      </c>
      <c r="E11" s="3" t="s">
        <v>25</v>
      </c>
      <c r="F11" s="3" t="s">
        <v>57</v>
      </c>
      <c r="G11" s="3" t="s">
        <v>58</v>
      </c>
      <c r="H11" s="3" t="s">
        <v>35</v>
      </c>
      <c r="I11" s="6">
        <v>44652</v>
      </c>
      <c r="J11" s="4">
        <v>1322</v>
      </c>
      <c r="K11" s="18">
        <f>J11*(1-SUMIFS(CUSTOS!$T$40:$T$100,CUSTOS!$O$40:$O$100,EFEITO_350!G11,CUSTOS!$S$40:$S$100,EFEITO_350!B11,CUSTOS!$R$40:$R$100,"Potência"))</f>
        <v>1322</v>
      </c>
      <c r="L11" s="4">
        <v>395.52</v>
      </c>
      <c r="M11" s="18">
        <f>L11*(1-SUMIFS(CUSTOS!$T$40:$T$100,CUSTOS!$O$40:$O$100,EFEITO_350!G11,CUSTOS!$S$40:$S$100,EFEITO_350!B11,CUSTOS!$R$40:$R$100,"Potência"))</f>
        <v>395.52</v>
      </c>
      <c r="N11" s="4">
        <v>0</v>
      </c>
      <c r="O11" s="18">
        <f>N11*(1-SUMIFS(CUSTOS!$T$40:$T$100,CUSTOS!$O$40:$O$100,EFEITO_350!G11,CUSTOS!$S$40:$S$100,EFEITO_350!B11,CUSTOS!$R$40:$R$100,"Energia"))</f>
        <v>0</v>
      </c>
      <c r="P11" s="4">
        <v>0</v>
      </c>
      <c r="Q11" s="3" t="s">
        <v>59</v>
      </c>
      <c r="R11" s="3">
        <v>5343</v>
      </c>
      <c r="S11" s="4">
        <v>6</v>
      </c>
      <c r="T11" s="4">
        <v>7</v>
      </c>
      <c r="U11" s="4">
        <v>0</v>
      </c>
      <c r="V11" s="4">
        <f>IF(ISERROR(VLOOKUP($S$11,'TAR FIN'!$A$1:$O$91,15,0)),0,VLOOKUP($S$11,'TAR FIN'!$A$1:$O$91,15,0))</f>
        <v>23.37</v>
      </c>
      <c r="W11" s="4">
        <f>IF(ISERROR(VLOOKUP($T$11,'TAR FIN'!$A$1:$O$91,15,0)),0,VLOOKUP($T$11,'TAR FIN'!$A$1:$O$91,15,0))</f>
        <v>12.96</v>
      </c>
      <c r="X11" s="4">
        <f>IF(ISERROR(VLOOKUP($U$11,'TAR FIN'!$A$1:$O$91,15,0)),0,VLOOKUP($U$11,'TAR FIN'!$A$1:$O$91,15,0))</f>
        <v>0</v>
      </c>
      <c r="Y11" s="4">
        <f ca="1">('TUSD BE'!$AM$10+'TUSD BF_350'!$AM$10+'TUSD CVA'!$AM$10)*1</f>
        <v>23.819711465050677</v>
      </c>
      <c r="Z11" s="4">
        <f ca="1">('TUSD BE'!$AM$11+'TUSD BF_350'!$AM$11+'TUSD CVA'!$AM$11)*1</f>
        <v>11.103927165111529</v>
      </c>
      <c r="AA11" s="4">
        <f ca="1">('TE BE'!$AB$9+'TE BF_350'!$AB$9+'TE CVA'!$AB$9)*1</f>
        <v>233.70080441251889</v>
      </c>
      <c r="AB11" s="4">
        <f>$K$11*$V$11</f>
        <v>30895.140000000003</v>
      </c>
      <c r="AC11" s="4">
        <f>$M$11*$W$11</f>
        <v>5125.9391999999998</v>
      </c>
      <c r="AD11" s="4">
        <f>$O$11*$X$11</f>
        <v>0</v>
      </c>
      <c r="AE11" s="4">
        <f ca="1">$K$11*$Y$11</f>
        <v>31489.658556796996</v>
      </c>
      <c r="AF11" s="4">
        <f ca="1">$M$11*$Z$11</f>
        <v>4391.8252723449114</v>
      </c>
      <c r="AG11" s="4">
        <f ca="1">$O$11*$AA$11</f>
        <v>0</v>
      </c>
    </row>
    <row r="12" spans="1:48" ht="11.25" customHeight="1" x14ac:dyDescent="0.3">
      <c r="A12" s="3" t="s">
        <v>21</v>
      </c>
      <c r="B12" s="3" t="s">
        <v>39</v>
      </c>
      <c r="C12" s="3" t="s">
        <v>56</v>
      </c>
      <c r="D12" s="3" t="s">
        <v>25</v>
      </c>
      <c r="E12" s="3" t="s">
        <v>25</v>
      </c>
      <c r="F12" s="3" t="s">
        <v>57</v>
      </c>
      <c r="G12" s="3" t="s">
        <v>58</v>
      </c>
      <c r="H12" s="3" t="s">
        <v>35</v>
      </c>
      <c r="I12" s="6">
        <v>44682</v>
      </c>
      <c r="J12" s="4">
        <v>1251</v>
      </c>
      <c r="K12" s="18">
        <f>J12*(1-SUMIFS(CUSTOS!$T$40:$T$100,CUSTOS!$O$40:$O$100,EFEITO_350!G12,CUSTOS!$S$40:$S$100,EFEITO_350!B12,CUSTOS!$R$40:$R$100,"Potência"))</f>
        <v>1251</v>
      </c>
      <c r="L12" s="4">
        <v>348.14400000000001</v>
      </c>
      <c r="M12" s="18">
        <f>L12*(1-SUMIFS(CUSTOS!$T$40:$T$100,CUSTOS!$O$40:$O$100,EFEITO_350!G12,CUSTOS!$S$40:$S$100,EFEITO_350!B12,CUSTOS!$R$40:$R$100,"Potência"))</f>
        <v>348.14400000000001</v>
      </c>
      <c r="N12" s="4">
        <v>0</v>
      </c>
      <c r="O12" s="18">
        <f>N12*(1-SUMIFS(CUSTOS!$T$40:$T$100,CUSTOS!$O$40:$O$100,EFEITO_350!G12,CUSTOS!$S$40:$S$100,EFEITO_350!B12,CUSTOS!$R$40:$R$100,"Energia"))</f>
        <v>0</v>
      </c>
      <c r="P12" s="4">
        <v>0</v>
      </c>
      <c r="Q12" s="3" t="s">
        <v>59</v>
      </c>
      <c r="R12" s="3">
        <v>5343</v>
      </c>
      <c r="S12" s="4">
        <v>6</v>
      </c>
      <c r="T12" s="4">
        <v>7</v>
      </c>
      <c r="U12" s="4">
        <v>0</v>
      </c>
      <c r="V12" s="4">
        <f>IF(ISERROR(VLOOKUP($S$12,'TAR FIN'!$A$1:$O$91,15,0)),0,VLOOKUP($S$12,'TAR FIN'!$A$1:$O$91,15,0))</f>
        <v>23.37</v>
      </c>
      <c r="W12" s="4">
        <f>IF(ISERROR(VLOOKUP($T$12,'TAR FIN'!$A$1:$O$91,15,0)),0,VLOOKUP($T$12,'TAR FIN'!$A$1:$O$91,15,0))</f>
        <v>12.96</v>
      </c>
      <c r="X12" s="4">
        <f>IF(ISERROR(VLOOKUP($U$12,'TAR FIN'!$A$1:$O$91,15,0)),0,VLOOKUP($U$12,'TAR FIN'!$A$1:$O$91,15,0))</f>
        <v>0</v>
      </c>
      <c r="Y12" s="4">
        <f ca="1">('TUSD BE'!$AM$10+'TUSD BF_350'!$AM$10+'TUSD CVA'!$AM$10)*1</f>
        <v>23.819711465050677</v>
      </c>
      <c r="Z12" s="4">
        <f ca="1">('TUSD BE'!$AM$11+'TUSD BF_350'!$AM$11+'TUSD CVA'!$AM$11)*1</f>
        <v>11.103927165111529</v>
      </c>
      <c r="AA12" s="4">
        <f ca="1">('TE BE'!$AB$9+'TE BF_350'!$AB$9+'TE CVA'!$AB$9)*1</f>
        <v>233.70080441251889</v>
      </c>
      <c r="AB12" s="4">
        <f>$K$12*$V$12</f>
        <v>29235.870000000003</v>
      </c>
      <c r="AC12" s="4">
        <f>$M$12*$W$12</f>
        <v>4511.9462400000002</v>
      </c>
      <c r="AD12" s="4">
        <f>$O$12*$X$12</f>
        <v>0</v>
      </c>
      <c r="AE12" s="4">
        <f ca="1">$K$12*$Y$12</f>
        <v>29798.459042778395</v>
      </c>
      <c r="AF12" s="4">
        <f ca="1">$M$12*$Z$12</f>
        <v>3865.7656189705881</v>
      </c>
      <c r="AG12" s="4">
        <f ca="1">$O$12*$AA$12</f>
        <v>0</v>
      </c>
    </row>
    <row r="13" spans="1:48" ht="11.25" customHeight="1" x14ac:dyDescent="0.3">
      <c r="A13" s="3" t="s">
        <v>21</v>
      </c>
      <c r="B13" s="3" t="s">
        <v>39</v>
      </c>
      <c r="C13" s="3" t="s">
        <v>56</v>
      </c>
      <c r="D13" s="3" t="s">
        <v>25</v>
      </c>
      <c r="E13" s="3" t="s">
        <v>25</v>
      </c>
      <c r="F13" s="3" t="s">
        <v>57</v>
      </c>
      <c r="G13" s="3" t="s">
        <v>58</v>
      </c>
      <c r="H13" s="3" t="s">
        <v>35</v>
      </c>
      <c r="I13" s="6">
        <v>44713</v>
      </c>
      <c r="J13" s="4">
        <v>1345</v>
      </c>
      <c r="K13" s="18">
        <f>J13*(1-SUMIFS(CUSTOS!$T$40:$T$100,CUSTOS!$O$40:$O$100,EFEITO_350!G13,CUSTOS!$S$40:$S$100,EFEITO_350!B13,CUSTOS!$R$40:$R$100,"Potência"))</f>
        <v>1345</v>
      </c>
      <c r="L13" s="4">
        <v>354.02800000000002</v>
      </c>
      <c r="M13" s="18">
        <f>L13*(1-SUMIFS(CUSTOS!$T$40:$T$100,CUSTOS!$O$40:$O$100,EFEITO_350!G13,CUSTOS!$S$40:$S$100,EFEITO_350!B13,CUSTOS!$R$40:$R$100,"Potência"))</f>
        <v>354.02800000000002</v>
      </c>
      <c r="N13" s="4">
        <v>0</v>
      </c>
      <c r="O13" s="18">
        <f>N13*(1-SUMIFS(CUSTOS!$T$40:$T$100,CUSTOS!$O$40:$O$100,EFEITO_350!G13,CUSTOS!$S$40:$S$100,EFEITO_350!B13,CUSTOS!$R$40:$R$100,"Energia"))</f>
        <v>0</v>
      </c>
      <c r="P13" s="4">
        <v>0</v>
      </c>
      <c r="Q13" s="3" t="s">
        <v>59</v>
      </c>
      <c r="R13" s="3">
        <v>5343</v>
      </c>
      <c r="S13" s="4">
        <v>6</v>
      </c>
      <c r="T13" s="4">
        <v>7</v>
      </c>
      <c r="U13" s="4">
        <v>0</v>
      </c>
      <c r="V13" s="4">
        <f>IF(ISERROR(VLOOKUP($S$13,'TAR FIN'!$A$1:$O$91,15,0)),0,VLOOKUP($S$13,'TAR FIN'!$A$1:$O$91,15,0))</f>
        <v>23.37</v>
      </c>
      <c r="W13" s="4">
        <f>IF(ISERROR(VLOOKUP($T$13,'TAR FIN'!$A$1:$O$91,15,0)),0,VLOOKUP($T$13,'TAR FIN'!$A$1:$O$91,15,0))</f>
        <v>12.96</v>
      </c>
      <c r="X13" s="4">
        <f>IF(ISERROR(VLOOKUP($U$13,'TAR FIN'!$A$1:$O$91,15,0)),0,VLOOKUP($U$13,'TAR FIN'!$A$1:$O$91,15,0))</f>
        <v>0</v>
      </c>
      <c r="Y13" s="4">
        <f ca="1">('TUSD BE'!$AM$10+'TUSD BF_350'!$AM$10+'TUSD CVA'!$AM$10)*1</f>
        <v>23.819711465050677</v>
      </c>
      <c r="Z13" s="4">
        <f ca="1">('TUSD BE'!$AM$11+'TUSD BF_350'!$AM$11+'TUSD CVA'!$AM$11)*1</f>
        <v>11.103927165111529</v>
      </c>
      <c r="AA13" s="4">
        <f ca="1">('TE BE'!$AB$9+'TE BF_350'!$AB$9+'TE CVA'!$AB$9)*1</f>
        <v>233.70080441251889</v>
      </c>
      <c r="AB13" s="4">
        <f>$K$13*$V$13</f>
        <v>31432.65</v>
      </c>
      <c r="AC13" s="4">
        <f>$M$13*$W$13</f>
        <v>4588.2028800000007</v>
      </c>
      <c r="AD13" s="4">
        <f>$O$13*$X$13</f>
        <v>0</v>
      </c>
      <c r="AE13" s="4">
        <f ca="1">$K$13*$Y$13</f>
        <v>32037.511920493162</v>
      </c>
      <c r="AF13" s="4">
        <f ca="1">$M$13*$Z$13</f>
        <v>3931.1011264101044</v>
      </c>
      <c r="AG13" s="4">
        <f ca="1">$O$13*$AA$13</f>
        <v>0</v>
      </c>
    </row>
    <row r="14" spans="1:48" ht="11.25" customHeight="1" x14ac:dyDescent="0.3">
      <c r="A14" s="3" t="s">
        <v>21</v>
      </c>
      <c r="B14" s="3" t="s">
        <v>39</v>
      </c>
      <c r="C14" s="3" t="s">
        <v>56</v>
      </c>
      <c r="D14" s="3" t="s">
        <v>25</v>
      </c>
      <c r="E14" s="3" t="s">
        <v>25</v>
      </c>
      <c r="F14" s="3" t="s">
        <v>57</v>
      </c>
      <c r="G14" s="3" t="s">
        <v>58</v>
      </c>
      <c r="H14" s="3" t="s">
        <v>25</v>
      </c>
      <c r="I14" s="6">
        <v>44378</v>
      </c>
      <c r="J14" s="4">
        <v>0</v>
      </c>
      <c r="K14" s="18">
        <f>J14*(1-SUMIFS(CUSTOS!$T$40:$T$100,CUSTOS!$O$40:$O$100,EFEITO_350!G14,CUSTOS!$S$40:$S$100,EFEITO_350!B14,CUSTOS!$R$40:$R$100,"Potência"))</f>
        <v>0</v>
      </c>
      <c r="L14" s="4">
        <v>0</v>
      </c>
      <c r="M14" s="18">
        <f>L14*(1-SUMIFS(CUSTOS!$T$40:$T$100,CUSTOS!$O$40:$O$100,EFEITO_350!G14,CUSTOS!$S$40:$S$100,EFEITO_350!B14,CUSTOS!$R$40:$R$100,"Potência"))</f>
        <v>0</v>
      </c>
      <c r="N14" s="4">
        <v>342.21800000000002</v>
      </c>
      <c r="O14" s="18">
        <f>N14*(1-SUMIFS(CUSTOS!$T$40:$T$100,CUSTOS!$O$40:$O$100,EFEITO_350!G14,CUSTOS!$S$40:$S$100,EFEITO_350!B14,CUSTOS!$R$40:$R$100,"Energia"))</f>
        <v>293.41771319999998</v>
      </c>
      <c r="P14" s="4">
        <v>0</v>
      </c>
      <c r="Q14" s="3" t="s">
        <v>59</v>
      </c>
      <c r="R14" s="3">
        <v>5343</v>
      </c>
      <c r="S14" s="4">
        <v>0</v>
      </c>
      <c r="T14" s="4">
        <v>0</v>
      </c>
      <c r="U14" s="4">
        <v>54</v>
      </c>
      <c r="V14" s="4">
        <f>IF(ISERROR(VLOOKUP($S$14,'TAR FIN'!$A$1:$O$91,15,0)),0,VLOOKUP($S$14,'TAR FIN'!$A$1:$O$91,15,0))</f>
        <v>0</v>
      </c>
      <c r="W14" s="4">
        <f>IF(ISERROR(VLOOKUP($T$14,'TAR FIN'!$A$1:$O$91,15,0)),0,VLOOKUP($T$14,'TAR FIN'!$A$1:$O$91,15,0))</f>
        <v>0</v>
      </c>
      <c r="X14" s="4">
        <f>IF(ISERROR(VLOOKUP($U$14,'TAR FIN'!$A$1:$O$91,15,0)),0,VLOOKUP($U$14,'TAR FIN'!$A$1:$O$91,15,0))</f>
        <v>215.96</v>
      </c>
      <c r="Y14" s="4">
        <f ca="1">0.72*('TUSD BE'!$AM$9+'TUSD BF_350'!$AM$9+'TUSD CVA'!$AM$9)*1+('TUSD BE'!$AM$10+'TUSD BF_350'!$AM$10+'TUSD CVA'!$AM$10)*1</f>
        <v>54.216386816965695</v>
      </c>
      <c r="Z14" s="4">
        <f ca="1">('TUSD BE'!$AM$11+'TUSD BF_350'!$AM$11+'TUSD CVA'!$AM$11)*1</f>
        <v>11.103927165111529</v>
      </c>
      <c r="AA14" s="4">
        <f ca="1">('TE BE'!$AB$9+'TE BF_350'!$AB$9+'TE CVA'!$AB$9)*1</f>
        <v>233.70080441251889</v>
      </c>
      <c r="AB14" s="4">
        <f>$K$14*$V$14</f>
        <v>0</v>
      </c>
      <c r="AC14" s="4">
        <f>$M$14*$W$14</f>
        <v>0</v>
      </c>
      <c r="AD14" s="4">
        <f>$O$14*$X$14</f>
        <v>63366.489342672001</v>
      </c>
      <c r="AE14" s="4">
        <f ca="1">$K$14*$Y$14</f>
        <v>0</v>
      </c>
      <c r="AF14" s="4">
        <f ca="1">$M$14*$Z$14</f>
        <v>0</v>
      </c>
      <c r="AG14" s="4">
        <f ca="1">$O$14*$AA$14</f>
        <v>68571.955603721755</v>
      </c>
    </row>
    <row r="15" spans="1:48" ht="11.25" customHeight="1" x14ac:dyDescent="0.3">
      <c r="A15" s="3" t="s">
        <v>21</v>
      </c>
      <c r="B15" s="3" t="s">
        <v>39</v>
      </c>
      <c r="C15" s="3" t="s">
        <v>56</v>
      </c>
      <c r="D15" s="3" t="s">
        <v>25</v>
      </c>
      <c r="E15" s="3" t="s">
        <v>25</v>
      </c>
      <c r="F15" s="3" t="s">
        <v>57</v>
      </c>
      <c r="G15" s="3" t="s">
        <v>58</v>
      </c>
      <c r="H15" s="3" t="s">
        <v>25</v>
      </c>
      <c r="I15" s="6">
        <v>44409</v>
      </c>
      <c r="J15" s="4">
        <v>0</v>
      </c>
      <c r="K15" s="18">
        <f>J15*(1-SUMIFS(CUSTOS!$T$40:$T$100,CUSTOS!$O$40:$O$100,EFEITO_350!G15,CUSTOS!$S$40:$S$100,EFEITO_350!B15,CUSTOS!$R$40:$R$100,"Potência"))</f>
        <v>0</v>
      </c>
      <c r="L15" s="4">
        <v>0</v>
      </c>
      <c r="M15" s="18">
        <f>L15*(1-SUMIFS(CUSTOS!$T$40:$T$100,CUSTOS!$O$40:$O$100,EFEITO_350!G15,CUSTOS!$S$40:$S$100,EFEITO_350!B15,CUSTOS!$R$40:$R$100,"Potência"))</f>
        <v>0</v>
      </c>
      <c r="N15" s="4">
        <v>369.23899999999998</v>
      </c>
      <c r="O15" s="18">
        <f>N15*(1-SUMIFS(CUSTOS!$T$40:$T$100,CUSTOS!$O$40:$O$100,EFEITO_350!G15,CUSTOS!$S$40:$S$100,EFEITO_350!B15,CUSTOS!$R$40:$R$100,"Energia"))</f>
        <v>316.58551859999994</v>
      </c>
      <c r="P15" s="4">
        <v>0</v>
      </c>
      <c r="Q15" s="3" t="s">
        <v>59</v>
      </c>
      <c r="R15" s="3">
        <v>5343</v>
      </c>
      <c r="S15" s="4">
        <v>0</v>
      </c>
      <c r="T15" s="4">
        <v>0</v>
      </c>
      <c r="U15" s="4">
        <v>54</v>
      </c>
      <c r="V15" s="4">
        <f>IF(ISERROR(VLOOKUP($S$15,'TAR FIN'!$A$1:$O$91,15,0)),0,VLOOKUP($S$15,'TAR FIN'!$A$1:$O$91,15,0))</f>
        <v>0</v>
      </c>
      <c r="W15" s="4">
        <f>IF(ISERROR(VLOOKUP($T$15,'TAR FIN'!$A$1:$O$91,15,0)),0,VLOOKUP($T$15,'TAR FIN'!$A$1:$O$91,15,0))</f>
        <v>0</v>
      </c>
      <c r="X15" s="4">
        <f>IF(ISERROR(VLOOKUP($U$15,'TAR FIN'!$A$1:$O$91,15,0)),0,VLOOKUP($U$15,'TAR FIN'!$A$1:$O$91,15,0))</f>
        <v>215.96</v>
      </c>
      <c r="Y15" s="4">
        <f ca="1">0.72*('TUSD BE'!$AM$9+'TUSD BF_350'!$AM$9+'TUSD CVA'!$AM$9)*1+('TUSD BE'!$AM$10+'TUSD BF_350'!$AM$10+'TUSD CVA'!$AM$10)*1</f>
        <v>54.216386816965695</v>
      </c>
      <c r="Z15" s="4">
        <f ca="1">('TUSD BE'!$AM$11+'TUSD BF_350'!$AM$11+'TUSD CVA'!$AM$11)*1</f>
        <v>11.103927165111529</v>
      </c>
      <c r="AA15" s="4">
        <f ca="1">('TE BE'!$AB$9+'TE BF_350'!$AB$9+'TE CVA'!$AB$9)*1</f>
        <v>233.70080441251889</v>
      </c>
      <c r="AB15" s="4">
        <f>$K$15*$V$15</f>
        <v>0</v>
      </c>
      <c r="AC15" s="4">
        <f>$M$15*$W$15</f>
        <v>0</v>
      </c>
      <c r="AD15" s="4">
        <f>$O$15*$X$15</f>
        <v>68369.80859685599</v>
      </c>
      <c r="AE15" s="4">
        <f ca="1">$K$15*$Y$15</f>
        <v>0</v>
      </c>
      <c r="AF15" s="4">
        <f ca="1">$M$15*$Z$15</f>
        <v>0</v>
      </c>
      <c r="AG15" s="4">
        <f ca="1">$O$15*$AA$15</f>
        <v>73986.290362174448</v>
      </c>
    </row>
    <row r="16" spans="1:48" ht="11.25" customHeight="1" x14ac:dyDescent="0.3">
      <c r="A16" s="3" t="s">
        <v>21</v>
      </c>
      <c r="B16" s="3" t="s">
        <v>39</v>
      </c>
      <c r="C16" s="3" t="s">
        <v>56</v>
      </c>
      <c r="D16" s="3" t="s">
        <v>25</v>
      </c>
      <c r="E16" s="3" t="s">
        <v>25</v>
      </c>
      <c r="F16" s="3" t="s">
        <v>57</v>
      </c>
      <c r="G16" s="3" t="s">
        <v>58</v>
      </c>
      <c r="H16" s="3" t="s">
        <v>25</v>
      </c>
      <c r="I16" s="6">
        <v>44440</v>
      </c>
      <c r="J16" s="4">
        <v>0</v>
      </c>
      <c r="K16" s="18">
        <f>J16*(1-SUMIFS(CUSTOS!$T$40:$T$100,CUSTOS!$O$40:$O$100,EFEITO_350!G16,CUSTOS!$S$40:$S$100,EFEITO_350!B16,CUSTOS!$R$40:$R$100,"Potência"))</f>
        <v>0</v>
      </c>
      <c r="L16" s="4">
        <v>0</v>
      </c>
      <c r="M16" s="18">
        <f>L16*(1-SUMIFS(CUSTOS!$T$40:$T$100,CUSTOS!$O$40:$O$100,EFEITO_350!G16,CUSTOS!$S$40:$S$100,EFEITO_350!B16,CUSTOS!$R$40:$R$100,"Potência"))</f>
        <v>0</v>
      </c>
      <c r="N16" s="4">
        <v>336.33800000000002</v>
      </c>
      <c r="O16" s="18">
        <f>N16*(1-SUMIFS(CUSTOS!$T$40:$T$100,CUSTOS!$O$40:$O$100,EFEITO_350!G16,CUSTOS!$S$40:$S$100,EFEITO_350!B16,CUSTOS!$R$40:$R$100,"Energia"))</f>
        <v>288.37620120000003</v>
      </c>
      <c r="P16" s="4">
        <v>0</v>
      </c>
      <c r="Q16" s="3" t="s">
        <v>59</v>
      </c>
      <c r="R16" s="3">
        <v>5343</v>
      </c>
      <c r="S16" s="4">
        <v>0</v>
      </c>
      <c r="T16" s="4">
        <v>0</v>
      </c>
      <c r="U16" s="4">
        <v>54</v>
      </c>
      <c r="V16" s="4">
        <f>IF(ISERROR(VLOOKUP($S$16,'TAR FIN'!$A$1:$O$91,15,0)),0,VLOOKUP($S$16,'TAR FIN'!$A$1:$O$91,15,0))</f>
        <v>0</v>
      </c>
      <c r="W16" s="4">
        <f>IF(ISERROR(VLOOKUP($T$16,'TAR FIN'!$A$1:$O$91,15,0)),0,VLOOKUP($T$16,'TAR FIN'!$A$1:$O$91,15,0))</f>
        <v>0</v>
      </c>
      <c r="X16" s="4">
        <f>IF(ISERROR(VLOOKUP($U$16,'TAR FIN'!$A$1:$O$91,15,0)),0,VLOOKUP($U$16,'TAR FIN'!$A$1:$O$91,15,0))</f>
        <v>215.96</v>
      </c>
      <c r="Y16" s="4">
        <f ca="1">0.72*('TUSD BE'!$AM$9+'TUSD BF_350'!$AM$9+'TUSD CVA'!$AM$9)*1+('TUSD BE'!$AM$10+'TUSD BF_350'!$AM$10+'TUSD CVA'!$AM$10)*1</f>
        <v>54.216386816965695</v>
      </c>
      <c r="Z16" s="4">
        <f ca="1">('TUSD BE'!$AM$11+'TUSD BF_350'!$AM$11+'TUSD CVA'!$AM$11)*1</f>
        <v>11.103927165111529</v>
      </c>
      <c r="AA16" s="4">
        <f ca="1">('TE BE'!$AB$9+'TE BF_350'!$AB$9+'TE CVA'!$AB$9)*1</f>
        <v>233.70080441251889</v>
      </c>
      <c r="AB16" s="4">
        <f>$K$16*$V$16</f>
        <v>0</v>
      </c>
      <c r="AC16" s="4">
        <f>$M$16*$W$16</f>
        <v>0</v>
      </c>
      <c r="AD16" s="4">
        <f>$O$16*$X$16</f>
        <v>62277.724411152005</v>
      </c>
      <c r="AE16" s="4">
        <f ca="1">$K$16*$Y$16</f>
        <v>0</v>
      </c>
      <c r="AF16" s="4">
        <f ca="1">$M$16*$Z$16</f>
        <v>0</v>
      </c>
      <c r="AG16" s="4">
        <f ca="1">$O$16*$AA$16</f>
        <v>67393.750193866406</v>
      </c>
    </row>
    <row r="17" spans="1:33" ht="11.25" customHeight="1" x14ac:dyDescent="0.3">
      <c r="A17" s="3" t="s">
        <v>21</v>
      </c>
      <c r="B17" s="3" t="s">
        <v>39</v>
      </c>
      <c r="C17" s="3" t="s">
        <v>56</v>
      </c>
      <c r="D17" s="3" t="s">
        <v>25</v>
      </c>
      <c r="E17" s="3" t="s">
        <v>25</v>
      </c>
      <c r="F17" s="3" t="s">
        <v>57</v>
      </c>
      <c r="G17" s="3" t="s">
        <v>58</v>
      </c>
      <c r="H17" s="3" t="s">
        <v>25</v>
      </c>
      <c r="I17" s="6">
        <v>44470</v>
      </c>
      <c r="J17" s="4">
        <v>0</v>
      </c>
      <c r="K17" s="18">
        <f>J17*(1-SUMIFS(CUSTOS!$T$40:$T$100,CUSTOS!$O$40:$O$100,EFEITO_350!G17,CUSTOS!$S$40:$S$100,EFEITO_350!B17,CUSTOS!$R$40:$R$100,"Potência"))</f>
        <v>0</v>
      </c>
      <c r="L17" s="4">
        <v>0</v>
      </c>
      <c r="M17" s="18">
        <f>L17*(1-SUMIFS(CUSTOS!$T$40:$T$100,CUSTOS!$O$40:$O$100,EFEITO_350!G17,CUSTOS!$S$40:$S$100,EFEITO_350!B17,CUSTOS!$R$40:$R$100,"Potência"))</f>
        <v>0</v>
      </c>
      <c r="N17" s="4">
        <v>343.803</v>
      </c>
      <c r="O17" s="18">
        <f>N17*(1-SUMIFS(CUSTOS!$T$40:$T$100,CUSTOS!$O$40:$O$100,EFEITO_350!G17,CUSTOS!$S$40:$S$100,EFEITO_350!B17,CUSTOS!$R$40:$R$100,"Energia"))</f>
        <v>294.77669219999996</v>
      </c>
      <c r="P17" s="4">
        <v>0</v>
      </c>
      <c r="Q17" s="3" t="s">
        <v>59</v>
      </c>
      <c r="R17" s="3">
        <v>5343</v>
      </c>
      <c r="S17" s="4">
        <v>0</v>
      </c>
      <c r="T17" s="4">
        <v>0</v>
      </c>
      <c r="U17" s="4">
        <v>54</v>
      </c>
      <c r="V17" s="4">
        <f>IF(ISERROR(VLOOKUP($S$17,'TAR FIN'!$A$1:$O$91,15,0)),0,VLOOKUP($S$17,'TAR FIN'!$A$1:$O$91,15,0))</f>
        <v>0</v>
      </c>
      <c r="W17" s="4">
        <f>IF(ISERROR(VLOOKUP($T$17,'TAR FIN'!$A$1:$O$91,15,0)),0,VLOOKUP($T$17,'TAR FIN'!$A$1:$O$91,15,0))</f>
        <v>0</v>
      </c>
      <c r="X17" s="4">
        <f>IF(ISERROR(VLOOKUP($U$17,'TAR FIN'!$A$1:$O$91,15,0)),0,VLOOKUP($U$17,'TAR FIN'!$A$1:$O$91,15,0))</f>
        <v>215.96</v>
      </c>
      <c r="Y17" s="4">
        <f ca="1">0.72*('TUSD BE'!$AM$9+'TUSD BF_350'!$AM$9+'TUSD CVA'!$AM$9)*1+('TUSD BE'!$AM$10+'TUSD BF_350'!$AM$10+'TUSD CVA'!$AM$10)*1</f>
        <v>54.216386816965695</v>
      </c>
      <c r="Z17" s="4">
        <f ca="1">('TUSD BE'!$AM$11+'TUSD BF_350'!$AM$11+'TUSD CVA'!$AM$11)*1</f>
        <v>11.103927165111529</v>
      </c>
      <c r="AA17" s="4">
        <f ca="1">('TE BE'!$AB$9+'TE BF_350'!$AB$9+'TE CVA'!$AB$9)*1</f>
        <v>233.70080441251889</v>
      </c>
      <c r="AB17" s="4">
        <f>$K$17*$V$17</f>
        <v>0</v>
      </c>
      <c r="AC17" s="4">
        <f>$M$17*$W$17</f>
        <v>0</v>
      </c>
      <c r="AD17" s="4">
        <f>$O$17*$X$17</f>
        <v>63659.974447511995</v>
      </c>
      <c r="AE17" s="4">
        <f ca="1">$K$17*$Y$17</f>
        <v>0</v>
      </c>
      <c r="AF17" s="4">
        <f ca="1">$M$17*$Z$17</f>
        <v>0</v>
      </c>
      <c r="AG17" s="4">
        <f ca="1">$O$17*$AA$17</f>
        <v>68889.550089201468</v>
      </c>
    </row>
    <row r="18" spans="1:33" ht="11.25" customHeight="1" x14ac:dyDescent="0.3">
      <c r="A18" s="3" t="s">
        <v>21</v>
      </c>
      <c r="B18" s="3" t="s">
        <v>39</v>
      </c>
      <c r="C18" s="3" t="s">
        <v>56</v>
      </c>
      <c r="D18" s="3" t="s">
        <v>25</v>
      </c>
      <c r="E18" s="3" t="s">
        <v>25</v>
      </c>
      <c r="F18" s="3" t="s">
        <v>57</v>
      </c>
      <c r="G18" s="3" t="s">
        <v>58</v>
      </c>
      <c r="H18" s="3" t="s">
        <v>25</v>
      </c>
      <c r="I18" s="6">
        <v>44501</v>
      </c>
      <c r="J18" s="4">
        <v>0</v>
      </c>
      <c r="K18" s="18">
        <f>J18*(1-SUMIFS(CUSTOS!$T$40:$T$100,CUSTOS!$O$40:$O$100,EFEITO_350!G18,CUSTOS!$S$40:$S$100,EFEITO_350!B18,CUSTOS!$R$40:$R$100,"Potência"))</f>
        <v>0</v>
      </c>
      <c r="L18" s="4">
        <v>0</v>
      </c>
      <c r="M18" s="18">
        <f>L18*(1-SUMIFS(CUSTOS!$T$40:$T$100,CUSTOS!$O$40:$O$100,EFEITO_350!G18,CUSTOS!$S$40:$S$100,EFEITO_350!B18,CUSTOS!$R$40:$R$100,"Potência"))</f>
        <v>0</v>
      </c>
      <c r="N18" s="4">
        <v>490.92599999999999</v>
      </c>
      <c r="O18" s="18">
        <f>N18*(1-SUMIFS(CUSTOS!$T$40:$T$100,CUSTOS!$O$40:$O$100,EFEITO_350!G18,CUSTOS!$S$40:$S$100,EFEITO_350!B18,CUSTOS!$R$40:$R$100,"Energia"))</f>
        <v>420.91995239999994</v>
      </c>
      <c r="P18" s="4">
        <v>0</v>
      </c>
      <c r="Q18" s="3" t="s">
        <v>59</v>
      </c>
      <c r="R18" s="3">
        <v>5343</v>
      </c>
      <c r="S18" s="4">
        <v>0</v>
      </c>
      <c r="T18" s="4">
        <v>0</v>
      </c>
      <c r="U18" s="4">
        <v>54</v>
      </c>
      <c r="V18" s="4">
        <f>IF(ISERROR(VLOOKUP($S$18,'TAR FIN'!$A$1:$O$91,15,0)),0,VLOOKUP($S$18,'TAR FIN'!$A$1:$O$91,15,0))</f>
        <v>0</v>
      </c>
      <c r="W18" s="4">
        <f>IF(ISERROR(VLOOKUP($T$18,'TAR FIN'!$A$1:$O$91,15,0)),0,VLOOKUP($T$18,'TAR FIN'!$A$1:$O$91,15,0))</f>
        <v>0</v>
      </c>
      <c r="X18" s="4">
        <f>IF(ISERROR(VLOOKUP($U$18,'TAR FIN'!$A$1:$O$91,15,0)),0,VLOOKUP($U$18,'TAR FIN'!$A$1:$O$91,15,0))</f>
        <v>215.96</v>
      </c>
      <c r="Y18" s="4">
        <f ca="1">0.72*('TUSD BE'!$AM$9+'TUSD BF_350'!$AM$9+'TUSD CVA'!$AM$9)*1+('TUSD BE'!$AM$10+'TUSD BF_350'!$AM$10+'TUSD CVA'!$AM$10)*1</f>
        <v>54.216386816965695</v>
      </c>
      <c r="Z18" s="4">
        <f ca="1">('TUSD BE'!$AM$11+'TUSD BF_350'!$AM$11+'TUSD CVA'!$AM$11)*1</f>
        <v>11.103927165111529</v>
      </c>
      <c r="AA18" s="4">
        <f ca="1">('TE BE'!$AB$9+'TE BF_350'!$AB$9+'TE CVA'!$AB$9)*1</f>
        <v>233.70080441251889</v>
      </c>
      <c r="AB18" s="4">
        <f>$K$18*$V$18</f>
        <v>0</v>
      </c>
      <c r="AC18" s="4">
        <f>$M$18*$W$18</f>
        <v>0</v>
      </c>
      <c r="AD18" s="4">
        <f>$O$18*$X$18</f>
        <v>90901.872920303984</v>
      </c>
      <c r="AE18" s="4">
        <f ca="1">$K$18*$Y$18</f>
        <v>0</v>
      </c>
      <c r="AF18" s="4">
        <f ca="1">$M$18*$Z$18</f>
        <v>0</v>
      </c>
      <c r="AG18" s="4">
        <f ca="1">$O$18*$AA$18</f>
        <v>98369.331469159151</v>
      </c>
    </row>
    <row r="19" spans="1:33" ht="11.25" customHeight="1" x14ac:dyDescent="0.3">
      <c r="A19" s="3" t="s">
        <v>21</v>
      </c>
      <c r="B19" s="3" t="s">
        <v>39</v>
      </c>
      <c r="C19" s="3" t="s">
        <v>56</v>
      </c>
      <c r="D19" s="3" t="s">
        <v>25</v>
      </c>
      <c r="E19" s="3" t="s">
        <v>25</v>
      </c>
      <c r="F19" s="3" t="s">
        <v>57</v>
      </c>
      <c r="G19" s="3" t="s">
        <v>58</v>
      </c>
      <c r="H19" s="3" t="s">
        <v>25</v>
      </c>
      <c r="I19" s="6">
        <v>44531</v>
      </c>
      <c r="J19" s="4">
        <v>0</v>
      </c>
      <c r="K19" s="18">
        <f>J19*(1-SUMIFS(CUSTOS!$T$40:$T$100,CUSTOS!$O$40:$O$100,EFEITO_350!G19,CUSTOS!$S$40:$S$100,EFEITO_350!B19,CUSTOS!$R$40:$R$100,"Potência"))</f>
        <v>0</v>
      </c>
      <c r="L19" s="4">
        <v>0</v>
      </c>
      <c r="M19" s="18">
        <f>L19*(1-SUMIFS(CUSTOS!$T$40:$T$100,CUSTOS!$O$40:$O$100,EFEITO_350!G19,CUSTOS!$S$40:$S$100,EFEITO_350!B19,CUSTOS!$R$40:$R$100,"Potência"))</f>
        <v>0</v>
      </c>
      <c r="N19" s="4">
        <v>681.79300000000001</v>
      </c>
      <c r="O19" s="18">
        <f>N19*(1-SUMIFS(CUSTOS!$T$40:$T$100,CUSTOS!$O$40:$O$100,EFEITO_350!G19,CUSTOS!$S$40:$S$100,EFEITO_350!B19,CUSTOS!$R$40:$R$100,"Energia"))</f>
        <v>584.5693182</v>
      </c>
      <c r="P19" s="4">
        <v>0</v>
      </c>
      <c r="Q19" s="3" t="s">
        <v>59</v>
      </c>
      <c r="R19" s="3">
        <v>5343</v>
      </c>
      <c r="S19" s="4">
        <v>0</v>
      </c>
      <c r="T19" s="4">
        <v>0</v>
      </c>
      <c r="U19" s="4">
        <v>54</v>
      </c>
      <c r="V19" s="4">
        <f>IF(ISERROR(VLOOKUP($S$19,'TAR FIN'!$A$1:$O$91,15,0)),0,VLOOKUP($S$19,'TAR FIN'!$A$1:$O$91,15,0))</f>
        <v>0</v>
      </c>
      <c r="W19" s="4">
        <f>IF(ISERROR(VLOOKUP($T$19,'TAR FIN'!$A$1:$O$91,15,0)),0,VLOOKUP($T$19,'TAR FIN'!$A$1:$O$91,15,0))</f>
        <v>0</v>
      </c>
      <c r="X19" s="4">
        <f>IF(ISERROR(VLOOKUP($U$19,'TAR FIN'!$A$1:$O$91,15,0)),0,VLOOKUP($U$19,'TAR FIN'!$A$1:$O$91,15,0))</f>
        <v>215.96</v>
      </c>
      <c r="Y19" s="4">
        <f ca="1">0.72*('TUSD BE'!$AM$9+'TUSD BF_350'!$AM$9+'TUSD CVA'!$AM$9)*1+('TUSD BE'!$AM$10+'TUSD BF_350'!$AM$10+'TUSD CVA'!$AM$10)*1</f>
        <v>54.216386816965695</v>
      </c>
      <c r="Z19" s="4">
        <f ca="1">('TUSD BE'!$AM$11+'TUSD BF_350'!$AM$11+'TUSD CVA'!$AM$11)*1</f>
        <v>11.103927165111529</v>
      </c>
      <c r="AA19" s="4">
        <f ca="1">('TE BE'!$AB$9+'TE BF_350'!$AB$9+'TE CVA'!$AB$9)*1</f>
        <v>233.70080441251889</v>
      </c>
      <c r="AB19" s="4">
        <f>$K$19*$V$19</f>
        <v>0</v>
      </c>
      <c r="AC19" s="4">
        <f>$M$19*$W$19</f>
        <v>0</v>
      </c>
      <c r="AD19" s="4">
        <f>$O$19*$X$19</f>
        <v>126243.589958472</v>
      </c>
      <c r="AE19" s="4">
        <f ca="1">$K$19*$Y$19</f>
        <v>0</v>
      </c>
      <c r="AF19" s="4">
        <f ca="1">$M$19*$Z$19</f>
        <v>0</v>
      </c>
      <c r="AG19" s="4">
        <f ca="1">$O$19*$AA$19</f>
        <v>136614.31989821771</v>
      </c>
    </row>
    <row r="20" spans="1:33" ht="11.25" customHeight="1" x14ac:dyDescent="0.3">
      <c r="A20" s="3" t="s">
        <v>21</v>
      </c>
      <c r="B20" s="3" t="s">
        <v>39</v>
      </c>
      <c r="C20" s="3" t="s">
        <v>56</v>
      </c>
      <c r="D20" s="3" t="s">
        <v>25</v>
      </c>
      <c r="E20" s="3" t="s">
        <v>25</v>
      </c>
      <c r="F20" s="3" t="s">
        <v>57</v>
      </c>
      <c r="G20" s="3" t="s">
        <v>58</v>
      </c>
      <c r="H20" s="3" t="s">
        <v>25</v>
      </c>
      <c r="I20" s="6">
        <v>44562</v>
      </c>
      <c r="J20" s="4">
        <v>0</v>
      </c>
      <c r="K20" s="18">
        <f>J20*(1-SUMIFS(CUSTOS!$T$40:$T$100,CUSTOS!$O$40:$O$100,EFEITO_350!G20,CUSTOS!$S$40:$S$100,EFEITO_350!B20,CUSTOS!$R$40:$R$100,"Potência"))</f>
        <v>0</v>
      </c>
      <c r="L20" s="4">
        <v>0</v>
      </c>
      <c r="M20" s="18">
        <f>L20*(1-SUMIFS(CUSTOS!$T$40:$T$100,CUSTOS!$O$40:$O$100,EFEITO_350!G20,CUSTOS!$S$40:$S$100,EFEITO_350!B20,CUSTOS!$R$40:$R$100,"Potência"))</f>
        <v>0</v>
      </c>
      <c r="N20" s="4">
        <v>709.2</v>
      </c>
      <c r="O20" s="18">
        <f>N20*(1-SUMIFS(CUSTOS!$T$40:$T$100,CUSTOS!$O$40:$O$100,EFEITO_350!G20,CUSTOS!$S$40:$S$100,EFEITO_350!B20,CUSTOS!$R$40:$R$100,"Energia"))</f>
        <v>608.06808000000001</v>
      </c>
      <c r="P20" s="4">
        <v>0</v>
      </c>
      <c r="Q20" s="3" t="s">
        <v>59</v>
      </c>
      <c r="R20" s="3">
        <v>5343</v>
      </c>
      <c r="S20" s="4">
        <v>0</v>
      </c>
      <c r="T20" s="4">
        <v>0</v>
      </c>
      <c r="U20" s="4">
        <v>54</v>
      </c>
      <c r="V20" s="4">
        <f>IF(ISERROR(VLOOKUP($S$20,'TAR FIN'!$A$1:$O$91,15,0)),0,VLOOKUP($S$20,'TAR FIN'!$A$1:$O$91,15,0))</f>
        <v>0</v>
      </c>
      <c r="W20" s="4">
        <f>IF(ISERROR(VLOOKUP($T$20,'TAR FIN'!$A$1:$O$91,15,0)),0,VLOOKUP($T$20,'TAR FIN'!$A$1:$O$91,15,0))</f>
        <v>0</v>
      </c>
      <c r="X20" s="4">
        <f>IF(ISERROR(VLOOKUP($U$20,'TAR FIN'!$A$1:$O$91,15,0)),0,VLOOKUP($U$20,'TAR FIN'!$A$1:$O$91,15,0))</f>
        <v>215.96</v>
      </c>
      <c r="Y20" s="4">
        <f ca="1">0.72*('TUSD BE'!$AM$9+'TUSD BF_350'!$AM$9+'TUSD CVA'!$AM$9)*1+('TUSD BE'!$AM$10+'TUSD BF_350'!$AM$10+'TUSD CVA'!$AM$10)*1</f>
        <v>54.216386816965695</v>
      </c>
      <c r="Z20" s="4">
        <f ca="1">('TUSD BE'!$AM$11+'TUSD BF_350'!$AM$11+'TUSD CVA'!$AM$11)*1</f>
        <v>11.103927165111529</v>
      </c>
      <c r="AA20" s="4">
        <f ca="1">('TE BE'!$AB$9+'TE BF_350'!$AB$9+'TE CVA'!$AB$9)*1</f>
        <v>233.70080441251889</v>
      </c>
      <c r="AB20" s="4">
        <f>$K$20*$V$20</f>
        <v>0</v>
      </c>
      <c r="AC20" s="4">
        <f>$M$20*$W$20</f>
        <v>0</v>
      </c>
      <c r="AD20" s="4">
        <f>$O$20*$X$20</f>
        <v>131318.3825568</v>
      </c>
      <c r="AE20" s="4">
        <f ca="1">$K$20*$Y$20</f>
        <v>0</v>
      </c>
      <c r="AF20" s="4">
        <f ca="1">$M$20*$Z$20</f>
        <v>0</v>
      </c>
      <c r="AG20" s="4">
        <f ca="1">$O$20*$AA$20</f>
        <v>142105.9994335759</v>
      </c>
    </row>
    <row r="21" spans="1:33" ht="11.25" customHeight="1" x14ac:dyDescent="0.3">
      <c r="A21" s="3" t="s">
        <v>21</v>
      </c>
      <c r="B21" s="3" t="s">
        <v>39</v>
      </c>
      <c r="C21" s="3" t="s">
        <v>56</v>
      </c>
      <c r="D21" s="3" t="s">
        <v>25</v>
      </c>
      <c r="E21" s="3" t="s">
        <v>25</v>
      </c>
      <c r="F21" s="3" t="s">
        <v>57</v>
      </c>
      <c r="G21" s="3" t="s">
        <v>58</v>
      </c>
      <c r="H21" s="3" t="s">
        <v>25</v>
      </c>
      <c r="I21" s="6">
        <v>44593</v>
      </c>
      <c r="J21" s="4">
        <v>0</v>
      </c>
      <c r="K21" s="18">
        <f>J21*(1-SUMIFS(CUSTOS!$T$40:$T$100,CUSTOS!$O$40:$O$100,EFEITO_350!G21,CUSTOS!$S$40:$S$100,EFEITO_350!B21,CUSTOS!$R$40:$R$100,"Potência"))</f>
        <v>0</v>
      </c>
      <c r="L21" s="4">
        <v>0</v>
      </c>
      <c r="M21" s="18">
        <f>L21*(1-SUMIFS(CUSTOS!$T$40:$T$100,CUSTOS!$O$40:$O$100,EFEITO_350!G21,CUSTOS!$S$40:$S$100,EFEITO_350!B21,CUSTOS!$R$40:$R$100,"Potência"))</f>
        <v>0</v>
      </c>
      <c r="N21" s="4">
        <v>498.80799999999999</v>
      </c>
      <c r="O21" s="18">
        <f>N21*(1-SUMIFS(CUSTOS!$T$40:$T$100,CUSTOS!$O$40:$O$100,EFEITO_350!G21,CUSTOS!$S$40:$S$100,EFEITO_350!B21,CUSTOS!$R$40:$R$100,"Energia"))</f>
        <v>427.67797919999998</v>
      </c>
      <c r="P21" s="4">
        <v>0</v>
      </c>
      <c r="Q21" s="3" t="s">
        <v>59</v>
      </c>
      <c r="R21" s="3">
        <v>5343</v>
      </c>
      <c r="S21" s="4">
        <v>0</v>
      </c>
      <c r="T21" s="4">
        <v>0</v>
      </c>
      <c r="U21" s="4">
        <v>54</v>
      </c>
      <c r="V21" s="4">
        <f>IF(ISERROR(VLOOKUP($S$21,'TAR FIN'!$A$1:$O$91,15,0)),0,VLOOKUP($S$21,'TAR FIN'!$A$1:$O$91,15,0))</f>
        <v>0</v>
      </c>
      <c r="W21" s="4">
        <f>IF(ISERROR(VLOOKUP($T$21,'TAR FIN'!$A$1:$O$91,15,0)),0,VLOOKUP($T$21,'TAR FIN'!$A$1:$O$91,15,0))</f>
        <v>0</v>
      </c>
      <c r="X21" s="4">
        <f>IF(ISERROR(VLOOKUP($U$21,'TAR FIN'!$A$1:$O$91,15,0)),0,VLOOKUP($U$21,'TAR FIN'!$A$1:$O$91,15,0))</f>
        <v>215.96</v>
      </c>
      <c r="Y21" s="4">
        <f ca="1">0.72*('TUSD BE'!$AM$9+'TUSD BF_350'!$AM$9+'TUSD CVA'!$AM$9)*1+('TUSD BE'!$AM$10+'TUSD BF_350'!$AM$10+'TUSD CVA'!$AM$10)*1</f>
        <v>54.216386816965695</v>
      </c>
      <c r="Z21" s="4">
        <f ca="1">('TUSD BE'!$AM$11+'TUSD BF_350'!$AM$11+'TUSD CVA'!$AM$11)*1</f>
        <v>11.103927165111529</v>
      </c>
      <c r="AA21" s="4">
        <f ca="1">('TE BE'!$AB$9+'TE BF_350'!$AB$9+'TE CVA'!$AB$9)*1</f>
        <v>233.70080441251889</v>
      </c>
      <c r="AB21" s="4">
        <f>$K$21*$V$21</f>
        <v>0</v>
      </c>
      <c r="AC21" s="4">
        <f>$M$21*$W$21</f>
        <v>0</v>
      </c>
      <c r="AD21" s="4">
        <f>$O$21*$X$21</f>
        <v>92361.336388031996</v>
      </c>
      <c r="AE21" s="4">
        <f ca="1">$K$21*$Y$21</f>
        <v>0</v>
      </c>
      <c r="AF21" s="4">
        <f ca="1">$M$21*$Z$21</f>
        <v>0</v>
      </c>
      <c r="AG21" s="4">
        <f ca="1">$O$21*$AA$21</f>
        <v>99948.687768560514</v>
      </c>
    </row>
    <row r="22" spans="1:33" ht="11.25" customHeight="1" x14ac:dyDescent="0.3">
      <c r="A22" s="3" t="s">
        <v>21</v>
      </c>
      <c r="B22" s="3" t="s">
        <v>39</v>
      </c>
      <c r="C22" s="3" t="s">
        <v>56</v>
      </c>
      <c r="D22" s="3" t="s">
        <v>25</v>
      </c>
      <c r="E22" s="3" t="s">
        <v>25</v>
      </c>
      <c r="F22" s="3" t="s">
        <v>57</v>
      </c>
      <c r="G22" s="3" t="s">
        <v>58</v>
      </c>
      <c r="H22" s="3" t="s">
        <v>25</v>
      </c>
      <c r="I22" s="6">
        <v>44621</v>
      </c>
      <c r="J22" s="4">
        <v>0</v>
      </c>
      <c r="K22" s="18">
        <f>J22*(1-SUMIFS(CUSTOS!$T$40:$T$100,CUSTOS!$O$40:$O$100,EFEITO_350!G22,CUSTOS!$S$40:$S$100,EFEITO_350!B22,CUSTOS!$R$40:$R$100,"Potência"))</f>
        <v>0</v>
      </c>
      <c r="L22" s="4">
        <v>0</v>
      </c>
      <c r="M22" s="18">
        <f>L22*(1-SUMIFS(CUSTOS!$T$40:$T$100,CUSTOS!$O$40:$O$100,EFEITO_350!G22,CUSTOS!$S$40:$S$100,EFEITO_350!B22,CUSTOS!$R$40:$R$100,"Potência"))</f>
        <v>0</v>
      </c>
      <c r="N22" s="4">
        <v>469.10599999999999</v>
      </c>
      <c r="O22" s="18">
        <f>N22*(1-SUMIFS(CUSTOS!$T$40:$T$100,CUSTOS!$O$40:$O$100,EFEITO_350!G22,CUSTOS!$S$40:$S$100,EFEITO_350!B22,CUSTOS!$R$40:$R$100,"Energia"))</f>
        <v>402.21148439999996</v>
      </c>
      <c r="P22" s="4">
        <v>0</v>
      </c>
      <c r="Q22" s="3" t="s">
        <v>59</v>
      </c>
      <c r="R22" s="3">
        <v>5343</v>
      </c>
      <c r="S22" s="4">
        <v>0</v>
      </c>
      <c r="T22" s="4">
        <v>0</v>
      </c>
      <c r="U22" s="4">
        <v>54</v>
      </c>
      <c r="V22" s="4">
        <f>IF(ISERROR(VLOOKUP($S$22,'TAR FIN'!$A$1:$O$91,15,0)),0,VLOOKUP($S$22,'TAR FIN'!$A$1:$O$91,15,0))</f>
        <v>0</v>
      </c>
      <c r="W22" s="4">
        <f>IF(ISERROR(VLOOKUP($T$22,'TAR FIN'!$A$1:$O$91,15,0)),0,VLOOKUP($T$22,'TAR FIN'!$A$1:$O$91,15,0))</f>
        <v>0</v>
      </c>
      <c r="X22" s="4">
        <f>IF(ISERROR(VLOOKUP($U$22,'TAR FIN'!$A$1:$O$91,15,0)),0,VLOOKUP($U$22,'TAR FIN'!$A$1:$O$91,15,0))</f>
        <v>215.96</v>
      </c>
      <c r="Y22" s="4">
        <f ca="1">0.72*('TUSD BE'!$AM$9+'TUSD BF_350'!$AM$9+'TUSD CVA'!$AM$9)*1+('TUSD BE'!$AM$10+'TUSD BF_350'!$AM$10+'TUSD CVA'!$AM$10)*1</f>
        <v>54.216386816965695</v>
      </c>
      <c r="Z22" s="4">
        <f ca="1">('TUSD BE'!$AM$11+'TUSD BF_350'!$AM$11+'TUSD CVA'!$AM$11)*1</f>
        <v>11.103927165111529</v>
      </c>
      <c r="AA22" s="4">
        <f ca="1">('TE BE'!$AB$9+'TE BF_350'!$AB$9+'TE CVA'!$AB$9)*1</f>
        <v>233.70080441251889</v>
      </c>
      <c r="AB22" s="4">
        <f>$K$22*$V$22</f>
        <v>0</v>
      </c>
      <c r="AC22" s="4">
        <f>$M$22*$W$22</f>
        <v>0</v>
      </c>
      <c r="AD22" s="4">
        <f>$O$22*$X$22</f>
        <v>86861.592171023993</v>
      </c>
      <c r="AE22" s="4">
        <f ca="1">$K$22*$Y$22</f>
        <v>0</v>
      </c>
      <c r="AF22" s="4">
        <f ca="1">$M$22*$Z$22</f>
        <v>0</v>
      </c>
      <c r="AG22" s="4">
        <f ca="1">$O$22*$AA$22</f>
        <v>93997.147448233285</v>
      </c>
    </row>
    <row r="23" spans="1:33" ht="11.25" customHeight="1" x14ac:dyDescent="0.3">
      <c r="A23" s="3" t="s">
        <v>21</v>
      </c>
      <c r="B23" s="3" t="s">
        <v>39</v>
      </c>
      <c r="C23" s="3" t="s">
        <v>56</v>
      </c>
      <c r="D23" s="3" t="s">
        <v>25</v>
      </c>
      <c r="E23" s="3" t="s">
        <v>25</v>
      </c>
      <c r="F23" s="3" t="s">
        <v>57</v>
      </c>
      <c r="G23" s="3" t="s">
        <v>58</v>
      </c>
      <c r="H23" s="3" t="s">
        <v>25</v>
      </c>
      <c r="I23" s="6">
        <v>44652</v>
      </c>
      <c r="J23" s="4">
        <v>0</v>
      </c>
      <c r="K23" s="18">
        <f>J23*(1-SUMIFS(CUSTOS!$T$40:$T$100,CUSTOS!$O$40:$O$100,EFEITO_350!G23,CUSTOS!$S$40:$S$100,EFEITO_350!B23,CUSTOS!$R$40:$R$100,"Potência"))</f>
        <v>0</v>
      </c>
      <c r="L23" s="4">
        <v>0</v>
      </c>
      <c r="M23" s="18">
        <f>L23*(1-SUMIFS(CUSTOS!$T$40:$T$100,CUSTOS!$O$40:$O$100,EFEITO_350!G23,CUSTOS!$S$40:$S$100,EFEITO_350!B23,CUSTOS!$R$40:$R$100,"Potência"))</f>
        <v>0</v>
      </c>
      <c r="N23" s="4">
        <v>444.86500000000001</v>
      </c>
      <c r="O23" s="18">
        <f>N23*(1-SUMIFS(CUSTOS!$T$40:$T$100,CUSTOS!$O$40:$O$100,EFEITO_350!G23,CUSTOS!$S$40:$S$100,EFEITO_350!B23,CUSTOS!$R$40:$R$100,"Energia"))</f>
        <v>381.42725099999996</v>
      </c>
      <c r="P23" s="4">
        <v>0</v>
      </c>
      <c r="Q23" s="3" t="s">
        <v>59</v>
      </c>
      <c r="R23" s="3">
        <v>5343</v>
      </c>
      <c r="S23" s="4">
        <v>0</v>
      </c>
      <c r="T23" s="4">
        <v>0</v>
      </c>
      <c r="U23" s="4">
        <v>54</v>
      </c>
      <c r="V23" s="4">
        <f>IF(ISERROR(VLOOKUP($S$23,'TAR FIN'!$A$1:$O$91,15,0)),0,VLOOKUP($S$23,'TAR FIN'!$A$1:$O$91,15,0))</f>
        <v>0</v>
      </c>
      <c r="W23" s="4">
        <f>IF(ISERROR(VLOOKUP($T$23,'TAR FIN'!$A$1:$O$91,15,0)),0,VLOOKUP($T$23,'TAR FIN'!$A$1:$O$91,15,0))</f>
        <v>0</v>
      </c>
      <c r="X23" s="4">
        <f>IF(ISERROR(VLOOKUP($U$23,'TAR FIN'!$A$1:$O$91,15,0)),0,VLOOKUP($U$23,'TAR FIN'!$A$1:$O$91,15,0))</f>
        <v>215.96</v>
      </c>
      <c r="Y23" s="4">
        <f ca="1">0.72*('TUSD BE'!$AM$9+'TUSD BF_350'!$AM$9+'TUSD CVA'!$AM$9)*1+('TUSD BE'!$AM$10+'TUSD BF_350'!$AM$10+'TUSD CVA'!$AM$10)*1</f>
        <v>54.216386816965695</v>
      </c>
      <c r="Z23" s="4">
        <f ca="1">('TUSD BE'!$AM$11+'TUSD BF_350'!$AM$11+'TUSD CVA'!$AM$11)*1</f>
        <v>11.103927165111529</v>
      </c>
      <c r="AA23" s="4">
        <f ca="1">('TE BE'!$AB$9+'TE BF_350'!$AB$9+'TE CVA'!$AB$9)*1</f>
        <v>233.70080441251889</v>
      </c>
      <c r="AB23" s="4">
        <f>$K$23*$V$23</f>
        <v>0</v>
      </c>
      <c r="AC23" s="4">
        <f>$M$23*$W$23</f>
        <v>0</v>
      </c>
      <c r="AD23" s="4">
        <f>$O$23*$X$23</f>
        <v>82373.029125959991</v>
      </c>
      <c r="AE23" s="4">
        <f ca="1">$K$23*$Y$23</f>
        <v>0</v>
      </c>
      <c r="AF23" s="4">
        <f ca="1">$M$23*$Z$23</f>
        <v>0</v>
      </c>
      <c r="AG23" s="4">
        <f ca="1">$O$23*$AA$23</f>
        <v>89139.85538355574</v>
      </c>
    </row>
    <row r="24" spans="1:33" ht="11.25" customHeight="1" x14ac:dyDescent="0.3">
      <c r="A24" s="3" t="s">
        <v>21</v>
      </c>
      <c r="B24" s="3" t="s">
        <v>39</v>
      </c>
      <c r="C24" s="3" t="s">
        <v>56</v>
      </c>
      <c r="D24" s="3" t="s">
        <v>25</v>
      </c>
      <c r="E24" s="3" t="s">
        <v>25</v>
      </c>
      <c r="F24" s="3" t="s">
        <v>57</v>
      </c>
      <c r="G24" s="3" t="s">
        <v>58</v>
      </c>
      <c r="H24" s="3" t="s">
        <v>25</v>
      </c>
      <c r="I24" s="6">
        <v>44682</v>
      </c>
      <c r="J24" s="4">
        <v>0</v>
      </c>
      <c r="K24" s="18">
        <f>J24*(1-SUMIFS(CUSTOS!$T$40:$T$100,CUSTOS!$O$40:$O$100,EFEITO_350!G24,CUSTOS!$S$40:$S$100,EFEITO_350!B24,CUSTOS!$R$40:$R$100,"Potência"))</f>
        <v>0</v>
      </c>
      <c r="L24" s="4">
        <v>0</v>
      </c>
      <c r="M24" s="18">
        <f>L24*(1-SUMIFS(CUSTOS!$T$40:$T$100,CUSTOS!$O$40:$O$100,EFEITO_350!G24,CUSTOS!$S$40:$S$100,EFEITO_350!B24,CUSTOS!$R$40:$R$100,"Potência"))</f>
        <v>0</v>
      </c>
      <c r="N24" s="4">
        <v>398.43</v>
      </c>
      <c r="O24" s="18">
        <f>N24*(1-SUMIFS(CUSTOS!$T$40:$T$100,CUSTOS!$O$40:$O$100,EFEITO_350!G24,CUSTOS!$S$40:$S$100,EFEITO_350!B24,CUSTOS!$R$40:$R$100,"Energia"))</f>
        <v>341.61388199999999</v>
      </c>
      <c r="P24" s="4">
        <v>0</v>
      </c>
      <c r="Q24" s="3" t="s">
        <v>59</v>
      </c>
      <c r="R24" s="3">
        <v>5343</v>
      </c>
      <c r="S24" s="4">
        <v>0</v>
      </c>
      <c r="T24" s="4">
        <v>0</v>
      </c>
      <c r="U24" s="4">
        <v>54</v>
      </c>
      <c r="V24" s="4">
        <f>IF(ISERROR(VLOOKUP($S$24,'TAR FIN'!$A$1:$O$91,15,0)),0,VLOOKUP($S$24,'TAR FIN'!$A$1:$O$91,15,0))</f>
        <v>0</v>
      </c>
      <c r="W24" s="4">
        <f>IF(ISERROR(VLOOKUP($T$24,'TAR FIN'!$A$1:$O$91,15,0)),0,VLOOKUP($T$24,'TAR FIN'!$A$1:$O$91,15,0))</f>
        <v>0</v>
      </c>
      <c r="X24" s="4">
        <f>IF(ISERROR(VLOOKUP($U$24,'TAR FIN'!$A$1:$O$91,15,0)),0,VLOOKUP($U$24,'TAR FIN'!$A$1:$O$91,15,0))</f>
        <v>215.96</v>
      </c>
      <c r="Y24" s="4">
        <f ca="1">0.72*('TUSD BE'!$AM$9+'TUSD BF_350'!$AM$9+'TUSD CVA'!$AM$9)*1+('TUSD BE'!$AM$10+'TUSD BF_350'!$AM$10+'TUSD CVA'!$AM$10)*1</f>
        <v>54.216386816965695</v>
      </c>
      <c r="Z24" s="4">
        <f ca="1">('TUSD BE'!$AM$11+'TUSD BF_350'!$AM$11+'TUSD CVA'!$AM$11)*1</f>
        <v>11.103927165111529</v>
      </c>
      <c r="AA24" s="4">
        <f ca="1">('TE BE'!$AB$9+'TE BF_350'!$AB$9+'TE CVA'!$AB$9)*1</f>
        <v>233.70080441251889</v>
      </c>
      <c r="AB24" s="4">
        <f>$K$24*$V$24</f>
        <v>0</v>
      </c>
      <c r="AC24" s="4">
        <f>$M$24*$W$24</f>
        <v>0</v>
      </c>
      <c r="AD24" s="4">
        <f>$O$24*$X$24</f>
        <v>73774.933956720008</v>
      </c>
      <c r="AE24" s="4">
        <f ca="1">$K$24*$Y$24</f>
        <v>0</v>
      </c>
      <c r="AF24" s="4">
        <f ca="1">$M$24*$Z$24</f>
        <v>0</v>
      </c>
      <c r="AG24" s="4">
        <f ca="1">$O$24*$AA$24</f>
        <v>79835.4390218833</v>
      </c>
    </row>
    <row r="25" spans="1:33" ht="11.25" customHeight="1" x14ac:dyDescent="0.3">
      <c r="A25" s="3" t="s">
        <v>21</v>
      </c>
      <c r="B25" s="3" t="s">
        <v>39</v>
      </c>
      <c r="C25" s="3" t="s">
        <v>56</v>
      </c>
      <c r="D25" s="3" t="s">
        <v>25</v>
      </c>
      <c r="E25" s="3" t="s">
        <v>25</v>
      </c>
      <c r="F25" s="3" t="s">
        <v>57</v>
      </c>
      <c r="G25" s="3" t="s">
        <v>58</v>
      </c>
      <c r="H25" s="3" t="s">
        <v>25</v>
      </c>
      <c r="I25" s="6">
        <v>44713</v>
      </c>
      <c r="J25" s="4">
        <v>0</v>
      </c>
      <c r="K25" s="18">
        <f>J25*(1-SUMIFS(CUSTOS!$T$40:$T$100,CUSTOS!$O$40:$O$100,EFEITO_350!G25,CUSTOS!$S$40:$S$100,EFEITO_350!B25,CUSTOS!$R$40:$R$100,"Potência"))</f>
        <v>0</v>
      </c>
      <c r="L25" s="4">
        <v>0</v>
      </c>
      <c r="M25" s="18">
        <f>L25*(1-SUMIFS(CUSTOS!$T$40:$T$100,CUSTOS!$O$40:$O$100,EFEITO_350!G25,CUSTOS!$S$40:$S$100,EFEITO_350!B25,CUSTOS!$R$40:$R$100,"Potência"))</f>
        <v>0</v>
      </c>
      <c r="N25" s="4">
        <v>404.363</v>
      </c>
      <c r="O25" s="18">
        <f>N25*(1-SUMIFS(CUSTOS!$T$40:$T$100,CUSTOS!$O$40:$O$100,EFEITO_350!G25,CUSTOS!$S$40:$S$100,EFEITO_350!B25,CUSTOS!$R$40:$R$100,"Energia"))</f>
        <v>346.70083619999997</v>
      </c>
      <c r="P25" s="4">
        <v>0</v>
      </c>
      <c r="Q25" s="3" t="s">
        <v>59</v>
      </c>
      <c r="R25" s="3">
        <v>5343</v>
      </c>
      <c r="S25" s="4">
        <v>0</v>
      </c>
      <c r="T25" s="4">
        <v>0</v>
      </c>
      <c r="U25" s="4">
        <v>54</v>
      </c>
      <c r="V25" s="4">
        <f>IF(ISERROR(VLOOKUP($S$25,'TAR FIN'!$A$1:$O$91,15,0)),0,VLOOKUP($S$25,'TAR FIN'!$A$1:$O$91,15,0))</f>
        <v>0</v>
      </c>
      <c r="W25" s="4">
        <f>IF(ISERROR(VLOOKUP($T$25,'TAR FIN'!$A$1:$O$91,15,0)),0,VLOOKUP($T$25,'TAR FIN'!$A$1:$O$91,15,0))</f>
        <v>0</v>
      </c>
      <c r="X25" s="4">
        <f>IF(ISERROR(VLOOKUP($U$25,'TAR FIN'!$A$1:$O$91,15,0)),0,VLOOKUP($U$25,'TAR FIN'!$A$1:$O$91,15,0))</f>
        <v>215.96</v>
      </c>
      <c r="Y25" s="4">
        <f ca="1">0.72*('TUSD BE'!$AM$9+'TUSD BF_350'!$AM$9+'TUSD CVA'!$AM$9)*1+('TUSD BE'!$AM$10+'TUSD BF_350'!$AM$10+'TUSD CVA'!$AM$10)*1</f>
        <v>54.216386816965695</v>
      </c>
      <c r="Z25" s="4">
        <f ca="1">('TUSD BE'!$AM$11+'TUSD BF_350'!$AM$11+'TUSD CVA'!$AM$11)*1</f>
        <v>11.103927165111529</v>
      </c>
      <c r="AA25" s="4">
        <f ca="1">('TE BE'!$AB$9+'TE BF_350'!$AB$9+'TE CVA'!$AB$9)*1</f>
        <v>233.70080441251889</v>
      </c>
      <c r="AB25" s="4">
        <f>$K$25*$V$25</f>
        <v>0</v>
      </c>
      <c r="AC25" s="4">
        <f>$M$25*$W$25</f>
        <v>0</v>
      </c>
      <c r="AD25" s="4">
        <f>$O$25*$X$25</f>
        <v>74873.512585752003</v>
      </c>
      <c r="AE25" s="4">
        <f ca="1">$K$25*$Y$25</f>
        <v>0</v>
      </c>
      <c r="AF25" s="4">
        <f ca="1">$M$25*$Z$25</f>
        <v>0</v>
      </c>
      <c r="AG25" s="4">
        <f ca="1">$O$25*$AA$25</f>
        <v>81024.264310432947</v>
      </c>
    </row>
    <row r="26" spans="1:33" ht="11.25" customHeight="1" x14ac:dyDescent="0.3">
      <c r="A26" s="3" t="s">
        <v>21</v>
      </c>
      <c r="B26" s="3" t="s">
        <v>39</v>
      </c>
      <c r="C26" s="3" t="s">
        <v>56</v>
      </c>
      <c r="D26" s="3" t="s">
        <v>25</v>
      </c>
      <c r="E26" s="3" t="s">
        <v>25</v>
      </c>
      <c r="F26" s="3" t="s">
        <v>57</v>
      </c>
      <c r="G26" s="3" t="s">
        <v>58</v>
      </c>
      <c r="H26" s="3" t="s">
        <v>34</v>
      </c>
      <c r="I26" s="6">
        <v>44378</v>
      </c>
      <c r="J26" s="4">
        <v>1074</v>
      </c>
      <c r="K26" s="18">
        <f>J26*(1-SUMIFS(CUSTOS!$T$40:$T$100,CUSTOS!$O$40:$O$100,EFEITO_350!G26,CUSTOS!$S$40:$S$100,EFEITO_350!B26,CUSTOS!$R$40:$R$100,"Potência"))</f>
        <v>1074</v>
      </c>
      <c r="L26" s="4">
        <v>50.149000000000001</v>
      </c>
      <c r="M26" s="18">
        <f>L26*(1-SUMIFS(CUSTOS!$T$40:$T$100,CUSTOS!$O$40:$O$100,EFEITO_350!G26,CUSTOS!$S$40:$S$100,EFEITO_350!B26,CUSTOS!$R$40:$R$100,"Potência"))</f>
        <v>50.149000000000001</v>
      </c>
      <c r="N26" s="4">
        <v>0</v>
      </c>
      <c r="O26" s="18">
        <f>N26*(1-SUMIFS(CUSTOS!$T$40:$T$100,CUSTOS!$O$40:$O$100,EFEITO_350!G26,CUSTOS!$S$40:$S$100,EFEITO_350!B26,CUSTOS!$R$40:$R$100,"Energia"))</f>
        <v>0</v>
      </c>
      <c r="P26" s="4">
        <v>0</v>
      </c>
      <c r="Q26" s="3" t="s">
        <v>59</v>
      </c>
      <c r="R26" s="3">
        <v>5343</v>
      </c>
      <c r="S26" s="4">
        <v>5</v>
      </c>
      <c r="T26" s="4">
        <v>7</v>
      </c>
      <c r="U26" s="4">
        <v>0</v>
      </c>
      <c r="V26" s="4">
        <f>IF(ISERROR(VLOOKUP($S$26,'TAR FIN'!$A$1:$O$91,15,0)),0,VLOOKUP($S$26,'TAR FIN'!$A$1:$O$91,15,0))</f>
        <v>23.23</v>
      </c>
      <c r="W26" s="4">
        <f>IF(ISERROR(VLOOKUP($T$26,'TAR FIN'!$A$1:$O$91,15,0)),0,VLOOKUP($T$26,'TAR FIN'!$A$1:$O$91,15,0))</f>
        <v>12.96</v>
      </c>
      <c r="X26" s="4">
        <f>IF(ISERROR(VLOOKUP($U$26,'TAR FIN'!$A$1:$O$91,15,0)),0,VLOOKUP($U$26,'TAR FIN'!$A$1:$O$91,15,0))</f>
        <v>0</v>
      </c>
      <c r="Y26" s="4">
        <f ca="1">('TUSD BE'!$AM$9+'TUSD BF_350'!$AM$9+'TUSD CVA'!$AM$9)*1</f>
        <v>42.217604655437526</v>
      </c>
      <c r="Z26" s="4">
        <f ca="1">('TUSD BE'!$AM$11+'TUSD BF_350'!$AM$11+'TUSD CVA'!$AM$11)*1</f>
        <v>11.103927165111529</v>
      </c>
      <c r="AA26" s="4">
        <f ca="1">('TE BE'!$AB$9+'TE BF_350'!$AB$9+'TE CVA'!$AB$9)*1</f>
        <v>233.70080441251889</v>
      </c>
      <c r="AB26" s="4">
        <f>$K$26*$V$26</f>
        <v>24949.02</v>
      </c>
      <c r="AC26" s="4">
        <f>$M$26*$W$26</f>
        <v>649.93104000000005</v>
      </c>
      <c r="AD26" s="4">
        <f>$O$26*$X$26</f>
        <v>0</v>
      </c>
      <c r="AE26" s="4">
        <f ca="1">$K$26*$Y$26</f>
        <v>45341.7073999399</v>
      </c>
      <c r="AF26" s="4">
        <f ca="1">$M$26*$Z$26</f>
        <v>556.85084340317803</v>
      </c>
      <c r="AG26" s="4">
        <f ca="1">$O$26*$AA$26</f>
        <v>0</v>
      </c>
    </row>
    <row r="27" spans="1:33" ht="11.25" customHeight="1" x14ac:dyDescent="0.3">
      <c r="A27" s="3" t="s">
        <v>21</v>
      </c>
      <c r="B27" s="3" t="s">
        <v>39</v>
      </c>
      <c r="C27" s="3" t="s">
        <v>56</v>
      </c>
      <c r="D27" s="3" t="s">
        <v>25</v>
      </c>
      <c r="E27" s="3" t="s">
        <v>25</v>
      </c>
      <c r="F27" s="3" t="s">
        <v>57</v>
      </c>
      <c r="G27" s="3" t="s">
        <v>58</v>
      </c>
      <c r="H27" s="3" t="s">
        <v>34</v>
      </c>
      <c r="I27" s="6">
        <v>44409</v>
      </c>
      <c r="J27" s="4">
        <v>1206</v>
      </c>
      <c r="K27" s="18">
        <f>J27*(1-SUMIFS(CUSTOS!$T$40:$T$100,CUSTOS!$O$40:$O$100,EFEITO_350!G27,CUSTOS!$S$40:$S$100,EFEITO_350!B27,CUSTOS!$R$40:$R$100,"Potência"))</f>
        <v>1206</v>
      </c>
      <c r="L27" s="4">
        <v>53.573</v>
      </c>
      <c r="M27" s="18">
        <f>L27*(1-SUMIFS(CUSTOS!$T$40:$T$100,CUSTOS!$O$40:$O$100,EFEITO_350!G27,CUSTOS!$S$40:$S$100,EFEITO_350!B27,CUSTOS!$R$40:$R$100,"Potência"))</f>
        <v>53.573</v>
      </c>
      <c r="N27" s="4">
        <v>0</v>
      </c>
      <c r="O27" s="18">
        <f>N27*(1-SUMIFS(CUSTOS!$T$40:$T$100,CUSTOS!$O$40:$O$100,EFEITO_350!G27,CUSTOS!$S$40:$S$100,EFEITO_350!B27,CUSTOS!$R$40:$R$100,"Energia"))</f>
        <v>0</v>
      </c>
      <c r="P27" s="4">
        <v>0</v>
      </c>
      <c r="Q27" s="3" t="s">
        <v>59</v>
      </c>
      <c r="R27" s="3">
        <v>5343</v>
      </c>
      <c r="S27" s="4">
        <v>5</v>
      </c>
      <c r="T27" s="4">
        <v>7</v>
      </c>
      <c r="U27" s="4">
        <v>0</v>
      </c>
      <c r="V27" s="4">
        <f>IF(ISERROR(VLOOKUP($S$27,'TAR FIN'!$A$1:$O$91,15,0)),0,VLOOKUP($S$27,'TAR FIN'!$A$1:$O$91,15,0))</f>
        <v>23.23</v>
      </c>
      <c r="W27" s="4">
        <f>IF(ISERROR(VLOOKUP($T$27,'TAR FIN'!$A$1:$O$91,15,0)),0,VLOOKUP($T$27,'TAR FIN'!$A$1:$O$91,15,0))</f>
        <v>12.96</v>
      </c>
      <c r="X27" s="4">
        <f>IF(ISERROR(VLOOKUP($U$27,'TAR FIN'!$A$1:$O$91,15,0)),0,VLOOKUP($U$27,'TAR FIN'!$A$1:$O$91,15,0))</f>
        <v>0</v>
      </c>
      <c r="Y27" s="4">
        <f ca="1">('TUSD BE'!$AM$9+'TUSD BF_350'!$AM$9+'TUSD CVA'!$AM$9)*1</f>
        <v>42.217604655437526</v>
      </c>
      <c r="Z27" s="4">
        <f ca="1">('TUSD BE'!$AM$11+'TUSD BF_350'!$AM$11+'TUSD CVA'!$AM$11)*1</f>
        <v>11.103927165111529</v>
      </c>
      <c r="AA27" s="4">
        <f ca="1">('TE BE'!$AB$9+'TE BF_350'!$AB$9+'TE CVA'!$AB$9)*1</f>
        <v>233.70080441251889</v>
      </c>
      <c r="AB27" s="4">
        <f>$K$27*$V$27</f>
        <v>28015.38</v>
      </c>
      <c r="AC27" s="4">
        <f>$M$27*$W$27</f>
        <v>694.30608000000007</v>
      </c>
      <c r="AD27" s="4">
        <f>$O$27*$X$27</f>
        <v>0</v>
      </c>
      <c r="AE27" s="4">
        <f ca="1">$K$27*$Y$27</f>
        <v>50914.431214457654</v>
      </c>
      <c r="AF27" s="4">
        <f ca="1">$M$27*$Z$27</f>
        <v>594.87069001651992</v>
      </c>
      <c r="AG27" s="4">
        <f ca="1">$O$27*$AA$27</f>
        <v>0</v>
      </c>
    </row>
    <row r="28" spans="1:33" ht="11.25" customHeight="1" x14ac:dyDescent="0.3">
      <c r="A28" s="3" t="s">
        <v>21</v>
      </c>
      <c r="B28" s="3" t="s">
        <v>39</v>
      </c>
      <c r="C28" s="3" t="s">
        <v>56</v>
      </c>
      <c r="D28" s="3" t="s">
        <v>25</v>
      </c>
      <c r="E28" s="3" t="s">
        <v>25</v>
      </c>
      <c r="F28" s="3" t="s">
        <v>57</v>
      </c>
      <c r="G28" s="3" t="s">
        <v>58</v>
      </c>
      <c r="H28" s="3" t="s">
        <v>34</v>
      </c>
      <c r="I28" s="6">
        <v>44440</v>
      </c>
      <c r="J28" s="4">
        <v>1022</v>
      </c>
      <c r="K28" s="18">
        <f>J28*(1-SUMIFS(CUSTOS!$T$40:$T$100,CUSTOS!$O$40:$O$100,EFEITO_350!G28,CUSTOS!$S$40:$S$100,EFEITO_350!B28,CUSTOS!$R$40:$R$100,"Potência"))</f>
        <v>1022</v>
      </c>
      <c r="L28" s="4">
        <v>46.192</v>
      </c>
      <c r="M28" s="18">
        <f>L28*(1-SUMIFS(CUSTOS!$T$40:$T$100,CUSTOS!$O$40:$O$100,EFEITO_350!G28,CUSTOS!$S$40:$S$100,EFEITO_350!B28,CUSTOS!$R$40:$R$100,"Potência"))</f>
        <v>46.192</v>
      </c>
      <c r="N28" s="4">
        <v>0</v>
      </c>
      <c r="O28" s="18">
        <f>N28*(1-SUMIFS(CUSTOS!$T$40:$T$100,CUSTOS!$O$40:$O$100,EFEITO_350!G28,CUSTOS!$S$40:$S$100,EFEITO_350!B28,CUSTOS!$R$40:$R$100,"Energia"))</f>
        <v>0</v>
      </c>
      <c r="P28" s="4">
        <v>0</v>
      </c>
      <c r="Q28" s="3" t="s">
        <v>59</v>
      </c>
      <c r="R28" s="3">
        <v>5343</v>
      </c>
      <c r="S28" s="4">
        <v>5</v>
      </c>
      <c r="T28" s="4">
        <v>7</v>
      </c>
      <c r="U28" s="4">
        <v>0</v>
      </c>
      <c r="V28" s="4">
        <f>IF(ISERROR(VLOOKUP($S$28,'TAR FIN'!$A$1:$O$91,15,0)),0,VLOOKUP($S$28,'TAR FIN'!$A$1:$O$91,15,0))</f>
        <v>23.23</v>
      </c>
      <c r="W28" s="4">
        <f>IF(ISERROR(VLOOKUP($T$28,'TAR FIN'!$A$1:$O$91,15,0)),0,VLOOKUP($T$28,'TAR FIN'!$A$1:$O$91,15,0))</f>
        <v>12.96</v>
      </c>
      <c r="X28" s="4">
        <f>IF(ISERROR(VLOOKUP($U$28,'TAR FIN'!$A$1:$O$91,15,0)),0,VLOOKUP($U$28,'TAR FIN'!$A$1:$O$91,15,0))</f>
        <v>0</v>
      </c>
      <c r="Y28" s="4">
        <f ca="1">('TUSD BE'!$AM$9+'TUSD BF_350'!$AM$9+'TUSD CVA'!$AM$9)*1</f>
        <v>42.217604655437526</v>
      </c>
      <c r="Z28" s="4">
        <f ca="1">('TUSD BE'!$AM$11+'TUSD BF_350'!$AM$11+'TUSD CVA'!$AM$11)*1</f>
        <v>11.103927165111529</v>
      </c>
      <c r="AA28" s="4">
        <f ca="1">('TE BE'!$AB$9+'TE BF_350'!$AB$9+'TE CVA'!$AB$9)*1</f>
        <v>233.70080441251889</v>
      </c>
      <c r="AB28" s="4">
        <f>$K$28*$V$28</f>
        <v>23741.06</v>
      </c>
      <c r="AC28" s="4">
        <f>$M$28*$W$28</f>
        <v>598.64832000000001</v>
      </c>
      <c r="AD28" s="4">
        <f>$O$28*$X$28</f>
        <v>0</v>
      </c>
      <c r="AE28" s="4">
        <f ca="1">$K$28*$Y$28</f>
        <v>43146.391957857151</v>
      </c>
      <c r="AF28" s="4">
        <f ca="1">$M$28*$Z$28</f>
        <v>512.91260361083175</v>
      </c>
      <c r="AG28" s="4">
        <f ca="1">$O$28*$AA$28</f>
        <v>0</v>
      </c>
    </row>
    <row r="29" spans="1:33" ht="11.25" customHeight="1" x14ac:dyDescent="0.3">
      <c r="A29" s="3" t="s">
        <v>21</v>
      </c>
      <c r="B29" s="3" t="s">
        <v>39</v>
      </c>
      <c r="C29" s="3" t="s">
        <v>56</v>
      </c>
      <c r="D29" s="3" t="s">
        <v>25</v>
      </c>
      <c r="E29" s="3" t="s">
        <v>25</v>
      </c>
      <c r="F29" s="3" t="s">
        <v>57</v>
      </c>
      <c r="G29" s="3" t="s">
        <v>58</v>
      </c>
      <c r="H29" s="3" t="s">
        <v>34</v>
      </c>
      <c r="I29" s="6">
        <v>44470</v>
      </c>
      <c r="J29" s="4">
        <v>1327</v>
      </c>
      <c r="K29" s="18">
        <f>J29*(1-SUMIFS(CUSTOS!$T$40:$T$100,CUSTOS!$O$40:$O$100,EFEITO_350!G29,CUSTOS!$S$40:$S$100,EFEITO_350!B29,CUSTOS!$R$40:$R$100,"Potência"))</f>
        <v>1327</v>
      </c>
      <c r="L29" s="4">
        <v>47.36</v>
      </c>
      <c r="M29" s="18">
        <f>L29*(1-SUMIFS(CUSTOS!$T$40:$T$100,CUSTOS!$O$40:$O$100,EFEITO_350!G29,CUSTOS!$S$40:$S$100,EFEITO_350!B29,CUSTOS!$R$40:$R$100,"Potência"))</f>
        <v>47.36</v>
      </c>
      <c r="N29" s="4">
        <v>0</v>
      </c>
      <c r="O29" s="18">
        <f>N29*(1-SUMIFS(CUSTOS!$T$40:$T$100,CUSTOS!$O$40:$O$100,EFEITO_350!G29,CUSTOS!$S$40:$S$100,EFEITO_350!B29,CUSTOS!$R$40:$R$100,"Energia"))</f>
        <v>0</v>
      </c>
      <c r="P29" s="4">
        <v>0</v>
      </c>
      <c r="Q29" s="3" t="s">
        <v>59</v>
      </c>
      <c r="R29" s="3">
        <v>5343</v>
      </c>
      <c r="S29" s="4">
        <v>5</v>
      </c>
      <c r="T29" s="4">
        <v>7</v>
      </c>
      <c r="U29" s="4">
        <v>0</v>
      </c>
      <c r="V29" s="4">
        <f>IF(ISERROR(VLOOKUP($S$29,'TAR FIN'!$A$1:$O$91,15,0)),0,VLOOKUP($S$29,'TAR FIN'!$A$1:$O$91,15,0))</f>
        <v>23.23</v>
      </c>
      <c r="W29" s="4">
        <f>IF(ISERROR(VLOOKUP($T$29,'TAR FIN'!$A$1:$O$91,15,0)),0,VLOOKUP($T$29,'TAR FIN'!$A$1:$O$91,15,0))</f>
        <v>12.96</v>
      </c>
      <c r="X29" s="4">
        <f>IF(ISERROR(VLOOKUP($U$29,'TAR FIN'!$A$1:$O$91,15,0)),0,VLOOKUP($U$29,'TAR FIN'!$A$1:$O$91,15,0))</f>
        <v>0</v>
      </c>
      <c r="Y29" s="4">
        <f ca="1">('TUSD BE'!$AM$9+'TUSD BF_350'!$AM$9+'TUSD CVA'!$AM$9)*1</f>
        <v>42.217604655437526</v>
      </c>
      <c r="Z29" s="4">
        <f ca="1">('TUSD BE'!$AM$11+'TUSD BF_350'!$AM$11+'TUSD CVA'!$AM$11)*1</f>
        <v>11.103927165111529</v>
      </c>
      <c r="AA29" s="4">
        <f ca="1">('TE BE'!$AB$9+'TE BF_350'!$AB$9+'TE CVA'!$AB$9)*1</f>
        <v>233.70080441251889</v>
      </c>
      <c r="AB29" s="4">
        <f>$K$29*$V$29</f>
        <v>30826.21</v>
      </c>
      <c r="AC29" s="4">
        <f>$M$29*$W$29</f>
        <v>613.78560000000004</v>
      </c>
      <c r="AD29" s="4">
        <f>$O$29*$X$29</f>
        <v>0</v>
      </c>
      <c r="AE29" s="4">
        <f ca="1">$K$29*$Y$29</f>
        <v>56022.761377765601</v>
      </c>
      <c r="AF29" s="4">
        <f ca="1">$M$29*$Z$29</f>
        <v>525.88199053968196</v>
      </c>
      <c r="AG29" s="4">
        <f ca="1">$O$29*$AA$29</f>
        <v>0</v>
      </c>
    </row>
    <row r="30" spans="1:33" ht="11.25" customHeight="1" x14ac:dyDescent="0.3">
      <c r="A30" s="3" t="s">
        <v>21</v>
      </c>
      <c r="B30" s="3" t="s">
        <v>39</v>
      </c>
      <c r="C30" s="3" t="s">
        <v>56</v>
      </c>
      <c r="D30" s="3" t="s">
        <v>25</v>
      </c>
      <c r="E30" s="3" t="s">
        <v>25</v>
      </c>
      <c r="F30" s="3" t="s">
        <v>57</v>
      </c>
      <c r="G30" s="3" t="s">
        <v>58</v>
      </c>
      <c r="H30" s="3" t="s">
        <v>34</v>
      </c>
      <c r="I30" s="6">
        <v>44501</v>
      </c>
      <c r="J30" s="4">
        <v>1479</v>
      </c>
      <c r="K30" s="18">
        <f>J30*(1-SUMIFS(CUSTOS!$T$40:$T$100,CUSTOS!$O$40:$O$100,EFEITO_350!G30,CUSTOS!$S$40:$S$100,EFEITO_350!B30,CUSTOS!$R$40:$R$100,"Potência"))</f>
        <v>1479</v>
      </c>
      <c r="L30" s="4">
        <v>59.170999999999999</v>
      </c>
      <c r="M30" s="18">
        <f>L30*(1-SUMIFS(CUSTOS!$T$40:$T$100,CUSTOS!$O$40:$O$100,EFEITO_350!G30,CUSTOS!$S$40:$S$100,EFEITO_350!B30,CUSTOS!$R$40:$R$100,"Potência"))</f>
        <v>59.170999999999999</v>
      </c>
      <c r="N30" s="4">
        <v>0</v>
      </c>
      <c r="O30" s="18">
        <f>N30*(1-SUMIFS(CUSTOS!$T$40:$T$100,CUSTOS!$O$40:$O$100,EFEITO_350!G30,CUSTOS!$S$40:$S$100,EFEITO_350!B30,CUSTOS!$R$40:$R$100,"Energia"))</f>
        <v>0</v>
      </c>
      <c r="P30" s="4">
        <v>0</v>
      </c>
      <c r="Q30" s="3" t="s">
        <v>59</v>
      </c>
      <c r="R30" s="3">
        <v>5343</v>
      </c>
      <c r="S30" s="4">
        <v>5</v>
      </c>
      <c r="T30" s="4">
        <v>7</v>
      </c>
      <c r="U30" s="4">
        <v>0</v>
      </c>
      <c r="V30" s="4">
        <f>IF(ISERROR(VLOOKUP($S$30,'TAR FIN'!$A$1:$O$91,15,0)),0,VLOOKUP($S$30,'TAR FIN'!$A$1:$O$91,15,0))</f>
        <v>23.23</v>
      </c>
      <c r="W30" s="4">
        <f>IF(ISERROR(VLOOKUP($T$30,'TAR FIN'!$A$1:$O$91,15,0)),0,VLOOKUP($T$30,'TAR FIN'!$A$1:$O$91,15,0))</f>
        <v>12.96</v>
      </c>
      <c r="X30" s="4">
        <f>IF(ISERROR(VLOOKUP($U$30,'TAR FIN'!$A$1:$O$91,15,0)),0,VLOOKUP($U$30,'TAR FIN'!$A$1:$O$91,15,0))</f>
        <v>0</v>
      </c>
      <c r="Y30" s="4">
        <f ca="1">('TUSD BE'!$AM$9+'TUSD BF_350'!$AM$9+'TUSD CVA'!$AM$9)*1</f>
        <v>42.217604655437526</v>
      </c>
      <c r="Z30" s="4">
        <f ca="1">('TUSD BE'!$AM$11+'TUSD BF_350'!$AM$11+'TUSD CVA'!$AM$11)*1</f>
        <v>11.103927165111529</v>
      </c>
      <c r="AA30" s="4">
        <f ca="1">('TE BE'!$AB$9+'TE BF_350'!$AB$9+'TE CVA'!$AB$9)*1</f>
        <v>233.70080441251889</v>
      </c>
      <c r="AB30" s="4">
        <f>$K$30*$V$30</f>
        <v>34357.17</v>
      </c>
      <c r="AC30" s="4">
        <f>$M$30*$W$30</f>
        <v>766.85616000000005</v>
      </c>
      <c r="AD30" s="4">
        <f>$O$30*$X$30</f>
        <v>0</v>
      </c>
      <c r="AE30" s="4">
        <f ca="1">$K$30*$Y$30</f>
        <v>62439.837285392103</v>
      </c>
      <c r="AF30" s="4">
        <f ca="1">$M$30*$Z$30</f>
        <v>657.0304742868143</v>
      </c>
      <c r="AG30" s="4">
        <f ca="1">$O$30*$AA$30</f>
        <v>0</v>
      </c>
    </row>
    <row r="31" spans="1:33" ht="11.25" customHeight="1" x14ac:dyDescent="0.3">
      <c r="A31" s="3" t="s">
        <v>21</v>
      </c>
      <c r="B31" s="3" t="s">
        <v>39</v>
      </c>
      <c r="C31" s="3" t="s">
        <v>56</v>
      </c>
      <c r="D31" s="3" t="s">
        <v>25</v>
      </c>
      <c r="E31" s="3" t="s">
        <v>25</v>
      </c>
      <c r="F31" s="3" t="s">
        <v>57</v>
      </c>
      <c r="G31" s="3" t="s">
        <v>58</v>
      </c>
      <c r="H31" s="3" t="s">
        <v>34</v>
      </c>
      <c r="I31" s="6">
        <v>44531</v>
      </c>
      <c r="J31" s="4">
        <v>1755</v>
      </c>
      <c r="K31" s="18">
        <f>J31*(1-SUMIFS(CUSTOS!$T$40:$T$100,CUSTOS!$O$40:$O$100,EFEITO_350!G31,CUSTOS!$S$40:$S$100,EFEITO_350!B31,CUSTOS!$R$40:$R$100,"Potência"))</f>
        <v>1755</v>
      </c>
      <c r="L31" s="4">
        <v>78.418000000000006</v>
      </c>
      <c r="M31" s="18">
        <f>L31*(1-SUMIFS(CUSTOS!$T$40:$T$100,CUSTOS!$O$40:$O$100,EFEITO_350!G31,CUSTOS!$S$40:$S$100,EFEITO_350!B31,CUSTOS!$R$40:$R$100,"Potência"))</f>
        <v>78.418000000000006</v>
      </c>
      <c r="N31" s="4">
        <v>0</v>
      </c>
      <c r="O31" s="18">
        <f>N31*(1-SUMIFS(CUSTOS!$T$40:$T$100,CUSTOS!$O$40:$O$100,EFEITO_350!G31,CUSTOS!$S$40:$S$100,EFEITO_350!B31,CUSTOS!$R$40:$R$100,"Energia"))</f>
        <v>0</v>
      </c>
      <c r="P31" s="4">
        <v>0</v>
      </c>
      <c r="Q31" s="3" t="s">
        <v>59</v>
      </c>
      <c r="R31" s="3">
        <v>5343</v>
      </c>
      <c r="S31" s="4">
        <v>5</v>
      </c>
      <c r="T31" s="4">
        <v>7</v>
      </c>
      <c r="U31" s="4">
        <v>0</v>
      </c>
      <c r="V31" s="4">
        <f>IF(ISERROR(VLOOKUP($S$31,'TAR FIN'!$A$1:$O$91,15,0)),0,VLOOKUP($S$31,'TAR FIN'!$A$1:$O$91,15,0))</f>
        <v>23.23</v>
      </c>
      <c r="W31" s="4">
        <f>IF(ISERROR(VLOOKUP($T$31,'TAR FIN'!$A$1:$O$91,15,0)),0,VLOOKUP($T$31,'TAR FIN'!$A$1:$O$91,15,0))</f>
        <v>12.96</v>
      </c>
      <c r="X31" s="4">
        <f>IF(ISERROR(VLOOKUP($U$31,'TAR FIN'!$A$1:$O$91,15,0)),0,VLOOKUP($U$31,'TAR FIN'!$A$1:$O$91,15,0))</f>
        <v>0</v>
      </c>
      <c r="Y31" s="4">
        <f ca="1">('TUSD BE'!$AM$9+'TUSD BF_350'!$AM$9+'TUSD CVA'!$AM$9)*1</f>
        <v>42.217604655437526</v>
      </c>
      <c r="Z31" s="4">
        <f ca="1">('TUSD BE'!$AM$11+'TUSD BF_350'!$AM$11+'TUSD CVA'!$AM$11)*1</f>
        <v>11.103927165111529</v>
      </c>
      <c r="AA31" s="4">
        <f ca="1">('TE BE'!$AB$9+'TE BF_350'!$AB$9+'TE CVA'!$AB$9)*1</f>
        <v>233.70080441251889</v>
      </c>
      <c r="AB31" s="4">
        <f>$K$31*$V$31</f>
        <v>40768.65</v>
      </c>
      <c r="AC31" s="4">
        <f>$M$31*$W$31</f>
        <v>1016.2972800000001</v>
      </c>
      <c r="AD31" s="4">
        <f>$O$31*$X$31</f>
        <v>0</v>
      </c>
      <c r="AE31" s="4">
        <f ca="1">$K$31*$Y$31</f>
        <v>74091.896170292865</v>
      </c>
      <c r="AF31" s="4">
        <f ca="1">$M$31*$Z$31</f>
        <v>870.74776043371594</v>
      </c>
      <c r="AG31" s="4">
        <f ca="1">$O$31*$AA$31</f>
        <v>0</v>
      </c>
    </row>
    <row r="32" spans="1:33" ht="11.25" customHeight="1" x14ac:dyDescent="0.3">
      <c r="A32" s="3" t="s">
        <v>21</v>
      </c>
      <c r="B32" s="3" t="s">
        <v>39</v>
      </c>
      <c r="C32" s="3" t="s">
        <v>56</v>
      </c>
      <c r="D32" s="3" t="s">
        <v>25</v>
      </c>
      <c r="E32" s="3" t="s">
        <v>25</v>
      </c>
      <c r="F32" s="3" t="s">
        <v>57</v>
      </c>
      <c r="G32" s="3" t="s">
        <v>58</v>
      </c>
      <c r="H32" s="3" t="s">
        <v>34</v>
      </c>
      <c r="I32" s="6">
        <v>44562</v>
      </c>
      <c r="J32" s="4">
        <v>2111</v>
      </c>
      <c r="K32" s="18">
        <f>J32*(1-SUMIFS(CUSTOS!$T$40:$T$100,CUSTOS!$O$40:$O$100,EFEITO_350!G32,CUSTOS!$S$40:$S$100,EFEITO_350!B32,CUSTOS!$R$40:$R$100,"Potência"))</f>
        <v>2111</v>
      </c>
      <c r="L32" s="4">
        <v>76.768000000000001</v>
      </c>
      <c r="M32" s="18">
        <f>L32*(1-SUMIFS(CUSTOS!$T$40:$T$100,CUSTOS!$O$40:$O$100,EFEITO_350!G32,CUSTOS!$S$40:$S$100,EFEITO_350!B32,CUSTOS!$R$40:$R$100,"Potência"))</f>
        <v>76.768000000000001</v>
      </c>
      <c r="N32" s="4">
        <v>0</v>
      </c>
      <c r="O32" s="18">
        <f>N32*(1-SUMIFS(CUSTOS!$T$40:$T$100,CUSTOS!$O$40:$O$100,EFEITO_350!G32,CUSTOS!$S$40:$S$100,EFEITO_350!B32,CUSTOS!$R$40:$R$100,"Energia"))</f>
        <v>0</v>
      </c>
      <c r="P32" s="4">
        <v>0</v>
      </c>
      <c r="Q32" s="3" t="s">
        <v>59</v>
      </c>
      <c r="R32" s="3">
        <v>5343</v>
      </c>
      <c r="S32" s="4">
        <v>5</v>
      </c>
      <c r="T32" s="4">
        <v>7</v>
      </c>
      <c r="U32" s="4">
        <v>0</v>
      </c>
      <c r="V32" s="4">
        <f>IF(ISERROR(VLOOKUP($S$32,'TAR FIN'!$A$1:$O$91,15,0)),0,VLOOKUP($S$32,'TAR FIN'!$A$1:$O$91,15,0))</f>
        <v>23.23</v>
      </c>
      <c r="W32" s="4">
        <f>IF(ISERROR(VLOOKUP($T$32,'TAR FIN'!$A$1:$O$91,15,0)),0,VLOOKUP($T$32,'TAR FIN'!$A$1:$O$91,15,0))</f>
        <v>12.96</v>
      </c>
      <c r="X32" s="4">
        <f>IF(ISERROR(VLOOKUP($U$32,'TAR FIN'!$A$1:$O$91,15,0)),0,VLOOKUP($U$32,'TAR FIN'!$A$1:$O$91,15,0))</f>
        <v>0</v>
      </c>
      <c r="Y32" s="4">
        <f ca="1">('TUSD BE'!$AM$9+'TUSD BF_350'!$AM$9+'TUSD CVA'!$AM$9)*1</f>
        <v>42.217604655437526</v>
      </c>
      <c r="Z32" s="4">
        <f ca="1">('TUSD BE'!$AM$11+'TUSD BF_350'!$AM$11+'TUSD CVA'!$AM$11)*1</f>
        <v>11.103927165111529</v>
      </c>
      <c r="AA32" s="4">
        <f ca="1">('TE BE'!$AB$9+'TE BF_350'!$AB$9+'TE CVA'!$AB$9)*1</f>
        <v>233.70080441251889</v>
      </c>
      <c r="AB32" s="4">
        <f>$K$32*$V$32</f>
        <v>49038.53</v>
      </c>
      <c r="AC32" s="4">
        <f>$M$32*$W$32</f>
        <v>994.9132800000001</v>
      </c>
      <c r="AD32" s="4">
        <f>$O$32*$X$32</f>
        <v>0</v>
      </c>
      <c r="AE32" s="4">
        <f ca="1">$K$32*$Y$32</f>
        <v>89121.363427628618</v>
      </c>
      <c r="AF32" s="4">
        <f ca="1">$M$32*$Z$32</f>
        <v>852.42628061128187</v>
      </c>
      <c r="AG32" s="4">
        <f ca="1">$O$32*$AA$32</f>
        <v>0</v>
      </c>
    </row>
    <row r="33" spans="1:33" ht="11.25" customHeight="1" x14ac:dyDescent="0.3">
      <c r="A33" s="3" t="s">
        <v>21</v>
      </c>
      <c r="B33" s="3" t="s">
        <v>39</v>
      </c>
      <c r="C33" s="3" t="s">
        <v>56</v>
      </c>
      <c r="D33" s="3" t="s">
        <v>25</v>
      </c>
      <c r="E33" s="3" t="s">
        <v>25</v>
      </c>
      <c r="F33" s="3" t="s">
        <v>57</v>
      </c>
      <c r="G33" s="3" t="s">
        <v>58</v>
      </c>
      <c r="H33" s="3" t="s">
        <v>34</v>
      </c>
      <c r="I33" s="6">
        <v>44593</v>
      </c>
      <c r="J33" s="4">
        <v>1529</v>
      </c>
      <c r="K33" s="18">
        <f>J33*(1-SUMIFS(CUSTOS!$T$40:$T$100,CUSTOS!$O$40:$O$100,EFEITO_350!G33,CUSTOS!$S$40:$S$100,EFEITO_350!B33,CUSTOS!$R$40:$R$100,"Potência"))</f>
        <v>1529</v>
      </c>
      <c r="L33" s="4">
        <v>60.723999999999997</v>
      </c>
      <c r="M33" s="18">
        <f>L33*(1-SUMIFS(CUSTOS!$T$40:$T$100,CUSTOS!$O$40:$O$100,EFEITO_350!G33,CUSTOS!$S$40:$S$100,EFEITO_350!B33,CUSTOS!$R$40:$R$100,"Potência"))</f>
        <v>60.723999999999997</v>
      </c>
      <c r="N33" s="4">
        <v>0</v>
      </c>
      <c r="O33" s="18">
        <f>N33*(1-SUMIFS(CUSTOS!$T$40:$T$100,CUSTOS!$O$40:$O$100,EFEITO_350!G33,CUSTOS!$S$40:$S$100,EFEITO_350!B33,CUSTOS!$R$40:$R$100,"Energia"))</f>
        <v>0</v>
      </c>
      <c r="P33" s="4">
        <v>0</v>
      </c>
      <c r="Q33" s="3" t="s">
        <v>59</v>
      </c>
      <c r="R33" s="3">
        <v>5343</v>
      </c>
      <c r="S33" s="4">
        <v>5</v>
      </c>
      <c r="T33" s="4">
        <v>7</v>
      </c>
      <c r="U33" s="4">
        <v>0</v>
      </c>
      <c r="V33" s="4">
        <f>IF(ISERROR(VLOOKUP($S$33,'TAR FIN'!$A$1:$O$91,15,0)),0,VLOOKUP($S$33,'TAR FIN'!$A$1:$O$91,15,0))</f>
        <v>23.23</v>
      </c>
      <c r="W33" s="4">
        <f>IF(ISERROR(VLOOKUP($T$33,'TAR FIN'!$A$1:$O$91,15,0)),0,VLOOKUP($T$33,'TAR FIN'!$A$1:$O$91,15,0))</f>
        <v>12.96</v>
      </c>
      <c r="X33" s="4">
        <f>IF(ISERROR(VLOOKUP($U$33,'TAR FIN'!$A$1:$O$91,15,0)),0,VLOOKUP($U$33,'TAR FIN'!$A$1:$O$91,15,0))</f>
        <v>0</v>
      </c>
      <c r="Y33" s="4">
        <f ca="1">('TUSD BE'!$AM$9+'TUSD BF_350'!$AM$9+'TUSD CVA'!$AM$9)*1</f>
        <v>42.217604655437526</v>
      </c>
      <c r="Z33" s="4">
        <f ca="1">('TUSD BE'!$AM$11+'TUSD BF_350'!$AM$11+'TUSD CVA'!$AM$11)*1</f>
        <v>11.103927165111529</v>
      </c>
      <c r="AA33" s="4">
        <f ca="1">('TE BE'!$AB$9+'TE BF_350'!$AB$9+'TE CVA'!$AB$9)*1</f>
        <v>233.70080441251889</v>
      </c>
      <c r="AB33" s="4">
        <f>$K$33*$V$33</f>
        <v>35518.67</v>
      </c>
      <c r="AC33" s="4">
        <f>$M$33*$W$33</f>
        <v>786.98303999999996</v>
      </c>
      <c r="AD33" s="4">
        <f>$O$33*$X$33</f>
        <v>0</v>
      </c>
      <c r="AE33" s="4">
        <f ca="1">$K$33*$Y$33</f>
        <v>64550.717518163976</v>
      </c>
      <c r="AF33" s="4">
        <f ca="1">$M$33*$Z$33</f>
        <v>674.27487317423243</v>
      </c>
      <c r="AG33" s="4">
        <f ca="1">$O$33*$AA$33</f>
        <v>0</v>
      </c>
    </row>
    <row r="34" spans="1:33" ht="11.25" customHeight="1" x14ac:dyDescent="0.3">
      <c r="A34" s="3" t="s">
        <v>21</v>
      </c>
      <c r="B34" s="3" t="s">
        <v>39</v>
      </c>
      <c r="C34" s="3" t="s">
        <v>56</v>
      </c>
      <c r="D34" s="3" t="s">
        <v>25</v>
      </c>
      <c r="E34" s="3" t="s">
        <v>25</v>
      </c>
      <c r="F34" s="3" t="s">
        <v>57</v>
      </c>
      <c r="G34" s="3" t="s">
        <v>58</v>
      </c>
      <c r="H34" s="3" t="s">
        <v>34</v>
      </c>
      <c r="I34" s="6">
        <v>44621</v>
      </c>
      <c r="J34" s="4">
        <v>1264</v>
      </c>
      <c r="K34" s="18">
        <f>J34*(1-SUMIFS(CUSTOS!$T$40:$T$100,CUSTOS!$O$40:$O$100,EFEITO_350!G34,CUSTOS!$S$40:$S$100,EFEITO_350!B34,CUSTOS!$R$40:$R$100,"Potência"))</f>
        <v>1264</v>
      </c>
      <c r="L34" s="4">
        <v>58.777000000000001</v>
      </c>
      <c r="M34" s="18">
        <f>L34*(1-SUMIFS(CUSTOS!$T$40:$T$100,CUSTOS!$O$40:$O$100,EFEITO_350!G34,CUSTOS!$S$40:$S$100,EFEITO_350!B34,CUSTOS!$R$40:$R$100,"Potência"))</f>
        <v>58.777000000000001</v>
      </c>
      <c r="N34" s="4">
        <v>0</v>
      </c>
      <c r="O34" s="18">
        <f>N34*(1-SUMIFS(CUSTOS!$T$40:$T$100,CUSTOS!$O$40:$O$100,EFEITO_350!G34,CUSTOS!$S$40:$S$100,EFEITO_350!B34,CUSTOS!$R$40:$R$100,"Energia"))</f>
        <v>0</v>
      </c>
      <c r="P34" s="4">
        <v>0</v>
      </c>
      <c r="Q34" s="3" t="s">
        <v>59</v>
      </c>
      <c r="R34" s="3">
        <v>5343</v>
      </c>
      <c r="S34" s="4">
        <v>5</v>
      </c>
      <c r="T34" s="4">
        <v>7</v>
      </c>
      <c r="U34" s="4">
        <v>0</v>
      </c>
      <c r="V34" s="4">
        <f>IF(ISERROR(VLOOKUP($S$34,'TAR FIN'!$A$1:$O$91,15,0)),0,VLOOKUP($S$34,'TAR FIN'!$A$1:$O$91,15,0))</f>
        <v>23.23</v>
      </c>
      <c r="W34" s="4">
        <f>IF(ISERROR(VLOOKUP($T$34,'TAR FIN'!$A$1:$O$91,15,0)),0,VLOOKUP($T$34,'TAR FIN'!$A$1:$O$91,15,0))</f>
        <v>12.96</v>
      </c>
      <c r="X34" s="4">
        <f>IF(ISERROR(VLOOKUP($U$34,'TAR FIN'!$A$1:$O$91,15,0)),0,VLOOKUP($U$34,'TAR FIN'!$A$1:$O$91,15,0))</f>
        <v>0</v>
      </c>
      <c r="Y34" s="4">
        <f ca="1">('TUSD BE'!$AM$9+'TUSD BF_350'!$AM$9+'TUSD CVA'!$AM$9)*1</f>
        <v>42.217604655437526</v>
      </c>
      <c r="Z34" s="4">
        <f ca="1">('TUSD BE'!$AM$11+'TUSD BF_350'!$AM$11+'TUSD CVA'!$AM$11)*1</f>
        <v>11.103927165111529</v>
      </c>
      <c r="AA34" s="4">
        <f ca="1">('TE BE'!$AB$9+'TE BF_350'!$AB$9+'TE CVA'!$AB$9)*1</f>
        <v>233.70080441251889</v>
      </c>
      <c r="AB34" s="4">
        <f>$K$34*$V$34</f>
        <v>29362.720000000001</v>
      </c>
      <c r="AC34" s="4">
        <f>$M$34*$W$34</f>
        <v>761.74992000000009</v>
      </c>
      <c r="AD34" s="4">
        <f>$O$34*$X$34</f>
        <v>0</v>
      </c>
      <c r="AE34" s="4">
        <f ca="1">$K$34*$Y$34</f>
        <v>53363.052284473029</v>
      </c>
      <c r="AF34" s="4">
        <f ca="1">$M$34*$Z$34</f>
        <v>652.6555269837603</v>
      </c>
      <c r="AG34" s="4">
        <f ca="1">$O$34*$AA$34</f>
        <v>0</v>
      </c>
    </row>
    <row r="35" spans="1:33" ht="11.25" customHeight="1" x14ac:dyDescent="0.3">
      <c r="A35" s="3" t="s">
        <v>21</v>
      </c>
      <c r="B35" s="3" t="s">
        <v>39</v>
      </c>
      <c r="C35" s="3" t="s">
        <v>56</v>
      </c>
      <c r="D35" s="3" t="s">
        <v>25</v>
      </c>
      <c r="E35" s="3" t="s">
        <v>25</v>
      </c>
      <c r="F35" s="3" t="s">
        <v>57</v>
      </c>
      <c r="G35" s="3" t="s">
        <v>58</v>
      </c>
      <c r="H35" s="3" t="s">
        <v>34</v>
      </c>
      <c r="I35" s="6">
        <v>44652</v>
      </c>
      <c r="J35" s="4">
        <v>1361</v>
      </c>
      <c r="K35" s="18">
        <f>J35*(1-SUMIFS(CUSTOS!$T$40:$T$100,CUSTOS!$O$40:$O$100,EFEITO_350!G35,CUSTOS!$S$40:$S$100,EFEITO_350!B35,CUSTOS!$R$40:$R$100,"Potência"))</f>
        <v>1361</v>
      </c>
      <c r="L35" s="4">
        <v>49.344999999999999</v>
      </c>
      <c r="M35" s="18">
        <f>L35*(1-SUMIFS(CUSTOS!$T$40:$T$100,CUSTOS!$O$40:$O$100,EFEITO_350!G35,CUSTOS!$S$40:$S$100,EFEITO_350!B35,CUSTOS!$R$40:$R$100,"Potência"))</f>
        <v>49.344999999999999</v>
      </c>
      <c r="N35" s="4">
        <v>0</v>
      </c>
      <c r="O35" s="18">
        <f>N35*(1-SUMIFS(CUSTOS!$T$40:$T$100,CUSTOS!$O$40:$O$100,EFEITO_350!G35,CUSTOS!$S$40:$S$100,EFEITO_350!B35,CUSTOS!$R$40:$R$100,"Energia"))</f>
        <v>0</v>
      </c>
      <c r="P35" s="4">
        <v>0</v>
      </c>
      <c r="Q35" s="3" t="s">
        <v>59</v>
      </c>
      <c r="R35" s="3">
        <v>5343</v>
      </c>
      <c r="S35" s="4">
        <v>5</v>
      </c>
      <c r="T35" s="4">
        <v>7</v>
      </c>
      <c r="U35" s="4">
        <v>0</v>
      </c>
      <c r="V35" s="4">
        <f>IF(ISERROR(VLOOKUP($S$35,'TAR FIN'!$A$1:$O$91,15,0)),0,VLOOKUP($S$35,'TAR FIN'!$A$1:$O$91,15,0))</f>
        <v>23.23</v>
      </c>
      <c r="W35" s="4">
        <f>IF(ISERROR(VLOOKUP($T$35,'TAR FIN'!$A$1:$O$91,15,0)),0,VLOOKUP($T$35,'TAR FIN'!$A$1:$O$91,15,0))</f>
        <v>12.96</v>
      </c>
      <c r="X35" s="4">
        <f>IF(ISERROR(VLOOKUP($U$35,'TAR FIN'!$A$1:$O$91,15,0)),0,VLOOKUP($U$35,'TAR FIN'!$A$1:$O$91,15,0))</f>
        <v>0</v>
      </c>
      <c r="Y35" s="4">
        <f ca="1">('TUSD BE'!$AM$9+'TUSD BF_350'!$AM$9+'TUSD CVA'!$AM$9)*1</f>
        <v>42.217604655437526</v>
      </c>
      <c r="Z35" s="4">
        <f ca="1">('TUSD BE'!$AM$11+'TUSD BF_350'!$AM$11+'TUSD CVA'!$AM$11)*1</f>
        <v>11.103927165111529</v>
      </c>
      <c r="AA35" s="4">
        <f ca="1">('TE BE'!$AB$9+'TE BF_350'!$AB$9+'TE CVA'!$AB$9)*1</f>
        <v>233.70080441251889</v>
      </c>
      <c r="AB35" s="4">
        <f>$K$35*$V$35</f>
        <v>31616.03</v>
      </c>
      <c r="AC35" s="4">
        <f>$M$35*$W$35</f>
        <v>639.51120000000003</v>
      </c>
      <c r="AD35" s="4">
        <f>$O$35*$X$35</f>
        <v>0</v>
      </c>
      <c r="AE35" s="4">
        <f ca="1">$K$35*$Y$35</f>
        <v>57458.15993605047</v>
      </c>
      <c r="AF35" s="4">
        <f ca="1">$M$35*$Z$35</f>
        <v>547.92328596242839</v>
      </c>
      <c r="AG35" s="4">
        <f ca="1">$O$35*$AA$35</f>
        <v>0</v>
      </c>
    </row>
    <row r="36" spans="1:33" ht="11.25" customHeight="1" x14ac:dyDescent="0.3">
      <c r="A36" s="3" t="s">
        <v>21</v>
      </c>
      <c r="B36" s="3" t="s">
        <v>39</v>
      </c>
      <c r="C36" s="3" t="s">
        <v>56</v>
      </c>
      <c r="D36" s="3" t="s">
        <v>25</v>
      </c>
      <c r="E36" s="3" t="s">
        <v>25</v>
      </c>
      <c r="F36" s="3" t="s">
        <v>57</v>
      </c>
      <c r="G36" s="3" t="s">
        <v>58</v>
      </c>
      <c r="H36" s="3" t="s">
        <v>34</v>
      </c>
      <c r="I36" s="6">
        <v>44682</v>
      </c>
      <c r="J36" s="4">
        <v>1251</v>
      </c>
      <c r="K36" s="18">
        <f>J36*(1-SUMIFS(CUSTOS!$T$40:$T$100,CUSTOS!$O$40:$O$100,EFEITO_350!G36,CUSTOS!$S$40:$S$100,EFEITO_350!B36,CUSTOS!$R$40:$R$100,"Potência"))</f>
        <v>1251</v>
      </c>
      <c r="L36" s="4">
        <v>50.286000000000001</v>
      </c>
      <c r="M36" s="18">
        <f>L36*(1-SUMIFS(CUSTOS!$T$40:$T$100,CUSTOS!$O$40:$O$100,EFEITO_350!G36,CUSTOS!$S$40:$S$100,EFEITO_350!B36,CUSTOS!$R$40:$R$100,"Potência"))</f>
        <v>50.286000000000001</v>
      </c>
      <c r="N36" s="4">
        <v>0</v>
      </c>
      <c r="O36" s="18">
        <f>N36*(1-SUMIFS(CUSTOS!$T$40:$T$100,CUSTOS!$O$40:$O$100,EFEITO_350!G36,CUSTOS!$S$40:$S$100,EFEITO_350!B36,CUSTOS!$R$40:$R$100,"Energia"))</f>
        <v>0</v>
      </c>
      <c r="P36" s="4">
        <v>0</v>
      </c>
      <c r="Q36" s="3" t="s">
        <v>59</v>
      </c>
      <c r="R36" s="3">
        <v>5343</v>
      </c>
      <c r="S36" s="4">
        <v>5</v>
      </c>
      <c r="T36" s="4">
        <v>7</v>
      </c>
      <c r="U36" s="4">
        <v>0</v>
      </c>
      <c r="V36" s="4">
        <f>IF(ISERROR(VLOOKUP($S$36,'TAR FIN'!$A$1:$O$91,15,0)),0,VLOOKUP($S$36,'TAR FIN'!$A$1:$O$91,15,0))</f>
        <v>23.23</v>
      </c>
      <c r="W36" s="4">
        <f>IF(ISERROR(VLOOKUP($T$36,'TAR FIN'!$A$1:$O$91,15,0)),0,VLOOKUP($T$36,'TAR FIN'!$A$1:$O$91,15,0))</f>
        <v>12.96</v>
      </c>
      <c r="X36" s="4">
        <f>IF(ISERROR(VLOOKUP($U$36,'TAR FIN'!$A$1:$O$91,15,0)),0,VLOOKUP($U$36,'TAR FIN'!$A$1:$O$91,15,0))</f>
        <v>0</v>
      </c>
      <c r="Y36" s="4">
        <f ca="1">('TUSD BE'!$AM$9+'TUSD BF_350'!$AM$9+'TUSD CVA'!$AM$9)*1</f>
        <v>42.217604655437526</v>
      </c>
      <c r="Z36" s="4">
        <f ca="1">('TUSD BE'!$AM$11+'TUSD BF_350'!$AM$11+'TUSD CVA'!$AM$11)*1</f>
        <v>11.103927165111529</v>
      </c>
      <c r="AA36" s="4">
        <f ca="1">('TE BE'!$AB$9+'TE BF_350'!$AB$9+'TE CVA'!$AB$9)*1</f>
        <v>233.70080441251889</v>
      </c>
      <c r="AB36" s="4">
        <f>$K$36*$V$36</f>
        <v>29060.73</v>
      </c>
      <c r="AC36" s="4">
        <f>$M$36*$W$36</f>
        <v>651.70656000000008</v>
      </c>
      <c r="AD36" s="4">
        <f>$O$36*$X$36</f>
        <v>0</v>
      </c>
      <c r="AE36" s="4">
        <f ca="1">$K$36*$Y$36</f>
        <v>52814.223423952346</v>
      </c>
      <c r="AF36" s="4">
        <f ca="1">$M$36*$Z$36</f>
        <v>558.37208142479835</v>
      </c>
      <c r="AG36" s="4">
        <f ca="1">$O$36*$AA$36</f>
        <v>0</v>
      </c>
    </row>
    <row r="37" spans="1:33" ht="11.25" customHeight="1" x14ac:dyDescent="0.3">
      <c r="A37" s="3" t="s">
        <v>21</v>
      </c>
      <c r="B37" s="3" t="s">
        <v>39</v>
      </c>
      <c r="C37" s="3" t="s">
        <v>56</v>
      </c>
      <c r="D37" s="3" t="s">
        <v>25</v>
      </c>
      <c r="E37" s="3" t="s">
        <v>25</v>
      </c>
      <c r="F37" s="3" t="s">
        <v>57</v>
      </c>
      <c r="G37" s="3" t="s">
        <v>58</v>
      </c>
      <c r="H37" s="3" t="s">
        <v>34</v>
      </c>
      <c r="I37" s="6">
        <v>44713</v>
      </c>
      <c r="J37" s="4">
        <v>1161</v>
      </c>
      <c r="K37" s="18">
        <f>J37*(1-SUMIFS(CUSTOS!$T$40:$T$100,CUSTOS!$O$40:$O$100,EFEITO_350!G37,CUSTOS!$S$40:$S$100,EFEITO_350!B37,CUSTOS!$R$40:$R$100,"Potência"))</f>
        <v>1161</v>
      </c>
      <c r="L37" s="4">
        <v>50.335000000000001</v>
      </c>
      <c r="M37" s="18">
        <f>L37*(1-SUMIFS(CUSTOS!$T$40:$T$100,CUSTOS!$O$40:$O$100,EFEITO_350!G37,CUSTOS!$S$40:$S$100,EFEITO_350!B37,CUSTOS!$R$40:$R$100,"Potência"))</f>
        <v>50.335000000000001</v>
      </c>
      <c r="N37" s="4">
        <v>0</v>
      </c>
      <c r="O37" s="18">
        <f>N37*(1-SUMIFS(CUSTOS!$T$40:$T$100,CUSTOS!$O$40:$O$100,EFEITO_350!G37,CUSTOS!$S$40:$S$100,EFEITO_350!B37,CUSTOS!$R$40:$R$100,"Energia"))</f>
        <v>0</v>
      </c>
      <c r="P37" s="4">
        <v>0</v>
      </c>
      <c r="Q37" s="3" t="s">
        <v>59</v>
      </c>
      <c r="R37" s="3">
        <v>5343</v>
      </c>
      <c r="S37" s="4">
        <v>5</v>
      </c>
      <c r="T37" s="4">
        <v>7</v>
      </c>
      <c r="U37" s="4">
        <v>0</v>
      </c>
      <c r="V37" s="4">
        <f>IF(ISERROR(VLOOKUP($S$37,'TAR FIN'!$A$1:$O$91,15,0)),0,VLOOKUP($S$37,'TAR FIN'!$A$1:$O$91,15,0))</f>
        <v>23.23</v>
      </c>
      <c r="W37" s="4">
        <f>IF(ISERROR(VLOOKUP($T$37,'TAR FIN'!$A$1:$O$91,15,0)),0,VLOOKUP($T$37,'TAR FIN'!$A$1:$O$91,15,0))</f>
        <v>12.96</v>
      </c>
      <c r="X37" s="4">
        <f>IF(ISERROR(VLOOKUP($U$37,'TAR FIN'!$A$1:$O$91,15,0)),0,VLOOKUP($U$37,'TAR FIN'!$A$1:$O$91,15,0))</f>
        <v>0</v>
      </c>
      <c r="Y37" s="4">
        <f ca="1">('TUSD BE'!$AM$9+'TUSD BF_350'!$AM$9+'TUSD CVA'!$AM$9)*1</f>
        <v>42.217604655437526</v>
      </c>
      <c r="Z37" s="4">
        <f ca="1">('TUSD BE'!$AM$11+'TUSD BF_350'!$AM$11+'TUSD CVA'!$AM$11)*1</f>
        <v>11.103927165111529</v>
      </c>
      <c r="AA37" s="4">
        <f ca="1">('TE BE'!$AB$9+'TE BF_350'!$AB$9+'TE CVA'!$AB$9)*1</f>
        <v>233.70080441251889</v>
      </c>
      <c r="AB37" s="4">
        <f>$K$37*$V$37</f>
        <v>26970.03</v>
      </c>
      <c r="AC37" s="4">
        <f>$M$37*$W$37</f>
        <v>652.34160000000008</v>
      </c>
      <c r="AD37" s="4">
        <f>$O$37*$X$37</f>
        <v>0</v>
      </c>
      <c r="AE37" s="4">
        <f ca="1">$K$37*$Y$37</f>
        <v>49014.63900496297</v>
      </c>
      <c r="AF37" s="4">
        <f ca="1">$M$37*$Z$37</f>
        <v>558.91617385588881</v>
      </c>
      <c r="AG37" s="4">
        <f ca="1">$O$37*$AA$37</f>
        <v>0</v>
      </c>
    </row>
    <row r="38" spans="1:33" ht="11.25" customHeight="1" x14ac:dyDescent="0.3">
      <c r="A38" s="3" t="s">
        <v>21</v>
      </c>
      <c r="B38" s="3" t="s">
        <v>39</v>
      </c>
      <c r="C38" s="3" t="s">
        <v>40</v>
      </c>
      <c r="D38" s="3" t="s">
        <v>41</v>
      </c>
      <c r="E38" s="3" t="s">
        <v>25</v>
      </c>
      <c r="F38" s="3" t="s">
        <v>25</v>
      </c>
      <c r="G38" s="3" t="s">
        <v>25</v>
      </c>
      <c r="H38" s="3" t="s">
        <v>35</v>
      </c>
      <c r="I38" s="6">
        <v>44378</v>
      </c>
      <c r="J38" s="4">
        <v>0</v>
      </c>
      <c r="K38" s="4">
        <v>0</v>
      </c>
      <c r="L38" s="4">
        <v>381.26100000000002</v>
      </c>
      <c r="M38" s="4">
        <v>381.26100000000002</v>
      </c>
      <c r="N38" s="4">
        <v>381.26100000000002</v>
      </c>
      <c r="O38" s="4">
        <v>381.26100000000002</v>
      </c>
      <c r="P38" s="4">
        <v>0</v>
      </c>
      <c r="Q38" s="3" t="s">
        <v>26</v>
      </c>
      <c r="R38" s="3">
        <v>0</v>
      </c>
      <c r="S38" s="4">
        <v>0</v>
      </c>
      <c r="T38" s="4">
        <v>11</v>
      </c>
      <c r="U38" s="4">
        <v>52</v>
      </c>
      <c r="V38" s="4">
        <f>IF(ISERROR(VLOOKUP($S$38,'TAR FIN'!$A$1:$O$91,15,0)),0,VLOOKUP($S$38,'TAR FIN'!$A$1:$O$91,15,0))</f>
        <v>0</v>
      </c>
      <c r="W38" s="4">
        <f>IF(ISERROR(VLOOKUP($T$38,'TAR FIN'!$A$1:$O$91,15,0)),0,VLOOKUP($T$38,'TAR FIN'!$A$1:$O$91,15,0))</f>
        <v>90.54</v>
      </c>
      <c r="X38" s="4">
        <f>IF(ISERROR(VLOOKUP($U$38,'TAR FIN'!$A$1:$O$91,15,0)),0,VLOOKUP($U$38,'TAR FIN'!$A$1:$O$91,15,0))</f>
        <v>189.96</v>
      </c>
      <c r="Y38" s="4"/>
      <c r="Z38" s="4">
        <f ca="1">('TUSD BE'!$AM$15+'TUSD BF_350'!$AM$15+'TUSD CVA'!$AM$15)*1</f>
        <v>116.79000000000002</v>
      </c>
      <c r="AA38" s="4">
        <f ca="1">('TE BE'!$AB$6+'TE BF_350'!$AB$6+'TE CVA'!$AB$6)*1</f>
        <v>195.89707226799715</v>
      </c>
      <c r="AB38" s="4">
        <f>$K$38*$V$38</f>
        <v>0</v>
      </c>
      <c r="AC38" s="4">
        <f>$M$38*$W$38</f>
        <v>34519.370940000008</v>
      </c>
      <c r="AD38" s="4">
        <f>$O$38*$X$38</f>
        <v>72424.339560000008</v>
      </c>
      <c r="AE38" s="4">
        <f>$K$38*$Y$38</f>
        <v>0</v>
      </c>
      <c r="AF38" s="4">
        <f ca="1">$M$38*$Z$38</f>
        <v>44527.472190000008</v>
      </c>
      <c r="AG38" s="4">
        <f ca="1">$O$38*$AA$38</f>
        <v>74687.913669968868</v>
      </c>
    </row>
    <row r="39" spans="1:33" ht="11.25" customHeight="1" x14ac:dyDescent="0.3">
      <c r="A39" s="3" t="s">
        <v>27</v>
      </c>
      <c r="B39" s="3" t="s">
        <v>39</v>
      </c>
      <c r="C39" s="3" t="s">
        <v>40</v>
      </c>
      <c r="D39" s="3" t="s">
        <v>41</v>
      </c>
      <c r="E39" s="3" t="s">
        <v>25</v>
      </c>
      <c r="F39" s="3" t="s">
        <v>25</v>
      </c>
      <c r="G39" s="3" t="s">
        <v>25</v>
      </c>
      <c r="H39" s="3" t="s">
        <v>35</v>
      </c>
      <c r="I39" s="6">
        <v>44378</v>
      </c>
      <c r="J39" s="4">
        <v>0</v>
      </c>
      <c r="K39" s="4">
        <v>0</v>
      </c>
      <c r="L39" s="4">
        <v>-61.5</v>
      </c>
      <c r="M39" s="4">
        <v>-61.5</v>
      </c>
      <c r="N39" s="4">
        <v>-61.5</v>
      </c>
      <c r="O39" s="4">
        <v>-61.5</v>
      </c>
      <c r="P39" s="4">
        <v>0</v>
      </c>
      <c r="Q39" s="3" t="s">
        <v>26</v>
      </c>
      <c r="R39" s="3">
        <v>0</v>
      </c>
      <c r="S39" s="4">
        <v>0</v>
      </c>
      <c r="T39" s="4">
        <v>11</v>
      </c>
      <c r="U39" s="4">
        <v>52</v>
      </c>
      <c r="V39" s="4">
        <f>IF(ISERROR(VLOOKUP($S$39,'TAR FIN'!$A$1:$O$91,15,0)),0,VLOOKUP($S$39,'TAR FIN'!$A$1:$O$91,15,0))</f>
        <v>0</v>
      </c>
      <c r="W39" s="4">
        <f>IF(ISERROR(VLOOKUP($T$39,'TAR FIN'!$A$1:$O$91,15,0)),0,VLOOKUP($T$39,'TAR FIN'!$A$1:$O$91,15,0))</f>
        <v>90.54</v>
      </c>
      <c r="X39" s="4">
        <f>IF(ISERROR(VLOOKUP($U$39,'TAR FIN'!$A$1:$O$91,15,0)),0,VLOOKUP($U$39,'TAR FIN'!$A$1:$O$91,15,0))</f>
        <v>189.96</v>
      </c>
      <c r="Y39" s="4"/>
      <c r="Z39" s="4">
        <f ca="1">('TUSD BE'!$AM$15+'TUSD BF_350'!$AM$15+'TUSD CVA'!$AM$15)*1</f>
        <v>116.79000000000002</v>
      </c>
      <c r="AA39" s="4">
        <f ca="1">('TE BE'!$AB$6+'TE BF_350'!$AB$6+'TE CVA'!$AB$6)*1</f>
        <v>195.89707226799715</v>
      </c>
      <c r="AB39" s="4">
        <f>$K$39*$V$39</f>
        <v>0</v>
      </c>
      <c r="AC39" s="4">
        <f>$M$39*$W$39</f>
        <v>-5568.21</v>
      </c>
      <c r="AD39" s="4">
        <f>$O$39*$X$39</f>
        <v>-11682.54</v>
      </c>
      <c r="AE39" s="4">
        <f>$K$39*$Y$39</f>
        <v>0</v>
      </c>
      <c r="AF39" s="4">
        <f ca="1">$M$39*$Z$39</f>
        <v>-7182.5850000000009</v>
      </c>
      <c r="AG39" s="4">
        <f ca="1">$O$39*$AA$39</f>
        <v>-12047.669944481824</v>
      </c>
    </row>
    <row r="40" spans="1:33" ht="11.25" customHeight="1" x14ac:dyDescent="0.3">
      <c r="A40" s="3" t="s">
        <v>28</v>
      </c>
      <c r="B40" s="3" t="s">
        <v>39</v>
      </c>
      <c r="C40" s="3" t="s">
        <v>40</v>
      </c>
      <c r="D40" s="3" t="s">
        <v>41</v>
      </c>
      <c r="E40" s="3" t="s">
        <v>25</v>
      </c>
      <c r="F40" s="3" t="s">
        <v>25</v>
      </c>
      <c r="G40" s="3" t="s">
        <v>25</v>
      </c>
      <c r="H40" s="3" t="s">
        <v>35</v>
      </c>
      <c r="I40" s="6">
        <v>44378</v>
      </c>
      <c r="J40" s="4">
        <v>0</v>
      </c>
      <c r="K40" s="4">
        <v>0</v>
      </c>
      <c r="L40" s="4">
        <v>3.1920000000000002</v>
      </c>
      <c r="M40" s="4">
        <v>3.1920000000000002</v>
      </c>
      <c r="N40" s="4">
        <v>3.1920000000000002</v>
      </c>
      <c r="O40" s="4">
        <v>3.1920000000000002</v>
      </c>
      <c r="P40" s="4">
        <v>0</v>
      </c>
      <c r="Q40" s="3" t="s">
        <v>26</v>
      </c>
      <c r="R40" s="3">
        <v>0</v>
      </c>
      <c r="S40" s="4">
        <v>0</v>
      </c>
      <c r="T40" s="4">
        <v>11</v>
      </c>
      <c r="U40" s="4">
        <v>52</v>
      </c>
      <c r="V40" s="4">
        <f>IF(ISERROR(VLOOKUP($S$40,'TAR FIN'!$A$1:$O$91,15,0)),0,VLOOKUP($S$40,'TAR FIN'!$A$1:$O$91,15,0))</f>
        <v>0</v>
      </c>
      <c r="W40" s="4">
        <f>IF(ISERROR(VLOOKUP($T$40,'TAR FIN'!$A$1:$O$91,15,0)),0,VLOOKUP($T$40,'TAR FIN'!$A$1:$O$91,15,0))</f>
        <v>90.54</v>
      </c>
      <c r="X40" s="4">
        <f>IF(ISERROR(VLOOKUP($U$40,'TAR FIN'!$A$1:$O$91,15,0)),0,VLOOKUP($U$40,'TAR FIN'!$A$1:$O$91,15,0))</f>
        <v>189.96</v>
      </c>
      <c r="Y40" s="4"/>
      <c r="Z40" s="4">
        <f ca="1">('TUSD BE'!$AM$15+'TUSD BF_350'!$AM$15+'TUSD CVA'!$AM$15)*1</f>
        <v>116.79000000000002</v>
      </c>
      <c r="AA40" s="4">
        <f ca="1">('TE BE'!$AB$6+'TE BF_350'!$AB$6+'TE CVA'!$AB$6)*1</f>
        <v>195.89707226799715</v>
      </c>
      <c r="AB40" s="4">
        <f>$K$40*$V$40</f>
        <v>0</v>
      </c>
      <c r="AC40" s="4">
        <f>$M$40*$W$40</f>
        <v>289.00368000000003</v>
      </c>
      <c r="AD40" s="4">
        <f>$O$40*$X$40</f>
        <v>606.35232000000008</v>
      </c>
      <c r="AE40" s="4">
        <f>$K$40*$Y$40</f>
        <v>0</v>
      </c>
      <c r="AF40" s="4">
        <f ca="1">$M$40*$Z$40</f>
        <v>372.79368000000011</v>
      </c>
      <c r="AG40" s="4">
        <f ca="1">$O$40*$AA$40</f>
        <v>625.30345467944687</v>
      </c>
    </row>
    <row r="41" spans="1:33" ht="11.25" customHeight="1" x14ac:dyDescent="0.3">
      <c r="A41" s="3" t="s">
        <v>21</v>
      </c>
      <c r="B41" s="3" t="s">
        <v>39</v>
      </c>
      <c r="C41" s="3" t="s">
        <v>40</v>
      </c>
      <c r="D41" s="3" t="s">
        <v>41</v>
      </c>
      <c r="E41" s="3" t="s">
        <v>25</v>
      </c>
      <c r="F41" s="3" t="s">
        <v>25</v>
      </c>
      <c r="G41" s="3" t="s">
        <v>25</v>
      </c>
      <c r="H41" s="3" t="s">
        <v>35</v>
      </c>
      <c r="I41" s="6">
        <v>44409</v>
      </c>
      <c r="J41" s="4">
        <v>0</v>
      </c>
      <c r="K41" s="4">
        <v>0</v>
      </c>
      <c r="L41" s="4">
        <v>263.887</v>
      </c>
      <c r="M41" s="4">
        <v>263.887</v>
      </c>
      <c r="N41" s="4">
        <v>263.887</v>
      </c>
      <c r="O41" s="4">
        <v>263.887</v>
      </c>
      <c r="P41" s="4">
        <v>0</v>
      </c>
      <c r="Q41" s="3" t="s">
        <v>26</v>
      </c>
      <c r="R41" s="3">
        <v>0</v>
      </c>
      <c r="S41" s="4">
        <v>0</v>
      </c>
      <c r="T41" s="4">
        <v>11</v>
      </c>
      <c r="U41" s="4">
        <v>52</v>
      </c>
      <c r="V41" s="4">
        <f>IF(ISERROR(VLOOKUP($S$41,'TAR FIN'!$A$1:$O$91,15,0)),0,VLOOKUP($S$41,'TAR FIN'!$A$1:$O$91,15,0))</f>
        <v>0</v>
      </c>
      <c r="W41" s="4">
        <f>IF(ISERROR(VLOOKUP($T$41,'TAR FIN'!$A$1:$O$91,15,0)),0,VLOOKUP($T$41,'TAR FIN'!$A$1:$O$91,15,0))</f>
        <v>90.54</v>
      </c>
      <c r="X41" s="4">
        <f>IF(ISERROR(VLOOKUP($U$41,'TAR FIN'!$A$1:$O$91,15,0)),0,VLOOKUP($U$41,'TAR FIN'!$A$1:$O$91,15,0))</f>
        <v>189.96</v>
      </c>
      <c r="Y41" s="4"/>
      <c r="Z41" s="4">
        <f ca="1">('TUSD BE'!$AM$15+'TUSD BF_350'!$AM$15+'TUSD CVA'!$AM$15)*1</f>
        <v>116.79000000000002</v>
      </c>
      <c r="AA41" s="4">
        <f ca="1">('TE BE'!$AB$6+'TE BF_350'!$AB$6+'TE CVA'!$AB$6)*1</f>
        <v>195.89707226799715</v>
      </c>
      <c r="AB41" s="4">
        <f>$K$41*$V$41</f>
        <v>0</v>
      </c>
      <c r="AC41" s="4">
        <f>$M$41*$W$41</f>
        <v>23892.328980000002</v>
      </c>
      <c r="AD41" s="4">
        <f>$O$41*$X$41</f>
        <v>50127.974520000003</v>
      </c>
      <c r="AE41" s="4">
        <f>$K$41*$Y$41</f>
        <v>0</v>
      </c>
      <c r="AF41" s="4">
        <f ca="1">$M$41*$Z$41</f>
        <v>30819.362730000004</v>
      </c>
      <c r="AG41" s="4">
        <f ca="1">$O$41*$AA$41</f>
        <v>51694.69070958496</v>
      </c>
    </row>
    <row r="42" spans="1:33" ht="11.25" customHeight="1" x14ac:dyDescent="0.3">
      <c r="A42" s="3" t="s">
        <v>27</v>
      </c>
      <c r="B42" s="3" t="s">
        <v>39</v>
      </c>
      <c r="C42" s="3" t="s">
        <v>40</v>
      </c>
      <c r="D42" s="3" t="s">
        <v>41</v>
      </c>
      <c r="E42" s="3" t="s">
        <v>25</v>
      </c>
      <c r="F42" s="3" t="s">
        <v>25</v>
      </c>
      <c r="G42" s="3" t="s">
        <v>25</v>
      </c>
      <c r="H42" s="3" t="s">
        <v>35</v>
      </c>
      <c r="I42" s="6">
        <v>44409</v>
      </c>
      <c r="J42" s="4">
        <v>0</v>
      </c>
      <c r="K42" s="4">
        <v>0</v>
      </c>
      <c r="L42" s="4">
        <v>-61.5</v>
      </c>
      <c r="M42" s="4">
        <v>-61.5</v>
      </c>
      <c r="N42" s="4">
        <v>-61.5</v>
      </c>
      <c r="O42" s="4">
        <v>-61.5</v>
      </c>
      <c r="P42" s="4">
        <v>0</v>
      </c>
      <c r="Q42" s="3" t="s">
        <v>26</v>
      </c>
      <c r="R42" s="3">
        <v>0</v>
      </c>
      <c r="S42" s="4">
        <v>0</v>
      </c>
      <c r="T42" s="4">
        <v>11</v>
      </c>
      <c r="U42" s="4">
        <v>52</v>
      </c>
      <c r="V42" s="4">
        <f>IF(ISERROR(VLOOKUP($S$42,'TAR FIN'!$A$1:$O$91,15,0)),0,VLOOKUP($S$42,'TAR FIN'!$A$1:$O$91,15,0))</f>
        <v>0</v>
      </c>
      <c r="W42" s="4">
        <f>IF(ISERROR(VLOOKUP($T$42,'TAR FIN'!$A$1:$O$91,15,0)),0,VLOOKUP($T$42,'TAR FIN'!$A$1:$O$91,15,0))</f>
        <v>90.54</v>
      </c>
      <c r="X42" s="4">
        <f>IF(ISERROR(VLOOKUP($U$42,'TAR FIN'!$A$1:$O$91,15,0)),0,VLOOKUP($U$42,'TAR FIN'!$A$1:$O$91,15,0))</f>
        <v>189.96</v>
      </c>
      <c r="Y42" s="4"/>
      <c r="Z42" s="4">
        <f ca="1">('TUSD BE'!$AM$15+'TUSD BF_350'!$AM$15+'TUSD CVA'!$AM$15)*1</f>
        <v>116.79000000000002</v>
      </c>
      <c r="AA42" s="4">
        <f ca="1">('TE BE'!$AB$6+'TE BF_350'!$AB$6+'TE CVA'!$AB$6)*1</f>
        <v>195.89707226799715</v>
      </c>
      <c r="AB42" s="4">
        <f>$K$42*$V$42</f>
        <v>0</v>
      </c>
      <c r="AC42" s="4">
        <f>$M$42*$W$42</f>
        <v>-5568.21</v>
      </c>
      <c r="AD42" s="4">
        <f>$O$42*$X$42</f>
        <v>-11682.54</v>
      </c>
      <c r="AE42" s="4">
        <f>$K$42*$Y$42</f>
        <v>0</v>
      </c>
      <c r="AF42" s="4">
        <f ca="1">$M$42*$Z$42</f>
        <v>-7182.5850000000009</v>
      </c>
      <c r="AG42" s="4">
        <f ca="1">$O$42*$AA$42</f>
        <v>-12047.669944481824</v>
      </c>
    </row>
    <row r="43" spans="1:33" ht="11.25" customHeight="1" x14ac:dyDescent="0.3">
      <c r="A43" s="3" t="s">
        <v>28</v>
      </c>
      <c r="B43" s="3" t="s">
        <v>39</v>
      </c>
      <c r="C43" s="3" t="s">
        <v>40</v>
      </c>
      <c r="D43" s="3" t="s">
        <v>41</v>
      </c>
      <c r="E43" s="3" t="s">
        <v>25</v>
      </c>
      <c r="F43" s="3" t="s">
        <v>25</v>
      </c>
      <c r="G43" s="3" t="s">
        <v>25</v>
      </c>
      <c r="H43" s="3" t="s">
        <v>35</v>
      </c>
      <c r="I43" s="6">
        <v>44409</v>
      </c>
      <c r="J43" s="4">
        <v>0</v>
      </c>
      <c r="K43" s="4">
        <v>0</v>
      </c>
      <c r="L43" s="4">
        <v>0.71099999999999997</v>
      </c>
      <c r="M43" s="4">
        <v>0.71099999999999997</v>
      </c>
      <c r="N43" s="4">
        <v>0.71099999999999997</v>
      </c>
      <c r="O43" s="4">
        <v>0.71099999999999997</v>
      </c>
      <c r="P43" s="4">
        <v>0</v>
      </c>
      <c r="Q43" s="3" t="s">
        <v>26</v>
      </c>
      <c r="R43" s="3">
        <v>0</v>
      </c>
      <c r="S43" s="4">
        <v>0</v>
      </c>
      <c r="T43" s="4">
        <v>11</v>
      </c>
      <c r="U43" s="4">
        <v>52</v>
      </c>
      <c r="V43" s="4">
        <f>IF(ISERROR(VLOOKUP($S$43,'TAR FIN'!$A$1:$O$91,15,0)),0,VLOOKUP($S$43,'TAR FIN'!$A$1:$O$91,15,0))</f>
        <v>0</v>
      </c>
      <c r="W43" s="4">
        <f>IF(ISERROR(VLOOKUP($T$43,'TAR FIN'!$A$1:$O$91,15,0)),0,VLOOKUP($T$43,'TAR FIN'!$A$1:$O$91,15,0))</f>
        <v>90.54</v>
      </c>
      <c r="X43" s="4">
        <f>IF(ISERROR(VLOOKUP($U$43,'TAR FIN'!$A$1:$O$91,15,0)),0,VLOOKUP($U$43,'TAR FIN'!$A$1:$O$91,15,0))</f>
        <v>189.96</v>
      </c>
      <c r="Y43" s="4"/>
      <c r="Z43" s="4">
        <f ca="1">('TUSD BE'!$AM$15+'TUSD BF_350'!$AM$15+'TUSD CVA'!$AM$15)*1</f>
        <v>116.79000000000002</v>
      </c>
      <c r="AA43" s="4">
        <f ca="1">('TE BE'!$AB$6+'TE BF_350'!$AB$6+'TE CVA'!$AB$6)*1</f>
        <v>195.89707226799715</v>
      </c>
      <c r="AB43" s="4">
        <f>$K$43*$V$43</f>
        <v>0</v>
      </c>
      <c r="AC43" s="4">
        <f>$M$43*$W$43</f>
        <v>64.373940000000005</v>
      </c>
      <c r="AD43" s="4">
        <f>$O$43*$X$43</f>
        <v>135.06155999999999</v>
      </c>
      <c r="AE43" s="4">
        <f>$K$43*$Y$43</f>
        <v>0</v>
      </c>
      <c r="AF43" s="4">
        <f ca="1">$M$43*$Z$43</f>
        <v>83.037690000000012</v>
      </c>
      <c r="AG43" s="4">
        <f ca="1">$O$43*$AA$43</f>
        <v>139.28281838254597</v>
      </c>
    </row>
    <row r="44" spans="1:33" ht="11.25" customHeight="1" x14ac:dyDescent="0.3">
      <c r="A44" s="3" t="s">
        <v>21</v>
      </c>
      <c r="B44" s="3" t="s">
        <v>39</v>
      </c>
      <c r="C44" s="3" t="s">
        <v>40</v>
      </c>
      <c r="D44" s="3" t="s">
        <v>41</v>
      </c>
      <c r="E44" s="3" t="s">
        <v>25</v>
      </c>
      <c r="F44" s="3" t="s">
        <v>25</v>
      </c>
      <c r="G44" s="3" t="s">
        <v>25</v>
      </c>
      <c r="H44" s="3" t="s">
        <v>35</v>
      </c>
      <c r="I44" s="6">
        <v>44440</v>
      </c>
      <c r="J44" s="4">
        <v>0</v>
      </c>
      <c r="K44" s="4">
        <v>0</v>
      </c>
      <c r="L44" s="4">
        <v>287.11900000000003</v>
      </c>
      <c r="M44" s="4">
        <v>287.11900000000003</v>
      </c>
      <c r="N44" s="4">
        <v>287.11900000000003</v>
      </c>
      <c r="O44" s="4">
        <v>287.11900000000003</v>
      </c>
      <c r="P44" s="4">
        <v>0</v>
      </c>
      <c r="Q44" s="3" t="s">
        <v>26</v>
      </c>
      <c r="R44" s="3">
        <v>0</v>
      </c>
      <c r="S44" s="4">
        <v>0</v>
      </c>
      <c r="T44" s="4">
        <v>11</v>
      </c>
      <c r="U44" s="4">
        <v>52</v>
      </c>
      <c r="V44" s="4">
        <f>IF(ISERROR(VLOOKUP($S$44,'TAR FIN'!$A$1:$O$91,15,0)),0,VLOOKUP($S$44,'TAR FIN'!$A$1:$O$91,15,0))</f>
        <v>0</v>
      </c>
      <c r="W44" s="4">
        <f>IF(ISERROR(VLOOKUP($T$44,'TAR FIN'!$A$1:$O$91,15,0)),0,VLOOKUP($T$44,'TAR FIN'!$A$1:$O$91,15,0))</f>
        <v>90.54</v>
      </c>
      <c r="X44" s="4">
        <f>IF(ISERROR(VLOOKUP($U$44,'TAR FIN'!$A$1:$O$91,15,0)),0,VLOOKUP($U$44,'TAR FIN'!$A$1:$O$91,15,0))</f>
        <v>189.96</v>
      </c>
      <c r="Y44" s="4"/>
      <c r="Z44" s="4">
        <f ca="1">('TUSD BE'!$AM$15+'TUSD BF_350'!$AM$15+'TUSD CVA'!$AM$15)*1</f>
        <v>116.79000000000002</v>
      </c>
      <c r="AA44" s="4">
        <f ca="1">('TE BE'!$AB$6+'TE BF_350'!$AB$6+'TE CVA'!$AB$6)*1</f>
        <v>195.89707226799715</v>
      </c>
      <c r="AB44" s="4">
        <f>$K$44*$V$44</f>
        <v>0</v>
      </c>
      <c r="AC44" s="4">
        <f>$M$44*$W$44</f>
        <v>25995.754260000005</v>
      </c>
      <c r="AD44" s="4">
        <f>$O$44*$X$44</f>
        <v>54541.125240000008</v>
      </c>
      <c r="AE44" s="4">
        <f>$K$44*$Y$44</f>
        <v>0</v>
      </c>
      <c r="AF44" s="4">
        <f ca="1">$M$44*$Z$44</f>
        <v>33532.628010000008</v>
      </c>
      <c r="AG44" s="4">
        <f ca="1">$O$44*$AA$44</f>
        <v>56245.771492515079</v>
      </c>
    </row>
    <row r="45" spans="1:33" ht="11.25" customHeight="1" x14ac:dyDescent="0.3">
      <c r="A45" s="3" t="s">
        <v>21</v>
      </c>
      <c r="B45" s="3" t="s">
        <v>39</v>
      </c>
      <c r="C45" s="3" t="s">
        <v>40</v>
      </c>
      <c r="D45" s="3" t="s">
        <v>41</v>
      </c>
      <c r="E45" s="3" t="s">
        <v>25</v>
      </c>
      <c r="F45" s="3" t="s">
        <v>25</v>
      </c>
      <c r="G45" s="3" t="s">
        <v>25</v>
      </c>
      <c r="H45" s="3" t="s">
        <v>35</v>
      </c>
      <c r="I45" s="6">
        <v>44470</v>
      </c>
      <c r="J45" s="4">
        <v>0</v>
      </c>
      <c r="K45" s="4">
        <v>0</v>
      </c>
      <c r="L45" s="4">
        <v>333.03199999999998</v>
      </c>
      <c r="M45" s="4">
        <v>333.03199999999998</v>
      </c>
      <c r="N45" s="4">
        <v>333.03199999999998</v>
      </c>
      <c r="O45" s="4">
        <v>333.03199999999998</v>
      </c>
      <c r="P45" s="4">
        <v>0</v>
      </c>
      <c r="Q45" s="3" t="s">
        <v>26</v>
      </c>
      <c r="R45" s="3">
        <v>0</v>
      </c>
      <c r="S45" s="4">
        <v>0</v>
      </c>
      <c r="T45" s="4">
        <v>11</v>
      </c>
      <c r="U45" s="4">
        <v>52</v>
      </c>
      <c r="V45" s="4">
        <f>IF(ISERROR(VLOOKUP($S$45,'TAR FIN'!$A$1:$O$91,15,0)),0,VLOOKUP($S$45,'TAR FIN'!$A$1:$O$91,15,0))</f>
        <v>0</v>
      </c>
      <c r="W45" s="4">
        <f>IF(ISERROR(VLOOKUP($T$45,'TAR FIN'!$A$1:$O$91,15,0)),0,VLOOKUP($T$45,'TAR FIN'!$A$1:$O$91,15,0))</f>
        <v>90.54</v>
      </c>
      <c r="X45" s="4">
        <f>IF(ISERROR(VLOOKUP($U$45,'TAR FIN'!$A$1:$O$91,15,0)),0,VLOOKUP($U$45,'TAR FIN'!$A$1:$O$91,15,0))</f>
        <v>189.96</v>
      </c>
      <c r="Y45" s="4"/>
      <c r="Z45" s="4">
        <f ca="1">('TUSD BE'!$AM$15+'TUSD BF_350'!$AM$15+'TUSD CVA'!$AM$15)*1</f>
        <v>116.79000000000002</v>
      </c>
      <c r="AA45" s="4">
        <f ca="1">('TE BE'!$AB$6+'TE BF_350'!$AB$6+'TE CVA'!$AB$6)*1</f>
        <v>195.89707226799715</v>
      </c>
      <c r="AB45" s="4">
        <f>$K$45*$V$45</f>
        <v>0</v>
      </c>
      <c r="AC45" s="4">
        <f>$M$45*$W$45</f>
        <v>30152.717280000001</v>
      </c>
      <c r="AD45" s="4">
        <f>$O$45*$X$45</f>
        <v>63262.758719999998</v>
      </c>
      <c r="AE45" s="4">
        <f>$K$45*$Y$45</f>
        <v>0</v>
      </c>
      <c r="AF45" s="4">
        <f ca="1">$M$45*$Z$45</f>
        <v>38894.807280000008</v>
      </c>
      <c r="AG45" s="4">
        <f ca="1">$O$45*$AA$45</f>
        <v>65239.993771555623</v>
      </c>
    </row>
    <row r="46" spans="1:33" ht="11.25" customHeight="1" x14ac:dyDescent="0.3">
      <c r="A46" s="3" t="s">
        <v>21</v>
      </c>
      <c r="B46" s="3" t="s">
        <v>39</v>
      </c>
      <c r="C46" s="3" t="s">
        <v>40</v>
      </c>
      <c r="D46" s="3" t="s">
        <v>41</v>
      </c>
      <c r="E46" s="3" t="s">
        <v>25</v>
      </c>
      <c r="F46" s="3" t="s">
        <v>25</v>
      </c>
      <c r="G46" s="3" t="s">
        <v>25</v>
      </c>
      <c r="H46" s="3" t="s">
        <v>35</v>
      </c>
      <c r="I46" s="6">
        <v>44501</v>
      </c>
      <c r="J46" s="4">
        <v>0</v>
      </c>
      <c r="K46" s="4">
        <v>0</v>
      </c>
      <c r="L46" s="4">
        <v>368.75799999999998</v>
      </c>
      <c r="M46" s="4">
        <v>368.75799999999998</v>
      </c>
      <c r="N46" s="4">
        <v>368.75799999999998</v>
      </c>
      <c r="O46" s="4">
        <v>368.75799999999998</v>
      </c>
      <c r="P46" s="4">
        <v>0</v>
      </c>
      <c r="Q46" s="3" t="s">
        <v>26</v>
      </c>
      <c r="R46" s="3">
        <v>0</v>
      </c>
      <c r="S46" s="4">
        <v>0</v>
      </c>
      <c r="T46" s="4">
        <v>11</v>
      </c>
      <c r="U46" s="4">
        <v>52</v>
      </c>
      <c r="V46" s="4">
        <f>IF(ISERROR(VLOOKUP($S$46,'TAR FIN'!$A$1:$O$91,15,0)),0,VLOOKUP($S$46,'TAR FIN'!$A$1:$O$91,15,0))</f>
        <v>0</v>
      </c>
      <c r="W46" s="4">
        <f>IF(ISERROR(VLOOKUP($T$46,'TAR FIN'!$A$1:$O$91,15,0)),0,VLOOKUP($T$46,'TAR FIN'!$A$1:$O$91,15,0))</f>
        <v>90.54</v>
      </c>
      <c r="X46" s="4">
        <f>IF(ISERROR(VLOOKUP($U$46,'TAR FIN'!$A$1:$O$91,15,0)),0,VLOOKUP($U$46,'TAR FIN'!$A$1:$O$91,15,0))</f>
        <v>189.96</v>
      </c>
      <c r="Y46" s="4"/>
      <c r="Z46" s="4">
        <f ca="1">('TUSD BE'!$AM$15+'TUSD BF_350'!$AM$15+'TUSD CVA'!$AM$15)*1</f>
        <v>116.79000000000002</v>
      </c>
      <c r="AA46" s="4">
        <f ca="1">('TE BE'!$AB$6+'TE BF_350'!$AB$6+'TE CVA'!$AB$6)*1</f>
        <v>195.89707226799715</v>
      </c>
      <c r="AB46" s="4">
        <f>$K$46*$V$46</f>
        <v>0</v>
      </c>
      <c r="AC46" s="4">
        <f>$M$46*$W$46</f>
        <v>33387.349320000001</v>
      </c>
      <c r="AD46" s="4">
        <f>$O$46*$X$46</f>
        <v>70049.269679999998</v>
      </c>
      <c r="AE46" s="4">
        <f>$K$46*$Y$46</f>
        <v>0</v>
      </c>
      <c r="AF46" s="4">
        <f ca="1">$M$46*$Z$46</f>
        <v>43067.246820000008</v>
      </c>
      <c r="AG46" s="4">
        <f ca="1">$O$46*$AA$46</f>
        <v>72238.61257540209</v>
      </c>
    </row>
    <row r="47" spans="1:33" ht="11.25" customHeight="1" x14ac:dyDescent="0.3">
      <c r="A47" s="3" t="s">
        <v>21</v>
      </c>
      <c r="B47" s="3" t="s">
        <v>39</v>
      </c>
      <c r="C47" s="3" t="s">
        <v>40</v>
      </c>
      <c r="D47" s="3" t="s">
        <v>41</v>
      </c>
      <c r="E47" s="3" t="s">
        <v>25</v>
      </c>
      <c r="F47" s="3" t="s">
        <v>25</v>
      </c>
      <c r="G47" s="3" t="s">
        <v>25</v>
      </c>
      <c r="H47" s="3" t="s">
        <v>35</v>
      </c>
      <c r="I47" s="6">
        <v>44531</v>
      </c>
      <c r="J47" s="4">
        <v>0</v>
      </c>
      <c r="K47" s="4">
        <v>0</v>
      </c>
      <c r="L47" s="4">
        <v>427.34500000000003</v>
      </c>
      <c r="M47" s="4">
        <v>427.34500000000003</v>
      </c>
      <c r="N47" s="4">
        <v>427.34500000000003</v>
      </c>
      <c r="O47" s="4">
        <v>427.34500000000003</v>
      </c>
      <c r="P47" s="4">
        <v>0</v>
      </c>
      <c r="Q47" s="3" t="s">
        <v>26</v>
      </c>
      <c r="R47" s="3">
        <v>0</v>
      </c>
      <c r="S47" s="4">
        <v>0</v>
      </c>
      <c r="T47" s="4">
        <v>11</v>
      </c>
      <c r="U47" s="4">
        <v>52</v>
      </c>
      <c r="V47" s="4">
        <f>IF(ISERROR(VLOOKUP($S$47,'TAR FIN'!$A$1:$O$91,15,0)),0,VLOOKUP($S$47,'TAR FIN'!$A$1:$O$91,15,0))</f>
        <v>0</v>
      </c>
      <c r="W47" s="4">
        <f>IF(ISERROR(VLOOKUP($T$47,'TAR FIN'!$A$1:$O$91,15,0)),0,VLOOKUP($T$47,'TAR FIN'!$A$1:$O$91,15,0))</f>
        <v>90.54</v>
      </c>
      <c r="X47" s="4">
        <f>IF(ISERROR(VLOOKUP($U$47,'TAR FIN'!$A$1:$O$91,15,0)),0,VLOOKUP($U$47,'TAR FIN'!$A$1:$O$91,15,0))</f>
        <v>189.96</v>
      </c>
      <c r="Y47" s="4"/>
      <c r="Z47" s="4">
        <f ca="1">('TUSD BE'!$AM$15+'TUSD BF_350'!$AM$15+'TUSD CVA'!$AM$15)*1</f>
        <v>116.79000000000002</v>
      </c>
      <c r="AA47" s="4">
        <f ca="1">('TE BE'!$AB$6+'TE BF_350'!$AB$6+'TE CVA'!$AB$6)*1</f>
        <v>195.89707226799715</v>
      </c>
      <c r="AB47" s="4">
        <f>$K$47*$V$47</f>
        <v>0</v>
      </c>
      <c r="AC47" s="4">
        <f>$M$47*$W$47</f>
        <v>38691.816300000006</v>
      </c>
      <c r="AD47" s="4">
        <f>$O$47*$X$47</f>
        <v>81178.456200000015</v>
      </c>
      <c r="AE47" s="4">
        <f>$K$47*$Y$47</f>
        <v>0</v>
      </c>
      <c r="AF47" s="4">
        <f ca="1">$M$47*$Z$47</f>
        <v>49909.622550000015</v>
      </c>
      <c r="AG47" s="4">
        <f ca="1">$O$47*$AA$47</f>
        <v>83715.634348367239</v>
      </c>
    </row>
    <row r="48" spans="1:33" ht="11.25" customHeight="1" x14ac:dyDescent="0.3">
      <c r="A48" s="3" t="s">
        <v>21</v>
      </c>
      <c r="B48" s="3" t="s">
        <v>39</v>
      </c>
      <c r="C48" s="3" t="s">
        <v>40</v>
      </c>
      <c r="D48" s="3" t="s">
        <v>41</v>
      </c>
      <c r="E48" s="3" t="s">
        <v>25</v>
      </c>
      <c r="F48" s="3" t="s">
        <v>25</v>
      </c>
      <c r="G48" s="3" t="s">
        <v>25</v>
      </c>
      <c r="H48" s="3" t="s">
        <v>35</v>
      </c>
      <c r="I48" s="6">
        <v>44562</v>
      </c>
      <c r="J48" s="4">
        <v>0</v>
      </c>
      <c r="K48" s="4">
        <v>0</v>
      </c>
      <c r="L48" s="4">
        <v>474.13299999999998</v>
      </c>
      <c r="M48" s="4">
        <v>474.13299999999998</v>
      </c>
      <c r="N48" s="4">
        <v>474.13299999999998</v>
      </c>
      <c r="O48" s="4">
        <v>474.13299999999998</v>
      </c>
      <c r="P48" s="4">
        <v>0</v>
      </c>
      <c r="Q48" s="3" t="s">
        <v>26</v>
      </c>
      <c r="R48" s="3">
        <v>0</v>
      </c>
      <c r="S48" s="4">
        <v>0</v>
      </c>
      <c r="T48" s="4">
        <v>11</v>
      </c>
      <c r="U48" s="4">
        <v>52</v>
      </c>
      <c r="V48" s="4">
        <f>IF(ISERROR(VLOOKUP($S$48,'TAR FIN'!$A$1:$O$91,15,0)),0,VLOOKUP($S$48,'TAR FIN'!$A$1:$O$91,15,0))</f>
        <v>0</v>
      </c>
      <c r="W48" s="4">
        <f>IF(ISERROR(VLOOKUP($T$48,'TAR FIN'!$A$1:$O$91,15,0)),0,VLOOKUP($T$48,'TAR FIN'!$A$1:$O$91,15,0))</f>
        <v>90.54</v>
      </c>
      <c r="X48" s="4">
        <f>IF(ISERROR(VLOOKUP($U$48,'TAR FIN'!$A$1:$O$91,15,0)),0,VLOOKUP($U$48,'TAR FIN'!$A$1:$O$91,15,0))</f>
        <v>189.96</v>
      </c>
      <c r="Y48" s="4"/>
      <c r="Z48" s="4">
        <f ca="1">('TUSD BE'!$AM$15+'TUSD BF_350'!$AM$15+'TUSD CVA'!$AM$15)*1</f>
        <v>116.79000000000002</v>
      </c>
      <c r="AA48" s="4">
        <f ca="1">('TE BE'!$AB$6+'TE BF_350'!$AB$6+'TE CVA'!$AB$6)*1</f>
        <v>195.89707226799715</v>
      </c>
      <c r="AB48" s="4">
        <f>$K$48*$V$48</f>
        <v>0</v>
      </c>
      <c r="AC48" s="4">
        <f>$M$48*$W$48</f>
        <v>42928.001819999998</v>
      </c>
      <c r="AD48" s="4">
        <f>$O$48*$X$48</f>
        <v>90066.304680000001</v>
      </c>
      <c r="AE48" s="4">
        <f>$K$48*$Y$48</f>
        <v>0</v>
      </c>
      <c r="AF48" s="4">
        <f ca="1">$M$48*$Z$48</f>
        <v>55373.993070000004</v>
      </c>
      <c r="AG48" s="4">
        <f ca="1">$O$48*$AA$48</f>
        <v>92881.266565642291</v>
      </c>
    </row>
    <row r="49" spans="1:33" ht="11.25" customHeight="1" x14ac:dyDescent="0.3">
      <c r="A49" s="3" t="s">
        <v>21</v>
      </c>
      <c r="B49" s="3" t="s">
        <v>39</v>
      </c>
      <c r="C49" s="3" t="s">
        <v>40</v>
      </c>
      <c r="D49" s="3" t="s">
        <v>41</v>
      </c>
      <c r="E49" s="3" t="s">
        <v>25</v>
      </c>
      <c r="F49" s="3" t="s">
        <v>25</v>
      </c>
      <c r="G49" s="3" t="s">
        <v>25</v>
      </c>
      <c r="H49" s="3" t="s">
        <v>35</v>
      </c>
      <c r="I49" s="6">
        <v>44593</v>
      </c>
      <c r="J49" s="4">
        <v>0</v>
      </c>
      <c r="K49" s="4">
        <v>0</v>
      </c>
      <c r="L49" s="4">
        <v>421.13200000000001</v>
      </c>
      <c r="M49" s="4">
        <v>421.13200000000001</v>
      </c>
      <c r="N49" s="4">
        <v>421.13200000000001</v>
      </c>
      <c r="O49" s="4">
        <v>421.13200000000001</v>
      </c>
      <c r="P49" s="4">
        <v>0</v>
      </c>
      <c r="Q49" s="3" t="s">
        <v>26</v>
      </c>
      <c r="R49" s="3">
        <v>0</v>
      </c>
      <c r="S49" s="4">
        <v>0</v>
      </c>
      <c r="T49" s="4">
        <v>11</v>
      </c>
      <c r="U49" s="4">
        <v>52</v>
      </c>
      <c r="V49" s="4">
        <f>IF(ISERROR(VLOOKUP($S$49,'TAR FIN'!$A$1:$O$91,15,0)),0,VLOOKUP($S$49,'TAR FIN'!$A$1:$O$91,15,0))</f>
        <v>0</v>
      </c>
      <c r="W49" s="4">
        <f>IF(ISERROR(VLOOKUP($T$49,'TAR FIN'!$A$1:$O$91,15,0)),0,VLOOKUP($T$49,'TAR FIN'!$A$1:$O$91,15,0))</f>
        <v>90.54</v>
      </c>
      <c r="X49" s="4">
        <f>IF(ISERROR(VLOOKUP($U$49,'TAR FIN'!$A$1:$O$91,15,0)),0,VLOOKUP($U$49,'TAR FIN'!$A$1:$O$91,15,0))</f>
        <v>189.96</v>
      </c>
      <c r="Y49" s="4"/>
      <c r="Z49" s="4">
        <f ca="1">('TUSD BE'!$AM$15+'TUSD BF_350'!$AM$15+'TUSD CVA'!$AM$15)*1</f>
        <v>116.79000000000002</v>
      </c>
      <c r="AA49" s="4">
        <f ca="1">('TE BE'!$AB$6+'TE BF_350'!$AB$6+'TE CVA'!$AB$6)*1</f>
        <v>195.89707226799715</v>
      </c>
      <c r="AB49" s="4">
        <f>$K$49*$V$49</f>
        <v>0</v>
      </c>
      <c r="AC49" s="4">
        <f>$M$49*$W$49</f>
        <v>38129.291280000005</v>
      </c>
      <c r="AD49" s="4">
        <f>$O$49*$X$49</f>
        <v>79998.234720000008</v>
      </c>
      <c r="AE49" s="4">
        <f>$K$49*$Y$49</f>
        <v>0</v>
      </c>
      <c r="AF49" s="4">
        <f ca="1">$M$49*$Z$49</f>
        <v>49184.006280000009</v>
      </c>
      <c r="AG49" s="4">
        <f ca="1">$O$49*$AA$49</f>
        <v>82498.525838366171</v>
      </c>
    </row>
    <row r="50" spans="1:33" ht="11.25" customHeight="1" x14ac:dyDescent="0.3">
      <c r="A50" s="3" t="s">
        <v>21</v>
      </c>
      <c r="B50" s="3" t="s">
        <v>39</v>
      </c>
      <c r="C50" s="3" t="s">
        <v>40</v>
      </c>
      <c r="D50" s="3" t="s">
        <v>41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44621</v>
      </c>
      <c r="J50" s="4">
        <v>0</v>
      </c>
      <c r="K50" s="4">
        <v>0</v>
      </c>
      <c r="L50" s="4">
        <v>502.01299999999998</v>
      </c>
      <c r="M50" s="4">
        <v>502.01299999999998</v>
      </c>
      <c r="N50" s="4">
        <v>502.01299999999998</v>
      </c>
      <c r="O50" s="4">
        <v>502.01299999999998</v>
      </c>
      <c r="P50" s="4">
        <v>0</v>
      </c>
      <c r="Q50" s="3" t="s">
        <v>26</v>
      </c>
      <c r="R50" s="3">
        <v>0</v>
      </c>
      <c r="S50" s="4">
        <v>0</v>
      </c>
      <c r="T50" s="4">
        <v>11</v>
      </c>
      <c r="U50" s="4">
        <v>52</v>
      </c>
      <c r="V50" s="4">
        <f>IF(ISERROR(VLOOKUP($S$50,'TAR FIN'!$A$1:$O$91,15,0)),0,VLOOKUP($S$50,'TAR FIN'!$A$1:$O$91,15,0))</f>
        <v>0</v>
      </c>
      <c r="W50" s="4">
        <f>IF(ISERROR(VLOOKUP($T$50,'TAR FIN'!$A$1:$O$91,15,0)),0,VLOOKUP($T$50,'TAR FIN'!$A$1:$O$91,15,0))</f>
        <v>90.54</v>
      </c>
      <c r="X50" s="4">
        <f>IF(ISERROR(VLOOKUP($U$50,'TAR FIN'!$A$1:$O$91,15,0)),0,VLOOKUP($U$50,'TAR FIN'!$A$1:$O$91,15,0))</f>
        <v>189.96</v>
      </c>
      <c r="Y50" s="4"/>
      <c r="Z50" s="4">
        <f ca="1">('TUSD BE'!$AM$15+'TUSD BF_350'!$AM$15+'TUSD CVA'!$AM$15)*1</f>
        <v>116.79000000000002</v>
      </c>
      <c r="AA50" s="4">
        <f ca="1">('TE BE'!$AB$6+'TE BF_350'!$AB$6+'TE CVA'!$AB$6)*1</f>
        <v>195.89707226799715</v>
      </c>
      <c r="AB50" s="4">
        <f>$K$50*$V$50</f>
        <v>0</v>
      </c>
      <c r="AC50" s="4">
        <f>$M$50*$W$50</f>
        <v>45452.257020000005</v>
      </c>
      <c r="AD50" s="4">
        <f>$O$50*$X$50</f>
        <v>95362.389479999998</v>
      </c>
      <c r="AE50" s="4">
        <f>$K$50*$Y$50</f>
        <v>0</v>
      </c>
      <c r="AF50" s="4">
        <f ca="1">$M$50*$Z$50</f>
        <v>58630.09827000001</v>
      </c>
      <c r="AG50" s="4">
        <f ca="1">$O$50*$AA$50</f>
        <v>98342.876940474045</v>
      </c>
    </row>
    <row r="51" spans="1:33" ht="11.25" customHeight="1" x14ac:dyDescent="0.3">
      <c r="A51" s="3" t="s">
        <v>21</v>
      </c>
      <c r="B51" s="3" t="s">
        <v>39</v>
      </c>
      <c r="C51" s="3" t="s">
        <v>40</v>
      </c>
      <c r="D51" s="3" t="s">
        <v>41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44652</v>
      </c>
      <c r="J51" s="4">
        <v>0</v>
      </c>
      <c r="K51" s="4">
        <v>0</v>
      </c>
      <c r="L51" s="4">
        <v>547.298</v>
      </c>
      <c r="M51" s="4">
        <v>547.298</v>
      </c>
      <c r="N51" s="4">
        <v>547.298</v>
      </c>
      <c r="O51" s="4">
        <v>547.298</v>
      </c>
      <c r="P51" s="4">
        <v>0</v>
      </c>
      <c r="Q51" s="3" t="s">
        <v>26</v>
      </c>
      <c r="R51" s="3">
        <v>0</v>
      </c>
      <c r="S51" s="4">
        <v>0</v>
      </c>
      <c r="T51" s="4">
        <v>11</v>
      </c>
      <c r="U51" s="4">
        <v>52</v>
      </c>
      <c r="V51" s="4">
        <f>IF(ISERROR(VLOOKUP($S$51,'TAR FIN'!$A$1:$O$91,15,0)),0,VLOOKUP($S$51,'TAR FIN'!$A$1:$O$91,15,0))</f>
        <v>0</v>
      </c>
      <c r="W51" s="4">
        <f>IF(ISERROR(VLOOKUP($T$51,'TAR FIN'!$A$1:$O$91,15,0)),0,VLOOKUP($T$51,'TAR FIN'!$A$1:$O$91,15,0))</f>
        <v>90.54</v>
      </c>
      <c r="X51" s="4">
        <f>IF(ISERROR(VLOOKUP($U$51,'TAR FIN'!$A$1:$O$91,15,0)),0,VLOOKUP($U$51,'TAR FIN'!$A$1:$O$91,15,0))</f>
        <v>189.96</v>
      </c>
      <c r="Y51" s="4"/>
      <c r="Z51" s="4">
        <f ca="1">('TUSD BE'!$AM$15+'TUSD BF_350'!$AM$15+'TUSD CVA'!$AM$15)*1</f>
        <v>116.79000000000002</v>
      </c>
      <c r="AA51" s="4">
        <f ca="1">('TE BE'!$AB$6+'TE BF_350'!$AB$6+'TE CVA'!$AB$6)*1</f>
        <v>195.89707226799715</v>
      </c>
      <c r="AB51" s="4">
        <f>$K$51*$V$51</f>
        <v>0</v>
      </c>
      <c r="AC51" s="4">
        <f>$M$51*$W$51</f>
        <v>49552.360920000006</v>
      </c>
      <c r="AD51" s="4">
        <f>$O$51*$X$51</f>
        <v>103964.72808</v>
      </c>
      <c r="AE51" s="4">
        <f>$K$51*$Y$51</f>
        <v>0</v>
      </c>
      <c r="AF51" s="4">
        <f ca="1">$M$51*$Z$51</f>
        <v>63918.933420000008</v>
      </c>
      <c r="AG51" s="4">
        <f ca="1">$O$51*$AA$51</f>
        <v>107214.07585813031</v>
      </c>
    </row>
    <row r="52" spans="1:33" ht="11.25" customHeight="1" x14ac:dyDescent="0.3">
      <c r="A52" s="3" t="s">
        <v>21</v>
      </c>
      <c r="B52" s="3" t="s">
        <v>39</v>
      </c>
      <c r="C52" s="3" t="s">
        <v>40</v>
      </c>
      <c r="D52" s="3" t="s">
        <v>41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44682</v>
      </c>
      <c r="J52" s="4">
        <v>0</v>
      </c>
      <c r="K52" s="4">
        <v>0</v>
      </c>
      <c r="L52" s="4">
        <v>493.75799999999998</v>
      </c>
      <c r="M52" s="4">
        <v>493.75799999999998</v>
      </c>
      <c r="N52" s="4">
        <v>493.75799999999998</v>
      </c>
      <c r="O52" s="4">
        <v>493.75799999999998</v>
      </c>
      <c r="P52" s="4">
        <v>0</v>
      </c>
      <c r="Q52" s="3" t="s">
        <v>26</v>
      </c>
      <c r="R52" s="3">
        <v>0</v>
      </c>
      <c r="S52" s="4">
        <v>0</v>
      </c>
      <c r="T52" s="4">
        <v>11</v>
      </c>
      <c r="U52" s="4">
        <v>52</v>
      </c>
      <c r="V52" s="4">
        <f>IF(ISERROR(VLOOKUP($S$52,'TAR FIN'!$A$1:$O$91,15,0)),0,VLOOKUP($S$52,'TAR FIN'!$A$1:$O$91,15,0))</f>
        <v>0</v>
      </c>
      <c r="W52" s="4">
        <f>IF(ISERROR(VLOOKUP($T$52,'TAR FIN'!$A$1:$O$91,15,0)),0,VLOOKUP($T$52,'TAR FIN'!$A$1:$O$91,15,0))</f>
        <v>90.54</v>
      </c>
      <c r="X52" s="4">
        <f>IF(ISERROR(VLOOKUP($U$52,'TAR FIN'!$A$1:$O$91,15,0)),0,VLOOKUP($U$52,'TAR FIN'!$A$1:$O$91,15,0))</f>
        <v>189.96</v>
      </c>
      <c r="Y52" s="4"/>
      <c r="Z52" s="4">
        <f ca="1">('TUSD BE'!$AM$15+'TUSD BF_350'!$AM$15+'TUSD CVA'!$AM$15)*1</f>
        <v>116.79000000000002</v>
      </c>
      <c r="AA52" s="4">
        <f ca="1">('TE BE'!$AB$6+'TE BF_350'!$AB$6+'TE CVA'!$AB$6)*1</f>
        <v>195.89707226799715</v>
      </c>
      <c r="AB52" s="4">
        <f>$K$52*$V$52</f>
        <v>0</v>
      </c>
      <c r="AC52" s="4">
        <f>$M$52*$W$52</f>
        <v>44704.849320000001</v>
      </c>
      <c r="AD52" s="4">
        <f>$O$52*$X$52</f>
        <v>93794.269679999998</v>
      </c>
      <c r="AE52" s="4">
        <f>$K$52*$Y$52</f>
        <v>0</v>
      </c>
      <c r="AF52" s="4">
        <f ca="1">$M$52*$Z$52</f>
        <v>57665.996820000008</v>
      </c>
      <c r="AG52" s="4">
        <f ca="1">$O$52*$AA$52</f>
        <v>96725.746608901725</v>
      </c>
    </row>
    <row r="53" spans="1:33" ht="11.25" customHeight="1" x14ac:dyDescent="0.3">
      <c r="A53" s="3" t="s">
        <v>21</v>
      </c>
      <c r="B53" s="3" t="s">
        <v>39</v>
      </c>
      <c r="C53" s="3" t="s">
        <v>40</v>
      </c>
      <c r="D53" s="3" t="s">
        <v>41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44713</v>
      </c>
      <c r="J53" s="4">
        <v>0</v>
      </c>
      <c r="K53" s="4">
        <v>0</v>
      </c>
      <c r="L53" s="4">
        <v>409.387</v>
      </c>
      <c r="M53" s="4">
        <v>409.387</v>
      </c>
      <c r="N53" s="4">
        <v>409.387</v>
      </c>
      <c r="O53" s="4">
        <v>409.387</v>
      </c>
      <c r="P53" s="4">
        <v>0</v>
      </c>
      <c r="Q53" s="3" t="s">
        <v>26</v>
      </c>
      <c r="R53" s="3">
        <v>0</v>
      </c>
      <c r="S53" s="4">
        <v>0</v>
      </c>
      <c r="T53" s="4">
        <v>11</v>
      </c>
      <c r="U53" s="4">
        <v>52</v>
      </c>
      <c r="V53" s="4">
        <f>IF(ISERROR(VLOOKUP($S$53,'TAR FIN'!$A$1:$O$91,15,0)),0,VLOOKUP($S$53,'TAR FIN'!$A$1:$O$91,15,0))</f>
        <v>0</v>
      </c>
      <c r="W53" s="4">
        <f>IF(ISERROR(VLOOKUP($T$53,'TAR FIN'!$A$1:$O$91,15,0)),0,VLOOKUP($T$53,'TAR FIN'!$A$1:$O$91,15,0))</f>
        <v>90.54</v>
      </c>
      <c r="X53" s="4">
        <f>IF(ISERROR(VLOOKUP($U$53,'TAR FIN'!$A$1:$O$91,15,0)),0,VLOOKUP($U$53,'TAR FIN'!$A$1:$O$91,15,0))</f>
        <v>189.96</v>
      </c>
      <c r="Y53" s="4"/>
      <c r="Z53" s="4">
        <f ca="1">('TUSD BE'!$AM$15+'TUSD BF_350'!$AM$15+'TUSD CVA'!$AM$15)*1</f>
        <v>116.79000000000002</v>
      </c>
      <c r="AA53" s="4">
        <f ca="1">('TE BE'!$AB$6+'TE BF_350'!$AB$6+'TE CVA'!$AB$6)*1</f>
        <v>195.89707226799715</v>
      </c>
      <c r="AB53" s="4">
        <f>$K$53*$V$53</f>
        <v>0</v>
      </c>
      <c r="AC53" s="4">
        <f>$M$53*$W$53</f>
        <v>37065.898980000005</v>
      </c>
      <c r="AD53" s="4">
        <f>$O$53*$X$53</f>
        <v>77767.154519999996</v>
      </c>
      <c r="AE53" s="4">
        <f>$K$53*$Y$53</f>
        <v>0</v>
      </c>
      <c r="AF53" s="4">
        <f ca="1">$M$53*$Z$53</f>
        <v>47812.307730000008</v>
      </c>
      <c r="AG53" s="4">
        <f ca="1">$O$53*$AA$53</f>
        <v>80197.714724578545</v>
      </c>
    </row>
    <row r="54" spans="1:33" ht="11.25" customHeight="1" x14ac:dyDescent="0.3">
      <c r="A54" s="3" t="s">
        <v>28</v>
      </c>
      <c r="B54" s="3" t="s">
        <v>39</v>
      </c>
      <c r="C54" s="3" t="s">
        <v>40</v>
      </c>
      <c r="D54" s="3" t="s">
        <v>41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44713</v>
      </c>
      <c r="J54" s="4">
        <v>0</v>
      </c>
      <c r="K54" s="4">
        <v>0</v>
      </c>
      <c r="L54" s="4">
        <v>2.411</v>
      </c>
      <c r="M54" s="4">
        <v>2.411</v>
      </c>
      <c r="N54" s="4">
        <v>2.411</v>
      </c>
      <c r="O54" s="4">
        <v>2.411</v>
      </c>
      <c r="P54" s="4">
        <v>0</v>
      </c>
      <c r="Q54" s="3" t="s">
        <v>26</v>
      </c>
      <c r="R54" s="3">
        <v>0</v>
      </c>
      <c r="S54" s="4">
        <v>0</v>
      </c>
      <c r="T54" s="4">
        <v>11</v>
      </c>
      <c r="U54" s="4">
        <v>52</v>
      </c>
      <c r="V54" s="4">
        <f>IF(ISERROR(VLOOKUP($S$54,'TAR FIN'!$A$1:$O$91,15,0)),0,VLOOKUP($S$54,'TAR FIN'!$A$1:$O$91,15,0))</f>
        <v>0</v>
      </c>
      <c r="W54" s="4">
        <f>IF(ISERROR(VLOOKUP($T$54,'TAR FIN'!$A$1:$O$91,15,0)),0,VLOOKUP($T$54,'TAR FIN'!$A$1:$O$91,15,0))</f>
        <v>90.54</v>
      </c>
      <c r="X54" s="4">
        <f>IF(ISERROR(VLOOKUP($U$54,'TAR FIN'!$A$1:$O$91,15,0)),0,VLOOKUP($U$54,'TAR FIN'!$A$1:$O$91,15,0))</f>
        <v>189.96</v>
      </c>
      <c r="Y54" s="4"/>
      <c r="Z54" s="4">
        <f ca="1">('TUSD BE'!$AM$15+'TUSD BF_350'!$AM$15+'TUSD CVA'!$AM$15)*1</f>
        <v>116.79000000000002</v>
      </c>
      <c r="AA54" s="4">
        <f ca="1">('TE BE'!$AB$6+'TE BF_350'!$AB$6+'TE CVA'!$AB$6)*1</f>
        <v>195.89707226799715</v>
      </c>
      <c r="AB54" s="4">
        <f>$K$54*$V$54</f>
        <v>0</v>
      </c>
      <c r="AC54" s="4">
        <f>$M$54*$W$54</f>
        <v>218.29194000000001</v>
      </c>
      <c r="AD54" s="4">
        <f>$O$54*$X$54</f>
        <v>457.99356</v>
      </c>
      <c r="AE54" s="4">
        <f>$K$54*$Y$54</f>
        <v>0</v>
      </c>
      <c r="AF54" s="4">
        <f ca="1">$M$54*$Z$54</f>
        <v>281.58069000000006</v>
      </c>
      <c r="AG54" s="4">
        <f ca="1">$O$54*$AA$54</f>
        <v>472.30784123814112</v>
      </c>
    </row>
    <row r="55" spans="1:33" ht="11.25" customHeight="1" x14ac:dyDescent="0.3">
      <c r="A55" s="3" t="s">
        <v>21</v>
      </c>
      <c r="B55" s="3" t="s">
        <v>39</v>
      </c>
      <c r="C55" s="3" t="s">
        <v>40</v>
      </c>
      <c r="D55" s="3" t="s">
        <v>41</v>
      </c>
      <c r="E55" s="3" t="s">
        <v>25</v>
      </c>
      <c r="F55" s="3" t="s">
        <v>25</v>
      </c>
      <c r="G55" s="3" t="s">
        <v>25</v>
      </c>
      <c r="H55" s="3" t="s">
        <v>25</v>
      </c>
      <c r="I55" s="6">
        <v>44378</v>
      </c>
      <c r="J55" s="4">
        <v>2876</v>
      </c>
      <c r="K55" s="4">
        <v>2876</v>
      </c>
      <c r="L55" s="4">
        <v>0</v>
      </c>
      <c r="M55" s="4">
        <v>0</v>
      </c>
      <c r="N55" s="4">
        <v>0</v>
      </c>
      <c r="O55" s="4">
        <v>0</v>
      </c>
      <c r="P55" s="4">
        <v>23</v>
      </c>
      <c r="Q55" s="3" t="s">
        <v>26</v>
      </c>
      <c r="R55" s="3">
        <v>0</v>
      </c>
      <c r="S55" s="4">
        <v>9</v>
      </c>
      <c r="T55" s="4">
        <v>0</v>
      </c>
      <c r="U55" s="4">
        <v>0</v>
      </c>
      <c r="V55" s="4">
        <f>IF(ISERROR(VLOOKUP($S$55,'TAR FIN'!$A$1:$O$91,15,0)),0,VLOOKUP($S$55,'TAR FIN'!$A$1:$O$91,15,0))</f>
        <v>33.97</v>
      </c>
      <c r="W55" s="4">
        <f>IF(ISERROR(VLOOKUP($T$55,'TAR FIN'!$A$1:$O$91,15,0)),0,VLOOKUP($T$55,'TAR FIN'!$A$1:$O$91,15,0))</f>
        <v>0</v>
      </c>
      <c r="X55" s="4">
        <f>IF(ISERROR(VLOOKUP($U$55,'TAR FIN'!$A$1:$O$91,15,0)),0,VLOOKUP($U$55,'TAR FIN'!$A$1:$O$91,15,0))</f>
        <v>0</v>
      </c>
      <c r="Y55" s="4">
        <f ca="1">('TUSD BE'!$AM$13+'TUSD BF_350'!$AM$13+'TUSD CVA'!$AM$13)*1</f>
        <v>32.31</v>
      </c>
      <c r="Z55" s="4"/>
      <c r="AA55" s="4"/>
      <c r="AB55" s="4">
        <f>$K$55*$V$55</f>
        <v>97697.72</v>
      </c>
      <c r="AC55" s="4">
        <f>$M$55*$W$55</f>
        <v>0</v>
      </c>
      <c r="AD55" s="4">
        <f>$O$55*$X$55</f>
        <v>0</v>
      </c>
      <c r="AE55" s="4">
        <f ca="1">$K$55*$Y$55</f>
        <v>92923.560000000012</v>
      </c>
      <c r="AF55" s="4">
        <f>$M$55*$Z$55</f>
        <v>0</v>
      </c>
      <c r="AG55" s="4">
        <f>$O$55*$AA$55</f>
        <v>0</v>
      </c>
    </row>
    <row r="56" spans="1:33" ht="11.25" customHeight="1" x14ac:dyDescent="0.3">
      <c r="A56" s="3" t="s">
        <v>28</v>
      </c>
      <c r="B56" s="3" t="s">
        <v>39</v>
      </c>
      <c r="C56" s="3" t="s">
        <v>40</v>
      </c>
      <c r="D56" s="3" t="s">
        <v>41</v>
      </c>
      <c r="E56" s="3" t="s">
        <v>25</v>
      </c>
      <c r="F56" s="3" t="s">
        <v>25</v>
      </c>
      <c r="G56" s="3" t="s">
        <v>25</v>
      </c>
      <c r="H56" s="3" t="s">
        <v>25</v>
      </c>
      <c r="I56" s="6">
        <v>44378</v>
      </c>
      <c r="J56" s="4">
        <v>54</v>
      </c>
      <c r="K56" s="4">
        <v>54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3" t="s">
        <v>26</v>
      </c>
      <c r="R56" s="3">
        <v>0</v>
      </c>
      <c r="S56" s="4">
        <v>9</v>
      </c>
      <c r="T56" s="4">
        <v>0</v>
      </c>
      <c r="U56" s="4">
        <v>0</v>
      </c>
      <c r="V56" s="4">
        <f>IF(ISERROR(VLOOKUP($S$56,'TAR FIN'!$A$1:$O$91,15,0)),0,VLOOKUP($S$56,'TAR FIN'!$A$1:$O$91,15,0))</f>
        <v>33.97</v>
      </c>
      <c r="W56" s="4">
        <f>IF(ISERROR(VLOOKUP($T$56,'TAR FIN'!$A$1:$O$91,15,0)),0,VLOOKUP($T$56,'TAR FIN'!$A$1:$O$91,15,0))</f>
        <v>0</v>
      </c>
      <c r="X56" s="4">
        <f>IF(ISERROR(VLOOKUP($U$56,'TAR FIN'!$A$1:$O$91,15,0)),0,VLOOKUP($U$56,'TAR FIN'!$A$1:$O$91,15,0))</f>
        <v>0</v>
      </c>
      <c r="Y56" s="4">
        <f ca="1">('TUSD BE'!$AM$13+'TUSD BF_350'!$AM$13+'TUSD CVA'!$AM$13)*1</f>
        <v>32.31</v>
      </c>
      <c r="Z56" s="4"/>
      <c r="AA56" s="4"/>
      <c r="AB56" s="4">
        <f>$K$56*$V$56</f>
        <v>1834.3799999999999</v>
      </c>
      <c r="AC56" s="4">
        <f>$M$56*$W$56</f>
        <v>0</v>
      </c>
      <c r="AD56" s="4">
        <f>$O$56*$X$56</f>
        <v>0</v>
      </c>
      <c r="AE56" s="4">
        <f ca="1">$K$56*$Y$56</f>
        <v>1744.7400000000002</v>
      </c>
      <c r="AF56" s="4">
        <f>$M$56*$Z$56</f>
        <v>0</v>
      </c>
      <c r="AG56" s="4">
        <f>$O$56*$AA$56</f>
        <v>0</v>
      </c>
    </row>
    <row r="57" spans="1:33" ht="11.25" customHeight="1" x14ac:dyDescent="0.3">
      <c r="A57" s="3" t="s">
        <v>21</v>
      </c>
      <c r="B57" s="3" t="s">
        <v>39</v>
      </c>
      <c r="C57" s="3" t="s">
        <v>40</v>
      </c>
      <c r="D57" s="3" t="s">
        <v>41</v>
      </c>
      <c r="E57" s="3" t="s">
        <v>25</v>
      </c>
      <c r="F57" s="3" t="s">
        <v>25</v>
      </c>
      <c r="G57" s="3" t="s">
        <v>25</v>
      </c>
      <c r="H57" s="3" t="s">
        <v>25</v>
      </c>
      <c r="I57" s="6">
        <v>44409</v>
      </c>
      <c r="J57" s="4">
        <v>2539</v>
      </c>
      <c r="K57" s="4">
        <v>2539</v>
      </c>
      <c r="L57" s="4">
        <v>0</v>
      </c>
      <c r="M57" s="4">
        <v>0</v>
      </c>
      <c r="N57" s="4">
        <v>0</v>
      </c>
      <c r="O57" s="4">
        <v>0</v>
      </c>
      <c r="P57" s="4">
        <v>22</v>
      </c>
      <c r="Q57" s="3" t="s">
        <v>26</v>
      </c>
      <c r="R57" s="3">
        <v>0</v>
      </c>
      <c r="S57" s="4">
        <v>9</v>
      </c>
      <c r="T57" s="4">
        <v>0</v>
      </c>
      <c r="U57" s="4">
        <v>0</v>
      </c>
      <c r="V57" s="4">
        <f>IF(ISERROR(VLOOKUP($S$57,'TAR FIN'!$A$1:$O$91,15,0)),0,VLOOKUP($S$57,'TAR FIN'!$A$1:$O$91,15,0))</f>
        <v>33.97</v>
      </c>
      <c r="W57" s="4">
        <f>IF(ISERROR(VLOOKUP($T$57,'TAR FIN'!$A$1:$O$91,15,0)),0,VLOOKUP($T$57,'TAR FIN'!$A$1:$O$91,15,0))</f>
        <v>0</v>
      </c>
      <c r="X57" s="4">
        <f>IF(ISERROR(VLOOKUP($U$57,'TAR FIN'!$A$1:$O$91,15,0)),0,VLOOKUP($U$57,'TAR FIN'!$A$1:$O$91,15,0))</f>
        <v>0</v>
      </c>
      <c r="Y57" s="4">
        <f ca="1">('TUSD BE'!$AM$13+'TUSD BF_350'!$AM$13+'TUSD CVA'!$AM$13)*1</f>
        <v>32.31</v>
      </c>
      <c r="Z57" s="4"/>
      <c r="AA57" s="4"/>
      <c r="AB57" s="4">
        <f>$K$57*$V$57</f>
        <v>86249.83</v>
      </c>
      <c r="AC57" s="4">
        <f>$M$57*$W$57</f>
        <v>0</v>
      </c>
      <c r="AD57" s="4">
        <f>$O$57*$X$57</f>
        <v>0</v>
      </c>
      <c r="AE57" s="4">
        <f ca="1">$K$57*$Y$57</f>
        <v>82035.090000000011</v>
      </c>
      <c r="AF57" s="4">
        <f>$M$57*$Z$57</f>
        <v>0</v>
      </c>
      <c r="AG57" s="4">
        <f>$O$57*$AA$57</f>
        <v>0</v>
      </c>
    </row>
    <row r="58" spans="1:33" ht="11.25" customHeight="1" x14ac:dyDescent="0.3">
      <c r="A58" s="3" t="s">
        <v>28</v>
      </c>
      <c r="B58" s="3" t="s">
        <v>39</v>
      </c>
      <c r="C58" s="3" t="s">
        <v>40</v>
      </c>
      <c r="D58" s="3" t="s">
        <v>41</v>
      </c>
      <c r="E58" s="3" t="s">
        <v>25</v>
      </c>
      <c r="F58" s="3" t="s">
        <v>25</v>
      </c>
      <c r="G58" s="3" t="s">
        <v>25</v>
      </c>
      <c r="H58" s="3" t="s">
        <v>25</v>
      </c>
      <c r="I58" s="6">
        <v>44409</v>
      </c>
      <c r="J58" s="4">
        <v>53</v>
      </c>
      <c r="K58" s="4">
        <v>53</v>
      </c>
      <c r="L58" s="4">
        <v>0</v>
      </c>
      <c r="M58" s="4">
        <v>0</v>
      </c>
      <c r="N58" s="4">
        <v>0</v>
      </c>
      <c r="O58" s="4">
        <v>0</v>
      </c>
      <c r="P58" s="4">
        <v>1</v>
      </c>
      <c r="Q58" s="3" t="s">
        <v>26</v>
      </c>
      <c r="R58" s="3">
        <v>0</v>
      </c>
      <c r="S58" s="4">
        <v>9</v>
      </c>
      <c r="T58" s="4">
        <v>0</v>
      </c>
      <c r="U58" s="4">
        <v>0</v>
      </c>
      <c r="V58" s="4">
        <f>IF(ISERROR(VLOOKUP($S$58,'TAR FIN'!$A$1:$O$91,15,0)),0,VLOOKUP($S$58,'TAR FIN'!$A$1:$O$91,15,0))</f>
        <v>33.97</v>
      </c>
      <c r="W58" s="4">
        <f>IF(ISERROR(VLOOKUP($T$58,'TAR FIN'!$A$1:$O$91,15,0)),0,VLOOKUP($T$58,'TAR FIN'!$A$1:$O$91,15,0))</f>
        <v>0</v>
      </c>
      <c r="X58" s="4">
        <f>IF(ISERROR(VLOOKUP($U$58,'TAR FIN'!$A$1:$O$91,15,0)),0,VLOOKUP($U$58,'TAR FIN'!$A$1:$O$91,15,0))</f>
        <v>0</v>
      </c>
      <c r="Y58" s="4">
        <f ca="1">('TUSD BE'!$AM$13+'TUSD BF_350'!$AM$13+'TUSD CVA'!$AM$13)*1</f>
        <v>32.31</v>
      </c>
      <c r="Z58" s="4"/>
      <c r="AA58" s="4"/>
      <c r="AB58" s="4">
        <f>$K$58*$V$58</f>
        <v>1800.4099999999999</v>
      </c>
      <c r="AC58" s="4">
        <f>$M$58*$W$58</f>
        <v>0</v>
      </c>
      <c r="AD58" s="4">
        <f>$O$58*$X$58</f>
        <v>0</v>
      </c>
      <c r="AE58" s="4">
        <f ca="1">$K$58*$Y$58</f>
        <v>1712.43</v>
      </c>
      <c r="AF58" s="4">
        <f>$M$58*$Z$58</f>
        <v>0</v>
      </c>
      <c r="AG58" s="4">
        <f>$O$58*$AA$58</f>
        <v>0</v>
      </c>
    </row>
    <row r="59" spans="1:33" ht="11.25" customHeight="1" x14ac:dyDescent="0.3">
      <c r="A59" s="3" t="s">
        <v>21</v>
      </c>
      <c r="B59" s="3" t="s">
        <v>39</v>
      </c>
      <c r="C59" s="3" t="s">
        <v>40</v>
      </c>
      <c r="D59" s="3" t="s">
        <v>41</v>
      </c>
      <c r="E59" s="3" t="s">
        <v>25</v>
      </c>
      <c r="F59" s="3" t="s">
        <v>25</v>
      </c>
      <c r="G59" s="3" t="s">
        <v>25</v>
      </c>
      <c r="H59" s="3" t="s">
        <v>25</v>
      </c>
      <c r="I59" s="6">
        <v>44440</v>
      </c>
      <c r="J59" s="4">
        <v>2605</v>
      </c>
      <c r="K59" s="4">
        <v>2605</v>
      </c>
      <c r="L59" s="4">
        <v>0</v>
      </c>
      <c r="M59" s="4">
        <v>0</v>
      </c>
      <c r="N59" s="4">
        <v>0</v>
      </c>
      <c r="O59" s="4">
        <v>0</v>
      </c>
      <c r="P59" s="4">
        <v>22</v>
      </c>
      <c r="Q59" s="3" t="s">
        <v>26</v>
      </c>
      <c r="R59" s="3">
        <v>0</v>
      </c>
      <c r="S59" s="4">
        <v>9</v>
      </c>
      <c r="T59" s="4">
        <v>0</v>
      </c>
      <c r="U59" s="4">
        <v>0</v>
      </c>
      <c r="V59" s="4">
        <f>IF(ISERROR(VLOOKUP($S$59,'TAR FIN'!$A$1:$O$91,15,0)),0,VLOOKUP($S$59,'TAR FIN'!$A$1:$O$91,15,0))</f>
        <v>33.97</v>
      </c>
      <c r="W59" s="4">
        <f>IF(ISERROR(VLOOKUP($T$59,'TAR FIN'!$A$1:$O$91,15,0)),0,VLOOKUP($T$59,'TAR FIN'!$A$1:$O$91,15,0))</f>
        <v>0</v>
      </c>
      <c r="X59" s="4">
        <f>IF(ISERROR(VLOOKUP($U$59,'TAR FIN'!$A$1:$O$91,15,0)),0,VLOOKUP($U$59,'TAR FIN'!$A$1:$O$91,15,0))</f>
        <v>0</v>
      </c>
      <c r="Y59" s="4">
        <f ca="1">('TUSD BE'!$AM$13+'TUSD BF_350'!$AM$13+'TUSD CVA'!$AM$13)*1</f>
        <v>32.31</v>
      </c>
      <c r="Z59" s="4"/>
      <c r="AA59" s="4"/>
      <c r="AB59" s="4">
        <f>$K$59*$V$59</f>
        <v>88491.849999999991</v>
      </c>
      <c r="AC59" s="4">
        <f>$M$59*$W$59</f>
        <v>0</v>
      </c>
      <c r="AD59" s="4">
        <f>$O$59*$X$59</f>
        <v>0</v>
      </c>
      <c r="AE59" s="4">
        <f ca="1">$K$59*$Y$59</f>
        <v>84167.55</v>
      </c>
      <c r="AF59" s="4">
        <f>$M$59*$Z$59</f>
        <v>0</v>
      </c>
      <c r="AG59" s="4">
        <f>$O$59*$AA$59</f>
        <v>0</v>
      </c>
    </row>
    <row r="60" spans="1:33" ht="11.25" customHeight="1" x14ac:dyDescent="0.3">
      <c r="A60" s="3" t="s">
        <v>28</v>
      </c>
      <c r="B60" s="3" t="s">
        <v>39</v>
      </c>
      <c r="C60" s="3" t="s">
        <v>40</v>
      </c>
      <c r="D60" s="3" t="s">
        <v>41</v>
      </c>
      <c r="E60" s="3" t="s">
        <v>25</v>
      </c>
      <c r="F60" s="3" t="s">
        <v>25</v>
      </c>
      <c r="G60" s="3" t="s">
        <v>25</v>
      </c>
      <c r="H60" s="3" t="s">
        <v>25</v>
      </c>
      <c r="I60" s="6">
        <v>44440</v>
      </c>
      <c r="J60" s="4">
        <v>31</v>
      </c>
      <c r="K60" s="4">
        <v>31</v>
      </c>
      <c r="L60" s="4">
        <v>0</v>
      </c>
      <c r="M60" s="4">
        <v>0</v>
      </c>
      <c r="N60" s="4">
        <v>0</v>
      </c>
      <c r="O60" s="4">
        <v>0</v>
      </c>
      <c r="P60" s="4">
        <v>1</v>
      </c>
      <c r="Q60" s="3" t="s">
        <v>26</v>
      </c>
      <c r="R60" s="3">
        <v>0</v>
      </c>
      <c r="S60" s="4">
        <v>9</v>
      </c>
      <c r="T60" s="4">
        <v>0</v>
      </c>
      <c r="U60" s="4">
        <v>0</v>
      </c>
      <c r="V60" s="4">
        <f>IF(ISERROR(VLOOKUP($S$60,'TAR FIN'!$A$1:$O$91,15,0)),0,VLOOKUP($S$60,'TAR FIN'!$A$1:$O$91,15,0))</f>
        <v>33.97</v>
      </c>
      <c r="W60" s="4">
        <f>IF(ISERROR(VLOOKUP($T$60,'TAR FIN'!$A$1:$O$91,15,0)),0,VLOOKUP($T$60,'TAR FIN'!$A$1:$O$91,15,0))</f>
        <v>0</v>
      </c>
      <c r="X60" s="4">
        <f>IF(ISERROR(VLOOKUP($U$60,'TAR FIN'!$A$1:$O$91,15,0)),0,VLOOKUP($U$60,'TAR FIN'!$A$1:$O$91,15,0))</f>
        <v>0</v>
      </c>
      <c r="Y60" s="4">
        <f ca="1">('TUSD BE'!$AM$13+'TUSD BF_350'!$AM$13+'TUSD CVA'!$AM$13)*1</f>
        <v>32.31</v>
      </c>
      <c r="Z60" s="4"/>
      <c r="AA60" s="4"/>
      <c r="AB60" s="4">
        <f>$K$60*$V$60</f>
        <v>1053.07</v>
      </c>
      <c r="AC60" s="4">
        <f>$M$60*$W$60</f>
        <v>0</v>
      </c>
      <c r="AD60" s="4">
        <f>$O$60*$X$60</f>
        <v>0</v>
      </c>
      <c r="AE60" s="4">
        <f ca="1">$K$60*$Y$60</f>
        <v>1001.6100000000001</v>
      </c>
      <c r="AF60" s="4">
        <f>$M$60*$Z$60</f>
        <v>0</v>
      </c>
      <c r="AG60" s="4">
        <f>$O$60*$AA$60</f>
        <v>0</v>
      </c>
    </row>
    <row r="61" spans="1:33" ht="11.25" customHeight="1" x14ac:dyDescent="0.3">
      <c r="A61" s="3" t="s">
        <v>21</v>
      </c>
      <c r="B61" s="3" t="s">
        <v>39</v>
      </c>
      <c r="C61" s="3" t="s">
        <v>40</v>
      </c>
      <c r="D61" s="3" t="s">
        <v>41</v>
      </c>
      <c r="E61" s="3" t="s">
        <v>25</v>
      </c>
      <c r="F61" s="3" t="s">
        <v>25</v>
      </c>
      <c r="G61" s="3" t="s">
        <v>25</v>
      </c>
      <c r="H61" s="3" t="s">
        <v>25</v>
      </c>
      <c r="I61" s="6">
        <v>44470</v>
      </c>
      <c r="J61" s="4">
        <v>2778</v>
      </c>
      <c r="K61" s="4">
        <v>2778</v>
      </c>
      <c r="L61" s="4">
        <v>0</v>
      </c>
      <c r="M61" s="4">
        <v>0</v>
      </c>
      <c r="N61" s="4">
        <v>0</v>
      </c>
      <c r="O61" s="4">
        <v>0</v>
      </c>
      <c r="P61" s="4">
        <v>22</v>
      </c>
      <c r="Q61" s="3" t="s">
        <v>26</v>
      </c>
      <c r="R61" s="3">
        <v>0</v>
      </c>
      <c r="S61" s="4">
        <v>9</v>
      </c>
      <c r="T61" s="4">
        <v>0</v>
      </c>
      <c r="U61" s="4">
        <v>0</v>
      </c>
      <c r="V61" s="4">
        <f>IF(ISERROR(VLOOKUP($S$61,'TAR FIN'!$A$1:$O$91,15,0)),0,VLOOKUP($S$61,'TAR FIN'!$A$1:$O$91,15,0))</f>
        <v>33.97</v>
      </c>
      <c r="W61" s="4">
        <f>IF(ISERROR(VLOOKUP($T$61,'TAR FIN'!$A$1:$O$91,15,0)),0,VLOOKUP($T$61,'TAR FIN'!$A$1:$O$91,15,0))</f>
        <v>0</v>
      </c>
      <c r="X61" s="4">
        <f>IF(ISERROR(VLOOKUP($U$61,'TAR FIN'!$A$1:$O$91,15,0)),0,VLOOKUP($U$61,'TAR FIN'!$A$1:$O$91,15,0))</f>
        <v>0</v>
      </c>
      <c r="Y61" s="4">
        <f ca="1">('TUSD BE'!$AM$13+'TUSD BF_350'!$AM$13+'TUSD CVA'!$AM$13)*1</f>
        <v>32.31</v>
      </c>
      <c r="Z61" s="4"/>
      <c r="AA61" s="4"/>
      <c r="AB61" s="4">
        <f>$K$61*$V$61</f>
        <v>94368.66</v>
      </c>
      <c r="AC61" s="4">
        <f>$M$61*$W$61</f>
        <v>0</v>
      </c>
      <c r="AD61" s="4">
        <f>$O$61*$X$61</f>
        <v>0</v>
      </c>
      <c r="AE61" s="4">
        <f ca="1">$K$61*$Y$61</f>
        <v>89757.180000000008</v>
      </c>
      <c r="AF61" s="4">
        <f>$M$61*$Z$61</f>
        <v>0</v>
      </c>
      <c r="AG61" s="4">
        <f>$O$61*$AA$61</f>
        <v>0</v>
      </c>
    </row>
    <row r="62" spans="1:33" ht="11.25" customHeight="1" x14ac:dyDescent="0.3">
      <c r="A62" s="3" t="s">
        <v>28</v>
      </c>
      <c r="B62" s="3" t="s">
        <v>39</v>
      </c>
      <c r="C62" s="3" t="s">
        <v>40</v>
      </c>
      <c r="D62" s="3" t="s">
        <v>41</v>
      </c>
      <c r="E62" s="3" t="s">
        <v>25</v>
      </c>
      <c r="F62" s="3" t="s">
        <v>25</v>
      </c>
      <c r="G62" s="3" t="s">
        <v>25</v>
      </c>
      <c r="H62" s="3" t="s">
        <v>25</v>
      </c>
      <c r="I62" s="6">
        <v>44470</v>
      </c>
      <c r="J62" s="4">
        <v>30</v>
      </c>
      <c r="K62" s="4">
        <v>30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3" t="s">
        <v>26</v>
      </c>
      <c r="R62" s="3">
        <v>0</v>
      </c>
      <c r="S62" s="4">
        <v>9</v>
      </c>
      <c r="T62" s="4">
        <v>0</v>
      </c>
      <c r="U62" s="4">
        <v>0</v>
      </c>
      <c r="V62" s="4">
        <f>IF(ISERROR(VLOOKUP($S$62,'TAR FIN'!$A$1:$O$91,15,0)),0,VLOOKUP($S$62,'TAR FIN'!$A$1:$O$91,15,0))</f>
        <v>33.97</v>
      </c>
      <c r="W62" s="4">
        <f>IF(ISERROR(VLOOKUP($T$62,'TAR FIN'!$A$1:$O$91,15,0)),0,VLOOKUP($T$62,'TAR FIN'!$A$1:$O$91,15,0))</f>
        <v>0</v>
      </c>
      <c r="X62" s="4">
        <f>IF(ISERROR(VLOOKUP($U$62,'TAR FIN'!$A$1:$O$91,15,0)),0,VLOOKUP($U$62,'TAR FIN'!$A$1:$O$91,15,0))</f>
        <v>0</v>
      </c>
      <c r="Y62" s="4">
        <f ca="1">('TUSD BE'!$AM$13+'TUSD BF_350'!$AM$13+'TUSD CVA'!$AM$13)*1</f>
        <v>32.31</v>
      </c>
      <c r="Z62" s="4"/>
      <c r="AA62" s="4"/>
      <c r="AB62" s="4">
        <f>$K$62*$V$62</f>
        <v>1019.0999999999999</v>
      </c>
      <c r="AC62" s="4">
        <f>$M$62*$W$62</f>
        <v>0</v>
      </c>
      <c r="AD62" s="4">
        <f>$O$62*$X$62</f>
        <v>0</v>
      </c>
      <c r="AE62" s="4">
        <f ca="1">$K$62*$Y$62</f>
        <v>969.30000000000007</v>
      </c>
      <c r="AF62" s="4">
        <f>$M$62*$Z$62</f>
        <v>0</v>
      </c>
      <c r="AG62" s="4">
        <f>$O$62*$AA$62</f>
        <v>0</v>
      </c>
    </row>
    <row r="63" spans="1:33" ht="11.25" customHeight="1" x14ac:dyDescent="0.3">
      <c r="A63" s="3" t="s">
        <v>21</v>
      </c>
      <c r="B63" s="3" t="s">
        <v>39</v>
      </c>
      <c r="C63" s="3" t="s">
        <v>40</v>
      </c>
      <c r="D63" s="3" t="s">
        <v>41</v>
      </c>
      <c r="E63" s="3" t="s">
        <v>25</v>
      </c>
      <c r="F63" s="3" t="s">
        <v>25</v>
      </c>
      <c r="G63" s="3" t="s">
        <v>25</v>
      </c>
      <c r="H63" s="3" t="s">
        <v>25</v>
      </c>
      <c r="I63" s="6">
        <v>44501</v>
      </c>
      <c r="J63" s="4">
        <v>2850</v>
      </c>
      <c r="K63" s="4">
        <v>2850</v>
      </c>
      <c r="L63" s="4">
        <v>0</v>
      </c>
      <c r="M63" s="4">
        <v>0</v>
      </c>
      <c r="N63" s="4">
        <v>0</v>
      </c>
      <c r="O63" s="4">
        <v>0</v>
      </c>
      <c r="P63" s="4">
        <v>22</v>
      </c>
      <c r="Q63" s="3" t="s">
        <v>26</v>
      </c>
      <c r="R63" s="3">
        <v>0</v>
      </c>
      <c r="S63" s="4">
        <v>9</v>
      </c>
      <c r="T63" s="4">
        <v>0</v>
      </c>
      <c r="U63" s="4">
        <v>0</v>
      </c>
      <c r="V63" s="4">
        <f>IF(ISERROR(VLOOKUP($S$63,'TAR FIN'!$A$1:$O$91,15,0)),0,VLOOKUP($S$63,'TAR FIN'!$A$1:$O$91,15,0))</f>
        <v>33.97</v>
      </c>
      <c r="W63" s="4">
        <f>IF(ISERROR(VLOOKUP($T$63,'TAR FIN'!$A$1:$O$91,15,0)),0,VLOOKUP($T$63,'TAR FIN'!$A$1:$O$91,15,0))</f>
        <v>0</v>
      </c>
      <c r="X63" s="4">
        <f>IF(ISERROR(VLOOKUP($U$63,'TAR FIN'!$A$1:$O$91,15,0)),0,VLOOKUP($U$63,'TAR FIN'!$A$1:$O$91,15,0))</f>
        <v>0</v>
      </c>
      <c r="Y63" s="4">
        <f ca="1">('TUSD BE'!$AM$13+'TUSD BF_350'!$AM$13+'TUSD CVA'!$AM$13)*1</f>
        <v>32.31</v>
      </c>
      <c r="Z63" s="4"/>
      <c r="AA63" s="4"/>
      <c r="AB63" s="4">
        <f>$K$63*$V$63</f>
        <v>96814.5</v>
      </c>
      <c r="AC63" s="4">
        <f>$M$63*$W$63</f>
        <v>0</v>
      </c>
      <c r="AD63" s="4">
        <f>$O$63*$X$63</f>
        <v>0</v>
      </c>
      <c r="AE63" s="4">
        <f ca="1">$K$63*$Y$63</f>
        <v>92083.5</v>
      </c>
      <c r="AF63" s="4">
        <f>$M$63*$Z$63</f>
        <v>0</v>
      </c>
      <c r="AG63" s="4">
        <f>$O$63*$AA$63</f>
        <v>0</v>
      </c>
    </row>
    <row r="64" spans="1:33" ht="11.25" customHeight="1" x14ac:dyDescent="0.3">
      <c r="A64" s="3" t="s">
        <v>28</v>
      </c>
      <c r="B64" s="3" t="s">
        <v>39</v>
      </c>
      <c r="C64" s="3" t="s">
        <v>40</v>
      </c>
      <c r="D64" s="3" t="s">
        <v>41</v>
      </c>
      <c r="E64" s="3" t="s">
        <v>25</v>
      </c>
      <c r="F64" s="3" t="s">
        <v>25</v>
      </c>
      <c r="G64" s="3" t="s">
        <v>25</v>
      </c>
      <c r="H64" s="3" t="s">
        <v>25</v>
      </c>
      <c r="I64" s="6">
        <v>44501</v>
      </c>
      <c r="J64" s="4">
        <v>35</v>
      </c>
      <c r="K64" s="4">
        <v>35</v>
      </c>
      <c r="L64" s="4">
        <v>0</v>
      </c>
      <c r="M64" s="4">
        <v>0</v>
      </c>
      <c r="N64" s="4">
        <v>0</v>
      </c>
      <c r="O64" s="4">
        <v>0</v>
      </c>
      <c r="P64" s="4">
        <v>1</v>
      </c>
      <c r="Q64" s="3" t="s">
        <v>26</v>
      </c>
      <c r="R64" s="3">
        <v>0</v>
      </c>
      <c r="S64" s="4">
        <v>9</v>
      </c>
      <c r="T64" s="4">
        <v>0</v>
      </c>
      <c r="U64" s="4">
        <v>0</v>
      </c>
      <c r="V64" s="4">
        <f>IF(ISERROR(VLOOKUP($S$64,'TAR FIN'!$A$1:$O$91,15,0)),0,VLOOKUP($S$64,'TAR FIN'!$A$1:$O$91,15,0))</f>
        <v>33.97</v>
      </c>
      <c r="W64" s="4">
        <f>IF(ISERROR(VLOOKUP($T$64,'TAR FIN'!$A$1:$O$91,15,0)),0,VLOOKUP($T$64,'TAR FIN'!$A$1:$O$91,15,0))</f>
        <v>0</v>
      </c>
      <c r="X64" s="4">
        <f>IF(ISERROR(VLOOKUP($U$64,'TAR FIN'!$A$1:$O$91,15,0)),0,VLOOKUP($U$64,'TAR FIN'!$A$1:$O$91,15,0))</f>
        <v>0</v>
      </c>
      <c r="Y64" s="4">
        <f ca="1">('TUSD BE'!$AM$13+'TUSD BF_350'!$AM$13+'TUSD CVA'!$AM$13)*1</f>
        <v>32.31</v>
      </c>
      <c r="Z64" s="4"/>
      <c r="AA64" s="4"/>
      <c r="AB64" s="4">
        <f>$K$64*$V$64</f>
        <v>1188.95</v>
      </c>
      <c r="AC64" s="4">
        <f>$M$64*$W$64</f>
        <v>0</v>
      </c>
      <c r="AD64" s="4">
        <f>$O$64*$X$64</f>
        <v>0</v>
      </c>
      <c r="AE64" s="4">
        <f ca="1">$K$64*$Y$64</f>
        <v>1130.8500000000001</v>
      </c>
      <c r="AF64" s="4">
        <f>$M$64*$Z$64</f>
        <v>0</v>
      </c>
      <c r="AG64" s="4">
        <f>$O$64*$AA$64</f>
        <v>0</v>
      </c>
    </row>
    <row r="65" spans="1:33" ht="11.25" customHeight="1" x14ac:dyDescent="0.3">
      <c r="A65" s="3" t="s">
        <v>21</v>
      </c>
      <c r="B65" s="3" t="s">
        <v>39</v>
      </c>
      <c r="C65" s="3" t="s">
        <v>40</v>
      </c>
      <c r="D65" s="3" t="s">
        <v>41</v>
      </c>
      <c r="E65" s="3" t="s">
        <v>25</v>
      </c>
      <c r="F65" s="3" t="s">
        <v>25</v>
      </c>
      <c r="G65" s="3" t="s">
        <v>25</v>
      </c>
      <c r="H65" s="3" t="s">
        <v>25</v>
      </c>
      <c r="I65" s="6">
        <v>44531</v>
      </c>
      <c r="J65" s="4">
        <v>3018</v>
      </c>
      <c r="K65" s="4">
        <v>3018</v>
      </c>
      <c r="L65" s="4">
        <v>0</v>
      </c>
      <c r="M65" s="4">
        <v>0</v>
      </c>
      <c r="N65" s="4">
        <v>0</v>
      </c>
      <c r="O65" s="4">
        <v>0</v>
      </c>
      <c r="P65" s="4">
        <v>22</v>
      </c>
      <c r="Q65" s="3" t="s">
        <v>26</v>
      </c>
      <c r="R65" s="3">
        <v>0</v>
      </c>
      <c r="S65" s="4">
        <v>9</v>
      </c>
      <c r="T65" s="4">
        <v>0</v>
      </c>
      <c r="U65" s="4">
        <v>0</v>
      </c>
      <c r="V65" s="4">
        <f>IF(ISERROR(VLOOKUP($S$65,'TAR FIN'!$A$1:$O$91,15,0)),0,VLOOKUP($S$65,'TAR FIN'!$A$1:$O$91,15,0))</f>
        <v>33.97</v>
      </c>
      <c r="W65" s="4">
        <f>IF(ISERROR(VLOOKUP($T$65,'TAR FIN'!$A$1:$O$91,15,0)),0,VLOOKUP($T$65,'TAR FIN'!$A$1:$O$91,15,0))</f>
        <v>0</v>
      </c>
      <c r="X65" s="4">
        <f>IF(ISERROR(VLOOKUP($U$65,'TAR FIN'!$A$1:$O$91,15,0)),0,VLOOKUP($U$65,'TAR FIN'!$A$1:$O$91,15,0))</f>
        <v>0</v>
      </c>
      <c r="Y65" s="4">
        <f ca="1">('TUSD BE'!$AM$13+'TUSD BF_350'!$AM$13+'TUSD CVA'!$AM$13)*1</f>
        <v>32.31</v>
      </c>
      <c r="Z65" s="4"/>
      <c r="AA65" s="4"/>
      <c r="AB65" s="4">
        <f>$K$65*$V$65</f>
        <v>102521.45999999999</v>
      </c>
      <c r="AC65" s="4">
        <f>$M$65*$W$65</f>
        <v>0</v>
      </c>
      <c r="AD65" s="4">
        <f>$O$65*$X$65</f>
        <v>0</v>
      </c>
      <c r="AE65" s="4">
        <f ca="1">$K$65*$Y$65</f>
        <v>97511.58</v>
      </c>
      <c r="AF65" s="4">
        <f>$M$65*$Z$65</f>
        <v>0</v>
      </c>
      <c r="AG65" s="4">
        <f>$O$65*$AA$65</f>
        <v>0</v>
      </c>
    </row>
    <row r="66" spans="1:33" ht="11.25" customHeight="1" x14ac:dyDescent="0.3">
      <c r="A66" s="3" t="s">
        <v>28</v>
      </c>
      <c r="B66" s="3" t="s">
        <v>39</v>
      </c>
      <c r="C66" s="3" t="s">
        <v>40</v>
      </c>
      <c r="D66" s="3" t="s">
        <v>41</v>
      </c>
      <c r="E66" s="3" t="s">
        <v>25</v>
      </c>
      <c r="F66" s="3" t="s">
        <v>25</v>
      </c>
      <c r="G66" s="3" t="s">
        <v>25</v>
      </c>
      <c r="H66" s="3" t="s">
        <v>25</v>
      </c>
      <c r="I66" s="6">
        <v>44531</v>
      </c>
      <c r="J66" s="4">
        <v>31</v>
      </c>
      <c r="K66" s="4">
        <v>31</v>
      </c>
      <c r="L66" s="4">
        <v>0</v>
      </c>
      <c r="M66" s="4">
        <v>0</v>
      </c>
      <c r="N66" s="4">
        <v>0</v>
      </c>
      <c r="O66" s="4">
        <v>0</v>
      </c>
      <c r="P66" s="4">
        <v>1</v>
      </c>
      <c r="Q66" s="3" t="s">
        <v>26</v>
      </c>
      <c r="R66" s="3">
        <v>0</v>
      </c>
      <c r="S66" s="4">
        <v>9</v>
      </c>
      <c r="T66" s="4">
        <v>0</v>
      </c>
      <c r="U66" s="4">
        <v>0</v>
      </c>
      <c r="V66" s="4">
        <f>IF(ISERROR(VLOOKUP($S$66,'TAR FIN'!$A$1:$O$91,15,0)),0,VLOOKUP($S$66,'TAR FIN'!$A$1:$O$91,15,0))</f>
        <v>33.97</v>
      </c>
      <c r="W66" s="4">
        <f>IF(ISERROR(VLOOKUP($T$66,'TAR FIN'!$A$1:$O$91,15,0)),0,VLOOKUP($T$66,'TAR FIN'!$A$1:$O$91,15,0))</f>
        <v>0</v>
      </c>
      <c r="X66" s="4">
        <f>IF(ISERROR(VLOOKUP($U$66,'TAR FIN'!$A$1:$O$91,15,0)),0,VLOOKUP($U$66,'TAR FIN'!$A$1:$O$91,15,0))</f>
        <v>0</v>
      </c>
      <c r="Y66" s="4">
        <f ca="1">('TUSD BE'!$AM$13+'TUSD BF_350'!$AM$13+'TUSD CVA'!$AM$13)*1</f>
        <v>32.31</v>
      </c>
      <c r="Z66" s="4"/>
      <c r="AA66" s="4"/>
      <c r="AB66" s="4">
        <f>$K$66*$V$66</f>
        <v>1053.07</v>
      </c>
      <c r="AC66" s="4">
        <f>$M$66*$W$66</f>
        <v>0</v>
      </c>
      <c r="AD66" s="4">
        <f>$O$66*$X$66</f>
        <v>0</v>
      </c>
      <c r="AE66" s="4">
        <f ca="1">$K$66*$Y$66</f>
        <v>1001.6100000000001</v>
      </c>
      <c r="AF66" s="4">
        <f>$M$66*$Z$66</f>
        <v>0</v>
      </c>
      <c r="AG66" s="4">
        <f>$O$66*$AA$66</f>
        <v>0</v>
      </c>
    </row>
    <row r="67" spans="1:33" ht="11.25" customHeight="1" x14ac:dyDescent="0.3">
      <c r="A67" s="3" t="s">
        <v>21</v>
      </c>
      <c r="B67" s="3" t="s">
        <v>39</v>
      </c>
      <c r="C67" s="3" t="s">
        <v>40</v>
      </c>
      <c r="D67" s="3" t="s">
        <v>41</v>
      </c>
      <c r="E67" s="3" t="s">
        <v>25</v>
      </c>
      <c r="F67" s="3" t="s">
        <v>25</v>
      </c>
      <c r="G67" s="3" t="s">
        <v>25</v>
      </c>
      <c r="H67" s="3" t="s">
        <v>25</v>
      </c>
      <c r="I67" s="6">
        <v>44562</v>
      </c>
      <c r="J67" s="4">
        <v>3076</v>
      </c>
      <c r="K67" s="4">
        <v>3076</v>
      </c>
      <c r="L67" s="4">
        <v>0</v>
      </c>
      <c r="M67" s="4">
        <v>0</v>
      </c>
      <c r="N67" s="4">
        <v>0</v>
      </c>
      <c r="O67" s="4">
        <v>0</v>
      </c>
      <c r="P67" s="4">
        <v>22</v>
      </c>
      <c r="Q67" s="3" t="s">
        <v>26</v>
      </c>
      <c r="R67" s="3">
        <v>0</v>
      </c>
      <c r="S67" s="4">
        <v>9</v>
      </c>
      <c r="T67" s="4">
        <v>0</v>
      </c>
      <c r="U67" s="4">
        <v>0</v>
      </c>
      <c r="V67" s="4">
        <f>IF(ISERROR(VLOOKUP($S$67,'TAR FIN'!$A$1:$O$91,15,0)),0,VLOOKUP($S$67,'TAR FIN'!$A$1:$O$91,15,0))</f>
        <v>33.97</v>
      </c>
      <c r="W67" s="4">
        <f>IF(ISERROR(VLOOKUP($T$67,'TAR FIN'!$A$1:$O$91,15,0)),0,VLOOKUP($T$67,'TAR FIN'!$A$1:$O$91,15,0))</f>
        <v>0</v>
      </c>
      <c r="X67" s="4">
        <f>IF(ISERROR(VLOOKUP($U$67,'TAR FIN'!$A$1:$O$91,15,0)),0,VLOOKUP($U$67,'TAR FIN'!$A$1:$O$91,15,0))</f>
        <v>0</v>
      </c>
      <c r="Y67" s="4">
        <f ca="1">('TUSD BE'!$AM$13+'TUSD BF_350'!$AM$13+'TUSD CVA'!$AM$13)*1</f>
        <v>32.31</v>
      </c>
      <c r="Z67" s="4"/>
      <c r="AA67" s="4"/>
      <c r="AB67" s="4">
        <f>$K$67*$V$67</f>
        <v>104491.72</v>
      </c>
      <c r="AC67" s="4">
        <f>$M$67*$W$67</f>
        <v>0</v>
      </c>
      <c r="AD67" s="4">
        <f>$O$67*$X$67</f>
        <v>0</v>
      </c>
      <c r="AE67" s="4">
        <f ca="1">$K$67*$Y$67</f>
        <v>99385.560000000012</v>
      </c>
      <c r="AF67" s="4">
        <f>$M$67*$Z$67</f>
        <v>0</v>
      </c>
      <c r="AG67" s="4">
        <f>$O$67*$AA$67</f>
        <v>0</v>
      </c>
    </row>
    <row r="68" spans="1:33" ht="11.25" customHeight="1" x14ac:dyDescent="0.3">
      <c r="A68" s="3" t="s">
        <v>28</v>
      </c>
      <c r="B68" s="3" t="s">
        <v>39</v>
      </c>
      <c r="C68" s="3" t="s">
        <v>40</v>
      </c>
      <c r="D68" s="3" t="s">
        <v>41</v>
      </c>
      <c r="E68" s="3" t="s">
        <v>25</v>
      </c>
      <c r="F68" s="3" t="s">
        <v>25</v>
      </c>
      <c r="G68" s="3" t="s">
        <v>25</v>
      </c>
      <c r="H68" s="3" t="s">
        <v>25</v>
      </c>
      <c r="I68" s="6">
        <v>44562</v>
      </c>
      <c r="J68" s="4">
        <v>40</v>
      </c>
      <c r="K68" s="4">
        <v>40</v>
      </c>
      <c r="L68" s="4">
        <v>0</v>
      </c>
      <c r="M68" s="4">
        <v>0</v>
      </c>
      <c r="N68" s="4">
        <v>0</v>
      </c>
      <c r="O68" s="4">
        <v>0</v>
      </c>
      <c r="P68" s="4">
        <v>1</v>
      </c>
      <c r="Q68" s="3" t="s">
        <v>26</v>
      </c>
      <c r="R68" s="3">
        <v>0</v>
      </c>
      <c r="S68" s="4">
        <v>9</v>
      </c>
      <c r="T68" s="4">
        <v>0</v>
      </c>
      <c r="U68" s="4">
        <v>0</v>
      </c>
      <c r="V68" s="4">
        <f>IF(ISERROR(VLOOKUP($S$68,'TAR FIN'!$A$1:$O$91,15,0)),0,VLOOKUP($S$68,'TAR FIN'!$A$1:$O$91,15,0))</f>
        <v>33.97</v>
      </c>
      <c r="W68" s="4">
        <f>IF(ISERROR(VLOOKUP($T$68,'TAR FIN'!$A$1:$O$91,15,0)),0,VLOOKUP($T$68,'TAR FIN'!$A$1:$O$91,15,0))</f>
        <v>0</v>
      </c>
      <c r="X68" s="4">
        <f>IF(ISERROR(VLOOKUP($U$68,'TAR FIN'!$A$1:$O$91,15,0)),0,VLOOKUP($U$68,'TAR FIN'!$A$1:$O$91,15,0))</f>
        <v>0</v>
      </c>
      <c r="Y68" s="4">
        <f ca="1">('TUSD BE'!$AM$13+'TUSD BF_350'!$AM$13+'TUSD CVA'!$AM$13)*1</f>
        <v>32.31</v>
      </c>
      <c r="Z68" s="4"/>
      <c r="AA68" s="4"/>
      <c r="AB68" s="4">
        <f>$K$68*$V$68</f>
        <v>1358.8</v>
      </c>
      <c r="AC68" s="4">
        <f>$M$68*$W$68</f>
        <v>0</v>
      </c>
      <c r="AD68" s="4">
        <f>$O$68*$X$68</f>
        <v>0</v>
      </c>
      <c r="AE68" s="4">
        <f ca="1">$K$68*$Y$68</f>
        <v>1292.4000000000001</v>
      </c>
      <c r="AF68" s="4">
        <f>$M$68*$Z$68</f>
        <v>0</v>
      </c>
      <c r="AG68" s="4">
        <f>$O$68*$AA$68</f>
        <v>0</v>
      </c>
    </row>
    <row r="69" spans="1:33" ht="11.25" customHeight="1" x14ac:dyDescent="0.3">
      <c r="A69" s="3" t="s">
        <v>21</v>
      </c>
      <c r="B69" s="3" t="s">
        <v>39</v>
      </c>
      <c r="C69" s="3" t="s">
        <v>40</v>
      </c>
      <c r="D69" s="3" t="s">
        <v>41</v>
      </c>
      <c r="E69" s="3" t="s">
        <v>25</v>
      </c>
      <c r="F69" s="3" t="s">
        <v>25</v>
      </c>
      <c r="G69" s="3" t="s">
        <v>25</v>
      </c>
      <c r="H69" s="3" t="s">
        <v>25</v>
      </c>
      <c r="I69" s="6">
        <v>44593</v>
      </c>
      <c r="J69" s="4">
        <v>3078</v>
      </c>
      <c r="K69" s="4">
        <v>3078</v>
      </c>
      <c r="L69" s="4">
        <v>0</v>
      </c>
      <c r="M69" s="4">
        <v>0</v>
      </c>
      <c r="N69" s="4">
        <v>0</v>
      </c>
      <c r="O69" s="4">
        <v>0</v>
      </c>
      <c r="P69" s="4">
        <v>21</v>
      </c>
      <c r="Q69" s="3" t="s">
        <v>26</v>
      </c>
      <c r="R69" s="3">
        <v>0</v>
      </c>
      <c r="S69" s="4">
        <v>9</v>
      </c>
      <c r="T69" s="4">
        <v>0</v>
      </c>
      <c r="U69" s="4">
        <v>0</v>
      </c>
      <c r="V69" s="4">
        <f>IF(ISERROR(VLOOKUP($S$69,'TAR FIN'!$A$1:$O$91,15,0)),0,VLOOKUP($S$69,'TAR FIN'!$A$1:$O$91,15,0))</f>
        <v>33.97</v>
      </c>
      <c r="W69" s="4">
        <f>IF(ISERROR(VLOOKUP($T$69,'TAR FIN'!$A$1:$O$91,15,0)),0,VLOOKUP($T$69,'TAR FIN'!$A$1:$O$91,15,0))</f>
        <v>0</v>
      </c>
      <c r="X69" s="4">
        <f>IF(ISERROR(VLOOKUP($U$69,'TAR FIN'!$A$1:$O$91,15,0)),0,VLOOKUP($U$69,'TAR FIN'!$A$1:$O$91,15,0))</f>
        <v>0</v>
      </c>
      <c r="Y69" s="4">
        <f ca="1">('TUSD BE'!$AM$13+'TUSD BF_350'!$AM$13+'TUSD CVA'!$AM$13)*1</f>
        <v>32.31</v>
      </c>
      <c r="Z69" s="4"/>
      <c r="AA69" s="4"/>
      <c r="AB69" s="4">
        <f>$K$69*$V$69</f>
        <v>104559.66</v>
      </c>
      <c r="AC69" s="4">
        <f>$M$69*$W$69</f>
        <v>0</v>
      </c>
      <c r="AD69" s="4">
        <f>$O$69*$X$69</f>
        <v>0</v>
      </c>
      <c r="AE69" s="4">
        <f ca="1">$K$69*$Y$69</f>
        <v>99450.180000000008</v>
      </c>
      <c r="AF69" s="4">
        <f>$M$69*$Z$69</f>
        <v>0</v>
      </c>
      <c r="AG69" s="4">
        <f>$O$69*$AA$69</f>
        <v>0</v>
      </c>
    </row>
    <row r="70" spans="1:33" ht="11.25" customHeight="1" x14ac:dyDescent="0.3">
      <c r="A70" s="3" t="s">
        <v>28</v>
      </c>
      <c r="B70" s="3" t="s">
        <v>39</v>
      </c>
      <c r="C70" s="3" t="s">
        <v>40</v>
      </c>
      <c r="D70" s="3" t="s">
        <v>41</v>
      </c>
      <c r="E70" s="3" t="s">
        <v>25</v>
      </c>
      <c r="F70" s="3" t="s">
        <v>25</v>
      </c>
      <c r="G70" s="3" t="s">
        <v>25</v>
      </c>
      <c r="H70" s="3" t="s">
        <v>25</v>
      </c>
      <c r="I70" s="6">
        <v>44593</v>
      </c>
      <c r="J70" s="4">
        <v>40</v>
      </c>
      <c r="K70" s="4">
        <v>40</v>
      </c>
      <c r="L70" s="4">
        <v>0</v>
      </c>
      <c r="M70" s="4">
        <v>0</v>
      </c>
      <c r="N70" s="4">
        <v>0</v>
      </c>
      <c r="O70" s="4">
        <v>0</v>
      </c>
      <c r="P70" s="4">
        <v>1</v>
      </c>
      <c r="Q70" s="3" t="s">
        <v>26</v>
      </c>
      <c r="R70" s="3">
        <v>0</v>
      </c>
      <c r="S70" s="4">
        <v>9</v>
      </c>
      <c r="T70" s="4">
        <v>0</v>
      </c>
      <c r="U70" s="4">
        <v>0</v>
      </c>
      <c r="V70" s="4">
        <f>IF(ISERROR(VLOOKUP($S$70,'TAR FIN'!$A$1:$O$91,15,0)),0,VLOOKUP($S$70,'TAR FIN'!$A$1:$O$91,15,0))</f>
        <v>33.97</v>
      </c>
      <c r="W70" s="4">
        <f>IF(ISERROR(VLOOKUP($T$70,'TAR FIN'!$A$1:$O$91,15,0)),0,VLOOKUP($T$70,'TAR FIN'!$A$1:$O$91,15,0))</f>
        <v>0</v>
      </c>
      <c r="X70" s="4">
        <f>IF(ISERROR(VLOOKUP($U$70,'TAR FIN'!$A$1:$O$91,15,0)),0,VLOOKUP($U$70,'TAR FIN'!$A$1:$O$91,15,0))</f>
        <v>0</v>
      </c>
      <c r="Y70" s="4">
        <f ca="1">('TUSD BE'!$AM$13+'TUSD BF_350'!$AM$13+'TUSD CVA'!$AM$13)*1</f>
        <v>32.31</v>
      </c>
      <c r="Z70" s="4"/>
      <c r="AA70" s="4"/>
      <c r="AB70" s="4">
        <f>$K$70*$V$70</f>
        <v>1358.8</v>
      </c>
      <c r="AC70" s="4">
        <f>$M$70*$W$70</f>
        <v>0</v>
      </c>
      <c r="AD70" s="4">
        <f>$O$70*$X$70</f>
        <v>0</v>
      </c>
      <c r="AE70" s="4">
        <f ca="1">$K$70*$Y$70</f>
        <v>1292.4000000000001</v>
      </c>
      <c r="AF70" s="4">
        <f>$M$70*$Z$70</f>
        <v>0</v>
      </c>
      <c r="AG70" s="4">
        <f>$O$70*$AA$70</f>
        <v>0</v>
      </c>
    </row>
    <row r="71" spans="1:33" ht="11.25" customHeight="1" x14ac:dyDescent="0.3">
      <c r="A71" s="3" t="s">
        <v>21</v>
      </c>
      <c r="B71" s="3" t="s">
        <v>39</v>
      </c>
      <c r="C71" s="3" t="s">
        <v>40</v>
      </c>
      <c r="D71" s="3" t="s">
        <v>41</v>
      </c>
      <c r="E71" s="3" t="s">
        <v>25</v>
      </c>
      <c r="F71" s="3" t="s">
        <v>25</v>
      </c>
      <c r="G71" s="3" t="s">
        <v>25</v>
      </c>
      <c r="H71" s="3" t="s">
        <v>25</v>
      </c>
      <c r="I71" s="6">
        <v>44621</v>
      </c>
      <c r="J71" s="4">
        <v>3372</v>
      </c>
      <c r="K71" s="4">
        <v>3372</v>
      </c>
      <c r="L71" s="4">
        <v>0</v>
      </c>
      <c r="M71" s="4">
        <v>0</v>
      </c>
      <c r="N71" s="4">
        <v>0</v>
      </c>
      <c r="O71" s="4">
        <v>0</v>
      </c>
      <c r="P71" s="4">
        <v>21</v>
      </c>
      <c r="Q71" s="3" t="s">
        <v>26</v>
      </c>
      <c r="R71" s="3">
        <v>0</v>
      </c>
      <c r="S71" s="4">
        <v>9</v>
      </c>
      <c r="T71" s="4">
        <v>0</v>
      </c>
      <c r="U71" s="4">
        <v>0</v>
      </c>
      <c r="V71" s="4">
        <f>IF(ISERROR(VLOOKUP($S$71,'TAR FIN'!$A$1:$O$91,15,0)),0,VLOOKUP($S$71,'TAR FIN'!$A$1:$O$91,15,0))</f>
        <v>33.97</v>
      </c>
      <c r="W71" s="4">
        <f>IF(ISERROR(VLOOKUP($T$71,'TAR FIN'!$A$1:$O$91,15,0)),0,VLOOKUP($T$71,'TAR FIN'!$A$1:$O$91,15,0))</f>
        <v>0</v>
      </c>
      <c r="X71" s="4">
        <f>IF(ISERROR(VLOOKUP($U$71,'TAR FIN'!$A$1:$O$91,15,0)),0,VLOOKUP($U$71,'TAR FIN'!$A$1:$O$91,15,0))</f>
        <v>0</v>
      </c>
      <c r="Y71" s="4">
        <f ca="1">('TUSD BE'!$AM$13+'TUSD BF_350'!$AM$13+'TUSD CVA'!$AM$13)*1</f>
        <v>32.31</v>
      </c>
      <c r="Z71" s="4"/>
      <c r="AA71" s="4"/>
      <c r="AB71" s="4">
        <f>$K$71*$V$71</f>
        <v>114546.84</v>
      </c>
      <c r="AC71" s="4">
        <f>$M$71*$W$71</f>
        <v>0</v>
      </c>
      <c r="AD71" s="4">
        <f>$O$71*$X$71</f>
        <v>0</v>
      </c>
      <c r="AE71" s="4">
        <f ca="1">$K$71*$Y$71</f>
        <v>108949.32</v>
      </c>
      <c r="AF71" s="4">
        <f>$M$71*$Z$71</f>
        <v>0</v>
      </c>
      <c r="AG71" s="4">
        <f>$O$71*$AA$71</f>
        <v>0</v>
      </c>
    </row>
    <row r="72" spans="1:33" ht="11.25" customHeight="1" x14ac:dyDescent="0.3">
      <c r="A72" s="3" t="s">
        <v>28</v>
      </c>
      <c r="B72" s="3" t="s">
        <v>39</v>
      </c>
      <c r="C72" s="3" t="s">
        <v>40</v>
      </c>
      <c r="D72" s="3" t="s">
        <v>41</v>
      </c>
      <c r="E72" s="3" t="s">
        <v>25</v>
      </c>
      <c r="F72" s="3" t="s">
        <v>25</v>
      </c>
      <c r="G72" s="3" t="s">
        <v>25</v>
      </c>
      <c r="H72" s="3" t="s">
        <v>25</v>
      </c>
      <c r="I72" s="6">
        <v>44621</v>
      </c>
      <c r="J72" s="4">
        <v>36</v>
      </c>
      <c r="K72" s="4">
        <v>36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3" t="s">
        <v>26</v>
      </c>
      <c r="R72" s="3">
        <v>0</v>
      </c>
      <c r="S72" s="4">
        <v>9</v>
      </c>
      <c r="T72" s="4">
        <v>0</v>
      </c>
      <c r="U72" s="4">
        <v>0</v>
      </c>
      <c r="V72" s="4">
        <f>IF(ISERROR(VLOOKUP($S$72,'TAR FIN'!$A$1:$O$91,15,0)),0,VLOOKUP($S$72,'TAR FIN'!$A$1:$O$91,15,0))</f>
        <v>33.97</v>
      </c>
      <c r="W72" s="4">
        <f>IF(ISERROR(VLOOKUP($T$72,'TAR FIN'!$A$1:$O$91,15,0)),0,VLOOKUP($T$72,'TAR FIN'!$A$1:$O$91,15,0))</f>
        <v>0</v>
      </c>
      <c r="X72" s="4">
        <f>IF(ISERROR(VLOOKUP($U$72,'TAR FIN'!$A$1:$O$91,15,0)),0,VLOOKUP($U$72,'TAR FIN'!$A$1:$O$91,15,0))</f>
        <v>0</v>
      </c>
      <c r="Y72" s="4">
        <f ca="1">('TUSD BE'!$AM$13+'TUSD BF_350'!$AM$13+'TUSD CVA'!$AM$13)*1</f>
        <v>32.31</v>
      </c>
      <c r="Z72" s="4"/>
      <c r="AA72" s="4"/>
      <c r="AB72" s="4">
        <f>$K$72*$V$72</f>
        <v>1222.92</v>
      </c>
      <c r="AC72" s="4">
        <f>$M$72*$W$72</f>
        <v>0</v>
      </c>
      <c r="AD72" s="4">
        <f>$O$72*$X$72</f>
        <v>0</v>
      </c>
      <c r="AE72" s="4">
        <f ca="1">$K$72*$Y$72</f>
        <v>1163.1600000000001</v>
      </c>
      <c r="AF72" s="4">
        <f>$M$72*$Z$72</f>
        <v>0</v>
      </c>
      <c r="AG72" s="4">
        <f>$O$72*$AA$72</f>
        <v>0</v>
      </c>
    </row>
    <row r="73" spans="1:33" ht="11.25" customHeight="1" x14ac:dyDescent="0.3">
      <c r="A73" s="3" t="s">
        <v>21</v>
      </c>
      <c r="B73" s="3" t="s">
        <v>39</v>
      </c>
      <c r="C73" s="3" t="s">
        <v>40</v>
      </c>
      <c r="D73" s="3" t="s">
        <v>41</v>
      </c>
      <c r="E73" s="3" t="s">
        <v>25</v>
      </c>
      <c r="F73" s="3" t="s">
        <v>25</v>
      </c>
      <c r="G73" s="3" t="s">
        <v>25</v>
      </c>
      <c r="H73" s="3" t="s">
        <v>25</v>
      </c>
      <c r="I73" s="6">
        <v>44652</v>
      </c>
      <c r="J73" s="4">
        <v>3218</v>
      </c>
      <c r="K73" s="4">
        <v>3218</v>
      </c>
      <c r="L73" s="4">
        <v>0</v>
      </c>
      <c r="M73" s="4">
        <v>0</v>
      </c>
      <c r="N73" s="4">
        <v>0</v>
      </c>
      <c r="O73" s="4">
        <v>0</v>
      </c>
      <c r="P73" s="4">
        <v>21</v>
      </c>
      <c r="Q73" s="3" t="s">
        <v>26</v>
      </c>
      <c r="R73" s="3">
        <v>0</v>
      </c>
      <c r="S73" s="4">
        <v>9</v>
      </c>
      <c r="T73" s="4">
        <v>0</v>
      </c>
      <c r="U73" s="4">
        <v>0</v>
      </c>
      <c r="V73" s="4">
        <f>IF(ISERROR(VLOOKUP($S$73,'TAR FIN'!$A$1:$O$91,15,0)),0,VLOOKUP($S$73,'TAR FIN'!$A$1:$O$91,15,0))</f>
        <v>33.97</v>
      </c>
      <c r="W73" s="4">
        <f>IF(ISERROR(VLOOKUP($T$73,'TAR FIN'!$A$1:$O$91,15,0)),0,VLOOKUP($T$73,'TAR FIN'!$A$1:$O$91,15,0))</f>
        <v>0</v>
      </c>
      <c r="X73" s="4">
        <f>IF(ISERROR(VLOOKUP($U$73,'TAR FIN'!$A$1:$O$91,15,0)),0,VLOOKUP($U$73,'TAR FIN'!$A$1:$O$91,15,0))</f>
        <v>0</v>
      </c>
      <c r="Y73" s="4">
        <f ca="1">('TUSD BE'!$AM$13+'TUSD BF_350'!$AM$13+'TUSD CVA'!$AM$13)*1</f>
        <v>32.31</v>
      </c>
      <c r="Z73" s="4"/>
      <c r="AA73" s="4"/>
      <c r="AB73" s="4">
        <f>$K$73*$V$73</f>
        <v>109315.45999999999</v>
      </c>
      <c r="AC73" s="4">
        <f>$M$73*$W$73</f>
        <v>0</v>
      </c>
      <c r="AD73" s="4">
        <f>$O$73*$X$73</f>
        <v>0</v>
      </c>
      <c r="AE73" s="4">
        <f ca="1">$K$73*$Y$73</f>
        <v>103973.58</v>
      </c>
      <c r="AF73" s="4">
        <f>$M$73*$Z$73</f>
        <v>0</v>
      </c>
      <c r="AG73" s="4">
        <f>$O$73*$AA$73</f>
        <v>0</v>
      </c>
    </row>
    <row r="74" spans="1:33" ht="11.25" customHeight="1" x14ac:dyDescent="0.3">
      <c r="A74" s="3" t="s">
        <v>28</v>
      </c>
      <c r="B74" s="3" t="s">
        <v>39</v>
      </c>
      <c r="C74" s="3" t="s">
        <v>40</v>
      </c>
      <c r="D74" s="3" t="s">
        <v>41</v>
      </c>
      <c r="E74" s="3" t="s">
        <v>25</v>
      </c>
      <c r="F74" s="3" t="s">
        <v>25</v>
      </c>
      <c r="G74" s="3" t="s">
        <v>25</v>
      </c>
      <c r="H74" s="3" t="s">
        <v>25</v>
      </c>
      <c r="I74" s="6">
        <v>44652</v>
      </c>
      <c r="J74" s="4">
        <v>68</v>
      </c>
      <c r="K74" s="4">
        <v>68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3" t="s">
        <v>26</v>
      </c>
      <c r="R74" s="3">
        <v>0</v>
      </c>
      <c r="S74" s="4">
        <v>9</v>
      </c>
      <c r="T74" s="4">
        <v>0</v>
      </c>
      <c r="U74" s="4">
        <v>0</v>
      </c>
      <c r="V74" s="4">
        <f>IF(ISERROR(VLOOKUP($S$74,'TAR FIN'!$A$1:$O$91,15,0)),0,VLOOKUP($S$74,'TAR FIN'!$A$1:$O$91,15,0))</f>
        <v>33.97</v>
      </c>
      <c r="W74" s="4">
        <f>IF(ISERROR(VLOOKUP($T$74,'TAR FIN'!$A$1:$O$91,15,0)),0,VLOOKUP($T$74,'TAR FIN'!$A$1:$O$91,15,0))</f>
        <v>0</v>
      </c>
      <c r="X74" s="4">
        <f>IF(ISERROR(VLOOKUP($U$74,'TAR FIN'!$A$1:$O$91,15,0)),0,VLOOKUP($U$74,'TAR FIN'!$A$1:$O$91,15,0))</f>
        <v>0</v>
      </c>
      <c r="Y74" s="4">
        <f ca="1">('TUSD BE'!$AM$13+'TUSD BF_350'!$AM$13+'TUSD CVA'!$AM$13)*1</f>
        <v>32.31</v>
      </c>
      <c r="Z74" s="4"/>
      <c r="AA74" s="4"/>
      <c r="AB74" s="4">
        <f>$K$74*$V$74</f>
        <v>2309.96</v>
      </c>
      <c r="AC74" s="4">
        <f>$M$74*$W$74</f>
        <v>0</v>
      </c>
      <c r="AD74" s="4">
        <f>$O$74*$X$74</f>
        <v>0</v>
      </c>
      <c r="AE74" s="4">
        <f ca="1">$K$74*$Y$74</f>
        <v>2197.08</v>
      </c>
      <c r="AF74" s="4">
        <f>$M$74*$Z$74</f>
        <v>0</v>
      </c>
      <c r="AG74" s="4">
        <f>$O$74*$AA$74</f>
        <v>0</v>
      </c>
    </row>
    <row r="75" spans="1:33" ht="11.25" customHeight="1" x14ac:dyDescent="0.3">
      <c r="A75" s="3" t="s">
        <v>21</v>
      </c>
      <c r="B75" s="3" t="s">
        <v>39</v>
      </c>
      <c r="C75" s="3" t="s">
        <v>40</v>
      </c>
      <c r="D75" s="3" t="s">
        <v>41</v>
      </c>
      <c r="E75" s="3" t="s">
        <v>25</v>
      </c>
      <c r="F75" s="3" t="s">
        <v>25</v>
      </c>
      <c r="G75" s="3" t="s">
        <v>25</v>
      </c>
      <c r="H75" s="3" t="s">
        <v>25</v>
      </c>
      <c r="I75" s="6">
        <v>44682</v>
      </c>
      <c r="J75" s="4">
        <v>3318</v>
      </c>
      <c r="K75" s="4">
        <v>3318</v>
      </c>
      <c r="L75" s="4">
        <v>0</v>
      </c>
      <c r="M75" s="4">
        <v>0</v>
      </c>
      <c r="N75" s="4">
        <v>0</v>
      </c>
      <c r="O75" s="4">
        <v>0</v>
      </c>
      <c r="P75" s="4">
        <v>21</v>
      </c>
      <c r="Q75" s="3" t="s">
        <v>26</v>
      </c>
      <c r="R75" s="3">
        <v>0</v>
      </c>
      <c r="S75" s="4">
        <v>9</v>
      </c>
      <c r="T75" s="4">
        <v>0</v>
      </c>
      <c r="U75" s="4">
        <v>0</v>
      </c>
      <c r="V75" s="4">
        <f>IF(ISERROR(VLOOKUP($S$75,'TAR FIN'!$A$1:$O$91,15,0)),0,VLOOKUP($S$75,'TAR FIN'!$A$1:$O$91,15,0))</f>
        <v>33.97</v>
      </c>
      <c r="W75" s="4">
        <f>IF(ISERROR(VLOOKUP($T$75,'TAR FIN'!$A$1:$O$91,15,0)),0,VLOOKUP($T$75,'TAR FIN'!$A$1:$O$91,15,0))</f>
        <v>0</v>
      </c>
      <c r="X75" s="4">
        <f>IF(ISERROR(VLOOKUP($U$75,'TAR FIN'!$A$1:$O$91,15,0)),0,VLOOKUP($U$75,'TAR FIN'!$A$1:$O$91,15,0))</f>
        <v>0</v>
      </c>
      <c r="Y75" s="4">
        <f ca="1">('TUSD BE'!$AM$13+'TUSD BF_350'!$AM$13+'TUSD CVA'!$AM$13)*1</f>
        <v>32.31</v>
      </c>
      <c r="Z75" s="4"/>
      <c r="AA75" s="4"/>
      <c r="AB75" s="4">
        <f>$K$75*$V$75</f>
        <v>112712.45999999999</v>
      </c>
      <c r="AC75" s="4">
        <f>$M$75*$W$75</f>
        <v>0</v>
      </c>
      <c r="AD75" s="4">
        <f>$O$75*$X$75</f>
        <v>0</v>
      </c>
      <c r="AE75" s="4">
        <f ca="1">$K$75*$Y$75</f>
        <v>107204.58</v>
      </c>
      <c r="AF75" s="4">
        <f>$M$75*$Z$75</f>
        <v>0</v>
      </c>
      <c r="AG75" s="4">
        <f>$O$75*$AA$75</f>
        <v>0</v>
      </c>
    </row>
    <row r="76" spans="1:33" ht="11.25" customHeight="1" x14ac:dyDescent="0.3">
      <c r="A76" s="3" t="s">
        <v>28</v>
      </c>
      <c r="B76" s="3" t="s">
        <v>39</v>
      </c>
      <c r="C76" s="3" t="s">
        <v>40</v>
      </c>
      <c r="D76" s="3" t="s">
        <v>41</v>
      </c>
      <c r="E76" s="3" t="s">
        <v>25</v>
      </c>
      <c r="F76" s="3" t="s">
        <v>25</v>
      </c>
      <c r="G76" s="3" t="s">
        <v>25</v>
      </c>
      <c r="H76" s="3" t="s">
        <v>25</v>
      </c>
      <c r="I76" s="6">
        <v>44682</v>
      </c>
      <c r="J76" s="4">
        <v>50</v>
      </c>
      <c r="K76" s="4">
        <v>50</v>
      </c>
      <c r="L76" s="4">
        <v>0</v>
      </c>
      <c r="M76" s="4">
        <v>0</v>
      </c>
      <c r="N76" s="4">
        <v>0</v>
      </c>
      <c r="O76" s="4">
        <v>0</v>
      </c>
      <c r="P76" s="4">
        <v>1</v>
      </c>
      <c r="Q76" s="3" t="s">
        <v>26</v>
      </c>
      <c r="R76" s="3">
        <v>0</v>
      </c>
      <c r="S76" s="4">
        <v>9</v>
      </c>
      <c r="T76" s="4">
        <v>0</v>
      </c>
      <c r="U76" s="4">
        <v>0</v>
      </c>
      <c r="V76" s="4">
        <f>IF(ISERROR(VLOOKUP($S$76,'TAR FIN'!$A$1:$O$91,15,0)),0,VLOOKUP($S$76,'TAR FIN'!$A$1:$O$91,15,0))</f>
        <v>33.97</v>
      </c>
      <c r="W76" s="4">
        <f>IF(ISERROR(VLOOKUP($T$76,'TAR FIN'!$A$1:$O$91,15,0)),0,VLOOKUP($T$76,'TAR FIN'!$A$1:$O$91,15,0))</f>
        <v>0</v>
      </c>
      <c r="X76" s="4">
        <f>IF(ISERROR(VLOOKUP($U$76,'TAR FIN'!$A$1:$O$91,15,0)),0,VLOOKUP($U$76,'TAR FIN'!$A$1:$O$91,15,0))</f>
        <v>0</v>
      </c>
      <c r="Y76" s="4">
        <f ca="1">('TUSD BE'!$AM$13+'TUSD BF_350'!$AM$13+'TUSD CVA'!$AM$13)*1</f>
        <v>32.31</v>
      </c>
      <c r="Z76" s="4"/>
      <c r="AA76" s="4"/>
      <c r="AB76" s="4">
        <f>$K$76*$V$76</f>
        <v>1698.5</v>
      </c>
      <c r="AC76" s="4">
        <f>$M$76*$W$76</f>
        <v>0</v>
      </c>
      <c r="AD76" s="4">
        <f>$O$76*$X$76</f>
        <v>0</v>
      </c>
      <c r="AE76" s="4">
        <f ca="1">$K$76*$Y$76</f>
        <v>1615.5</v>
      </c>
      <c r="AF76" s="4">
        <f>$M$76*$Z$76</f>
        <v>0</v>
      </c>
      <c r="AG76" s="4">
        <f>$O$76*$AA$76</f>
        <v>0</v>
      </c>
    </row>
    <row r="77" spans="1:33" ht="11.25" customHeight="1" x14ac:dyDescent="0.3">
      <c r="A77" s="3" t="s">
        <v>21</v>
      </c>
      <c r="B77" s="3" t="s">
        <v>39</v>
      </c>
      <c r="C77" s="3" t="s">
        <v>40</v>
      </c>
      <c r="D77" s="3" t="s">
        <v>41</v>
      </c>
      <c r="E77" s="3" t="s">
        <v>25</v>
      </c>
      <c r="F77" s="3" t="s">
        <v>25</v>
      </c>
      <c r="G77" s="3" t="s">
        <v>25</v>
      </c>
      <c r="H77" s="3" t="s">
        <v>25</v>
      </c>
      <c r="I77" s="6">
        <v>44713</v>
      </c>
      <c r="J77" s="4">
        <v>3163</v>
      </c>
      <c r="K77" s="4">
        <v>3163</v>
      </c>
      <c r="L77" s="4">
        <v>0</v>
      </c>
      <c r="M77" s="4">
        <v>0</v>
      </c>
      <c r="N77" s="4">
        <v>0</v>
      </c>
      <c r="O77" s="4">
        <v>0</v>
      </c>
      <c r="P77" s="4">
        <v>21</v>
      </c>
      <c r="Q77" s="3" t="s">
        <v>26</v>
      </c>
      <c r="R77" s="3">
        <v>0</v>
      </c>
      <c r="S77" s="4">
        <v>9</v>
      </c>
      <c r="T77" s="4">
        <v>0</v>
      </c>
      <c r="U77" s="4">
        <v>0</v>
      </c>
      <c r="V77" s="4">
        <f>IF(ISERROR(VLOOKUP($S$77,'TAR FIN'!$A$1:$O$91,15,0)),0,VLOOKUP($S$77,'TAR FIN'!$A$1:$O$91,15,0))</f>
        <v>33.97</v>
      </c>
      <c r="W77" s="4">
        <f>IF(ISERROR(VLOOKUP($T$77,'TAR FIN'!$A$1:$O$91,15,0)),0,VLOOKUP($T$77,'TAR FIN'!$A$1:$O$91,15,0))</f>
        <v>0</v>
      </c>
      <c r="X77" s="4">
        <f>IF(ISERROR(VLOOKUP($U$77,'TAR FIN'!$A$1:$O$91,15,0)),0,VLOOKUP($U$77,'TAR FIN'!$A$1:$O$91,15,0))</f>
        <v>0</v>
      </c>
      <c r="Y77" s="4">
        <f ca="1">('TUSD BE'!$AM$13+'TUSD BF_350'!$AM$13+'TUSD CVA'!$AM$13)*1</f>
        <v>32.31</v>
      </c>
      <c r="Z77" s="4"/>
      <c r="AA77" s="4"/>
      <c r="AB77" s="4">
        <f>$K$77*$V$77</f>
        <v>107447.11</v>
      </c>
      <c r="AC77" s="4">
        <f>$M$77*$W$77</f>
        <v>0</v>
      </c>
      <c r="AD77" s="4">
        <f>$O$77*$X$77</f>
        <v>0</v>
      </c>
      <c r="AE77" s="4">
        <f ca="1">$K$77*$Y$77</f>
        <v>102196.53000000001</v>
      </c>
      <c r="AF77" s="4">
        <f>$M$77*$Z$77</f>
        <v>0</v>
      </c>
      <c r="AG77" s="4">
        <f>$O$77*$AA$77</f>
        <v>0</v>
      </c>
    </row>
    <row r="78" spans="1:33" ht="11.25" customHeight="1" x14ac:dyDescent="0.3">
      <c r="A78" s="3" t="s">
        <v>28</v>
      </c>
      <c r="B78" s="3" t="s">
        <v>39</v>
      </c>
      <c r="C78" s="3" t="s">
        <v>40</v>
      </c>
      <c r="D78" s="3" t="s">
        <v>41</v>
      </c>
      <c r="E78" s="3" t="s">
        <v>25</v>
      </c>
      <c r="F78" s="3" t="s">
        <v>25</v>
      </c>
      <c r="G78" s="3" t="s">
        <v>25</v>
      </c>
      <c r="H78" s="3" t="s">
        <v>25</v>
      </c>
      <c r="I78" s="6">
        <v>44713</v>
      </c>
      <c r="J78" s="4">
        <v>54</v>
      </c>
      <c r="K78" s="4">
        <v>54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3" t="s">
        <v>26</v>
      </c>
      <c r="R78" s="3">
        <v>0</v>
      </c>
      <c r="S78" s="4">
        <v>9</v>
      </c>
      <c r="T78" s="4">
        <v>0</v>
      </c>
      <c r="U78" s="4">
        <v>0</v>
      </c>
      <c r="V78" s="4">
        <f>IF(ISERROR(VLOOKUP($S$78,'TAR FIN'!$A$1:$O$91,15,0)),0,VLOOKUP($S$78,'TAR FIN'!$A$1:$O$91,15,0))</f>
        <v>33.97</v>
      </c>
      <c r="W78" s="4">
        <f>IF(ISERROR(VLOOKUP($T$78,'TAR FIN'!$A$1:$O$91,15,0)),0,VLOOKUP($T$78,'TAR FIN'!$A$1:$O$91,15,0))</f>
        <v>0</v>
      </c>
      <c r="X78" s="4">
        <f>IF(ISERROR(VLOOKUP($U$78,'TAR FIN'!$A$1:$O$91,15,0)),0,VLOOKUP($U$78,'TAR FIN'!$A$1:$O$91,15,0))</f>
        <v>0</v>
      </c>
      <c r="Y78" s="4">
        <f ca="1">('TUSD BE'!$AM$13+'TUSD BF_350'!$AM$13+'TUSD CVA'!$AM$13)*1</f>
        <v>32.31</v>
      </c>
      <c r="Z78" s="4"/>
      <c r="AA78" s="4"/>
      <c r="AB78" s="4">
        <f>$K$78*$V$78</f>
        <v>1834.3799999999999</v>
      </c>
      <c r="AC78" s="4">
        <f>$M$78*$W$78</f>
        <v>0</v>
      </c>
      <c r="AD78" s="4">
        <f>$O$78*$X$78</f>
        <v>0</v>
      </c>
      <c r="AE78" s="4">
        <f ca="1">$K$78*$Y$78</f>
        <v>1744.7400000000002</v>
      </c>
      <c r="AF78" s="4">
        <f>$M$78*$Z$78</f>
        <v>0</v>
      </c>
      <c r="AG78" s="4">
        <f>$O$78*$AA$78</f>
        <v>0</v>
      </c>
    </row>
    <row r="79" spans="1:33" ht="11.25" customHeight="1" x14ac:dyDescent="0.3">
      <c r="A79" s="3" t="s">
        <v>21</v>
      </c>
      <c r="B79" s="3" t="s">
        <v>39</v>
      </c>
      <c r="C79" s="3" t="s">
        <v>40</v>
      </c>
      <c r="D79" s="3" t="s">
        <v>41</v>
      </c>
      <c r="E79" s="3" t="s">
        <v>25</v>
      </c>
      <c r="F79" s="3" t="s">
        <v>25</v>
      </c>
      <c r="G79" s="3" t="s">
        <v>25</v>
      </c>
      <c r="H79" s="3" t="s">
        <v>34</v>
      </c>
      <c r="I79" s="6">
        <v>44378</v>
      </c>
      <c r="J79" s="4">
        <v>0</v>
      </c>
      <c r="K79" s="4">
        <v>0</v>
      </c>
      <c r="L79" s="4">
        <v>23.748999999999999</v>
      </c>
      <c r="M79" s="4">
        <v>23.748999999999999</v>
      </c>
      <c r="N79" s="4">
        <v>23.748999999999999</v>
      </c>
      <c r="O79" s="4">
        <v>23.748999999999999</v>
      </c>
      <c r="P79" s="4">
        <v>0</v>
      </c>
      <c r="Q79" s="3" t="s">
        <v>26</v>
      </c>
      <c r="R79" s="3">
        <v>0</v>
      </c>
      <c r="S79" s="4">
        <v>0</v>
      </c>
      <c r="T79" s="4">
        <v>10</v>
      </c>
      <c r="U79" s="4">
        <v>51</v>
      </c>
      <c r="V79" s="4">
        <f>IF(ISERROR(VLOOKUP($S$79,'TAR FIN'!$A$1:$O$91,15,0)),0,VLOOKUP($S$79,'TAR FIN'!$A$1:$O$91,15,0))</f>
        <v>0</v>
      </c>
      <c r="W79" s="4">
        <f>IF(ISERROR(VLOOKUP($T$79,'TAR FIN'!$A$1:$O$91,15,0)),0,VLOOKUP($T$79,'TAR FIN'!$A$1:$O$91,15,0))</f>
        <v>1755.54</v>
      </c>
      <c r="X79" s="4">
        <f>IF(ISERROR(VLOOKUP($U$79,'TAR FIN'!$A$1:$O$91,15,0)),0,VLOOKUP($U$79,'TAR FIN'!$A$1:$O$91,15,0))</f>
        <v>298.83999999999997</v>
      </c>
      <c r="Y79" s="4"/>
      <c r="Z79" s="4">
        <f ca="1">('TUSD BE'!$AM$14+'TUSD BF_350'!$AM$14+'TUSD CVA'!$AM$14)*1</f>
        <v>1283.23</v>
      </c>
      <c r="AA79" s="4">
        <f ca="1">('TE BE'!$AB$5+'TE BF_350'!$AB$5+'TE CVA'!$AB$5)*1</f>
        <v>311.4117891483653</v>
      </c>
      <c r="AB79" s="4">
        <f>$K$79*$V$79</f>
        <v>0</v>
      </c>
      <c r="AC79" s="4">
        <f>$M$79*$W$79</f>
        <v>41692.319459999999</v>
      </c>
      <c r="AD79" s="4">
        <f>$O$79*$X$79</f>
        <v>7097.1511599999994</v>
      </c>
      <c r="AE79" s="4">
        <f>$K$79*$Y$79</f>
        <v>0</v>
      </c>
      <c r="AF79" s="4">
        <f ca="1">$M$79*$Z$79</f>
        <v>30475.429270000001</v>
      </c>
      <c r="AG79" s="4">
        <f ca="1">$O$79*$AA$79</f>
        <v>7395.7185804845276</v>
      </c>
    </row>
    <row r="80" spans="1:33" ht="11.25" customHeight="1" x14ac:dyDescent="0.3">
      <c r="A80" s="3" t="s">
        <v>28</v>
      </c>
      <c r="B80" s="3" t="s">
        <v>39</v>
      </c>
      <c r="C80" s="3" t="s">
        <v>40</v>
      </c>
      <c r="D80" s="3" t="s">
        <v>41</v>
      </c>
      <c r="E80" s="3" t="s">
        <v>25</v>
      </c>
      <c r="F80" s="3" t="s">
        <v>25</v>
      </c>
      <c r="G80" s="3" t="s">
        <v>25</v>
      </c>
      <c r="H80" s="3" t="s">
        <v>34</v>
      </c>
      <c r="I80" s="6">
        <v>44378</v>
      </c>
      <c r="J80" s="4">
        <v>0</v>
      </c>
      <c r="K80" s="4">
        <v>0</v>
      </c>
      <c r="L80" s="4">
        <v>1.258</v>
      </c>
      <c r="M80" s="4">
        <v>1.258</v>
      </c>
      <c r="N80" s="4">
        <v>1.258</v>
      </c>
      <c r="O80" s="4">
        <v>1.258</v>
      </c>
      <c r="P80" s="4">
        <v>0</v>
      </c>
      <c r="Q80" s="3" t="s">
        <v>26</v>
      </c>
      <c r="R80" s="3">
        <v>0</v>
      </c>
      <c r="S80" s="4">
        <v>0</v>
      </c>
      <c r="T80" s="4">
        <v>10</v>
      </c>
      <c r="U80" s="4">
        <v>51</v>
      </c>
      <c r="V80" s="4">
        <f>IF(ISERROR(VLOOKUP($S$80,'TAR FIN'!$A$1:$O$91,15,0)),0,VLOOKUP($S$80,'TAR FIN'!$A$1:$O$91,15,0))</f>
        <v>0</v>
      </c>
      <c r="W80" s="4">
        <f>IF(ISERROR(VLOOKUP($T$80,'TAR FIN'!$A$1:$O$91,15,0)),0,VLOOKUP($T$80,'TAR FIN'!$A$1:$O$91,15,0))</f>
        <v>1755.54</v>
      </c>
      <c r="X80" s="4">
        <f>IF(ISERROR(VLOOKUP($U$80,'TAR FIN'!$A$1:$O$91,15,0)),0,VLOOKUP($U$80,'TAR FIN'!$A$1:$O$91,15,0))</f>
        <v>298.83999999999997</v>
      </c>
      <c r="Y80" s="4"/>
      <c r="Z80" s="4">
        <f ca="1">('TUSD BE'!$AM$14+'TUSD BF_350'!$AM$14+'TUSD CVA'!$AM$14)*1</f>
        <v>1283.23</v>
      </c>
      <c r="AA80" s="4">
        <f ca="1">('TE BE'!$AB$5+'TE BF_350'!$AB$5+'TE CVA'!$AB$5)*1</f>
        <v>311.4117891483653</v>
      </c>
      <c r="AB80" s="4">
        <f>$K$80*$V$80</f>
        <v>0</v>
      </c>
      <c r="AC80" s="4">
        <f>$M$80*$W$80</f>
        <v>2208.4693200000002</v>
      </c>
      <c r="AD80" s="4">
        <f>$O$80*$X$80</f>
        <v>375.94072</v>
      </c>
      <c r="AE80" s="4">
        <f>$K$80*$Y$80</f>
        <v>0</v>
      </c>
      <c r="AF80" s="4">
        <f ca="1">$M$80*$Z$80</f>
        <v>1614.3033399999999</v>
      </c>
      <c r="AG80" s="4">
        <f ca="1">$O$80*$AA$80</f>
        <v>391.75603074864352</v>
      </c>
    </row>
    <row r="81" spans="1:33" ht="11.25" customHeight="1" x14ac:dyDescent="0.3">
      <c r="A81" s="3" t="s">
        <v>21</v>
      </c>
      <c r="B81" s="3" t="s">
        <v>39</v>
      </c>
      <c r="C81" s="3" t="s">
        <v>40</v>
      </c>
      <c r="D81" s="3" t="s">
        <v>41</v>
      </c>
      <c r="E81" s="3" t="s">
        <v>25</v>
      </c>
      <c r="F81" s="3" t="s">
        <v>25</v>
      </c>
      <c r="G81" s="3" t="s">
        <v>25</v>
      </c>
      <c r="H81" s="3" t="s">
        <v>34</v>
      </c>
      <c r="I81" s="6">
        <v>44409</v>
      </c>
      <c r="J81" s="4">
        <v>0</v>
      </c>
      <c r="K81" s="4">
        <v>0</v>
      </c>
      <c r="L81" s="4">
        <v>19.725999999999999</v>
      </c>
      <c r="M81" s="4">
        <v>19.725999999999999</v>
      </c>
      <c r="N81" s="4">
        <v>19.725999999999999</v>
      </c>
      <c r="O81" s="4">
        <v>19.725999999999999</v>
      </c>
      <c r="P81" s="4">
        <v>0</v>
      </c>
      <c r="Q81" s="3" t="s">
        <v>26</v>
      </c>
      <c r="R81" s="3">
        <v>0</v>
      </c>
      <c r="S81" s="4">
        <v>0</v>
      </c>
      <c r="T81" s="4">
        <v>10</v>
      </c>
      <c r="U81" s="4">
        <v>51</v>
      </c>
      <c r="V81" s="4">
        <f>IF(ISERROR(VLOOKUP($S$81,'TAR FIN'!$A$1:$O$91,15,0)),0,VLOOKUP($S$81,'TAR FIN'!$A$1:$O$91,15,0))</f>
        <v>0</v>
      </c>
      <c r="W81" s="4">
        <f>IF(ISERROR(VLOOKUP($T$81,'TAR FIN'!$A$1:$O$91,15,0)),0,VLOOKUP($T$81,'TAR FIN'!$A$1:$O$91,15,0))</f>
        <v>1755.54</v>
      </c>
      <c r="X81" s="4">
        <f>IF(ISERROR(VLOOKUP($U$81,'TAR FIN'!$A$1:$O$91,15,0)),0,VLOOKUP($U$81,'TAR FIN'!$A$1:$O$91,15,0))</f>
        <v>298.83999999999997</v>
      </c>
      <c r="Y81" s="4"/>
      <c r="Z81" s="4">
        <f ca="1">('TUSD BE'!$AM$14+'TUSD BF_350'!$AM$14+'TUSD CVA'!$AM$14)*1</f>
        <v>1283.23</v>
      </c>
      <c r="AA81" s="4">
        <f ca="1">('TE BE'!$AB$5+'TE BF_350'!$AB$5+'TE CVA'!$AB$5)*1</f>
        <v>311.4117891483653</v>
      </c>
      <c r="AB81" s="4">
        <f>$K$81*$V$81</f>
        <v>0</v>
      </c>
      <c r="AC81" s="4">
        <f>$M$81*$W$81</f>
        <v>34629.782039999998</v>
      </c>
      <c r="AD81" s="4">
        <f>$O$81*$X$81</f>
        <v>5894.9178399999992</v>
      </c>
      <c r="AE81" s="4">
        <f>$K$81*$Y$81</f>
        <v>0</v>
      </c>
      <c r="AF81" s="4">
        <f ca="1">$M$81*$Z$81</f>
        <v>25312.994979999999</v>
      </c>
      <c r="AG81" s="4">
        <f ca="1">$O$81*$AA$81</f>
        <v>6142.9089527406541</v>
      </c>
    </row>
    <row r="82" spans="1:33" ht="11.25" customHeight="1" x14ac:dyDescent="0.3">
      <c r="A82" s="3" t="s">
        <v>28</v>
      </c>
      <c r="B82" s="3" t="s">
        <v>39</v>
      </c>
      <c r="C82" s="3" t="s">
        <v>40</v>
      </c>
      <c r="D82" s="3" t="s">
        <v>41</v>
      </c>
      <c r="E82" s="3" t="s">
        <v>25</v>
      </c>
      <c r="F82" s="3" t="s">
        <v>25</v>
      </c>
      <c r="G82" s="3" t="s">
        <v>25</v>
      </c>
      <c r="H82" s="3" t="s">
        <v>34</v>
      </c>
      <c r="I82" s="6">
        <v>44409</v>
      </c>
      <c r="J82" s="4">
        <v>0</v>
      </c>
      <c r="K82" s="4">
        <v>0</v>
      </c>
      <c r="L82" s="4">
        <v>1.046</v>
      </c>
      <c r="M82" s="4">
        <v>1.046</v>
      </c>
      <c r="N82" s="4">
        <v>1.046</v>
      </c>
      <c r="O82" s="4">
        <v>1.046</v>
      </c>
      <c r="P82" s="4">
        <v>0</v>
      </c>
      <c r="Q82" s="3" t="s">
        <v>26</v>
      </c>
      <c r="R82" s="3">
        <v>0</v>
      </c>
      <c r="S82" s="4">
        <v>0</v>
      </c>
      <c r="T82" s="4">
        <v>10</v>
      </c>
      <c r="U82" s="4">
        <v>51</v>
      </c>
      <c r="V82" s="4">
        <f>IF(ISERROR(VLOOKUP($S$82,'TAR FIN'!$A$1:$O$91,15,0)),0,VLOOKUP($S$82,'TAR FIN'!$A$1:$O$91,15,0))</f>
        <v>0</v>
      </c>
      <c r="W82" s="4">
        <f>IF(ISERROR(VLOOKUP($T$82,'TAR FIN'!$A$1:$O$91,15,0)),0,VLOOKUP($T$82,'TAR FIN'!$A$1:$O$91,15,0))</f>
        <v>1755.54</v>
      </c>
      <c r="X82" s="4">
        <f>IF(ISERROR(VLOOKUP($U$82,'TAR FIN'!$A$1:$O$91,15,0)),0,VLOOKUP($U$82,'TAR FIN'!$A$1:$O$91,15,0))</f>
        <v>298.83999999999997</v>
      </c>
      <c r="Y82" s="4"/>
      <c r="Z82" s="4">
        <f ca="1">('TUSD BE'!$AM$14+'TUSD BF_350'!$AM$14+'TUSD CVA'!$AM$14)*1</f>
        <v>1283.23</v>
      </c>
      <c r="AA82" s="4">
        <f ca="1">('TE BE'!$AB$5+'TE BF_350'!$AB$5+'TE CVA'!$AB$5)*1</f>
        <v>311.4117891483653</v>
      </c>
      <c r="AB82" s="4">
        <f>$K$82*$V$82</f>
        <v>0</v>
      </c>
      <c r="AC82" s="4">
        <f>$M$82*$W$82</f>
        <v>1836.29484</v>
      </c>
      <c r="AD82" s="4">
        <f>$O$82*$X$82</f>
        <v>312.58663999999999</v>
      </c>
      <c r="AE82" s="4">
        <f>$K$82*$Y$82</f>
        <v>0</v>
      </c>
      <c r="AF82" s="4">
        <f ca="1">$M$82*$Z$82</f>
        <v>1342.2585800000002</v>
      </c>
      <c r="AG82" s="4">
        <f ca="1">$O$82*$AA$82</f>
        <v>325.73673144919013</v>
      </c>
    </row>
    <row r="83" spans="1:33" ht="11.25" customHeight="1" x14ac:dyDescent="0.3">
      <c r="A83" s="3" t="s">
        <v>21</v>
      </c>
      <c r="B83" s="3" t="s">
        <v>39</v>
      </c>
      <c r="C83" s="3" t="s">
        <v>40</v>
      </c>
      <c r="D83" s="3" t="s">
        <v>41</v>
      </c>
      <c r="E83" s="3" t="s">
        <v>25</v>
      </c>
      <c r="F83" s="3" t="s">
        <v>25</v>
      </c>
      <c r="G83" s="3" t="s">
        <v>25</v>
      </c>
      <c r="H83" s="3" t="s">
        <v>34</v>
      </c>
      <c r="I83" s="6">
        <v>44440</v>
      </c>
      <c r="J83" s="4">
        <v>0</v>
      </c>
      <c r="K83" s="4">
        <v>0</v>
      </c>
      <c r="L83" s="4">
        <v>21.129000000000001</v>
      </c>
      <c r="M83" s="4">
        <v>21.129000000000001</v>
      </c>
      <c r="N83" s="4">
        <v>21.129000000000001</v>
      </c>
      <c r="O83" s="4">
        <v>21.129000000000001</v>
      </c>
      <c r="P83" s="4">
        <v>0</v>
      </c>
      <c r="Q83" s="3" t="s">
        <v>26</v>
      </c>
      <c r="R83" s="3">
        <v>0</v>
      </c>
      <c r="S83" s="4">
        <v>0</v>
      </c>
      <c r="T83" s="4">
        <v>10</v>
      </c>
      <c r="U83" s="4">
        <v>51</v>
      </c>
      <c r="V83" s="4">
        <f>IF(ISERROR(VLOOKUP($S$83,'TAR FIN'!$A$1:$O$91,15,0)),0,VLOOKUP($S$83,'TAR FIN'!$A$1:$O$91,15,0))</f>
        <v>0</v>
      </c>
      <c r="W83" s="4">
        <f>IF(ISERROR(VLOOKUP($T$83,'TAR FIN'!$A$1:$O$91,15,0)),0,VLOOKUP($T$83,'TAR FIN'!$A$1:$O$91,15,0))</f>
        <v>1755.54</v>
      </c>
      <c r="X83" s="4">
        <f>IF(ISERROR(VLOOKUP($U$83,'TAR FIN'!$A$1:$O$91,15,0)),0,VLOOKUP($U$83,'TAR FIN'!$A$1:$O$91,15,0))</f>
        <v>298.83999999999997</v>
      </c>
      <c r="Y83" s="4"/>
      <c r="Z83" s="4">
        <f ca="1">('TUSD BE'!$AM$14+'TUSD BF_350'!$AM$14+'TUSD CVA'!$AM$14)*1</f>
        <v>1283.23</v>
      </c>
      <c r="AA83" s="4">
        <f ca="1">('TE BE'!$AB$5+'TE BF_350'!$AB$5+'TE CVA'!$AB$5)*1</f>
        <v>311.4117891483653</v>
      </c>
      <c r="AB83" s="4">
        <f>$K$83*$V$83</f>
        <v>0</v>
      </c>
      <c r="AC83" s="4">
        <f>$M$83*$W$83</f>
        <v>37092.804660000002</v>
      </c>
      <c r="AD83" s="4">
        <f>$O$83*$X$83</f>
        <v>6314.1903599999996</v>
      </c>
      <c r="AE83" s="4">
        <f>$K$83*$Y$83</f>
        <v>0</v>
      </c>
      <c r="AF83" s="4">
        <f ca="1">$M$83*$Z$83</f>
        <v>27113.366670000003</v>
      </c>
      <c r="AG83" s="4">
        <f ca="1">$O$83*$AA$83</f>
        <v>6579.8196929158112</v>
      </c>
    </row>
    <row r="84" spans="1:33" ht="11.25" customHeight="1" x14ac:dyDescent="0.3">
      <c r="A84" s="3" t="s">
        <v>21</v>
      </c>
      <c r="B84" s="3" t="s">
        <v>39</v>
      </c>
      <c r="C84" s="3" t="s">
        <v>40</v>
      </c>
      <c r="D84" s="3" t="s">
        <v>41</v>
      </c>
      <c r="E84" s="3" t="s">
        <v>25</v>
      </c>
      <c r="F84" s="3" t="s">
        <v>25</v>
      </c>
      <c r="G84" s="3" t="s">
        <v>25</v>
      </c>
      <c r="H84" s="3" t="s">
        <v>34</v>
      </c>
      <c r="I84" s="6">
        <v>44470</v>
      </c>
      <c r="J84" s="4">
        <v>0</v>
      </c>
      <c r="K84" s="4">
        <v>0</v>
      </c>
      <c r="L84" s="4">
        <v>23.539000000000001</v>
      </c>
      <c r="M84" s="4">
        <v>23.539000000000001</v>
      </c>
      <c r="N84" s="4">
        <v>23.539000000000001</v>
      </c>
      <c r="O84" s="4">
        <v>23.539000000000001</v>
      </c>
      <c r="P84" s="4">
        <v>0</v>
      </c>
      <c r="Q84" s="3" t="s">
        <v>26</v>
      </c>
      <c r="R84" s="3">
        <v>0</v>
      </c>
      <c r="S84" s="4">
        <v>0</v>
      </c>
      <c r="T84" s="4">
        <v>10</v>
      </c>
      <c r="U84" s="4">
        <v>51</v>
      </c>
      <c r="V84" s="4">
        <f>IF(ISERROR(VLOOKUP($S$84,'TAR FIN'!$A$1:$O$91,15,0)),0,VLOOKUP($S$84,'TAR FIN'!$A$1:$O$91,15,0))</f>
        <v>0</v>
      </c>
      <c r="W84" s="4">
        <f>IF(ISERROR(VLOOKUP($T$84,'TAR FIN'!$A$1:$O$91,15,0)),0,VLOOKUP($T$84,'TAR FIN'!$A$1:$O$91,15,0))</f>
        <v>1755.54</v>
      </c>
      <c r="X84" s="4">
        <f>IF(ISERROR(VLOOKUP($U$84,'TAR FIN'!$A$1:$O$91,15,0)),0,VLOOKUP($U$84,'TAR FIN'!$A$1:$O$91,15,0))</f>
        <v>298.83999999999997</v>
      </c>
      <c r="Y84" s="4"/>
      <c r="Z84" s="4">
        <f ca="1">('TUSD BE'!$AM$14+'TUSD BF_350'!$AM$14+'TUSD CVA'!$AM$14)*1</f>
        <v>1283.23</v>
      </c>
      <c r="AA84" s="4">
        <f ca="1">('TE BE'!$AB$5+'TE BF_350'!$AB$5+'TE CVA'!$AB$5)*1</f>
        <v>311.4117891483653</v>
      </c>
      <c r="AB84" s="4">
        <f>$K$84*$V$84</f>
        <v>0</v>
      </c>
      <c r="AC84" s="4">
        <f>$M$84*$W$84</f>
        <v>41323.656060000001</v>
      </c>
      <c r="AD84" s="4">
        <f>$O$84*$X$84</f>
        <v>7034.3947600000001</v>
      </c>
      <c r="AE84" s="4">
        <f>$K$84*$Y$84</f>
        <v>0</v>
      </c>
      <c r="AF84" s="4">
        <f ca="1">$M$84*$Z$84</f>
        <v>30205.950970000002</v>
      </c>
      <c r="AG84" s="4">
        <f ca="1">$O$84*$AA$84</f>
        <v>7330.3221047633715</v>
      </c>
    </row>
    <row r="85" spans="1:33" ht="11.25" customHeight="1" x14ac:dyDescent="0.3">
      <c r="A85" s="3" t="s">
        <v>21</v>
      </c>
      <c r="B85" s="3" t="s">
        <v>39</v>
      </c>
      <c r="C85" s="3" t="s">
        <v>40</v>
      </c>
      <c r="D85" s="3" t="s">
        <v>41</v>
      </c>
      <c r="E85" s="3" t="s">
        <v>25</v>
      </c>
      <c r="F85" s="3" t="s">
        <v>25</v>
      </c>
      <c r="G85" s="3" t="s">
        <v>25</v>
      </c>
      <c r="H85" s="3" t="s">
        <v>34</v>
      </c>
      <c r="I85" s="6">
        <v>44501</v>
      </c>
      <c r="J85" s="4">
        <v>0</v>
      </c>
      <c r="K85" s="4">
        <v>0</v>
      </c>
      <c r="L85" s="4">
        <v>28.260999999999999</v>
      </c>
      <c r="M85" s="4">
        <v>28.260999999999999</v>
      </c>
      <c r="N85" s="4">
        <v>28.260999999999999</v>
      </c>
      <c r="O85" s="4">
        <v>28.260999999999999</v>
      </c>
      <c r="P85" s="4">
        <v>0</v>
      </c>
      <c r="Q85" s="3" t="s">
        <v>26</v>
      </c>
      <c r="R85" s="3">
        <v>0</v>
      </c>
      <c r="S85" s="4">
        <v>0</v>
      </c>
      <c r="T85" s="4">
        <v>10</v>
      </c>
      <c r="U85" s="4">
        <v>51</v>
      </c>
      <c r="V85" s="4">
        <f>IF(ISERROR(VLOOKUP($S$85,'TAR FIN'!$A$1:$O$91,15,0)),0,VLOOKUP($S$85,'TAR FIN'!$A$1:$O$91,15,0))</f>
        <v>0</v>
      </c>
      <c r="W85" s="4">
        <f>IF(ISERROR(VLOOKUP($T$85,'TAR FIN'!$A$1:$O$91,15,0)),0,VLOOKUP($T$85,'TAR FIN'!$A$1:$O$91,15,0))</f>
        <v>1755.54</v>
      </c>
      <c r="X85" s="4">
        <f>IF(ISERROR(VLOOKUP($U$85,'TAR FIN'!$A$1:$O$91,15,0)),0,VLOOKUP($U$85,'TAR FIN'!$A$1:$O$91,15,0))</f>
        <v>298.83999999999997</v>
      </c>
      <c r="Y85" s="4"/>
      <c r="Z85" s="4">
        <f ca="1">('TUSD BE'!$AM$14+'TUSD BF_350'!$AM$14+'TUSD CVA'!$AM$14)*1</f>
        <v>1283.23</v>
      </c>
      <c r="AA85" s="4">
        <f ca="1">('TE BE'!$AB$5+'TE BF_350'!$AB$5+'TE CVA'!$AB$5)*1</f>
        <v>311.4117891483653</v>
      </c>
      <c r="AB85" s="4">
        <f>$K$85*$V$85</f>
        <v>0</v>
      </c>
      <c r="AC85" s="4">
        <f>$M$85*$W$85</f>
        <v>49613.31594</v>
      </c>
      <c r="AD85" s="4">
        <f>$O$85*$X$85</f>
        <v>8445.5172399999992</v>
      </c>
      <c r="AE85" s="4">
        <f>$K$85*$Y$85</f>
        <v>0</v>
      </c>
      <c r="AF85" s="4">
        <f ca="1">$M$85*$Z$85</f>
        <v>36265.36303</v>
      </c>
      <c r="AG85" s="4">
        <f ca="1">$O$85*$AA$85</f>
        <v>8800.8085731219508</v>
      </c>
    </row>
    <row r="86" spans="1:33" ht="11.25" customHeight="1" x14ac:dyDescent="0.3">
      <c r="A86" s="3" t="s">
        <v>21</v>
      </c>
      <c r="B86" s="3" t="s">
        <v>39</v>
      </c>
      <c r="C86" s="3" t="s">
        <v>40</v>
      </c>
      <c r="D86" s="3" t="s">
        <v>41</v>
      </c>
      <c r="E86" s="3" t="s">
        <v>25</v>
      </c>
      <c r="F86" s="3" t="s">
        <v>25</v>
      </c>
      <c r="G86" s="3" t="s">
        <v>25</v>
      </c>
      <c r="H86" s="3" t="s">
        <v>34</v>
      </c>
      <c r="I86" s="6">
        <v>44531</v>
      </c>
      <c r="J86" s="4">
        <v>0</v>
      </c>
      <c r="K86" s="4">
        <v>0</v>
      </c>
      <c r="L86" s="4">
        <v>35.386000000000003</v>
      </c>
      <c r="M86" s="4">
        <v>35.386000000000003</v>
      </c>
      <c r="N86" s="4">
        <v>35.386000000000003</v>
      </c>
      <c r="O86" s="4">
        <v>35.386000000000003</v>
      </c>
      <c r="P86" s="4">
        <v>0</v>
      </c>
      <c r="Q86" s="3" t="s">
        <v>26</v>
      </c>
      <c r="R86" s="3">
        <v>0</v>
      </c>
      <c r="S86" s="4">
        <v>0</v>
      </c>
      <c r="T86" s="4">
        <v>10</v>
      </c>
      <c r="U86" s="4">
        <v>51</v>
      </c>
      <c r="V86" s="4">
        <f>IF(ISERROR(VLOOKUP($S$86,'TAR FIN'!$A$1:$O$91,15,0)),0,VLOOKUP($S$86,'TAR FIN'!$A$1:$O$91,15,0))</f>
        <v>0</v>
      </c>
      <c r="W86" s="4">
        <f>IF(ISERROR(VLOOKUP($T$86,'TAR FIN'!$A$1:$O$91,15,0)),0,VLOOKUP($T$86,'TAR FIN'!$A$1:$O$91,15,0))</f>
        <v>1755.54</v>
      </c>
      <c r="X86" s="4">
        <f>IF(ISERROR(VLOOKUP($U$86,'TAR FIN'!$A$1:$O$91,15,0)),0,VLOOKUP($U$86,'TAR FIN'!$A$1:$O$91,15,0))</f>
        <v>298.83999999999997</v>
      </c>
      <c r="Y86" s="4"/>
      <c r="Z86" s="4">
        <f ca="1">('TUSD BE'!$AM$14+'TUSD BF_350'!$AM$14+'TUSD CVA'!$AM$14)*1</f>
        <v>1283.23</v>
      </c>
      <c r="AA86" s="4">
        <f ca="1">('TE BE'!$AB$5+'TE BF_350'!$AB$5+'TE CVA'!$AB$5)*1</f>
        <v>311.4117891483653</v>
      </c>
      <c r="AB86" s="4">
        <f>$K$86*$V$86</f>
        <v>0</v>
      </c>
      <c r="AC86" s="4">
        <f>$M$86*$W$86</f>
        <v>62121.538440000004</v>
      </c>
      <c r="AD86" s="4">
        <f>$O$86*$X$86</f>
        <v>10574.75224</v>
      </c>
      <c r="AE86" s="4">
        <f>$K$86*$Y$86</f>
        <v>0</v>
      </c>
      <c r="AF86" s="4">
        <f ca="1">$M$86*$Z$86</f>
        <v>45408.376780000006</v>
      </c>
      <c r="AG86" s="4">
        <f ca="1">$O$86*$AA$86</f>
        <v>11019.617570804056</v>
      </c>
    </row>
    <row r="87" spans="1:33" ht="11.25" customHeight="1" x14ac:dyDescent="0.3">
      <c r="A87" s="3" t="s">
        <v>21</v>
      </c>
      <c r="B87" s="3" t="s">
        <v>39</v>
      </c>
      <c r="C87" s="3" t="s">
        <v>40</v>
      </c>
      <c r="D87" s="3" t="s">
        <v>41</v>
      </c>
      <c r="E87" s="3" t="s">
        <v>25</v>
      </c>
      <c r="F87" s="3" t="s">
        <v>25</v>
      </c>
      <c r="G87" s="3" t="s">
        <v>25</v>
      </c>
      <c r="H87" s="3" t="s">
        <v>34</v>
      </c>
      <c r="I87" s="6">
        <v>44562</v>
      </c>
      <c r="J87" s="4">
        <v>0</v>
      </c>
      <c r="K87" s="4">
        <v>0</v>
      </c>
      <c r="L87" s="4">
        <v>30.181999999999999</v>
      </c>
      <c r="M87" s="4">
        <v>30.181999999999999</v>
      </c>
      <c r="N87" s="4">
        <v>30.181999999999999</v>
      </c>
      <c r="O87" s="4">
        <v>30.181999999999999</v>
      </c>
      <c r="P87" s="4">
        <v>0</v>
      </c>
      <c r="Q87" s="3" t="s">
        <v>26</v>
      </c>
      <c r="R87" s="3">
        <v>0</v>
      </c>
      <c r="S87" s="4">
        <v>0</v>
      </c>
      <c r="T87" s="4">
        <v>10</v>
      </c>
      <c r="U87" s="4">
        <v>51</v>
      </c>
      <c r="V87" s="4">
        <f>IF(ISERROR(VLOOKUP($S$87,'TAR FIN'!$A$1:$O$91,15,0)),0,VLOOKUP($S$87,'TAR FIN'!$A$1:$O$91,15,0))</f>
        <v>0</v>
      </c>
      <c r="W87" s="4">
        <f>IF(ISERROR(VLOOKUP($T$87,'TAR FIN'!$A$1:$O$91,15,0)),0,VLOOKUP($T$87,'TAR FIN'!$A$1:$O$91,15,0))</f>
        <v>1755.54</v>
      </c>
      <c r="X87" s="4">
        <f>IF(ISERROR(VLOOKUP($U$87,'TAR FIN'!$A$1:$O$91,15,0)),0,VLOOKUP($U$87,'TAR FIN'!$A$1:$O$91,15,0))</f>
        <v>298.83999999999997</v>
      </c>
      <c r="Y87" s="4"/>
      <c r="Z87" s="4">
        <f ca="1">('TUSD BE'!$AM$14+'TUSD BF_350'!$AM$14+'TUSD CVA'!$AM$14)*1</f>
        <v>1283.23</v>
      </c>
      <c r="AA87" s="4">
        <f ca="1">('TE BE'!$AB$5+'TE BF_350'!$AB$5+'TE CVA'!$AB$5)*1</f>
        <v>311.4117891483653</v>
      </c>
      <c r="AB87" s="4">
        <f>$K$87*$V$87</f>
        <v>0</v>
      </c>
      <c r="AC87" s="4">
        <f>$M$87*$W$87</f>
        <v>52985.708279999999</v>
      </c>
      <c r="AD87" s="4">
        <f>$O$87*$X$87</f>
        <v>9019.5888799999993</v>
      </c>
      <c r="AE87" s="4">
        <f>$K$87*$Y$87</f>
        <v>0</v>
      </c>
      <c r="AF87" s="4">
        <f ca="1">$M$87*$Z$87</f>
        <v>38730.44786</v>
      </c>
      <c r="AG87" s="4">
        <f ca="1">$O$87*$AA$87</f>
        <v>9399.0306200759605</v>
      </c>
    </row>
    <row r="88" spans="1:33" ht="11.25" customHeight="1" x14ac:dyDescent="0.3">
      <c r="A88" s="3" t="s">
        <v>21</v>
      </c>
      <c r="B88" s="3" t="s">
        <v>39</v>
      </c>
      <c r="C88" s="3" t="s">
        <v>40</v>
      </c>
      <c r="D88" s="3" t="s">
        <v>41</v>
      </c>
      <c r="E88" s="3" t="s">
        <v>25</v>
      </c>
      <c r="F88" s="3" t="s">
        <v>25</v>
      </c>
      <c r="G88" s="3" t="s">
        <v>25</v>
      </c>
      <c r="H88" s="3" t="s">
        <v>34</v>
      </c>
      <c r="I88" s="6">
        <v>44593</v>
      </c>
      <c r="J88" s="4">
        <v>0</v>
      </c>
      <c r="K88" s="4">
        <v>0</v>
      </c>
      <c r="L88" s="4">
        <v>30.413</v>
      </c>
      <c r="M88" s="4">
        <v>30.413</v>
      </c>
      <c r="N88" s="4">
        <v>30.413</v>
      </c>
      <c r="O88" s="4">
        <v>30.413</v>
      </c>
      <c r="P88" s="4">
        <v>0</v>
      </c>
      <c r="Q88" s="3" t="s">
        <v>26</v>
      </c>
      <c r="R88" s="3">
        <v>0</v>
      </c>
      <c r="S88" s="4">
        <v>0</v>
      </c>
      <c r="T88" s="4">
        <v>10</v>
      </c>
      <c r="U88" s="4">
        <v>51</v>
      </c>
      <c r="V88" s="4">
        <f>IF(ISERROR(VLOOKUP($S$88,'TAR FIN'!$A$1:$O$91,15,0)),0,VLOOKUP($S$88,'TAR FIN'!$A$1:$O$91,15,0))</f>
        <v>0</v>
      </c>
      <c r="W88" s="4">
        <f>IF(ISERROR(VLOOKUP($T$88,'TAR FIN'!$A$1:$O$91,15,0)),0,VLOOKUP($T$88,'TAR FIN'!$A$1:$O$91,15,0))</f>
        <v>1755.54</v>
      </c>
      <c r="X88" s="4">
        <f>IF(ISERROR(VLOOKUP($U$88,'TAR FIN'!$A$1:$O$91,15,0)),0,VLOOKUP($U$88,'TAR FIN'!$A$1:$O$91,15,0))</f>
        <v>298.83999999999997</v>
      </c>
      <c r="Y88" s="4"/>
      <c r="Z88" s="4">
        <f ca="1">('TUSD BE'!$AM$14+'TUSD BF_350'!$AM$14+'TUSD CVA'!$AM$14)*1</f>
        <v>1283.23</v>
      </c>
      <c r="AA88" s="4">
        <f ca="1">('TE BE'!$AB$5+'TE BF_350'!$AB$5+'TE CVA'!$AB$5)*1</f>
        <v>311.4117891483653</v>
      </c>
      <c r="AB88" s="4">
        <f>$K$88*$V$88</f>
        <v>0</v>
      </c>
      <c r="AC88" s="4">
        <f>$M$88*$W$88</f>
        <v>53391.238019999997</v>
      </c>
      <c r="AD88" s="4">
        <f>$O$88*$X$88</f>
        <v>9088.6209199999994</v>
      </c>
      <c r="AE88" s="4">
        <f>$K$88*$Y$88</f>
        <v>0</v>
      </c>
      <c r="AF88" s="4">
        <f ca="1">$M$88*$Z$88</f>
        <v>39026.87399</v>
      </c>
      <c r="AG88" s="4">
        <f ca="1">$O$88*$AA$88</f>
        <v>9470.9667433692339</v>
      </c>
    </row>
    <row r="89" spans="1:33" ht="11.25" customHeight="1" x14ac:dyDescent="0.3">
      <c r="A89" s="3" t="s">
        <v>21</v>
      </c>
      <c r="B89" s="3" t="s">
        <v>39</v>
      </c>
      <c r="C89" s="3" t="s">
        <v>40</v>
      </c>
      <c r="D89" s="3" t="s">
        <v>41</v>
      </c>
      <c r="E89" s="3" t="s">
        <v>25</v>
      </c>
      <c r="F89" s="3" t="s">
        <v>25</v>
      </c>
      <c r="G89" s="3" t="s">
        <v>25</v>
      </c>
      <c r="H89" s="3" t="s">
        <v>34</v>
      </c>
      <c r="I89" s="6">
        <v>44621</v>
      </c>
      <c r="J89" s="4">
        <v>0</v>
      </c>
      <c r="K89" s="4">
        <v>0</v>
      </c>
      <c r="L89" s="4">
        <v>43.679000000000002</v>
      </c>
      <c r="M89" s="4">
        <v>43.679000000000002</v>
      </c>
      <c r="N89" s="4">
        <v>43.679000000000002</v>
      </c>
      <c r="O89" s="4">
        <v>43.679000000000002</v>
      </c>
      <c r="P89" s="4">
        <v>0</v>
      </c>
      <c r="Q89" s="3" t="s">
        <v>26</v>
      </c>
      <c r="R89" s="3">
        <v>0</v>
      </c>
      <c r="S89" s="4">
        <v>0</v>
      </c>
      <c r="T89" s="4">
        <v>10</v>
      </c>
      <c r="U89" s="4">
        <v>51</v>
      </c>
      <c r="V89" s="4">
        <f>IF(ISERROR(VLOOKUP($S$89,'TAR FIN'!$A$1:$O$91,15,0)),0,VLOOKUP($S$89,'TAR FIN'!$A$1:$O$91,15,0))</f>
        <v>0</v>
      </c>
      <c r="W89" s="4">
        <f>IF(ISERROR(VLOOKUP($T$89,'TAR FIN'!$A$1:$O$91,15,0)),0,VLOOKUP($T$89,'TAR FIN'!$A$1:$O$91,15,0))</f>
        <v>1755.54</v>
      </c>
      <c r="X89" s="4">
        <f>IF(ISERROR(VLOOKUP($U$89,'TAR FIN'!$A$1:$O$91,15,0)),0,VLOOKUP($U$89,'TAR FIN'!$A$1:$O$91,15,0))</f>
        <v>298.83999999999997</v>
      </c>
      <c r="Y89" s="4"/>
      <c r="Z89" s="4">
        <f ca="1">('TUSD BE'!$AM$14+'TUSD BF_350'!$AM$14+'TUSD CVA'!$AM$14)*1</f>
        <v>1283.23</v>
      </c>
      <c r="AA89" s="4">
        <f ca="1">('TE BE'!$AB$5+'TE BF_350'!$AB$5+'TE CVA'!$AB$5)*1</f>
        <v>311.4117891483653</v>
      </c>
      <c r="AB89" s="4">
        <f>$K$89*$V$89</f>
        <v>0</v>
      </c>
      <c r="AC89" s="4">
        <f>$M$89*$W$89</f>
        <v>76680.231660000005</v>
      </c>
      <c r="AD89" s="4">
        <f>$O$89*$X$89</f>
        <v>13053.032359999999</v>
      </c>
      <c r="AE89" s="4">
        <f>$K$89*$Y$89</f>
        <v>0</v>
      </c>
      <c r="AF89" s="4">
        <f ca="1">$M$89*$Z$89</f>
        <v>56050.203170000001</v>
      </c>
      <c r="AG89" s="4">
        <f ca="1">$O$89*$AA$89</f>
        <v>13602.155538211449</v>
      </c>
    </row>
    <row r="90" spans="1:33" ht="11.25" customHeight="1" x14ac:dyDescent="0.3">
      <c r="A90" s="3" t="s">
        <v>21</v>
      </c>
      <c r="B90" s="3" t="s">
        <v>39</v>
      </c>
      <c r="C90" s="3" t="s">
        <v>40</v>
      </c>
      <c r="D90" s="3" t="s">
        <v>41</v>
      </c>
      <c r="E90" s="3" t="s">
        <v>25</v>
      </c>
      <c r="F90" s="3" t="s">
        <v>25</v>
      </c>
      <c r="G90" s="3" t="s">
        <v>25</v>
      </c>
      <c r="H90" s="3" t="s">
        <v>34</v>
      </c>
      <c r="I90" s="6">
        <v>44652</v>
      </c>
      <c r="J90" s="4">
        <v>0</v>
      </c>
      <c r="K90" s="4">
        <v>0</v>
      </c>
      <c r="L90" s="4">
        <v>39.534999999999997</v>
      </c>
      <c r="M90" s="4">
        <v>39.534999999999997</v>
      </c>
      <c r="N90" s="4">
        <v>39.534999999999997</v>
      </c>
      <c r="O90" s="4">
        <v>39.534999999999997</v>
      </c>
      <c r="P90" s="4">
        <v>0</v>
      </c>
      <c r="Q90" s="3" t="s">
        <v>26</v>
      </c>
      <c r="R90" s="3">
        <v>0</v>
      </c>
      <c r="S90" s="4">
        <v>0</v>
      </c>
      <c r="T90" s="4">
        <v>10</v>
      </c>
      <c r="U90" s="4">
        <v>51</v>
      </c>
      <c r="V90" s="4">
        <f>IF(ISERROR(VLOOKUP($S$90,'TAR FIN'!$A$1:$O$91,15,0)),0,VLOOKUP($S$90,'TAR FIN'!$A$1:$O$91,15,0))</f>
        <v>0</v>
      </c>
      <c r="W90" s="4">
        <f>IF(ISERROR(VLOOKUP($T$90,'TAR FIN'!$A$1:$O$91,15,0)),0,VLOOKUP($T$90,'TAR FIN'!$A$1:$O$91,15,0))</f>
        <v>1755.54</v>
      </c>
      <c r="X90" s="4">
        <f>IF(ISERROR(VLOOKUP($U$90,'TAR FIN'!$A$1:$O$91,15,0)),0,VLOOKUP($U$90,'TAR FIN'!$A$1:$O$91,15,0))</f>
        <v>298.83999999999997</v>
      </c>
      <c r="Y90" s="4"/>
      <c r="Z90" s="4">
        <f ca="1">('TUSD BE'!$AM$14+'TUSD BF_350'!$AM$14+'TUSD CVA'!$AM$14)*1</f>
        <v>1283.23</v>
      </c>
      <c r="AA90" s="4">
        <f ca="1">('TE BE'!$AB$5+'TE BF_350'!$AB$5+'TE CVA'!$AB$5)*1</f>
        <v>311.4117891483653</v>
      </c>
      <c r="AB90" s="4">
        <f>$K$90*$V$90</f>
        <v>0</v>
      </c>
      <c r="AC90" s="4">
        <f>$M$90*$W$90</f>
        <v>69405.273899999986</v>
      </c>
      <c r="AD90" s="4">
        <f>$O$90*$X$90</f>
        <v>11814.639399999998</v>
      </c>
      <c r="AE90" s="4">
        <f>$K$90*$Y$90</f>
        <v>0</v>
      </c>
      <c r="AF90" s="4">
        <f ca="1">$M$90*$Z$90</f>
        <v>50732.498049999995</v>
      </c>
      <c r="AG90" s="4">
        <f ca="1">$O$90*$AA$90</f>
        <v>12311.665083980621</v>
      </c>
    </row>
    <row r="91" spans="1:33" ht="11.25" customHeight="1" x14ac:dyDescent="0.3">
      <c r="A91" s="3" t="s">
        <v>21</v>
      </c>
      <c r="B91" s="3" t="s">
        <v>39</v>
      </c>
      <c r="C91" s="3" t="s">
        <v>40</v>
      </c>
      <c r="D91" s="3" t="s">
        <v>41</v>
      </c>
      <c r="E91" s="3" t="s">
        <v>25</v>
      </c>
      <c r="F91" s="3" t="s">
        <v>25</v>
      </c>
      <c r="G91" s="3" t="s">
        <v>25</v>
      </c>
      <c r="H91" s="3" t="s">
        <v>34</v>
      </c>
      <c r="I91" s="6">
        <v>44682</v>
      </c>
      <c r="J91" s="4">
        <v>0</v>
      </c>
      <c r="K91" s="4">
        <v>0</v>
      </c>
      <c r="L91" s="4">
        <v>40.744999999999997</v>
      </c>
      <c r="M91" s="4">
        <v>40.744999999999997</v>
      </c>
      <c r="N91" s="4">
        <v>40.744999999999997</v>
      </c>
      <c r="O91" s="4">
        <v>40.744999999999997</v>
      </c>
      <c r="P91" s="4">
        <v>0</v>
      </c>
      <c r="Q91" s="3" t="s">
        <v>26</v>
      </c>
      <c r="R91" s="3">
        <v>0</v>
      </c>
      <c r="S91" s="4">
        <v>0</v>
      </c>
      <c r="T91" s="4">
        <v>10</v>
      </c>
      <c r="U91" s="4">
        <v>51</v>
      </c>
      <c r="V91" s="4">
        <f>IF(ISERROR(VLOOKUP($S$91,'TAR FIN'!$A$1:$O$91,15,0)),0,VLOOKUP($S$91,'TAR FIN'!$A$1:$O$91,15,0))</f>
        <v>0</v>
      </c>
      <c r="W91" s="4">
        <f>IF(ISERROR(VLOOKUP($T$91,'TAR FIN'!$A$1:$O$91,15,0)),0,VLOOKUP($T$91,'TAR FIN'!$A$1:$O$91,15,0))</f>
        <v>1755.54</v>
      </c>
      <c r="X91" s="4">
        <f>IF(ISERROR(VLOOKUP($U$91,'TAR FIN'!$A$1:$O$91,15,0)),0,VLOOKUP($U$91,'TAR FIN'!$A$1:$O$91,15,0))</f>
        <v>298.83999999999997</v>
      </c>
      <c r="Y91" s="4"/>
      <c r="Z91" s="4">
        <f ca="1">('TUSD BE'!$AM$14+'TUSD BF_350'!$AM$14+'TUSD CVA'!$AM$14)*1</f>
        <v>1283.23</v>
      </c>
      <c r="AA91" s="4">
        <f ca="1">('TE BE'!$AB$5+'TE BF_350'!$AB$5+'TE CVA'!$AB$5)*1</f>
        <v>311.4117891483653</v>
      </c>
      <c r="AB91" s="4">
        <f>$K$91*$V$91</f>
        <v>0</v>
      </c>
      <c r="AC91" s="4">
        <f>$M$91*$W$91</f>
        <v>71529.477299999999</v>
      </c>
      <c r="AD91" s="4">
        <f>$O$91*$X$91</f>
        <v>12176.235799999999</v>
      </c>
      <c r="AE91" s="4">
        <f>$K$91*$Y$91</f>
        <v>0</v>
      </c>
      <c r="AF91" s="4">
        <f ca="1">$M$91*$Z$91</f>
        <v>52285.20635</v>
      </c>
      <c r="AG91" s="4">
        <f ca="1">$O$91*$AA$91</f>
        <v>12688.473348850144</v>
      </c>
    </row>
    <row r="92" spans="1:33" ht="11.25" customHeight="1" x14ac:dyDescent="0.3">
      <c r="A92" s="3" t="s">
        <v>21</v>
      </c>
      <c r="B92" s="3" t="s">
        <v>39</v>
      </c>
      <c r="C92" s="3" t="s">
        <v>40</v>
      </c>
      <c r="D92" s="3" t="s">
        <v>41</v>
      </c>
      <c r="E92" s="3" t="s">
        <v>25</v>
      </c>
      <c r="F92" s="3" t="s">
        <v>25</v>
      </c>
      <c r="G92" s="3" t="s">
        <v>25</v>
      </c>
      <c r="H92" s="3" t="s">
        <v>34</v>
      </c>
      <c r="I92" s="6">
        <v>44713</v>
      </c>
      <c r="J92" s="4">
        <v>0</v>
      </c>
      <c r="K92" s="4">
        <v>0</v>
      </c>
      <c r="L92" s="4">
        <v>33.603999999999999</v>
      </c>
      <c r="M92" s="4">
        <v>33.603999999999999</v>
      </c>
      <c r="N92" s="4">
        <v>33.603999999999999</v>
      </c>
      <c r="O92" s="4">
        <v>33.603999999999999</v>
      </c>
      <c r="P92" s="4">
        <v>0</v>
      </c>
      <c r="Q92" s="3" t="s">
        <v>26</v>
      </c>
      <c r="R92" s="3">
        <v>0</v>
      </c>
      <c r="S92" s="4">
        <v>0</v>
      </c>
      <c r="T92" s="4">
        <v>10</v>
      </c>
      <c r="U92" s="4">
        <v>51</v>
      </c>
      <c r="V92" s="4">
        <f>IF(ISERROR(VLOOKUP($S$92,'TAR FIN'!$A$1:$O$91,15,0)),0,VLOOKUP($S$92,'TAR FIN'!$A$1:$O$91,15,0))</f>
        <v>0</v>
      </c>
      <c r="W92" s="4">
        <f>IF(ISERROR(VLOOKUP($T$92,'TAR FIN'!$A$1:$O$91,15,0)),0,VLOOKUP($T$92,'TAR FIN'!$A$1:$O$91,15,0))</f>
        <v>1755.54</v>
      </c>
      <c r="X92" s="4">
        <f>IF(ISERROR(VLOOKUP($U$92,'TAR FIN'!$A$1:$O$91,15,0)),0,VLOOKUP($U$92,'TAR FIN'!$A$1:$O$91,15,0))</f>
        <v>298.83999999999997</v>
      </c>
      <c r="Y92" s="4"/>
      <c r="Z92" s="4">
        <f ca="1">('TUSD BE'!$AM$14+'TUSD BF_350'!$AM$14+'TUSD CVA'!$AM$14)*1</f>
        <v>1283.23</v>
      </c>
      <c r="AA92" s="4">
        <f ca="1">('TE BE'!$AB$5+'TE BF_350'!$AB$5+'TE CVA'!$AB$5)*1</f>
        <v>311.4117891483653</v>
      </c>
      <c r="AB92" s="4">
        <f>$K$92*$V$92</f>
        <v>0</v>
      </c>
      <c r="AC92" s="4">
        <f>$M$92*$W$92</f>
        <v>58993.166160000001</v>
      </c>
      <c r="AD92" s="4">
        <f>$O$92*$X$92</f>
        <v>10042.219359999999</v>
      </c>
      <c r="AE92" s="4">
        <f>$K$92*$Y$92</f>
        <v>0</v>
      </c>
      <c r="AF92" s="4">
        <f ca="1">$M$92*$Z$92</f>
        <v>43121.660920000002</v>
      </c>
      <c r="AG92" s="4">
        <f ca="1">$O$92*$AA$92</f>
        <v>10464.681762541668</v>
      </c>
    </row>
    <row r="93" spans="1:33" ht="11.25" customHeight="1" x14ac:dyDescent="0.3">
      <c r="A93" s="3" t="s">
        <v>28</v>
      </c>
      <c r="B93" s="3" t="s">
        <v>39</v>
      </c>
      <c r="C93" s="3" t="s">
        <v>40</v>
      </c>
      <c r="D93" s="3" t="s">
        <v>41</v>
      </c>
      <c r="E93" s="3" t="s">
        <v>25</v>
      </c>
      <c r="F93" s="3" t="s">
        <v>25</v>
      </c>
      <c r="G93" s="3" t="s">
        <v>25</v>
      </c>
      <c r="H93" s="3" t="s">
        <v>34</v>
      </c>
      <c r="I93" s="6">
        <v>44713</v>
      </c>
      <c r="J93" s="4">
        <v>0</v>
      </c>
      <c r="K93" s="4">
        <v>0</v>
      </c>
      <c r="L93" s="4">
        <v>1.1970000000000001</v>
      </c>
      <c r="M93" s="4">
        <v>1.1970000000000001</v>
      </c>
      <c r="N93" s="4">
        <v>1.1970000000000001</v>
      </c>
      <c r="O93" s="4">
        <v>1.1970000000000001</v>
      </c>
      <c r="P93" s="4">
        <v>0</v>
      </c>
      <c r="Q93" s="3" t="s">
        <v>26</v>
      </c>
      <c r="R93" s="3">
        <v>0</v>
      </c>
      <c r="S93" s="4">
        <v>0</v>
      </c>
      <c r="T93" s="4">
        <v>10</v>
      </c>
      <c r="U93" s="4">
        <v>51</v>
      </c>
      <c r="V93" s="4">
        <f>IF(ISERROR(VLOOKUP($S$93,'TAR FIN'!$A$1:$O$91,15,0)),0,VLOOKUP($S$93,'TAR FIN'!$A$1:$O$91,15,0))</f>
        <v>0</v>
      </c>
      <c r="W93" s="4">
        <f>IF(ISERROR(VLOOKUP($T$93,'TAR FIN'!$A$1:$O$91,15,0)),0,VLOOKUP($T$93,'TAR FIN'!$A$1:$O$91,15,0))</f>
        <v>1755.54</v>
      </c>
      <c r="X93" s="4">
        <f>IF(ISERROR(VLOOKUP($U$93,'TAR FIN'!$A$1:$O$91,15,0)),0,VLOOKUP($U$93,'TAR FIN'!$A$1:$O$91,15,0))</f>
        <v>298.83999999999997</v>
      </c>
      <c r="Y93" s="4"/>
      <c r="Z93" s="4">
        <f ca="1">('TUSD BE'!$AM$14+'TUSD BF_350'!$AM$14+'TUSD CVA'!$AM$14)*1</f>
        <v>1283.23</v>
      </c>
      <c r="AA93" s="4">
        <f ca="1">('TE BE'!$AB$5+'TE BF_350'!$AB$5+'TE CVA'!$AB$5)*1</f>
        <v>311.4117891483653</v>
      </c>
      <c r="AB93" s="4">
        <f>$K$93*$V$93</f>
        <v>0</v>
      </c>
      <c r="AC93" s="4">
        <f>$M$93*$W$93</f>
        <v>2101.3813800000003</v>
      </c>
      <c r="AD93" s="4">
        <f>$O$93*$X$93</f>
        <v>357.71147999999999</v>
      </c>
      <c r="AE93" s="4">
        <f>$K$93*$Y$93</f>
        <v>0</v>
      </c>
      <c r="AF93" s="4">
        <f ca="1">$M$93*$Z$93</f>
        <v>1536.0263100000002</v>
      </c>
      <c r="AG93" s="4">
        <f ca="1">$O$93*$AA$93</f>
        <v>372.75991161059329</v>
      </c>
    </row>
    <row r="94" spans="1:33" ht="11.25" customHeight="1" x14ac:dyDescent="0.3">
      <c r="A94" s="3" t="s">
        <v>21</v>
      </c>
      <c r="B94" s="3" t="s">
        <v>39</v>
      </c>
      <c r="C94" s="3" t="s">
        <v>40</v>
      </c>
      <c r="D94" s="3" t="s">
        <v>38</v>
      </c>
      <c r="E94" s="3" t="s">
        <v>25</v>
      </c>
      <c r="F94" s="3" t="s">
        <v>54</v>
      </c>
      <c r="G94" s="3" t="s">
        <v>25</v>
      </c>
      <c r="H94" s="3" t="s">
        <v>35</v>
      </c>
      <c r="I94" s="6">
        <v>44378</v>
      </c>
      <c r="J94" s="4">
        <v>0</v>
      </c>
      <c r="K94" s="4">
        <v>0</v>
      </c>
      <c r="L94" s="4">
        <v>576.83600000000001</v>
      </c>
      <c r="M94" s="4">
        <v>576.83600000000001</v>
      </c>
      <c r="N94" s="4">
        <v>0</v>
      </c>
      <c r="O94" s="4">
        <v>0</v>
      </c>
      <c r="P94" s="4">
        <v>0</v>
      </c>
      <c r="Q94" s="3" t="s">
        <v>55</v>
      </c>
      <c r="R94" s="3">
        <v>0</v>
      </c>
      <c r="S94" s="4">
        <v>0</v>
      </c>
      <c r="T94" s="4">
        <v>11</v>
      </c>
      <c r="U94" s="4">
        <v>0</v>
      </c>
      <c r="V94" s="4">
        <f>IF(ISERROR(VLOOKUP($S$94,'TAR FIN'!$A$1:$O$91,15,0)),0,VLOOKUP($S$94,'TAR FIN'!$A$1:$O$91,15,0))</f>
        <v>0</v>
      </c>
      <c r="W94" s="4">
        <f>IF(ISERROR(VLOOKUP($T$94,'TAR FIN'!$A$1:$O$91,15,0)),0,VLOOKUP($T$94,'TAR FIN'!$A$1:$O$91,15,0))</f>
        <v>90.54</v>
      </c>
      <c r="X94" s="4">
        <f>IF(ISERROR(VLOOKUP($U$94,'TAR FIN'!$A$1:$O$91,15,0)),0,VLOOKUP($U$94,'TAR FIN'!$A$1:$O$91,15,0))</f>
        <v>0</v>
      </c>
      <c r="Y94" s="4"/>
      <c r="Z94" s="4">
        <f ca="1">('TUSD BE'!$AM$15+'TUSD BF_350'!$AM$15+'TUSD CVA'!$AM$15)*1</f>
        <v>116.79000000000002</v>
      </c>
      <c r="AA94" s="4"/>
      <c r="AB94" s="4">
        <f>$K$94*$V$94</f>
        <v>0</v>
      </c>
      <c r="AC94" s="4">
        <f>$M$94*$W$94</f>
        <v>52226.731440000003</v>
      </c>
      <c r="AD94" s="4">
        <f>$O$94*$X$94</f>
        <v>0</v>
      </c>
      <c r="AE94" s="4">
        <f>$K$94*$Y$94</f>
        <v>0</v>
      </c>
      <c r="AF94" s="4">
        <f ca="1">$M$94*$Z$94</f>
        <v>67368.67644000001</v>
      </c>
      <c r="AG94" s="4">
        <f>$O$94*$AA$94</f>
        <v>0</v>
      </c>
    </row>
    <row r="95" spans="1:33" ht="11.25" customHeight="1" x14ac:dyDescent="0.3">
      <c r="A95" s="3" t="s">
        <v>21</v>
      </c>
      <c r="B95" s="3" t="s">
        <v>39</v>
      </c>
      <c r="C95" s="3" t="s">
        <v>40</v>
      </c>
      <c r="D95" s="3" t="s">
        <v>38</v>
      </c>
      <c r="E95" s="3" t="s">
        <v>25</v>
      </c>
      <c r="F95" s="3" t="s">
        <v>54</v>
      </c>
      <c r="G95" s="3" t="s">
        <v>25</v>
      </c>
      <c r="H95" s="3" t="s">
        <v>35</v>
      </c>
      <c r="I95" s="6">
        <v>44409</v>
      </c>
      <c r="J95" s="4">
        <v>0</v>
      </c>
      <c r="K95" s="4">
        <v>0</v>
      </c>
      <c r="L95" s="4">
        <v>659.55899999999997</v>
      </c>
      <c r="M95" s="4">
        <v>659.55899999999997</v>
      </c>
      <c r="N95" s="4">
        <v>0</v>
      </c>
      <c r="O95" s="4">
        <v>0</v>
      </c>
      <c r="P95" s="4">
        <v>0</v>
      </c>
      <c r="Q95" s="3" t="s">
        <v>55</v>
      </c>
      <c r="R95" s="3">
        <v>0</v>
      </c>
      <c r="S95" s="4">
        <v>0</v>
      </c>
      <c r="T95" s="4">
        <v>11</v>
      </c>
      <c r="U95" s="4">
        <v>0</v>
      </c>
      <c r="V95" s="4">
        <f>IF(ISERROR(VLOOKUP($S$95,'TAR FIN'!$A$1:$O$91,15,0)),0,VLOOKUP($S$95,'TAR FIN'!$A$1:$O$91,15,0))</f>
        <v>0</v>
      </c>
      <c r="W95" s="4">
        <f>IF(ISERROR(VLOOKUP($T$95,'TAR FIN'!$A$1:$O$91,15,0)),0,VLOOKUP($T$95,'TAR FIN'!$A$1:$O$91,15,0))</f>
        <v>90.54</v>
      </c>
      <c r="X95" s="4">
        <f>IF(ISERROR(VLOOKUP($U$95,'TAR FIN'!$A$1:$O$91,15,0)),0,VLOOKUP($U$95,'TAR FIN'!$A$1:$O$91,15,0))</f>
        <v>0</v>
      </c>
      <c r="Y95" s="4"/>
      <c r="Z95" s="4">
        <f ca="1">('TUSD BE'!$AM$15+'TUSD BF_350'!$AM$15+'TUSD CVA'!$AM$15)*1</f>
        <v>116.79000000000002</v>
      </c>
      <c r="AA95" s="4"/>
      <c r="AB95" s="4">
        <f>$K$95*$V$95</f>
        <v>0</v>
      </c>
      <c r="AC95" s="4">
        <f>$M$95*$W$95</f>
        <v>59716.471859999998</v>
      </c>
      <c r="AD95" s="4">
        <f>$O$95*$X$95</f>
        <v>0</v>
      </c>
      <c r="AE95" s="4">
        <f>$K$95*$Y$95</f>
        <v>0</v>
      </c>
      <c r="AF95" s="4">
        <f ca="1">$M$95*$Z$95</f>
        <v>77029.895610000007</v>
      </c>
      <c r="AG95" s="4">
        <f>$O$95*$AA$95</f>
        <v>0</v>
      </c>
    </row>
    <row r="96" spans="1:33" ht="11.25" customHeight="1" x14ac:dyDescent="0.3">
      <c r="A96" s="3" t="s">
        <v>21</v>
      </c>
      <c r="B96" s="3" t="s">
        <v>39</v>
      </c>
      <c r="C96" s="3" t="s">
        <v>40</v>
      </c>
      <c r="D96" s="3" t="s">
        <v>38</v>
      </c>
      <c r="E96" s="3" t="s">
        <v>25</v>
      </c>
      <c r="F96" s="3" t="s">
        <v>54</v>
      </c>
      <c r="G96" s="3" t="s">
        <v>25</v>
      </c>
      <c r="H96" s="3" t="s">
        <v>35</v>
      </c>
      <c r="I96" s="6">
        <v>44440</v>
      </c>
      <c r="J96" s="4">
        <v>0</v>
      </c>
      <c r="K96" s="4">
        <v>0</v>
      </c>
      <c r="L96" s="4">
        <v>566.03899999999999</v>
      </c>
      <c r="M96" s="4">
        <v>566.03899999999999</v>
      </c>
      <c r="N96" s="4">
        <v>0</v>
      </c>
      <c r="O96" s="4">
        <v>0</v>
      </c>
      <c r="P96" s="4">
        <v>0</v>
      </c>
      <c r="Q96" s="3" t="s">
        <v>55</v>
      </c>
      <c r="R96" s="3">
        <v>0</v>
      </c>
      <c r="S96" s="4">
        <v>0</v>
      </c>
      <c r="T96" s="4">
        <v>11</v>
      </c>
      <c r="U96" s="4">
        <v>0</v>
      </c>
      <c r="V96" s="4">
        <f>IF(ISERROR(VLOOKUP($S$96,'TAR FIN'!$A$1:$O$91,15,0)),0,VLOOKUP($S$96,'TAR FIN'!$A$1:$O$91,15,0))</f>
        <v>0</v>
      </c>
      <c r="W96" s="4">
        <f>IF(ISERROR(VLOOKUP($T$96,'TAR FIN'!$A$1:$O$91,15,0)),0,VLOOKUP($T$96,'TAR FIN'!$A$1:$O$91,15,0))</f>
        <v>90.54</v>
      </c>
      <c r="X96" s="4">
        <f>IF(ISERROR(VLOOKUP($U$96,'TAR FIN'!$A$1:$O$91,15,0)),0,VLOOKUP($U$96,'TAR FIN'!$A$1:$O$91,15,0))</f>
        <v>0</v>
      </c>
      <c r="Y96" s="4"/>
      <c r="Z96" s="4">
        <f ca="1">('TUSD BE'!$AM$15+'TUSD BF_350'!$AM$15+'TUSD CVA'!$AM$15)*1</f>
        <v>116.79000000000002</v>
      </c>
      <c r="AA96" s="4"/>
      <c r="AB96" s="4">
        <f>$K$96*$V$96</f>
        <v>0</v>
      </c>
      <c r="AC96" s="4">
        <f>$M$96*$W$96</f>
        <v>51249.171060000001</v>
      </c>
      <c r="AD96" s="4">
        <f>$O$96*$X$96</f>
        <v>0</v>
      </c>
      <c r="AE96" s="4">
        <f>$K$96*$Y$96</f>
        <v>0</v>
      </c>
      <c r="AF96" s="4">
        <f ca="1">$M$96*$Z$96</f>
        <v>66107.694810000015</v>
      </c>
      <c r="AG96" s="4">
        <f>$O$96*$AA$96</f>
        <v>0</v>
      </c>
    </row>
    <row r="97" spans="1:33" ht="11.25" customHeight="1" x14ac:dyDescent="0.3">
      <c r="A97" s="3" t="s">
        <v>21</v>
      </c>
      <c r="B97" s="3" t="s">
        <v>39</v>
      </c>
      <c r="C97" s="3" t="s">
        <v>40</v>
      </c>
      <c r="D97" s="3" t="s">
        <v>38</v>
      </c>
      <c r="E97" s="3" t="s">
        <v>25</v>
      </c>
      <c r="F97" s="3" t="s">
        <v>54</v>
      </c>
      <c r="G97" s="3" t="s">
        <v>25</v>
      </c>
      <c r="H97" s="3" t="s">
        <v>35</v>
      </c>
      <c r="I97" s="6">
        <v>44470</v>
      </c>
      <c r="J97" s="4">
        <v>0</v>
      </c>
      <c r="K97" s="4">
        <v>0</v>
      </c>
      <c r="L97" s="4">
        <v>480.84199999999998</v>
      </c>
      <c r="M97" s="4">
        <v>480.84199999999998</v>
      </c>
      <c r="N97" s="4">
        <v>0</v>
      </c>
      <c r="O97" s="4">
        <v>0</v>
      </c>
      <c r="P97" s="4">
        <v>0</v>
      </c>
      <c r="Q97" s="3" t="s">
        <v>55</v>
      </c>
      <c r="R97" s="3">
        <v>0</v>
      </c>
      <c r="S97" s="4">
        <v>0</v>
      </c>
      <c r="T97" s="4">
        <v>11</v>
      </c>
      <c r="U97" s="4">
        <v>0</v>
      </c>
      <c r="V97" s="4">
        <f>IF(ISERROR(VLOOKUP($S$97,'TAR FIN'!$A$1:$O$91,15,0)),0,VLOOKUP($S$97,'TAR FIN'!$A$1:$O$91,15,0))</f>
        <v>0</v>
      </c>
      <c r="W97" s="4">
        <f>IF(ISERROR(VLOOKUP($T$97,'TAR FIN'!$A$1:$O$91,15,0)),0,VLOOKUP($T$97,'TAR FIN'!$A$1:$O$91,15,0))</f>
        <v>90.54</v>
      </c>
      <c r="X97" s="4">
        <f>IF(ISERROR(VLOOKUP($U$97,'TAR FIN'!$A$1:$O$91,15,0)),0,VLOOKUP($U$97,'TAR FIN'!$A$1:$O$91,15,0))</f>
        <v>0</v>
      </c>
      <c r="Y97" s="4"/>
      <c r="Z97" s="4">
        <f ca="1">('TUSD BE'!$AM$15+'TUSD BF_350'!$AM$15+'TUSD CVA'!$AM$15)*1</f>
        <v>116.79000000000002</v>
      </c>
      <c r="AA97" s="4"/>
      <c r="AB97" s="4">
        <f>$K$97*$V$97</f>
        <v>0</v>
      </c>
      <c r="AC97" s="4">
        <f>$M$97*$W$97</f>
        <v>43535.434679999998</v>
      </c>
      <c r="AD97" s="4">
        <f>$O$97*$X$97</f>
        <v>0</v>
      </c>
      <c r="AE97" s="4">
        <f>$K$97*$Y$97</f>
        <v>0</v>
      </c>
      <c r="AF97" s="4">
        <f ca="1">$M$97*$Z$97</f>
        <v>56157.537180000007</v>
      </c>
      <c r="AG97" s="4">
        <f>$O$97*$AA$97</f>
        <v>0</v>
      </c>
    </row>
    <row r="98" spans="1:33" ht="11.25" customHeight="1" x14ac:dyDescent="0.3">
      <c r="A98" s="3" t="s">
        <v>21</v>
      </c>
      <c r="B98" s="3" t="s">
        <v>39</v>
      </c>
      <c r="C98" s="3" t="s">
        <v>40</v>
      </c>
      <c r="D98" s="3" t="s">
        <v>38</v>
      </c>
      <c r="E98" s="3" t="s">
        <v>25</v>
      </c>
      <c r="F98" s="3" t="s">
        <v>54</v>
      </c>
      <c r="G98" s="3" t="s">
        <v>25</v>
      </c>
      <c r="H98" s="3" t="s">
        <v>35</v>
      </c>
      <c r="I98" s="6">
        <v>44501</v>
      </c>
      <c r="J98" s="4">
        <v>0</v>
      </c>
      <c r="K98" s="4">
        <v>0</v>
      </c>
      <c r="L98" s="4">
        <v>584.78099999999995</v>
      </c>
      <c r="M98" s="4">
        <v>584.78099999999995</v>
      </c>
      <c r="N98" s="4">
        <v>0</v>
      </c>
      <c r="O98" s="4">
        <v>0</v>
      </c>
      <c r="P98" s="4">
        <v>0</v>
      </c>
      <c r="Q98" s="3" t="s">
        <v>55</v>
      </c>
      <c r="R98" s="3">
        <v>0</v>
      </c>
      <c r="S98" s="4">
        <v>0</v>
      </c>
      <c r="T98" s="4">
        <v>11</v>
      </c>
      <c r="U98" s="4">
        <v>0</v>
      </c>
      <c r="V98" s="4">
        <f>IF(ISERROR(VLOOKUP($S$98,'TAR FIN'!$A$1:$O$91,15,0)),0,VLOOKUP($S$98,'TAR FIN'!$A$1:$O$91,15,0))</f>
        <v>0</v>
      </c>
      <c r="W98" s="4">
        <f>IF(ISERROR(VLOOKUP($T$98,'TAR FIN'!$A$1:$O$91,15,0)),0,VLOOKUP($T$98,'TAR FIN'!$A$1:$O$91,15,0))</f>
        <v>90.54</v>
      </c>
      <c r="X98" s="4">
        <f>IF(ISERROR(VLOOKUP($U$98,'TAR FIN'!$A$1:$O$91,15,0)),0,VLOOKUP($U$98,'TAR FIN'!$A$1:$O$91,15,0))</f>
        <v>0</v>
      </c>
      <c r="Y98" s="4"/>
      <c r="Z98" s="4">
        <f ca="1">('TUSD BE'!$AM$15+'TUSD BF_350'!$AM$15+'TUSD CVA'!$AM$15)*1</f>
        <v>116.79000000000002</v>
      </c>
      <c r="AA98" s="4"/>
      <c r="AB98" s="4">
        <f>$K$98*$V$98</f>
        <v>0</v>
      </c>
      <c r="AC98" s="4">
        <f>$M$98*$W$98</f>
        <v>52946.071739999999</v>
      </c>
      <c r="AD98" s="4">
        <f>$O$98*$X$98</f>
        <v>0</v>
      </c>
      <c r="AE98" s="4">
        <f>$K$98*$Y$98</f>
        <v>0</v>
      </c>
      <c r="AF98" s="4">
        <f ca="1">$M$98*$Z$98</f>
        <v>68296.572990000001</v>
      </c>
      <c r="AG98" s="4">
        <f>$O$98*$AA$98</f>
        <v>0</v>
      </c>
    </row>
    <row r="99" spans="1:33" ht="11.25" customHeight="1" x14ac:dyDescent="0.3">
      <c r="A99" s="3" t="s">
        <v>21</v>
      </c>
      <c r="B99" s="3" t="s">
        <v>39</v>
      </c>
      <c r="C99" s="3" t="s">
        <v>40</v>
      </c>
      <c r="D99" s="3" t="s">
        <v>38</v>
      </c>
      <c r="E99" s="3" t="s">
        <v>25</v>
      </c>
      <c r="F99" s="3" t="s">
        <v>54</v>
      </c>
      <c r="G99" s="3" t="s">
        <v>25</v>
      </c>
      <c r="H99" s="3" t="s">
        <v>35</v>
      </c>
      <c r="I99" s="6">
        <v>44531</v>
      </c>
      <c r="J99" s="4">
        <v>0</v>
      </c>
      <c r="K99" s="4">
        <v>0</v>
      </c>
      <c r="L99" s="4">
        <v>625.28099999999995</v>
      </c>
      <c r="M99" s="4">
        <v>625.28099999999995</v>
      </c>
      <c r="N99" s="4">
        <v>0</v>
      </c>
      <c r="O99" s="4">
        <v>0</v>
      </c>
      <c r="P99" s="4">
        <v>0</v>
      </c>
      <c r="Q99" s="3" t="s">
        <v>55</v>
      </c>
      <c r="R99" s="3">
        <v>0</v>
      </c>
      <c r="S99" s="4">
        <v>0</v>
      </c>
      <c r="T99" s="4">
        <v>11</v>
      </c>
      <c r="U99" s="4">
        <v>0</v>
      </c>
      <c r="V99" s="4">
        <f>IF(ISERROR(VLOOKUP($S$99,'TAR FIN'!$A$1:$O$91,15,0)),0,VLOOKUP($S$99,'TAR FIN'!$A$1:$O$91,15,0))</f>
        <v>0</v>
      </c>
      <c r="W99" s="4">
        <f>IF(ISERROR(VLOOKUP($T$99,'TAR FIN'!$A$1:$O$91,15,0)),0,VLOOKUP($T$99,'TAR FIN'!$A$1:$O$91,15,0))</f>
        <v>90.54</v>
      </c>
      <c r="X99" s="4">
        <f>IF(ISERROR(VLOOKUP($U$99,'TAR FIN'!$A$1:$O$91,15,0)),0,VLOOKUP($U$99,'TAR FIN'!$A$1:$O$91,15,0))</f>
        <v>0</v>
      </c>
      <c r="Y99" s="4"/>
      <c r="Z99" s="4">
        <f ca="1">('TUSD BE'!$AM$15+'TUSD BF_350'!$AM$15+'TUSD CVA'!$AM$15)*1</f>
        <v>116.79000000000002</v>
      </c>
      <c r="AA99" s="4"/>
      <c r="AB99" s="4">
        <f>$K$99*$V$99</f>
        <v>0</v>
      </c>
      <c r="AC99" s="4">
        <f>$M$99*$W$99</f>
        <v>56612.941740000002</v>
      </c>
      <c r="AD99" s="4">
        <f>$O$99*$X$99</f>
        <v>0</v>
      </c>
      <c r="AE99" s="4">
        <f>$K$99*$Y$99</f>
        <v>0</v>
      </c>
      <c r="AF99" s="4">
        <f ca="1">$M$99*$Z$99</f>
        <v>73026.56799000001</v>
      </c>
      <c r="AG99" s="4">
        <f>$O$99*$AA$99</f>
        <v>0</v>
      </c>
    </row>
    <row r="100" spans="1:33" ht="11.25" customHeight="1" x14ac:dyDescent="0.3">
      <c r="A100" s="3" t="s">
        <v>21</v>
      </c>
      <c r="B100" s="3" t="s">
        <v>39</v>
      </c>
      <c r="C100" s="3" t="s">
        <v>40</v>
      </c>
      <c r="D100" s="3" t="s">
        <v>38</v>
      </c>
      <c r="E100" s="3" t="s">
        <v>25</v>
      </c>
      <c r="F100" s="3" t="s">
        <v>54</v>
      </c>
      <c r="G100" s="3" t="s">
        <v>25</v>
      </c>
      <c r="H100" s="3" t="s">
        <v>35</v>
      </c>
      <c r="I100" s="6">
        <v>44562</v>
      </c>
      <c r="J100" s="4">
        <v>0</v>
      </c>
      <c r="K100" s="4">
        <v>0</v>
      </c>
      <c r="L100" s="4">
        <v>608.40499999999997</v>
      </c>
      <c r="M100" s="4">
        <v>608.40499999999997</v>
      </c>
      <c r="N100" s="4">
        <v>0</v>
      </c>
      <c r="O100" s="4">
        <v>0</v>
      </c>
      <c r="P100" s="4">
        <v>0</v>
      </c>
      <c r="Q100" s="3" t="s">
        <v>55</v>
      </c>
      <c r="R100" s="3">
        <v>0</v>
      </c>
      <c r="S100" s="4">
        <v>0</v>
      </c>
      <c r="T100" s="4">
        <v>11</v>
      </c>
      <c r="U100" s="4">
        <v>0</v>
      </c>
      <c r="V100" s="4">
        <f>IF(ISERROR(VLOOKUP($S$100,'TAR FIN'!$A$1:$O$91,15,0)),0,VLOOKUP($S$100,'TAR FIN'!$A$1:$O$91,15,0))</f>
        <v>0</v>
      </c>
      <c r="W100" s="4">
        <f>IF(ISERROR(VLOOKUP($T$100,'TAR FIN'!$A$1:$O$91,15,0)),0,VLOOKUP($T$100,'TAR FIN'!$A$1:$O$91,15,0))</f>
        <v>90.54</v>
      </c>
      <c r="X100" s="4">
        <f>IF(ISERROR(VLOOKUP($U$100,'TAR FIN'!$A$1:$O$91,15,0)),0,VLOOKUP($U$100,'TAR FIN'!$A$1:$O$91,15,0))</f>
        <v>0</v>
      </c>
      <c r="Y100" s="4"/>
      <c r="Z100" s="4">
        <f ca="1">('TUSD BE'!$AM$15+'TUSD BF_350'!$AM$15+'TUSD CVA'!$AM$15)*1</f>
        <v>116.79000000000002</v>
      </c>
      <c r="AA100" s="4"/>
      <c r="AB100" s="4">
        <f>$K$100*$V$100</f>
        <v>0</v>
      </c>
      <c r="AC100" s="4">
        <f>$M$100*$W$100</f>
        <v>55084.988700000002</v>
      </c>
      <c r="AD100" s="4">
        <f>$O$100*$X$100</f>
        <v>0</v>
      </c>
      <c r="AE100" s="4">
        <f>$K$100*$Y$100</f>
        <v>0</v>
      </c>
      <c r="AF100" s="4">
        <f ca="1">$M$100*$Z$100</f>
        <v>71055.619950000008</v>
      </c>
      <c r="AG100" s="4">
        <f>$O$100*$AA$100</f>
        <v>0</v>
      </c>
    </row>
    <row r="101" spans="1:33" ht="11.25" customHeight="1" x14ac:dyDescent="0.3">
      <c r="A101" s="3" t="s">
        <v>21</v>
      </c>
      <c r="B101" s="3" t="s">
        <v>39</v>
      </c>
      <c r="C101" s="3" t="s">
        <v>40</v>
      </c>
      <c r="D101" s="3" t="s">
        <v>38</v>
      </c>
      <c r="E101" s="3" t="s">
        <v>25</v>
      </c>
      <c r="F101" s="3" t="s">
        <v>54</v>
      </c>
      <c r="G101" s="3" t="s">
        <v>25</v>
      </c>
      <c r="H101" s="3" t="s">
        <v>35</v>
      </c>
      <c r="I101" s="6">
        <v>44593</v>
      </c>
      <c r="J101" s="4">
        <v>0</v>
      </c>
      <c r="K101" s="4">
        <v>0</v>
      </c>
      <c r="L101" s="4">
        <v>526.81399999999996</v>
      </c>
      <c r="M101" s="4">
        <v>526.81399999999996</v>
      </c>
      <c r="N101" s="4">
        <v>0</v>
      </c>
      <c r="O101" s="4">
        <v>0</v>
      </c>
      <c r="P101" s="4">
        <v>0</v>
      </c>
      <c r="Q101" s="3" t="s">
        <v>55</v>
      </c>
      <c r="R101" s="3">
        <v>0</v>
      </c>
      <c r="S101" s="4">
        <v>0</v>
      </c>
      <c r="T101" s="4">
        <v>11</v>
      </c>
      <c r="U101" s="4">
        <v>0</v>
      </c>
      <c r="V101" s="4">
        <f>IF(ISERROR(VLOOKUP($S$101,'TAR FIN'!$A$1:$O$91,15,0)),0,VLOOKUP($S$101,'TAR FIN'!$A$1:$O$91,15,0))</f>
        <v>0</v>
      </c>
      <c r="W101" s="4">
        <f>IF(ISERROR(VLOOKUP($T$101,'TAR FIN'!$A$1:$O$91,15,0)),0,VLOOKUP($T$101,'TAR FIN'!$A$1:$O$91,15,0))</f>
        <v>90.54</v>
      </c>
      <c r="X101" s="4">
        <f>IF(ISERROR(VLOOKUP($U$101,'TAR FIN'!$A$1:$O$91,15,0)),0,VLOOKUP($U$101,'TAR FIN'!$A$1:$O$91,15,0))</f>
        <v>0</v>
      </c>
      <c r="Y101" s="4"/>
      <c r="Z101" s="4">
        <f ca="1">('TUSD BE'!$AM$15+'TUSD BF_350'!$AM$15+'TUSD CVA'!$AM$15)*1</f>
        <v>116.79000000000002</v>
      </c>
      <c r="AA101" s="4"/>
      <c r="AB101" s="4">
        <f>$K$101*$V$101</f>
        <v>0</v>
      </c>
      <c r="AC101" s="4">
        <f>$M$101*$W$101</f>
        <v>47697.739560000002</v>
      </c>
      <c r="AD101" s="4">
        <f>$O$101*$X$101</f>
        <v>0</v>
      </c>
      <c r="AE101" s="4">
        <f>$K$101*$Y$101</f>
        <v>0</v>
      </c>
      <c r="AF101" s="4">
        <f ca="1">$M$101*$Z$101</f>
        <v>61526.607060000009</v>
      </c>
      <c r="AG101" s="4">
        <f>$O$101*$AA$101</f>
        <v>0</v>
      </c>
    </row>
    <row r="102" spans="1:33" ht="11.25" customHeight="1" x14ac:dyDescent="0.3">
      <c r="A102" s="3" t="s">
        <v>21</v>
      </c>
      <c r="B102" s="3" t="s">
        <v>39</v>
      </c>
      <c r="C102" s="3" t="s">
        <v>40</v>
      </c>
      <c r="D102" s="3" t="s">
        <v>38</v>
      </c>
      <c r="E102" s="3" t="s">
        <v>25</v>
      </c>
      <c r="F102" s="3" t="s">
        <v>54</v>
      </c>
      <c r="G102" s="3" t="s">
        <v>25</v>
      </c>
      <c r="H102" s="3" t="s">
        <v>35</v>
      </c>
      <c r="I102" s="6">
        <v>44621</v>
      </c>
      <c r="J102" s="4">
        <v>0</v>
      </c>
      <c r="K102" s="4">
        <v>0</v>
      </c>
      <c r="L102" s="4">
        <v>1022.5549999999999</v>
      </c>
      <c r="M102" s="4">
        <v>1022.5549999999999</v>
      </c>
      <c r="N102" s="4">
        <v>0</v>
      </c>
      <c r="O102" s="4">
        <v>0</v>
      </c>
      <c r="P102" s="4">
        <v>0</v>
      </c>
      <c r="Q102" s="3" t="s">
        <v>55</v>
      </c>
      <c r="R102" s="3">
        <v>0</v>
      </c>
      <c r="S102" s="4">
        <v>0</v>
      </c>
      <c r="T102" s="4">
        <v>11</v>
      </c>
      <c r="U102" s="4">
        <v>0</v>
      </c>
      <c r="V102" s="4">
        <f>IF(ISERROR(VLOOKUP($S$102,'TAR FIN'!$A$1:$O$91,15,0)),0,VLOOKUP($S$102,'TAR FIN'!$A$1:$O$91,15,0))</f>
        <v>0</v>
      </c>
      <c r="W102" s="4">
        <f>IF(ISERROR(VLOOKUP($T$102,'TAR FIN'!$A$1:$O$91,15,0)),0,VLOOKUP($T$102,'TAR FIN'!$A$1:$O$91,15,0))</f>
        <v>90.54</v>
      </c>
      <c r="X102" s="4">
        <f>IF(ISERROR(VLOOKUP($U$102,'TAR FIN'!$A$1:$O$91,15,0)),0,VLOOKUP($U$102,'TAR FIN'!$A$1:$O$91,15,0))</f>
        <v>0</v>
      </c>
      <c r="Y102" s="4"/>
      <c r="Z102" s="4">
        <f ca="1">('TUSD BE'!$AM$15+'TUSD BF_350'!$AM$15+'TUSD CVA'!$AM$15)*1</f>
        <v>116.79000000000002</v>
      </c>
      <c r="AA102" s="4"/>
      <c r="AB102" s="4">
        <f>$K$102*$V$102</f>
        <v>0</v>
      </c>
      <c r="AC102" s="4">
        <f>$M$102*$W$102</f>
        <v>92582.129700000005</v>
      </c>
      <c r="AD102" s="4">
        <f>$O$102*$X$102</f>
        <v>0</v>
      </c>
      <c r="AE102" s="4">
        <f>$K$102*$Y$102</f>
        <v>0</v>
      </c>
      <c r="AF102" s="4">
        <f ca="1">$M$102*$Z$102</f>
        <v>119424.19845000001</v>
      </c>
      <c r="AG102" s="4">
        <f>$O$102*$AA$102</f>
        <v>0</v>
      </c>
    </row>
    <row r="103" spans="1:33" ht="11.25" customHeight="1" x14ac:dyDescent="0.3">
      <c r="A103" s="3" t="s">
        <v>21</v>
      </c>
      <c r="B103" s="3" t="s">
        <v>39</v>
      </c>
      <c r="C103" s="3" t="s">
        <v>40</v>
      </c>
      <c r="D103" s="3" t="s">
        <v>38</v>
      </c>
      <c r="E103" s="3" t="s">
        <v>25</v>
      </c>
      <c r="F103" s="3" t="s">
        <v>54</v>
      </c>
      <c r="G103" s="3" t="s">
        <v>25</v>
      </c>
      <c r="H103" s="3" t="s">
        <v>35</v>
      </c>
      <c r="I103" s="6">
        <v>44652</v>
      </c>
      <c r="J103" s="4">
        <v>0</v>
      </c>
      <c r="K103" s="4">
        <v>0</v>
      </c>
      <c r="L103" s="4">
        <v>677.24199999999996</v>
      </c>
      <c r="M103" s="4">
        <v>677.24199999999996</v>
      </c>
      <c r="N103" s="4">
        <v>0</v>
      </c>
      <c r="O103" s="4">
        <v>0</v>
      </c>
      <c r="P103" s="4">
        <v>0</v>
      </c>
      <c r="Q103" s="3" t="s">
        <v>55</v>
      </c>
      <c r="R103" s="3">
        <v>0</v>
      </c>
      <c r="S103" s="4">
        <v>0</v>
      </c>
      <c r="T103" s="4">
        <v>11</v>
      </c>
      <c r="U103" s="4">
        <v>0</v>
      </c>
      <c r="V103" s="4">
        <f>IF(ISERROR(VLOOKUP($S$103,'TAR FIN'!$A$1:$O$91,15,0)),0,VLOOKUP($S$103,'TAR FIN'!$A$1:$O$91,15,0))</f>
        <v>0</v>
      </c>
      <c r="W103" s="4">
        <f>IF(ISERROR(VLOOKUP($T$103,'TAR FIN'!$A$1:$O$91,15,0)),0,VLOOKUP($T$103,'TAR FIN'!$A$1:$O$91,15,0))</f>
        <v>90.54</v>
      </c>
      <c r="X103" s="4">
        <f>IF(ISERROR(VLOOKUP($U$103,'TAR FIN'!$A$1:$O$91,15,0)),0,VLOOKUP($U$103,'TAR FIN'!$A$1:$O$91,15,0))</f>
        <v>0</v>
      </c>
      <c r="Y103" s="4"/>
      <c r="Z103" s="4">
        <f ca="1">('TUSD BE'!$AM$15+'TUSD BF_350'!$AM$15+'TUSD CVA'!$AM$15)*1</f>
        <v>116.79000000000002</v>
      </c>
      <c r="AA103" s="4"/>
      <c r="AB103" s="4">
        <f>$K$103*$V$103</f>
        <v>0</v>
      </c>
      <c r="AC103" s="4">
        <f>$M$103*$W$103</f>
        <v>61317.490680000003</v>
      </c>
      <c r="AD103" s="4">
        <f>$O$103*$X$103</f>
        <v>0</v>
      </c>
      <c r="AE103" s="4">
        <f>$K$103*$Y$103</f>
        <v>0</v>
      </c>
      <c r="AF103" s="4">
        <f ca="1">$M$103*$Z$103</f>
        <v>79095.093180000011</v>
      </c>
      <c r="AG103" s="4">
        <f>$O$103*$AA$103</f>
        <v>0</v>
      </c>
    </row>
    <row r="104" spans="1:33" ht="11.25" customHeight="1" x14ac:dyDescent="0.3">
      <c r="A104" s="3" t="s">
        <v>21</v>
      </c>
      <c r="B104" s="3" t="s">
        <v>39</v>
      </c>
      <c r="C104" s="3" t="s">
        <v>40</v>
      </c>
      <c r="D104" s="3" t="s">
        <v>38</v>
      </c>
      <c r="E104" s="3" t="s">
        <v>25</v>
      </c>
      <c r="F104" s="3" t="s">
        <v>54</v>
      </c>
      <c r="G104" s="3" t="s">
        <v>25</v>
      </c>
      <c r="H104" s="3" t="s">
        <v>35</v>
      </c>
      <c r="I104" s="6">
        <v>44682</v>
      </c>
      <c r="J104" s="4">
        <v>0</v>
      </c>
      <c r="K104" s="4">
        <v>0</v>
      </c>
      <c r="L104" s="4">
        <v>790.68499999999995</v>
      </c>
      <c r="M104" s="4">
        <v>790.68499999999995</v>
      </c>
      <c r="N104" s="4">
        <v>0</v>
      </c>
      <c r="O104" s="4">
        <v>0</v>
      </c>
      <c r="P104" s="4">
        <v>0</v>
      </c>
      <c r="Q104" s="3" t="s">
        <v>55</v>
      </c>
      <c r="R104" s="3">
        <v>0</v>
      </c>
      <c r="S104" s="4">
        <v>0</v>
      </c>
      <c r="T104" s="4">
        <v>11</v>
      </c>
      <c r="U104" s="4">
        <v>0</v>
      </c>
      <c r="V104" s="4">
        <f>IF(ISERROR(VLOOKUP($S$104,'TAR FIN'!$A$1:$O$91,15,0)),0,VLOOKUP($S$104,'TAR FIN'!$A$1:$O$91,15,0))</f>
        <v>0</v>
      </c>
      <c r="W104" s="4">
        <f>IF(ISERROR(VLOOKUP($T$104,'TAR FIN'!$A$1:$O$91,15,0)),0,VLOOKUP($T$104,'TAR FIN'!$A$1:$O$91,15,0))</f>
        <v>90.54</v>
      </c>
      <c r="X104" s="4">
        <f>IF(ISERROR(VLOOKUP($U$104,'TAR FIN'!$A$1:$O$91,15,0)),0,VLOOKUP($U$104,'TAR FIN'!$A$1:$O$91,15,0))</f>
        <v>0</v>
      </c>
      <c r="Y104" s="4"/>
      <c r="Z104" s="4">
        <f ca="1">('TUSD BE'!$AM$15+'TUSD BF_350'!$AM$15+'TUSD CVA'!$AM$15)*1</f>
        <v>116.79000000000002</v>
      </c>
      <c r="AA104" s="4"/>
      <c r="AB104" s="4">
        <f>$K$104*$V$104</f>
        <v>0</v>
      </c>
      <c r="AC104" s="4">
        <f>$M$104*$W$104</f>
        <v>71588.619900000005</v>
      </c>
      <c r="AD104" s="4">
        <f>$O$104*$X$104</f>
        <v>0</v>
      </c>
      <c r="AE104" s="4">
        <f>$K$104*$Y$104</f>
        <v>0</v>
      </c>
      <c r="AF104" s="4">
        <f ca="1">$M$104*$Z$104</f>
        <v>92344.101150000017</v>
      </c>
      <c r="AG104" s="4">
        <f>$O$104*$AA$104</f>
        <v>0</v>
      </c>
    </row>
    <row r="105" spans="1:33" ht="11.25" customHeight="1" x14ac:dyDescent="0.3">
      <c r="A105" s="3" t="s">
        <v>21</v>
      </c>
      <c r="B105" s="3" t="s">
        <v>39</v>
      </c>
      <c r="C105" s="3" t="s">
        <v>40</v>
      </c>
      <c r="D105" s="3" t="s">
        <v>38</v>
      </c>
      <c r="E105" s="3" t="s">
        <v>25</v>
      </c>
      <c r="F105" s="3" t="s">
        <v>54</v>
      </c>
      <c r="G105" s="3" t="s">
        <v>25</v>
      </c>
      <c r="H105" s="3" t="s">
        <v>35</v>
      </c>
      <c r="I105" s="6">
        <v>44713</v>
      </c>
      <c r="J105" s="4">
        <v>0</v>
      </c>
      <c r="K105" s="4">
        <v>0</v>
      </c>
      <c r="L105" s="4">
        <v>784.33</v>
      </c>
      <c r="M105" s="4">
        <v>784.33</v>
      </c>
      <c r="N105" s="4">
        <v>0</v>
      </c>
      <c r="O105" s="4">
        <v>0</v>
      </c>
      <c r="P105" s="4">
        <v>0</v>
      </c>
      <c r="Q105" s="3" t="s">
        <v>55</v>
      </c>
      <c r="R105" s="3">
        <v>0</v>
      </c>
      <c r="S105" s="4">
        <v>0</v>
      </c>
      <c r="T105" s="4">
        <v>11</v>
      </c>
      <c r="U105" s="4">
        <v>0</v>
      </c>
      <c r="V105" s="4">
        <f>IF(ISERROR(VLOOKUP($S$105,'TAR FIN'!$A$1:$O$91,15,0)),0,VLOOKUP($S$105,'TAR FIN'!$A$1:$O$91,15,0))</f>
        <v>0</v>
      </c>
      <c r="W105" s="4">
        <f>IF(ISERROR(VLOOKUP($T$105,'TAR FIN'!$A$1:$O$91,15,0)),0,VLOOKUP($T$105,'TAR FIN'!$A$1:$O$91,15,0))</f>
        <v>90.54</v>
      </c>
      <c r="X105" s="4">
        <f>IF(ISERROR(VLOOKUP($U$105,'TAR FIN'!$A$1:$O$91,15,0)),0,VLOOKUP($U$105,'TAR FIN'!$A$1:$O$91,15,0))</f>
        <v>0</v>
      </c>
      <c r="Y105" s="4"/>
      <c r="Z105" s="4">
        <f ca="1">('TUSD BE'!$AM$15+'TUSD BF_350'!$AM$15+'TUSD CVA'!$AM$15)*1</f>
        <v>116.79000000000002</v>
      </c>
      <c r="AA105" s="4"/>
      <c r="AB105" s="4">
        <f>$K$105*$V$105</f>
        <v>0</v>
      </c>
      <c r="AC105" s="4">
        <f>$M$105*$W$105</f>
        <v>71013.238200000007</v>
      </c>
      <c r="AD105" s="4">
        <f>$O$105*$X$105</f>
        <v>0</v>
      </c>
      <c r="AE105" s="4">
        <f>$K$105*$Y$105</f>
        <v>0</v>
      </c>
      <c r="AF105" s="4">
        <f ca="1">$M$105*$Z$105</f>
        <v>91601.900700000027</v>
      </c>
      <c r="AG105" s="4">
        <f>$O$105*$AA$105</f>
        <v>0</v>
      </c>
    </row>
    <row r="106" spans="1:33" ht="11.25" customHeight="1" x14ac:dyDescent="0.3">
      <c r="A106" s="3" t="s">
        <v>21</v>
      </c>
      <c r="B106" s="3" t="s">
        <v>39</v>
      </c>
      <c r="C106" s="3" t="s">
        <v>40</v>
      </c>
      <c r="D106" s="3" t="s">
        <v>38</v>
      </c>
      <c r="E106" s="3" t="s">
        <v>25</v>
      </c>
      <c r="F106" s="3" t="s">
        <v>54</v>
      </c>
      <c r="G106" s="3" t="s">
        <v>25</v>
      </c>
      <c r="H106" s="3" t="s">
        <v>25</v>
      </c>
      <c r="I106" s="6">
        <v>44378</v>
      </c>
      <c r="J106" s="4">
        <v>3029</v>
      </c>
      <c r="K106" s="4">
        <v>816.91287938000005</v>
      </c>
      <c r="L106" s="4">
        <v>0</v>
      </c>
      <c r="M106" s="4">
        <v>0</v>
      </c>
      <c r="N106" s="4">
        <v>0</v>
      </c>
      <c r="O106" s="4">
        <v>0</v>
      </c>
      <c r="P106" s="4">
        <v>6</v>
      </c>
      <c r="Q106" s="3" t="s">
        <v>55</v>
      </c>
      <c r="R106" s="3">
        <v>0</v>
      </c>
      <c r="S106" s="4">
        <v>9</v>
      </c>
      <c r="T106" s="4">
        <v>0</v>
      </c>
      <c r="U106" s="4">
        <v>0</v>
      </c>
      <c r="V106" s="4">
        <f>IF(ISERROR(VLOOKUP($S$106,'TAR FIN'!$A$1:$O$91,15,0)),0,VLOOKUP($S$106,'TAR FIN'!$A$1:$O$91,15,0))</f>
        <v>33.97</v>
      </c>
      <c r="W106" s="4">
        <f>IF(ISERROR(VLOOKUP($T$106,'TAR FIN'!$A$1:$O$91,15,0)),0,VLOOKUP($T$106,'TAR FIN'!$A$1:$O$91,15,0))</f>
        <v>0</v>
      </c>
      <c r="X106" s="4">
        <f>IF(ISERROR(VLOOKUP($U$106,'TAR FIN'!$A$1:$O$91,15,0)),0,VLOOKUP($U$106,'TAR FIN'!$A$1:$O$91,15,0))</f>
        <v>0</v>
      </c>
      <c r="Y106" s="4">
        <f ca="1">('TUSD BE'!$AM$13+'TUSD BF_350'!$AM$13+'TUSD CVA'!$AM$13)*1</f>
        <v>32.31</v>
      </c>
      <c r="Z106" s="4"/>
      <c r="AA106" s="4"/>
      <c r="AB106" s="4">
        <f>$K$106*$V$106</f>
        <v>27750.5305125386</v>
      </c>
      <c r="AC106" s="4">
        <f>$M$106*$W$106</f>
        <v>0</v>
      </c>
      <c r="AD106" s="4">
        <f>$O$106*$X$106</f>
        <v>0</v>
      </c>
      <c r="AE106" s="4">
        <f ca="1">$K$106*$Y$106</f>
        <v>26394.455132767802</v>
      </c>
      <c r="AF106" s="4">
        <f>$M$106*$Z$106</f>
        <v>0</v>
      </c>
      <c r="AG106" s="4">
        <f>$O$106*$AA$106</f>
        <v>0</v>
      </c>
    </row>
    <row r="107" spans="1:33" ht="11.25" customHeight="1" x14ac:dyDescent="0.3">
      <c r="A107" s="3" t="s">
        <v>21</v>
      </c>
      <c r="B107" s="3" t="s">
        <v>39</v>
      </c>
      <c r="C107" s="3" t="s">
        <v>40</v>
      </c>
      <c r="D107" s="3" t="s">
        <v>38</v>
      </c>
      <c r="E107" s="3" t="s">
        <v>25</v>
      </c>
      <c r="F107" s="3" t="s">
        <v>54</v>
      </c>
      <c r="G107" s="3" t="s">
        <v>25</v>
      </c>
      <c r="H107" s="3" t="s">
        <v>25</v>
      </c>
      <c r="I107" s="6">
        <v>44409</v>
      </c>
      <c r="J107" s="4">
        <v>3396</v>
      </c>
      <c r="K107" s="4">
        <v>915.89175911999996</v>
      </c>
      <c r="L107" s="4">
        <v>0</v>
      </c>
      <c r="M107" s="4">
        <v>0</v>
      </c>
      <c r="N107" s="4">
        <v>0</v>
      </c>
      <c r="O107" s="4">
        <v>0</v>
      </c>
      <c r="P107" s="4">
        <v>8</v>
      </c>
      <c r="Q107" s="3" t="s">
        <v>55</v>
      </c>
      <c r="R107" s="3">
        <v>0</v>
      </c>
      <c r="S107" s="4">
        <v>9</v>
      </c>
      <c r="T107" s="4">
        <v>0</v>
      </c>
      <c r="U107" s="4">
        <v>0</v>
      </c>
      <c r="V107" s="4">
        <f>IF(ISERROR(VLOOKUP($S$107,'TAR FIN'!$A$1:$O$91,15,0)),0,VLOOKUP($S$107,'TAR FIN'!$A$1:$O$91,15,0))</f>
        <v>33.97</v>
      </c>
      <c r="W107" s="4">
        <f>IF(ISERROR(VLOOKUP($T$107,'TAR FIN'!$A$1:$O$91,15,0)),0,VLOOKUP($T$107,'TAR FIN'!$A$1:$O$91,15,0))</f>
        <v>0</v>
      </c>
      <c r="X107" s="4">
        <f>IF(ISERROR(VLOOKUP($U$107,'TAR FIN'!$A$1:$O$91,15,0)),0,VLOOKUP($U$107,'TAR FIN'!$A$1:$O$91,15,0))</f>
        <v>0</v>
      </c>
      <c r="Y107" s="4">
        <f ca="1">('TUSD BE'!$AM$13+'TUSD BF_350'!$AM$13+'TUSD CVA'!$AM$13)*1</f>
        <v>32.31</v>
      </c>
      <c r="Z107" s="4"/>
      <c r="AA107" s="4"/>
      <c r="AB107" s="4">
        <f>$K$107*$V$107</f>
        <v>31112.843057306396</v>
      </c>
      <c r="AC107" s="4">
        <f>$M$107*$W$107</f>
        <v>0</v>
      </c>
      <c r="AD107" s="4">
        <f>$O$107*$X$107</f>
        <v>0</v>
      </c>
      <c r="AE107" s="4">
        <f ca="1">$K$107*$Y$107</f>
        <v>29592.4627371672</v>
      </c>
      <c r="AF107" s="4">
        <f>$M$107*$Z$107</f>
        <v>0</v>
      </c>
      <c r="AG107" s="4">
        <f>$O$107*$AA$107</f>
        <v>0</v>
      </c>
    </row>
    <row r="108" spans="1:33" ht="11.25" customHeight="1" x14ac:dyDescent="0.3">
      <c r="A108" s="3" t="s">
        <v>21</v>
      </c>
      <c r="B108" s="3" t="s">
        <v>39</v>
      </c>
      <c r="C108" s="3" t="s">
        <v>40</v>
      </c>
      <c r="D108" s="3" t="s">
        <v>38</v>
      </c>
      <c r="E108" s="3" t="s">
        <v>25</v>
      </c>
      <c r="F108" s="3" t="s">
        <v>54</v>
      </c>
      <c r="G108" s="3" t="s">
        <v>25</v>
      </c>
      <c r="H108" s="3" t="s">
        <v>25</v>
      </c>
      <c r="I108" s="6">
        <v>44440</v>
      </c>
      <c r="J108" s="4">
        <v>3368</v>
      </c>
      <c r="K108" s="4">
        <v>908.34023695999997</v>
      </c>
      <c r="L108" s="4">
        <v>0</v>
      </c>
      <c r="M108" s="4">
        <v>0</v>
      </c>
      <c r="N108" s="4">
        <v>0</v>
      </c>
      <c r="O108" s="4">
        <v>0</v>
      </c>
      <c r="P108" s="4">
        <v>8</v>
      </c>
      <c r="Q108" s="3" t="s">
        <v>55</v>
      </c>
      <c r="R108" s="3">
        <v>0</v>
      </c>
      <c r="S108" s="4">
        <v>9</v>
      </c>
      <c r="T108" s="4">
        <v>0</v>
      </c>
      <c r="U108" s="4">
        <v>0</v>
      </c>
      <c r="V108" s="4">
        <f>IF(ISERROR(VLOOKUP($S$108,'TAR FIN'!$A$1:$O$91,15,0)),0,VLOOKUP($S$108,'TAR FIN'!$A$1:$O$91,15,0))</f>
        <v>33.97</v>
      </c>
      <c r="W108" s="4">
        <f>IF(ISERROR(VLOOKUP($T$108,'TAR FIN'!$A$1:$O$91,15,0)),0,VLOOKUP($T$108,'TAR FIN'!$A$1:$O$91,15,0))</f>
        <v>0</v>
      </c>
      <c r="X108" s="4">
        <f>IF(ISERROR(VLOOKUP($U$108,'TAR FIN'!$A$1:$O$91,15,0)),0,VLOOKUP($U$108,'TAR FIN'!$A$1:$O$91,15,0))</f>
        <v>0</v>
      </c>
      <c r="Y108" s="4">
        <f ca="1">('TUSD BE'!$AM$13+'TUSD BF_350'!$AM$13+'TUSD CVA'!$AM$13)*1</f>
        <v>32.31</v>
      </c>
      <c r="Z108" s="4"/>
      <c r="AA108" s="4"/>
      <c r="AB108" s="4">
        <f>$K$108*$V$108</f>
        <v>30856.317849531199</v>
      </c>
      <c r="AC108" s="4">
        <f>$M$108*$W$108</f>
        <v>0</v>
      </c>
      <c r="AD108" s="4">
        <f>$O$108*$X$108</f>
        <v>0</v>
      </c>
      <c r="AE108" s="4">
        <f ca="1">$K$108*$Y$108</f>
        <v>29348.473056177601</v>
      </c>
      <c r="AF108" s="4">
        <f>$M$108*$Z$108</f>
        <v>0</v>
      </c>
      <c r="AG108" s="4">
        <f>$O$108*$AA$108</f>
        <v>0</v>
      </c>
    </row>
    <row r="109" spans="1:33" ht="11.25" customHeight="1" x14ac:dyDescent="0.3">
      <c r="A109" s="3" t="s">
        <v>21</v>
      </c>
      <c r="B109" s="3" t="s">
        <v>39</v>
      </c>
      <c r="C109" s="3" t="s">
        <v>40</v>
      </c>
      <c r="D109" s="3" t="s">
        <v>38</v>
      </c>
      <c r="E109" s="3" t="s">
        <v>25</v>
      </c>
      <c r="F109" s="3" t="s">
        <v>54</v>
      </c>
      <c r="G109" s="3" t="s">
        <v>25</v>
      </c>
      <c r="H109" s="3" t="s">
        <v>25</v>
      </c>
      <c r="I109" s="6">
        <v>44470</v>
      </c>
      <c r="J109" s="4">
        <v>3368</v>
      </c>
      <c r="K109" s="4">
        <v>908.34023695999997</v>
      </c>
      <c r="L109" s="4">
        <v>0</v>
      </c>
      <c r="M109" s="4">
        <v>0</v>
      </c>
      <c r="N109" s="4">
        <v>0</v>
      </c>
      <c r="O109" s="4">
        <v>0</v>
      </c>
      <c r="P109" s="4">
        <v>8</v>
      </c>
      <c r="Q109" s="3" t="s">
        <v>55</v>
      </c>
      <c r="R109" s="3">
        <v>0</v>
      </c>
      <c r="S109" s="4">
        <v>9</v>
      </c>
      <c r="T109" s="4">
        <v>0</v>
      </c>
      <c r="U109" s="4">
        <v>0</v>
      </c>
      <c r="V109" s="4">
        <f>IF(ISERROR(VLOOKUP($S$109,'TAR FIN'!$A$1:$O$91,15,0)),0,VLOOKUP($S$109,'TAR FIN'!$A$1:$O$91,15,0))</f>
        <v>33.97</v>
      </c>
      <c r="W109" s="4">
        <f>IF(ISERROR(VLOOKUP($T$109,'TAR FIN'!$A$1:$O$91,15,0)),0,VLOOKUP($T$109,'TAR FIN'!$A$1:$O$91,15,0))</f>
        <v>0</v>
      </c>
      <c r="X109" s="4">
        <f>IF(ISERROR(VLOOKUP($U$109,'TAR FIN'!$A$1:$O$91,15,0)),0,VLOOKUP($U$109,'TAR FIN'!$A$1:$O$91,15,0))</f>
        <v>0</v>
      </c>
      <c r="Y109" s="4">
        <f ca="1">('TUSD BE'!$AM$13+'TUSD BF_350'!$AM$13+'TUSD CVA'!$AM$13)*1</f>
        <v>32.31</v>
      </c>
      <c r="Z109" s="4"/>
      <c r="AA109" s="4"/>
      <c r="AB109" s="4">
        <f>$K$109*$V$109</f>
        <v>30856.317849531199</v>
      </c>
      <c r="AC109" s="4">
        <f>$M$109*$W$109</f>
        <v>0</v>
      </c>
      <c r="AD109" s="4">
        <f>$O$109*$X$109</f>
        <v>0</v>
      </c>
      <c r="AE109" s="4">
        <f ca="1">$K$109*$Y$109</f>
        <v>29348.473056177601</v>
      </c>
      <c r="AF109" s="4">
        <f>$M$109*$Z$109</f>
        <v>0</v>
      </c>
      <c r="AG109" s="4">
        <f>$O$109*$AA$109</f>
        <v>0</v>
      </c>
    </row>
    <row r="110" spans="1:33" ht="11.25" customHeight="1" x14ac:dyDescent="0.3">
      <c r="A110" s="3" t="s">
        <v>21</v>
      </c>
      <c r="B110" s="3" t="s">
        <v>39</v>
      </c>
      <c r="C110" s="3" t="s">
        <v>40</v>
      </c>
      <c r="D110" s="3" t="s">
        <v>38</v>
      </c>
      <c r="E110" s="3" t="s">
        <v>25</v>
      </c>
      <c r="F110" s="3" t="s">
        <v>54</v>
      </c>
      <c r="G110" s="3" t="s">
        <v>25</v>
      </c>
      <c r="H110" s="3" t="s">
        <v>25</v>
      </c>
      <c r="I110" s="6">
        <v>44501</v>
      </c>
      <c r="J110" s="4">
        <v>3368</v>
      </c>
      <c r="K110" s="4">
        <v>908.34023695999997</v>
      </c>
      <c r="L110" s="4">
        <v>0</v>
      </c>
      <c r="M110" s="4">
        <v>0</v>
      </c>
      <c r="N110" s="4">
        <v>0</v>
      </c>
      <c r="O110" s="4">
        <v>0</v>
      </c>
      <c r="P110" s="4">
        <v>8</v>
      </c>
      <c r="Q110" s="3" t="s">
        <v>55</v>
      </c>
      <c r="R110" s="3">
        <v>0</v>
      </c>
      <c r="S110" s="4">
        <v>9</v>
      </c>
      <c r="T110" s="4">
        <v>0</v>
      </c>
      <c r="U110" s="4">
        <v>0</v>
      </c>
      <c r="V110" s="4">
        <f>IF(ISERROR(VLOOKUP($S$110,'TAR FIN'!$A$1:$O$91,15,0)),0,VLOOKUP($S$110,'TAR FIN'!$A$1:$O$91,15,0))</f>
        <v>33.97</v>
      </c>
      <c r="W110" s="4">
        <f>IF(ISERROR(VLOOKUP($T$110,'TAR FIN'!$A$1:$O$91,15,0)),0,VLOOKUP($T$110,'TAR FIN'!$A$1:$O$91,15,0))</f>
        <v>0</v>
      </c>
      <c r="X110" s="4">
        <f>IF(ISERROR(VLOOKUP($U$110,'TAR FIN'!$A$1:$O$91,15,0)),0,VLOOKUP($U$110,'TAR FIN'!$A$1:$O$91,15,0))</f>
        <v>0</v>
      </c>
      <c r="Y110" s="4">
        <f ca="1">('TUSD BE'!$AM$13+'TUSD BF_350'!$AM$13+'TUSD CVA'!$AM$13)*1</f>
        <v>32.31</v>
      </c>
      <c r="Z110" s="4"/>
      <c r="AA110" s="4"/>
      <c r="AB110" s="4">
        <f>$K$110*$V$110</f>
        <v>30856.317849531199</v>
      </c>
      <c r="AC110" s="4">
        <f>$M$110*$W$110</f>
        <v>0</v>
      </c>
      <c r="AD110" s="4">
        <f>$O$110*$X$110</f>
        <v>0</v>
      </c>
      <c r="AE110" s="4">
        <f ca="1">$K$110*$Y$110</f>
        <v>29348.473056177601</v>
      </c>
      <c r="AF110" s="4">
        <f>$M$110*$Z$110</f>
        <v>0</v>
      </c>
      <c r="AG110" s="4">
        <f>$O$110*$AA$110</f>
        <v>0</v>
      </c>
    </row>
    <row r="111" spans="1:33" ht="11.25" customHeight="1" x14ac:dyDescent="0.3">
      <c r="A111" s="3" t="s">
        <v>21</v>
      </c>
      <c r="B111" s="3" t="s">
        <v>39</v>
      </c>
      <c r="C111" s="3" t="s">
        <v>40</v>
      </c>
      <c r="D111" s="3" t="s">
        <v>38</v>
      </c>
      <c r="E111" s="3" t="s">
        <v>25</v>
      </c>
      <c r="F111" s="3" t="s">
        <v>54</v>
      </c>
      <c r="G111" s="3" t="s">
        <v>25</v>
      </c>
      <c r="H111" s="3" t="s">
        <v>25</v>
      </c>
      <c r="I111" s="6">
        <v>44531</v>
      </c>
      <c r="J111" s="4">
        <v>3368</v>
      </c>
      <c r="K111" s="4">
        <v>908.34023695999997</v>
      </c>
      <c r="L111" s="4">
        <v>0</v>
      </c>
      <c r="M111" s="4">
        <v>0</v>
      </c>
      <c r="N111" s="4">
        <v>0</v>
      </c>
      <c r="O111" s="4">
        <v>0</v>
      </c>
      <c r="P111" s="4">
        <v>8</v>
      </c>
      <c r="Q111" s="3" t="s">
        <v>55</v>
      </c>
      <c r="R111" s="3">
        <v>0</v>
      </c>
      <c r="S111" s="4">
        <v>9</v>
      </c>
      <c r="T111" s="4">
        <v>0</v>
      </c>
      <c r="U111" s="4">
        <v>0</v>
      </c>
      <c r="V111" s="4">
        <f>IF(ISERROR(VLOOKUP($S$111,'TAR FIN'!$A$1:$O$91,15,0)),0,VLOOKUP($S$111,'TAR FIN'!$A$1:$O$91,15,0))</f>
        <v>33.97</v>
      </c>
      <c r="W111" s="4">
        <f>IF(ISERROR(VLOOKUP($T$111,'TAR FIN'!$A$1:$O$91,15,0)),0,VLOOKUP($T$111,'TAR FIN'!$A$1:$O$91,15,0))</f>
        <v>0</v>
      </c>
      <c r="X111" s="4">
        <f>IF(ISERROR(VLOOKUP($U$111,'TAR FIN'!$A$1:$O$91,15,0)),0,VLOOKUP($U$111,'TAR FIN'!$A$1:$O$91,15,0))</f>
        <v>0</v>
      </c>
      <c r="Y111" s="4">
        <f ca="1">('TUSD BE'!$AM$13+'TUSD BF_350'!$AM$13+'TUSD CVA'!$AM$13)*1</f>
        <v>32.31</v>
      </c>
      <c r="Z111" s="4"/>
      <c r="AA111" s="4"/>
      <c r="AB111" s="4">
        <f>$K$111*$V$111</f>
        <v>30856.317849531199</v>
      </c>
      <c r="AC111" s="4">
        <f>$M$111*$W$111</f>
        <v>0</v>
      </c>
      <c r="AD111" s="4">
        <f>$O$111*$X$111</f>
        <v>0</v>
      </c>
      <c r="AE111" s="4">
        <f ca="1">$K$111*$Y$111</f>
        <v>29348.473056177601</v>
      </c>
      <c r="AF111" s="4">
        <f>$M$111*$Z$111</f>
        <v>0</v>
      </c>
      <c r="AG111" s="4">
        <f>$O$111*$AA$111</f>
        <v>0</v>
      </c>
    </row>
    <row r="112" spans="1:33" ht="11.25" customHeight="1" x14ac:dyDescent="0.3">
      <c r="A112" s="3" t="s">
        <v>21</v>
      </c>
      <c r="B112" s="3" t="s">
        <v>39</v>
      </c>
      <c r="C112" s="3" t="s">
        <v>40</v>
      </c>
      <c r="D112" s="3" t="s">
        <v>38</v>
      </c>
      <c r="E112" s="3" t="s">
        <v>25</v>
      </c>
      <c r="F112" s="3" t="s">
        <v>54</v>
      </c>
      <c r="G112" s="3" t="s">
        <v>25</v>
      </c>
      <c r="H112" s="3" t="s">
        <v>25</v>
      </c>
      <c r="I112" s="6">
        <v>44562</v>
      </c>
      <c r="J112" s="4">
        <v>3368</v>
      </c>
      <c r="K112" s="4">
        <v>908.34023695999997</v>
      </c>
      <c r="L112" s="4">
        <v>0</v>
      </c>
      <c r="M112" s="4">
        <v>0</v>
      </c>
      <c r="N112" s="4">
        <v>0</v>
      </c>
      <c r="O112" s="4">
        <v>0</v>
      </c>
      <c r="P112" s="4">
        <v>8</v>
      </c>
      <c r="Q112" s="3" t="s">
        <v>55</v>
      </c>
      <c r="R112" s="3">
        <v>0</v>
      </c>
      <c r="S112" s="4">
        <v>9</v>
      </c>
      <c r="T112" s="4">
        <v>0</v>
      </c>
      <c r="U112" s="4">
        <v>0</v>
      </c>
      <c r="V112" s="4">
        <f>IF(ISERROR(VLOOKUP($S$112,'TAR FIN'!$A$1:$O$91,15,0)),0,VLOOKUP($S$112,'TAR FIN'!$A$1:$O$91,15,0))</f>
        <v>33.97</v>
      </c>
      <c r="W112" s="4">
        <f>IF(ISERROR(VLOOKUP($T$112,'TAR FIN'!$A$1:$O$91,15,0)),0,VLOOKUP($T$112,'TAR FIN'!$A$1:$O$91,15,0))</f>
        <v>0</v>
      </c>
      <c r="X112" s="4">
        <f>IF(ISERROR(VLOOKUP($U$112,'TAR FIN'!$A$1:$O$91,15,0)),0,VLOOKUP($U$112,'TAR FIN'!$A$1:$O$91,15,0))</f>
        <v>0</v>
      </c>
      <c r="Y112" s="4">
        <f ca="1">('TUSD BE'!$AM$13+'TUSD BF_350'!$AM$13+'TUSD CVA'!$AM$13)*1</f>
        <v>32.31</v>
      </c>
      <c r="Z112" s="4"/>
      <c r="AA112" s="4"/>
      <c r="AB112" s="4">
        <f>$K$112*$V$112</f>
        <v>30856.317849531199</v>
      </c>
      <c r="AC112" s="4">
        <f>$M$112*$W$112</f>
        <v>0</v>
      </c>
      <c r="AD112" s="4">
        <f>$O$112*$X$112</f>
        <v>0</v>
      </c>
      <c r="AE112" s="4">
        <f ca="1">$K$112*$Y$112</f>
        <v>29348.473056177601</v>
      </c>
      <c r="AF112" s="4">
        <f>$M$112*$Z$112</f>
        <v>0</v>
      </c>
      <c r="AG112" s="4">
        <f>$O$112*$AA$112</f>
        <v>0</v>
      </c>
    </row>
    <row r="113" spans="1:33" ht="11.25" customHeight="1" x14ac:dyDescent="0.3">
      <c r="A113" s="3" t="s">
        <v>21</v>
      </c>
      <c r="B113" s="3" t="s">
        <v>39</v>
      </c>
      <c r="C113" s="3" t="s">
        <v>40</v>
      </c>
      <c r="D113" s="3" t="s">
        <v>38</v>
      </c>
      <c r="E113" s="3" t="s">
        <v>25</v>
      </c>
      <c r="F113" s="3" t="s">
        <v>54</v>
      </c>
      <c r="G113" s="3" t="s">
        <v>25</v>
      </c>
      <c r="H113" s="3" t="s">
        <v>25</v>
      </c>
      <c r="I113" s="6">
        <v>44593</v>
      </c>
      <c r="J113" s="4">
        <v>3168</v>
      </c>
      <c r="K113" s="4">
        <v>854.40079295999999</v>
      </c>
      <c r="L113" s="4">
        <v>0</v>
      </c>
      <c r="M113" s="4">
        <v>0</v>
      </c>
      <c r="N113" s="4">
        <v>0</v>
      </c>
      <c r="O113" s="4">
        <v>0</v>
      </c>
      <c r="P113" s="4">
        <v>8</v>
      </c>
      <c r="Q113" s="3" t="s">
        <v>55</v>
      </c>
      <c r="R113" s="3">
        <v>0</v>
      </c>
      <c r="S113" s="4">
        <v>9</v>
      </c>
      <c r="T113" s="4">
        <v>0</v>
      </c>
      <c r="U113" s="4">
        <v>0</v>
      </c>
      <c r="V113" s="4">
        <f>IF(ISERROR(VLOOKUP($S$113,'TAR FIN'!$A$1:$O$91,15,0)),0,VLOOKUP($S$113,'TAR FIN'!$A$1:$O$91,15,0))</f>
        <v>33.97</v>
      </c>
      <c r="W113" s="4">
        <f>IF(ISERROR(VLOOKUP($T$113,'TAR FIN'!$A$1:$O$91,15,0)),0,VLOOKUP($T$113,'TAR FIN'!$A$1:$O$91,15,0))</f>
        <v>0</v>
      </c>
      <c r="X113" s="4">
        <f>IF(ISERROR(VLOOKUP($U$113,'TAR FIN'!$A$1:$O$91,15,0)),0,VLOOKUP($U$113,'TAR FIN'!$A$1:$O$91,15,0))</f>
        <v>0</v>
      </c>
      <c r="Y113" s="4">
        <f ca="1">('TUSD BE'!$AM$13+'TUSD BF_350'!$AM$13+'TUSD CVA'!$AM$13)*1</f>
        <v>32.31</v>
      </c>
      <c r="Z113" s="4"/>
      <c r="AA113" s="4"/>
      <c r="AB113" s="4">
        <f>$K$113*$V$113</f>
        <v>29023.994936851199</v>
      </c>
      <c r="AC113" s="4">
        <f>$M$113*$W$113</f>
        <v>0</v>
      </c>
      <c r="AD113" s="4">
        <f>$O$113*$X$113</f>
        <v>0</v>
      </c>
      <c r="AE113" s="4">
        <f ca="1">$K$113*$Y$113</f>
        <v>27605.689620537603</v>
      </c>
      <c r="AF113" s="4">
        <f>$M$113*$Z$113</f>
        <v>0</v>
      </c>
      <c r="AG113" s="4">
        <f>$O$113*$AA$113</f>
        <v>0</v>
      </c>
    </row>
    <row r="114" spans="1:33" ht="11.25" customHeight="1" x14ac:dyDescent="0.3">
      <c r="A114" s="3" t="s">
        <v>21</v>
      </c>
      <c r="B114" s="3" t="s">
        <v>39</v>
      </c>
      <c r="C114" s="3" t="s">
        <v>40</v>
      </c>
      <c r="D114" s="3" t="s">
        <v>38</v>
      </c>
      <c r="E114" s="3" t="s">
        <v>25</v>
      </c>
      <c r="F114" s="3" t="s">
        <v>54</v>
      </c>
      <c r="G114" s="3" t="s">
        <v>25</v>
      </c>
      <c r="H114" s="3" t="s">
        <v>25</v>
      </c>
      <c r="I114" s="6">
        <v>44621</v>
      </c>
      <c r="J114" s="4">
        <v>3457</v>
      </c>
      <c r="K114" s="4">
        <v>932.34328954</v>
      </c>
      <c r="L114" s="4">
        <v>0</v>
      </c>
      <c r="M114" s="4">
        <v>0</v>
      </c>
      <c r="N114" s="4">
        <v>0</v>
      </c>
      <c r="O114" s="4">
        <v>0</v>
      </c>
      <c r="P114" s="4">
        <v>8</v>
      </c>
      <c r="Q114" s="3" t="s">
        <v>55</v>
      </c>
      <c r="R114" s="3">
        <v>0</v>
      </c>
      <c r="S114" s="4">
        <v>9</v>
      </c>
      <c r="T114" s="4">
        <v>0</v>
      </c>
      <c r="U114" s="4">
        <v>0</v>
      </c>
      <c r="V114" s="4">
        <f>IF(ISERROR(VLOOKUP($S$114,'TAR FIN'!$A$1:$O$91,15,0)),0,VLOOKUP($S$114,'TAR FIN'!$A$1:$O$91,15,0))</f>
        <v>33.97</v>
      </c>
      <c r="W114" s="4">
        <f>IF(ISERROR(VLOOKUP($T$114,'TAR FIN'!$A$1:$O$91,15,0)),0,VLOOKUP($T$114,'TAR FIN'!$A$1:$O$91,15,0))</f>
        <v>0</v>
      </c>
      <c r="X114" s="4">
        <f>IF(ISERROR(VLOOKUP($U$114,'TAR FIN'!$A$1:$O$91,15,0)),0,VLOOKUP($U$114,'TAR FIN'!$A$1:$O$91,15,0))</f>
        <v>0</v>
      </c>
      <c r="Y114" s="4">
        <f ca="1">('TUSD BE'!$AM$13+'TUSD BF_350'!$AM$13+'TUSD CVA'!$AM$13)*1</f>
        <v>32.31</v>
      </c>
      <c r="Z114" s="4"/>
      <c r="AA114" s="4"/>
      <c r="AB114" s="4">
        <f>$K$114*$V$114</f>
        <v>31671.701545673797</v>
      </c>
      <c r="AC114" s="4">
        <f>$M$114*$W$114</f>
        <v>0</v>
      </c>
      <c r="AD114" s="4">
        <f>$O$114*$X$114</f>
        <v>0</v>
      </c>
      <c r="AE114" s="4">
        <f ca="1">$K$114*$Y$114</f>
        <v>30124.011685037403</v>
      </c>
      <c r="AF114" s="4">
        <f>$M$114*$Z$114</f>
        <v>0</v>
      </c>
      <c r="AG114" s="4">
        <f>$O$114*$AA$114</f>
        <v>0</v>
      </c>
    </row>
    <row r="115" spans="1:33" ht="11.25" customHeight="1" x14ac:dyDescent="0.3">
      <c r="A115" s="3" t="s">
        <v>21</v>
      </c>
      <c r="B115" s="3" t="s">
        <v>39</v>
      </c>
      <c r="C115" s="3" t="s">
        <v>40</v>
      </c>
      <c r="D115" s="3" t="s">
        <v>38</v>
      </c>
      <c r="E115" s="3" t="s">
        <v>25</v>
      </c>
      <c r="F115" s="3" t="s">
        <v>54</v>
      </c>
      <c r="G115" s="3" t="s">
        <v>25</v>
      </c>
      <c r="H115" s="3" t="s">
        <v>25</v>
      </c>
      <c r="I115" s="6">
        <v>44652</v>
      </c>
      <c r="J115" s="4">
        <v>3507</v>
      </c>
      <c r="K115" s="4">
        <v>945.82815054000002</v>
      </c>
      <c r="L115" s="4">
        <v>0</v>
      </c>
      <c r="M115" s="4">
        <v>0</v>
      </c>
      <c r="N115" s="4">
        <v>0</v>
      </c>
      <c r="O115" s="4">
        <v>0</v>
      </c>
      <c r="P115" s="4">
        <v>8</v>
      </c>
      <c r="Q115" s="3" t="s">
        <v>55</v>
      </c>
      <c r="R115" s="3">
        <v>0</v>
      </c>
      <c r="S115" s="4">
        <v>9</v>
      </c>
      <c r="T115" s="4">
        <v>0</v>
      </c>
      <c r="U115" s="4">
        <v>0</v>
      </c>
      <c r="V115" s="4">
        <f>IF(ISERROR(VLOOKUP($S$115,'TAR FIN'!$A$1:$O$91,15,0)),0,VLOOKUP($S$115,'TAR FIN'!$A$1:$O$91,15,0))</f>
        <v>33.97</v>
      </c>
      <c r="W115" s="4">
        <f>IF(ISERROR(VLOOKUP($T$115,'TAR FIN'!$A$1:$O$91,15,0)),0,VLOOKUP($T$115,'TAR FIN'!$A$1:$O$91,15,0))</f>
        <v>0</v>
      </c>
      <c r="X115" s="4">
        <f>IF(ISERROR(VLOOKUP($U$115,'TAR FIN'!$A$1:$O$91,15,0)),0,VLOOKUP($U$115,'TAR FIN'!$A$1:$O$91,15,0))</f>
        <v>0</v>
      </c>
      <c r="Y115" s="4">
        <f ca="1">('TUSD BE'!$AM$13+'TUSD BF_350'!$AM$13+'TUSD CVA'!$AM$13)*1</f>
        <v>32.31</v>
      </c>
      <c r="Z115" s="4"/>
      <c r="AA115" s="4"/>
      <c r="AB115" s="4">
        <f>$K$115*$V$115</f>
        <v>32129.782273843801</v>
      </c>
      <c r="AC115" s="4">
        <f>$M$115*$W$115</f>
        <v>0</v>
      </c>
      <c r="AD115" s="4">
        <f>$O$115*$X$115</f>
        <v>0</v>
      </c>
      <c r="AE115" s="4">
        <f ca="1">$K$115*$Y$115</f>
        <v>30559.707543947403</v>
      </c>
      <c r="AF115" s="4">
        <f>$M$115*$Z$115</f>
        <v>0</v>
      </c>
      <c r="AG115" s="4">
        <f>$O$115*$AA$115</f>
        <v>0</v>
      </c>
    </row>
    <row r="116" spans="1:33" ht="11.25" customHeight="1" x14ac:dyDescent="0.3">
      <c r="A116" s="3" t="s">
        <v>21</v>
      </c>
      <c r="B116" s="3" t="s">
        <v>39</v>
      </c>
      <c r="C116" s="3" t="s">
        <v>40</v>
      </c>
      <c r="D116" s="3" t="s">
        <v>38</v>
      </c>
      <c r="E116" s="3" t="s">
        <v>25</v>
      </c>
      <c r="F116" s="3" t="s">
        <v>54</v>
      </c>
      <c r="G116" s="3" t="s">
        <v>25</v>
      </c>
      <c r="H116" s="3" t="s">
        <v>25</v>
      </c>
      <c r="I116" s="6">
        <v>44682</v>
      </c>
      <c r="J116" s="4">
        <v>3585</v>
      </c>
      <c r="K116" s="4">
        <v>966.86453370000004</v>
      </c>
      <c r="L116" s="4">
        <v>0</v>
      </c>
      <c r="M116" s="4">
        <v>0</v>
      </c>
      <c r="N116" s="4">
        <v>0</v>
      </c>
      <c r="O116" s="4">
        <v>0</v>
      </c>
      <c r="P116" s="4">
        <v>8</v>
      </c>
      <c r="Q116" s="3" t="s">
        <v>55</v>
      </c>
      <c r="R116" s="3">
        <v>0</v>
      </c>
      <c r="S116" s="4">
        <v>9</v>
      </c>
      <c r="T116" s="4">
        <v>0</v>
      </c>
      <c r="U116" s="4">
        <v>0</v>
      </c>
      <c r="V116" s="4">
        <f>IF(ISERROR(VLOOKUP($S$116,'TAR FIN'!$A$1:$O$91,15,0)),0,VLOOKUP($S$116,'TAR FIN'!$A$1:$O$91,15,0))</f>
        <v>33.97</v>
      </c>
      <c r="W116" s="4">
        <f>IF(ISERROR(VLOOKUP($T$116,'TAR FIN'!$A$1:$O$91,15,0)),0,VLOOKUP($T$116,'TAR FIN'!$A$1:$O$91,15,0))</f>
        <v>0</v>
      </c>
      <c r="X116" s="4">
        <f>IF(ISERROR(VLOOKUP($U$116,'TAR FIN'!$A$1:$O$91,15,0)),0,VLOOKUP($U$116,'TAR FIN'!$A$1:$O$91,15,0))</f>
        <v>0</v>
      </c>
      <c r="Y116" s="4">
        <f ca="1">('TUSD BE'!$AM$13+'TUSD BF_350'!$AM$13+'TUSD CVA'!$AM$13)*1</f>
        <v>32.31</v>
      </c>
      <c r="Z116" s="4"/>
      <c r="AA116" s="4"/>
      <c r="AB116" s="4">
        <f>$K$116*$V$116</f>
        <v>32844.388209789002</v>
      </c>
      <c r="AC116" s="4">
        <f>$M$116*$W$116</f>
        <v>0</v>
      </c>
      <c r="AD116" s="4">
        <f>$O$116*$X$116</f>
        <v>0</v>
      </c>
      <c r="AE116" s="4">
        <f ca="1">$K$116*$Y$116</f>
        <v>31239.393083847004</v>
      </c>
      <c r="AF116" s="4">
        <f>$M$116*$Z$116</f>
        <v>0</v>
      </c>
      <c r="AG116" s="4">
        <f>$O$116*$AA$116</f>
        <v>0</v>
      </c>
    </row>
    <row r="117" spans="1:33" ht="11.25" customHeight="1" x14ac:dyDescent="0.3">
      <c r="A117" s="3" t="s">
        <v>21</v>
      </c>
      <c r="B117" s="3" t="s">
        <v>39</v>
      </c>
      <c r="C117" s="3" t="s">
        <v>40</v>
      </c>
      <c r="D117" s="3" t="s">
        <v>38</v>
      </c>
      <c r="E117" s="3" t="s">
        <v>25</v>
      </c>
      <c r="F117" s="3" t="s">
        <v>54</v>
      </c>
      <c r="G117" s="3" t="s">
        <v>25</v>
      </c>
      <c r="H117" s="3" t="s">
        <v>25</v>
      </c>
      <c r="I117" s="6">
        <v>44713</v>
      </c>
      <c r="J117" s="4">
        <v>3577</v>
      </c>
      <c r="K117" s="4">
        <v>964.70695593999994</v>
      </c>
      <c r="L117" s="4">
        <v>0</v>
      </c>
      <c r="M117" s="4">
        <v>0</v>
      </c>
      <c r="N117" s="4">
        <v>0</v>
      </c>
      <c r="O117" s="4">
        <v>0</v>
      </c>
      <c r="P117" s="4">
        <v>8</v>
      </c>
      <c r="Q117" s="3" t="s">
        <v>55</v>
      </c>
      <c r="R117" s="3">
        <v>0</v>
      </c>
      <c r="S117" s="4">
        <v>9</v>
      </c>
      <c r="T117" s="4">
        <v>0</v>
      </c>
      <c r="U117" s="4">
        <v>0</v>
      </c>
      <c r="V117" s="4">
        <f>IF(ISERROR(VLOOKUP($S$117,'TAR FIN'!$A$1:$O$91,15,0)),0,VLOOKUP($S$117,'TAR FIN'!$A$1:$O$91,15,0))</f>
        <v>33.97</v>
      </c>
      <c r="W117" s="4">
        <f>IF(ISERROR(VLOOKUP($T$117,'TAR FIN'!$A$1:$O$91,15,0)),0,VLOOKUP($T$117,'TAR FIN'!$A$1:$O$91,15,0))</f>
        <v>0</v>
      </c>
      <c r="X117" s="4">
        <f>IF(ISERROR(VLOOKUP($U$117,'TAR FIN'!$A$1:$O$91,15,0)),0,VLOOKUP($U$117,'TAR FIN'!$A$1:$O$91,15,0))</f>
        <v>0</v>
      </c>
      <c r="Y117" s="4">
        <f ca="1">('TUSD BE'!$AM$13+'TUSD BF_350'!$AM$13+'TUSD CVA'!$AM$13)*1</f>
        <v>32.31</v>
      </c>
      <c r="Z117" s="4"/>
      <c r="AA117" s="4"/>
      <c r="AB117" s="4">
        <f>$K$117*$V$117</f>
        <v>32771.095293281796</v>
      </c>
      <c r="AC117" s="4">
        <f>$M$117*$W$117</f>
        <v>0</v>
      </c>
      <c r="AD117" s="4">
        <f>$O$117*$X$117</f>
        <v>0</v>
      </c>
      <c r="AE117" s="4">
        <f ca="1">$K$117*$Y$117</f>
        <v>31169.6817464214</v>
      </c>
      <c r="AF117" s="4">
        <f>$M$117*$Z$117</f>
        <v>0</v>
      </c>
      <c r="AG117" s="4">
        <f>$O$117*$AA$117</f>
        <v>0</v>
      </c>
    </row>
    <row r="118" spans="1:33" ht="11.25" customHeight="1" x14ac:dyDescent="0.3">
      <c r="A118" s="3" t="s">
        <v>21</v>
      </c>
      <c r="B118" s="3" t="s">
        <v>39</v>
      </c>
      <c r="C118" s="3" t="s">
        <v>40</v>
      </c>
      <c r="D118" s="3" t="s">
        <v>38</v>
      </c>
      <c r="E118" s="3" t="s">
        <v>25</v>
      </c>
      <c r="F118" s="3" t="s">
        <v>54</v>
      </c>
      <c r="G118" s="3" t="s">
        <v>25</v>
      </c>
      <c r="H118" s="3" t="s">
        <v>34</v>
      </c>
      <c r="I118" s="6">
        <v>44378</v>
      </c>
      <c r="J118" s="4">
        <v>0</v>
      </c>
      <c r="K118" s="4">
        <v>0</v>
      </c>
      <c r="L118" s="4">
        <v>31.003</v>
      </c>
      <c r="M118" s="4">
        <v>9.8979709654699999</v>
      </c>
      <c r="N118" s="4">
        <v>0</v>
      </c>
      <c r="O118" s="4">
        <v>0</v>
      </c>
      <c r="P118" s="4">
        <v>0</v>
      </c>
      <c r="Q118" s="3" t="s">
        <v>55</v>
      </c>
      <c r="R118" s="3">
        <v>0</v>
      </c>
      <c r="S118" s="4">
        <v>0</v>
      </c>
      <c r="T118" s="4">
        <v>10</v>
      </c>
      <c r="U118" s="4">
        <v>0</v>
      </c>
      <c r="V118" s="4">
        <f>IF(ISERROR(VLOOKUP($S$118,'TAR FIN'!$A$1:$O$91,15,0)),0,VLOOKUP($S$118,'TAR FIN'!$A$1:$O$91,15,0))</f>
        <v>0</v>
      </c>
      <c r="W118" s="4">
        <f>IF(ISERROR(VLOOKUP($T$118,'TAR FIN'!$A$1:$O$91,15,0)),0,VLOOKUP($T$118,'TAR FIN'!$A$1:$O$91,15,0))</f>
        <v>1755.54</v>
      </c>
      <c r="X118" s="4">
        <f>IF(ISERROR(VLOOKUP($U$118,'TAR FIN'!$A$1:$O$91,15,0)),0,VLOOKUP($U$118,'TAR FIN'!$A$1:$O$91,15,0))</f>
        <v>0</v>
      </c>
      <c r="Y118" s="4"/>
      <c r="Z118" s="4">
        <f ca="1">('TUSD BE'!$AM$14+'TUSD BF_350'!$AM$14+'TUSD CVA'!$AM$14)*1</f>
        <v>1283.23</v>
      </c>
      <c r="AA118" s="4"/>
      <c r="AB118" s="4">
        <f>$K$118*$V$118</f>
        <v>0</v>
      </c>
      <c r="AC118" s="4">
        <f>$M$118*$W$118</f>
        <v>17376.283948721204</v>
      </c>
      <c r="AD118" s="4">
        <f>$O$118*$X$118</f>
        <v>0</v>
      </c>
      <c r="AE118" s="4">
        <f>$K$118*$Y$118</f>
        <v>0</v>
      </c>
      <c r="AF118" s="4">
        <f ca="1">$M$118*$Z$118</f>
        <v>12701.373282020068</v>
      </c>
      <c r="AG118" s="4">
        <f>$O$118*$AA$118</f>
        <v>0</v>
      </c>
    </row>
    <row r="119" spans="1:33" ht="11.25" customHeight="1" x14ac:dyDescent="0.3">
      <c r="A119" s="3" t="s">
        <v>21</v>
      </c>
      <c r="B119" s="3" t="s">
        <v>39</v>
      </c>
      <c r="C119" s="3" t="s">
        <v>40</v>
      </c>
      <c r="D119" s="3" t="s">
        <v>38</v>
      </c>
      <c r="E119" s="3" t="s">
        <v>25</v>
      </c>
      <c r="F119" s="3" t="s">
        <v>54</v>
      </c>
      <c r="G119" s="3" t="s">
        <v>25</v>
      </c>
      <c r="H119" s="3" t="s">
        <v>34</v>
      </c>
      <c r="I119" s="6">
        <v>44409</v>
      </c>
      <c r="J119" s="4">
        <v>0</v>
      </c>
      <c r="K119" s="4">
        <v>0</v>
      </c>
      <c r="L119" s="4">
        <v>33.430999999999997</v>
      </c>
      <c r="M119" s="4">
        <v>10.67313057919</v>
      </c>
      <c r="N119" s="4">
        <v>0</v>
      </c>
      <c r="O119" s="4">
        <v>0</v>
      </c>
      <c r="P119" s="4">
        <v>0</v>
      </c>
      <c r="Q119" s="3" t="s">
        <v>55</v>
      </c>
      <c r="R119" s="3">
        <v>0</v>
      </c>
      <c r="S119" s="4">
        <v>0</v>
      </c>
      <c r="T119" s="4">
        <v>10</v>
      </c>
      <c r="U119" s="4">
        <v>0</v>
      </c>
      <c r="V119" s="4">
        <f>IF(ISERROR(VLOOKUP($S$119,'TAR FIN'!$A$1:$O$91,15,0)),0,VLOOKUP($S$119,'TAR FIN'!$A$1:$O$91,15,0))</f>
        <v>0</v>
      </c>
      <c r="W119" s="4">
        <f>IF(ISERROR(VLOOKUP($T$119,'TAR FIN'!$A$1:$O$91,15,0)),0,VLOOKUP($T$119,'TAR FIN'!$A$1:$O$91,15,0))</f>
        <v>1755.54</v>
      </c>
      <c r="X119" s="4">
        <f>IF(ISERROR(VLOOKUP($U$119,'TAR FIN'!$A$1:$O$91,15,0)),0,VLOOKUP($U$119,'TAR FIN'!$A$1:$O$91,15,0))</f>
        <v>0</v>
      </c>
      <c r="Y119" s="4"/>
      <c r="Z119" s="4">
        <f ca="1">('TUSD BE'!$AM$14+'TUSD BF_350'!$AM$14+'TUSD CVA'!$AM$14)*1</f>
        <v>1283.23</v>
      </c>
      <c r="AA119" s="4"/>
      <c r="AB119" s="4">
        <f>$K$119*$V$119</f>
        <v>0</v>
      </c>
      <c r="AC119" s="4">
        <f>$M$119*$W$119</f>
        <v>18737.107656991211</v>
      </c>
      <c r="AD119" s="4">
        <f>$O$119*$X$119</f>
        <v>0</v>
      </c>
      <c r="AE119" s="4">
        <f>$K$119*$Y$119</f>
        <v>0</v>
      </c>
      <c r="AF119" s="4">
        <f ca="1">$M$119*$Z$119</f>
        <v>13696.081353133983</v>
      </c>
      <c r="AG119" s="4">
        <f>$O$119*$AA$119</f>
        <v>0</v>
      </c>
    </row>
    <row r="120" spans="1:33" ht="11.25" customHeight="1" x14ac:dyDescent="0.3">
      <c r="A120" s="3" t="s">
        <v>21</v>
      </c>
      <c r="B120" s="3" t="s">
        <v>39</v>
      </c>
      <c r="C120" s="3" t="s">
        <v>40</v>
      </c>
      <c r="D120" s="3" t="s">
        <v>38</v>
      </c>
      <c r="E120" s="3" t="s">
        <v>25</v>
      </c>
      <c r="F120" s="3" t="s">
        <v>54</v>
      </c>
      <c r="G120" s="3" t="s">
        <v>25</v>
      </c>
      <c r="H120" s="3" t="s">
        <v>34</v>
      </c>
      <c r="I120" s="6">
        <v>44440</v>
      </c>
      <c r="J120" s="4">
        <v>0</v>
      </c>
      <c r="K120" s="4">
        <v>0</v>
      </c>
      <c r="L120" s="4">
        <v>19.898</v>
      </c>
      <c r="M120" s="4">
        <v>6.35260543402</v>
      </c>
      <c r="N120" s="4">
        <v>0</v>
      </c>
      <c r="O120" s="4">
        <v>0</v>
      </c>
      <c r="P120" s="4">
        <v>0</v>
      </c>
      <c r="Q120" s="3" t="s">
        <v>55</v>
      </c>
      <c r="R120" s="3">
        <v>0</v>
      </c>
      <c r="S120" s="4">
        <v>0</v>
      </c>
      <c r="T120" s="4">
        <v>10</v>
      </c>
      <c r="U120" s="4">
        <v>0</v>
      </c>
      <c r="V120" s="4">
        <f>IF(ISERROR(VLOOKUP($S$120,'TAR FIN'!$A$1:$O$91,15,0)),0,VLOOKUP($S$120,'TAR FIN'!$A$1:$O$91,15,0))</f>
        <v>0</v>
      </c>
      <c r="W120" s="4">
        <f>IF(ISERROR(VLOOKUP($T$120,'TAR FIN'!$A$1:$O$91,15,0)),0,VLOOKUP($T$120,'TAR FIN'!$A$1:$O$91,15,0))</f>
        <v>1755.54</v>
      </c>
      <c r="X120" s="4">
        <f>IF(ISERROR(VLOOKUP($U$120,'TAR FIN'!$A$1:$O$91,15,0)),0,VLOOKUP($U$120,'TAR FIN'!$A$1:$O$91,15,0))</f>
        <v>0</v>
      </c>
      <c r="Y120" s="4"/>
      <c r="Z120" s="4">
        <f ca="1">('TUSD BE'!$AM$14+'TUSD BF_350'!$AM$14+'TUSD CVA'!$AM$14)*1</f>
        <v>1283.23</v>
      </c>
      <c r="AA120" s="4"/>
      <c r="AB120" s="4">
        <f>$K$120*$V$120</f>
        <v>0</v>
      </c>
      <c r="AC120" s="4">
        <f>$M$120*$W$120</f>
        <v>11152.252943639471</v>
      </c>
      <c r="AD120" s="4">
        <f>$O$120*$X$120</f>
        <v>0</v>
      </c>
      <c r="AE120" s="4">
        <f>$K$120*$Y$120</f>
        <v>0</v>
      </c>
      <c r="AF120" s="4">
        <f ca="1">$M$120*$Z$120</f>
        <v>8151.8538710974844</v>
      </c>
      <c r="AG120" s="4">
        <f>$O$120*$AA$120</f>
        <v>0</v>
      </c>
    </row>
    <row r="121" spans="1:33" ht="11.25" customHeight="1" x14ac:dyDescent="0.3">
      <c r="A121" s="3" t="s">
        <v>21</v>
      </c>
      <c r="B121" s="3" t="s">
        <v>39</v>
      </c>
      <c r="C121" s="3" t="s">
        <v>40</v>
      </c>
      <c r="D121" s="3" t="s">
        <v>38</v>
      </c>
      <c r="E121" s="3" t="s">
        <v>25</v>
      </c>
      <c r="F121" s="3" t="s">
        <v>54</v>
      </c>
      <c r="G121" s="3" t="s">
        <v>25</v>
      </c>
      <c r="H121" s="3" t="s">
        <v>34</v>
      </c>
      <c r="I121" s="6">
        <v>44470</v>
      </c>
      <c r="J121" s="4">
        <v>0</v>
      </c>
      <c r="K121" s="4">
        <v>0</v>
      </c>
      <c r="L121" s="4">
        <v>20.74</v>
      </c>
      <c r="M121" s="4">
        <v>6.6214210826000004</v>
      </c>
      <c r="N121" s="4">
        <v>0</v>
      </c>
      <c r="O121" s="4">
        <v>0</v>
      </c>
      <c r="P121" s="4">
        <v>0</v>
      </c>
      <c r="Q121" s="3" t="s">
        <v>55</v>
      </c>
      <c r="R121" s="3">
        <v>0</v>
      </c>
      <c r="S121" s="4">
        <v>0</v>
      </c>
      <c r="T121" s="4">
        <v>10</v>
      </c>
      <c r="U121" s="4">
        <v>0</v>
      </c>
      <c r="V121" s="4">
        <f>IF(ISERROR(VLOOKUP($S$121,'TAR FIN'!$A$1:$O$91,15,0)),0,VLOOKUP($S$121,'TAR FIN'!$A$1:$O$91,15,0))</f>
        <v>0</v>
      </c>
      <c r="W121" s="4">
        <f>IF(ISERROR(VLOOKUP($T$121,'TAR FIN'!$A$1:$O$91,15,0)),0,VLOOKUP($T$121,'TAR FIN'!$A$1:$O$91,15,0))</f>
        <v>1755.54</v>
      </c>
      <c r="X121" s="4">
        <f>IF(ISERROR(VLOOKUP($U$121,'TAR FIN'!$A$1:$O$91,15,0)),0,VLOOKUP($U$121,'TAR FIN'!$A$1:$O$91,15,0))</f>
        <v>0</v>
      </c>
      <c r="Y121" s="4"/>
      <c r="Z121" s="4">
        <f ca="1">('TUSD BE'!$AM$14+'TUSD BF_350'!$AM$14+'TUSD CVA'!$AM$14)*1</f>
        <v>1283.23</v>
      </c>
      <c r="AA121" s="4"/>
      <c r="AB121" s="4">
        <f>$K$121*$V$121</f>
        <v>0</v>
      </c>
      <c r="AC121" s="4">
        <f>$M$121*$W$121</f>
        <v>11624.169567347604</v>
      </c>
      <c r="AD121" s="4">
        <f>$O$121*$X$121</f>
        <v>0</v>
      </c>
      <c r="AE121" s="4">
        <f>$K$121*$Y$121</f>
        <v>0</v>
      </c>
      <c r="AF121" s="4">
        <f ca="1">$M$121*$Z$121</f>
        <v>8496.8061758247986</v>
      </c>
      <c r="AG121" s="4">
        <f>$O$121*$AA$121</f>
        <v>0</v>
      </c>
    </row>
    <row r="122" spans="1:33" ht="11.25" customHeight="1" x14ac:dyDescent="0.3">
      <c r="A122" s="3" t="s">
        <v>21</v>
      </c>
      <c r="B122" s="3" t="s">
        <v>39</v>
      </c>
      <c r="C122" s="3" t="s">
        <v>40</v>
      </c>
      <c r="D122" s="3" t="s">
        <v>38</v>
      </c>
      <c r="E122" s="3" t="s">
        <v>25</v>
      </c>
      <c r="F122" s="3" t="s">
        <v>54</v>
      </c>
      <c r="G122" s="3" t="s">
        <v>25</v>
      </c>
      <c r="H122" s="3" t="s">
        <v>34</v>
      </c>
      <c r="I122" s="6">
        <v>44501</v>
      </c>
      <c r="J122" s="4">
        <v>0</v>
      </c>
      <c r="K122" s="4">
        <v>0</v>
      </c>
      <c r="L122" s="4">
        <v>23.716999999999999</v>
      </c>
      <c r="M122" s="4">
        <v>7.5718536073299996</v>
      </c>
      <c r="N122" s="4">
        <v>0</v>
      </c>
      <c r="O122" s="4">
        <v>0</v>
      </c>
      <c r="P122" s="4">
        <v>0</v>
      </c>
      <c r="Q122" s="3" t="s">
        <v>55</v>
      </c>
      <c r="R122" s="3">
        <v>0</v>
      </c>
      <c r="S122" s="4">
        <v>0</v>
      </c>
      <c r="T122" s="4">
        <v>10</v>
      </c>
      <c r="U122" s="4">
        <v>0</v>
      </c>
      <c r="V122" s="4">
        <f>IF(ISERROR(VLOOKUP($S$122,'TAR FIN'!$A$1:$O$91,15,0)),0,VLOOKUP($S$122,'TAR FIN'!$A$1:$O$91,15,0))</f>
        <v>0</v>
      </c>
      <c r="W122" s="4">
        <f>IF(ISERROR(VLOOKUP($T$122,'TAR FIN'!$A$1:$O$91,15,0)),0,VLOOKUP($T$122,'TAR FIN'!$A$1:$O$91,15,0))</f>
        <v>1755.54</v>
      </c>
      <c r="X122" s="4">
        <f>IF(ISERROR(VLOOKUP($U$122,'TAR FIN'!$A$1:$O$91,15,0)),0,VLOOKUP($U$122,'TAR FIN'!$A$1:$O$91,15,0))</f>
        <v>0</v>
      </c>
      <c r="Y122" s="4"/>
      <c r="Z122" s="4">
        <f ca="1">('TUSD BE'!$AM$14+'TUSD BF_350'!$AM$14+'TUSD CVA'!$AM$14)*1</f>
        <v>1283.23</v>
      </c>
      <c r="AA122" s="4"/>
      <c r="AB122" s="4">
        <f>$K$122*$V$122</f>
        <v>0</v>
      </c>
      <c r="AC122" s="4">
        <f>$M$122*$W$122</f>
        <v>13292.691881812107</v>
      </c>
      <c r="AD122" s="4">
        <f>$O$122*$X$122</f>
        <v>0</v>
      </c>
      <c r="AE122" s="4">
        <f>$K$122*$Y$122</f>
        <v>0</v>
      </c>
      <c r="AF122" s="4">
        <f ca="1">$M$122*$Z$122</f>
        <v>9716.4297045340754</v>
      </c>
      <c r="AG122" s="4">
        <f>$O$122*$AA$122</f>
        <v>0</v>
      </c>
    </row>
    <row r="123" spans="1:33" ht="11.25" customHeight="1" x14ac:dyDescent="0.3">
      <c r="A123" s="3" t="s">
        <v>21</v>
      </c>
      <c r="B123" s="3" t="s">
        <v>39</v>
      </c>
      <c r="C123" s="3" t="s">
        <v>40</v>
      </c>
      <c r="D123" s="3" t="s">
        <v>38</v>
      </c>
      <c r="E123" s="3" t="s">
        <v>25</v>
      </c>
      <c r="F123" s="3" t="s">
        <v>54</v>
      </c>
      <c r="G123" s="3" t="s">
        <v>25</v>
      </c>
      <c r="H123" s="3" t="s">
        <v>34</v>
      </c>
      <c r="I123" s="6">
        <v>44531</v>
      </c>
      <c r="J123" s="4">
        <v>0</v>
      </c>
      <c r="K123" s="4">
        <v>0</v>
      </c>
      <c r="L123" s="4">
        <v>28.638999999999999</v>
      </c>
      <c r="M123" s="4">
        <v>9.1432438951100004</v>
      </c>
      <c r="N123" s="4">
        <v>0</v>
      </c>
      <c r="O123" s="4">
        <v>0</v>
      </c>
      <c r="P123" s="4">
        <v>0</v>
      </c>
      <c r="Q123" s="3" t="s">
        <v>55</v>
      </c>
      <c r="R123" s="3">
        <v>0</v>
      </c>
      <c r="S123" s="4">
        <v>0</v>
      </c>
      <c r="T123" s="4">
        <v>10</v>
      </c>
      <c r="U123" s="4">
        <v>0</v>
      </c>
      <c r="V123" s="4">
        <f>IF(ISERROR(VLOOKUP($S$123,'TAR FIN'!$A$1:$O$91,15,0)),0,VLOOKUP($S$123,'TAR FIN'!$A$1:$O$91,15,0))</f>
        <v>0</v>
      </c>
      <c r="W123" s="4">
        <f>IF(ISERROR(VLOOKUP($T$123,'TAR FIN'!$A$1:$O$91,15,0)),0,VLOOKUP($T$123,'TAR FIN'!$A$1:$O$91,15,0))</f>
        <v>1755.54</v>
      </c>
      <c r="X123" s="4">
        <f>IF(ISERROR(VLOOKUP($U$123,'TAR FIN'!$A$1:$O$91,15,0)),0,VLOOKUP($U$123,'TAR FIN'!$A$1:$O$91,15,0))</f>
        <v>0</v>
      </c>
      <c r="Y123" s="4"/>
      <c r="Z123" s="4">
        <f ca="1">('TUSD BE'!$AM$14+'TUSD BF_350'!$AM$14+'TUSD CVA'!$AM$14)*1</f>
        <v>1283.23</v>
      </c>
      <c r="AA123" s="4"/>
      <c r="AB123" s="4">
        <f>$K$123*$V$123</f>
        <v>0</v>
      </c>
      <c r="AC123" s="4">
        <f>$M$123*$W$123</f>
        <v>16051.33038762141</v>
      </c>
      <c r="AD123" s="4">
        <f>$O$123*$X$123</f>
        <v>0</v>
      </c>
      <c r="AE123" s="4">
        <f>$K$123*$Y$123</f>
        <v>0</v>
      </c>
      <c r="AF123" s="4">
        <f ca="1">$M$123*$Z$123</f>
        <v>11732.884863522006</v>
      </c>
      <c r="AG123" s="4">
        <f>$O$123*$AA$123</f>
        <v>0</v>
      </c>
    </row>
    <row r="124" spans="1:33" ht="11.25" customHeight="1" x14ac:dyDescent="0.3">
      <c r="A124" s="3" t="s">
        <v>21</v>
      </c>
      <c r="B124" s="3" t="s">
        <v>39</v>
      </c>
      <c r="C124" s="3" t="s">
        <v>40</v>
      </c>
      <c r="D124" s="3" t="s">
        <v>38</v>
      </c>
      <c r="E124" s="3" t="s">
        <v>25</v>
      </c>
      <c r="F124" s="3" t="s">
        <v>54</v>
      </c>
      <c r="G124" s="3" t="s">
        <v>25</v>
      </c>
      <c r="H124" s="3" t="s">
        <v>34</v>
      </c>
      <c r="I124" s="6">
        <v>44562</v>
      </c>
      <c r="J124" s="4">
        <v>0</v>
      </c>
      <c r="K124" s="4">
        <v>0</v>
      </c>
      <c r="L124" s="4">
        <v>29.315000000000001</v>
      </c>
      <c r="M124" s="4">
        <v>9.3590626343499999</v>
      </c>
      <c r="N124" s="4">
        <v>0</v>
      </c>
      <c r="O124" s="4">
        <v>0</v>
      </c>
      <c r="P124" s="4">
        <v>0</v>
      </c>
      <c r="Q124" s="3" t="s">
        <v>55</v>
      </c>
      <c r="R124" s="3">
        <v>0</v>
      </c>
      <c r="S124" s="4">
        <v>0</v>
      </c>
      <c r="T124" s="4">
        <v>10</v>
      </c>
      <c r="U124" s="4">
        <v>0</v>
      </c>
      <c r="V124" s="4">
        <f>IF(ISERROR(VLOOKUP($S$124,'TAR FIN'!$A$1:$O$91,15,0)),0,VLOOKUP($S$124,'TAR FIN'!$A$1:$O$91,15,0))</f>
        <v>0</v>
      </c>
      <c r="W124" s="4">
        <f>IF(ISERROR(VLOOKUP($T$124,'TAR FIN'!$A$1:$O$91,15,0)),0,VLOOKUP($T$124,'TAR FIN'!$A$1:$O$91,15,0))</f>
        <v>1755.54</v>
      </c>
      <c r="X124" s="4">
        <f>IF(ISERROR(VLOOKUP($U$124,'TAR FIN'!$A$1:$O$91,15,0)),0,VLOOKUP($U$124,'TAR FIN'!$A$1:$O$91,15,0))</f>
        <v>0</v>
      </c>
      <c r="Y124" s="4"/>
      <c r="Z124" s="4">
        <f ca="1">('TUSD BE'!$AM$14+'TUSD BF_350'!$AM$14+'TUSD CVA'!$AM$14)*1</f>
        <v>1283.23</v>
      </c>
      <c r="AA124" s="4"/>
      <c r="AB124" s="4">
        <f>$K$124*$V$124</f>
        <v>0</v>
      </c>
      <c r="AC124" s="4">
        <f>$M$124*$W$124</f>
        <v>16430.208817106799</v>
      </c>
      <c r="AD124" s="4">
        <f>$O$124*$X$124</f>
        <v>0</v>
      </c>
      <c r="AE124" s="4">
        <f>$K$124*$Y$124</f>
        <v>0</v>
      </c>
      <c r="AF124" s="4">
        <f ca="1">$M$124*$Z$124</f>
        <v>12009.829944276951</v>
      </c>
      <c r="AG124" s="4">
        <f>$O$124*$AA$124</f>
        <v>0</v>
      </c>
    </row>
    <row r="125" spans="1:33" ht="11.25" customHeight="1" x14ac:dyDescent="0.3">
      <c r="A125" s="3" t="s">
        <v>21</v>
      </c>
      <c r="B125" s="3" t="s">
        <v>39</v>
      </c>
      <c r="C125" s="3" t="s">
        <v>40</v>
      </c>
      <c r="D125" s="3" t="s">
        <v>38</v>
      </c>
      <c r="E125" s="3" t="s">
        <v>25</v>
      </c>
      <c r="F125" s="3" t="s">
        <v>54</v>
      </c>
      <c r="G125" s="3" t="s">
        <v>25</v>
      </c>
      <c r="H125" s="3" t="s">
        <v>34</v>
      </c>
      <c r="I125" s="6">
        <v>44593</v>
      </c>
      <c r="J125" s="4">
        <v>0</v>
      </c>
      <c r="K125" s="4">
        <v>0</v>
      </c>
      <c r="L125" s="4">
        <v>29</v>
      </c>
      <c r="M125" s="4">
        <v>9.2584962100000006</v>
      </c>
      <c r="N125" s="4">
        <v>0</v>
      </c>
      <c r="O125" s="4">
        <v>0</v>
      </c>
      <c r="P125" s="4">
        <v>0</v>
      </c>
      <c r="Q125" s="3" t="s">
        <v>55</v>
      </c>
      <c r="R125" s="3">
        <v>0</v>
      </c>
      <c r="S125" s="4">
        <v>0</v>
      </c>
      <c r="T125" s="4">
        <v>10</v>
      </c>
      <c r="U125" s="4">
        <v>0</v>
      </c>
      <c r="V125" s="4">
        <f>IF(ISERROR(VLOOKUP($S$125,'TAR FIN'!$A$1:$O$91,15,0)),0,VLOOKUP($S$125,'TAR FIN'!$A$1:$O$91,15,0))</f>
        <v>0</v>
      </c>
      <c r="W125" s="4">
        <f>IF(ISERROR(VLOOKUP($T$125,'TAR FIN'!$A$1:$O$91,15,0)),0,VLOOKUP($T$125,'TAR FIN'!$A$1:$O$91,15,0))</f>
        <v>1755.54</v>
      </c>
      <c r="X125" s="4">
        <f>IF(ISERROR(VLOOKUP($U$125,'TAR FIN'!$A$1:$O$91,15,0)),0,VLOOKUP($U$125,'TAR FIN'!$A$1:$O$91,15,0))</f>
        <v>0</v>
      </c>
      <c r="Y125" s="4"/>
      <c r="Z125" s="4">
        <f ca="1">('TUSD BE'!$AM$14+'TUSD BF_350'!$AM$14+'TUSD CVA'!$AM$14)*1</f>
        <v>1283.23</v>
      </c>
      <c r="AA125" s="4"/>
      <c r="AB125" s="4">
        <f>$K$125*$V$125</f>
        <v>0</v>
      </c>
      <c r="AC125" s="4">
        <f>$M$125*$W$125</f>
        <v>16253.6604365034</v>
      </c>
      <c r="AD125" s="4">
        <f>$O$125*$X$125</f>
        <v>0</v>
      </c>
      <c r="AE125" s="4">
        <f>$K$125*$Y$125</f>
        <v>0</v>
      </c>
      <c r="AF125" s="4">
        <f ca="1">$M$125*$Z$125</f>
        <v>11880.780091558301</v>
      </c>
      <c r="AG125" s="4">
        <f>$O$125*$AA$125</f>
        <v>0</v>
      </c>
    </row>
    <row r="126" spans="1:33" ht="11.25" customHeight="1" x14ac:dyDescent="0.3">
      <c r="A126" s="3" t="s">
        <v>21</v>
      </c>
      <c r="B126" s="3" t="s">
        <v>39</v>
      </c>
      <c r="C126" s="3" t="s">
        <v>40</v>
      </c>
      <c r="D126" s="3" t="s">
        <v>38</v>
      </c>
      <c r="E126" s="3" t="s">
        <v>25</v>
      </c>
      <c r="F126" s="3" t="s">
        <v>54</v>
      </c>
      <c r="G126" s="3" t="s">
        <v>25</v>
      </c>
      <c r="H126" s="3" t="s">
        <v>34</v>
      </c>
      <c r="I126" s="6">
        <v>44621</v>
      </c>
      <c r="J126" s="4">
        <v>0</v>
      </c>
      <c r="K126" s="4">
        <v>0</v>
      </c>
      <c r="L126" s="4">
        <v>72.227000000000004</v>
      </c>
      <c r="M126" s="4">
        <v>23.05908295723</v>
      </c>
      <c r="N126" s="4">
        <v>0</v>
      </c>
      <c r="O126" s="4">
        <v>0</v>
      </c>
      <c r="P126" s="4">
        <v>0</v>
      </c>
      <c r="Q126" s="3" t="s">
        <v>55</v>
      </c>
      <c r="R126" s="3">
        <v>0</v>
      </c>
      <c r="S126" s="4">
        <v>0</v>
      </c>
      <c r="T126" s="4">
        <v>10</v>
      </c>
      <c r="U126" s="4">
        <v>0</v>
      </c>
      <c r="V126" s="4">
        <f>IF(ISERROR(VLOOKUP($S$126,'TAR FIN'!$A$1:$O$91,15,0)),0,VLOOKUP($S$126,'TAR FIN'!$A$1:$O$91,15,0))</f>
        <v>0</v>
      </c>
      <c r="W126" s="4">
        <f>IF(ISERROR(VLOOKUP($T$126,'TAR FIN'!$A$1:$O$91,15,0)),0,VLOOKUP($T$126,'TAR FIN'!$A$1:$O$91,15,0))</f>
        <v>1755.54</v>
      </c>
      <c r="X126" s="4">
        <f>IF(ISERROR(VLOOKUP($U$126,'TAR FIN'!$A$1:$O$91,15,0)),0,VLOOKUP($U$126,'TAR FIN'!$A$1:$O$91,15,0))</f>
        <v>0</v>
      </c>
      <c r="Y126" s="4"/>
      <c r="Z126" s="4">
        <f ca="1">('TUSD BE'!$AM$14+'TUSD BF_350'!$AM$14+'TUSD CVA'!$AM$14)*1</f>
        <v>1283.23</v>
      </c>
      <c r="AA126" s="4"/>
      <c r="AB126" s="4">
        <f>$K$126*$V$126</f>
        <v>0</v>
      </c>
      <c r="AC126" s="4">
        <f>$M$126*$W$126</f>
        <v>40481.142494735555</v>
      </c>
      <c r="AD126" s="4">
        <f>$O$126*$X$126</f>
        <v>0</v>
      </c>
      <c r="AE126" s="4">
        <f>$K$126*$Y$126</f>
        <v>0</v>
      </c>
      <c r="AF126" s="4">
        <f ca="1">$M$126*$Z$126</f>
        <v>29590.107023206252</v>
      </c>
      <c r="AG126" s="4">
        <f>$O$126*$AA$126</f>
        <v>0</v>
      </c>
    </row>
    <row r="127" spans="1:33" ht="11.25" customHeight="1" x14ac:dyDescent="0.3">
      <c r="A127" s="3" t="s">
        <v>21</v>
      </c>
      <c r="B127" s="3" t="s">
        <v>39</v>
      </c>
      <c r="C127" s="3" t="s">
        <v>40</v>
      </c>
      <c r="D127" s="3" t="s">
        <v>38</v>
      </c>
      <c r="E127" s="3" t="s">
        <v>25</v>
      </c>
      <c r="F127" s="3" t="s">
        <v>54</v>
      </c>
      <c r="G127" s="3" t="s">
        <v>25</v>
      </c>
      <c r="H127" s="3" t="s">
        <v>34</v>
      </c>
      <c r="I127" s="6">
        <v>44652</v>
      </c>
      <c r="J127" s="4">
        <v>0</v>
      </c>
      <c r="K127" s="4">
        <v>0</v>
      </c>
      <c r="L127" s="4">
        <v>42.276000000000003</v>
      </c>
      <c r="M127" s="4">
        <v>13.49697192324</v>
      </c>
      <c r="N127" s="4">
        <v>0</v>
      </c>
      <c r="O127" s="4">
        <v>0</v>
      </c>
      <c r="P127" s="4">
        <v>0</v>
      </c>
      <c r="Q127" s="3" t="s">
        <v>55</v>
      </c>
      <c r="R127" s="3">
        <v>0</v>
      </c>
      <c r="S127" s="4">
        <v>0</v>
      </c>
      <c r="T127" s="4">
        <v>10</v>
      </c>
      <c r="U127" s="4">
        <v>0</v>
      </c>
      <c r="V127" s="4">
        <f>IF(ISERROR(VLOOKUP($S$127,'TAR FIN'!$A$1:$O$91,15,0)),0,VLOOKUP($S$127,'TAR FIN'!$A$1:$O$91,15,0))</f>
        <v>0</v>
      </c>
      <c r="W127" s="4">
        <f>IF(ISERROR(VLOOKUP($T$127,'TAR FIN'!$A$1:$O$91,15,0)),0,VLOOKUP($T$127,'TAR FIN'!$A$1:$O$91,15,0))</f>
        <v>1755.54</v>
      </c>
      <c r="X127" s="4">
        <f>IF(ISERROR(VLOOKUP($U$127,'TAR FIN'!$A$1:$O$91,15,0)),0,VLOOKUP($U$127,'TAR FIN'!$A$1:$O$91,15,0))</f>
        <v>0</v>
      </c>
      <c r="Y127" s="4"/>
      <c r="Z127" s="4">
        <f ca="1">('TUSD BE'!$AM$14+'TUSD BF_350'!$AM$14+'TUSD CVA'!$AM$14)*1</f>
        <v>1283.23</v>
      </c>
      <c r="AA127" s="4"/>
      <c r="AB127" s="4">
        <f>$K$127*$V$127</f>
        <v>0</v>
      </c>
      <c r="AC127" s="4">
        <f>$M$127*$W$127</f>
        <v>23694.47409012475</v>
      </c>
      <c r="AD127" s="4">
        <f>$O$127*$X$127</f>
        <v>0</v>
      </c>
      <c r="AE127" s="4">
        <f>$K$127*$Y$127</f>
        <v>0</v>
      </c>
      <c r="AF127" s="4">
        <f ca="1">$M$127*$Z$127</f>
        <v>17319.719281059264</v>
      </c>
      <c r="AG127" s="4">
        <f>$O$127*$AA$127</f>
        <v>0</v>
      </c>
    </row>
    <row r="128" spans="1:33" ht="11.25" customHeight="1" x14ac:dyDescent="0.3">
      <c r="A128" s="3" t="s">
        <v>21</v>
      </c>
      <c r="B128" s="3" t="s">
        <v>39</v>
      </c>
      <c r="C128" s="3" t="s">
        <v>40</v>
      </c>
      <c r="D128" s="3" t="s">
        <v>38</v>
      </c>
      <c r="E128" s="3" t="s">
        <v>25</v>
      </c>
      <c r="F128" s="3" t="s">
        <v>54</v>
      </c>
      <c r="G128" s="3" t="s">
        <v>25</v>
      </c>
      <c r="H128" s="3" t="s">
        <v>34</v>
      </c>
      <c r="I128" s="6">
        <v>44682</v>
      </c>
      <c r="J128" s="4">
        <v>0</v>
      </c>
      <c r="K128" s="4">
        <v>0</v>
      </c>
      <c r="L128" s="4">
        <v>53.362000000000002</v>
      </c>
      <c r="M128" s="4">
        <v>17.03627154338</v>
      </c>
      <c r="N128" s="4">
        <v>0</v>
      </c>
      <c r="O128" s="4">
        <v>0</v>
      </c>
      <c r="P128" s="4">
        <v>0</v>
      </c>
      <c r="Q128" s="3" t="s">
        <v>55</v>
      </c>
      <c r="R128" s="3">
        <v>0</v>
      </c>
      <c r="S128" s="4">
        <v>0</v>
      </c>
      <c r="T128" s="4">
        <v>10</v>
      </c>
      <c r="U128" s="4">
        <v>0</v>
      </c>
      <c r="V128" s="4">
        <f>IF(ISERROR(VLOOKUP($S$128,'TAR FIN'!$A$1:$O$91,15,0)),0,VLOOKUP($S$128,'TAR FIN'!$A$1:$O$91,15,0))</f>
        <v>0</v>
      </c>
      <c r="W128" s="4">
        <f>IF(ISERROR(VLOOKUP($T$128,'TAR FIN'!$A$1:$O$91,15,0)),0,VLOOKUP($T$128,'TAR FIN'!$A$1:$O$91,15,0))</f>
        <v>1755.54</v>
      </c>
      <c r="X128" s="4">
        <f>IF(ISERROR(VLOOKUP($U$128,'TAR FIN'!$A$1:$O$91,15,0)),0,VLOOKUP($U$128,'TAR FIN'!$A$1:$O$91,15,0))</f>
        <v>0</v>
      </c>
      <c r="Y128" s="4"/>
      <c r="Z128" s="4">
        <f ca="1">('TUSD BE'!$AM$14+'TUSD BF_350'!$AM$14+'TUSD CVA'!$AM$14)*1</f>
        <v>1283.23</v>
      </c>
      <c r="AA128" s="4"/>
      <c r="AB128" s="4">
        <f>$K$128*$V$128</f>
        <v>0</v>
      </c>
      <c r="AC128" s="4">
        <f>$M$128*$W$128</f>
        <v>29907.856145265323</v>
      </c>
      <c r="AD128" s="4">
        <f>$O$128*$X$128</f>
        <v>0</v>
      </c>
      <c r="AE128" s="4">
        <f>$K$128*$Y$128</f>
        <v>0</v>
      </c>
      <c r="AF128" s="4">
        <f ca="1">$M$128*$Z$128</f>
        <v>21861.454732611517</v>
      </c>
      <c r="AG128" s="4">
        <f>$O$128*$AA$128</f>
        <v>0</v>
      </c>
    </row>
    <row r="129" spans="1:33" ht="11.25" customHeight="1" x14ac:dyDescent="0.3">
      <c r="A129" s="3" t="s">
        <v>21</v>
      </c>
      <c r="B129" s="3" t="s">
        <v>39</v>
      </c>
      <c r="C129" s="3" t="s">
        <v>40</v>
      </c>
      <c r="D129" s="3" t="s">
        <v>38</v>
      </c>
      <c r="E129" s="3" t="s">
        <v>25</v>
      </c>
      <c r="F129" s="3" t="s">
        <v>54</v>
      </c>
      <c r="G129" s="3" t="s">
        <v>25</v>
      </c>
      <c r="H129" s="3" t="s">
        <v>34</v>
      </c>
      <c r="I129" s="6">
        <v>44713</v>
      </c>
      <c r="J129" s="4">
        <v>0</v>
      </c>
      <c r="K129" s="4">
        <v>0</v>
      </c>
      <c r="L129" s="4">
        <v>50.908999999999999</v>
      </c>
      <c r="M129" s="4">
        <v>16.253130467409999</v>
      </c>
      <c r="N129" s="4">
        <v>0</v>
      </c>
      <c r="O129" s="4">
        <v>0</v>
      </c>
      <c r="P129" s="4">
        <v>0</v>
      </c>
      <c r="Q129" s="3" t="s">
        <v>55</v>
      </c>
      <c r="R129" s="3">
        <v>0</v>
      </c>
      <c r="S129" s="4">
        <v>0</v>
      </c>
      <c r="T129" s="4">
        <v>10</v>
      </c>
      <c r="U129" s="4">
        <v>0</v>
      </c>
      <c r="V129" s="4">
        <f>IF(ISERROR(VLOOKUP($S$129,'TAR FIN'!$A$1:$O$91,15,0)),0,VLOOKUP($S$129,'TAR FIN'!$A$1:$O$91,15,0))</f>
        <v>0</v>
      </c>
      <c r="W129" s="4">
        <f>IF(ISERROR(VLOOKUP($T$129,'TAR FIN'!$A$1:$O$91,15,0)),0,VLOOKUP($T$129,'TAR FIN'!$A$1:$O$91,15,0))</f>
        <v>1755.54</v>
      </c>
      <c r="X129" s="4">
        <f>IF(ISERROR(VLOOKUP($U$129,'TAR FIN'!$A$1:$O$91,15,0)),0,VLOOKUP($U$129,'TAR FIN'!$A$1:$O$91,15,0))</f>
        <v>0</v>
      </c>
      <c r="Y129" s="4"/>
      <c r="Z129" s="4">
        <f ca="1">('TUSD BE'!$AM$14+'TUSD BF_350'!$AM$14+'TUSD CVA'!$AM$14)*1</f>
        <v>1283.23</v>
      </c>
      <c r="AA129" s="4"/>
      <c r="AB129" s="4">
        <f>$K$129*$V$129</f>
        <v>0</v>
      </c>
      <c r="AC129" s="4">
        <f>$M$129*$W$129</f>
        <v>28533.020660756949</v>
      </c>
      <c r="AD129" s="4">
        <f>$O$129*$X$129</f>
        <v>0</v>
      </c>
      <c r="AE129" s="4">
        <f>$K$129*$Y$129</f>
        <v>0</v>
      </c>
      <c r="AF129" s="4">
        <f ca="1">$M$129*$Z$129</f>
        <v>20856.504609694533</v>
      </c>
      <c r="AG129" s="4">
        <f>$O$129*$AA$129</f>
        <v>0</v>
      </c>
    </row>
    <row r="130" spans="1:33" ht="11.25" customHeight="1" x14ac:dyDescent="0.3">
      <c r="A130" s="3" t="s">
        <v>21</v>
      </c>
      <c r="B130" s="3" t="s">
        <v>39</v>
      </c>
      <c r="C130" s="3" t="s">
        <v>40</v>
      </c>
      <c r="D130" s="3" t="s">
        <v>38</v>
      </c>
      <c r="E130" s="3" t="s">
        <v>25</v>
      </c>
      <c r="F130" s="3" t="s">
        <v>25</v>
      </c>
      <c r="G130" s="3" t="s">
        <v>25</v>
      </c>
      <c r="H130" s="3" t="s">
        <v>35</v>
      </c>
      <c r="I130" s="6">
        <v>44378</v>
      </c>
      <c r="J130" s="4">
        <v>0</v>
      </c>
      <c r="K130" s="4">
        <v>0</v>
      </c>
      <c r="L130" s="4">
        <v>621.16399999999999</v>
      </c>
      <c r="M130" s="4">
        <v>621.16399999999999</v>
      </c>
      <c r="N130" s="4">
        <v>621.16399999999999</v>
      </c>
      <c r="O130" s="4">
        <v>621.16399999999999</v>
      </c>
      <c r="P130" s="4">
        <v>0</v>
      </c>
      <c r="Q130" s="3" t="s">
        <v>26</v>
      </c>
      <c r="R130" s="3">
        <v>0</v>
      </c>
      <c r="S130" s="4">
        <v>0</v>
      </c>
      <c r="T130" s="4">
        <v>11</v>
      </c>
      <c r="U130" s="4">
        <v>52</v>
      </c>
      <c r="V130" s="4">
        <f>IF(ISERROR(VLOOKUP($S$130,'TAR FIN'!$A$1:$O$91,15,0)),0,VLOOKUP($S$130,'TAR FIN'!$A$1:$O$91,15,0))</f>
        <v>0</v>
      </c>
      <c r="W130" s="4">
        <f>IF(ISERROR(VLOOKUP($T$130,'TAR FIN'!$A$1:$O$91,15,0)),0,VLOOKUP($T$130,'TAR FIN'!$A$1:$O$91,15,0))</f>
        <v>90.54</v>
      </c>
      <c r="X130" s="4">
        <f>IF(ISERROR(VLOOKUP($U$130,'TAR FIN'!$A$1:$O$91,15,0)),0,VLOOKUP($U$130,'TAR FIN'!$A$1:$O$91,15,0))</f>
        <v>189.96</v>
      </c>
      <c r="Y130" s="4"/>
      <c r="Z130" s="4">
        <f ca="1">('TUSD BE'!$AM$15+'TUSD BF_350'!$AM$15+'TUSD CVA'!$AM$15)*1</f>
        <v>116.79000000000002</v>
      </c>
      <c r="AA130" s="4">
        <f ca="1">('TE BE'!$AB$6+'TE BF_350'!$AB$6+'TE CVA'!$AB$6)*1</f>
        <v>195.89707226799715</v>
      </c>
      <c r="AB130" s="4">
        <f>$K$130*$V$130</f>
        <v>0</v>
      </c>
      <c r="AC130" s="4">
        <f>$M$130*$W$130</f>
        <v>56240.188560000002</v>
      </c>
      <c r="AD130" s="4">
        <f>$O$130*$X$130</f>
        <v>117996.31344</v>
      </c>
      <c r="AE130" s="4">
        <f>$K$130*$Y$130</f>
        <v>0</v>
      </c>
      <c r="AF130" s="4">
        <f ca="1">$M$130*$Z$130</f>
        <v>72545.743560000017</v>
      </c>
      <c r="AG130" s="4">
        <f ca="1">$O$130*$AA$130</f>
        <v>121684.20899827818</v>
      </c>
    </row>
    <row r="131" spans="1:33" ht="11.25" customHeight="1" x14ac:dyDescent="0.3">
      <c r="A131" s="3" t="s">
        <v>21</v>
      </c>
      <c r="B131" s="3" t="s">
        <v>39</v>
      </c>
      <c r="C131" s="3" t="s">
        <v>40</v>
      </c>
      <c r="D131" s="3" t="s">
        <v>38</v>
      </c>
      <c r="E131" s="3" t="s">
        <v>25</v>
      </c>
      <c r="F131" s="3" t="s">
        <v>25</v>
      </c>
      <c r="G131" s="3" t="s">
        <v>25</v>
      </c>
      <c r="H131" s="3" t="s">
        <v>35</v>
      </c>
      <c r="I131" s="6">
        <v>44409</v>
      </c>
      <c r="J131" s="4">
        <v>0</v>
      </c>
      <c r="K131" s="4">
        <v>0</v>
      </c>
      <c r="L131" s="4">
        <v>503.04599999999999</v>
      </c>
      <c r="M131" s="4">
        <v>503.04599999999999</v>
      </c>
      <c r="N131" s="4">
        <v>503.04599999999999</v>
      </c>
      <c r="O131" s="4">
        <v>503.04599999999999</v>
      </c>
      <c r="P131" s="4">
        <v>0</v>
      </c>
      <c r="Q131" s="3" t="s">
        <v>26</v>
      </c>
      <c r="R131" s="3">
        <v>0</v>
      </c>
      <c r="S131" s="4">
        <v>0</v>
      </c>
      <c r="T131" s="4">
        <v>11</v>
      </c>
      <c r="U131" s="4">
        <v>52</v>
      </c>
      <c r="V131" s="4">
        <f>IF(ISERROR(VLOOKUP($S$131,'TAR FIN'!$A$1:$O$91,15,0)),0,VLOOKUP($S$131,'TAR FIN'!$A$1:$O$91,15,0))</f>
        <v>0</v>
      </c>
      <c r="W131" s="4">
        <f>IF(ISERROR(VLOOKUP($T$131,'TAR FIN'!$A$1:$O$91,15,0)),0,VLOOKUP($T$131,'TAR FIN'!$A$1:$O$91,15,0))</f>
        <v>90.54</v>
      </c>
      <c r="X131" s="4">
        <f>IF(ISERROR(VLOOKUP($U$131,'TAR FIN'!$A$1:$O$91,15,0)),0,VLOOKUP($U$131,'TAR FIN'!$A$1:$O$91,15,0))</f>
        <v>189.96</v>
      </c>
      <c r="Y131" s="4"/>
      <c r="Z131" s="4">
        <f ca="1">('TUSD BE'!$AM$15+'TUSD BF_350'!$AM$15+'TUSD CVA'!$AM$15)*1</f>
        <v>116.79000000000002</v>
      </c>
      <c r="AA131" s="4">
        <f ca="1">('TE BE'!$AB$6+'TE BF_350'!$AB$6+'TE CVA'!$AB$6)*1</f>
        <v>195.89707226799715</v>
      </c>
      <c r="AB131" s="4">
        <f>$K$131*$V$131</f>
        <v>0</v>
      </c>
      <c r="AC131" s="4">
        <f>$M$131*$W$131</f>
        <v>45545.78484</v>
      </c>
      <c r="AD131" s="4">
        <f>$O$131*$X$131</f>
        <v>95558.618159999998</v>
      </c>
      <c r="AE131" s="4">
        <f>$K$131*$Y$131</f>
        <v>0</v>
      </c>
      <c r="AF131" s="4">
        <f ca="1">$M$131*$Z$131</f>
        <v>58750.742340000012</v>
      </c>
      <c r="AG131" s="4">
        <f ca="1">$O$131*$AA$131</f>
        <v>98545.238616126895</v>
      </c>
    </row>
    <row r="132" spans="1:33" ht="11.25" customHeight="1" x14ac:dyDescent="0.3">
      <c r="A132" s="3" t="s">
        <v>21</v>
      </c>
      <c r="B132" s="3" t="s">
        <v>39</v>
      </c>
      <c r="C132" s="3" t="s">
        <v>40</v>
      </c>
      <c r="D132" s="3" t="s">
        <v>38</v>
      </c>
      <c r="E132" s="3" t="s">
        <v>25</v>
      </c>
      <c r="F132" s="3" t="s">
        <v>25</v>
      </c>
      <c r="G132" s="3" t="s">
        <v>25</v>
      </c>
      <c r="H132" s="3" t="s">
        <v>35</v>
      </c>
      <c r="I132" s="6">
        <v>44440</v>
      </c>
      <c r="J132" s="4">
        <v>0</v>
      </c>
      <c r="K132" s="4">
        <v>0</v>
      </c>
      <c r="L132" s="4">
        <v>525.95500000000004</v>
      </c>
      <c r="M132" s="4">
        <v>525.95500000000004</v>
      </c>
      <c r="N132" s="4">
        <v>525.95500000000004</v>
      </c>
      <c r="O132" s="4">
        <v>525.95500000000004</v>
      </c>
      <c r="P132" s="4">
        <v>0</v>
      </c>
      <c r="Q132" s="3" t="s">
        <v>26</v>
      </c>
      <c r="R132" s="3">
        <v>0</v>
      </c>
      <c r="S132" s="4">
        <v>0</v>
      </c>
      <c r="T132" s="4">
        <v>11</v>
      </c>
      <c r="U132" s="4">
        <v>52</v>
      </c>
      <c r="V132" s="4">
        <f>IF(ISERROR(VLOOKUP($S$132,'TAR FIN'!$A$1:$O$91,15,0)),0,VLOOKUP($S$132,'TAR FIN'!$A$1:$O$91,15,0))</f>
        <v>0</v>
      </c>
      <c r="W132" s="4">
        <f>IF(ISERROR(VLOOKUP($T$132,'TAR FIN'!$A$1:$O$91,15,0)),0,VLOOKUP($T$132,'TAR FIN'!$A$1:$O$91,15,0))</f>
        <v>90.54</v>
      </c>
      <c r="X132" s="4">
        <f>IF(ISERROR(VLOOKUP($U$132,'TAR FIN'!$A$1:$O$91,15,0)),0,VLOOKUP($U$132,'TAR FIN'!$A$1:$O$91,15,0))</f>
        <v>189.96</v>
      </c>
      <c r="Y132" s="4"/>
      <c r="Z132" s="4">
        <f ca="1">('TUSD BE'!$AM$15+'TUSD BF_350'!$AM$15+'TUSD CVA'!$AM$15)*1</f>
        <v>116.79000000000002</v>
      </c>
      <c r="AA132" s="4">
        <f ca="1">('TE BE'!$AB$6+'TE BF_350'!$AB$6+'TE CVA'!$AB$6)*1</f>
        <v>195.89707226799715</v>
      </c>
      <c r="AB132" s="4">
        <f>$K$132*$V$132</f>
        <v>0</v>
      </c>
      <c r="AC132" s="4">
        <f>$M$132*$W$132</f>
        <v>47619.965700000008</v>
      </c>
      <c r="AD132" s="4">
        <f>$O$132*$X$132</f>
        <v>99910.411800000016</v>
      </c>
      <c r="AE132" s="4">
        <f>$K$132*$Y$132</f>
        <v>0</v>
      </c>
      <c r="AF132" s="4">
        <f ca="1">$M$132*$Z$132</f>
        <v>61426.284450000014</v>
      </c>
      <c r="AG132" s="4">
        <f ca="1">$O$132*$AA$132</f>
        <v>103033.04464471445</v>
      </c>
    </row>
    <row r="133" spans="1:33" ht="11.25" customHeight="1" x14ac:dyDescent="0.3">
      <c r="A133" s="3" t="s">
        <v>21</v>
      </c>
      <c r="B133" s="3" t="s">
        <v>39</v>
      </c>
      <c r="C133" s="3" t="s">
        <v>40</v>
      </c>
      <c r="D133" s="3" t="s">
        <v>38</v>
      </c>
      <c r="E133" s="3" t="s">
        <v>25</v>
      </c>
      <c r="F133" s="3" t="s">
        <v>25</v>
      </c>
      <c r="G133" s="3" t="s">
        <v>25</v>
      </c>
      <c r="H133" s="3" t="s">
        <v>35</v>
      </c>
      <c r="I133" s="6">
        <v>44470</v>
      </c>
      <c r="J133" s="4">
        <v>0</v>
      </c>
      <c r="K133" s="4">
        <v>0</v>
      </c>
      <c r="L133" s="4">
        <v>494.71499999999997</v>
      </c>
      <c r="M133" s="4">
        <v>494.71499999999997</v>
      </c>
      <c r="N133" s="4">
        <v>494.71499999999997</v>
      </c>
      <c r="O133" s="4">
        <v>494.71499999999997</v>
      </c>
      <c r="P133" s="4">
        <v>0</v>
      </c>
      <c r="Q133" s="3" t="s">
        <v>26</v>
      </c>
      <c r="R133" s="3">
        <v>0</v>
      </c>
      <c r="S133" s="4">
        <v>0</v>
      </c>
      <c r="T133" s="4">
        <v>11</v>
      </c>
      <c r="U133" s="4">
        <v>52</v>
      </c>
      <c r="V133" s="4">
        <f>IF(ISERROR(VLOOKUP($S$133,'TAR FIN'!$A$1:$O$91,15,0)),0,VLOOKUP($S$133,'TAR FIN'!$A$1:$O$91,15,0))</f>
        <v>0</v>
      </c>
      <c r="W133" s="4">
        <f>IF(ISERROR(VLOOKUP($T$133,'TAR FIN'!$A$1:$O$91,15,0)),0,VLOOKUP($T$133,'TAR FIN'!$A$1:$O$91,15,0))</f>
        <v>90.54</v>
      </c>
      <c r="X133" s="4">
        <f>IF(ISERROR(VLOOKUP($U$133,'TAR FIN'!$A$1:$O$91,15,0)),0,VLOOKUP($U$133,'TAR FIN'!$A$1:$O$91,15,0))</f>
        <v>189.96</v>
      </c>
      <c r="Y133" s="4"/>
      <c r="Z133" s="4">
        <f ca="1">('TUSD BE'!$AM$15+'TUSD BF_350'!$AM$15+'TUSD CVA'!$AM$15)*1</f>
        <v>116.79000000000002</v>
      </c>
      <c r="AA133" s="4">
        <f ca="1">('TE BE'!$AB$6+'TE BF_350'!$AB$6+'TE CVA'!$AB$6)*1</f>
        <v>195.89707226799715</v>
      </c>
      <c r="AB133" s="4">
        <f>$K$133*$V$133</f>
        <v>0</v>
      </c>
      <c r="AC133" s="4">
        <f>$M$133*$W$133</f>
        <v>44791.496100000004</v>
      </c>
      <c r="AD133" s="4">
        <f>$O$133*$X$133</f>
        <v>93976.061400000006</v>
      </c>
      <c r="AE133" s="4">
        <f>$K$133*$Y$133</f>
        <v>0</v>
      </c>
      <c r="AF133" s="4">
        <f ca="1">$M$133*$Z$133</f>
        <v>57777.764850000007</v>
      </c>
      <c r="AG133" s="4">
        <f ca="1">$O$133*$AA$133</f>
        <v>96913.220107062196</v>
      </c>
    </row>
    <row r="134" spans="1:33" ht="11.25" customHeight="1" x14ac:dyDescent="0.3">
      <c r="A134" s="3" t="s">
        <v>21</v>
      </c>
      <c r="B134" s="3" t="s">
        <v>39</v>
      </c>
      <c r="C134" s="3" t="s">
        <v>40</v>
      </c>
      <c r="D134" s="3" t="s">
        <v>38</v>
      </c>
      <c r="E134" s="3" t="s">
        <v>25</v>
      </c>
      <c r="F134" s="3" t="s">
        <v>25</v>
      </c>
      <c r="G134" s="3" t="s">
        <v>25</v>
      </c>
      <c r="H134" s="3" t="s">
        <v>35</v>
      </c>
      <c r="I134" s="6">
        <v>44501</v>
      </c>
      <c r="J134" s="4">
        <v>0</v>
      </c>
      <c r="K134" s="4">
        <v>0</v>
      </c>
      <c r="L134" s="4">
        <v>503.90899999999999</v>
      </c>
      <c r="M134" s="4">
        <v>503.90899999999999</v>
      </c>
      <c r="N134" s="4">
        <v>503.90899999999999</v>
      </c>
      <c r="O134" s="4">
        <v>503.90899999999999</v>
      </c>
      <c r="P134" s="4">
        <v>0</v>
      </c>
      <c r="Q134" s="3" t="s">
        <v>26</v>
      </c>
      <c r="R134" s="3">
        <v>0</v>
      </c>
      <c r="S134" s="4">
        <v>0</v>
      </c>
      <c r="T134" s="4">
        <v>11</v>
      </c>
      <c r="U134" s="4">
        <v>52</v>
      </c>
      <c r="V134" s="4">
        <f>IF(ISERROR(VLOOKUP($S$134,'TAR FIN'!$A$1:$O$91,15,0)),0,VLOOKUP($S$134,'TAR FIN'!$A$1:$O$91,15,0))</f>
        <v>0</v>
      </c>
      <c r="W134" s="4">
        <f>IF(ISERROR(VLOOKUP($T$134,'TAR FIN'!$A$1:$O$91,15,0)),0,VLOOKUP($T$134,'TAR FIN'!$A$1:$O$91,15,0))</f>
        <v>90.54</v>
      </c>
      <c r="X134" s="4">
        <f>IF(ISERROR(VLOOKUP($U$134,'TAR FIN'!$A$1:$O$91,15,0)),0,VLOOKUP($U$134,'TAR FIN'!$A$1:$O$91,15,0))</f>
        <v>189.96</v>
      </c>
      <c r="Y134" s="4"/>
      <c r="Z134" s="4">
        <f ca="1">('TUSD BE'!$AM$15+'TUSD BF_350'!$AM$15+'TUSD CVA'!$AM$15)*1</f>
        <v>116.79000000000002</v>
      </c>
      <c r="AA134" s="4">
        <f ca="1">('TE BE'!$AB$6+'TE BF_350'!$AB$6+'TE CVA'!$AB$6)*1</f>
        <v>195.89707226799715</v>
      </c>
      <c r="AB134" s="4">
        <f>$K$134*$V$134</f>
        <v>0</v>
      </c>
      <c r="AC134" s="4">
        <f>$M$134*$W$134</f>
        <v>45623.920860000006</v>
      </c>
      <c r="AD134" s="4">
        <f>$O$134*$X$134</f>
        <v>95722.553639999998</v>
      </c>
      <c r="AE134" s="4">
        <f>$K$134*$Y$134</f>
        <v>0</v>
      </c>
      <c r="AF134" s="4">
        <f ca="1">$M$134*$Z$134</f>
        <v>58851.532110000007</v>
      </c>
      <c r="AG134" s="4">
        <f ca="1">$O$134*$AA$134</f>
        <v>98714.297789494172</v>
      </c>
    </row>
    <row r="135" spans="1:33" ht="11.25" customHeight="1" x14ac:dyDescent="0.3">
      <c r="A135" s="3" t="s">
        <v>21</v>
      </c>
      <c r="B135" s="3" t="s">
        <v>39</v>
      </c>
      <c r="C135" s="3" t="s">
        <v>40</v>
      </c>
      <c r="D135" s="3" t="s">
        <v>38</v>
      </c>
      <c r="E135" s="3" t="s">
        <v>25</v>
      </c>
      <c r="F135" s="3" t="s">
        <v>25</v>
      </c>
      <c r="G135" s="3" t="s">
        <v>25</v>
      </c>
      <c r="H135" s="3" t="s">
        <v>35</v>
      </c>
      <c r="I135" s="6">
        <v>44531</v>
      </c>
      <c r="J135" s="4">
        <v>0</v>
      </c>
      <c r="K135" s="4">
        <v>0</v>
      </c>
      <c r="L135" s="4">
        <v>412.214</v>
      </c>
      <c r="M135" s="4">
        <v>412.214</v>
      </c>
      <c r="N135" s="4">
        <v>412.214</v>
      </c>
      <c r="O135" s="4">
        <v>412.214</v>
      </c>
      <c r="P135" s="4">
        <v>0</v>
      </c>
      <c r="Q135" s="3" t="s">
        <v>26</v>
      </c>
      <c r="R135" s="3">
        <v>0</v>
      </c>
      <c r="S135" s="4">
        <v>0</v>
      </c>
      <c r="T135" s="4">
        <v>11</v>
      </c>
      <c r="U135" s="4">
        <v>52</v>
      </c>
      <c r="V135" s="4">
        <f>IF(ISERROR(VLOOKUP($S$135,'TAR FIN'!$A$1:$O$91,15,0)),0,VLOOKUP($S$135,'TAR FIN'!$A$1:$O$91,15,0))</f>
        <v>0</v>
      </c>
      <c r="W135" s="4">
        <f>IF(ISERROR(VLOOKUP($T$135,'TAR FIN'!$A$1:$O$91,15,0)),0,VLOOKUP($T$135,'TAR FIN'!$A$1:$O$91,15,0))</f>
        <v>90.54</v>
      </c>
      <c r="X135" s="4">
        <f>IF(ISERROR(VLOOKUP($U$135,'TAR FIN'!$A$1:$O$91,15,0)),0,VLOOKUP($U$135,'TAR FIN'!$A$1:$O$91,15,0))</f>
        <v>189.96</v>
      </c>
      <c r="Y135" s="4"/>
      <c r="Z135" s="4">
        <f ca="1">('TUSD BE'!$AM$15+'TUSD BF_350'!$AM$15+'TUSD CVA'!$AM$15)*1</f>
        <v>116.79000000000002</v>
      </c>
      <c r="AA135" s="4">
        <f ca="1">('TE BE'!$AB$6+'TE BF_350'!$AB$6+'TE CVA'!$AB$6)*1</f>
        <v>195.89707226799715</v>
      </c>
      <c r="AB135" s="4">
        <f>$K$135*$V$135</f>
        <v>0</v>
      </c>
      <c r="AC135" s="4">
        <f>$M$135*$W$135</f>
        <v>37321.855560000004</v>
      </c>
      <c r="AD135" s="4">
        <f>$O$135*$X$135</f>
        <v>78304.171440000006</v>
      </c>
      <c r="AE135" s="4">
        <f>$K$135*$Y$135</f>
        <v>0</v>
      </c>
      <c r="AF135" s="4">
        <f ca="1">$M$135*$Z$135</f>
        <v>48142.473060000011</v>
      </c>
      <c r="AG135" s="4">
        <f ca="1">$O$135*$AA$135</f>
        <v>80751.51574788017</v>
      </c>
    </row>
    <row r="136" spans="1:33" ht="11.25" customHeight="1" x14ac:dyDescent="0.3">
      <c r="A136" s="3" t="s">
        <v>28</v>
      </c>
      <c r="B136" s="3" t="s">
        <v>39</v>
      </c>
      <c r="C136" s="3" t="s">
        <v>40</v>
      </c>
      <c r="D136" s="3" t="s">
        <v>38</v>
      </c>
      <c r="E136" s="3" t="s">
        <v>25</v>
      </c>
      <c r="F136" s="3" t="s">
        <v>25</v>
      </c>
      <c r="G136" s="3" t="s">
        <v>25</v>
      </c>
      <c r="H136" s="3" t="s">
        <v>35</v>
      </c>
      <c r="I136" s="6">
        <v>44531</v>
      </c>
      <c r="J136" s="4">
        <v>0</v>
      </c>
      <c r="K136" s="4">
        <v>0</v>
      </c>
      <c r="L136" s="4">
        <v>61.837000000000003</v>
      </c>
      <c r="M136" s="4">
        <v>61.837000000000003</v>
      </c>
      <c r="N136" s="4">
        <v>61.837000000000003</v>
      </c>
      <c r="O136" s="4">
        <v>61.837000000000003</v>
      </c>
      <c r="P136" s="4">
        <v>0</v>
      </c>
      <c r="Q136" s="3" t="s">
        <v>26</v>
      </c>
      <c r="R136" s="3">
        <v>0</v>
      </c>
      <c r="S136" s="4">
        <v>0</v>
      </c>
      <c r="T136" s="4">
        <v>11</v>
      </c>
      <c r="U136" s="4">
        <v>52</v>
      </c>
      <c r="V136" s="4">
        <f>IF(ISERROR(VLOOKUP($S$136,'TAR FIN'!$A$1:$O$91,15,0)),0,VLOOKUP($S$136,'TAR FIN'!$A$1:$O$91,15,0))</f>
        <v>0</v>
      </c>
      <c r="W136" s="4">
        <f>IF(ISERROR(VLOOKUP($T$136,'TAR FIN'!$A$1:$O$91,15,0)),0,VLOOKUP($T$136,'TAR FIN'!$A$1:$O$91,15,0))</f>
        <v>90.54</v>
      </c>
      <c r="X136" s="4">
        <f>IF(ISERROR(VLOOKUP($U$136,'TAR FIN'!$A$1:$O$91,15,0)),0,VLOOKUP($U$136,'TAR FIN'!$A$1:$O$91,15,0))</f>
        <v>189.96</v>
      </c>
      <c r="Y136" s="4"/>
      <c r="Z136" s="4">
        <f ca="1">('TUSD BE'!$AM$15+'TUSD BF_350'!$AM$15+'TUSD CVA'!$AM$15)*1</f>
        <v>116.79000000000002</v>
      </c>
      <c r="AA136" s="4">
        <f ca="1">('TE BE'!$AB$6+'TE BF_350'!$AB$6+'TE CVA'!$AB$6)*1</f>
        <v>195.89707226799715</v>
      </c>
      <c r="AB136" s="4">
        <f>$K$136*$V$136</f>
        <v>0</v>
      </c>
      <c r="AC136" s="4">
        <f>$M$136*$W$136</f>
        <v>5598.7219800000003</v>
      </c>
      <c r="AD136" s="4">
        <f>$O$136*$X$136</f>
        <v>11746.556520000002</v>
      </c>
      <c r="AE136" s="4">
        <f>$K$136*$Y$136</f>
        <v>0</v>
      </c>
      <c r="AF136" s="4">
        <f ca="1">$M$136*$Z$136</f>
        <v>7221.9432300000017</v>
      </c>
      <c r="AG136" s="4">
        <f ca="1">$O$136*$AA$136</f>
        <v>12113.68725783614</v>
      </c>
    </row>
    <row r="137" spans="1:33" ht="11.25" customHeight="1" x14ac:dyDescent="0.3">
      <c r="A137" s="3" t="s">
        <v>21</v>
      </c>
      <c r="B137" s="3" t="s">
        <v>39</v>
      </c>
      <c r="C137" s="3" t="s">
        <v>40</v>
      </c>
      <c r="D137" s="3" t="s">
        <v>38</v>
      </c>
      <c r="E137" s="3" t="s">
        <v>25</v>
      </c>
      <c r="F137" s="3" t="s">
        <v>25</v>
      </c>
      <c r="G137" s="3" t="s">
        <v>25</v>
      </c>
      <c r="H137" s="3" t="s">
        <v>35</v>
      </c>
      <c r="I137" s="6">
        <v>44562</v>
      </c>
      <c r="J137" s="4">
        <v>0</v>
      </c>
      <c r="K137" s="4">
        <v>0</v>
      </c>
      <c r="L137" s="4">
        <v>388.90199999999999</v>
      </c>
      <c r="M137" s="4">
        <v>388.90199999999999</v>
      </c>
      <c r="N137" s="4">
        <v>388.90199999999999</v>
      </c>
      <c r="O137" s="4">
        <v>388.90199999999999</v>
      </c>
      <c r="P137" s="4">
        <v>0</v>
      </c>
      <c r="Q137" s="3" t="s">
        <v>26</v>
      </c>
      <c r="R137" s="3">
        <v>0</v>
      </c>
      <c r="S137" s="4">
        <v>0</v>
      </c>
      <c r="T137" s="4">
        <v>11</v>
      </c>
      <c r="U137" s="4">
        <v>52</v>
      </c>
      <c r="V137" s="4">
        <f>IF(ISERROR(VLOOKUP($S$137,'TAR FIN'!$A$1:$O$91,15,0)),0,VLOOKUP($S$137,'TAR FIN'!$A$1:$O$91,15,0))</f>
        <v>0</v>
      </c>
      <c r="W137" s="4">
        <f>IF(ISERROR(VLOOKUP($T$137,'TAR FIN'!$A$1:$O$91,15,0)),0,VLOOKUP($T$137,'TAR FIN'!$A$1:$O$91,15,0))</f>
        <v>90.54</v>
      </c>
      <c r="X137" s="4">
        <f>IF(ISERROR(VLOOKUP($U$137,'TAR FIN'!$A$1:$O$91,15,0)),0,VLOOKUP($U$137,'TAR FIN'!$A$1:$O$91,15,0))</f>
        <v>189.96</v>
      </c>
      <c r="Y137" s="4"/>
      <c r="Z137" s="4">
        <f ca="1">('TUSD BE'!$AM$15+'TUSD BF_350'!$AM$15+'TUSD CVA'!$AM$15)*1</f>
        <v>116.79000000000002</v>
      </c>
      <c r="AA137" s="4">
        <f ca="1">('TE BE'!$AB$6+'TE BF_350'!$AB$6+'TE CVA'!$AB$6)*1</f>
        <v>195.89707226799715</v>
      </c>
      <c r="AB137" s="4">
        <f>$K$137*$V$137</f>
        <v>0</v>
      </c>
      <c r="AC137" s="4">
        <f>$M$137*$W$137</f>
        <v>35211.187080000003</v>
      </c>
      <c r="AD137" s="4">
        <f>$O$137*$X$137</f>
        <v>73875.823919999995</v>
      </c>
      <c r="AE137" s="4">
        <f>$K$137*$Y$137</f>
        <v>0</v>
      </c>
      <c r="AF137" s="4">
        <f ca="1">$M$137*$Z$137</f>
        <v>45419.864580000009</v>
      </c>
      <c r="AG137" s="4">
        <f ca="1">$O$137*$AA$137</f>
        <v>76184.763199168621</v>
      </c>
    </row>
    <row r="138" spans="1:33" ht="11.25" customHeight="1" x14ac:dyDescent="0.3">
      <c r="A138" s="3" t="s">
        <v>28</v>
      </c>
      <c r="B138" s="3" t="s">
        <v>39</v>
      </c>
      <c r="C138" s="3" t="s">
        <v>40</v>
      </c>
      <c r="D138" s="3" t="s">
        <v>38</v>
      </c>
      <c r="E138" s="3" t="s">
        <v>25</v>
      </c>
      <c r="F138" s="3" t="s">
        <v>25</v>
      </c>
      <c r="G138" s="3" t="s">
        <v>25</v>
      </c>
      <c r="H138" s="3" t="s">
        <v>35</v>
      </c>
      <c r="I138" s="6">
        <v>44562</v>
      </c>
      <c r="J138" s="4">
        <v>0</v>
      </c>
      <c r="K138" s="4">
        <v>0</v>
      </c>
      <c r="L138" s="4">
        <v>29.521000000000001</v>
      </c>
      <c r="M138" s="4">
        <v>29.521000000000001</v>
      </c>
      <c r="N138" s="4">
        <v>29.521000000000001</v>
      </c>
      <c r="O138" s="4">
        <v>29.521000000000001</v>
      </c>
      <c r="P138" s="4">
        <v>0</v>
      </c>
      <c r="Q138" s="3" t="s">
        <v>26</v>
      </c>
      <c r="R138" s="3">
        <v>0</v>
      </c>
      <c r="S138" s="4">
        <v>0</v>
      </c>
      <c r="T138" s="4">
        <v>11</v>
      </c>
      <c r="U138" s="4">
        <v>52</v>
      </c>
      <c r="V138" s="4">
        <f>IF(ISERROR(VLOOKUP($S$138,'TAR FIN'!$A$1:$O$91,15,0)),0,VLOOKUP($S$138,'TAR FIN'!$A$1:$O$91,15,0))</f>
        <v>0</v>
      </c>
      <c r="W138" s="4">
        <f>IF(ISERROR(VLOOKUP($T$138,'TAR FIN'!$A$1:$O$91,15,0)),0,VLOOKUP($T$138,'TAR FIN'!$A$1:$O$91,15,0))</f>
        <v>90.54</v>
      </c>
      <c r="X138" s="4">
        <f>IF(ISERROR(VLOOKUP($U$138,'TAR FIN'!$A$1:$O$91,15,0)),0,VLOOKUP($U$138,'TAR FIN'!$A$1:$O$91,15,0))</f>
        <v>189.96</v>
      </c>
      <c r="Y138" s="4"/>
      <c r="Z138" s="4">
        <f ca="1">('TUSD BE'!$AM$15+'TUSD BF_350'!$AM$15+'TUSD CVA'!$AM$15)*1</f>
        <v>116.79000000000002</v>
      </c>
      <c r="AA138" s="4">
        <f ca="1">('TE BE'!$AB$6+'TE BF_350'!$AB$6+'TE CVA'!$AB$6)*1</f>
        <v>195.89707226799715</v>
      </c>
      <c r="AB138" s="4">
        <f>$K$138*$V$138</f>
        <v>0</v>
      </c>
      <c r="AC138" s="4">
        <f>$M$138*$W$138</f>
        <v>2672.8313400000002</v>
      </c>
      <c r="AD138" s="4">
        <f>$O$138*$X$138</f>
        <v>5607.8091600000007</v>
      </c>
      <c r="AE138" s="4">
        <f>$K$138*$Y$138</f>
        <v>0</v>
      </c>
      <c r="AF138" s="4">
        <f ca="1">$M$138*$Z$138</f>
        <v>3447.7575900000006</v>
      </c>
      <c r="AG138" s="4">
        <f ca="1">$O$138*$AA$138</f>
        <v>5783.0774704235437</v>
      </c>
    </row>
    <row r="139" spans="1:33" ht="11.25" customHeight="1" x14ac:dyDescent="0.3">
      <c r="A139" s="3" t="s">
        <v>21</v>
      </c>
      <c r="B139" s="3" t="s">
        <v>39</v>
      </c>
      <c r="C139" s="3" t="s">
        <v>40</v>
      </c>
      <c r="D139" s="3" t="s">
        <v>38</v>
      </c>
      <c r="E139" s="3" t="s">
        <v>25</v>
      </c>
      <c r="F139" s="3" t="s">
        <v>25</v>
      </c>
      <c r="G139" s="3" t="s">
        <v>25</v>
      </c>
      <c r="H139" s="3" t="s">
        <v>35</v>
      </c>
      <c r="I139" s="6">
        <v>44593</v>
      </c>
      <c r="J139" s="4">
        <v>0</v>
      </c>
      <c r="K139" s="4">
        <v>0</v>
      </c>
      <c r="L139" s="4">
        <v>426.92399999999998</v>
      </c>
      <c r="M139" s="4">
        <v>426.92399999999998</v>
      </c>
      <c r="N139" s="4">
        <v>426.92399999999998</v>
      </c>
      <c r="O139" s="4">
        <v>426.92399999999998</v>
      </c>
      <c r="P139" s="4">
        <v>0</v>
      </c>
      <c r="Q139" s="3" t="s">
        <v>26</v>
      </c>
      <c r="R139" s="3">
        <v>0</v>
      </c>
      <c r="S139" s="4">
        <v>0</v>
      </c>
      <c r="T139" s="4">
        <v>11</v>
      </c>
      <c r="U139" s="4">
        <v>52</v>
      </c>
      <c r="V139" s="4">
        <f>IF(ISERROR(VLOOKUP($S$139,'TAR FIN'!$A$1:$O$91,15,0)),0,VLOOKUP($S$139,'TAR FIN'!$A$1:$O$91,15,0))</f>
        <v>0</v>
      </c>
      <c r="W139" s="4">
        <f>IF(ISERROR(VLOOKUP($T$139,'TAR FIN'!$A$1:$O$91,15,0)),0,VLOOKUP($T$139,'TAR FIN'!$A$1:$O$91,15,0))</f>
        <v>90.54</v>
      </c>
      <c r="X139" s="4">
        <f>IF(ISERROR(VLOOKUP($U$139,'TAR FIN'!$A$1:$O$91,15,0)),0,VLOOKUP($U$139,'TAR FIN'!$A$1:$O$91,15,0))</f>
        <v>189.96</v>
      </c>
      <c r="Y139" s="4"/>
      <c r="Z139" s="4">
        <f ca="1">('TUSD BE'!$AM$15+'TUSD BF_350'!$AM$15+'TUSD CVA'!$AM$15)*1</f>
        <v>116.79000000000002</v>
      </c>
      <c r="AA139" s="4">
        <f ca="1">('TE BE'!$AB$6+'TE BF_350'!$AB$6+'TE CVA'!$AB$6)*1</f>
        <v>195.89707226799715</v>
      </c>
      <c r="AB139" s="4">
        <f>$K$139*$V$139</f>
        <v>0</v>
      </c>
      <c r="AC139" s="4">
        <f>$M$139*$W$139</f>
        <v>38653.698960000002</v>
      </c>
      <c r="AD139" s="4">
        <f>$O$139*$X$139</f>
        <v>81098.483040000006</v>
      </c>
      <c r="AE139" s="4">
        <f>$K$139*$Y$139</f>
        <v>0</v>
      </c>
      <c r="AF139" s="4">
        <f ca="1">$M$139*$Z$139</f>
        <v>49860.453960000006</v>
      </c>
      <c r="AG139" s="4">
        <f ca="1">$O$139*$AA$139</f>
        <v>83633.161680942416</v>
      </c>
    </row>
    <row r="140" spans="1:33" ht="11.25" customHeight="1" x14ac:dyDescent="0.3">
      <c r="A140" s="3" t="s">
        <v>28</v>
      </c>
      <c r="B140" s="3" t="s">
        <v>39</v>
      </c>
      <c r="C140" s="3" t="s">
        <v>40</v>
      </c>
      <c r="D140" s="3" t="s">
        <v>38</v>
      </c>
      <c r="E140" s="3" t="s">
        <v>25</v>
      </c>
      <c r="F140" s="3" t="s">
        <v>25</v>
      </c>
      <c r="G140" s="3" t="s">
        <v>25</v>
      </c>
      <c r="H140" s="3" t="s">
        <v>35</v>
      </c>
      <c r="I140" s="6">
        <v>44593</v>
      </c>
      <c r="J140" s="4">
        <v>0</v>
      </c>
      <c r="K140" s="4">
        <v>0</v>
      </c>
      <c r="L140" s="4">
        <v>8.1969999999999992</v>
      </c>
      <c r="M140" s="4">
        <v>8.1969999999999992</v>
      </c>
      <c r="N140" s="4">
        <v>8.1969999999999992</v>
      </c>
      <c r="O140" s="4">
        <v>8.1969999999999992</v>
      </c>
      <c r="P140" s="4">
        <v>0</v>
      </c>
      <c r="Q140" s="3" t="s">
        <v>26</v>
      </c>
      <c r="R140" s="3">
        <v>0</v>
      </c>
      <c r="S140" s="4">
        <v>0</v>
      </c>
      <c r="T140" s="4">
        <v>11</v>
      </c>
      <c r="U140" s="4">
        <v>52</v>
      </c>
      <c r="V140" s="4">
        <f>IF(ISERROR(VLOOKUP($S$140,'TAR FIN'!$A$1:$O$91,15,0)),0,VLOOKUP($S$140,'TAR FIN'!$A$1:$O$91,15,0))</f>
        <v>0</v>
      </c>
      <c r="W140" s="4">
        <f>IF(ISERROR(VLOOKUP($T$140,'TAR FIN'!$A$1:$O$91,15,0)),0,VLOOKUP($T$140,'TAR FIN'!$A$1:$O$91,15,0))</f>
        <v>90.54</v>
      </c>
      <c r="X140" s="4">
        <f>IF(ISERROR(VLOOKUP($U$140,'TAR FIN'!$A$1:$O$91,15,0)),0,VLOOKUP($U$140,'TAR FIN'!$A$1:$O$91,15,0))</f>
        <v>189.96</v>
      </c>
      <c r="Y140" s="4"/>
      <c r="Z140" s="4">
        <f ca="1">('TUSD BE'!$AM$15+'TUSD BF_350'!$AM$15+'TUSD CVA'!$AM$15)*1</f>
        <v>116.79000000000002</v>
      </c>
      <c r="AA140" s="4">
        <f ca="1">('TE BE'!$AB$6+'TE BF_350'!$AB$6+'TE CVA'!$AB$6)*1</f>
        <v>195.89707226799715</v>
      </c>
      <c r="AB140" s="4">
        <f>$K$140*$V$140</f>
        <v>0</v>
      </c>
      <c r="AC140" s="4">
        <f>$M$140*$W$140</f>
        <v>742.15638000000001</v>
      </c>
      <c r="AD140" s="4">
        <f>$O$140*$X$140</f>
        <v>1557.10212</v>
      </c>
      <c r="AE140" s="4">
        <f>$K$140*$Y$140</f>
        <v>0</v>
      </c>
      <c r="AF140" s="4">
        <f ca="1">$M$140*$Z$140</f>
        <v>957.32763000000011</v>
      </c>
      <c r="AG140" s="4">
        <f ca="1">$O$140*$AA$140</f>
        <v>1605.7683013807725</v>
      </c>
    </row>
    <row r="141" spans="1:33" ht="11.25" customHeight="1" x14ac:dyDescent="0.3">
      <c r="A141" s="3" t="s">
        <v>21</v>
      </c>
      <c r="B141" s="3" t="s">
        <v>39</v>
      </c>
      <c r="C141" s="3" t="s">
        <v>40</v>
      </c>
      <c r="D141" s="3" t="s">
        <v>38</v>
      </c>
      <c r="E141" s="3" t="s">
        <v>25</v>
      </c>
      <c r="F141" s="3" t="s">
        <v>25</v>
      </c>
      <c r="G141" s="3" t="s">
        <v>25</v>
      </c>
      <c r="H141" s="3" t="s">
        <v>35</v>
      </c>
      <c r="I141" s="6">
        <v>44621</v>
      </c>
      <c r="J141" s="4">
        <v>0</v>
      </c>
      <c r="K141" s="4">
        <v>0</v>
      </c>
      <c r="L141" s="4">
        <v>462.54199999999997</v>
      </c>
      <c r="M141" s="4">
        <v>462.54199999999997</v>
      </c>
      <c r="N141" s="4">
        <v>462.54199999999997</v>
      </c>
      <c r="O141" s="4">
        <v>462.54199999999997</v>
      </c>
      <c r="P141" s="4">
        <v>0</v>
      </c>
      <c r="Q141" s="3" t="s">
        <v>26</v>
      </c>
      <c r="R141" s="3">
        <v>0</v>
      </c>
      <c r="S141" s="4">
        <v>0</v>
      </c>
      <c r="T141" s="4">
        <v>11</v>
      </c>
      <c r="U141" s="4">
        <v>52</v>
      </c>
      <c r="V141" s="4">
        <f>IF(ISERROR(VLOOKUP($S$141,'TAR FIN'!$A$1:$O$91,15,0)),0,VLOOKUP($S$141,'TAR FIN'!$A$1:$O$91,15,0))</f>
        <v>0</v>
      </c>
      <c r="W141" s="4">
        <f>IF(ISERROR(VLOOKUP($T$141,'TAR FIN'!$A$1:$O$91,15,0)),0,VLOOKUP($T$141,'TAR FIN'!$A$1:$O$91,15,0))</f>
        <v>90.54</v>
      </c>
      <c r="X141" s="4">
        <f>IF(ISERROR(VLOOKUP($U$141,'TAR FIN'!$A$1:$O$91,15,0)),0,VLOOKUP($U$141,'TAR FIN'!$A$1:$O$91,15,0))</f>
        <v>189.96</v>
      </c>
      <c r="Y141" s="4"/>
      <c r="Z141" s="4">
        <f ca="1">('TUSD BE'!$AM$15+'TUSD BF_350'!$AM$15+'TUSD CVA'!$AM$15)*1</f>
        <v>116.79000000000002</v>
      </c>
      <c r="AA141" s="4">
        <f ca="1">('TE BE'!$AB$6+'TE BF_350'!$AB$6+'TE CVA'!$AB$6)*1</f>
        <v>195.89707226799715</v>
      </c>
      <c r="AB141" s="4">
        <f>$K$141*$V$141</f>
        <v>0</v>
      </c>
      <c r="AC141" s="4">
        <f>$M$141*$W$141</f>
        <v>41878.552680000001</v>
      </c>
      <c r="AD141" s="4">
        <f>$O$141*$X$141</f>
        <v>87864.478319999995</v>
      </c>
      <c r="AE141" s="4">
        <f>$K$141*$Y$141</f>
        <v>0</v>
      </c>
      <c r="AF141" s="4">
        <f ca="1">$M$141*$Z$141</f>
        <v>54020.280180000009</v>
      </c>
      <c r="AG141" s="4">
        <f ca="1">$O$141*$AA$141</f>
        <v>90610.623600983934</v>
      </c>
    </row>
    <row r="142" spans="1:33" ht="11.25" customHeight="1" x14ac:dyDescent="0.3">
      <c r="A142" s="3" t="s">
        <v>28</v>
      </c>
      <c r="B142" s="3" t="s">
        <v>39</v>
      </c>
      <c r="C142" s="3" t="s">
        <v>40</v>
      </c>
      <c r="D142" s="3" t="s">
        <v>38</v>
      </c>
      <c r="E142" s="3" t="s">
        <v>25</v>
      </c>
      <c r="F142" s="3" t="s">
        <v>25</v>
      </c>
      <c r="G142" s="3" t="s">
        <v>25</v>
      </c>
      <c r="H142" s="3" t="s">
        <v>35</v>
      </c>
      <c r="I142" s="6">
        <v>44621</v>
      </c>
      <c r="J142" s="4">
        <v>0</v>
      </c>
      <c r="K142" s="4">
        <v>0</v>
      </c>
      <c r="L142" s="4">
        <v>46.783999999999999</v>
      </c>
      <c r="M142" s="4">
        <v>46.783999999999999</v>
      </c>
      <c r="N142" s="4">
        <v>46.783999999999999</v>
      </c>
      <c r="O142" s="4">
        <v>46.783999999999999</v>
      </c>
      <c r="P142" s="4">
        <v>0</v>
      </c>
      <c r="Q142" s="3" t="s">
        <v>26</v>
      </c>
      <c r="R142" s="3">
        <v>0</v>
      </c>
      <c r="S142" s="4">
        <v>0</v>
      </c>
      <c r="T142" s="4">
        <v>11</v>
      </c>
      <c r="U142" s="4">
        <v>52</v>
      </c>
      <c r="V142" s="4">
        <f>IF(ISERROR(VLOOKUP($S$142,'TAR FIN'!$A$1:$O$91,15,0)),0,VLOOKUP($S$142,'TAR FIN'!$A$1:$O$91,15,0))</f>
        <v>0</v>
      </c>
      <c r="W142" s="4">
        <f>IF(ISERROR(VLOOKUP($T$142,'TAR FIN'!$A$1:$O$91,15,0)),0,VLOOKUP($T$142,'TAR FIN'!$A$1:$O$91,15,0))</f>
        <v>90.54</v>
      </c>
      <c r="X142" s="4">
        <f>IF(ISERROR(VLOOKUP($U$142,'TAR FIN'!$A$1:$O$91,15,0)),0,VLOOKUP($U$142,'TAR FIN'!$A$1:$O$91,15,0))</f>
        <v>189.96</v>
      </c>
      <c r="Y142" s="4"/>
      <c r="Z142" s="4">
        <f ca="1">('TUSD BE'!$AM$15+'TUSD BF_350'!$AM$15+'TUSD CVA'!$AM$15)*1</f>
        <v>116.79000000000002</v>
      </c>
      <c r="AA142" s="4">
        <f ca="1">('TE BE'!$AB$6+'TE BF_350'!$AB$6+'TE CVA'!$AB$6)*1</f>
        <v>195.89707226799715</v>
      </c>
      <c r="AB142" s="4">
        <f>$K$142*$V$142</f>
        <v>0</v>
      </c>
      <c r="AC142" s="4">
        <f>$M$142*$W$142</f>
        <v>4235.8233600000003</v>
      </c>
      <c r="AD142" s="4">
        <f>$O$142*$X$142</f>
        <v>8887.0886399999999</v>
      </c>
      <c r="AE142" s="4">
        <f>$K$142*$Y$142</f>
        <v>0</v>
      </c>
      <c r="AF142" s="4">
        <f ca="1">$M$142*$Z$142</f>
        <v>5463.9033600000012</v>
      </c>
      <c r="AG142" s="4">
        <f ca="1">$O$142*$AA$142</f>
        <v>9164.8486289859775</v>
      </c>
    </row>
    <row r="143" spans="1:33" ht="11.25" customHeight="1" x14ac:dyDescent="0.3">
      <c r="A143" s="3" t="s">
        <v>21</v>
      </c>
      <c r="B143" s="3" t="s">
        <v>39</v>
      </c>
      <c r="C143" s="3" t="s">
        <v>40</v>
      </c>
      <c r="D143" s="3" t="s">
        <v>38</v>
      </c>
      <c r="E143" s="3" t="s">
        <v>25</v>
      </c>
      <c r="F143" s="3" t="s">
        <v>25</v>
      </c>
      <c r="G143" s="3" t="s">
        <v>25</v>
      </c>
      <c r="H143" s="3" t="s">
        <v>35</v>
      </c>
      <c r="I143" s="6">
        <v>44652</v>
      </c>
      <c r="J143" s="4">
        <v>0</v>
      </c>
      <c r="K143" s="4">
        <v>0</v>
      </c>
      <c r="L143" s="4">
        <v>412.99400000000003</v>
      </c>
      <c r="M143" s="4">
        <v>412.99400000000003</v>
      </c>
      <c r="N143" s="4">
        <v>412.99400000000003</v>
      </c>
      <c r="O143" s="4">
        <v>412.99400000000003</v>
      </c>
      <c r="P143" s="4">
        <v>0</v>
      </c>
      <c r="Q143" s="3" t="s">
        <v>26</v>
      </c>
      <c r="R143" s="3">
        <v>0</v>
      </c>
      <c r="S143" s="4">
        <v>0</v>
      </c>
      <c r="T143" s="4">
        <v>11</v>
      </c>
      <c r="U143" s="4">
        <v>52</v>
      </c>
      <c r="V143" s="4">
        <f>IF(ISERROR(VLOOKUP($S$143,'TAR FIN'!$A$1:$O$91,15,0)),0,VLOOKUP($S$143,'TAR FIN'!$A$1:$O$91,15,0))</f>
        <v>0</v>
      </c>
      <c r="W143" s="4">
        <f>IF(ISERROR(VLOOKUP($T$143,'TAR FIN'!$A$1:$O$91,15,0)),0,VLOOKUP($T$143,'TAR FIN'!$A$1:$O$91,15,0))</f>
        <v>90.54</v>
      </c>
      <c r="X143" s="4">
        <f>IF(ISERROR(VLOOKUP($U$143,'TAR FIN'!$A$1:$O$91,15,0)),0,VLOOKUP($U$143,'TAR FIN'!$A$1:$O$91,15,0))</f>
        <v>189.96</v>
      </c>
      <c r="Y143" s="4"/>
      <c r="Z143" s="4">
        <f ca="1">('TUSD BE'!$AM$15+'TUSD BF_350'!$AM$15+'TUSD CVA'!$AM$15)*1</f>
        <v>116.79000000000002</v>
      </c>
      <c r="AA143" s="4">
        <f ca="1">('TE BE'!$AB$6+'TE BF_350'!$AB$6+'TE CVA'!$AB$6)*1</f>
        <v>195.89707226799715</v>
      </c>
      <c r="AB143" s="4">
        <f>$K$143*$V$143</f>
        <v>0</v>
      </c>
      <c r="AC143" s="4">
        <f>$M$143*$W$143</f>
        <v>37392.476760000005</v>
      </c>
      <c r="AD143" s="4">
        <f>$O$143*$X$143</f>
        <v>78452.340240000005</v>
      </c>
      <c r="AE143" s="4">
        <f>$K$143*$Y$143</f>
        <v>0</v>
      </c>
      <c r="AF143" s="4">
        <f ca="1">$M$143*$Z$143</f>
        <v>48233.569260000011</v>
      </c>
      <c r="AG143" s="4">
        <f ca="1">$O$143*$AA$143</f>
        <v>80904.315464249215</v>
      </c>
    </row>
    <row r="144" spans="1:33" ht="11.25" customHeight="1" x14ac:dyDescent="0.3">
      <c r="A144" s="3" t="s">
        <v>28</v>
      </c>
      <c r="B144" s="3" t="s">
        <v>39</v>
      </c>
      <c r="C144" s="3" t="s">
        <v>40</v>
      </c>
      <c r="D144" s="3" t="s">
        <v>38</v>
      </c>
      <c r="E144" s="3" t="s">
        <v>25</v>
      </c>
      <c r="F144" s="3" t="s">
        <v>25</v>
      </c>
      <c r="G144" s="3" t="s">
        <v>25</v>
      </c>
      <c r="H144" s="3" t="s">
        <v>35</v>
      </c>
      <c r="I144" s="6">
        <v>44652</v>
      </c>
      <c r="J144" s="4">
        <v>0</v>
      </c>
      <c r="K144" s="4">
        <v>0</v>
      </c>
      <c r="L144" s="4">
        <v>69.320999999999998</v>
      </c>
      <c r="M144" s="4">
        <v>69.320999999999998</v>
      </c>
      <c r="N144" s="4">
        <v>69.320999999999998</v>
      </c>
      <c r="O144" s="4">
        <v>69.320999999999998</v>
      </c>
      <c r="P144" s="4">
        <v>0</v>
      </c>
      <c r="Q144" s="3" t="s">
        <v>26</v>
      </c>
      <c r="R144" s="3">
        <v>0</v>
      </c>
      <c r="S144" s="4">
        <v>0</v>
      </c>
      <c r="T144" s="4">
        <v>11</v>
      </c>
      <c r="U144" s="4">
        <v>52</v>
      </c>
      <c r="V144" s="4">
        <f>IF(ISERROR(VLOOKUP($S$144,'TAR FIN'!$A$1:$O$91,15,0)),0,VLOOKUP($S$144,'TAR FIN'!$A$1:$O$91,15,0))</f>
        <v>0</v>
      </c>
      <c r="W144" s="4">
        <f>IF(ISERROR(VLOOKUP($T$144,'TAR FIN'!$A$1:$O$91,15,0)),0,VLOOKUP($T$144,'TAR FIN'!$A$1:$O$91,15,0))</f>
        <v>90.54</v>
      </c>
      <c r="X144" s="4">
        <f>IF(ISERROR(VLOOKUP($U$144,'TAR FIN'!$A$1:$O$91,15,0)),0,VLOOKUP($U$144,'TAR FIN'!$A$1:$O$91,15,0))</f>
        <v>189.96</v>
      </c>
      <c r="Y144" s="4"/>
      <c r="Z144" s="4">
        <f ca="1">('TUSD BE'!$AM$15+'TUSD BF_350'!$AM$15+'TUSD CVA'!$AM$15)*1</f>
        <v>116.79000000000002</v>
      </c>
      <c r="AA144" s="4">
        <f ca="1">('TE BE'!$AB$6+'TE BF_350'!$AB$6+'TE CVA'!$AB$6)*1</f>
        <v>195.89707226799715</v>
      </c>
      <c r="AB144" s="4">
        <f>$K$144*$V$144</f>
        <v>0</v>
      </c>
      <c r="AC144" s="4">
        <f>$M$144*$W$144</f>
        <v>6276.3233399999999</v>
      </c>
      <c r="AD144" s="4">
        <f>$O$144*$X$144</f>
        <v>13168.21716</v>
      </c>
      <c r="AE144" s="4">
        <f>$K$144*$Y$144</f>
        <v>0</v>
      </c>
      <c r="AF144" s="4">
        <f ca="1">$M$144*$Z$144</f>
        <v>8095.9995900000013</v>
      </c>
      <c r="AG144" s="4">
        <f ca="1">$O$144*$AA$144</f>
        <v>13579.780946689829</v>
      </c>
    </row>
    <row r="145" spans="1:33" ht="11.25" customHeight="1" x14ac:dyDescent="0.3">
      <c r="A145" s="3" t="s">
        <v>21</v>
      </c>
      <c r="B145" s="3" t="s">
        <v>39</v>
      </c>
      <c r="C145" s="3" t="s">
        <v>40</v>
      </c>
      <c r="D145" s="3" t="s">
        <v>38</v>
      </c>
      <c r="E145" s="3" t="s">
        <v>25</v>
      </c>
      <c r="F145" s="3" t="s">
        <v>25</v>
      </c>
      <c r="G145" s="3" t="s">
        <v>25</v>
      </c>
      <c r="H145" s="3" t="s">
        <v>35</v>
      </c>
      <c r="I145" s="6">
        <v>44682</v>
      </c>
      <c r="J145" s="4">
        <v>0</v>
      </c>
      <c r="K145" s="4">
        <v>0</v>
      </c>
      <c r="L145" s="4">
        <v>494.01600000000002</v>
      </c>
      <c r="M145" s="4">
        <v>494.01600000000002</v>
      </c>
      <c r="N145" s="4">
        <v>494.01600000000002</v>
      </c>
      <c r="O145" s="4">
        <v>494.01600000000002</v>
      </c>
      <c r="P145" s="4">
        <v>0</v>
      </c>
      <c r="Q145" s="3" t="s">
        <v>26</v>
      </c>
      <c r="R145" s="3">
        <v>0</v>
      </c>
      <c r="S145" s="4">
        <v>0</v>
      </c>
      <c r="T145" s="4">
        <v>11</v>
      </c>
      <c r="U145" s="4">
        <v>52</v>
      </c>
      <c r="V145" s="4">
        <f>IF(ISERROR(VLOOKUP($S$145,'TAR FIN'!$A$1:$O$91,15,0)),0,VLOOKUP($S$145,'TAR FIN'!$A$1:$O$91,15,0))</f>
        <v>0</v>
      </c>
      <c r="W145" s="4">
        <f>IF(ISERROR(VLOOKUP($T$145,'TAR FIN'!$A$1:$O$91,15,0)),0,VLOOKUP($T$145,'TAR FIN'!$A$1:$O$91,15,0))</f>
        <v>90.54</v>
      </c>
      <c r="X145" s="4">
        <f>IF(ISERROR(VLOOKUP($U$145,'TAR FIN'!$A$1:$O$91,15,0)),0,VLOOKUP($U$145,'TAR FIN'!$A$1:$O$91,15,0))</f>
        <v>189.96</v>
      </c>
      <c r="Y145" s="4"/>
      <c r="Z145" s="4">
        <f ca="1">('TUSD BE'!$AM$15+'TUSD BF_350'!$AM$15+'TUSD CVA'!$AM$15)*1</f>
        <v>116.79000000000002</v>
      </c>
      <c r="AA145" s="4">
        <f ca="1">('TE BE'!$AB$6+'TE BF_350'!$AB$6+'TE CVA'!$AB$6)*1</f>
        <v>195.89707226799715</v>
      </c>
      <c r="AB145" s="4">
        <f>$K$145*$V$145</f>
        <v>0</v>
      </c>
      <c r="AC145" s="4">
        <f>$M$145*$W$145</f>
        <v>44728.208640000004</v>
      </c>
      <c r="AD145" s="4">
        <f>$O$145*$X$145</f>
        <v>93843.27936</v>
      </c>
      <c r="AE145" s="4">
        <f>$K$145*$Y$145</f>
        <v>0</v>
      </c>
      <c r="AF145" s="4">
        <f ca="1">$M$145*$Z$145</f>
        <v>57696.12864000001</v>
      </c>
      <c r="AG145" s="4">
        <f ca="1">$O$145*$AA$145</f>
        <v>96776.288053546887</v>
      </c>
    </row>
    <row r="146" spans="1:33" ht="11.25" customHeight="1" x14ac:dyDescent="0.3">
      <c r="A146" s="3" t="s">
        <v>28</v>
      </c>
      <c r="B146" s="3" t="s">
        <v>39</v>
      </c>
      <c r="C146" s="3" t="s">
        <v>40</v>
      </c>
      <c r="D146" s="3" t="s">
        <v>38</v>
      </c>
      <c r="E146" s="3" t="s">
        <v>25</v>
      </c>
      <c r="F146" s="3" t="s">
        <v>25</v>
      </c>
      <c r="G146" s="3" t="s">
        <v>25</v>
      </c>
      <c r="H146" s="3" t="s">
        <v>35</v>
      </c>
      <c r="I146" s="6">
        <v>44682</v>
      </c>
      <c r="J146" s="4">
        <v>0</v>
      </c>
      <c r="K146" s="4">
        <v>0</v>
      </c>
      <c r="L146" s="4">
        <v>64.748999999999995</v>
      </c>
      <c r="M146" s="4">
        <v>64.748999999999995</v>
      </c>
      <c r="N146" s="4">
        <v>64.748999999999995</v>
      </c>
      <c r="O146" s="4">
        <v>64.748999999999995</v>
      </c>
      <c r="P146" s="4">
        <v>0</v>
      </c>
      <c r="Q146" s="3" t="s">
        <v>26</v>
      </c>
      <c r="R146" s="3">
        <v>0</v>
      </c>
      <c r="S146" s="4">
        <v>0</v>
      </c>
      <c r="T146" s="4">
        <v>11</v>
      </c>
      <c r="U146" s="4">
        <v>52</v>
      </c>
      <c r="V146" s="4">
        <f>IF(ISERROR(VLOOKUP($S$146,'TAR FIN'!$A$1:$O$91,15,0)),0,VLOOKUP($S$146,'TAR FIN'!$A$1:$O$91,15,0))</f>
        <v>0</v>
      </c>
      <c r="W146" s="4">
        <f>IF(ISERROR(VLOOKUP($T$146,'TAR FIN'!$A$1:$O$91,15,0)),0,VLOOKUP($T$146,'TAR FIN'!$A$1:$O$91,15,0))</f>
        <v>90.54</v>
      </c>
      <c r="X146" s="4">
        <f>IF(ISERROR(VLOOKUP($U$146,'TAR FIN'!$A$1:$O$91,15,0)),0,VLOOKUP($U$146,'TAR FIN'!$A$1:$O$91,15,0))</f>
        <v>189.96</v>
      </c>
      <c r="Y146" s="4"/>
      <c r="Z146" s="4">
        <f ca="1">('TUSD BE'!$AM$15+'TUSD BF_350'!$AM$15+'TUSD CVA'!$AM$15)*1</f>
        <v>116.79000000000002</v>
      </c>
      <c r="AA146" s="4">
        <f ca="1">('TE BE'!$AB$6+'TE BF_350'!$AB$6+'TE CVA'!$AB$6)*1</f>
        <v>195.89707226799715</v>
      </c>
      <c r="AB146" s="4">
        <f>$K$146*$V$146</f>
        <v>0</v>
      </c>
      <c r="AC146" s="4">
        <f>$M$146*$W$146</f>
        <v>5862.37446</v>
      </c>
      <c r="AD146" s="4">
        <f>$O$146*$X$146</f>
        <v>12299.72004</v>
      </c>
      <c r="AE146" s="4">
        <f>$K$146*$Y$146</f>
        <v>0</v>
      </c>
      <c r="AF146" s="4">
        <f ca="1">$M$146*$Z$146</f>
        <v>7562.035710000001</v>
      </c>
      <c r="AG146" s="4">
        <f ca="1">$O$146*$AA$146</f>
        <v>12684.139532280546</v>
      </c>
    </row>
    <row r="147" spans="1:33" ht="11.25" customHeight="1" x14ac:dyDescent="0.3">
      <c r="A147" s="3" t="s">
        <v>21</v>
      </c>
      <c r="B147" s="3" t="s">
        <v>39</v>
      </c>
      <c r="C147" s="3" t="s">
        <v>40</v>
      </c>
      <c r="D147" s="3" t="s">
        <v>38</v>
      </c>
      <c r="E147" s="3" t="s">
        <v>25</v>
      </c>
      <c r="F147" s="3" t="s">
        <v>25</v>
      </c>
      <c r="G147" s="3" t="s">
        <v>25</v>
      </c>
      <c r="H147" s="3" t="s">
        <v>35</v>
      </c>
      <c r="I147" s="6">
        <v>44713</v>
      </c>
      <c r="J147" s="4">
        <v>0</v>
      </c>
      <c r="K147" s="4">
        <v>0</v>
      </c>
      <c r="L147" s="4">
        <v>362.99599999999998</v>
      </c>
      <c r="M147" s="4">
        <v>362.99599999999998</v>
      </c>
      <c r="N147" s="4">
        <v>362.99599999999998</v>
      </c>
      <c r="O147" s="4">
        <v>362.99599999999998</v>
      </c>
      <c r="P147" s="4">
        <v>0</v>
      </c>
      <c r="Q147" s="3" t="s">
        <v>26</v>
      </c>
      <c r="R147" s="3">
        <v>0</v>
      </c>
      <c r="S147" s="4">
        <v>0</v>
      </c>
      <c r="T147" s="4">
        <v>11</v>
      </c>
      <c r="U147" s="4">
        <v>52</v>
      </c>
      <c r="V147" s="4">
        <f>IF(ISERROR(VLOOKUP($S$147,'TAR FIN'!$A$1:$O$91,15,0)),0,VLOOKUP($S$147,'TAR FIN'!$A$1:$O$91,15,0))</f>
        <v>0</v>
      </c>
      <c r="W147" s="4">
        <f>IF(ISERROR(VLOOKUP($T$147,'TAR FIN'!$A$1:$O$91,15,0)),0,VLOOKUP($T$147,'TAR FIN'!$A$1:$O$91,15,0))</f>
        <v>90.54</v>
      </c>
      <c r="X147" s="4">
        <f>IF(ISERROR(VLOOKUP($U$147,'TAR FIN'!$A$1:$O$91,15,0)),0,VLOOKUP($U$147,'TAR FIN'!$A$1:$O$91,15,0))</f>
        <v>189.96</v>
      </c>
      <c r="Y147" s="4"/>
      <c r="Z147" s="4">
        <f ca="1">('TUSD BE'!$AM$15+'TUSD BF_350'!$AM$15+'TUSD CVA'!$AM$15)*1</f>
        <v>116.79000000000002</v>
      </c>
      <c r="AA147" s="4">
        <f ca="1">('TE BE'!$AB$6+'TE BF_350'!$AB$6+'TE CVA'!$AB$6)*1</f>
        <v>195.89707226799715</v>
      </c>
      <c r="AB147" s="4">
        <f>$K$147*$V$147</f>
        <v>0</v>
      </c>
      <c r="AC147" s="4">
        <f>$M$147*$W$147</f>
        <v>32865.65784</v>
      </c>
      <c r="AD147" s="4">
        <f>$O$147*$X$147</f>
        <v>68954.720159999997</v>
      </c>
      <c r="AE147" s="4">
        <f>$K$147*$Y$147</f>
        <v>0</v>
      </c>
      <c r="AF147" s="4">
        <f ca="1">$M$147*$Z$147</f>
        <v>42394.302840000004</v>
      </c>
      <c r="AG147" s="4">
        <f ca="1">$O$147*$AA$147</f>
        <v>71109.853644993884</v>
      </c>
    </row>
    <row r="148" spans="1:33" ht="11.25" customHeight="1" x14ac:dyDescent="0.3">
      <c r="A148" s="3" t="s">
        <v>28</v>
      </c>
      <c r="B148" s="3" t="s">
        <v>39</v>
      </c>
      <c r="C148" s="3" t="s">
        <v>40</v>
      </c>
      <c r="D148" s="3" t="s">
        <v>38</v>
      </c>
      <c r="E148" s="3" t="s">
        <v>25</v>
      </c>
      <c r="F148" s="3" t="s">
        <v>25</v>
      </c>
      <c r="G148" s="3" t="s">
        <v>25</v>
      </c>
      <c r="H148" s="3" t="s">
        <v>35</v>
      </c>
      <c r="I148" s="6">
        <v>44713</v>
      </c>
      <c r="J148" s="4">
        <v>0</v>
      </c>
      <c r="K148" s="4">
        <v>0</v>
      </c>
      <c r="L148" s="4">
        <v>59.744</v>
      </c>
      <c r="M148" s="4">
        <v>59.744</v>
      </c>
      <c r="N148" s="4">
        <v>59.744</v>
      </c>
      <c r="O148" s="4">
        <v>59.744</v>
      </c>
      <c r="P148" s="4">
        <v>0</v>
      </c>
      <c r="Q148" s="3" t="s">
        <v>26</v>
      </c>
      <c r="R148" s="3">
        <v>0</v>
      </c>
      <c r="S148" s="4">
        <v>0</v>
      </c>
      <c r="T148" s="4">
        <v>11</v>
      </c>
      <c r="U148" s="4">
        <v>52</v>
      </c>
      <c r="V148" s="4">
        <f>IF(ISERROR(VLOOKUP($S$148,'TAR FIN'!$A$1:$O$91,15,0)),0,VLOOKUP($S$148,'TAR FIN'!$A$1:$O$91,15,0))</f>
        <v>0</v>
      </c>
      <c r="W148" s="4">
        <f>IF(ISERROR(VLOOKUP($T$148,'TAR FIN'!$A$1:$O$91,15,0)),0,VLOOKUP($T$148,'TAR FIN'!$A$1:$O$91,15,0))</f>
        <v>90.54</v>
      </c>
      <c r="X148" s="4">
        <f>IF(ISERROR(VLOOKUP($U$148,'TAR FIN'!$A$1:$O$91,15,0)),0,VLOOKUP($U$148,'TAR FIN'!$A$1:$O$91,15,0))</f>
        <v>189.96</v>
      </c>
      <c r="Y148" s="4"/>
      <c r="Z148" s="4">
        <f ca="1">('TUSD BE'!$AM$15+'TUSD BF_350'!$AM$15+'TUSD CVA'!$AM$15)*1</f>
        <v>116.79000000000002</v>
      </c>
      <c r="AA148" s="4">
        <f ca="1">('TE BE'!$AB$6+'TE BF_350'!$AB$6+'TE CVA'!$AB$6)*1</f>
        <v>195.89707226799715</v>
      </c>
      <c r="AB148" s="4">
        <f>$K$148*$V$148</f>
        <v>0</v>
      </c>
      <c r="AC148" s="4">
        <f>$M$148*$W$148</f>
        <v>5409.2217600000004</v>
      </c>
      <c r="AD148" s="4">
        <f>$O$148*$X$148</f>
        <v>11348.970240000001</v>
      </c>
      <c r="AE148" s="4">
        <f>$K$148*$Y$148</f>
        <v>0</v>
      </c>
      <c r="AF148" s="4">
        <f ca="1">$M$148*$Z$148</f>
        <v>6977.501760000001</v>
      </c>
      <c r="AG148" s="4">
        <f ca="1">$O$148*$AA$148</f>
        <v>11703.674685579221</v>
      </c>
    </row>
    <row r="149" spans="1:33" ht="11.25" customHeight="1" x14ac:dyDescent="0.3">
      <c r="A149" s="3" t="s">
        <v>21</v>
      </c>
      <c r="B149" s="3" t="s">
        <v>39</v>
      </c>
      <c r="C149" s="3" t="s">
        <v>40</v>
      </c>
      <c r="D149" s="3" t="s">
        <v>38</v>
      </c>
      <c r="E149" s="3" t="s">
        <v>25</v>
      </c>
      <c r="F149" s="3" t="s">
        <v>25</v>
      </c>
      <c r="G149" s="3" t="s">
        <v>25</v>
      </c>
      <c r="H149" s="3" t="s">
        <v>25</v>
      </c>
      <c r="I149" s="6">
        <v>44378</v>
      </c>
      <c r="J149" s="4">
        <v>3473</v>
      </c>
      <c r="K149" s="4">
        <v>3473</v>
      </c>
      <c r="L149" s="4">
        <v>0</v>
      </c>
      <c r="M149" s="4">
        <v>0</v>
      </c>
      <c r="N149" s="4">
        <v>0</v>
      </c>
      <c r="O149" s="4">
        <v>0</v>
      </c>
      <c r="P149" s="4">
        <v>21</v>
      </c>
      <c r="Q149" s="3" t="s">
        <v>26</v>
      </c>
      <c r="R149" s="3">
        <v>0</v>
      </c>
      <c r="S149" s="4">
        <v>9</v>
      </c>
      <c r="T149" s="4">
        <v>0</v>
      </c>
      <c r="U149" s="4">
        <v>0</v>
      </c>
      <c r="V149" s="4">
        <f>IF(ISERROR(VLOOKUP($S$149,'TAR FIN'!$A$1:$O$91,15,0)),0,VLOOKUP($S$149,'TAR FIN'!$A$1:$O$91,15,0))</f>
        <v>33.97</v>
      </c>
      <c r="W149" s="4">
        <f>IF(ISERROR(VLOOKUP($T$149,'TAR FIN'!$A$1:$O$91,15,0)),0,VLOOKUP($T$149,'TAR FIN'!$A$1:$O$91,15,0))</f>
        <v>0</v>
      </c>
      <c r="X149" s="4">
        <f>IF(ISERROR(VLOOKUP($U$149,'TAR FIN'!$A$1:$O$91,15,0)),0,VLOOKUP($U$149,'TAR FIN'!$A$1:$O$91,15,0))</f>
        <v>0</v>
      </c>
      <c r="Y149" s="4">
        <f ca="1">('TUSD BE'!$AM$13+'TUSD BF_350'!$AM$13+'TUSD CVA'!$AM$13)*1</f>
        <v>32.31</v>
      </c>
      <c r="Z149" s="4"/>
      <c r="AA149" s="4"/>
      <c r="AB149" s="4">
        <f>$K$149*$V$149</f>
        <v>117977.81</v>
      </c>
      <c r="AC149" s="4">
        <f>$M$149*$W$149</f>
        <v>0</v>
      </c>
      <c r="AD149" s="4">
        <f>$O$149*$X$149</f>
        <v>0</v>
      </c>
      <c r="AE149" s="4">
        <f ca="1">$K$149*$Y$149</f>
        <v>112212.63</v>
      </c>
      <c r="AF149" s="4">
        <f>$M$149*$Z$149</f>
        <v>0</v>
      </c>
      <c r="AG149" s="4">
        <f>$O$149*$AA$149</f>
        <v>0</v>
      </c>
    </row>
    <row r="150" spans="1:33" ht="11.25" customHeight="1" x14ac:dyDescent="0.3">
      <c r="A150" s="3" t="s">
        <v>21</v>
      </c>
      <c r="B150" s="3" t="s">
        <v>39</v>
      </c>
      <c r="C150" s="3" t="s">
        <v>40</v>
      </c>
      <c r="D150" s="3" t="s">
        <v>38</v>
      </c>
      <c r="E150" s="3" t="s">
        <v>25</v>
      </c>
      <c r="F150" s="3" t="s">
        <v>25</v>
      </c>
      <c r="G150" s="3" t="s">
        <v>25</v>
      </c>
      <c r="H150" s="3" t="s">
        <v>25</v>
      </c>
      <c r="I150" s="6">
        <v>44409</v>
      </c>
      <c r="J150" s="4">
        <v>3138</v>
      </c>
      <c r="K150" s="4">
        <v>3138</v>
      </c>
      <c r="L150" s="4">
        <v>0</v>
      </c>
      <c r="M150" s="4">
        <v>0</v>
      </c>
      <c r="N150" s="4">
        <v>0</v>
      </c>
      <c r="O150" s="4">
        <v>0</v>
      </c>
      <c r="P150" s="4">
        <v>20</v>
      </c>
      <c r="Q150" s="3" t="s">
        <v>26</v>
      </c>
      <c r="R150" s="3">
        <v>0</v>
      </c>
      <c r="S150" s="4">
        <v>9</v>
      </c>
      <c r="T150" s="4">
        <v>0</v>
      </c>
      <c r="U150" s="4">
        <v>0</v>
      </c>
      <c r="V150" s="4">
        <f>IF(ISERROR(VLOOKUP($S$150,'TAR FIN'!$A$1:$O$91,15,0)),0,VLOOKUP($S$150,'TAR FIN'!$A$1:$O$91,15,0))</f>
        <v>33.97</v>
      </c>
      <c r="W150" s="4">
        <f>IF(ISERROR(VLOOKUP($T$150,'TAR FIN'!$A$1:$O$91,15,0)),0,VLOOKUP($T$150,'TAR FIN'!$A$1:$O$91,15,0))</f>
        <v>0</v>
      </c>
      <c r="X150" s="4">
        <f>IF(ISERROR(VLOOKUP($U$150,'TAR FIN'!$A$1:$O$91,15,0)),0,VLOOKUP($U$150,'TAR FIN'!$A$1:$O$91,15,0))</f>
        <v>0</v>
      </c>
      <c r="Y150" s="4">
        <f ca="1">('TUSD BE'!$AM$13+'TUSD BF_350'!$AM$13+'TUSD CVA'!$AM$13)*1</f>
        <v>32.31</v>
      </c>
      <c r="Z150" s="4"/>
      <c r="AA150" s="4"/>
      <c r="AB150" s="4">
        <f>$K$150*$V$150</f>
        <v>106597.86</v>
      </c>
      <c r="AC150" s="4">
        <f>$M$150*$W$150</f>
        <v>0</v>
      </c>
      <c r="AD150" s="4">
        <f>$O$150*$X$150</f>
        <v>0</v>
      </c>
      <c r="AE150" s="4">
        <f ca="1">$K$150*$Y$150</f>
        <v>101388.78000000001</v>
      </c>
      <c r="AF150" s="4">
        <f>$M$150*$Z$150</f>
        <v>0</v>
      </c>
      <c r="AG150" s="4">
        <f>$O$150*$AA$150</f>
        <v>0</v>
      </c>
    </row>
    <row r="151" spans="1:33" ht="11.25" customHeight="1" x14ac:dyDescent="0.3">
      <c r="A151" s="3" t="s">
        <v>21</v>
      </c>
      <c r="B151" s="3" t="s">
        <v>39</v>
      </c>
      <c r="C151" s="3" t="s">
        <v>40</v>
      </c>
      <c r="D151" s="3" t="s">
        <v>38</v>
      </c>
      <c r="E151" s="3" t="s">
        <v>25</v>
      </c>
      <c r="F151" s="3" t="s">
        <v>25</v>
      </c>
      <c r="G151" s="3" t="s">
        <v>25</v>
      </c>
      <c r="H151" s="3" t="s">
        <v>25</v>
      </c>
      <c r="I151" s="6">
        <v>44440</v>
      </c>
      <c r="J151" s="4">
        <v>3201</v>
      </c>
      <c r="K151" s="4">
        <v>3201</v>
      </c>
      <c r="L151" s="4">
        <v>0</v>
      </c>
      <c r="M151" s="4">
        <v>0</v>
      </c>
      <c r="N151" s="4">
        <v>0</v>
      </c>
      <c r="O151" s="4">
        <v>0</v>
      </c>
      <c r="P151" s="4">
        <v>20</v>
      </c>
      <c r="Q151" s="3" t="s">
        <v>26</v>
      </c>
      <c r="R151" s="3">
        <v>0</v>
      </c>
      <c r="S151" s="4">
        <v>9</v>
      </c>
      <c r="T151" s="4">
        <v>0</v>
      </c>
      <c r="U151" s="4">
        <v>0</v>
      </c>
      <c r="V151" s="4">
        <f>IF(ISERROR(VLOOKUP($S$151,'TAR FIN'!$A$1:$O$91,15,0)),0,VLOOKUP($S$151,'TAR FIN'!$A$1:$O$91,15,0))</f>
        <v>33.97</v>
      </c>
      <c r="W151" s="4">
        <f>IF(ISERROR(VLOOKUP($T$151,'TAR FIN'!$A$1:$O$91,15,0)),0,VLOOKUP($T$151,'TAR FIN'!$A$1:$O$91,15,0))</f>
        <v>0</v>
      </c>
      <c r="X151" s="4">
        <f>IF(ISERROR(VLOOKUP($U$151,'TAR FIN'!$A$1:$O$91,15,0)),0,VLOOKUP($U$151,'TAR FIN'!$A$1:$O$91,15,0))</f>
        <v>0</v>
      </c>
      <c r="Y151" s="4">
        <f ca="1">('TUSD BE'!$AM$13+'TUSD BF_350'!$AM$13+'TUSD CVA'!$AM$13)*1</f>
        <v>32.31</v>
      </c>
      <c r="Z151" s="4"/>
      <c r="AA151" s="4"/>
      <c r="AB151" s="4">
        <f>$K$151*$V$151</f>
        <v>108737.97</v>
      </c>
      <c r="AC151" s="4">
        <f>$M$151*$W$151</f>
        <v>0</v>
      </c>
      <c r="AD151" s="4">
        <f>$O$151*$X$151</f>
        <v>0</v>
      </c>
      <c r="AE151" s="4">
        <f ca="1">$K$151*$Y$151</f>
        <v>103424.31000000001</v>
      </c>
      <c r="AF151" s="4">
        <f>$M$151*$Z$151</f>
        <v>0</v>
      </c>
      <c r="AG151" s="4">
        <f>$O$151*$AA$151</f>
        <v>0</v>
      </c>
    </row>
    <row r="152" spans="1:33" ht="11.25" customHeight="1" x14ac:dyDescent="0.3">
      <c r="A152" s="3" t="s">
        <v>21</v>
      </c>
      <c r="B152" s="3" t="s">
        <v>39</v>
      </c>
      <c r="C152" s="3" t="s">
        <v>40</v>
      </c>
      <c r="D152" s="3" t="s">
        <v>38</v>
      </c>
      <c r="E152" s="3" t="s">
        <v>25</v>
      </c>
      <c r="F152" s="3" t="s">
        <v>25</v>
      </c>
      <c r="G152" s="3" t="s">
        <v>25</v>
      </c>
      <c r="H152" s="3" t="s">
        <v>25</v>
      </c>
      <c r="I152" s="6">
        <v>44470</v>
      </c>
      <c r="J152" s="4">
        <v>3185</v>
      </c>
      <c r="K152" s="4">
        <v>3185</v>
      </c>
      <c r="L152" s="4">
        <v>0</v>
      </c>
      <c r="M152" s="4">
        <v>0</v>
      </c>
      <c r="N152" s="4">
        <v>0</v>
      </c>
      <c r="O152" s="4">
        <v>0</v>
      </c>
      <c r="P152" s="4">
        <v>20</v>
      </c>
      <c r="Q152" s="3" t="s">
        <v>26</v>
      </c>
      <c r="R152" s="3">
        <v>0</v>
      </c>
      <c r="S152" s="4">
        <v>9</v>
      </c>
      <c r="T152" s="4">
        <v>0</v>
      </c>
      <c r="U152" s="4">
        <v>0</v>
      </c>
      <c r="V152" s="4">
        <f>IF(ISERROR(VLOOKUP($S$152,'TAR FIN'!$A$1:$O$91,15,0)),0,VLOOKUP($S$152,'TAR FIN'!$A$1:$O$91,15,0))</f>
        <v>33.97</v>
      </c>
      <c r="W152" s="4">
        <f>IF(ISERROR(VLOOKUP($T$152,'TAR FIN'!$A$1:$O$91,15,0)),0,VLOOKUP($T$152,'TAR FIN'!$A$1:$O$91,15,0))</f>
        <v>0</v>
      </c>
      <c r="X152" s="4">
        <f>IF(ISERROR(VLOOKUP($U$152,'TAR FIN'!$A$1:$O$91,15,0)),0,VLOOKUP($U$152,'TAR FIN'!$A$1:$O$91,15,0))</f>
        <v>0</v>
      </c>
      <c r="Y152" s="4">
        <f ca="1">('TUSD BE'!$AM$13+'TUSD BF_350'!$AM$13+'TUSD CVA'!$AM$13)*1</f>
        <v>32.31</v>
      </c>
      <c r="Z152" s="4"/>
      <c r="AA152" s="4"/>
      <c r="AB152" s="4">
        <f>$K$152*$V$152</f>
        <v>108194.45</v>
      </c>
      <c r="AC152" s="4">
        <f>$M$152*$W$152</f>
        <v>0</v>
      </c>
      <c r="AD152" s="4">
        <f>$O$152*$X$152</f>
        <v>0</v>
      </c>
      <c r="AE152" s="4">
        <f ca="1">$K$152*$Y$152</f>
        <v>102907.35</v>
      </c>
      <c r="AF152" s="4">
        <f>$M$152*$Z$152</f>
        <v>0</v>
      </c>
      <c r="AG152" s="4">
        <f>$O$152*$AA$152</f>
        <v>0</v>
      </c>
    </row>
    <row r="153" spans="1:33" ht="11.25" customHeight="1" x14ac:dyDescent="0.3">
      <c r="A153" s="3" t="s">
        <v>21</v>
      </c>
      <c r="B153" s="3" t="s">
        <v>39</v>
      </c>
      <c r="C153" s="3" t="s">
        <v>40</v>
      </c>
      <c r="D153" s="3" t="s">
        <v>38</v>
      </c>
      <c r="E153" s="3" t="s">
        <v>25</v>
      </c>
      <c r="F153" s="3" t="s">
        <v>25</v>
      </c>
      <c r="G153" s="3" t="s">
        <v>25</v>
      </c>
      <c r="H153" s="3" t="s">
        <v>25</v>
      </c>
      <c r="I153" s="6">
        <v>44501</v>
      </c>
      <c r="J153" s="4">
        <v>3171</v>
      </c>
      <c r="K153" s="4">
        <v>3171</v>
      </c>
      <c r="L153" s="4">
        <v>0</v>
      </c>
      <c r="M153" s="4">
        <v>0</v>
      </c>
      <c r="N153" s="4">
        <v>0</v>
      </c>
      <c r="O153" s="4">
        <v>0</v>
      </c>
      <c r="P153" s="4">
        <v>19</v>
      </c>
      <c r="Q153" s="3" t="s">
        <v>26</v>
      </c>
      <c r="R153" s="3">
        <v>0</v>
      </c>
      <c r="S153" s="4">
        <v>9</v>
      </c>
      <c r="T153" s="4">
        <v>0</v>
      </c>
      <c r="U153" s="4">
        <v>0</v>
      </c>
      <c r="V153" s="4">
        <f>IF(ISERROR(VLOOKUP($S$153,'TAR FIN'!$A$1:$O$91,15,0)),0,VLOOKUP($S$153,'TAR FIN'!$A$1:$O$91,15,0))</f>
        <v>33.97</v>
      </c>
      <c r="W153" s="4">
        <f>IF(ISERROR(VLOOKUP($T$153,'TAR FIN'!$A$1:$O$91,15,0)),0,VLOOKUP($T$153,'TAR FIN'!$A$1:$O$91,15,0))</f>
        <v>0</v>
      </c>
      <c r="X153" s="4">
        <f>IF(ISERROR(VLOOKUP($U$153,'TAR FIN'!$A$1:$O$91,15,0)),0,VLOOKUP($U$153,'TAR FIN'!$A$1:$O$91,15,0))</f>
        <v>0</v>
      </c>
      <c r="Y153" s="4">
        <f ca="1">('TUSD BE'!$AM$13+'TUSD BF_350'!$AM$13+'TUSD CVA'!$AM$13)*1</f>
        <v>32.31</v>
      </c>
      <c r="Z153" s="4"/>
      <c r="AA153" s="4"/>
      <c r="AB153" s="4">
        <f>$K$153*$V$153</f>
        <v>107718.87</v>
      </c>
      <c r="AC153" s="4">
        <f>$M$153*$W$153</f>
        <v>0</v>
      </c>
      <c r="AD153" s="4">
        <f>$O$153*$X$153</f>
        <v>0</v>
      </c>
      <c r="AE153" s="4">
        <f ca="1">$K$153*$Y$153</f>
        <v>102455.01000000001</v>
      </c>
      <c r="AF153" s="4">
        <f>$M$153*$Z$153</f>
        <v>0</v>
      </c>
      <c r="AG153" s="4">
        <f>$O$153*$AA$153</f>
        <v>0</v>
      </c>
    </row>
    <row r="154" spans="1:33" ht="11.25" customHeight="1" x14ac:dyDescent="0.3">
      <c r="A154" s="3" t="s">
        <v>21</v>
      </c>
      <c r="B154" s="3" t="s">
        <v>39</v>
      </c>
      <c r="C154" s="3" t="s">
        <v>40</v>
      </c>
      <c r="D154" s="3" t="s">
        <v>38</v>
      </c>
      <c r="E154" s="3" t="s">
        <v>25</v>
      </c>
      <c r="F154" s="3" t="s">
        <v>25</v>
      </c>
      <c r="G154" s="3" t="s">
        <v>25</v>
      </c>
      <c r="H154" s="3" t="s">
        <v>25</v>
      </c>
      <c r="I154" s="6">
        <v>44531</v>
      </c>
      <c r="J154" s="4">
        <v>2834</v>
      </c>
      <c r="K154" s="4">
        <v>2834</v>
      </c>
      <c r="L154" s="4">
        <v>0</v>
      </c>
      <c r="M154" s="4">
        <v>0</v>
      </c>
      <c r="N154" s="4">
        <v>0</v>
      </c>
      <c r="O154" s="4">
        <v>0</v>
      </c>
      <c r="P154" s="4">
        <v>18</v>
      </c>
      <c r="Q154" s="3" t="s">
        <v>26</v>
      </c>
      <c r="R154" s="3">
        <v>0</v>
      </c>
      <c r="S154" s="4">
        <v>9</v>
      </c>
      <c r="T154" s="4">
        <v>0</v>
      </c>
      <c r="U154" s="4">
        <v>0</v>
      </c>
      <c r="V154" s="4">
        <f>IF(ISERROR(VLOOKUP($S$154,'TAR FIN'!$A$1:$O$91,15,0)),0,VLOOKUP($S$154,'TAR FIN'!$A$1:$O$91,15,0))</f>
        <v>33.97</v>
      </c>
      <c r="W154" s="4">
        <f>IF(ISERROR(VLOOKUP($T$154,'TAR FIN'!$A$1:$O$91,15,0)),0,VLOOKUP($T$154,'TAR FIN'!$A$1:$O$91,15,0))</f>
        <v>0</v>
      </c>
      <c r="X154" s="4">
        <f>IF(ISERROR(VLOOKUP($U$154,'TAR FIN'!$A$1:$O$91,15,0)),0,VLOOKUP($U$154,'TAR FIN'!$A$1:$O$91,15,0))</f>
        <v>0</v>
      </c>
      <c r="Y154" s="4">
        <f ca="1">('TUSD BE'!$AM$13+'TUSD BF_350'!$AM$13+'TUSD CVA'!$AM$13)*1</f>
        <v>32.31</v>
      </c>
      <c r="Z154" s="4"/>
      <c r="AA154" s="4"/>
      <c r="AB154" s="4">
        <f>$K$154*$V$154</f>
        <v>96270.98</v>
      </c>
      <c r="AC154" s="4">
        <f>$M$154*$W$154</f>
        <v>0</v>
      </c>
      <c r="AD154" s="4">
        <f>$O$154*$X$154</f>
        <v>0</v>
      </c>
      <c r="AE154" s="4">
        <f ca="1">$K$154*$Y$154</f>
        <v>91566.540000000008</v>
      </c>
      <c r="AF154" s="4">
        <f>$M$154*$Z$154</f>
        <v>0</v>
      </c>
      <c r="AG154" s="4">
        <f>$O$154*$AA$154</f>
        <v>0</v>
      </c>
    </row>
    <row r="155" spans="1:33" ht="11.25" customHeight="1" x14ac:dyDescent="0.3">
      <c r="A155" s="3" t="s">
        <v>28</v>
      </c>
      <c r="B155" s="3" t="s">
        <v>39</v>
      </c>
      <c r="C155" s="3" t="s">
        <v>40</v>
      </c>
      <c r="D155" s="3" t="s">
        <v>38</v>
      </c>
      <c r="E155" s="3" t="s">
        <v>25</v>
      </c>
      <c r="F155" s="3" t="s">
        <v>25</v>
      </c>
      <c r="G155" s="3" t="s">
        <v>25</v>
      </c>
      <c r="H155" s="3" t="s">
        <v>25</v>
      </c>
      <c r="I155" s="6">
        <v>44531</v>
      </c>
      <c r="J155" s="4">
        <v>290</v>
      </c>
      <c r="K155" s="4">
        <v>290</v>
      </c>
      <c r="L155" s="4">
        <v>0</v>
      </c>
      <c r="M155" s="4">
        <v>0</v>
      </c>
      <c r="N155" s="4">
        <v>0</v>
      </c>
      <c r="O155" s="4">
        <v>0</v>
      </c>
      <c r="P155" s="4">
        <v>1</v>
      </c>
      <c r="Q155" s="3" t="s">
        <v>26</v>
      </c>
      <c r="R155" s="3">
        <v>0</v>
      </c>
      <c r="S155" s="4">
        <v>9</v>
      </c>
      <c r="T155" s="4">
        <v>0</v>
      </c>
      <c r="U155" s="4">
        <v>0</v>
      </c>
      <c r="V155" s="4">
        <f>IF(ISERROR(VLOOKUP($S$155,'TAR FIN'!$A$1:$O$91,15,0)),0,VLOOKUP($S$155,'TAR FIN'!$A$1:$O$91,15,0))</f>
        <v>33.97</v>
      </c>
      <c r="W155" s="4">
        <f>IF(ISERROR(VLOOKUP($T$155,'TAR FIN'!$A$1:$O$91,15,0)),0,VLOOKUP($T$155,'TAR FIN'!$A$1:$O$91,15,0))</f>
        <v>0</v>
      </c>
      <c r="X155" s="4">
        <f>IF(ISERROR(VLOOKUP($U$155,'TAR FIN'!$A$1:$O$91,15,0)),0,VLOOKUP($U$155,'TAR FIN'!$A$1:$O$91,15,0))</f>
        <v>0</v>
      </c>
      <c r="Y155" s="4">
        <f ca="1">('TUSD BE'!$AM$13+'TUSD BF_350'!$AM$13+'TUSD CVA'!$AM$13)*1</f>
        <v>32.31</v>
      </c>
      <c r="Z155" s="4"/>
      <c r="AA155" s="4"/>
      <c r="AB155" s="4">
        <f>$K$155*$V$155</f>
        <v>9851.2999999999993</v>
      </c>
      <c r="AC155" s="4">
        <f>$M$155*$W$155</f>
        <v>0</v>
      </c>
      <c r="AD155" s="4">
        <f>$O$155*$X$155</f>
        <v>0</v>
      </c>
      <c r="AE155" s="4">
        <f ca="1">$K$155*$Y$155</f>
        <v>9369.9000000000015</v>
      </c>
      <c r="AF155" s="4">
        <f>$M$155*$Z$155</f>
        <v>0</v>
      </c>
      <c r="AG155" s="4">
        <f>$O$155*$AA$155</f>
        <v>0</v>
      </c>
    </row>
    <row r="156" spans="1:33" ht="11.25" customHeight="1" x14ac:dyDescent="0.3">
      <c r="A156" s="3" t="s">
        <v>21</v>
      </c>
      <c r="B156" s="3" t="s">
        <v>39</v>
      </c>
      <c r="C156" s="3" t="s">
        <v>40</v>
      </c>
      <c r="D156" s="3" t="s">
        <v>38</v>
      </c>
      <c r="E156" s="3" t="s">
        <v>25</v>
      </c>
      <c r="F156" s="3" t="s">
        <v>25</v>
      </c>
      <c r="G156" s="3" t="s">
        <v>25</v>
      </c>
      <c r="H156" s="3" t="s">
        <v>25</v>
      </c>
      <c r="I156" s="6">
        <v>44562</v>
      </c>
      <c r="J156" s="4">
        <v>2862</v>
      </c>
      <c r="K156" s="4">
        <v>2862</v>
      </c>
      <c r="L156" s="4">
        <v>0</v>
      </c>
      <c r="M156" s="4">
        <v>0</v>
      </c>
      <c r="N156" s="4">
        <v>0</v>
      </c>
      <c r="O156" s="4">
        <v>0</v>
      </c>
      <c r="P156" s="4">
        <v>18</v>
      </c>
      <c r="Q156" s="3" t="s">
        <v>26</v>
      </c>
      <c r="R156" s="3">
        <v>0</v>
      </c>
      <c r="S156" s="4">
        <v>9</v>
      </c>
      <c r="T156" s="4">
        <v>0</v>
      </c>
      <c r="U156" s="4">
        <v>0</v>
      </c>
      <c r="V156" s="4">
        <f>IF(ISERROR(VLOOKUP($S$156,'TAR FIN'!$A$1:$O$91,15,0)),0,VLOOKUP($S$156,'TAR FIN'!$A$1:$O$91,15,0))</f>
        <v>33.97</v>
      </c>
      <c r="W156" s="4">
        <f>IF(ISERROR(VLOOKUP($T$156,'TAR FIN'!$A$1:$O$91,15,0)),0,VLOOKUP($T$156,'TAR FIN'!$A$1:$O$91,15,0))</f>
        <v>0</v>
      </c>
      <c r="X156" s="4">
        <f>IF(ISERROR(VLOOKUP($U$156,'TAR FIN'!$A$1:$O$91,15,0)),0,VLOOKUP($U$156,'TAR FIN'!$A$1:$O$91,15,0))</f>
        <v>0</v>
      </c>
      <c r="Y156" s="4">
        <f ca="1">('TUSD BE'!$AM$13+'TUSD BF_350'!$AM$13+'TUSD CVA'!$AM$13)*1</f>
        <v>32.31</v>
      </c>
      <c r="Z156" s="4"/>
      <c r="AA156" s="4"/>
      <c r="AB156" s="4">
        <f>$K$156*$V$156</f>
        <v>97222.14</v>
      </c>
      <c r="AC156" s="4">
        <f>$M$156*$W$156</f>
        <v>0</v>
      </c>
      <c r="AD156" s="4">
        <f>$O$156*$X$156</f>
        <v>0</v>
      </c>
      <c r="AE156" s="4">
        <f ca="1">$K$156*$Y$156</f>
        <v>92471.22</v>
      </c>
      <c r="AF156" s="4">
        <f>$M$156*$Z$156</f>
        <v>0</v>
      </c>
      <c r="AG156" s="4">
        <f>$O$156*$AA$156</f>
        <v>0</v>
      </c>
    </row>
    <row r="157" spans="1:33" ht="11.25" customHeight="1" x14ac:dyDescent="0.3">
      <c r="A157" s="3" t="s">
        <v>27</v>
      </c>
      <c r="B157" s="3" t="s">
        <v>39</v>
      </c>
      <c r="C157" s="3" t="s">
        <v>40</v>
      </c>
      <c r="D157" s="3" t="s">
        <v>38</v>
      </c>
      <c r="E157" s="3" t="s">
        <v>25</v>
      </c>
      <c r="F157" s="3" t="s">
        <v>25</v>
      </c>
      <c r="G157" s="3" t="s">
        <v>25</v>
      </c>
      <c r="H157" s="3" t="s">
        <v>25</v>
      </c>
      <c r="I157" s="6">
        <v>44562</v>
      </c>
      <c r="J157" s="4">
        <v>-40</v>
      </c>
      <c r="K157" s="4">
        <v>-40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26</v>
      </c>
      <c r="R157" s="3">
        <v>0</v>
      </c>
      <c r="S157" s="4">
        <v>9</v>
      </c>
      <c r="T157" s="4">
        <v>0</v>
      </c>
      <c r="U157" s="4">
        <v>0</v>
      </c>
      <c r="V157" s="4">
        <f>IF(ISERROR(VLOOKUP($S$157,'TAR FIN'!$A$1:$O$91,15,0)),0,VLOOKUP($S$157,'TAR FIN'!$A$1:$O$91,15,0))</f>
        <v>33.97</v>
      </c>
      <c r="W157" s="4">
        <f>IF(ISERROR(VLOOKUP($T$157,'TAR FIN'!$A$1:$O$91,15,0)),0,VLOOKUP($T$157,'TAR FIN'!$A$1:$O$91,15,0))</f>
        <v>0</v>
      </c>
      <c r="X157" s="4">
        <f>IF(ISERROR(VLOOKUP($U$157,'TAR FIN'!$A$1:$O$91,15,0)),0,VLOOKUP($U$157,'TAR FIN'!$A$1:$O$91,15,0))</f>
        <v>0</v>
      </c>
      <c r="Y157" s="4">
        <f ca="1">('TUSD BE'!$AM$13+'TUSD BF_350'!$AM$13+'TUSD CVA'!$AM$13)*1</f>
        <v>32.31</v>
      </c>
      <c r="Z157" s="4"/>
      <c r="AA157" s="4"/>
      <c r="AB157" s="4">
        <f>$K$157*$V$157</f>
        <v>-1358.8</v>
      </c>
      <c r="AC157" s="4">
        <f>$M$157*$W$157</f>
        <v>0</v>
      </c>
      <c r="AD157" s="4">
        <f>$O$157*$X$157</f>
        <v>0</v>
      </c>
      <c r="AE157" s="4">
        <f ca="1">$K$157*$Y$157</f>
        <v>-1292.4000000000001</v>
      </c>
      <c r="AF157" s="4">
        <f>$M$157*$Z$157</f>
        <v>0</v>
      </c>
      <c r="AG157" s="4">
        <f>$O$157*$AA$157</f>
        <v>0</v>
      </c>
    </row>
    <row r="158" spans="1:33" ht="11.25" customHeight="1" x14ac:dyDescent="0.3">
      <c r="A158" s="3" t="s">
        <v>28</v>
      </c>
      <c r="B158" s="3" t="s">
        <v>39</v>
      </c>
      <c r="C158" s="3" t="s">
        <v>40</v>
      </c>
      <c r="D158" s="3" t="s">
        <v>38</v>
      </c>
      <c r="E158" s="3" t="s">
        <v>25</v>
      </c>
      <c r="F158" s="3" t="s">
        <v>25</v>
      </c>
      <c r="G158" s="3" t="s">
        <v>25</v>
      </c>
      <c r="H158" s="3" t="s">
        <v>25</v>
      </c>
      <c r="I158" s="6">
        <v>44562</v>
      </c>
      <c r="J158" s="4">
        <v>268</v>
      </c>
      <c r="K158" s="4">
        <v>268</v>
      </c>
      <c r="L158" s="4">
        <v>0</v>
      </c>
      <c r="M158" s="4">
        <v>0</v>
      </c>
      <c r="N158" s="4">
        <v>0</v>
      </c>
      <c r="O158" s="4">
        <v>0</v>
      </c>
      <c r="P158" s="4">
        <v>1</v>
      </c>
      <c r="Q158" s="3" t="s">
        <v>26</v>
      </c>
      <c r="R158" s="3">
        <v>0</v>
      </c>
      <c r="S158" s="4">
        <v>9</v>
      </c>
      <c r="T158" s="4">
        <v>0</v>
      </c>
      <c r="U158" s="4">
        <v>0</v>
      </c>
      <c r="V158" s="4">
        <f>IF(ISERROR(VLOOKUP($S$158,'TAR FIN'!$A$1:$O$91,15,0)),0,VLOOKUP($S$158,'TAR FIN'!$A$1:$O$91,15,0))</f>
        <v>33.97</v>
      </c>
      <c r="W158" s="4">
        <f>IF(ISERROR(VLOOKUP($T$158,'TAR FIN'!$A$1:$O$91,15,0)),0,VLOOKUP($T$158,'TAR FIN'!$A$1:$O$91,15,0))</f>
        <v>0</v>
      </c>
      <c r="X158" s="4">
        <f>IF(ISERROR(VLOOKUP($U$158,'TAR FIN'!$A$1:$O$91,15,0)),0,VLOOKUP($U$158,'TAR FIN'!$A$1:$O$91,15,0))</f>
        <v>0</v>
      </c>
      <c r="Y158" s="4">
        <f ca="1">('TUSD BE'!$AM$13+'TUSD BF_350'!$AM$13+'TUSD CVA'!$AM$13)*1</f>
        <v>32.31</v>
      </c>
      <c r="Z158" s="4"/>
      <c r="AA158" s="4"/>
      <c r="AB158" s="4">
        <f>$K$158*$V$158</f>
        <v>9103.9599999999991</v>
      </c>
      <c r="AC158" s="4">
        <f>$M$158*$W$158</f>
        <v>0</v>
      </c>
      <c r="AD158" s="4">
        <f>$O$158*$X$158</f>
        <v>0</v>
      </c>
      <c r="AE158" s="4">
        <f ca="1">$K$158*$Y$158</f>
        <v>8659.08</v>
      </c>
      <c r="AF158" s="4">
        <f>$M$158*$Z$158</f>
        <v>0</v>
      </c>
      <c r="AG158" s="4">
        <f>$O$158*$AA$158</f>
        <v>0</v>
      </c>
    </row>
    <row r="159" spans="1:33" ht="11.25" customHeight="1" x14ac:dyDescent="0.3">
      <c r="A159" s="3" t="s">
        <v>21</v>
      </c>
      <c r="B159" s="3" t="s">
        <v>39</v>
      </c>
      <c r="C159" s="3" t="s">
        <v>40</v>
      </c>
      <c r="D159" s="3" t="s">
        <v>38</v>
      </c>
      <c r="E159" s="3" t="s">
        <v>25</v>
      </c>
      <c r="F159" s="3" t="s">
        <v>25</v>
      </c>
      <c r="G159" s="3" t="s">
        <v>25</v>
      </c>
      <c r="H159" s="3" t="s">
        <v>25</v>
      </c>
      <c r="I159" s="6">
        <v>44593</v>
      </c>
      <c r="J159" s="4">
        <v>3012</v>
      </c>
      <c r="K159" s="4">
        <v>3012</v>
      </c>
      <c r="L159" s="4">
        <v>0</v>
      </c>
      <c r="M159" s="4">
        <v>0</v>
      </c>
      <c r="N159" s="4">
        <v>0</v>
      </c>
      <c r="O159" s="4">
        <v>0</v>
      </c>
      <c r="P159" s="4">
        <v>19</v>
      </c>
      <c r="Q159" s="3" t="s">
        <v>26</v>
      </c>
      <c r="R159" s="3">
        <v>0</v>
      </c>
      <c r="S159" s="4">
        <v>9</v>
      </c>
      <c r="T159" s="4">
        <v>0</v>
      </c>
      <c r="U159" s="4">
        <v>0</v>
      </c>
      <c r="V159" s="4">
        <f>IF(ISERROR(VLOOKUP($S$159,'TAR FIN'!$A$1:$O$91,15,0)),0,VLOOKUP($S$159,'TAR FIN'!$A$1:$O$91,15,0))</f>
        <v>33.97</v>
      </c>
      <c r="W159" s="4">
        <f>IF(ISERROR(VLOOKUP($T$159,'TAR FIN'!$A$1:$O$91,15,0)),0,VLOOKUP($T$159,'TAR FIN'!$A$1:$O$91,15,0))</f>
        <v>0</v>
      </c>
      <c r="X159" s="4">
        <f>IF(ISERROR(VLOOKUP($U$159,'TAR FIN'!$A$1:$O$91,15,0)),0,VLOOKUP($U$159,'TAR FIN'!$A$1:$O$91,15,0))</f>
        <v>0</v>
      </c>
      <c r="Y159" s="4">
        <f ca="1">('TUSD BE'!$AM$13+'TUSD BF_350'!$AM$13+'TUSD CVA'!$AM$13)*1</f>
        <v>32.31</v>
      </c>
      <c r="Z159" s="4"/>
      <c r="AA159" s="4"/>
      <c r="AB159" s="4">
        <f>$K$159*$V$159</f>
        <v>102317.64</v>
      </c>
      <c r="AC159" s="4">
        <f>$M$159*$W$159</f>
        <v>0</v>
      </c>
      <c r="AD159" s="4">
        <f>$O$159*$X$159</f>
        <v>0</v>
      </c>
      <c r="AE159" s="4">
        <f ca="1">$K$159*$Y$159</f>
        <v>97317.72</v>
      </c>
      <c r="AF159" s="4">
        <f>$M$159*$Z$159</f>
        <v>0</v>
      </c>
      <c r="AG159" s="4">
        <f>$O$159*$AA$159</f>
        <v>0</v>
      </c>
    </row>
    <row r="160" spans="1:33" ht="11.25" customHeight="1" x14ac:dyDescent="0.3">
      <c r="A160" s="3" t="s">
        <v>28</v>
      </c>
      <c r="B160" s="3" t="s">
        <v>39</v>
      </c>
      <c r="C160" s="3" t="s">
        <v>40</v>
      </c>
      <c r="D160" s="3" t="s">
        <v>38</v>
      </c>
      <c r="E160" s="3" t="s">
        <v>25</v>
      </c>
      <c r="F160" s="3" t="s">
        <v>25</v>
      </c>
      <c r="G160" s="3" t="s">
        <v>25</v>
      </c>
      <c r="H160" s="3" t="s">
        <v>25</v>
      </c>
      <c r="I160" s="6">
        <v>44593</v>
      </c>
      <c r="J160" s="4">
        <v>262</v>
      </c>
      <c r="K160" s="4">
        <v>262</v>
      </c>
      <c r="L160" s="4">
        <v>0</v>
      </c>
      <c r="M160" s="4">
        <v>0</v>
      </c>
      <c r="N160" s="4">
        <v>0</v>
      </c>
      <c r="O160" s="4">
        <v>0</v>
      </c>
      <c r="P160" s="4">
        <v>1</v>
      </c>
      <c r="Q160" s="3" t="s">
        <v>26</v>
      </c>
      <c r="R160" s="3">
        <v>0</v>
      </c>
      <c r="S160" s="4">
        <v>9</v>
      </c>
      <c r="T160" s="4">
        <v>0</v>
      </c>
      <c r="U160" s="4">
        <v>0</v>
      </c>
      <c r="V160" s="4">
        <f>IF(ISERROR(VLOOKUP($S$160,'TAR FIN'!$A$1:$O$91,15,0)),0,VLOOKUP($S$160,'TAR FIN'!$A$1:$O$91,15,0))</f>
        <v>33.97</v>
      </c>
      <c r="W160" s="4">
        <f>IF(ISERROR(VLOOKUP($T$160,'TAR FIN'!$A$1:$O$91,15,0)),0,VLOOKUP($T$160,'TAR FIN'!$A$1:$O$91,15,0))</f>
        <v>0</v>
      </c>
      <c r="X160" s="4">
        <f>IF(ISERROR(VLOOKUP($U$160,'TAR FIN'!$A$1:$O$91,15,0)),0,VLOOKUP($U$160,'TAR FIN'!$A$1:$O$91,15,0))</f>
        <v>0</v>
      </c>
      <c r="Y160" s="4">
        <f ca="1">('TUSD BE'!$AM$13+'TUSD BF_350'!$AM$13+'TUSD CVA'!$AM$13)*1</f>
        <v>32.31</v>
      </c>
      <c r="Z160" s="4"/>
      <c r="AA160" s="4"/>
      <c r="AB160" s="4">
        <f>$K$160*$V$160</f>
        <v>8900.14</v>
      </c>
      <c r="AC160" s="4">
        <f>$M$160*$W$160</f>
        <v>0</v>
      </c>
      <c r="AD160" s="4">
        <f>$O$160*$X$160</f>
        <v>0</v>
      </c>
      <c r="AE160" s="4">
        <f ca="1">$K$160*$Y$160</f>
        <v>8465.2200000000012</v>
      </c>
      <c r="AF160" s="4">
        <f>$M$160*$Z$160</f>
        <v>0</v>
      </c>
      <c r="AG160" s="4">
        <f>$O$160*$AA$160</f>
        <v>0</v>
      </c>
    </row>
    <row r="161" spans="1:33" ht="11.25" customHeight="1" x14ac:dyDescent="0.3">
      <c r="A161" s="3" t="s">
        <v>21</v>
      </c>
      <c r="B161" s="3" t="s">
        <v>39</v>
      </c>
      <c r="C161" s="3" t="s">
        <v>40</v>
      </c>
      <c r="D161" s="3" t="s">
        <v>38</v>
      </c>
      <c r="E161" s="3" t="s">
        <v>25</v>
      </c>
      <c r="F161" s="3" t="s">
        <v>25</v>
      </c>
      <c r="G161" s="3" t="s">
        <v>25</v>
      </c>
      <c r="H161" s="3" t="s">
        <v>25</v>
      </c>
      <c r="I161" s="6">
        <v>44621</v>
      </c>
      <c r="J161" s="4">
        <v>3139</v>
      </c>
      <c r="K161" s="4">
        <v>3139</v>
      </c>
      <c r="L161" s="4">
        <v>0</v>
      </c>
      <c r="M161" s="4">
        <v>0</v>
      </c>
      <c r="N161" s="4">
        <v>0</v>
      </c>
      <c r="O161" s="4">
        <v>0</v>
      </c>
      <c r="P161" s="4">
        <v>19</v>
      </c>
      <c r="Q161" s="3" t="s">
        <v>26</v>
      </c>
      <c r="R161" s="3">
        <v>0</v>
      </c>
      <c r="S161" s="4">
        <v>9</v>
      </c>
      <c r="T161" s="4">
        <v>0</v>
      </c>
      <c r="U161" s="4">
        <v>0</v>
      </c>
      <c r="V161" s="4">
        <f>IF(ISERROR(VLOOKUP($S$161,'TAR FIN'!$A$1:$O$91,15,0)),0,VLOOKUP($S$161,'TAR FIN'!$A$1:$O$91,15,0))</f>
        <v>33.97</v>
      </c>
      <c r="W161" s="4">
        <f>IF(ISERROR(VLOOKUP($T$161,'TAR FIN'!$A$1:$O$91,15,0)),0,VLOOKUP($T$161,'TAR FIN'!$A$1:$O$91,15,0))</f>
        <v>0</v>
      </c>
      <c r="X161" s="4">
        <f>IF(ISERROR(VLOOKUP($U$161,'TAR FIN'!$A$1:$O$91,15,0)),0,VLOOKUP($U$161,'TAR FIN'!$A$1:$O$91,15,0))</f>
        <v>0</v>
      </c>
      <c r="Y161" s="4">
        <f ca="1">('TUSD BE'!$AM$13+'TUSD BF_350'!$AM$13+'TUSD CVA'!$AM$13)*1</f>
        <v>32.31</v>
      </c>
      <c r="Z161" s="4"/>
      <c r="AA161" s="4"/>
      <c r="AB161" s="4">
        <f>$K$161*$V$161</f>
        <v>106631.83</v>
      </c>
      <c r="AC161" s="4">
        <f>$M$161*$W$161</f>
        <v>0</v>
      </c>
      <c r="AD161" s="4">
        <f>$O$161*$X$161</f>
        <v>0</v>
      </c>
      <c r="AE161" s="4">
        <f ca="1">$K$161*$Y$161</f>
        <v>101421.09000000001</v>
      </c>
      <c r="AF161" s="4">
        <f>$M$161*$Z$161</f>
        <v>0</v>
      </c>
      <c r="AG161" s="4">
        <f>$O$161*$AA$161</f>
        <v>0</v>
      </c>
    </row>
    <row r="162" spans="1:33" ht="11.25" customHeight="1" x14ac:dyDescent="0.3">
      <c r="A162" s="3" t="s">
        <v>28</v>
      </c>
      <c r="B162" s="3" t="s">
        <v>39</v>
      </c>
      <c r="C162" s="3" t="s">
        <v>40</v>
      </c>
      <c r="D162" s="3" t="s">
        <v>38</v>
      </c>
      <c r="E162" s="3" t="s">
        <v>25</v>
      </c>
      <c r="F162" s="3" t="s">
        <v>25</v>
      </c>
      <c r="G162" s="3" t="s">
        <v>25</v>
      </c>
      <c r="H162" s="3" t="s">
        <v>25</v>
      </c>
      <c r="I162" s="6">
        <v>44621</v>
      </c>
      <c r="J162" s="4">
        <v>282</v>
      </c>
      <c r="K162" s="4">
        <v>282</v>
      </c>
      <c r="L162" s="4">
        <v>0</v>
      </c>
      <c r="M162" s="4">
        <v>0</v>
      </c>
      <c r="N162" s="4">
        <v>0</v>
      </c>
      <c r="O162" s="4">
        <v>0</v>
      </c>
      <c r="P162" s="4">
        <v>1</v>
      </c>
      <c r="Q162" s="3" t="s">
        <v>26</v>
      </c>
      <c r="R162" s="3">
        <v>0</v>
      </c>
      <c r="S162" s="4">
        <v>9</v>
      </c>
      <c r="T162" s="4">
        <v>0</v>
      </c>
      <c r="U162" s="4">
        <v>0</v>
      </c>
      <c r="V162" s="4">
        <f>IF(ISERROR(VLOOKUP($S$162,'TAR FIN'!$A$1:$O$91,15,0)),0,VLOOKUP($S$162,'TAR FIN'!$A$1:$O$91,15,0))</f>
        <v>33.97</v>
      </c>
      <c r="W162" s="4">
        <f>IF(ISERROR(VLOOKUP($T$162,'TAR FIN'!$A$1:$O$91,15,0)),0,VLOOKUP($T$162,'TAR FIN'!$A$1:$O$91,15,0))</f>
        <v>0</v>
      </c>
      <c r="X162" s="4">
        <f>IF(ISERROR(VLOOKUP($U$162,'TAR FIN'!$A$1:$O$91,15,0)),0,VLOOKUP($U$162,'TAR FIN'!$A$1:$O$91,15,0))</f>
        <v>0</v>
      </c>
      <c r="Y162" s="4">
        <f ca="1">('TUSD BE'!$AM$13+'TUSD BF_350'!$AM$13+'TUSD CVA'!$AM$13)*1</f>
        <v>32.31</v>
      </c>
      <c r="Z162" s="4"/>
      <c r="AA162" s="4"/>
      <c r="AB162" s="4">
        <f>$K$162*$V$162</f>
        <v>9579.5399999999991</v>
      </c>
      <c r="AC162" s="4">
        <f>$M$162*$W$162</f>
        <v>0</v>
      </c>
      <c r="AD162" s="4">
        <f>$O$162*$X$162</f>
        <v>0</v>
      </c>
      <c r="AE162" s="4">
        <f ca="1">$K$162*$Y$162</f>
        <v>9111.42</v>
      </c>
      <c r="AF162" s="4">
        <f>$M$162*$Z$162</f>
        <v>0</v>
      </c>
      <c r="AG162" s="4">
        <f>$O$162*$AA$162</f>
        <v>0</v>
      </c>
    </row>
    <row r="163" spans="1:33" ht="11.25" customHeight="1" x14ac:dyDescent="0.3">
      <c r="A163" s="3" t="s">
        <v>21</v>
      </c>
      <c r="B163" s="3" t="s">
        <v>39</v>
      </c>
      <c r="C163" s="3" t="s">
        <v>40</v>
      </c>
      <c r="D163" s="3" t="s">
        <v>38</v>
      </c>
      <c r="E163" s="3" t="s">
        <v>25</v>
      </c>
      <c r="F163" s="3" t="s">
        <v>25</v>
      </c>
      <c r="G163" s="3" t="s">
        <v>25</v>
      </c>
      <c r="H163" s="3" t="s">
        <v>25</v>
      </c>
      <c r="I163" s="6">
        <v>44652</v>
      </c>
      <c r="J163" s="4">
        <v>3130</v>
      </c>
      <c r="K163" s="4">
        <v>3130</v>
      </c>
      <c r="L163" s="4">
        <v>0</v>
      </c>
      <c r="M163" s="4">
        <v>0</v>
      </c>
      <c r="N163" s="4">
        <v>0</v>
      </c>
      <c r="O163" s="4">
        <v>0</v>
      </c>
      <c r="P163" s="4">
        <v>19</v>
      </c>
      <c r="Q163" s="3" t="s">
        <v>26</v>
      </c>
      <c r="R163" s="3">
        <v>0</v>
      </c>
      <c r="S163" s="4">
        <v>9</v>
      </c>
      <c r="T163" s="4">
        <v>0</v>
      </c>
      <c r="U163" s="4">
        <v>0</v>
      </c>
      <c r="V163" s="4">
        <f>IF(ISERROR(VLOOKUP($S$163,'TAR FIN'!$A$1:$O$91,15,0)),0,VLOOKUP($S$163,'TAR FIN'!$A$1:$O$91,15,0))</f>
        <v>33.97</v>
      </c>
      <c r="W163" s="4">
        <f>IF(ISERROR(VLOOKUP($T$163,'TAR FIN'!$A$1:$O$91,15,0)),0,VLOOKUP($T$163,'TAR FIN'!$A$1:$O$91,15,0))</f>
        <v>0</v>
      </c>
      <c r="X163" s="4">
        <f>IF(ISERROR(VLOOKUP($U$163,'TAR FIN'!$A$1:$O$91,15,0)),0,VLOOKUP($U$163,'TAR FIN'!$A$1:$O$91,15,0))</f>
        <v>0</v>
      </c>
      <c r="Y163" s="4">
        <f ca="1">('TUSD BE'!$AM$13+'TUSD BF_350'!$AM$13+'TUSD CVA'!$AM$13)*1</f>
        <v>32.31</v>
      </c>
      <c r="Z163" s="4"/>
      <c r="AA163" s="4"/>
      <c r="AB163" s="4">
        <f>$K$163*$V$163</f>
        <v>106326.09999999999</v>
      </c>
      <c r="AC163" s="4">
        <f>$M$163*$W$163</f>
        <v>0</v>
      </c>
      <c r="AD163" s="4">
        <f>$O$163*$X$163</f>
        <v>0</v>
      </c>
      <c r="AE163" s="4">
        <f ca="1">$K$163*$Y$163</f>
        <v>101130.3</v>
      </c>
      <c r="AF163" s="4">
        <f>$M$163*$Z$163</f>
        <v>0</v>
      </c>
      <c r="AG163" s="4">
        <f>$O$163*$AA$163</f>
        <v>0</v>
      </c>
    </row>
    <row r="164" spans="1:33" ht="11.25" customHeight="1" x14ac:dyDescent="0.3">
      <c r="A164" s="3" t="s">
        <v>28</v>
      </c>
      <c r="B164" s="3" t="s">
        <v>39</v>
      </c>
      <c r="C164" s="3" t="s">
        <v>40</v>
      </c>
      <c r="D164" s="3" t="s">
        <v>38</v>
      </c>
      <c r="E164" s="3" t="s">
        <v>25</v>
      </c>
      <c r="F164" s="3" t="s">
        <v>25</v>
      </c>
      <c r="G164" s="3" t="s">
        <v>25</v>
      </c>
      <c r="H164" s="3" t="s">
        <v>25</v>
      </c>
      <c r="I164" s="6">
        <v>44652</v>
      </c>
      <c r="J164" s="4">
        <v>348</v>
      </c>
      <c r="K164" s="4">
        <v>348</v>
      </c>
      <c r="L164" s="4">
        <v>0</v>
      </c>
      <c r="M164" s="4">
        <v>0</v>
      </c>
      <c r="N164" s="4">
        <v>0</v>
      </c>
      <c r="O164" s="4">
        <v>0</v>
      </c>
      <c r="P164" s="4">
        <v>1</v>
      </c>
      <c r="Q164" s="3" t="s">
        <v>26</v>
      </c>
      <c r="R164" s="3">
        <v>0</v>
      </c>
      <c r="S164" s="4">
        <v>9</v>
      </c>
      <c r="T164" s="4">
        <v>0</v>
      </c>
      <c r="U164" s="4">
        <v>0</v>
      </c>
      <c r="V164" s="4">
        <f>IF(ISERROR(VLOOKUP($S$164,'TAR FIN'!$A$1:$O$91,15,0)),0,VLOOKUP($S$164,'TAR FIN'!$A$1:$O$91,15,0))</f>
        <v>33.97</v>
      </c>
      <c r="W164" s="4">
        <f>IF(ISERROR(VLOOKUP($T$164,'TAR FIN'!$A$1:$O$91,15,0)),0,VLOOKUP($T$164,'TAR FIN'!$A$1:$O$91,15,0))</f>
        <v>0</v>
      </c>
      <c r="X164" s="4">
        <f>IF(ISERROR(VLOOKUP($U$164,'TAR FIN'!$A$1:$O$91,15,0)),0,VLOOKUP($U$164,'TAR FIN'!$A$1:$O$91,15,0))</f>
        <v>0</v>
      </c>
      <c r="Y164" s="4">
        <f ca="1">('TUSD BE'!$AM$13+'TUSD BF_350'!$AM$13+'TUSD CVA'!$AM$13)*1</f>
        <v>32.31</v>
      </c>
      <c r="Z164" s="4"/>
      <c r="AA164" s="4"/>
      <c r="AB164" s="4">
        <f>$K$164*$V$164</f>
        <v>11821.56</v>
      </c>
      <c r="AC164" s="4">
        <f>$M$164*$W$164</f>
        <v>0</v>
      </c>
      <c r="AD164" s="4">
        <f>$O$164*$X$164</f>
        <v>0</v>
      </c>
      <c r="AE164" s="4">
        <f ca="1">$K$164*$Y$164</f>
        <v>11243.880000000001</v>
      </c>
      <c r="AF164" s="4">
        <f>$M$164*$Z$164</f>
        <v>0</v>
      </c>
      <c r="AG164" s="4">
        <f>$O$164*$AA$164</f>
        <v>0</v>
      </c>
    </row>
    <row r="165" spans="1:33" ht="11.25" customHeight="1" x14ac:dyDescent="0.3">
      <c r="A165" s="3" t="s">
        <v>21</v>
      </c>
      <c r="B165" s="3" t="s">
        <v>39</v>
      </c>
      <c r="C165" s="3" t="s">
        <v>40</v>
      </c>
      <c r="D165" s="3" t="s">
        <v>38</v>
      </c>
      <c r="E165" s="3" t="s">
        <v>25</v>
      </c>
      <c r="F165" s="3" t="s">
        <v>25</v>
      </c>
      <c r="G165" s="3" t="s">
        <v>25</v>
      </c>
      <c r="H165" s="3" t="s">
        <v>25</v>
      </c>
      <c r="I165" s="6">
        <v>44682</v>
      </c>
      <c r="J165" s="4">
        <v>3100</v>
      </c>
      <c r="K165" s="4">
        <v>3100</v>
      </c>
      <c r="L165" s="4">
        <v>0</v>
      </c>
      <c r="M165" s="4">
        <v>0</v>
      </c>
      <c r="N165" s="4">
        <v>0</v>
      </c>
      <c r="O165" s="4">
        <v>0</v>
      </c>
      <c r="P165" s="4">
        <v>19</v>
      </c>
      <c r="Q165" s="3" t="s">
        <v>26</v>
      </c>
      <c r="R165" s="3">
        <v>0</v>
      </c>
      <c r="S165" s="4">
        <v>9</v>
      </c>
      <c r="T165" s="4">
        <v>0</v>
      </c>
      <c r="U165" s="4">
        <v>0</v>
      </c>
      <c r="V165" s="4">
        <f>IF(ISERROR(VLOOKUP($S$165,'TAR FIN'!$A$1:$O$91,15,0)),0,VLOOKUP($S$165,'TAR FIN'!$A$1:$O$91,15,0))</f>
        <v>33.97</v>
      </c>
      <c r="W165" s="4">
        <f>IF(ISERROR(VLOOKUP($T$165,'TAR FIN'!$A$1:$O$91,15,0)),0,VLOOKUP($T$165,'TAR FIN'!$A$1:$O$91,15,0))</f>
        <v>0</v>
      </c>
      <c r="X165" s="4">
        <f>IF(ISERROR(VLOOKUP($U$165,'TAR FIN'!$A$1:$O$91,15,0)),0,VLOOKUP($U$165,'TAR FIN'!$A$1:$O$91,15,0))</f>
        <v>0</v>
      </c>
      <c r="Y165" s="4">
        <f ca="1">('TUSD BE'!$AM$13+'TUSD BF_350'!$AM$13+'TUSD CVA'!$AM$13)*1</f>
        <v>32.31</v>
      </c>
      <c r="Z165" s="4"/>
      <c r="AA165" s="4"/>
      <c r="AB165" s="4">
        <f>$K$165*$V$165</f>
        <v>105307</v>
      </c>
      <c r="AC165" s="4">
        <f>$M$165*$W$165</f>
        <v>0</v>
      </c>
      <c r="AD165" s="4">
        <f>$O$165*$X$165</f>
        <v>0</v>
      </c>
      <c r="AE165" s="4">
        <f ca="1">$K$165*$Y$165</f>
        <v>100161</v>
      </c>
      <c r="AF165" s="4">
        <f>$M$165*$Z$165</f>
        <v>0</v>
      </c>
      <c r="AG165" s="4">
        <f>$O$165*$AA$165</f>
        <v>0</v>
      </c>
    </row>
    <row r="166" spans="1:33" ht="11.25" customHeight="1" x14ac:dyDescent="0.3">
      <c r="A166" s="3" t="s">
        <v>28</v>
      </c>
      <c r="B166" s="3" t="s">
        <v>39</v>
      </c>
      <c r="C166" s="3" t="s">
        <v>40</v>
      </c>
      <c r="D166" s="3" t="s">
        <v>38</v>
      </c>
      <c r="E166" s="3" t="s">
        <v>25</v>
      </c>
      <c r="F166" s="3" t="s">
        <v>25</v>
      </c>
      <c r="G166" s="3" t="s">
        <v>25</v>
      </c>
      <c r="H166" s="3" t="s">
        <v>25</v>
      </c>
      <c r="I166" s="6">
        <v>44682</v>
      </c>
      <c r="J166" s="4">
        <v>348</v>
      </c>
      <c r="K166" s="4">
        <v>348</v>
      </c>
      <c r="L166" s="4">
        <v>0</v>
      </c>
      <c r="M166" s="4">
        <v>0</v>
      </c>
      <c r="N166" s="4">
        <v>0</v>
      </c>
      <c r="O166" s="4">
        <v>0</v>
      </c>
      <c r="P166" s="4">
        <v>1</v>
      </c>
      <c r="Q166" s="3" t="s">
        <v>26</v>
      </c>
      <c r="R166" s="3">
        <v>0</v>
      </c>
      <c r="S166" s="4">
        <v>9</v>
      </c>
      <c r="T166" s="4">
        <v>0</v>
      </c>
      <c r="U166" s="4">
        <v>0</v>
      </c>
      <c r="V166" s="4">
        <f>IF(ISERROR(VLOOKUP($S$166,'TAR FIN'!$A$1:$O$91,15,0)),0,VLOOKUP($S$166,'TAR FIN'!$A$1:$O$91,15,0))</f>
        <v>33.97</v>
      </c>
      <c r="W166" s="4">
        <f>IF(ISERROR(VLOOKUP($T$166,'TAR FIN'!$A$1:$O$91,15,0)),0,VLOOKUP($T$166,'TAR FIN'!$A$1:$O$91,15,0))</f>
        <v>0</v>
      </c>
      <c r="X166" s="4">
        <f>IF(ISERROR(VLOOKUP($U$166,'TAR FIN'!$A$1:$O$91,15,0)),0,VLOOKUP($U$166,'TAR FIN'!$A$1:$O$91,15,0))</f>
        <v>0</v>
      </c>
      <c r="Y166" s="4">
        <f ca="1">('TUSD BE'!$AM$13+'TUSD BF_350'!$AM$13+'TUSD CVA'!$AM$13)*1</f>
        <v>32.31</v>
      </c>
      <c r="Z166" s="4"/>
      <c r="AA166" s="4"/>
      <c r="AB166" s="4">
        <f>$K$166*$V$166</f>
        <v>11821.56</v>
      </c>
      <c r="AC166" s="4">
        <f>$M$166*$W$166</f>
        <v>0</v>
      </c>
      <c r="AD166" s="4">
        <f>$O$166*$X$166</f>
        <v>0</v>
      </c>
      <c r="AE166" s="4">
        <f ca="1">$K$166*$Y$166</f>
        <v>11243.880000000001</v>
      </c>
      <c r="AF166" s="4">
        <f>$M$166*$Z$166</f>
        <v>0</v>
      </c>
      <c r="AG166" s="4">
        <f>$O$166*$AA$166</f>
        <v>0</v>
      </c>
    </row>
    <row r="167" spans="1:33" ht="11.25" customHeight="1" x14ac:dyDescent="0.3">
      <c r="A167" s="3" t="s">
        <v>21</v>
      </c>
      <c r="B167" s="3" t="s">
        <v>39</v>
      </c>
      <c r="C167" s="3" t="s">
        <v>40</v>
      </c>
      <c r="D167" s="3" t="s">
        <v>38</v>
      </c>
      <c r="E167" s="3" t="s">
        <v>25</v>
      </c>
      <c r="F167" s="3" t="s">
        <v>25</v>
      </c>
      <c r="G167" s="3" t="s">
        <v>25</v>
      </c>
      <c r="H167" s="3" t="s">
        <v>25</v>
      </c>
      <c r="I167" s="6">
        <v>44713</v>
      </c>
      <c r="J167" s="4">
        <v>3088</v>
      </c>
      <c r="K167" s="4">
        <v>3088</v>
      </c>
      <c r="L167" s="4">
        <v>0</v>
      </c>
      <c r="M167" s="4">
        <v>0</v>
      </c>
      <c r="N167" s="4">
        <v>0</v>
      </c>
      <c r="O167" s="4">
        <v>0</v>
      </c>
      <c r="P167" s="4">
        <v>18</v>
      </c>
      <c r="Q167" s="3" t="s">
        <v>26</v>
      </c>
      <c r="R167" s="3">
        <v>0</v>
      </c>
      <c r="S167" s="4">
        <v>9</v>
      </c>
      <c r="T167" s="4">
        <v>0</v>
      </c>
      <c r="U167" s="4">
        <v>0</v>
      </c>
      <c r="V167" s="4">
        <f>IF(ISERROR(VLOOKUP($S$167,'TAR FIN'!$A$1:$O$91,15,0)),0,VLOOKUP($S$167,'TAR FIN'!$A$1:$O$91,15,0))</f>
        <v>33.97</v>
      </c>
      <c r="W167" s="4">
        <f>IF(ISERROR(VLOOKUP($T$167,'TAR FIN'!$A$1:$O$91,15,0)),0,VLOOKUP($T$167,'TAR FIN'!$A$1:$O$91,15,0))</f>
        <v>0</v>
      </c>
      <c r="X167" s="4">
        <f>IF(ISERROR(VLOOKUP($U$167,'TAR FIN'!$A$1:$O$91,15,0)),0,VLOOKUP($U$167,'TAR FIN'!$A$1:$O$91,15,0))</f>
        <v>0</v>
      </c>
      <c r="Y167" s="4">
        <f ca="1">('TUSD BE'!$AM$13+'TUSD BF_350'!$AM$13+'TUSD CVA'!$AM$13)*1</f>
        <v>32.31</v>
      </c>
      <c r="Z167" s="4"/>
      <c r="AA167" s="4"/>
      <c r="AB167" s="4">
        <f>$K$167*$V$167</f>
        <v>104899.36</v>
      </c>
      <c r="AC167" s="4">
        <f>$M$167*$W$167</f>
        <v>0</v>
      </c>
      <c r="AD167" s="4">
        <f>$O$167*$X$167</f>
        <v>0</v>
      </c>
      <c r="AE167" s="4">
        <f ca="1">$K$167*$Y$167</f>
        <v>99773.280000000013</v>
      </c>
      <c r="AF167" s="4">
        <f>$M$167*$Z$167</f>
        <v>0</v>
      </c>
      <c r="AG167" s="4">
        <f>$O$167*$AA$167</f>
        <v>0</v>
      </c>
    </row>
    <row r="168" spans="1:33" ht="11.25" customHeight="1" x14ac:dyDescent="0.3">
      <c r="A168" s="3" t="s">
        <v>28</v>
      </c>
      <c r="B168" s="3" t="s">
        <v>39</v>
      </c>
      <c r="C168" s="3" t="s">
        <v>40</v>
      </c>
      <c r="D168" s="3" t="s">
        <v>38</v>
      </c>
      <c r="E168" s="3" t="s">
        <v>25</v>
      </c>
      <c r="F168" s="3" t="s">
        <v>25</v>
      </c>
      <c r="G168" s="3" t="s">
        <v>25</v>
      </c>
      <c r="H168" s="3" t="s">
        <v>25</v>
      </c>
      <c r="I168" s="6">
        <v>44713</v>
      </c>
      <c r="J168" s="4">
        <v>378</v>
      </c>
      <c r="K168" s="4">
        <v>378</v>
      </c>
      <c r="L168" s="4">
        <v>0</v>
      </c>
      <c r="M168" s="4">
        <v>0</v>
      </c>
      <c r="N168" s="4">
        <v>0</v>
      </c>
      <c r="O168" s="4">
        <v>0</v>
      </c>
      <c r="P168" s="4">
        <v>2</v>
      </c>
      <c r="Q168" s="3" t="s">
        <v>26</v>
      </c>
      <c r="R168" s="3">
        <v>0</v>
      </c>
      <c r="S168" s="4">
        <v>9</v>
      </c>
      <c r="T168" s="4">
        <v>0</v>
      </c>
      <c r="U168" s="4">
        <v>0</v>
      </c>
      <c r="V168" s="4">
        <f>IF(ISERROR(VLOOKUP($S$168,'TAR FIN'!$A$1:$O$91,15,0)),0,VLOOKUP($S$168,'TAR FIN'!$A$1:$O$91,15,0))</f>
        <v>33.97</v>
      </c>
      <c r="W168" s="4">
        <f>IF(ISERROR(VLOOKUP($T$168,'TAR FIN'!$A$1:$O$91,15,0)),0,VLOOKUP($T$168,'TAR FIN'!$A$1:$O$91,15,0))</f>
        <v>0</v>
      </c>
      <c r="X168" s="4">
        <f>IF(ISERROR(VLOOKUP($U$168,'TAR FIN'!$A$1:$O$91,15,0)),0,VLOOKUP($U$168,'TAR FIN'!$A$1:$O$91,15,0))</f>
        <v>0</v>
      </c>
      <c r="Y168" s="4">
        <f ca="1">('TUSD BE'!$AM$13+'TUSD BF_350'!$AM$13+'TUSD CVA'!$AM$13)*1</f>
        <v>32.31</v>
      </c>
      <c r="Z168" s="4"/>
      <c r="AA168" s="4"/>
      <c r="AB168" s="4">
        <f>$K$168*$V$168</f>
        <v>12840.66</v>
      </c>
      <c r="AC168" s="4">
        <f>$M$168*$W$168</f>
        <v>0</v>
      </c>
      <c r="AD168" s="4">
        <f>$O$168*$X$168</f>
        <v>0</v>
      </c>
      <c r="AE168" s="4">
        <f ca="1">$K$168*$Y$168</f>
        <v>12213.18</v>
      </c>
      <c r="AF168" s="4">
        <f>$M$168*$Z$168</f>
        <v>0</v>
      </c>
      <c r="AG168" s="4">
        <f>$O$168*$AA$168</f>
        <v>0</v>
      </c>
    </row>
    <row r="169" spans="1:33" ht="11.25" customHeight="1" x14ac:dyDescent="0.3">
      <c r="A169" s="3" t="s">
        <v>21</v>
      </c>
      <c r="B169" s="3" t="s">
        <v>39</v>
      </c>
      <c r="C169" s="3" t="s">
        <v>40</v>
      </c>
      <c r="D169" s="3" t="s">
        <v>38</v>
      </c>
      <c r="E169" s="3" t="s">
        <v>25</v>
      </c>
      <c r="F169" s="3" t="s">
        <v>25</v>
      </c>
      <c r="G169" s="3" t="s">
        <v>25</v>
      </c>
      <c r="H169" s="3" t="s">
        <v>34</v>
      </c>
      <c r="I169" s="6">
        <v>44378</v>
      </c>
      <c r="J169" s="4">
        <v>0</v>
      </c>
      <c r="K169" s="4">
        <v>0</v>
      </c>
      <c r="L169" s="4">
        <v>12.768000000000001</v>
      </c>
      <c r="M169" s="4">
        <v>12.768000000000001</v>
      </c>
      <c r="N169" s="4">
        <v>12.768000000000001</v>
      </c>
      <c r="O169" s="4">
        <v>12.768000000000001</v>
      </c>
      <c r="P169" s="4">
        <v>0</v>
      </c>
      <c r="Q169" s="3" t="s">
        <v>26</v>
      </c>
      <c r="R169" s="3">
        <v>0</v>
      </c>
      <c r="S169" s="4">
        <v>0</v>
      </c>
      <c r="T169" s="4">
        <v>10</v>
      </c>
      <c r="U169" s="4">
        <v>51</v>
      </c>
      <c r="V169" s="4">
        <f>IF(ISERROR(VLOOKUP($S$169,'TAR FIN'!$A$1:$O$91,15,0)),0,VLOOKUP($S$169,'TAR FIN'!$A$1:$O$91,15,0))</f>
        <v>0</v>
      </c>
      <c r="W169" s="4">
        <f>IF(ISERROR(VLOOKUP($T$169,'TAR FIN'!$A$1:$O$91,15,0)),0,VLOOKUP($T$169,'TAR FIN'!$A$1:$O$91,15,0))</f>
        <v>1755.54</v>
      </c>
      <c r="X169" s="4">
        <f>IF(ISERROR(VLOOKUP($U$169,'TAR FIN'!$A$1:$O$91,15,0)),0,VLOOKUP($U$169,'TAR FIN'!$A$1:$O$91,15,0))</f>
        <v>298.83999999999997</v>
      </c>
      <c r="Y169" s="4"/>
      <c r="Z169" s="4">
        <f ca="1">('TUSD BE'!$AM$14+'TUSD BF_350'!$AM$14+'TUSD CVA'!$AM$14)*1</f>
        <v>1283.23</v>
      </c>
      <c r="AA169" s="4">
        <f ca="1">('TE BE'!$AB$5+'TE BF_350'!$AB$5+'TE CVA'!$AB$5)*1</f>
        <v>311.4117891483653</v>
      </c>
      <c r="AB169" s="4">
        <f>$K$169*$V$169</f>
        <v>0</v>
      </c>
      <c r="AC169" s="4">
        <f>$M$169*$W$169</f>
        <v>22414.73472</v>
      </c>
      <c r="AD169" s="4">
        <f>$O$169*$X$169</f>
        <v>3815.5891200000001</v>
      </c>
      <c r="AE169" s="4">
        <f>$K$169*$Y$169</f>
        <v>0</v>
      </c>
      <c r="AF169" s="4">
        <f ca="1">$M$169*$Z$169</f>
        <v>16384.280640000001</v>
      </c>
      <c r="AG169" s="4">
        <f ca="1">$O$169*$AA$169</f>
        <v>3976.1057238463286</v>
      </c>
    </row>
    <row r="170" spans="1:33" ht="11.25" customHeight="1" x14ac:dyDescent="0.3">
      <c r="A170" s="3" t="s">
        <v>21</v>
      </c>
      <c r="B170" s="3" t="s">
        <v>39</v>
      </c>
      <c r="C170" s="3" t="s">
        <v>40</v>
      </c>
      <c r="D170" s="3" t="s">
        <v>38</v>
      </c>
      <c r="E170" s="3" t="s">
        <v>25</v>
      </c>
      <c r="F170" s="3" t="s">
        <v>25</v>
      </c>
      <c r="G170" s="3" t="s">
        <v>25</v>
      </c>
      <c r="H170" s="3" t="s">
        <v>34</v>
      </c>
      <c r="I170" s="6">
        <v>44409</v>
      </c>
      <c r="J170" s="4">
        <v>0</v>
      </c>
      <c r="K170" s="4">
        <v>0</v>
      </c>
      <c r="L170" s="4">
        <v>10.007</v>
      </c>
      <c r="M170" s="4">
        <v>10.007</v>
      </c>
      <c r="N170" s="4">
        <v>10.007</v>
      </c>
      <c r="O170" s="4">
        <v>10.007</v>
      </c>
      <c r="P170" s="4">
        <v>0</v>
      </c>
      <c r="Q170" s="3" t="s">
        <v>26</v>
      </c>
      <c r="R170" s="3">
        <v>0</v>
      </c>
      <c r="S170" s="4">
        <v>0</v>
      </c>
      <c r="T170" s="4">
        <v>10</v>
      </c>
      <c r="U170" s="4">
        <v>51</v>
      </c>
      <c r="V170" s="4">
        <f>IF(ISERROR(VLOOKUP($S$170,'TAR FIN'!$A$1:$O$91,15,0)),0,VLOOKUP($S$170,'TAR FIN'!$A$1:$O$91,15,0))</f>
        <v>0</v>
      </c>
      <c r="W170" s="4">
        <f>IF(ISERROR(VLOOKUP($T$170,'TAR FIN'!$A$1:$O$91,15,0)),0,VLOOKUP($T$170,'TAR FIN'!$A$1:$O$91,15,0))</f>
        <v>1755.54</v>
      </c>
      <c r="X170" s="4">
        <f>IF(ISERROR(VLOOKUP($U$170,'TAR FIN'!$A$1:$O$91,15,0)),0,VLOOKUP($U$170,'TAR FIN'!$A$1:$O$91,15,0))</f>
        <v>298.83999999999997</v>
      </c>
      <c r="Y170" s="4"/>
      <c r="Z170" s="4">
        <f ca="1">('TUSD BE'!$AM$14+'TUSD BF_350'!$AM$14+'TUSD CVA'!$AM$14)*1</f>
        <v>1283.23</v>
      </c>
      <c r="AA170" s="4">
        <f ca="1">('TE BE'!$AB$5+'TE BF_350'!$AB$5+'TE CVA'!$AB$5)*1</f>
        <v>311.4117891483653</v>
      </c>
      <c r="AB170" s="4">
        <f>$K$170*$V$170</f>
        <v>0</v>
      </c>
      <c r="AC170" s="4">
        <f>$M$170*$W$170</f>
        <v>17567.68878</v>
      </c>
      <c r="AD170" s="4">
        <f>$O$170*$X$170</f>
        <v>2990.4918799999996</v>
      </c>
      <c r="AE170" s="4">
        <f>$K$170*$Y$170</f>
        <v>0</v>
      </c>
      <c r="AF170" s="4">
        <f ca="1">$M$170*$Z$170</f>
        <v>12841.28261</v>
      </c>
      <c r="AG170" s="4">
        <f ca="1">$O$170*$AA$170</f>
        <v>3116.2977740076913</v>
      </c>
    </row>
    <row r="171" spans="1:33" ht="11.25" customHeight="1" x14ac:dyDescent="0.3">
      <c r="A171" s="3" t="s">
        <v>21</v>
      </c>
      <c r="B171" s="3" t="s">
        <v>39</v>
      </c>
      <c r="C171" s="3" t="s">
        <v>40</v>
      </c>
      <c r="D171" s="3" t="s">
        <v>38</v>
      </c>
      <c r="E171" s="3" t="s">
        <v>25</v>
      </c>
      <c r="F171" s="3" t="s">
        <v>25</v>
      </c>
      <c r="G171" s="3" t="s">
        <v>25</v>
      </c>
      <c r="H171" s="3" t="s">
        <v>34</v>
      </c>
      <c r="I171" s="6">
        <v>44440</v>
      </c>
      <c r="J171" s="4">
        <v>0</v>
      </c>
      <c r="K171" s="4">
        <v>0</v>
      </c>
      <c r="L171" s="4">
        <v>10.247</v>
      </c>
      <c r="M171" s="4">
        <v>10.247</v>
      </c>
      <c r="N171" s="4">
        <v>10.247</v>
      </c>
      <c r="O171" s="4">
        <v>10.247</v>
      </c>
      <c r="P171" s="4">
        <v>0</v>
      </c>
      <c r="Q171" s="3" t="s">
        <v>26</v>
      </c>
      <c r="R171" s="3">
        <v>0</v>
      </c>
      <c r="S171" s="4">
        <v>0</v>
      </c>
      <c r="T171" s="4">
        <v>10</v>
      </c>
      <c r="U171" s="4">
        <v>51</v>
      </c>
      <c r="V171" s="4">
        <f>IF(ISERROR(VLOOKUP($S$171,'TAR FIN'!$A$1:$O$91,15,0)),0,VLOOKUP($S$171,'TAR FIN'!$A$1:$O$91,15,0))</f>
        <v>0</v>
      </c>
      <c r="W171" s="4">
        <f>IF(ISERROR(VLOOKUP($T$171,'TAR FIN'!$A$1:$O$91,15,0)),0,VLOOKUP($T$171,'TAR FIN'!$A$1:$O$91,15,0))</f>
        <v>1755.54</v>
      </c>
      <c r="X171" s="4">
        <f>IF(ISERROR(VLOOKUP($U$171,'TAR FIN'!$A$1:$O$91,15,0)),0,VLOOKUP($U$171,'TAR FIN'!$A$1:$O$91,15,0))</f>
        <v>298.83999999999997</v>
      </c>
      <c r="Y171" s="4"/>
      <c r="Z171" s="4">
        <f ca="1">('TUSD BE'!$AM$14+'TUSD BF_350'!$AM$14+'TUSD CVA'!$AM$14)*1</f>
        <v>1283.23</v>
      </c>
      <c r="AA171" s="4">
        <f ca="1">('TE BE'!$AB$5+'TE BF_350'!$AB$5+'TE CVA'!$AB$5)*1</f>
        <v>311.4117891483653</v>
      </c>
      <c r="AB171" s="4">
        <f>$K$171*$V$171</f>
        <v>0</v>
      </c>
      <c r="AC171" s="4">
        <f>$M$171*$W$171</f>
        <v>17989.018379999998</v>
      </c>
      <c r="AD171" s="4">
        <f>$O$171*$X$171</f>
        <v>3062.2134799999999</v>
      </c>
      <c r="AE171" s="4">
        <f>$K$171*$Y$171</f>
        <v>0</v>
      </c>
      <c r="AF171" s="4">
        <f ca="1">$M$171*$Z$171</f>
        <v>13149.257809999999</v>
      </c>
      <c r="AG171" s="4">
        <f ca="1">$O$171*$AA$171</f>
        <v>3191.0366034032991</v>
      </c>
    </row>
    <row r="172" spans="1:33" ht="11.25" customHeight="1" x14ac:dyDescent="0.3">
      <c r="A172" s="3" t="s">
        <v>21</v>
      </c>
      <c r="B172" s="3" t="s">
        <v>39</v>
      </c>
      <c r="C172" s="3" t="s">
        <v>40</v>
      </c>
      <c r="D172" s="3" t="s">
        <v>38</v>
      </c>
      <c r="E172" s="3" t="s">
        <v>25</v>
      </c>
      <c r="F172" s="3" t="s">
        <v>25</v>
      </c>
      <c r="G172" s="3" t="s">
        <v>25</v>
      </c>
      <c r="H172" s="3" t="s">
        <v>34</v>
      </c>
      <c r="I172" s="6">
        <v>44470</v>
      </c>
      <c r="J172" s="4">
        <v>0</v>
      </c>
      <c r="K172" s="4">
        <v>0</v>
      </c>
      <c r="L172" s="4">
        <v>8.77</v>
      </c>
      <c r="M172" s="4">
        <v>8.77</v>
      </c>
      <c r="N172" s="4">
        <v>8.77</v>
      </c>
      <c r="O172" s="4">
        <v>8.77</v>
      </c>
      <c r="P172" s="4">
        <v>0</v>
      </c>
      <c r="Q172" s="3" t="s">
        <v>26</v>
      </c>
      <c r="R172" s="3">
        <v>0</v>
      </c>
      <c r="S172" s="4">
        <v>0</v>
      </c>
      <c r="T172" s="4">
        <v>10</v>
      </c>
      <c r="U172" s="4">
        <v>51</v>
      </c>
      <c r="V172" s="4">
        <f>IF(ISERROR(VLOOKUP($S$172,'TAR FIN'!$A$1:$O$91,15,0)),0,VLOOKUP($S$172,'TAR FIN'!$A$1:$O$91,15,0))</f>
        <v>0</v>
      </c>
      <c r="W172" s="4">
        <f>IF(ISERROR(VLOOKUP($T$172,'TAR FIN'!$A$1:$O$91,15,0)),0,VLOOKUP($T$172,'TAR FIN'!$A$1:$O$91,15,0))</f>
        <v>1755.54</v>
      </c>
      <c r="X172" s="4">
        <f>IF(ISERROR(VLOOKUP($U$172,'TAR FIN'!$A$1:$O$91,15,0)),0,VLOOKUP($U$172,'TAR FIN'!$A$1:$O$91,15,0))</f>
        <v>298.83999999999997</v>
      </c>
      <c r="Y172" s="4"/>
      <c r="Z172" s="4">
        <f ca="1">('TUSD BE'!$AM$14+'TUSD BF_350'!$AM$14+'TUSD CVA'!$AM$14)*1</f>
        <v>1283.23</v>
      </c>
      <c r="AA172" s="4">
        <f ca="1">('TE BE'!$AB$5+'TE BF_350'!$AB$5+'TE CVA'!$AB$5)*1</f>
        <v>311.4117891483653</v>
      </c>
      <c r="AB172" s="4">
        <f>$K$172*$V$172</f>
        <v>0</v>
      </c>
      <c r="AC172" s="4">
        <f>$M$172*$W$172</f>
        <v>15396.085799999999</v>
      </c>
      <c r="AD172" s="4">
        <f>$O$172*$X$172</f>
        <v>2620.8267999999998</v>
      </c>
      <c r="AE172" s="4">
        <f>$K$172*$Y$172</f>
        <v>0</v>
      </c>
      <c r="AF172" s="4">
        <f ca="1">$M$172*$Z$172</f>
        <v>11253.927099999999</v>
      </c>
      <c r="AG172" s="4">
        <f ca="1">$O$172*$AA$172</f>
        <v>2731.0813908311634</v>
      </c>
    </row>
    <row r="173" spans="1:33" ht="11.25" customHeight="1" x14ac:dyDescent="0.3">
      <c r="A173" s="3" t="s">
        <v>21</v>
      </c>
      <c r="B173" s="3" t="s">
        <v>39</v>
      </c>
      <c r="C173" s="3" t="s">
        <v>40</v>
      </c>
      <c r="D173" s="3" t="s">
        <v>38</v>
      </c>
      <c r="E173" s="3" t="s">
        <v>25</v>
      </c>
      <c r="F173" s="3" t="s">
        <v>25</v>
      </c>
      <c r="G173" s="3" t="s">
        <v>25</v>
      </c>
      <c r="H173" s="3" t="s">
        <v>34</v>
      </c>
      <c r="I173" s="6">
        <v>44501</v>
      </c>
      <c r="J173" s="4">
        <v>0</v>
      </c>
      <c r="K173" s="4">
        <v>0</v>
      </c>
      <c r="L173" s="4">
        <v>10.711</v>
      </c>
      <c r="M173" s="4">
        <v>10.711</v>
      </c>
      <c r="N173" s="4">
        <v>10.711</v>
      </c>
      <c r="O173" s="4">
        <v>10.711</v>
      </c>
      <c r="P173" s="4">
        <v>0</v>
      </c>
      <c r="Q173" s="3" t="s">
        <v>26</v>
      </c>
      <c r="R173" s="3">
        <v>0</v>
      </c>
      <c r="S173" s="4">
        <v>0</v>
      </c>
      <c r="T173" s="4">
        <v>10</v>
      </c>
      <c r="U173" s="4">
        <v>51</v>
      </c>
      <c r="V173" s="4">
        <f>IF(ISERROR(VLOOKUP($S$173,'TAR FIN'!$A$1:$O$91,15,0)),0,VLOOKUP($S$173,'TAR FIN'!$A$1:$O$91,15,0))</f>
        <v>0</v>
      </c>
      <c r="W173" s="4">
        <f>IF(ISERROR(VLOOKUP($T$173,'TAR FIN'!$A$1:$O$91,15,0)),0,VLOOKUP($T$173,'TAR FIN'!$A$1:$O$91,15,0))</f>
        <v>1755.54</v>
      </c>
      <c r="X173" s="4">
        <f>IF(ISERROR(VLOOKUP($U$173,'TAR FIN'!$A$1:$O$91,15,0)),0,VLOOKUP($U$173,'TAR FIN'!$A$1:$O$91,15,0))</f>
        <v>298.83999999999997</v>
      </c>
      <c r="Y173" s="4"/>
      <c r="Z173" s="4">
        <f ca="1">('TUSD BE'!$AM$14+'TUSD BF_350'!$AM$14+'TUSD CVA'!$AM$14)*1</f>
        <v>1283.23</v>
      </c>
      <c r="AA173" s="4">
        <f ca="1">('TE BE'!$AB$5+'TE BF_350'!$AB$5+'TE CVA'!$AB$5)*1</f>
        <v>311.4117891483653</v>
      </c>
      <c r="AB173" s="4">
        <f>$K$173*$V$173</f>
        <v>0</v>
      </c>
      <c r="AC173" s="4">
        <f>$M$173*$W$173</f>
        <v>18803.588940000001</v>
      </c>
      <c r="AD173" s="4">
        <f>$O$173*$X$173</f>
        <v>3200.8752399999998</v>
      </c>
      <c r="AE173" s="4">
        <f>$K$173*$Y$173</f>
        <v>0</v>
      </c>
      <c r="AF173" s="4">
        <f ca="1">$M$173*$Z$173</f>
        <v>13744.676530000001</v>
      </c>
      <c r="AG173" s="4">
        <f ca="1">$O$173*$AA$173</f>
        <v>3335.5316735681408</v>
      </c>
    </row>
    <row r="174" spans="1:33" ht="11.25" customHeight="1" x14ac:dyDescent="0.3">
      <c r="A174" s="3" t="s">
        <v>21</v>
      </c>
      <c r="B174" s="3" t="s">
        <v>39</v>
      </c>
      <c r="C174" s="3" t="s">
        <v>40</v>
      </c>
      <c r="D174" s="3" t="s">
        <v>38</v>
      </c>
      <c r="E174" s="3" t="s">
        <v>25</v>
      </c>
      <c r="F174" s="3" t="s">
        <v>25</v>
      </c>
      <c r="G174" s="3" t="s">
        <v>25</v>
      </c>
      <c r="H174" s="3" t="s">
        <v>34</v>
      </c>
      <c r="I174" s="6">
        <v>44531</v>
      </c>
      <c r="J174" s="4">
        <v>0</v>
      </c>
      <c r="K174" s="4">
        <v>0</v>
      </c>
      <c r="L174" s="4">
        <v>11.702</v>
      </c>
      <c r="M174" s="4">
        <v>11.702</v>
      </c>
      <c r="N174" s="4">
        <v>11.702</v>
      </c>
      <c r="O174" s="4">
        <v>11.702</v>
      </c>
      <c r="P174" s="4">
        <v>0</v>
      </c>
      <c r="Q174" s="3" t="s">
        <v>26</v>
      </c>
      <c r="R174" s="3">
        <v>0</v>
      </c>
      <c r="S174" s="4">
        <v>0</v>
      </c>
      <c r="T174" s="4">
        <v>10</v>
      </c>
      <c r="U174" s="4">
        <v>51</v>
      </c>
      <c r="V174" s="4">
        <f>IF(ISERROR(VLOOKUP($S$174,'TAR FIN'!$A$1:$O$91,15,0)),0,VLOOKUP($S$174,'TAR FIN'!$A$1:$O$91,15,0))</f>
        <v>0</v>
      </c>
      <c r="W174" s="4">
        <f>IF(ISERROR(VLOOKUP($T$174,'TAR FIN'!$A$1:$O$91,15,0)),0,VLOOKUP($T$174,'TAR FIN'!$A$1:$O$91,15,0))</f>
        <v>1755.54</v>
      </c>
      <c r="X174" s="4">
        <f>IF(ISERROR(VLOOKUP($U$174,'TAR FIN'!$A$1:$O$91,15,0)),0,VLOOKUP($U$174,'TAR FIN'!$A$1:$O$91,15,0))</f>
        <v>298.83999999999997</v>
      </c>
      <c r="Y174" s="4"/>
      <c r="Z174" s="4">
        <f ca="1">('TUSD BE'!$AM$14+'TUSD BF_350'!$AM$14+'TUSD CVA'!$AM$14)*1</f>
        <v>1283.23</v>
      </c>
      <c r="AA174" s="4">
        <f ca="1">('TE BE'!$AB$5+'TE BF_350'!$AB$5+'TE CVA'!$AB$5)*1</f>
        <v>311.4117891483653</v>
      </c>
      <c r="AB174" s="4">
        <f>$K$174*$V$174</f>
        <v>0</v>
      </c>
      <c r="AC174" s="4">
        <f>$M$174*$W$174</f>
        <v>20543.32908</v>
      </c>
      <c r="AD174" s="4">
        <f>$O$174*$X$174</f>
        <v>3497.0256799999997</v>
      </c>
      <c r="AE174" s="4">
        <f>$K$174*$Y$174</f>
        <v>0</v>
      </c>
      <c r="AF174" s="4">
        <f ca="1">$M$174*$Z$174</f>
        <v>15016.357459999999</v>
      </c>
      <c r="AG174" s="4">
        <f ca="1">$O$174*$AA$174</f>
        <v>3644.1407566141706</v>
      </c>
    </row>
    <row r="175" spans="1:33" ht="11.25" customHeight="1" x14ac:dyDescent="0.3">
      <c r="A175" s="3" t="s">
        <v>28</v>
      </c>
      <c r="B175" s="3" t="s">
        <v>39</v>
      </c>
      <c r="C175" s="3" t="s">
        <v>40</v>
      </c>
      <c r="D175" s="3" t="s">
        <v>38</v>
      </c>
      <c r="E175" s="3" t="s">
        <v>25</v>
      </c>
      <c r="F175" s="3" t="s">
        <v>25</v>
      </c>
      <c r="G175" s="3" t="s">
        <v>25</v>
      </c>
      <c r="H175" s="3" t="s">
        <v>34</v>
      </c>
      <c r="I175" s="6">
        <v>44531</v>
      </c>
      <c r="J175" s="4">
        <v>0</v>
      </c>
      <c r="K175" s="4">
        <v>0</v>
      </c>
      <c r="L175" s="4">
        <v>5.7000000000000002E-2</v>
      </c>
      <c r="M175" s="4">
        <v>5.7000000000000002E-2</v>
      </c>
      <c r="N175" s="4">
        <v>5.7000000000000002E-2</v>
      </c>
      <c r="O175" s="4">
        <v>5.7000000000000002E-2</v>
      </c>
      <c r="P175" s="4">
        <v>0</v>
      </c>
      <c r="Q175" s="3" t="s">
        <v>26</v>
      </c>
      <c r="R175" s="3">
        <v>0</v>
      </c>
      <c r="S175" s="4">
        <v>0</v>
      </c>
      <c r="T175" s="4">
        <v>10</v>
      </c>
      <c r="U175" s="4">
        <v>51</v>
      </c>
      <c r="V175" s="4">
        <f>IF(ISERROR(VLOOKUP($S$175,'TAR FIN'!$A$1:$O$91,15,0)),0,VLOOKUP($S$175,'TAR FIN'!$A$1:$O$91,15,0))</f>
        <v>0</v>
      </c>
      <c r="W175" s="4">
        <f>IF(ISERROR(VLOOKUP($T$175,'TAR FIN'!$A$1:$O$91,15,0)),0,VLOOKUP($T$175,'TAR FIN'!$A$1:$O$91,15,0))</f>
        <v>1755.54</v>
      </c>
      <c r="X175" s="4">
        <f>IF(ISERROR(VLOOKUP($U$175,'TAR FIN'!$A$1:$O$91,15,0)),0,VLOOKUP($U$175,'TAR FIN'!$A$1:$O$91,15,0))</f>
        <v>298.83999999999997</v>
      </c>
      <c r="Y175" s="4"/>
      <c r="Z175" s="4">
        <f ca="1">('TUSD BE'!$AM$14+'TUSD BF_350'!$AM$14+'TUSD CVA'!$AM$14)*1</f>
        <v>1283.23</v>
      </c>
      <c r="AA175" s="4">
        <f ca="1">('TE BE'!$AB$5+'TE BF_350'!$AB$5+'TE CVA'!$AB$5)*1</f>
        <v>311.4117891483653</v>
      </c>
      <c r="AB175" s="4">
        <f>$K$175*$V$175</f>
        <v>0</v>
      </c>
      <c r="AC175" s="4">
        <f>$M$175*$W$175</f>
        <v>100.06578</v>
      </c>
      <c r="AD175" s="4">
        <f>$O$175*$X$175</f>
        <v>17.03388</v>
      </c>
      <c r="AE175" s="4">
        <f>$K$175*$Y$175</f>
        <v>0</v>
      </c>
      <c r="AF175" s="4">
        <f ca="1">$M$175*$Z$175</f>
        <v>73.144109999999998</v>
      </c>
      <c r="AG175" s="4">
        <f ca="1">$O$175*$AA$175</f>
        <v>17.750471981456823</v>
      </c>
    </row>
    <row r="176" spans="1:33" ht="11.25" customHeight="1" x14ac:dyDescent="0.3">
      <c r="A176" s="3" t="s">
        <v>21</v>
      </c>
      <c r="B176" s="3" t="s">
        <v>39</v>
      </c>
      <c r="C176" s="3" t="s">
        <v>40</v>
      </c>
      <c r="D176" s="3" t="s">
        <v>38</v>
      </c>
      <c r="E176" s="3" t="s">
        <v>25</v>
      </c>
      <c r="F176" s="3" t="s">
        <v>25</v>
      </c>
      <c r="G176" s="3" t="s">
        <v>25</v>
      </c>
      <c r="H176" s="3" t="s">
        <v>34</v>
      </c>
      <c r="I176" s="6">
        <v>44562</v>
      </c>
      <c r="J176" s="4">
        <v>0</v>
      </c>
      <c r="K176" s="4">
        <v>0</v>
      </c>
      <c r="L176" s="4">
        <v>10.856999999999999</v>
      </c>
      <c r="M176" s="4">
        <v>10.856999999999999</v>
      </c>
      <c r="N176" s="4">
        <v>10.856999999999999</v>
      </c>
      <c r="O176" s="4">
        <v>10.856999999999999</v>
      </c>
      <c r="P176" s="4">
        <v>0</v>
      </c>
      <c r="Q176" s="3" t="s">
        <v>26</v>
      </c>
      <c r="R176" s="3">
        <v>0</v>
      </c>
      <c r="S176" s="4">
        <v>0</v>
      </c>
      <c r="T176" s="4">
        <v>10</v>
      </c>
      <c r="U176" s="4">
        <v>51</v>
      </c>
      <c r="V176" s="4">
        <f>IF(ISERROR(VLOOKUP($S$176,'TAR FIN'!$A$1:$O$91,15,0)),0,VLOOKUP($S$176,'TAR FIN'!$A$1:$O$91,15,0))</f>
        <v>0</v>
      </c>
      <c r="W176" s="4">
        <f>IF(ISERROR(VLOOKUP($T$176,'TAR FIN'!$A$1:$O$91,15,0)),0,VLOOKUP($T$176,'TAR FIN'!$A$1:$O$91,15,0))</f>
        <v>1755.54</v>
      </c>
      <c r="X176" s="4">
        <f>IF(ISERROR(VLOOKUP($U$176,'TAR FIN'!$A$1:$O$91,15,0)),0,VLOOKUP($U$176,'TAR FIN'!$A$1:$O$91,15,0))</f>
        <v>298.83999999999997</v>
      </c>
      <c r="Y176" s="4"/>
      <c r="Z176" s="4">
        <f ca="1">('TUSD BE'!$AM$14+'TUSD BF_350'!$AM$14+'TUSD CVA'!$AM$14)*1</f>
        <v>1283.23</v>
      </c>
      <c r="AA176" s="4">
        <f ca="1">('TE BE'!$AB$5+'TE BF_350'!$AB$5+'TE CVA'!$AB$5)*1</f>
        <v>311.4117891483653</v>
      </c>
      <c r="AB176" s="4">
        <f>$K$176*$V$176</f>
        <v>0</v>
      </c>
      <c r="AC176" s="4">
        <f>$M$176*$W$176</f>
        <v>19059.897779999999</v>
      </c>
      <c r="AD176" s="4">
        <f>$O$176*$X$176</f>
        <v>3244.5058799999997</v>
      </c>
      <c r="AE176" s="4">
        <f>$K$176*$Y$176</f>
        <v>0</v>
      </c>
      <c r="AF176" s="4">
        <f ca="1">$M$176*$Z$176</f>
        <v>13932.028109999999</v>
      </c>
      <c r="AG176" s="4">
        <f ca="1">$O$176*$AA$176</f>
        <v>3380.997794783802</v>
      </c>
    </row>
    <row r="177" spans="1:33" ht="11.25" customHeight="1" x14ac:dyDescent="0.3">
      <c r="A177" s="3" t="s">
        <v>21</v>
      </c>
      <c r="B177" s="3" t="s">
        <v>39</v>
      </c>
      <c r="C177" s="3" t="s">
        <v>40</v>
      </c>
      <c r="D177" s="3" t="s">
        <v>38</v>
      </c>
      <c r="E177" s="3" t="s">
        <v>25</v>
      </c>
      <c r="F177" s="3" t="s">
        <v>25</v>
      </c>
      <c r="G177" s="3" t="s">
        <v>25</v>
      </c>
      <c r="H177" s="3" t="s">
        <v>34</v>
      </c>
      <c r="I177" s="6">
        <v>44593</v>
      </c>
      <c r="J177" s="4">
        <v>0</v>
      </c>
      <c r="K177" s="4">
        <v>0</v>
      </c>
      <c r="L177" s="4">
        <v>10.52</v>
      </c>
      <c r="M177" s="4">
        <v>10.52</v>
      </c>
      <c r="N177" s="4">
        <v>10.52</v>
      </c>
      <c r="O177" s="4">
        <v>10.52</v>
      </c>
      <c r="P177" s="4">
        <v>0</v>
      </c>
      <c r="Q177" s="3" t="s">
        <v>26</v>
      </c>
      <c r="R177" s="3">
        <v>0</v>
      </c>
      <c r="S177" s="4">
        <v>0</v>
      </c>
      <c r="T177" s="4">
        <v>10</v>
      </c>
      <c r="U177" s="4">
        <v>51</v>
      </c>
      <c r="V177" s="4">
        <f>IF(ISERROR(VLOOKUP($S$177,'TAR FIN'!$A$1:$O$91,15,0)),0,VLOOKUP($S$177,'TAR FIN'!$A$1:$O$91,15,0))</f>
        <v>0</v>
      </c>
      <c r="W177" s="4">
        <f>IF(ISERROR(VLOOKUP($T$177,'TAR FIN'!$A$1:$O$91,15,0)),0,VLOOKUP($T$177,'TAR FIN'!$A$1:$O$91,15,0))</f>
        <v>1755.54</v>
      </c>
      <c r="X177" s="4">
        <f>IF(ISERROR(VLOOKUP($U$177,'TAR FIN'!$A$1:$O$91,15,0)),0,VLOOKUP($U$177,'TAR FIN'!$A$1:$O$91,15,0))</f>
        <v>298.83999999999997</v>
      </c>
      <c r="Y177" s="4"/>
      <c r="Z177" s="4">
        <f ca="1">('TUSD BE'!$AM$14+'TUSD BF_350'!$AM$14+'TUSD CVA'!$AM$14)*1</f>
        <v>1283.23</v>
      </c>
      <c r="AA177" s="4">
        <f ca="1">('TE BE'!$AB$5+'TE BF_350'!$AB$5+'TE CVA'!$AB$5)*1</f>
        <v>311.4117891483653</v>
      </c>
      <c r="AB177" s="4">
        <f>$K$177*$V$177</f>
        <v>0</v>
      </c>
      <c r="AC177" s="4">
        <f>$M$177*$W$177</f>
        <v>18468.2808</v>
      </c>
      <c r="AD177" s="4">
        <f>$O$177*$X$177</f>
        <v>3143.7967999999996</v>
      </c>
      <c r="AE177" s="4">
        <f>$K$177*$Y$177</f>
        <v>0</v>
      </c>
      <c r="AF177" s="4">
        <f ca="1">$M$177*$Z$177</f>
        <v>13499.579599999999</v>
      </c>
      <c r="AG177" s="4">
        <f ca="1">$O$177*$AA$177</f>
        <v>3276.0520218408028</v>
      </c>
    </row>
    <row r="178" spans="1:33" ht="11.25" customHeight="1" x14ac:dyDescent="0.3">
      <c r="A178" s="3" t="s">
        <v>28</v>
      </c>
      <c r="B178" s="3" t="s">
        <v>39</v>
      </c>
      <c r="C178" s="3" t="s">
        <v>40</v>
      </c>
      <c r="D178" s="3" t="s">
        <v>38</v>
      </c>
      <c r="E178" s="3" t="s">
        <v>25</v>
      </c>
      <c r="F178" s="3" t="s">
        <v>25</v>
      </c>
      <c r="G178" s="3" t="s">
        <v>25</v>
      </c>
      <c r="H178" s="3" t="s">
        <v>34</v>
      </c>
      <c r="I178" s="6">
        <v>44593</v>
      </c>
      <c r="J178" s="4">
        <v>0</v>
      </c>
      <c r="K178" s="4">
        <v>0</v>
      </c>
      <c r="L178" s="4">
        <v>0.16200000000000001</v>
      </c>
      <c r="M178" s="4">
        <v>0.16200000000000001</v>
      </c>
      <c r="N178" s="4">
        <v>0.16200000000000001</v>
      </c>
      <c r="O178" s="4">
        <v>0.16200000000000001</v>
      </c>
      <c r="P178" s="4">
        <v>0</v>
      </c>
      <c r="Q178" s="3" t="s">
        <v>26</v>
      </c>
      <c r="R178" s="3">
        <v>0</v>
      </c>
      <c r="S178" s="4">
        <v>0</v>
      </c>
      <c r="T178" s="4">
        <v>10</v>
      </c>
      <c r="U178" s="4">
        <v>51</v>
      </c>
      <c r="V178" s="4">
        <f>IF(ISERROR(VLOOKUP($S$178,'TAR FIN'!$A$1:$O$91,15,0)),0,VLOOKUP($S$178,'TAR FIN'!$A$1:$O$91,15,0))</f>
        <v>0</v>
      </c>
      <c r="W178" s="4">
        <f>IF(ISERROR(VLOOKUP($T$178,'TAR FIN'!$A$1:$O$91,15,0)),0,VLOOKUP($T$178,'TAR FIN'!$A$1:$O$91,15,0))</f>
        <v>1755.54</v>
      </c>
      <c r="X178" s="4">
        <f>IF(ISERROR(VLOOKUP($U$178,'TAR FIN'!$A$1:$O$91,15,0)),0,VLOOKUP($U$178,'TAR FIN'!$A$1:$O$91,15,0))</f>
        <v>298.83999999999997</v>
      </c>
      <c r="Y178" s="4"/>
      <c r="Z178" s="4">
        <f ca="1">('TUSD BE'!$AM$14+'TUSD BF_350'!$AM$14+'TUSD CVA'!$AM$14)*1</f>
        <v>1283.23</v>
      </c>
      <c r="AA178" s="4">
        <f ca="1">('TE BE'!$AB$5+'TE BF_350'!$AB$5+'TE CVA'!$AB$5)*1</f>
        <v>311.4117891483653</v>
      </c>
      <c r="AB178" s="4">
        <f>$K$178*$V$178</f>
        <v>0</v>
      </c>
      <c r="AC178" s="4">
        <f>$M$178*$W$178</f>
        <v>284.39748000000003</v>
      </c>
      <c r="AD178" s="4">
        <f>$O$178*$X$178</f>
        <v>48.412079999999996</v>
      </c>
      <c r="AE178" s="4">
        <f>$K$178*$Y$178</f>
        <v>0</v>
      </c>
      <c r="AF178" s="4">
        <f ca="1">$M$178*$Z$178</f>
        <v>207.88326000000001</v>
      </c>
      <c r="AG178" s="4">
        <f ca="1">$O$178*$AA$178</f>
        <v>50.448709842035178</v>
      </c>
    </row>
    <row r="179" spans="1:33" ht="11.25" customHeight="1" x14ac:dyDescent="0.3">
      <c r="A179" s="3" t="s">
        <v>21</v>
      </c>
      <c r="B179" s="3" t="s">
        <v>39</v>
      </c>
      <c r="C179" s="3" t="s">
        <v>40</v>
      </c>
      <c r="D179" s="3" t="s">
        <v>38</v>
      </c>
      <c r="E179" s="3" t="s">
        <v>25</v>
      </c>
      <c r="F179" s="3" t="s">
        <v>25</v>
      </c>
      <c r="G179" s="3" t="s">
        <v>25</v>
      </c>
      <c r="H179" s="3" t="s">
        <v>34</v>
      </c>
      <c r="I179" s="6">
        <v>44621</v>
      </c>
      <c r="J179" s="4">
        <v>0</v>
      </c>
      <c r="K179" s="4">
        <v>0</v>
      </c>
      <c r="L179" s="4">
        <v>12.288</v>
      </c>
      <c r="M179" s="4">
        <v>12.288</v>
      </c>
      <c r="N179" s="4">
        <v>12.288</v>
      </c>
      <c r="O179" s="4">
        <v>12.288</v>
      </c>
      <c r="P179" s="4">
        <v>0</v>
      </c>
      <c r="Q179" s="3" t="s">
        <v>26</v>
      </c>
      <c r="R179" s="3">
        <v>0</v>
      </c>
      <c r="S179" s="4">
        <v>0</v>
      </c>
      <c r="T179" s="4">
        <v>10</v>
      </c>
      <c r="U179" s="4">
        <v>51</v>
      </c>
      <c r="V179" s="4">
        <f>IF(ISERROR(VLOOKUP($S$179,'TAR FIN'!$A$1:$O$91,15,0)),0,VLOOKUP($S$179,'TAR FIN'!$A$1:$O$91,15,0))</f>
        <v>0</v>
      </c>
      <c r="W179" s="4">
        <f>IF(ISERROR(VLOOKUP($T$179,'TAR FIN'!$A$1:$O$91,15,0)),0,VLOOKUP($T$179,'TAR FIN'!$A$1:$O$91,15,0))</f>
        <v>1755.54</v>
      </c>
      <c r="X179" s="4">
        <f>IF(ISERROR(VLOOKUP($U$179,'TAR FIN'!$A$1:$O$91,15,0)),0,VLOOKUP($U$179,'TAR FIN'!$A$1:$O$91,15,0))</f>
        <v>298.83999999999997</v>
      </c>
      <c r="Y179" s="4"/>
      <c r="Z179" s="4">
        <f ca="1">('TUSD BE'!$AM$14+'TUSD BF_350'!$AM$14+'TUSD CVA'!$AM$14)*1</f>
        <v>1283.23</v>
      </c>
      <c r="AA179" s="4">
        <f ca="1">('TE BE'!$AB$5+'TE BF_350'!$AB$5+'TE CVA'!$AB$5)*1</f>
        <v>311.4117891483653</v>
      </c>
      <c r="AB179" s="4">
        <f>$K$179*$V$179</f>
        <v>0</v>
      </c>
      <c r="AC179" s="4">
        <f>$M$179*$W$179</f>
        <v>21572.075519999999</v>
      </c>
      <c r="AD179" s="4">
        <f>$O$179*$X$179</f>
        <v>3672.1459199999999</v>
      </c>
      <c r="AE179" s="4">
        <f>$K$179*$Y$179</f>
        <v>0</v>
      </c>
      <c r="AF179" s="4">
        <f ca="1">$M$179*$Z$179</f>
        <v>15768.330240000001</v>
      </c>
      <c r="AG179" s="4">
        <f ca="1">$O$179*$AA$179</f>
        <v>3826.628065055113</v>
      </c>
    </row>
    <row r="180" spans="1:33" ht="11.25" customHeight="1" x14ac:dyDescent="0.3">
      <c r="A180" s="3" t="s">
        <v>28</v>
      </c>
      <c r="B180" s="3" t="s">
        <v>39</v>
      </c>
      <c r="C180" s="3" t="s">
        <v>40</v>
      </c>
      <c r="D180" s="3" t="s">
        <v>38</v>
      </c>
      <c r="E180" s="3" t="s">
        <v>25</v>
      </c>
      <c r="F180" s="3" t="s">
        <v>25</v>
      </c>
      <c r="G180" s="3" t="s">
        <v>25</v>
      </c>
      <c r="H180" s="3" t="s">
        <v>34</v>
      </c>
      <c r="I180" s="6">
        <v>44621</v>
      </c>
      <c r="J180" s="4">
        <v>0</v>
      </c>
      <c r="K180" s="4">
        <v>0</v>
      </c>
      <c r="L180" s="4">
        <v>1.0920000000000001</v>
      </c>
      <c r="M180" s="4">
        <v>1.0920000000000001</v>
      </c>
      <c r="N180" s="4">
        <v>1.0920000000000001</v>
      </c>
      <c r="O180" s="4">
        <v>1.0920000000000001</v>
      </c>
      <c r="P180" s="4">
        <v>0</v>
      </c>
      <c r="Q180" s="3" t="s">
        <v>26</v>
      </c>
      <c r="R180" s="3">
        <v>0</v>
      </c>
      <c r="S180" s="4">
        <v>0</v>
      </c>
      <c r="T180" s="4">
        <v>10</v>
      </c>
      <c r="U180" s="4">
        <v>51</v>
      </c>
      <c r="V180" s="4">
        <f>IF(ISERROR(VLOOKUP($S$180,'TAR FIN'!$A$1:$O$91,15,0)),0,VLOOKUP($S$180,'TAR FIN'!$A$1:$O$91,15,0))</f>
        <v>0</v>
      </c>
      <c r="W180" s="4">
        <f>IF(ISERROR(VLOOKUP($T$180,'TAR FIN'!$A$1:$O$91,15,0)),0,VLOOKUP($T$180,'TAR FIN'!$A$1:$O$91,15,0))</f>
        <v>1755.54</v>
      </c>
      <c r="X180" s="4">
        <f>IF(ISERROR(VLOOKUP($U$180,'TAR FIN'!$A$1:$O$91,15,0)),0,VLOOKUP($U$180,'TAR FIN'!$A$1:$O$91,15,0))</f>
        <v>298.83999999999997</v>
      </c>
      <c r="Y180" s="4"/>
      <c r="Z180" s="4">
        <f ca="1">('TUSD BE'!$AM$14+'TUSD BF_350'!$AM$14+'TUSD CVA'!$AM$14)*1</f>
        <v>1283.23</v>
      </c>
      <c r="AA180" s="4">
        <f ca="1">('TE BE'!$AB$5+'TE BF_350'!$AB$5+'TE CVA'!$AB$5)*1</f>
        <v>311.4117891483653</v>
      </c>
      <c r="AB180" s="4">
        <f>$K$180*$V$180</f>
        <v>0</v>
      </c>
      <c r="AC180" s="4">
        <f>$M$180*$W$180</f>
        <v>1917.0496800000001</v>
      </c>
      <c r="AD180" s="4">
        <f>$O$180*$X$180</f>
        <v>326.33328</v>
      </c>
      <c r="AE180" s="4">
        <f>$K$180*$Y$180</f>
        <v>0</v>
      </c>
      <c r="AF180" s="4">
        <f ca="1">$M$180*$Z$180</f>
        <v>1401.2871600000001</v>
      </c>
      <c r="AG180" s="4">
        <f ca="1">$O$180*$AA$180</f>
        <v>340.06167375001496</v>
      </c>
    </row>
    <row r="181" spans="1:33" ht="11.25" customHeight="1" x14ac:dyDescent="0.3">
      <c r="A181" s="3" t="s">
        <v>21</v>
      </c>
      <c r="B181" s="3" t="s">
        <v>39</v>
      </c>
      <c r="C181" s="3" t="s">
        <v>40</v>
      </c>
      <c r="D181" s="3" t="s">
        <v>38</v>
      </c>
      <c r="E181" s="3" t="s">
        <v>25</v>
      </c>
      <c r="F181" s="3" t="s">
        <v>25</v>
      </c>
      <c r="G181" s="3" t="s">
        <v>25</v>
      </c>
      <c r="H181" s="3" t="s">
        <v>34</v>
      </c>
      <c r="I181" s="6">
        <v>44652</v>
      </c>
      <c r="J181" s="4">
        <v>0</v>
      </c>
      <c r="K181" s="4">
        <v>0</v>
      </c>
      <c r="L181" s="4">
        <v>10.167</v>
      </c>
      <c r="M181" s="4">
        <v>10.167</v>
      </c>
      <c r="N181" s="4">
        <v>10.167</v>
      </c>
      <c r="O181" s="4">
        <v>10.167</v>
      </c>
      <c r="P181" s="4">
        <v>0</v>
      </c>
      <c r="Q181" s="3" t="s">
        <v>26</v>
      </c>
      <c r="R181" s="3">
        <v>0</v>
      </c>
      <c r="S181" s="4">
        <v>0</v>
      </c>
      <c r="T181" s="4">
        <v>10</v>
      </c>
      <c r="U181" s="4">
        <v>51</v>
      </c>
      <c r="V181" s="4">
        <f>IF(ISERROR(VLOOKUP($S$181,'TAR FIN'!$A$1:$O$91,15,0)),0,VLOOKUP($S$181,'TAR FIN'!$A$1:$O$91,15,0))</f>
        <v>0</v>
      </c>
      <c r="W181" s="4">
        <f>IF(ISERROR(VLOOKUP($T$181,'TAR FIN'!$A$1:$O$91,15,0)),0,VLOOKUP($T$181,'TAR FIN'!$A$1:$O$91,15,0))</f>
        <v>1755.54</v>
      </c>
      <c r="X181" s="4">
        <f>IF(ISERROR(VLOOKUP($U$181,'TAR FIN'!$A$1:$O$91,15,0)),0,VLOOKUP($U$181,'TAR FIN'!$A$1:$O$91,15,0))</f>
        <v>298.83999999999997</v>
      </c>
      <c r="Y181" s="4"/>
      <c r="Z181" s="4">
        <f ca="1">('TUSD BE'!$AM$14+'TUSD BF_350'!$AM$14+'TUSD CVA'!$AM$14)*1</f>
        <v>1283.23</v>
      </c>
      <c r="AA181" s="4">
        <f ca="1">('TE BE'!$AB$5+'TE BF_350'!$AB$5+'TE CVA'!$AB$5)*1</f>
        <v>311.4117891483653</v>
      </c>
      <c r="AB181" s="4">
        <f>$K$181*$V$181</f>
        <v>0</v>
      </c>
      <c r="AC181" s="4">
        <f>$M$181*$W$181</f>
        <v>17848.57518</v>
      </c>
      <c r="AD181" s="4">
        <f>$O$181*$X$181</f>
        <v>3038.3062799999998</v>
      </c>
      <c r="AE181" s="4">
        <f>$K$181*$Y$181</f>
        <v>0</v>
      </c>
      <c r="AF181" s="4">
        <f ca="1">$M$181*$Z$181</f>
        <v>13046.599410000001</v>
      </c>
      <c r="AG181" s="4">
        <f ca="1">$O$181*$AA$181</f>
        <v>3166.1236602714298</v>
      </c>
    </row>
    <row r="182" spans="1:33" ht="11.25" customHeight="1" x14ac:dyDescent="0.3">
      <c r="A182" s="3" t="s">
        <v>28</v>
      </c>
      <c r="B182" s="3" t="s">
        <v>39</v>
      </c>
      <c r="C182" s="3" t="s">
        <v>40</v>
      </c>
      <c r="D182" s="3" t="s">
        <v>38</v>
      </c>
      <c r="E182" s="3" t="s">
        <v>25</v>
      </c>
      <c r="F182" s="3" t="s">
        <v>25</v>
      </c>
      <c r="G182" s="3" t="s">
        <v>25</v>
      </c>
      <c r="H182" s="3" t="s">
        <v>34</v>
      </c>
      <c r="I182" s="6">
        <v>44652</v>
      </c>
      <c r="J182" s="4">
        <v>0</v>
      </c>
      <c r="K182" s="4">
        <v>0</v>
      </c>
      <c r="L182" s="4">
        <v>1.2410000000000001</v>
      </c>
      <c r="M182" s="4">
        <v>1.2410000000000001</v>
      </c>
      <c r="N182" s="4">
        <v>1.2410000000000001</v>
      </c>
      <c r="O182" s="4">
        <v>1.2410000000000001</v>
      </c>
      <c r="P182" s="4">
        <v>0</v>
      </c>
      <c r="Q182" s="3" t="s">
        <v>26</v>
      </c>
      <c r="R182" s="3">
        <v>0</v>
      </c>
      <c r="S182" s="4">
        <v>0</v>
      </c>
      <c r="T182" s="4">
        <v>10</v>
      </c>
      <c r="U182" s="4">
        <v>51</v>
      </c>
      <c r="V182" s="4">
        <f>IF(ISERROR(VLOOKUP($S$182,'TAR FIN'!$A$1:$O$91,15,0)),0,VLOOKUP($S$182,'TAR FIN'!$A$1:$O$91,15,0))</f>
        <v>0</v>
      </c>
      <c r="W182" s="4">
        <f>IF(ISERROR(VLOOKUP($T$182,'TAR FIN'!$A$1:$O$91,15,0)),0,VLOOKUP($T$182,'TAR FIN'!$A$1:$O$91,15,0))</f>
        <v>1755.54</v>
      </c>
      <c r="X182" s="4">
        <f>IF(ISERROR(VLOOKUP($U$182,'TAR FIN'!$A$1:$O$91,15,0)),0,VLOOKUP($U$182,'TAR FIN'!$A$1:$O$91,15,0))</f>
        <v>298.83999999999997</v>
      </c>
      <c r="Y182" s="4"/>
      <c r="Z182" s="4">
        <f ca="1">('TUSD BE'!$AM$14+'TUSD BF_350'!$AM$14+'TUSD CVA'!$AM$14)*1</f>
        <v>1283.23</v>
      </c>
      <c r="AA182" s="4">
        <f ca="1">('TE BE'!$AB$5+'TE BF_350'!$AB$5+'TE CVA'!$AB$5)*1</f>
        <v>311.4117891483653</v>
      </c>
      <c r="AB182" s="4">
        <f>$K$182*$V$182</f>
        <v>0</v>
      </c>
      <c r="AC182" s="4">
        <f>$M$182*$W$182</f>
        <v>2178.6251400000001</v>
      </c>
      <c r="AD182" s="4">
        <f>$O$182*$X$182</f>
        <v>370.86043999999998</v>
      </c>
      <c r="AE182" s="4">
        <f>$K$182*$Y$182</f>
        <v>0</v>
      </c>
      <c r="AF182" s="4">
        <f ca="1">$M$182*$Z$182</f>
        <v>1592.4884300000001</v>
      </c>
      <c r="AG182" s="4">
        <f ca="1">$O$182*$AA$182</f>
        <v>386.46203033312139</v>
      </c>
    </row>
    <row r="183" spans="1:33" ht="11.25" customHeight="1" x14ac:dyDescent="0.3">
      <c r="A183" s="3" t="s">
        <v>21</v>
      </c>
      <c r="B183" s="3" t="s">
        <v>39</v>
      </c>
      <c r="C183" s="3" t="s">
        <v>40</v>
      </c>
      <c r="D183" s="3" t="s">
        <v>38</v>
      </c>
      <c r="E183" s="3" t="s">
        <v>25</v>
      </c>
      <c r="F183" s="3" t="s">
        <v>25</v>
      </c>
      <c r="G183" s="3" t="s">
        <v>25</v>
      </c>
      <c r="H183" s="3" t="s">
        <v>34</v>
      </c>
      <c r="I183" s="6">
        <v>44682</v>
      </c>
      <c r="J183" s="4">
        <v>0</v>
      </c>
      <c r="K183" s="4">
        <v>0</v>
      </c>
      <c r="L183" s="4">
        <v>12.448</v>
      </c>
      <c r="M183" s="4">
        <v>12.448</v>
      </c>
      <c r="N183" s="4">
        <v>12.448</v>
      </c>
      <c r="O183" s="4">
        <v>12.448</v>
      </c>
      <c r="P183" s="4">
        <v>0</v>
      </c>
      <c r="Q183" s="3" t="s">
        <v>26</v>
      </c>
      <c r="R183" s="3">
        <v>0</v>
      </c>
      <c r="S183" s="4">
        <v>0</v>
      </c>
      <c r="T183" s="4">
        <v>10</v>
      </c>
      <c r="U183" s="4">
        <v>51</v>
      </c>
      <c r="V183" s="4">
        <f>IF(ISERROR(VLOOKUP($S$183,'TAR FIN'!$A$1:$O$91,15,0)),0,VLOOKUP($S$183,'TAR FIN'!$A$1:$O$91,15,0))</f>
        <v>0</v>
      </c>
      <c r="W183" s="4">
        <f>IF(ISERROR(VLOOKUP($T$183,'TAR FIN'!$A$1:$O$91,15,0)),0,VLOOKUP($T$183,'TAR FIN'!$A$1:$O$91,15,0))</f>
        <v>1755.54</v>
      </c>
      <c r="X183" s="4">
        <f>IF(ISERROR(VLOOKUP($U$183,'TAR FIN'!$A$1:$O$91,15,0)),0,VLOOKUP($U$183,'TAR FIN'!$A$1:$O$91,15,0))</f>
        <v>298.83999999999997</v>
      </c>
      <c r="Y183" s="4"/>
      <c r="Z183" s="4">
        <f ca="1">('TUSD BE'!$AM$14+'TUSD BF_350'!$AM$14+'TUSD CVA'!$AM$14)*1</f>
        <v>1283.23</v>
      </c>
      <c r="AA183" s="4">
        <f ca="1">('TE BE'!$AB$5+'TE BF_350'!$AB$5+'TE CVA'!$AB$5)*1</f>
        <v>311.4117891483653</v>
      </c>
      <c r="AB183" s="4">
        <f>$K$183*$V$183</f>
        <v>0</v>
      </c>
      <c r="AC183" s="4">
        <f>$M$183*$W$183</f>
        <v>21852.961920000002</v>
      </c>
      <c r="AD183" s="4">
        <f>$O$183*$X$183</f>
        <v>3719.9603199999997</v>
      </c>
      <c r="AE183" s="4">
        <f>$K$183*$Y$183</f>
        <v>0</v>
      </c>
      <c r="AF183" s="4">
        <f ca="1">$M$183*$Z$183</f>
        <v>15973.64704</v>
      </c>
      <c r="AG183" s="4">
        <f ca="1">$O$183*$AA$183</f>
        <v>3876.4539513188515</v>
      </c>
    </row>
    <row r="184" spans="1:33" ht="11.25" customHeight="1" x14ac:dyDescent="0.3">
      <c r="A184" s="3" t="s">
        <v>28</v>
      </c>
      <c r="B184" s="3" t="s">
        <v>39</v>
      </c>
      <c r="C184" s="3" t="s">
        <v>40</v>
      </c>
      <c r="D184" s="3" t="s">
        <v>38</v>
      </c>
      <c r="E184" s="3" t="s">
        <v>25</v>
      </c>
      <c r="F184" s="3" t="s">
        <v>25</v>
      </c>
      <c r="G184" s="3" t="s">
        <v>25</v>
      </c>
      <c r="H184" s="3" t="s">
        <v>34</v>
      </c>
      <c r="I184" s="6">
        <v>44682</v>
      </c>
      <c r="J184" s="4">
        <v>0</v>
      </c>
      <c r="K184" s="4">
        <v>0</v>
      </c>
      <c r="L184" s="4">
        <v>0.84899999999999998</v>
      </c>
      <c r="M184" s="4">
        <v>0.84899999999999998</v>
      </c>
      <c r="N184" s="4">
        <v>0.84899999999999998</v>
      </c>
      <c r="O184" s="4">
        <v>0.84899999999999998</v>
      </c>
      <c r="P184" s="4">
        <v>0</v>
      </c>
      <c r="Q184" s="3" t="s">
        <v>26</v>
      </c>
      <c r="R184" s="3">
        <v>0</v>
      </c>
      <c r="S184" s="4">
        <v>0</v>
      </c>
      <c r="T184" s="4">
        <v>10</v>
      </c>
      <c r="U184" s="4">
        <v>51</v>
      </c>
      <c r="V184" s="4">
        <f>IF(ISERROR(VLOOKUP($S$184,'TAR FIN'!$A$1:$O$91,15,0)),0,VLOOKUP($S$184,'TAR FIN'!$A$1:$O$91,15,0))</f>
        <v>0</v>
      </c>
      <c r="W184" s="4">
        <f>IF(ISERROR(VLOOKUP($T$184,'TAR FIN'!$A$1:$O$91,15,0)),0,VLOOKUP($T$184,'TAR FIN'!$A$1:$O$91,15,0))</f>
        <v>1755.54</v>
      </c>
      <c r="X184" s="4">
        <f>IF(ISERROR(VLOOKUP($U$184,'TAR FIN'!$A$1:$O$91,15,0)),0,VLOOKUP($U$184,'TAR FIN'!$A$1:$O$91,15,0))</f>
        <v>298.83999999999997</v>
      </c>
      <c r="Y184" s="4"/>
      <c r="Z184" s="4">
        <f ca="1">('TUSD BE'!$AM$14+'TUSD BF_350'!$AM$14+'TUSD CVA'!$AM$14)*1</f>
        <v>1283.23</v>
      </c>
      <c r="AA184" s="4">
        <f ca="1">('TE BE'!$AB$5+'TE BF_350'!$AB$5+'TE CVA'!$AB$5)*1</f>
        <v>311.4117891483653</v>
      </c>
      <c r="AB184" s="4">
        <f>$K$184*$V$184</f>
        <v>0</v>
      </c>
      <c r="AC184" s="4">
        <f>$M$184*$W$184</f>
        <v>1490.45346</v>
      </c>
      <c r="AD184" s="4">
        <f>$O$184*$X$184</f>
        <v>253.71515999999997</v>
      </c>
      <c r="AE184" s="4">
        <f>$K$184*$Y$184</f>
        <v>0</v>
      </c>
      <c r="AF184" s="4">
        <f ca="1">$M$184*$Z$184</f>
        <v>1089.46227</v>
      </c>
      <c r="AG184" s="4">
        <f ca="1">$O$184*$AA$184</f>
        <v>264.38860898696214</v>
      </c>
    </row>
    <row r="185" spans="1:33" ht="11.25" customHeight="1" x14ac:dyDescent="0.3">
      <c r="A185" s="3" t="s">
        <v>21</v>
      </c>
      <c r="B185" s="3" t="s">
        <v>39</v>
      </c>
      <c r="C185" s="3" t="s">
        <v>40</v>
      </c>
      <c r="D185" s="3" t="s">
        <v>38</v>
      </c>
      <c r="E185" s="3" t="s">
        <v>25</v>
      </c>
      <c r="F185" s="3" t="s">
        <v>25</v>
      </c>
      <c r="G185" s="3" t="s">
        <v>25</v>
      </c>
      <c r="H185" s="3" t="s">
        <v>34</v>
      </c>
      <c r="I185" s="6">
        <v>44713</v>
      </c>
      <c r="J185" s="4">
        <v>0</v>
      </c>
      <c r="K185" s="4">
        <v>0</v>
      </c>
      <c r="L185" s="4">
        <v>11.606999999999999</v>
      </c>
      <c r="M185" s="4">
        <v>11.606999999999999</v>
      </c>
      <c r="N185" s="4">
        <v>11.606999999999999</v>
      </c>
      <c r="O185" s="4">
        <v>11.606999999999999</v>
      </c>
      <c r="P185" s="4">
        <v>0</v>
      </c>
      <c r="Q185" s="3" t="s">
        <v>26</v>
      </c>
      <c r="R185" s="3">
        <v>0</v>
      </c>
      <c r="S185" s="4">
        <v>0</v>
      </c>
      <c r="T185" s="4">
        <v>10</v>
      </c>
      <c r="U185" s="4">
        <v>51</v>
      </c>
      <c r="V185" s="4">
        <f>IF(ISERROR(VLOOKUP($S$185,'TAR FIN'!$A$1:$O$91,15,0)),0,VLOOKUP($S$185,'TAR FIN'!$A$1:$O$91,15,0))</f>
        <v>0</v>
      </c>
      <c r="W185" s="4">
        <f>IF(ISERROR(VLOOKUP($T$185,'TAR FIN'!$A$1:$O$91,15,0)),0,VLOOKUP($T$185,'TAR FIN'!$A$1:$O$91,15,0))</f>
        <v>1755.54</v>
      </c>
      <c r="X185" s="4">
        <f>IF(ISERROR(VLOOKUP($U$185,'TAR FIN'!$A$1:$O$91,15,0)),0,VLOOKUP($U$185,'TAR FIN'!$A$1:$O$91,15,0))</f>
        <v>298.83999999999997</v>
      </c>
      <c r="Y185" s="4"/>
      <c r="Z185" s="4">
        <f ca="1">('TUSD BE'!$AM$14+'TUSD BF_350'!$AM$14+'TUSD CVA'!$AM$14)*1</f>
        <v>1283.23</v>
      </c>
      <c r="AA185" s="4">
        <f ca="1">('TE BE'!$AB$5+'TE BF_350'!$AB$5+'TE CVA'!$AB$5)*1</f>
        <v>311.4117891483653</v>
      </c>
      <c r="AB185" s="4">
        <f>$K$185*$V$185</f>
        <v>0</v>
      </c>
      <c r="AC185" s="4">
        <f>$M$185*$W$185</f>
        <v>20376.552779999998</v>
      </c>
      <c r="AD185" s="4">
        <f>$O$185*$X$185</f>
        <v>3468.6358799999994</v>
      </c>
      <c r="AE185" s="4">
        <f>$K$185*$Y$185</f>
        <v>0</v>
      </c>
      <c r="AF185" s="4">
        <f ca="1">$M$185*$Z$185</f>
        <v>14894.45061</v>
      </c>
      <c r="AG185" s="4">
        <f ca="1">$O$185*$AA$185</f>
        <v>3614.5566366450757</v>
      </c>
    </row>
    <row r="186" spans="1:33" ht="11.25" customHeight="1" x14ac:dyDescent="0.3">
      <c r="A186" s="3" t="s">
        <v>28</v>
      </c>
      <c r="B186" s="3" t="s">
        <v>39</v>
      </c>
      <c r="C186" s="3" t="s">
        <v>40</v>
      </c>
      <c r="D186" s="3" t="s">
        <v>38</v>
      </c>
      <c r="E186" s="3" t="s">
        <v>25</v>
      </c>
      <c r="F186" s="3" t="s">
        <v>25</v>
      </c>
      <c r="G186" s="3" t="s">
        <v>25</v>
      </c>
      <c r="H186" s="3" t="s">
        <v>34</v>
      </c>
      <c r="I186" s="6">
        <v>44713</v>
      </c>
      <c r="J186" s="4">
        <v>0</v>
      </c>
      <c r="K186" s="4">
        <v>0</v>
      </c>
      <c r="L186" s="4">
        <v>0.255</v>
      </c>
      <c r="M186" s="4">
        <v>0.255</v>
      </c>
      <c r="N186" s="4">
        <v>0.255</v>
      </c>
      <c r="O186" s="4">
        <v>0.255</v>
      </c>
      <c r="P186" s="4">
        <v>0</v>
      </c>
      <c r="Q186" s="3" t="s">
        <v>26</v>
      </c>
      <c r="R186" s="3">
        <v>0</v>
      </c>
      <c r="S186" s="4">
        <v>0</v>
      </c>
      <c r="T186" s="4">
        <v>10</v>
      </c>
      <c r="U186" s="4">
        <v>51</v>
      </c>
      <c r="V186" s="4">
        <f>IF(ISERROR(VLOOKUP($S$186,'TAR FIN'!$A$1:$O$91,15,0)),0,VLOOKUP($S$186,'TAR FIN'!$A$1:$O$91,15,0))</f>
        <v>0</v>
      </c>
      <c r="W186" s="4">
        <f>IF(ISERROR(VLOOKUP($T$186,'TAR FIN'!$A$1:$O$91,15,0)),0,VLOOKUP($T$186,'TAR FIN'!$A$1:$O$91,15,0))</f>
        <v>1755.54</v>
      </c>
      <c r="X186" s="4">
        <f>IF(ISERROR(VLOOKUP($U$186,'TAR FIN'!$A$1:$O$91,15,0)),0,VLOOKUP($U$186,'TAR FIN'!$A$1:$O$91,15,0))</f>
        <v>298.83999999999997</v>
      </c>
      <c r="Y186" s="4"/>
      <c r="Z186" s="4">
        <f ca="1">('TUSD BE'!$AM$14+'TUSD BF_350'!$AM$14+'TUSD CVA'!$AM$14)*1</f>
        <v>1283.23</v>
      </c>
      <c r="AA186" s="4">
        <f ca="1">('TE BE'!$AB$5+'TE BF_350'!$AB$5+'TE CVA'!$AB$5)*1</f>
        <v>311.4117891483653</v>
      </c>
      <c r="AB186" s="4">
        <f>$K$186*$V$186</f>
        <v>0</v>
      </c>
      <c r="AC186" s="4">
        <f>$M$186*$W$186</f>
        <v>447.66269999999997</v>
      </c>
      <c r="AD186" s="4">
        <f>$O$186*$X$186</f>
        <v>76.2042</v>
      </c>
      <c r="AE186" s="4">
        <f>$K$186*$Y$186</f>
        <v>0</v>
      </c>
      <c r="AF186" s="4">
        <f ca="1">$M$186*$Z$186</f>
        <v>327.22365000000002</v>
      </c>
      <c r="AG186" s="4">
        <f ca="1">$O$186*$AA$186</f>
        <v>79.410006232833155</v>
      </c>
    </row>
    <row r="187" spans="1:33" ht="11.25" customHeight="1" x14ac:dyDescent="0.3">
      <c r="A187" s="3" t="s">
        <v>21</v>
      </c>
      <c r="B187" s="3" t="s">
        <v>39</v>
      </c>
      <c r="C187" s="3" t="s">
        <v>40</v>
      </c>
      <c r="D187" s="3" t="s">
        <v>44</v>
      </c>
      <c r="E187" s="3" t="s">
        <v>25</v>
      </c>
      <c r="F187" s="3" t="s">
        <v>25</v>
      </c>
      <c r="G187" s="3" t="s">
        <v>25</v>
      </c>
      <c r="H187" s="3" t="s">
        <v>35</v>
      </c>
      <c r="I187" s="6">
        <v>44378</v>
      </c>
      <c r="J187" s="4">
        <v>0</v>
      </c>
      <c r="K187" s="4">
        <v>0</v>
      </c>
      <c r="L187" s="4">
        <v>8.4309999999999992</v>
      </c>
      <c r="M187" s="4">
        <v>8.4309999999999992</v>
      </c>
      <c r="N187" s="4">
        <v>8.4309999999999992</v>
      </c>
      <c r="O187" s="4">
        <v>8.4309999999999992</v>
      </c>
      <c r="P187" s="4">
        <v>0</v>
      </c>
      <c r="Q187" s="3" t="s">
        <v>26</v>
      </c>
      <c r="R187" s="3">
        <v>0</v>
      </c>
      <c r="S187" s="4">
        <v>0</v>
      </c>
      <c r="T187" s="4">
        <v>11</v>
      </c>
      <c r="U187" s="4">
        <v>52</v>
      </c>
      <c r="V187" s="4">
        <f>IF(ISERROR(VLOOKUP($S$187,'TAR FIN'!$A$1:$O$91,15,0)),0,VLOOKUP($S$187,'TAR FIN'!$A$1:$O$91,15,0))</f>
        <v>0</v>
      </c>
      <c r="W187" s="4">
        <f>IF(ISERROR(VLOOKUP($T$187,'TAR FIN'!$A$1:$O$91,15,0)),0,VLOOKUP($T$187,'TAR FIN'!$A$1:$O$91,15,0))</f>
        <v>90.54</v>
      </c>
      <c r="X187" s="4">
        <f>IF(ISERROR(VLOOKUP($U$187,'TAR FIN'!$A$1:$O$91,15,0)),0,VLOOKUP($U$187,'TAR FIN'!$A$1:$O$91,15,0))</f>
        <v>189.96</v>
      </c>
      <c r="Y187" s="4"/>
      <c r="Z187" s="4">
        <f ca="1">('TUSD BE'!$AM$15+'TUSD BF_350'!$AM$15+'TUSD CVA'!$AM$15)*1</f>
        <v>116.79000000000002</v>
      </c>
      <c r="AA187" s="4">
        <f ca="1">('TE BE'!$AB$6+'TE BF_350'!$AB$6+'TE CVA'!$AB$6)*1</f>
        <v>195.89707226799715</v>
      </c>
      <c r="AB187" s="4">
        <f>$K$187*$V$187</f>
        <v>0</v>
      </c>
      <c r="AC187" s="4">
        <f>$M$187*$W$187</f>
        <v>763.34273999999994</v>
      </c>
      <c r="AD187" s="4">
        <f>$O$187*$X$187</f>
        <v>1601.5527599999998</v>
      </c>
      <c r="AE187" s="4">
        <f>$K$187*$Y$187</f>
        <v>0</v>
      </c>
      <c r="AF187" s="4">
        <f ca="1">$M$187*$Z$187</f>
        <v>984.65649000000008</v>
      </c>
      <c r="AG187" s="4">
        <f ca="1">$O$187*$AA$187</f>
        <v>1651.6082162914838</v>
      </c>
    </row>
    <row r="188" spans="1:33" ht="11.25" customHeight="1" x14ac:dyDescent="0.3">
      <c r="A188" s="3" t="s">
        <v>21</v>
      </c>
      <c r="B188" s="3" t="s">
        <v>39</v>
      </c>
      <c r="C188" s="3" t="s">
        <v>40</v>
      </c>
      <c r="D188" s="3" t="s">
        <v>44</v>
      </c>
      <c r="E188" s="3" t="s">
        <v>25</v>
      </c>
      <c r="F188" s="3" t="s">
        <v>25</v>
      </c>
      <c r="G188" s="3" t="s">
        <v>25</v>
      </c>
      <c r="H188" s="3" t="s">
        <v>35</v>
      </c>
      <c r="I188" s="6">
        <v>44409</v>
      </c>
      <c r="J188" s="4">
        <v>0</v>
      </c>
      <c r="K188" s="4">
        <v>0</v>
      </c>
      <c r="L188" s="4">
        <v>8.1370000000000005</v>
      </c>
      <c r="M188" s="4">
        <v>8.1370000000000005</v>
      </c>
      <c r="N188" s="4">
        <v>8.1370000000000005</v>
      </c>
      <c r="O188" s="4">
        <v>8.1370000000000005</v>
      </c>
      <c r="P188" s="4">
        <v>0</v>
      </c>
      <c r="Q188" s="3" t="s">
        <v>26</v>
      </c>
      <c r="R188" s="3">
        <v>0</v>
      </c>
      <c r="S188" s="4">
        <v>0</v>
      </c>
      <c r="T188" s="4">
        <v>11</v>
      </c>
      <c r="U188" s="4">
        <v>52</v>
      </c>
      <c r="V188" s="4">
        <f>IF(ISERROR(VLOOKUP($S$188,'TAR FIN'!$A$1:$O$91,15,0)),0,VLOOKUP($S$188,'TAR FIN'!$A$1:$O$91,15,0))</f>
        <v>0</v>
      </c>
      <c r="W188" s="4">
        <f>IF(ISERROR(VLOOKUP($T$188,'TAR FIN'!$A$1:$O$91,15,0)),0,VLOOKUP($T$188,'TAR FIN'!$A$1:$O$91,15,0))</f>
        <v>90.54</v>
      </c>
      <c r="X188" s="4">
        <f>IF(ISERROR(VLOOKUP($U$188,'TAR FIN'!$A$1:$O$91,15,0)),0,VLOOKUP($U$188,'TAR FIN'!$A$1:$O$91,15,0))</f>
        <v>189.96</v>
      </c>
      <c r="Y188" s="4"/>
      <c r="Z188" s="4">
        <f ca="1">('TUSD BE'!$AM$15+'TUSD BF_350'!$AM$15+'TUSD CVA'!$AM$15)*1</f>
        <v>116.79000000000002</v>
      </c>
      <c r="AA188" s="4">
        <f ca="1">('TE BE'!$AB$6+'TE BF_350'!$AB$6+'TE CVA'!$AB$6)*1</f>
        <v>195.89707226799715</v>
      </c>
      <c r="AB188" s="4">
        <f>$K$188*$V$188</f>
        <v>0</v>
      </c>
      <c r="AC188" s="4">
        <f>$M$188*$W$188</f>
        <v>736.7239800000001</v>
      </c>
      <c r="AD188" s="4">
        <f>$O$188*$X$188</f>
        <v>1545.7045200000002</v>
      </c>
      <c r="AE188" s="4">
        <f>$K$188*$Y$188</f>
        <v>0</v>
      </c>
      <c r="AF188" s="4">
        <f ca="1">$M$188*$Z$188</f>
        <v>950.32023000000027</v>
      </c>
      <c r="AG188" s="4">
        <f ca="1">$O$188*$AA$188</f>
        <v>1594.014477044693</v>
      </c>
    </row>
    <row r="189" spans="1:33" ht="11.25" customHeight="1" x14ac:dyDescent="0.3">
      <c r="A189" s="3" t="s">
        <v>21</v>
      </c>
      <c r="B189" s="3" t="s">
        <v>39</v>
      </c>
      <c r="C189" s="3" t="s">
        <v>40</v>
      </c>
      <c r="D189" s="3" t="s">
        <v>44</v>
      </c>
      <c r="E189" s="3" t="s">
        <v>25</v>
      </c>
      <c r="F189" s="3" t="s">
        <v>25</v>
      </c>
      <c r="G189" s="3" t="s">
        <v>25</v>
      </c>
      <c r="H189" s="3" t="s">
        <v>35</v>
      </c>
      <c r="I189" s="6">
        <v>44440</v>
      </c>
      <c r="J189" s="4">
        <v>0</v>
      </c>
      <c r="K189" s="4">
        <v>0</v>
      </c>
      <c r="L189" s="4">
        <v>7.1059999999999999</v>
      </c>
      <c r="M189" s="4">
        <v>7.1059999999999999</v>
      </c>
      <c r="N189" s="4">
        <v>7.1059999999999999</v>
      </c>
      <c r="O189" s="4">
        <v>7.1059999999999999</v>
      </c>
      <c r="P189" s="4">
        <v>0</v>
      </c>
      <c r="Q189" s="3" t="s">
        <v>26</v>
      </c>
      <c r="R189" s="3">
        <v>0</v>
      </c>
      <c r="S189" s="4">
        <v>0</v>
      </c>
      <c r="T189" s="4">
        <v>11</v>
      </c>
      <c r="U189" s="4">
        <v>52</v>
      </c>
      <c r="V189" s="4">
        <f>IF(ISERROR(VLOOKUP($S$189,'TAR FIN'!$A$1:$O$91,15,0)),0,VLOOKUP($S$189,'TAR FIN'!$A$1:$O$91,15,0))</f>
        <v>0</v>
      </c>
      <c r="W189" s="4">
        <f>IF(ISERROR(VLOOKUP($T$189,'TAR FIN'!$A$1:$O$91,15,0)),0,VLOOKUP($T$189,'TAR FIN'!$A$1:$O$91,15,0))</f>
        <v>90.54</v>
      </c>
      <c r="X189" s="4">
        <f>IF(ISERROR(VLOOKUP($U$189,'TAR FIN'!$A$1:$O$91,15,0)),0,VLOOKUP($U$189,'TAR FIN'!$A$1:$O$91,15,0))</f>
        <v>189.96</v>
      </c>
      <c r="Y189" s="4"/>
      <c r="Z189" s="4">
        <f ca="1">('TUSD BE'!$AM$15+'TUSD BF_350'!$AM$15+'TUSD CVA'!$AM$15)*1</f>
        <v>116.79000000000002</v>
      </c>
      <c r="AA189" s="4">
        <f ca="1">('TE BE'!$AB$6+'TE BF_350'!$AB$6+'TE CVA'!$AB$6)*1</f>
        <v>195.89707226799715</v>
      </c>
      <c r="AB189" s="4">
        <f>$K$189*$V$189</f>
        <v>0</v>
      </c>
      <c r="AC189" s="4">
        <f>$M$189*$W$189</f>
        <v>643.37724000000003</v>
      </c>
      <c r="AD189" s="4">
        <f>$O$189*$X$189</f>
        <v>1349.8557600000001</v>
      </c>
      <c r="AE189" s="4">
        <f>$K$189*$Y$189</f>
        <v>0</v>
      </c>
      <c r="AF189" s="4">
        <f ca="1">$M$189*$Z$189</f>
        <v>829.90974000000017</v>
      </c>
      <c r="AG189" s="4">
        <f ca="1">$O$189*$AA$189</f>
        <v>1392.0445955363878</v>
      </c>
    </row>
    <row r="190" spans="1:33" ht="11.25" customHeight="1" x14ac:dyDescent="0.3">
      <c r="A190" s="3" t="s">
        <v>21</v>
      </c>
      <c r="B190" s="3" t="s">
        <v>39</v>
      </c>
      <c r="C190" s="3" t="s">
        <v>40</v>
      </c>
      <c r="D190" s="3" t="s">
        <v>44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44470</v>
      </c>
      <c r="J190" s="4">
        <v>0</v>
      </c>
      <c r="K190" s="4">
        <v>0</v>
      </c>
      <c r="L190" s="4">
        <v>7.2560000000000002</v>
      </c>
      <c r="M190" s="4">
        <v>7.2560000000000002</v>
      </c>
      <c r="N190" s="4">
        <v>7.2560000000000002</v>
      </c>
      <c r="O190" s="4">
        <v>7.2560000000000002</v>
      </c>
      <c r="P190" s="4">
        <v>0</v>
      </c>
      <c r="Q190" s="3" t="s">
        <v>26</v>
      </c>
      <c r="R190" s="3">
        <v>0</v>
      </c>
      <c r="S190" s="4">
        <v>0</v>
      </c>
      <c r="T190" s="4">
        <v>11</v>
      </c>
      <c r="U190" s="4">
        <v>52</v>
      </c>
      <c r="V190" s="4">
        <f>IF(ISERROR(VLOOKUP($S$190,'TAR FIN'!$A$1:$O$91,15,0)),0,VLOOKUP($S$190,'TAR FIN'!$A$1:$O$91,15,0))</f>
        <v>0</v>
      </c>
      <c r="W190" s="4">
        <f>IF(ISERROR(VLOOKUP($T$190,'TAR FIN'!$A$1:$O$91,15,0)),0,VLOOKUP($T$190,'TAR FIN'!$A$1:$O$91,15,0))</f>
        <v>90.54</v>
      </c>
      <c r="X190" s="4">
        <f>IF(ISERROR(VLOOKUP($U$190,'TAR FIN'!$A$1:$O$91,15,0)),0,VLOOKUP($U$190,'TAR FIN'!$A$1:$O$91,15,0))</f>
        <v>189.96</v>
      </c>
      <c r="Y190" s="4"/>
      <c r="Z190" s="4">
        <f ca="1">('TUSD BE'!$AM$15+'TUSD BF_350'!$AM$15+'TUSD CVA'!$AM$15)*1</f>
        <v>116.79000000000002</v>
      </c>
      <c r="AA190" s="4">
        <f ca="1">('TE BE'!$AB$6+'TE BF_350'!$AB$6+'TE CVA'!$AB$6)*1</f>
        <v>195.89707226799715</v>
      </c>
      <c r="AB190" s="4">
        <f>$K$190*$V$190</f>
        <v>0</v>
      </c>
      <c r="AC190" s="4">
        <f>$M$190*$W$190</f>
        <v>656.95824000000005</v>
      </c>
      <c r="AD190" s="4">
        <f>$O$190*$X$190</f>
        <v>1378.3497600000001</v>
      </c>
      <c r="AE190" s="4">
        <f>$K$190*$Y$190</f>
        <v>0</v>
      </c>
      <c r="AF190" s="4">
        <f ca="1">$M$190*$Z$190</f>
        <v>847.42824000000019</v>
      </c>
      <c r="AG190" s="4">
        <f ca="1">$O$190*$AA$190</f>
        <v>1421.4291563765873</v>
      </c>
    </row>
    <row r="191" spans="1:33" ht="11.25" customHeight="1" x14ac:dyDescent="0.3">
      <c r="A191" s="3" t="s">
        <v>21</v>
      </c>
      <c r="B191" s="3" t="s">
        <v>39</v>
      </c>
      <c r="C191" s="3" t="s">
        <v>40</v>
      </c>
      <c r="D191" s="3" t="s">
        <v>44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44501</v>
      </c>
      <c r="J191" s="4">
        <v>0</v>
      </c>
      <c r="K191" s="4">
        <v>0</v>
      </c>
      <c r="L191" s="4">
        <v>8.3689999999999998</v>
      </c>
      <c r="M191" s="4">
        <v>8.3689999999999998</v>
      </c>
      <c r="N191" s="4">
        <v>8.3689999999999998</v>
      </c>
      <c r="O191" s="4">
        <v>8.3689999999999998</v>
      </c>
      <c r="P191" s="4">
        <v>0</v>
      </c>
      <c r="Q191" s="3" t="s">
        <v>26</v>
      </c>
      <c r="R191" s="3">
        <v>0</v>
      </c>
      <c r="S191" s="4">
        <v>0</v>
      </c>
      <c r="T191" s="4">
        <v>11</v>
      </c>
      <c r="U191" s="4">
        <v>52</v>
      </c>
      <c r="V191" s="4">
        <f>IF(ISERROR(VLOOKUP($S$191,'TAR FIN'!$A$1:$O$91,15,0)),0,VLOOKUP($S$191,'TAR FIN'!$A$1:$O$91,15,0))</f>
        <v>0</v>
      </c>
      <c r="W191" s="4">
        <f>IF(ISERROR(VLOOKUP($T$191,'TAR FIN'!$A$1:$O$91,15,0)),0,VLOOKUP($T$191,'TAR FIN'!$A$1:$O$91,15,0))</f>
        <v>90.54</v>
      </c>
      <c r="X191" s="4">
        <f>IF(ISERROR(VLOOKUP($U$191,'TAR FIN'!$A$1:$O$91,15,0)),0,VLOOKUP($U$191,'TAR FIN'!$A$1:$O$91,15,0))</f>
        <v>189.96</v>
      </c>
      <c r="Y191" s="4"/>
      <c r="Z191" s="4">
        <f ca="1">('TUSD BE'!$AM$15+'TUSD BF_350'!$AM$15+'TUSD CVA'!$AM$15)*1</f>
        <v>116.79000000000002</v>
      </c>
      <c r="AA191" s="4">
        <f ca="1">('TE BE'!$AB$6+'TE BF_350'!$AB$6+'TE CVA'!$AB$6)*1</f>
        <v>195.89707226799715</v>
      </c>
      <c r="AB191" s="4">
        <f>$K$191*$V$191</f>
        <v>0</v>
      </c>
      <c r="AC191" s="4">
        <f>$M$191*$W$191</f>
        <v>757.72926000000007</v>
      </c>
      <c r="AD191" s="4">
        <f>$O$191*$X$191</f>
        <v>1589.7752399999999</v>
      </c>
      <c r="AE191" s="4">
        <f>$K$191*$Y$191</f>
        <v>0</v>
      </c>
      <c r="AF191" s="4">
        <f ca="1">$M$191*$Z$191</f>
        <v>977.41551000000015</v>
      </c>
      <c r="AG191" s="4">
        <f ca="1">$O$191*$AA$191</f>
        <v>1639.4625978108681</v>
      </c>
    </row>
    <row r="192" spans="1:33" ht="11.25" customHeight="1" x14ac:dyDescent="0.3">
      <c r="A192" s="3" t="s">
        <v>21</v>
      </c>
      <c r="B192" s="3" t="s">
        <v>39</v>
      </c>
      <c r="C192" s="3" t="s">
        <v>40</v>
      </c>
      <c r="D192" s="3" t="s">
        <v>44</v>
      </c>
      <c r="E192" s="3" t="s">
        <v>25</v>
      </c>
      <c r="F192" s="3" t="s">
        <v>25</v>
      </c>
      <c r="G192" s="3" t="s">
        <v>25</v>
      </c>
      <c r="H192" s="3" t="s">
        <v>35</v>
      </c>
      <c r="I192" s="6">
        <v>44531</v>
      </c>
      <c r="J192" s="4">
        <v>0</v>
      </c>
      <c r="K192" s="4">
        <v>0</v>
      </c>
      <c r="L192" s="4">
        <v>8.6419999999999995</v>
      </c>
      <c r="M192" s="4">
        <v>8.6419999999999995</v>
      </c>
      <c r="N192" s="4">
        <v>8.6419999999999995</v>
      </c>
      <c r="O192" s="4">
        <v>8.6419999999999995</v>
      </c>
      <c r="P192" s="4">
        <v>0</v>
      </c>
      <c r="Q192" s="3" t="s">
        <v>26</v>
      </c>
      <c r="R192" s="3">
        <v>0</v>
      </c>
      <c r="S192" s="4">
        <v>0</v>
      </c>
      <c r="T192" s="4">
        <v>11</v>
      </c>
      <c r="U192" s="4">
        <v>52</v>
      </c>
      <c r="V192" s="4">
        <f>IF(ISERROR(VLOOKUP($S$192,'TAR FIN'!$A$1:$O$91,15,0)),0,VLOOKUP($S$192,'TAR FIN'!$A$1:$O$91,15,0))</f>
        <v>0</v>
      </c>
      <c r="W192" s="4">
        <f>IF(ISERROR(VLOOKUP($T$192,'TAR FIN'!$A$1:$O$91,15,0)),0,VLOOKUP($T$192,'TAR FIN'!$A$1:$O$91,15,0))</f>
        <v>90.54</v>
      </c>
      <c r="X192" s="4">
        <f>IF(ISERROR(VLOOKUP($U$192,'TAR FIN'!$A$1:$O$91,15,0)),0,VLOOKUP($U$192,'TAR FIN'!$A$1:$O$91,15,0))</f>
        <v>189.96</v>
      </c>
      <c r="Y192" s="4"/>
      <c r="Z192" s="4">
        <f ca="1">('TUSD BE'!$AM$15+'TUSD BF_350'!$AM$15+'TUSD CVA'!$AM$15)*1</f>
        <v>116.79000000000002</v>
      </c>
      <c r="AA192" s="4">
        <f ca="1">('TE BE'!$AB$6+'TE BF_350'!$AB$6+'TE CVA'!$AB$6)*1</f>
        <v>195.89707226799715</v>
      </c>
      <c r="AB192" s="4">
        <f>$K$192*$V$192</f>
        <v>0</v>
      </c>
      <c r="AC192" s="4">
        <f>$M$192*$W$192</f>
        <v>782.44668000000001</v>
      </c>
      <c r="AD192" s="4">
        <f>$O$192*$X$192</f>
        <v>1641.6343199999999</v>
      </c>
      <c r="AE192" s="4">
        <f>$K$192*$Y$192</f>
        <v>0</v>
      </c>
      <c r="AF192" s="4">
        <f ca="1">$M$192*$Z$192</f>
        <v>1009.2991800000001</v>
      </c>
      <c r="AG192" s="4">
        <f ca="1">$O$192*$AA$192</f>
        <v>1692.9424985400312</v>
      </c>
    </row>
    <row r="193" spans="1:33" ht="11.25" customHeight="1" x14ac:dyDescent="0.3">
      <c r="A193" s="3" t="s">
        <v>21</v>
      </c>
      <c r="B193" s="3" t="s">
        <v>39</v>
      </c>
      <c r="C193" s="3" t="s">
        <v>40</v>
      </c>
      <c r="D193" s="3" t="s">
        <v>44</v>
      </c>
      <c r="E193" s="3" t="s">
        <v>25</v>
      </c>
      <c r="F193" s="3" t="s">
        <v>25</v>
      </c>
      <c r="G193" s="3" t="s">
        <v>25</v>
      </c>
      <c r="H193" s="3" t="s">
        <v>35</v>
      </c>
      <c r="I193" s="6">
        <v>44562</v>
      </c>
      <c r="J193" s="4">
        <v>0</v>
      </c>
      <c r="K193" s="4">
        <v>0</v>
      </c>
      <c r="L193" s="4">
        <v>10.266999999999999</v>
      </c>
      <c r="M193" s="4">
        <v>10.266999999999999</v>
      </c>
      <c r="N193" s="4">
        <v>10.266999999999999</v>
      </c>
      <c r="O193" s="4">
        <v>10.266999999999999</v>
      </c>
      <c r="P193" s="4">
        <v>0</v>
      </c>
      <c r="Q193" s="3" t="s">
        <v>26</v>
      </c>
      <c r="R193" s="3">
        <v>0</v>
      </c>
      <c r="S193" s="4">
        <v>0</v>
      </c>
      <c r="T193" s="4">
        <v>11</v>
      </c>
      <c r="U193" s="4">
        <v>52</v>
      </c>
      <c r="V193" s="4">
        <f>IF(ISERROR(VLOOKUP($S$193,'TAR FIN'!$A$1:$O$91,15,0)),0,VLOOKUP($S$193,'TAR FIN'!$A$1:$O$91,15,0))</f>
        <v>0</v>
      </c>
      <c r="W193" s="4">
        <f>IF(ISERROR(VLOOKUP($T$193,'TAR FIN'!$A$1:$O$91,15,0)),0,VLOOKUP($T$193,'TAR FIN'!$A$1:$O$91,15,0))</f>
        <v>90.54</v>
      </c>
      <c r="X193" s="4">
        <f>IF(ISERROR(VLOOKUP($U$193,'TAR FIN'!$A$1:$O$91,15,0)),0,VLOOKUP($U$193,'TAR FIN'!$A$1:$O$91,15,0))</f>
        <v>189.96</v>
      </c>
      <c r="Y193" s="4"/>
      <c r="Z193" s="4">
        <f ca="1">('TUSD BE'!$AM$15+'TUSD BF_350'!$AM$15+'TUSD CVA'!$AM$15)*1</f>
        <v>116.79000000000002</v>
      </c>
      <c r="AA193" s="4">
        <f ca="1">('TE BE'!$AB$6+'TE BF_350'!$AB$6+'TE CVA'!$AB$6)*1</f>
        <v>195.89707226799715</v>
      </c>
      <c r="AB193" s="4">
        <f>$K$193*$V$193</f>
        <v>0</v>
      </c>
      <c r="AC193" s="4">
        <f>$M$193*$W$193</f>
        <v>929.57418000000007</v>
      </c>
      <c r="AD193" s="4">
        <f>$O$193*$X$193</f>
        <v>1950.3193200000001</v>
      </c>
      <c r="AE193" s="4">
        <f>$K$193*$Y$193</f>
        <v>0</v>
      </c>
      <c r="AF193" s="4">
        <f ca="1">$M$193*$Z$193</f>
        <v>1199.0829300000003</v>
      </c>
      <c r="AG193" s="4">
        <f ca="1">$O$193*$AA$193</f>
        <v>2011.2752409755267</v>
      </c>
    </row>
    <row r="194" spans="1:33" ht="11.25" customHeight="1" x14ac:dyDescent="0.3">
      <c r="A194" s="3" t="s">
        <v>21</v>
      </c>
      <c r="B194" s="3" t="s">
        <v>39</v>
      </c>
      <c r="C194" s="3" t="s">
        <v>40</v>
      </c>
      <c r="D194" s="3" t="s">
        <v>44</v>
      </c>
      <c r="E194" s="3" t="s">
        <v>25</v>
      </c>
      <c r="F194" s="3" t="s">
        <v>25</v>
      </c>
      <c r="G194" s="3" t="s">
        <v>25</v>
      </c>
      <c r="H194" s="3" t="s">
        <v>35</v>
      </c>
      <c r="I194" s="6">
        <v>44593</v>
      </c>
      <c r="J194" s="4">
        <v>0</v>
      </c>
      <c r="K194" s="4">
        <v>0</v>
      </c>
      <c r="L194" s="4">
        <v>9.8369999999999997</v>
      </c>
      <c r="M194" s="4">
        <v>9.8369999999999997</v>
      </c>
      <c r="N194" s="4">
        <v>9.8369999999999997</v>
      </c>
      <c r="O194" s="4">
        <v>9.8369999999999997</v>
      </c>
      <c r="P194" s="4">
        <v>0</v>
      </c>
      <c r="Q194" s="3" t="s">
        <v>26</v>
      </c>
      <c r="R194" s="3">
        <v>0</v>
      </c>
      <c r="S194" s="4">
        <v>0</v>
      </c>
      <c r="T194" s="4">
        <v>11</v>
      </c>
      <c r="U194" s="4">
        <v>52</v>
      </c>
      <c r="V194" s="4">
        <f>IF(ISERROR(VLOOKUP($S$194,'TAR FIN'!$A$1:$O$91,15,0)),0,VLOOKUP($S$194,'TAR FIN'!$A$1:$O$91,15,0))</f>
        <v>0</v>
      </c>
      <c r="W194" s="4">
        <f>IF(ISERROR(VLOOKUP($T$194,'TAR FIN'!$A$1:$O$91,15,0)),0,VLOOKUP($T$194,'TAR FIN'!$A$1:$O$91,15,0))</f>
        <v>90.54</v>
      </c>
      <c r="X194" s="4">
        <f>IF(ISERROR(VLOOKUP($U$194,'TAR FIN'!$A$1:$O$91,15,0)),0,VLOOKUP($U$194,'TAR FIN'!$A$1:$O$91,15,0))</f>
        <v>189.96</v>
      </c>
      <c r="Y194" s="4"/>
      <c r="Z194" s="4">
        <f ca="1">('TUSD BE'!$AM$15+'TUSD BF_350'!$AM$15+'TUSD CVA'!$AM$15)*1</f>
        <v>116.79000000000002</v>
      </c>
      <c r="AA194" s="4">
        <f ca="1">('TE BE'!$AB$6+'TE BF_350'!$AB$6+'TE CVA'!$AB$6)*1</f>
        <v>195.89707226799715</v>
      </c>
      <c r="AB194" s="4">
        <f>$K$194*$V$194</f>
        <v>0</v>
      </c>
      <c r="AC194" s="4">
        <f>$M$194*$W$194</f>
        <v>890.64197999999999</v>
      </c>
      <c r="AD194" s="4">
        <f>$O$194*$X$194</f>
        <v>1868.63652</v>
      </c>
      <c r="AE194" s="4">
        <f>$K$194*$Y$194</f>
        <v>0</v>
      </c>
      <c r="AF194" s="4">
        <f ca="1">$M$194*$Z$194</f>
        <v>1148.8632300000002</v>
      </c>
      <c r="AG194" s="4">
        <f ca="1">$O$194*$AA$194</f>
        <v>1927.0394999002879</v>
      </c>
    </row>
    <row r="195" spans="1:33" ht="11.25" customHeight="1" x14ac:dyDescent="0.3">
      <c r="A195" s="3" t="s">
        <v>21</v>
      </c>
      <c r="B195" s="3" t="s">
        <v>39</v>
      </c>
      <c r="C195" s="3" t="s">
        <v>40</v>
      </c>
      <c r="D195" s="3" t="s">
        <v>44</v>
      </c>
      <c r="E195" s="3" t="s">
        <v>25</v>
      </c>
      <c r="F195" s="3" t="s">
        <v>25</v>
      </c>
      <c r="G195" s="3" t="s">
        <v>25</v>
      </c>
      <c r="H195" s="3" t="s">
        <v>35</v>
      </c>
      <c r="I195" s="6">
        <v>44621</v>
      </c>
      <c r="J195" s="4">
        <v>0</v>
      </c>
      <c r="K195" s="4">
        <v>0</v>
      </c>
      <c r="L195" s="4">
        <v>10.686999999999999</v>
      </c>
      <c r="M195" s="4">
        <v>10.686999999999999</v>
      </c>
      <c r="N195" s="4">
        <v>10.686999999999999</v>
      </c>
      <c r="O195" s="4">
        <v>10.686999999999999</v>
      </c>
      <c r="P195" s="4">
        <v>0</v>
      </c>
      <c r="Q195" s="3" t="s">
        <v>26</v>
      </c>
      <c r="R195" s="3">
        <v>0</v>
      </c>
      <c r="S195" s="4">
        <v>0</v>
      </c>
      <c r="T195" s="4">
        <v>11</v>
      </c>
      <c r="U195" s="4">
        <v>52</v>
      </c>
      <c r="V195" s="4">
        <f>IF(ISERROR(VLOOKUP($S$195,'TAR FIN'!$A$1:$O$91,15,0)),0,VLOOKUP($S$195,'TAR FIN'!$A$1:$O$91,15,0))</f>
        <v>0</v>
      </c>
      <c r="W195" s="4">
        <f>IF(ISERROR(VLOOKUP($T$195,'TAR FIN'!$A$1:$O$91,15,0)),0,VLOOKUP($T$195,'TAR FIN'!$A$1:$O$91,15,0))</f>
        <v>90.54</v>
      </c>
      <c r="X195" s="4">
        <f>IF(ISERROR(VLOOKUP($U$195,'TAR FIN'!$A$1:$O$91,15,0)),0,VLOOKUP($U$195,'TAR FIN'!$A$1:$O$91,15,0))</f>
        <v>189.96</v>
      </c>
      <c r="Y195" s="4"/>
      <c r="Z195" s="4">
        <f ca="1">('TUSD BE'!$AM$15+'TUSD BF_350'!$AM$15+'TUSD CVA'!$AM$15)*1</f>
        <v>116.79000000000002</v>
      </c>
      <c r="AA195" s="4">
        <f ca="1">('TE BE'!$AB$6+'TE BF_350'!$AB$6+'TE CVA'!$AB$6)*1</f>
        <v>195.89707226799715</v>
      </c>
      <c r="AB195" s="4">
        <f>$K$195*$V$195</f>
        <v>0</v>
      </c>
      <c r="AC195" s="4">
        <f>$M$195*$W$195</f>
        <v>967.60098000000005</v>
      </c>
      <c r="AD195" s="4">
        <f>$O$195*$X$195</f>
        <v>2030.1025199999999</v>
      </c>
      <c r="AE195" s="4">
        <f>$K$195*$Y$195</f>
        <v>0</v>
      </c>
      <c r="AF195" s="4">
        <f ca="1">$M$195*$Z$195</f>
        <v>1248.1347300000002</v>
      </c>
      <c r="AG195" s="4">
        <f ca="1">$O$195*$AA$195</f>
        <v>2093.5520113280854</v>
      </c>
    </row>
    <row r="196" spans="1:33" ht="11.25" customHeight="1" x14ac:dyDescent="0.3">
      <c r="A196" s="3" t="s">
        <v>21</v>
      </c>
      <c r="B196" s="3" t="s">
        <v>39</v>
      </c>
      <c r="C196" s="3" t="s">
        <v>40</v>
      </c>
      <c r="D196" s="3" t="s">
        <v>44</v>
      </c>
      <c r="E196" s="3" t="s">
        <v>25</v>
      </c>
      <c r="F196" s="3" t="s">
        <v>25</v>
      </c>
      <c r="G196" s="3" t="s">
        <v>25</v>
      </c>
      <c r="H196" s="3" t="s">
        <v>35</v>
      </c>
      <c r="I196" s="6">
        <v>44652</v>
      </c>
      <c r="J196" s="4">
        <v>0</v>
      </c>
      <c r="K196" s="4">
        <v>0</v>
      </c>
      <c r="L196" s="4">
        <v>7.8630000000000004</v>
      </c>
      <c r="M196" s="4">
        <v>7.8630000000000004</v>
      </c>
      <c r="N196" s="4">
        <v>7.8630000000000004</v>
      </c>
      <c r="O196" s="4">
        <v>7.8630000000000004</v>
      </c>
      <c r="P196" s="4">
        <v>0</v>
      </c>
      <c r="Q196" s="3" t="s">
        <v>26</v>
      </c>
      <c r="R196" s="3">
        <v>0</v>
      </c>
      <c r="S196" s="4">
        <v>0</v>
      </c>
      <c r="T196" s="4">
        <v>11</v>
      </c>
      <c r="U196" s="4">
        <v>52</v>
      </c>
      <c r="V196" s="4">
        <f>IF(ISERROR(VLOOKUP($S$196,'TAR FIN'!$A$1:$O$91,15,0)),0,VLOOKUP($S$196,'TAR FIN'!$A$1:$O$91,15,0))</f>
        <v>0</v>
      </c>
      <c r="W196" s="4">
        <f>IF(ISERROR(VLOOKUP($T$196,'TAR FIN'!$A$1:$O$91,15,0)),0,VLOOKUP($T$196,'TAR FIN'!$A$1:$O$91,15,0))</f>
        <v>90.54</v>
      </c>
      <c r="X196" s="4">
        <f>IF(ISERROR(VLOOKUP($U$196,'TAR FIN'!$A$1:$O$91,15,0)),0,VLOOKUP($U$196,'TAR FIN'!$A$1:$O$91,15,0))</f>
        <v>189.96</v>
      </c>
      <c r="Y196" s="4"/>
      <c r="Z196" s="4">
        <f ca="1">('TUSD BE'!$AM$15+'TUSD BF_350'!$AM$15+'TUSD CVA'!$AM$15)*1</f>
        <v>116.79000000000002</v>
      </c>
      <c r="AA196" s="4">
        <f ca="1">('TE BE'!$AB$6+'TE BF_350'!$AB$6+'TE CVA'!$AB$6)*1</f>
        <v>195.89707226799715</v>
      </c>
      <c r="AB196" s="4">
        <f>$K$196*$V$196</f>
        <v>0</v>
      </c>
      <c r="AC196" s="4">
        <f>$M$196*$W$196</f>
        <v>711.91602000000012</v>
      </c>
      <c r="AD196" s="4">
        <f>$O$196*$X$196</f>
        <v>1493.6554800000001</v>
      </c>
      <c r="AE196" s="4">
        <f>$K$196*$Y$196</f>
        <v>0</v>
      </c>
      <c r="AF196" s="4">
        <f ca="1">$M$196*$Z$196</f>
        <v>918.31977000000018</v>
      </c>
      <c r="AG196" s="4">
        <f ca="1">$O$196*$AA$196</f>
        <v>1540.3386792432616</v>
      </c>
    </row>
    <row r="197" spans="1:33" ht="11.25" customHeight="1" x14ac:dyDescent="0.3">
      <c r="A197" s="3" t="s">
        <v>21</v>
      </c>
      <c r="B197" s="3" t="s">
        <v>39</v>
      </c>
      <c r="C197" s="3" t="s">
        <v>40</v>
      </c>
      <c r="D197" s="3" t="s">
        <v>44</v>
      </c>
      <c r="E197" s="3" t="s">
        <v>25</v>
      </c>
      <c r="F197" s="3" t="s">
        <v>25</v>
      </c>
      <c r="G197" s="3" t="s">
        <v>25</v>
      </c>
      <c r="H197" s="3" t="s">
        <v>35</v>
      </c>
      <c r="I197" s="6">
        <v>44682</v>
      </c>
      <c r="J197" s="4">
        <v>0</v>
      </c>
      <c r="K197" s="4">
        <v>0</v>
      </c>
      <c r="L197" s="4">
        <v>9.3170000000000002</v>
      </c>
      <c r="M197" s="4">
        <v>9.3170000000000002</v>
      </c>
      <c r="N197" s="4">
        <v>9.3170000000000002</v>
      </c>
      <c r="O197" s="4">
        <v>9.3170000000000002</v>
      </c>
      <c r="P197" s="4">
        <v>0</v>
      </c>
      <c r="Q197" s="3" t="s">
        <v>26</v>
      </c>
      <c r="R197" s="3">
        <v>0</v>
      </c>
      <c r="S197" s="4">
        <v>0</v>
      </c>
      <c r="T197" s="4">
        <v>11</v>
      </c>
      <c r="U197" s="4">
        <v>52</v>
      </c>
      <c r="V197" s="4">
        <f>IF(ISERROR(VLOOKUP($S$197,'TAR FIN'!$A$1:$O$91,15,0)),0,VLOOKUP($S$197,'TAR FIN'!$A$1:$O$91,15,0))</f>
        <v>0</v>
      </c>
      <c r="W197" s="4">
        <f>IF(ISERROR(VLOOKUP($T$197,'TAR FIN'!$A$1:$O$91,15,0)),0,VLOOKUP($T$197,'TAR FIN'!$A$1:$O$91,15,0))</f>
        <v>90.54</v>
      </c>
      <c r="X197" s="4">
        <f>IF(ISERROR(VLOOKUP($U$197,'TAR FIN'!$A$1:$O$91,15,0)),0,VLOOKUP($U$197,'TAR FIN'!$A$1:$O$91,15,0))</f>
        <v>189.96</v>
      </c>
      <c r="Y197" s="4"/>
      <c r="Z197" s="4">
        <f ca="1">('TUSD BE'!$AM$15+'TUSD BF_350'!$AM$15+'TUSD CVA'!$AM$15)*1</f>
        <v>116.79000000000002</v>
      </c>
      <c r="AA197" s="4">
        <f ca="1">('TE BE'!$AB$6+'TE BF_350'!$AB$6+'TE CVA'!$AB$6)*1</f>
        <v>195.89707226799715</v>
      </c>
      <c r="AB197" s="4">
        <f>$K$197*$V$197</f>
        <v>0</v>
      </c>
      <c r="AC197" s="4">
        <f>$M$197*$W$197</f>
        <v>843.56118000000004</v>
      </c>
      <c r="AD197" s="4">
        <f>$O$197*$X$197</f>
        <v>1769.8573200000001</v>
      </c>
      <c r="AE197" s="4">
        <f>$K$197*$Y$197</f>
        <v>0</v>
      </c>
      <c r="AF197" s="4">
        <f ca="1">$M$197*$Z$197</f>
        <v>1088.1324300000001</v>
      </c>
      <c r="AG197" s="4">
        <f ca="1">$O$197*$AA$197</f>
        <v>1825.1730223209295</v>
      </c>
    </row>
    <row r="198" spans="1:33" ht="11.25" customHeight="1" x14ac:dyDescent="0.3">
      <c r="A198" s="3" t="s">
        <v>21</v>
      </c>
      <c r="B198" s="3" t="s">
        <v>39</v>
      </c>
      <c r="C198" s="3" t="s">
        <v>40</v>
      </c>
      <c r="D198" s="3" t="s">
        <v>44</v>
      </c>
      <c r="E198" s="3" t="s">
        <v>25</v>
      </c>
      <c r="F198" s="3" t="s">
        <v>25</v>
      </c>
      <c r="G198" s="3" t="s">
        <v>25</v>
      </c>
      <c r="H198" s="3" t="s">
        <v>35</v>
      </c>
      <c r="I198" s="6">
        <v>44713</v>
      </c>
      <c r="J198" s="4">
        <v>0</v>
      </c>
      <c r="K198" s="4">
        <v>0</v>
      </c>
      <c r="L198" s="4">
        <v>10.135999999999999</v>
      </c>
      <c r="M198" s="4">
        <v>10.135999999999999</v>
      </c>
      <c r="N198" s="4">
        <v>10.135999999999999</v>
      </c>
      <c r="O198" s="4">
        <v>10.135999999999999</v>
      </c>
      <c r="P198" s="4">
        <v>0</v>
      </c>
      <c r="Q198" s="3" t="s">
        <v>26</v>
      </c>
      <c r="R198" s="3">
        <v>0</v>
      </c>
      <c r="S198" s="4">
        <v>0</v>
      </c>
      <c r="T198" s="4">
        <v>11</v>
      </c>
      <c r="U198" s="4">
        <v>52</v>
      </c>
      <c r="V198" s="4">
        <f>IF(ISERROR(VLOOKUP($S$198,'TAR FIN'!$A$1:$O$91,15,0)),0,VLOOKUP($S$198,'TAR FIN'!$A$1:$O$91,15,0))</f>
        <v>0</v>
      </c>
      <c r="W198" s="4">
        <f>IF(ISERROR(VLOOKUP($T$198,'TAR FIN'!$A$1:$O$91,15,0)),0,VLOOKUP($T$198,'TAR FIN'!$A$1:$O$91,15,0))</f>
        <v>90.54</v>
      </c>
      <c r="X198" s="4">
        <f>IF(ISERROR(VLOOKUP($U$198,'TAR FIN'!$A$1:$O$91,15,0)),0,VLOOKUP($U$198,'TAR FIN'!$A$1:$O$91,15,0))</f>
        <v>189.96</v>
      </c>
      <c r="Y198" s="4"/>
      <c r="Z198" s="4">
        <f ca="1">('TUSD BE'!$AM$15+'TUSD BF_350'!$AM$15+'TUSD CVA'!$AM$15)*1</f>
        <v>116.79000000000002</v>
      </c>
      <c r="AA198" s="4">
        <f ca="1">('TE BE'!$AB$6+'TE BF_350'!$AB$6+'TE CVA'!$AB$6)*1</f>
        <v>195.89707226799715</v>
      </c>
      <c r="AB198" s="4">
        <f>$K$198*$V$198</f>
        <v>0</v>
      </c>
      <c r="AC198" s="4">
        <f>$M$198*$W$198</f>
        <v>917.71343999999999</v>
      </c>
      <c r="AD198" s="4">
        <f>$O$198*$X$198</f>
        <v>1925.4345599999999</v>
      </c>
      <c r="AE198" s="4">
        <f>$K$198*$Y$198</f>
        <v>0</v>
      </c>
      <c r="AF198" s="4">
        <f ca="1">$M$198*$Z$198</f>
        <v>1183.7834400000002</v>
      </c>
      <c r="AG198" s="4">
        <f ca="1">$O$198*$AA$198</f>
        <v>1985.612724508419</v>
      </c>
    </row>
    <row r="199" spans="1:33" ht="11.25" customHeight="1" x14ac:dyDescent="0.3">
      <c r="A199" s="3" t="s">
        <v>21</v>
      </c>
      <c r="B199" s="3" t="s">
        <v>39</v>
      </c>
      <c r="C199" s="3" t="s">
        <v>40</v>
      </c>
      <c r="D199" s="3" t="s">
        <v>44</v>
      </c>
      <c r="E199" s="3" t="s">
        <v>25</v>
      </c>
      <c r="F199" s="3" t="s">
        <v>25</v>
      </c>
      <c r="G199" s="3" t="s">
        <v>25</v>
      </c>
      <c r="H199" s="3" t="s">
        <v>25</v>
      </c>
      <c r="I199" s="6">
        <v>44378</v>
      </c>
      <c r="J199" s="4">
        <v>133</v>
      </c>
      <c r="K199" s="4">
        <v>133</v>
      </c>
      <c r="L199" s="4">
        <v>0</v>
      </c>
      <c r="M199" s="4">
        <v>0</v>
      </c>
      <c r="N199" s="4">
        <v>0</v>
      </c>
      <c r="O199" s="4">
        <v>0</v>
      </c>
      <c r="P199" s="4">
        <v>4</v>
      </c>
      <c r="Q199" s="3" t="s">
        <v>26</v>
      </c>
      <c r="R199" s="3">
        <v>0</v>
      </c>
      <c r="S199" s="4">
        <v>9</v>
      </c>
      <c r="T199" s="4">
        <v>0</v>
      </c>
      <c r="U199" s="4">
        <v>0</v>
      </c>
      <c r="V199" s="4">
        <f>IF(ISERROR(VLOOKUP($S$199,'TAR FIN'!$A$1:$O$91,15,0)),0,VLOOKUP($S$199,'TAR FIN'!$A$1:$O$91,15,0))</f>
        <v>33.97</v>
      </c>
      <c r="W199" s="4">
        <f>IF(ISERROR(VLOOKUP($T$199,'TAR FIN'!$A$1:$O$91,15,0)),0,VLOOKUP($T$199,'TAR FIN'!$A$1:$O$91,15,0))</f>
        <v>0</v>
      </c>
      <c r="X199" s="4">
        <f>IF(ISERROR(VLOOKUP($U$199,'TAR FIN'!$A$1:$O$91,15,0)),0,VLOOKUP($U$199,'TAR FIN'!$A$1:$O$91,15,0))</f>
        <v>0</v>
      </c>
      <c r="Y199" s="4">
        <f ca="1">('TUSD BE'!$AM$13+'TUSD BF_350'!$AM$13+'TUSD CVA'!$AM$13)*1</f>
        <v>32.31</v>
      </c>
      <c r="Z199" s="4"/>
      <c r="AA199" s="4"/>
      <c r="AB199" s="4">
        <f>$K$199*$V$199</f>
        <v>4518.01</v>
      </c>
      <c r="AC199" s="4">
        <f>$M$199*$W$199</f>
        <v>0</v>
      </c>
      <c r="AD199" s="4">
        <f>$O$199*$X$199</f>
        <v>0</v>
      </c>
      <c r="AE199" s="4">
        <f ca="1">$K$199*$Y$199</f>
        <v>4297.2300000000005</v>
      </c>
      <c r="AF199" s="4">
        <f>$M$199*$Z$199</f>
        <v>0</v>
      </c>
      <c r="AG199" s="4">
        <f>$O$199*$AA$199</f>
        <v>0</v>
      </c>
    </row>
    <row r="200" spans="1:33" ht="11.25" customHeight="1" x14ac:dyDescent="0.3">
      <c r="A200" s="3" t="s">
        <v>21</v>
      </c>
      <c r="B200" s="3" t="s">
        <v>39</v>
      </c>
      <c r="C200" s="3" t="s">
        <v>40</v>
      </c>
      <c r="D200" s="3" t="s">
        <v>44</v>
      </c>
      <c r="E200" s="3" t="s">
        <v>25</v>
      </c>
      <c r="F200" s="3" t="s">
        <v>25</v>
      </c>
      <c r="G200" s="3" t="s">
        <v>25</v>
      </c>
      <c r="H200" s="3" t="s">
        <v>25</v>
      </c>
      <c r="I200" s="6">
        <v>44409</v>
      </c>
      <c r="J200" s="4">
        <v>130</v>
      </c>
      <c r="K200" s="4">
        <v>130</v>
      </c>
      <c r="L200" s="4">
        <v>0</v>
      </c>
      <c r="M200" s="4">
        <v>0</v>
      </c>
      <c r="N200" s="4">
        <v>0</v>
      </c>
      <c r="O200" s="4">
        <v>0</v>
      </c>
      <c r="P200" s="4">
        <v>4</v>
      </c>
      <c r="Q200" s="3" t="s">
        <v>26</v>
      </c>
      <c r="R200" s="3">
        <v>0</v>
      </c>
      <c r="S200" s="4">
        <v>9</v>
      </c>
      <c r="T200" s="4">
        <v>0</v>
      </c>
      <c r="U200" s="4">
        <v>0</v>
      </c>
      <c r="V200" s="4">
        <f>IF(ISERROR(VLOOKUP($S$200,'TAR FIN'!$A$1:$O$91,15,0)),0,VLOOKUP($S$200,'TAR FIN'!$A$1:$O$91,15,0))</f>
        <v>33.97</v>
      </c>
      <c r="W200" s="4">
        <f>IF(ISERROR(VLOOKUP($T$200,'TAR FIN'!$A$1:$O$91,15,0)),0,VLOOKUP($T$200,'TAR FIN'!$A$1:$O$91,15,0))</f>
        <v>0</v>
      </c>
      <c r="X200" s="4">
        <f>IF(ISERROR(VLOOKUP($U$200,'TAR FIN'!$A$1:$O$91,15,0)),0,VLOOKUP($U$200,'TAR FIN'!$A$1:$O$91,15,0))</f>
        <v>0</v>
      </c>
      <c r="Y200" s="4">
        <f ca="1">('TUSD BE'!$AM$13+'TUSD BF_350'!$AM$13+'TUSD CVA'!$AM$13)*1</f>
        <v>32.31</v>
      </c>
      <c r="Z200" s="4"/>
      <c r="AA200" s="4"/>
      <c r="AB200" s="4">
        <f>$K$200*$V$200</f>
        <v>4416.0999999999995</v>
      </c>
      <c r="AC200" s="4">
        <f>$M$200*$W$200</f>
        <v>0</v>
      </c>
      <c r="AD200" s="4">
        <f>$O$200*$X$200</f>
        <v>0</v>
      </c>
      <c r="AE200" s="4">
        <f ca="1">$K$200*$Y$200</f>
        <v>4200.3</v>
      </c>
      <c r="AF200" s="4">
        <f>$M$200*$Z$200</f>
        <v>0</v>
      </c>
      <c r="AG200" s="4">
        <f>$O$200*$AA$200</f>
        <v>0</v>
      </c>
    </row>
    <row r="201" spans="1:33" ht="11.25" customHeight="1" x14ac:dyDescent="0.3">
      <c r="A201" s="3" t="s">
        <v>21</v>
      </c>
      <c r="B201" s="3" t="s">
        <v>39</v>
      </c>
      <c r="C201" s="3" t="s">
        <v>40</v>
      </c>
      <c r="D201" s="3" t="s">
        <v>44</v>
      </c>
      <c r="E201" s="3" t="s">
        <v>25</v>
      </c>
      <c r="F201" s="3" t="s">
        <v>25</v>
      </c>
      <c r="G201" s="3" t="s">
        <v>25</v>
      </c>
      <c r="H201" s="3" t="s">
        <v>25</v>
      </c>
      <c r="I201" s="6">
        <v>44440</v>
      </c>
      <c r="J201" s="4">
        <v>130</v>
      </c>
      <c r="K201" s="4">
        <v>130</v>
      </c>
      <c r="L201" s="4">
        <v>0</v>
      </c>
      <c r="M201" s="4">
        <v>0</v>
      </c>
      <c r="N201" s="4">
        <v>0</v>
      </c>
      <c r="O201" s="4">
        <v>0</v>
      </c>
      <c r="P201" s="4">
        <v>4</v>
      </c>
      <c r="Q201" s="3" t="s">
        <v>26</v>
      </c>
      <c r="R201" s="3">
        <v>0</v>
      </c>
      <c r="S201" s="4">
        <v>9</v>
      </c>
      <c r="T201" s="4">
        <v>0</v>
      </c>
      <c r="U201" s="4">
        <v>0</v>
      </c>
      <c r="V201" s="4">
        <f>IF(ISERROR(VLOOKUP($S$201,'TAR FIN'!$A$1:$O$91,15,0)),0,VLOOKUP($S$201,'TAR FIN'!$A$1:$O$91,15,0))</f>
        <v>33.97</v>
      </c>
      <c r="W201" s="4">
        <f>IF(ISERROR(VLOOKUP($T$201,'TAR FIN'!$A$1:$O$91,15,0)),0,VLOOKUP($T$201,'TAR FIN'!$A$1:$O$91,15,0))</f>
        <v>0</v>
      </c>
      <c r="X201" s="4">
        <f>IF(ISERROR(VLOOKUP($U$201,'TAR FIN'!$A$1:$O$91,15,0)),0,VLOOKUP($U$201,'TAR FIN'!$A$1:$O$91,15,0))</f>
        <v>0</v>
      </c>
      <c r="Y201" s="4">
        <f ca="1">('TUSD BE'!$AM$13+'TUSD BF_350'!$AM$13+'TUSD CVA'!$AM$13)*1</f>
        <v>32.31</v>
      </c>
      <c r="Z201" s="4"/>
      <c r="AA201" s="4"/>
      <c r="AB201" s="4">
        <f>$K$201*$V$201</f>
        <v>4416.0999999999995</v>
      </c>
      <c r="AC201" s="4">
        <f>$M$201*$W$201</f>
        <v>0</v>
      </c>
      <c r="AD201" s="4">
        <f>$O$201*$X$201</f>
        <v>0</v>
      </c>
      <c r="AE201" s="4">
        <f ca="1">$K$201*$Y$201</f>
        <v>4200.3</v>
      </c>
      <c r="AF201" s="4">
        <f>$M$201*$Z$201</f>
        <v>0</v>
      </c>
      <c r="AG201" s="4">
        <f>$O$201*$AA$201</f>
        <v>0</v>
      </c>
    </row>
    <row r="202" spans="1:33" ht="11.25" customHeight="1" x14ac:dyDescent="0.3">
      <c r="A202" s="3" t="s">
        <v>21</v>
      </c>
      <c r="B202" s="3" t="s">
        <v>39</v>
      </c>
      <c r="C202" s="3" t="s">
        <v>40</v>
      </c>
      <c r="D202" s="3" t="s">
        <v>44</v>
      </c>
      <c r="E202" s="3" t="s">
        <v>25</v>
      </c>
      <c r="F202" s="3" t="s">
        <v>25</v>
      </c>
      <c r="G202" s="3" t="s">
        <v>25</v>
      </c>
      <c r="H202" s="3" t="s">
        <v>25</v>
      </c>
      <c r="I202" s="6">
        <v>44470</v>
      </c>
      <c r="J202" s="4">
        <v>130</v>
      </c>
      <c r="K202" s="4">
        <v>130</v>
      </c>
      <c r="L202" s="4">
        <v>0</v>
      </c>
      <c r="M202" s="4">
        <v>0</v>
      </c>
      <c r="N202" s="4">
        <v>0</v>
      </c>
      <c r="O202" s="4">
        <v>0</v>
      </c>
      <c r="P202" s="4">
        <v>4</v>
      </c>
      <c r="Q202" s="3" t="s">
        <v>26</v>
      </c>
      <c r="R202" s="3">
        <v>0</v>
      </c>
      <c r="S202" s="4">
        <v>9</v>
      </c>
      <c r="T202" s="4">
        <v>0</v>
      </c>
      <c r="U202" s="4">
        <v>0</v>
      </c>
      <c r="V202" s="4">
        <f>IF(ISERROR(VLOOKUP($S$202,'TAR FIN'!$A$1:$O$91,15,0)),0,VLOOKUP($S$202,'TAR FIN'!$A$1:$O$91,15,0))</f>
        <v>33.97</v>
      </c>
      <c r="W202" s="4">
        <f>IF(ISERROR(VLOOKUP($T$202,'TAR FIN'!$A$1:$O$91,15,0)),0,VLOOKUP($T$202,'TAR FIN'!$A$1:$O$91,15,0))</f>
        <v>0</v>
      </c>
      <c r="X202" s="4">
        <f>IF(ISERROR(VLOOKUP($U$202,'TAR FIN'!$A$1:$O$91,15,0)),0,VLOOKUP($U$202,'TAR FIN'!$A$1:$O$91,15,0))</f>
        <v>0</v>
      </c>
      <c r="Y202" s="4">
        <f ca="1">('TUSD BE'!$AM$13+'TUSD BF_350'!$AM$13+'TUSD CVA'!$AM$13)*1</f>
        <v>32.31</v>
      </c>
      <c r="Z202" s="4"/>
      <c r="AA202" s="4"/>
      <c r="AB202" s="4">
        <f>$K$202*$V$202</f>
        <v>4416.0999999999995</v>
      </c>
      <c r="AC202" s="4">
        <f>$M$202*$W$202</f>
        <v>0</v>
      </c>
      <c r="AD202" s="4">
        <f>$O$202*$X$202</f>
        <v>0</v>
      </c>
      <c r="AE202" s="4">
        <f ca="1">$K$202*$Y$202</f>
        <v>4200.3</v>
      </c>
      <c r="AF202" s="4">
        <f>$M$202*$Z$202</f>
        <v>0</v>
      </c>
      <c r="AG202" s="4">
        <f>$O$202*$AA$202</f>
        <v>0</v>
      </c>
    </row>
    <row r="203" spans="1:33" ht="11.25" customHeight="1" x14ac:dyDescent="0.3">
      <c r="A203" s="3" t="s">
        <v>21</v>
      </c>
      <c r="B203" s="3" t="s">
        <v>39</v>
      </c>
      <c r="C203" s="3" t="s">
        <v>40</v>
      </c>
      <c r="D203" s="3" t="s">
        <v>44</v>
      </c>
      <c r="E203" s="3" t="s">
        <v>25</v>
      </c>
      <c r="F203" s="3" t="s">
        <v>25</v>
      </c>
      <c r="G203" s="3" t="s">
        <v>25</v>
      </c>
      <c r="H203" s="3" t="s">
        <v>25</v>
      </c>
      <c r="I203" s="6">
        <v>44501</v>
      </c>
      <c r="J203" s="4">
        <v>130</v>
      </c>
      <c r="K203" s="4">
        <v>130</v>
      </c>
      <c r="L203" s="4">
        <v>0</v>
      </c>
      <c r="M203" s="4">
        <v>0</v>
      </c>
      <c r="N203" s="4">
        <v>0</v>
      </c>
      <c r="O203" s="4">
        <v>0</v>
      </c>
      <c r="P203" s="4">
        <v>4</v>
      </c>
      <c r="Q203" s="3" t="s">
        <v>26</v>
      </c>
      <c r="R203" s="3">
        <v>0</v>
      </c>
      <c r="S203" s="4">
        <v>9</v>
      </c>
      <c r="T203" s="4">
        <v>0</v>
      </c>
      <c r="U203" s="4">
        <v>0</v>
      </c>
      <c r="V203" s="4">
        <f>IF(ISERROR(VLOOKUP($S$203,'TAR FIN'!$A$1:$O$91,15,0)),0,VLOOKUP($S$203,'TAR FIN'!$A$1:$O$91,15,0))</f>
        <v>33.97</v>
      </c>
      <c r="W203" s="4">
        <f>IF(ISERROR(VLOOKUP($T$203,'TAR FIN'!$A$1:$O$91,15,0)),0,VLOOKUP($T$203,'TAR FIN'!$A$1:$O$91,15,0))</f>
        <v>0</v>
      </c>
      <c r="X203" s="4">
        <f>IF(ISERROR(VLOOKUP($U$203,'TAR FIN'!$A$1:$O$91,15,0)),0,VLOOKUP($U$203,'TAR FIN'!$A$1:$O$91,15,0))</f>
        <v>0</v>
      </c>
      <c r="Y203" s="4">
        <f ca="1">('TUSD BE'!$AM$13+'TUSD BF_350'!$AM$13+'TUSD CVA'!$AM$13)*1</f>
        <v>32.31</v>
      </c>
      <c r="Z203" s="4"/>
      <c r="AA203" s="4"/>
      <c r="AB203" s="4">
        <f>$K$203*$V$203</f>
        <v>4416.0999999999995</v>
      </c>
      <c r="AC203" s="4">
        <f>$M$203*$W$203</f>
        <v>0</v>
      </c>
      <c r="AD203" s="4">
        <f>$O$203*$X$203</f>
        <v>0</v>
      </c>
      <c r="AE203" s="4">
        <f ca="1">$K$203*$Y$203</f>
        <v>4200.3</v>
      </c>
      <c r="AF203" s="4">
        <f>$M$203*$Z$203</f>
        <v>0</v>
      </c>
      <c r="AG203" s="4">
        <f>$O$203*$AA$203</f>
        <v>0</v>
      </c>
    </row>
    <row r="204" spans="1:33" ht="11.25" customHeight="1" x14ac:dyDescent="0.3">
      <c r="A204" s="3" t="s">
        <v>21</v>
      </c>
      <c r="B204" s="3" t="s">
        <v>39</v>
      </c>
      <c r="C204" s="3" t="s">
        <v>40</v>
      </c>
      <c r="D204" s="3" t="s">
        <v>44</v>
      </c>
      <c r="E204" s="3" t="s">
        <v>25</v>
      </c>
      <c r="F204" s="3" t="s">
        <v>25</v>
      </c>
      <c r="G204" s="3" t="s">
        <v>25</v>
      </c>
      <c r="H204" s="3" t="s">
        <v>25</v>
      </c>
      <c r="I204" s="6">
        <v>44531</v>
      </c>
      <c r="J204" s="4">
        <v>130</v>
      </c>
      <c r="K204" s="4">
        <v>130</v>
      </c>
      <c r="L204" s="4">
        <v>0</v>
      </c>
      <c r="M204" s="4">
        <v>0</v>
      </c>
      <c r="N204" s="4">
        <v>0</v>
      </c>
      <c r="O204" s="4">
        <v>0</v>
      </c>
      <c r="P204" s="4">
        <v>4</v>
      </c>
      <c r="Q204" s="3" t="s">
        <v>26</v>
      </c>
      <c r="R204" s="3">
        <v>0</v>
      </c>
      <c r="S204" s="4">
        <v>9</v>
      </c>
      <c r="T204" s="4">
        <v>0</v>
      </c>
      <c r="U204" s="4">
        <v>0</v>
      </c>
      <c r="V204" s="4">
        <f>IF(ISERROR(VLOOKUP($S$204,'TAR FIN'!$A$1:$O$91,15,0)),0,VLOOKUP($S$204,'TAR FIN'!$A$1:$O$91,15,0))</f>
        <v>33.97</v>
      </c>
      <c r="W204" s="4">
        <f>IF(ISERROR(VLOOKUP($T$204,'TAR FIN'!$A$1:$O$91,15,0)),0,VLOOKUP($T$204,'TAR FIN'!$A$1:$O$91,15,0))</f>
        <v>0</v>
      </c>
      <c r="X204" s="4">
        <f>IF(ISERROR(VLOOKUP($U$204,'TAR FIN'!$A$1:$O$91,15,0)),0,VLOOKUP($U$204,'TAR FIN'!$A$1:$O$91,15,0))</f>
        <v>0</v>
      </c>
      <c r="Y204" s="4">
        <f ca="1">('TUSD BE'!$AM$13+'TUSD BF_350'!$AM$13+'TUSD CVA'!$AM$13)*1</f>
        <v>32.31</v>
      </c>
      <c r="Z204" s="4"/>
      <c r="AA204" s="4"/>
      <c r="AB204" s="4">
        <f>$K$204*$V$204</f>
        <v>4416.0999999999995</v>
      </c>
      <c r="AC204" s="4">
        <f>$M$204*$W$204</f>
        <v>0</v>
      </c>
      <c r="AD204" s="4">
        <f>$O$204*$X$204</f>
        <v>0</v>
      </c>
      <c r="AE204" s="4">
        <f ca="1">$K$204*$Y$204</f>
        <v>4200.3</v>
      </c>
      <c r="AF204" s="4">
        <f>$M$204*$Z$204</f>
        <v>0</v>
      </c>
      <c r="AG204" s="4">
        <f>$O$204*$AA$204</f>
        <v>0</v>
      </c>
    </row>
    <row r="205" spans="1:33" ht="11.25" customHeight="1" x14ac:dyDescent="0.3">
      <c r="A205" s="3" t="s">
        <v>21</v>
      </c>
      <c r="B205" s="3" t="s">
        <v>39</v>
      </c>
      <c r="C205" s="3" t="s">
        <v>40</v>
      </c>
      <c r="D205" s="3" t="s">
        <v>44</v>
      </c>
      <c r="E205" s="3" t="s">
        <v>25</v>
      </c>
      <c r="F205" s="3" t="s">
        <v>25</v>
      </c>
      <c r="G205" s="3" t="s">
        <v>25</v>
      </c>
      <c r="H205" s="3" t="s">
        <v>25</v>
      </c>
      <c r="I205" s="6">
        <v>44562</v>
      </c>
      <c r="J205" s="4">
        <v>138</v>
      </c>
      <c r="K205" s="4">
        <v>138</v>
      </c>
      <c r="L205" s="4">
        <v>0</v>
      </c>
      <c r="M205" s="4">
        <v>0</v>
      </c>
      <c r="N205" s="4">
        <v>0</v>
      </c>
      <c r="O205" s="4">
        <v>0</v>
      </c>
      <c r="P205" s="4">
        <v>4</v>
      </c>
      <c r="Q205" s="3" t="s">
        <v>26</v>
      </c>
      <c r="R205" s="3">
        <v>0</v>
      </c>
      <c r="S205" s="4">
        <v>9</v>
      </c>
      <c r="T205" s="4">
        <v>0</v>
      </c>
      <c r="U205" s="4">
        <v>0</v>
      </c>
      <c r="V205" s="4">
        <f>IF(ISERROR(VLOOKUP($S$205,'TAR FIN'!$A$1:$O$91,15,0)),0,VLOOKUP($S$205,'TAR FIN'!$A$1:$O$91,15,0))</f>
        <v>33.97</v>
      </c>
      <c r="W205" s="4">
        <f>IF(ISERROR(VLOOKUP($T$205,'TAR FIN'!$A$1:$O$91,15,0)),0,VLOOKUP($T$205,'TAR FIN'!$A$1:$O$91,15,0))</f>
        <v>0</v>
      </c>
      <c r="X205" s="4">
        <f>IF(ISERROR(VLOOKUP($U$205,'TAR FIN'!$A$1:$O$91,15,0)),0,VLOOKUP($U$205,'TAR FIN'!$A$1:$O$91,15,0))</f>
        <v>0</v>
      </c>
      <c r="Y205" s="4">
        <f ca="1">('TUSD BE'!$AM$13+'TUSD BF_350'!$AM$13+'TUSD CVA'!$AM$13)*1</f>
        <v>32.31</v>
      </c>
      <c r="Z205" s="4"/>
      <c r="AA205" s="4"/>
      <c r="AB205" s="4">
        <f>$K$205*$V$205</f>
        <v>4687.8599999999997</v>
      </c>
      <c r="AC205" s="4">
        <f>$M$205*$W$205</f>
        <v>0</v>
      </c>
      <c r="AD205" s="4">
        <f>$O$205*$X$205</f>
        <v>0</v>
      </c>
      <c r="AE205" s="4">
        <f ca="1">$K$205*$Y$205</f>
        <v>4458.7800000000007</v>
      </c>
      <c r="AF205" s="4">
        <f>$M$205*$Z$205</f>
        <v>0</v>
      </c>
      <c r="AG205" s="4">
        <f>$O$205*$AA$205</f>
        <v>0</v>
      </c>
    </row>
    <row r="206" spans="1:33" ht="11.25" customHeight="1" x14ac:dyDescent="0.3">
      <c r="A206" s="3" t="s">
        <v>21</v>
      </c>
      <c r="B206" s="3" t="s">
        <v>39</v>
      </c>
      <c r="C206" s="3" t="s">
        <v>40</v>
      </c>
      <c r="D206" s="3" t="s">
        <v>44</v>
      </c>
      <c r="E206" s="3" t="s">
        <v>25</v>
      </c>
      <c r="F206" s="3" t="s">
        <v>25</v>
      </c>
      <c r="G206" s="3" t="s">
        <v>25</v>
      </c>
      <c r="H206" s="3" t="s">
        <v>25</v>
      </c>
      <c r="I206" s="6">
        <v>44593</v>
      </c>
      <c r="J206" s="4">
        <v>130</v>
      </c>
      <c r="K206" s="4">
        <v>130</v>
      </c>
      <c r="L206" s="4">
        <v>0</v>
      </c>
      <c r="M206" s="4">
        <v>0</v>
      </c>
      <c r="N206" s="4">
        <v>0</v>
      </c>
      <c r="O206" s="4">
        <v>0</v>
      </c>
      <c r="P206" s="4">
        <v>4</v>
      </c>
      <c r="Q206" s="3" t="s">
        <v>26</v>
      </c>
      <c r="R206" s="3">
        <v>0</v>
      </c>
      <c r="S206" s="4">
        <v>9</v>
      </c>
      <c r="T206" s="4">
        <v>0</v>
      </c>
      <c r="U206" s="4">
        <v>0</v>
      </c>
      <c r="V206" s="4">
        <f>IF(ISERROR(VLOOKUP($S$206,'TAR FIN'!$A$1:$O$91,15,0)),0,VLOOKUP($S$206,'TAR FIN'!$A$1:$O$91,15,0))</f>
        <v>33.97</v>
      </c>
      <c r="W206" s="4">
        <f>IF(ISERROR(VLOOKUP($T$206,'TAR FIN'!$A$1:$O$91,15,0)),0,VLOOKUP($T$206,'TAR FIN'!$A$1:$O$91,15,0))</f>
        <v>0</v>
      </c>
      <c r="X206" s="4">
        <f>IF(ISERROR(VLOOKUP($U$206,'TAR FIN'!$A$1:$O$91,15,0)),0,VLOOKUP($U$206,'TAR FIN'!$A$1:$O$91,15,0))</f>
        <v>0</v>
      </c>
      <c r="Y206" s="4">
        <f ca="1">('TUSD BE'!$AM$13+'TUSD BF_350'!$AM$13+'TUSD CVA'!$AM$13)*1</f>
        <v>32.31</v>
      </c>
      <c r="Z206" s="4"/>
      <c r="AA206" s="4"/>
      <c r="AB206" s="4">
        <f>$K$206*$V$206</f>
        <v>4416.0999999999995</v>
      </c>
      <c r="AC206" s="4">
        <f>$M$206*$W$206</f>
        <v>0</v>
      </c>
      <c r="AD206" s="4">
        <f>$O$206*$X$206</f>
        <v>0</v>
      </c>
      <c r="AE206" s="4">
        <f ca="1">$K$206*$Y$206</f>
        <v>4200.3</v>
      </c>
      <c r="AF206" s="4">
        <f>$M$206*$Z$206</f>
        <v>0</v>
      </c>
      <c r="AG206" s="4">
        <f>$O$206*$AA$206</f>
        <v>0</v>
      </c>
    </row>
    <row r="207" spans="1:33" ht="11.25" customHeight="1" x14ac:dyDescent="0.3">
      <c r="A207" s="3" t="s">
        <v>21</v>
      </c>
      <c r="B207" s="3" t="s">
        <v>39</v>
      </c>
      <c r="C207" s="3" t="s">
        <v>40</v>
      </c>
      <c r="D207" s="3" t="s">
        <v>44</v>
      </c>
      <c r="E207" s="3" t="s">
        <v>25</v>
      </c>
      <c r="F207" s="3" t="s">
        <v>25</v>
      </c>
      <c r="G207" s="3" t="s">
        <v>25</v>
      </c>
      <c r="H207" s="3" t="s">
        <v>25</v>
      </c>
      <c r="I207" s="6">
        <v>44621</v>
      </c>
      <c r="J207" s="4">
        <v>130</v>
      </c>
      <c r="K207" s="4">
        <v>130</v>
      </c>
      <c r="L207" s="4">
        <v>0</v>
      </c>
      <c r="M207" s="4">
        <v>0</v>
      </c>
      <c r="N207" s="4">
        <v>0</v>
      </c>
      <c r="O207" s="4">
        <v>0</v>
      </c>
      <c r="P207" s="4">
        <v>4</v>
      </c>
      <c r="Q207" s="3" t="s">
        <v>26</v>
      </c>
      <c r="R207" s="3">
        <v>0</v>
      </c>
      <c r="S207" s="4">
        <v>9</v>
      </c>
      <c r="T207" s="4">
        <v>0</v>
      </c>
      <c r="U207" s="4">
        <v>0</v>
      </c>
      <c r="V207" s="4">
        <f>IF(ISERROR(VLOOKUP($S$207,'TAR FIN'!$A$1:$O$91,15,0)),0,VLOOKUP($S$207,'TAR FIN'!$A$1:$O$91,15,0))</f>
        <v>33.97</v>
      </c>
      <c r="W207" s="4">
        <f>IF(ISERROR(VLOOKUP($T$207,'TAR FIN'!$A$1:$O$91,15,0)),0,VLOOKUP($T$207,'TAR FIN'!$A$1:$O$91,15,0))</f>
        <v>0</v>
      </c>
      <c r="X207" s="4">
        <f>IF(ISERROR(VLOOKUP($U$207,'TAR FIN'!$A$1:$O$91,15,0)),0,VLOOKUP($U$207,'TAR FIN'!$A$1:$O$91,15,0))</f>
        <v>0</v>
      </c>
      <c r="Y207" s="4">
        <f ca="1">('TUSD BE'!$AM$13+'TUSD BF_350'!$AM$13+'TUSD CVA'!$AM$13)*1</f>
        <v>32.31</v>
      </c>
      <c r="Z207" s="4"/>
      <c r="AA207" s="4"/>
      <c r="AB207" s="4">
        <f>$K$207*$V$207</f>
        <v>4416.0999999999995</v>
      </c>
      <c r="AC207" s="4">
        <f>$M$207*$W$207</f>
        <v>0</v>
      </c>
      <c r="AD207" s="4">
        <f>$O$207*$X$207</f>
        <v>0</v>
      </c>
      <c r="AE207" s="4">
        <f ca="1">$K$207*$Y$207</f>
        <v>4200.3</v>
      </c>
      <c r="AF207" s="4">
        <f>$M$207*$Z$207</f>
        <v>0</v>
      </c>
      <c r="AG207" s="4">
        <f>$O$207*$AA$207</f>
        <v>0</v>
      </c>
    </row>
    <row r="208" spans="1:33" ht="11.25" customHeight="1" x14ac:dyDescent="0.3">
      <c r="A208" s="3" t="s">
        <v>21</v>
      </c>
      <c r="B208" s="3" t="s">
        <v>39</v>
      </c>
      <c r="C208" s="3" t="s">
        <v>40</v>
      </c>
      <c r="D208" s="3" t="s">
        <v>44</v>
      </c>
      <c r="E208" s="3" t="s">
        <v>25</v>
      </c>
      <c r="F208" s="3" t="s">
        <v>25</v>
      </c>
      <c r="G208" s="3" t="s">
        <v>25</v>
      </c>
      <c r="H208" s="3" t="s">
        <v>25</v>
      </c>
      <c r="I208" s="6">
        <v>44652</v>
      </c>
      <c r="J208" s="4">
        <v>130</v>
      </c>
      <c r="K208" s="4">
        <v>130</v>
      </c>
      <c r="L208" s="4">
        <v>0</v>
      </c>
      <c r="M208" s="4">
        <v>0</v>
      </c>
      <c r="N208" s="4">
        <v>0</v>
      </c>
      <c r="O208" s="4">
        <v>0</v>
      </c>
      <c r="P208" s="4">
        <v>4</v>
      </c>
      <c r="Q208" s="3" t="s">
        <v>26</v>
      </c>
      <c r="R208" s="3">
        <v>0</v>
      </c>
      <c r="S208" s="4">
        <v>9</v>
      </c>
      <c r="T208" s="4">
        <v>0</v>
      </c>
      <c r="U208" s="4">
        <v>0</v>
      </c>
      <c r="V208" s="4">
        <f>IF(ISERROR(VLOOKUP($S$208,'TAR FIN'!$A$1:$O$91,15,0)),0,VLOOKUP($S$208,'TAR FIN'!$A$1:$O$91,15,0))</f>
        <v>33.97</v>
      </c>
      <c r="W208" s="4">
        <f>IF(ISERROR(VLOOKUP($T$208,'TAR FIN'!$A$1:$O$91,15,0)),0,VLOOKUP($T$208,'TAR FIN'!$A$1:$O$91,15,0))</f>
        <v>0</v>
      </c>
      <c r="X208" s="4">
        <f>IF(ISERROR(VLOOKUP($U$208,'TAR FIN'!$A$1:$O$91,15,0)),0,VLOOKUP($U$208,'TAR FIN'!$A$1:$O$91,15,0))</f>
        <v>0</v>
      </c>
      <c r="Y208" s="4">
        <f ca="1">('TUSD BE'!$AM$13+'TUSD BF_350'!$AM$13+'TUSD CVA'!$AM$13)*1</f>
        <v>32.31</v>
      </c>
      <c r="Z208" s="4"/>
      <c r="AA208" s="4"/>
      <c r="AB208" s="4">
        <f>$K$208*$V$208</f>
        <v>4416.0999999999995</v>
      </c>
      <c r="AC208" s="4">
        <f>$M$208*$W$208</f>
        <v>0</v>
      </c>
      <c r="AD208" s="4">
        <f>$O$208*$X$208</f>
        <v>0</v>
      </c>
      <c r="AE208" s="4">
        <f ca="1">$K$208*$Y$208</f>
        <v>4200.3</v>
      </c>
      <c r="AF208" s="4">
        <f>$M$208*$Z$208</f>
        <v>0</v>
      </c>
      <c r="AG208" s="4">
        <f>$O$208*$AA$208</f>
        <v>0</v>
      </c>
    </row>
    <row r="209" spans="1:33" ht="11.25" customHeight="1" x14ac:dyDescent="0.3">
      <c r="A209" s="3" t="s">
        <v>21</v>
      </c>
      <c r="B209" s="3" t="s">
        <v>39</v>
      </c>
      <c r="C209" s="3" t="s">
        <v>40</v>
      </c>
      <c r="D209" s="3" t="s">
        <v>44</v>
      </c>
      <c r="E209" s="3" t="s">
        <v>25</v>
      </c>
      <c r="F209" s="3" t="s">
        <v>25</v>
      </c>
      <c r="G209" s="3" t="s">
        <v>25</v>
      </c>
      <c r="H209" s="3" t="s">
        <v>25</v>
      </c>
      <c r="I209" s="6">
        <v>44682</v>
      </c>
      <c r="J209" s="4">
        <v>130</v>
      </c>
      <c r="K209" s="4">
        <v>130</v>
      </c>
      <c r="L209" s="4">
        <v>0</v>
      </c>
      <c r="M209" s="4">
        <v>0</v>
      </c>
      <c r="N209" s="4">
        <v>0</v>
      </c>
      <c r="O209" s="4">
        <v>0</v>
      </c>
      <c r="P209" s="4">
        <v>4</v>
      </c>
      <c r="Q209" s="3" t="s">
        <v>26</v>
      </c>
      <c r="R209" s="3">
        <v>0</v>
      </c>
      <c r="S209" s="4">
        <v>9</v>
      </c>
      <c r="T209" s="4">
        <v>0</v>
      </c>
      <c r="U209" s="4">
        <v>0</v>
      </c>
      <c r="V209" s="4">
        <f>IF(ISERROR(VLOOKUP($S$209,'TAR FIN'!$A$1:$O$91,15,0)),0,VLOOKUP($S$209,'TAR FIN'!$A$1:$O$91,15,0))</f>
        <v>33.97</v>
      </c>
      <c r="W209" s="4">
        <f>IF(ISERROR(VLOOKUP($T$209,'TAR FIN'!$A$1:$O$91,15,0)),0,VLOOKUP($T$209,'TAR FIN'!$A$1:$O$91,15,0))</f>
        <v>0</v>
      </c>
      <c r="X209" s="4">
        <f>IF(ISERROR(VLOOKUP($U$209,'TAR FIN'!$A$1:$O$91,15,0)),0,VLOOKUP($U$209,'TAR FIN'!$A$1:$O$91,15,0))</f>
        <v>0</v>
      </c>
      <c r="Y209" s="4">
        <f ca="1">('TUSD BE'!$AM$13+'TUSD BF_350'!$AM$13+'TUSD CVA'!$AM$13)*1</f>
        <v>32.31</v>
      </c>
      <c r="Z209" s="4"/>
      <c r="AA209" s="4"/>
      <c r="AB209" s="4">
        <f>$K$209*$V$209</f>
        <v>4416.0999999999995</v>
      </c>
      <c r="AC209" s="4">
        <f>$M$209*$W$209</f>
        <v>0</v>
      </c>
      <c r="AD209" s="4">
        <f>$O$209*$X$209</f>
        <v>0</v>
      </c>
      <c r="AE209" s="4">
        <f ca="1">$K$209*$Y$209</f>
        <v>4200.3</v>
      </c>
      <c r="AF209" s="4">
        <f>$M$209*$Z$209</f>
        <v>0</v>
      </c>
      <c r="AG209" s="4">
        <f>$O$209*$AA$209</f>
        <v>0</v>
      </c>
    </row>
    <row r="210" spans="1:33" ht="11.25" customHeight="1" x14ac:dyDescent="0.3">
      <c r="A210" s="3" t="s">
        <v>21</v>
      </c>
      <c r="B210" s="3" t="s">
        <v>39</v>
      </c>
      <c r="C210" s="3" t="s">
        <v>40</v>
      </c>
      <c r="D210" s="3" t="s">
        <v>44</v>
      </c>
      <c r="E210" s="3" t="s">
        <v>25</v>
      </c>
      <c r="F210" s="3" t="s">
        <v>25</v>
      </c>
      <c r="G210" s="3" t="s">
        <v>25</v>
      </c>
      <c r="H210" s="3" t="s">
        <v>25</v>
      </c>
      <c r="I210" s="6">
        <v>44713</v>
      </c>
      <c r="J210" s="4">
        <v>130</v>
      </c>
      <c r="K210" s="4">
        <v>130</v>
      </c>
      <c r="L210" s="4">
        <v>0</v>
      </c>
      <c r="M210" s="4">
        <v>0</v>
      </c>
      <c r="N210" s="4">
        <v>0</v>
      </c>
      <c r="O210" s="4">
        <v>0</v>
      </c>
      <c r="P210" s="4">
        <v>4</v>
      </c>
      <c r="Q210" s="3" t="s">
        <v>26</v>
      </c>
      <c r="R210" s="3">
        <v>0</v>
      </c>
      <c r="S210" s="4">
        <v>9</v>
      </c>
      <c r="T210" s="4">
        <v>0</v>
      </c>
      <c r="U210" s="4">
        <v>0</v>
      </c>
      <c r="V210" s="4">
        <f>IF(ISERROR(VLOOKUP($S$210,'TAR FIN'!$A$1:$O$91,15,0)),0,VLOOKUP($S$210,'TAR FIN'!$A$1:$O$91,15,0))</f>
        <v>33.97</v>
      </c>
      <c r="W210" s="4">
        <f>IF(ISERROR(VLOOKUP($T$210,'TAR FIN'!$A$1:$O$91,15,0)),0,VLOOKUP($T$210,'TAR FIN'!$A$1:$O$91,15,0))</f>
        <v>0</v>
      </c>
      <c r="X210" s="4">
        <f>IF(ISERROR(VLOOKUP($U$210,'TAR FIN'!$A$1:$O$91,15,0)),0,VLOOKUP($U$210,'TAR FIN'!$A$1:$O$91,15,0))</f>
        <v>0</v>
      </c>
      <c r="Y210" s="4">
        <f ca="1">('TUSD BE'!$AM$13+'TUSD BF_350'!$AM$13+'TUSD CVA'!$AM$13)*1</f>
        <v>32.31</v>
      </c>
      <c r="Z210" s="4"/>
      <c r="AA210" s="4"/>
      <c r="AB210" s="4">
        <f>$K$210*$V$210</f>
        <v>4416.0999999999995</v>
      </c>
      <c r="AC210" s="4">
        <f>$M$210*$W$210</f>
        <v>0</v>
      </c>
      <c r="AD210" s="4">
        <f>$O$210*$X$210</f>
        <v>0</v>
      </c>
      <c r="AE210" s="4">
        <f ca="1">$K$210*$Y$210</f>
        <v>4200.3</v>
      </c>
      <c r="AF210" s="4">
        <f>$M$210*$Z$210</f>
        <v>0</v>
      </c>
      <c r="AG210" s="4">
        <f>$O$210*$AA$210</f>
        <v>0</v>
      </c>
    </row>
    <row r="211" spans="1:33" ht="11.25" customHeight="1" x14ac:dyDescent="0.3">
      <c r="A211" s="3" t="s">
        <v>21</v>
      </c>
      <c r="B211" s="3" t="s">
        <v>39</v>
      </c>
      <c r="C211" s="3" t="s">
        <v>40</v>
      </c>
      <c r="D211" s="3" t="s">
        <v>44</v>
      </c>
      <c r="E211" s="3" t="s">
        <v>25</v>
      </c>
      <c r="F211" s="3" t="s">
        <v>25</v>
      </c>
      <c r="G211" s="3" t="s">
        <v>25</v>
      </c>
      <c r="H211" s="3" t="s">
        <v>34</v>
      </c>
      <c r="I211" s="6">
        <v>44378</v>
      </c>
      <c r="J211" s="4">
        <v>0</v>
      </c>
      <c r="K211" s="4">
        <v>0</v>
      </c>
      <c r="L211" s="4">
        <v>0.82199999999999995</v>
      </c>
      <c r="M211" s="4">
        <v>0.82199999999999995</v>
      </c>
      <c r="N211" s="4">
        <v>0.82199999999999995</v>
      </c>
      <c r="O211" s="4">
        <v>0.82199999999999995</v>
      </c>
      <c r="P211" s="4">
        <v>0</v>
      </c>
      <c r="Q211" s="3" t="s">
        <v>26</v>
      </c>
      <c r="R211" s="3">
        <v>0</v>
      </c>
      <c r="S211" s="4">
        <v>0</v>
      </c>
      <c r="T211" s="4">
        <v>10</v>
      </c>
      <c r="U211" s="4">
        <v>51</v>
      </c>
      <c r="V211" s="4">
        <f>IF(ISERROR(VLOOKUP($S$211,'TAR FIN'!$A$1:$O$91,15,0)),0,VLOOKUP($S$211,'TAR FIN'!$A$1:$O$91,15,0))</f>
        <v>0</v>
      </c>
      <c r="W211" s="4">
        <f>IF(ISERROR(VLOOKUP($T$211,'TAR FIN'!$A$1:$O$91,15,0)),0,VLOOKUP($T$211,'TAR FIN'!$A$1:$O$91,15,0))</f>
        <v>1755.54</v>
      </c>
      <c r="X211" s="4">
        <f>IF(ISERROR(VLOOKUP($U$211,'TAR FIN'!$A$1:$O$91,15,0)),0,VLOOKUP($U$211,'TAR FIN'!$A$1:$O$91,15,0))</f>
        <v>298.83999999999997</v>
      </c>
      <c r="Y211" s="4"/>
      <c r="Z211" s="4">
        <f ca="1">('TUSD BE'!$AM$14+'TUSD BF_350'!$AM$14+'TUSD CVA'!$AM$14)*1</f>
        <v>1283.23</v>
      </c>
      <c r="AA211" s="4">
        <f ca="1">('TE BE'!$AB$5+'TE BF_350'!$AB$5+'TE CVA'!$AB$5)*1</f>
        <v>311.4117891483653</v>
      </c>
      <c r="AB211" s="4">
        <f>$K$211*$V$211</f>
        <v>0</v>
      </c>
      <c r="AC211" s="4">
        <f>$M$211*$W$211</f>
        <v>1443.0538799999999</v>
      </c>
      <c r="AD211" s="4">
        <f>$O$211*$X$211</f>
        <v>245.64647999999997</v>
      </c>
      <c r="AE211" s="4">
        <f>$K$211*$Y$211</f>
        <v>0</v>
      </c>
      <c r="AF211" s="4">
        <f ca="1">$M$211*$Z$211</f>
        <v>1054.8150599999999</v>
      </c>
      <c r="AG211" s="4">
        <f ca="1">$O$211*$AA$211</f>
        <v>255.98049067995626</v>
      </c>
    </row>
    <row r="212" spans="1:33" ht="11.25" customHeight="1" x14ac:dyDescent="0.3">
      <c r="A212" s="3" t="s">
        <v>21</v>
      </c>
      <c r="B212" s="3" t="s">
        <v>39</v>
      </c>
      <c r="C212" s="3" t="s">
        <v>40</v>
      </c>
      <c r="D212" s="3" t="s">
        <v>44</v>
      </c>
      <c r="E212" s="3" t="s">
        <v>25</v>
      </c>
      <c r="F212" s="3" t="s">
        <v>25</v>
      </c>
      <c r="G212" s="3" t="s">
        <v>25</v>
      </c>
      <c r="H212" s="3" t="s">
        <v>34</v>
      </c>
      <c r="I212" s="6">
        <v>44409</v>
      </c>
      <c r="J212" s="4">
        <v>0</v>
      </c>
      <c r="K212" s="4">
        <v>0</v>
      </c>
      <c r="L212" s="4">
        <v>0.78800000000000003</v>
      </c>
      <c r="M212" s="4">
        <v>0.78800000000000003</v>
      </c>
      <c r="N212" s="4">
        <v>0.78800000000000003</v>
      </c>
      <c r="O212" s="4">
        <v>0.78800000000000003</v>
      </c>
      <c r="P212" s="4">
        <v>0</v>
      </c>
      <c r="Q212" s="3" t="s">
        <v>26</v>
      </c>
      <c r="R212" s="3">
        <v>0</v>
      </c>
      <c r="S212" s="4">
        <v>0</v>
      </c>
      <c r="T212" s="4">
        <v>10</v>
      </c>
      <c r="U212" s="4">
        <v>51</v>
      </c>
      <c r="V212" s="4">
        <f>IF(ISERROR(VLOOKUP($S$212,'TAR FIN'!$A$1:$O$91,15,0)),0,VLOOKUP($S$212,'TAR FIN'!$A$1:$O$91,15,0))</f>
        <v>0</v>
      </c>
      <c r="W212" s="4">
        <f>IF(ISERROR(VLOOKUP($T$212,'TAR FIN'!$A$1:$O$91,15,0)),0,VLOOKUP($T$212,'TAR FIN'!$A$1:$O$91,15,0))</f>
        <v>1755.54</v>
      </c>
      <c r="X212" s="4">
        <f>IF(ISERROR(VLOOKUP($U$212,'TAR FIN'!$A$1:$O$91,15,0)),0,VLOOKUP($U$212,'TAR FIN'!$A$1:$O$91,15,0))</f>
        <v>298.83999999999997</v>
      </c>
      <c r="Y212" s="4"/>
      <c r="Z212" s="4">
        <f ca="1">('TUSD BE'!$AM$14+'TUSD BF_350'!$AM$14+'TUSD CVA'!$AM$14)*1</f>
        <v>1283.23</v>
      </c>
      <c r="AA212" s="4">
        <f ca="1">('TE BE'!$AB$5+'TE BF_350'!$AB$5+'TE CVA'!$AB$5)*1</f>
        <v>311.4117891483653</v>
      </c>
      <c r="AB212" s="4">
        <f>$K$212*$V$212</f>
        <v>0</v>
      </c>
      <c r="AC212" s="4">
        <f>$M$212*$W$212</f>
        <v>1383.3655200000001</v>
      </c>
      <c r="AD212" s="4">
        <f>$O$212*$X$212</f>
        <v>235.48591999999999</v>
      </c>
      <c r="AE212" s="4">
        <f>$K$212*$Y$212</f>
        <v>0</v>
      </c>
      <c r="AF212" s="4">
        <f ca="1">$M$212*$Z$212</f>
        <v>1011.18524</v>
      </c>
      <c r="AG212" s="4">
        <f ca="1">$O$212*$AA$212</f>
        <v>245.39248984891188</v>
      </c>
    </row>
    <row r="213" spans="1:33" ht="11.25" customHeight="1" x14ac:dyDescent="0.3">
      <c r="A213" s="3" t="s">
        <v>21</v>
      </c>
      <c r="B213" s="3" t="s">
        <v>39</v>
      </c>
      <c r="C213" s="3" t="s">
        <v>40</v>
      </c>
      <c r="D213" s="3" t="s">
        <v>44</v>
      </c>
      <c r="E213" s="3" t="s">
        <v>25</v>
      </c>
      <c r="F213" s="3" t="s">
        <v>25</v>
      </c>
      <c r="G213" s="3" t="s">
        <v>25</v>
      </c>
      <c r="H213" s="3" t="s">
        <v>34</v>
      </c>
      <c r="I213" s="6">
        <v>44440</v>
      </c>
      <c r="J213" s="4">
        <v>0</v>
      </c>
      <c r="K213" s="4">
        <v>0</v>
      </c>
      <c r="L213" s="4">
        <v>0.69499999999999995</v>
      </c>
      <c r="M213" s="4">
        <v>0.69499999999999995</v>
      </c>
      <c r="N213" s="4">
        <v>0.69499999999999995</v>
      </c>
      <c r="O213" s="4">
        <v>0.69499999999999995</v>
      </c>
      <c r="P213" s="4">
        <v>0</v>
      </c>
      <c r="Q213" s="3" t="s">
        <v>26</v>
      </c>
      <c r="R213" s="3">
        <v>0</v>
      </c>
      <c r="S213" s="4">
        <v>0</v>
      </c>
      <c r="T213" s="4">
        <v>10</v>
      </c>
      <c r="U213" s="4">
        <v>51</v>
      </c>
      <c r="V213" s="4">
        <f>IF(ISERROR(VLOOKUP($S$213,'TAR FIN'!$A$1:$O$91,15,0)),0,VLOOKUP($S$213,'TAR FIN'!$A$1:$O$91,15,0))</f>
        <v>0</v>
      </c>
      <c r="W213" s="4">
        <f>IF(ISERROR(VLOOKUP($T$213,'TAR FIN'!$A$1:$O$91,15,0)),0,VLOOKUP($T$213,'TAR FIN'!$A$1:$O$91,15,0))</f>
        <v>1755.54</v>
      </c>
      <c r="X213" s="4">
        <f>IF(ISERROR(VLOOKUP($U$213,'TAR FIN'!$A$1:$O$91,15,0)),0,VLOOKUP($U$213,'TAR FIN'!$A$1:$O$91,15,0))</f>
        <v>298.83999999999997</v>
      </c>
      <c r="Y213" s="4"/>
      <c r="Z213" s="4">
        <f ca="1">('TUSD BE'!$AM$14+'TUSD BF_350'!$AM$14+'TUSD CVA'!$AM$14)*1</f>
        <v>1283.23</v>
      </c>
      <c r="AA213" s="4">
        <f ca="1">('TE BE'!$AB$5+'TE BF_350'!$AB$5+'TE CVA'!$AB$5)*1</f>
        <v>311.4117891483653</v>
      </c>
      <c r="AB213" s="4">
        <f>$K$213*$V$213</f>
        <v>0</v>
      </c>
      <c r="AC213" s="4">
        <f>$M$213*$W$213</f>
        <v>1220.1002999999998</v>
      </c>
      <c r="AD213" s="4">
        <f>$O$213*$X$213</f>
        <v>207.69379999999998</v>
      </c>
      <c r="AE213" s="4">
        <f>$K$213*$Y$213</f>
        <v>0</v>
      </c>
      <c r="AF213" s="4">
        <f ca="1">$M$213*$Z$213</f>
        <v>891.84484999999995</v>
      </c>
      <c r="AG213" s="4">
        <f ca="1">$O$213*$AA$213</f>
        <v>216.43119345811388</v>
      </c>
    </row>
    <row r="214" spans="1:33" ht="11.25" customHeight="1" x14ac:dyDescent="0.3">
      <c r="A214" s="3" t="s">
        <v>21</v>
      </c>
      <c r="B214" s="3" t="s">
        <v>39</v>
      </c>
      <c r="C214" s="3" t="s">
        <v>40</v>
      </c>
      <c r="D214" s="3" t="s">
        <v>44</v>
      </c>
      <c r="E214" s="3" t="s">
        <v>25</v>
      </c>
      <c r="F214" s="3" t="s">
        <v>25</v>
      </c>
      <c r="G214" s="3" t="s">
        <v>25</v>
      </c>
      <c r="H214" s="3" t="s">
        <v>34</v>
      </c>
      <c r="I214" s="6">
        <v>44470</v>
      </c>
      <c r="J214" s="4">
        <v>0</v>
      </c>
      <c r="K214" s="4">
        <v>0</v>
      </c>
      <c r="L214" s="4">
        <v>0.625</v>
      </c>
      <c r="M214" s="4">
        <v>0.625</v>
      </c>
      <c r="N214" s="4">
        <v>0.625</v>
      </c>
      <c r="O214" s="4">
        <v>0.625</v>
      </c>
      <c r="P214" s="4">
        <v>0</v>
      </c>
      <c r="Q214" s="3" t="s">
        <v>26</v>
      </c>
      <c r="R214" s="3">
        <v>0</v>
      </c>
      <c r="S214" s="4">
        <v>0</v>
      </c>
      <c r="T214" s="4">
        <v>10</v>
      </c>
      <c r="U214" s="4">
        <v>51</v>
      </c>
      <c r="V214" s="4">
        <f>IF(ISERROR(VLOOKUP($S$214,'TAR FIN'!$A$1:$O$91,15,0)),0,VLOOKUP($S$214,'TAR FIN'!$A$1:$O$91,15,0))</f>
        <v>0</v>
      </c>
      <c r="W214" s="4">
        <f>IF(ISERROR(VLOOKUP($T$214,'TAR FIN'!$A$1:$O$91,15,0)),0,VLOOKUP($T$214,'TAR FIN'!$A$1:$O$91,15,0))</f>
        <v>1755.54</v>
      </c>
      <c r="X214" s="4">
        <f>IF(ISERROR(VLOOKUP($U$214,'TAR FIN'!$A$1:$O$91,15,0)),0,VLOOKUP($U$214,'TAR FIN'!$A$1:$O$91,15,0))</f>
        <v>298.83999999999997</v>
      </c>
      <c r="Y214" s="4"/>
      <c r="Z214" s="4">
        <f ca="1">('TUSD BE'!$AM$14+'TUSD BF_350'!$AM$14+'TUSD CVA'!$AM$14)*1</f>
        <v>1283.23</v>
      </c>
      <c r="AA214" s="4">
        <f ca="1">('TE BE'!$AB$5+'TE BF_350'!$AB$5+'TE CVA'!$AB$5)*1</f>
        <v>311.4117891483653</v>
      </c>
      <c r="AB214" s="4">
        <f>$K$214*$V$214</f>
        <v>0</v>
      </c>
      <c r="AC214" s="4">
        <f>$M$214*$W$214</f>
        <v>1097.2125000000001</v>
      </c>
      <c r="AD214" s="4">
        <f>$O$214*$X$214</f>
        <v>186.77499999999998</v>
      </c>
      <c r="AE214" s="4">
        <f>$K$214*$Y$214</f>
        <v>0</v>
      </c>
      <c r="AF214" s="4">
        <f ca="1">$M$214*$Z$214</f>
        <v>802.01874999999995</v>
      </c>
      <c r="AG214" s="4">
        <f ca="1">$O$214*$AA$214</f>
        <v>194.6323682177283</v>
      </c>
    </row>
    <row r="215" spans="1:33" ht="11.25" customHeight="1" x14ac:dyDescent="0.3">
      <c r="A215" s="3" t="s">
        <v>21</v>
      </c>
      <c r="B215" s="3" t="s">
        <v>39</v>
      </c>
      <c r="C215" s="3" t="s">
        <v>40</v>
      </c>
      <c r="D215" s="3" t="s">
        <v>44</v>
      </c>
      <c r="E215" s="3" t="s">
        <v>25</v>
      </c>
      <c r="F215" s="3" t="s">
        <v>25</v>
      </c>
      <c r="G215" s="3" t="s">
        <v>25</v>
      </c>
      <c r="H215" s="3" t="s">
        <v>34</v>
      </c>
      <c r="I215" s="6">
        <v>44501</v>
      </c>
      <c r="J215" s="4">
        <v>0</v>
      </c>
      <c r="K215" s="4">
        <v>0</v>
      </c>
      <c r="L215" s="4">
        <v>0.66100000000000003</v>
      </c>
      <c r="M215" s="4">
        <v>0.66100000000000003</v>
      </c>
      <c r="N215" s="4">
        <v>0.66100000000000003</v>
      </c>
      <c r="O215" s="4">
        <v>0.66100000000000003</v>
      </c>
      <c r="P215" s="4">
        <v>0</v>
      </c>
      <c r="Q215" s="3" t="s">
        <v>26</v>
      </c>
      <c r="R215" s="3">
        <v>0</v>
      </c>
      <c r="S215" s="4">
        <v>0</v>
      </c>
      <c r="T215" s="4">
        <v>10</v>
      </c>
      <c r="U215" s="4">
        <v>51</v>
      </c>
      <c r="V215" s="4">
        <f>IF(ISERROR(VLOOKUP($S$215,'TAR FIN'!$A$1:$O$91,15,0)),0,VLOOKUP($S$215,'TAR FIN'!$A$1:$O$91,15,0))</f>
        <v>0</v>
      </c>
      <c r="W215" s="4">
        <f>IF(ISERROR(VLOOKUP($T$215,'TAR FIN'!$A$1:$O$91,15,0)),0,VLOOKUP($T$215,'TAR FIN'!$A$1:$O$91,15,0))</f>
        <v>1755.54</v>
      </c>
      <c r="X215" s="4">
        <f>IF(ISERROR(VLOOKUP($U$215,'TAR FIN'!$A$1:$O$91,15,0)),0,VLOOKUP($U$215,'TAR FIN'!$A$1:$O$91,15,0))</f>
        <v>298.83999999999997</v>
      </c>
      <c r="Y215" s="4"/>
      <c r="Z215" s="4">
        <f ca="1">('TUSD BE'!$AM$14+'TUSD BF_350'!$AM$14+'TUSD CVA'!$AM$14)*1</f>
        <v>1283.23</v>
      </c>
      <c r="AA215" s="4">
        <f ca="1">('TE BE'!$AB$5+'TE BF_350'!$AB$5+'TE CVA'!$AB$5)*1</f>
        <v>311.4117891483653</v>
      </c>
      <c r="AB215" s="4">
        <f>$K$215*$V$215</f>
        <v>0</v>
      </c>
      <c r="AC215" s="4">
        <f>$M$215*$W$215</f>
        <v>1160.41194</v>
      </c>
      <c r="AD215" s="4">
        <f>$O$215*$X$215</f>
        <v>197.53324000000001</v>
      </c>
      <c r="AE215" s="4">
        <f>$K$215*$Y$215</f>
        <v>0</v>
      </c>
      <c r="AF215" s="4">
        <f ca="1">$M$215*$Z$215</f>
        <v>848.21503000000007</v>
      </c>
      <c r="AG215" s="4">
        <f ca="1">$O$215*$AA$215</f>
        <v>205.84319262706947</v>
      </c>
    </row>
    <row r="216" spans="1:33" ht="11.25" customHeight="1" x14ac:dyDescent="0.3">
      <c r="A216" s="3" t="s">
        <v>21</v>
      </c>
      <c r="B216" s="3" t="s">
        <v>39</v>
      </c>
      <c r="C216" s="3" t="s">
        <v>40</v>
      </c>
      <c r="D216" s="3" t="s">
        <v>44</v>
      </c>
      <c r="E216" s="3" t="s">
        <v>25</v>
      </c>
      <c r="F216" s="3" t="s">
        <v>25</v>
      </c>
      <c r="G216" s="3" t="s">
        <v>25</v>
      </c>
      <c r="H216" s="3" t="s">
        <v>34</v>
      </c>
      <c r="I216" s="6">
        <v>44531</v>
      </c>
      <c r="J216" s="4">
        <v>0</v>
      </c>
      <c r="K216" s="4">
        <v>0</v>
      </c>
      <c r="L216" s="4">
        <v>0.71899999999999997</v>
      </c>
      <c r="M216" s="4">
        <v>0.71899999999999997</v>
      </c>
      <c r="N216" s="4">
        <v>0.71899999999999997</v>
      </c>
      <c r="O216" s="4">
        <v>0.71899999999999997</v>
      </c>
      <c r="P216" s="4">
        <v>0</v>
      </c>
      <c r="Q216" s="3" t="s">
        <v>26</v>
      </c>
      <c r="R216" s="3">
        <v>0</v>
      </c>
      <c r="S216" s="4">
        <v>0</v>
      </c>
      <c r="T216" s="4">
        <v>10</v>
      </c>
      <c r="U216" s="4">
        <v>51</v>
      </c>
      <c r="V216" s="4">
        <f>IF(ISERROR(VLOOKUP($S$216,'TAR FIN'!$A$1:$O$91,15,0)),0,VLOOKUP($S$216,'TAR FIN'!$A$1:$O$91,15,0))</f>
        <v>0</v>
      </c>
      <c r="W216" s="4">
        <f>IF(ISERROR(VLOOKUP($T$216,'TAR FIN'!$A$1:$O$91,15,0)),0,VLOOKUP($T$216,'TAR FIN'!$A$1:$O$91,15,0))</f>
        <v>1755.54</v>
      </c>
      <c r="X216" s="4">
        <f>IF(ISERROR(VLOOKUP($U$216,'TAR FIN'!$A$1:$O$91,15,0)),0,VLOOKUP($U$216,'TAR FIN'!$A$1:$O$91,15,0))</f>
        <v>298.83999999999997</v>
      </c>
      <c r="Y216" s="4"/>
      <c r="Z216" s="4">
        <f ca="1">('TUSD BE'!$AM$14+'TUSD BF_350'!$AM$14+'TUSD CVA'!$AM$14)*1</f>
        <v>1283.23</v>
      </c>
      <c r="AA216" s="4">
        <f ca="1">('TE BE'!$AB$5+'TE BF_350'!$AB$5+'TE CVA'!$AB$5)*1</f>
        <v>311.4117891483653</v>
      </c>
      <c r="AB216" s="4">
        <f>$K$216*$V$216</f>
        <v>0</v>
      </c>
      <c r="AC216" s="4">
        <f>$M$216*$W$216</f>
        <v>1262.23326</v>
      </c>
      <c r="AD216" s="4">
        <f>$O$216*$X$216</f>
        <v>214.86595999999997</v>
      </c>
      <c r="AE216" s="4">
        <f>$K$216*$Y$216</f>
        <v>0</v>
      </c>
      <c r="AF216" s="4">
        <f ca="1">$M$216*$Z$216</f>
        <v>922.64237000000003</v>
      </c>
      <c r="AG216" s="4">
        <f ca="1">$O$216*$AA$216</f>
        <v>223.90507639767463</v>
      </c>
    </row>
    <row r="217" spans="1:33" ht="11.25" customHeight="1" x14ac:dyDescent="0.3">
      <c r="A217" s="3" t="s">
        <v>21</v>
      </c>
      <c r="B217" s="3" t="s">
        <v>39</v>
      </c>
      <c r="C217" s="3" t="s">
        <v>40</v>
      </c>
      <c r="D217" s="3" t="s">
        <v>44</v>
      </c>
      <c r="E217" s="3" t="s">
        <v>25</v>
      </c>
      <c r="F217" s="3" t="s">
        <v>25</v>
      </c>
      <c r="G217" s="3" t="s">
        <v>25</v>
      </c>
      <c r="H217" s="3" t="s">
        <v>34</v>
      </c>
      <c r="I217" s="6">
        <v>44562</v>
      </c>
      <c r="J217" s="4">
        <v>0</v>
      </c>
      <c r="K217" s="4">
        <v>0</v>
      </c>
      <c r="L217" s="4">
        <v>0.84599999999999997</v>
      </c>
      <c r="M217" s="4">
        <v>0.84599999999999997</v>
      </c>
      <c r="N217" s="4">
        <v>0.84599999999999997</v>
      </c>
      <c r="O217" s="4">
        <v>0.84599999999999997</v>
      </c>
      <c r="P217" s="4">
        <v>0</v>
      </c>
      <c r="Q217" s="3" t="s">
        <v>26</v>
      </c>
      <c r="R217" s="3">
        <v>0</v>
      </c>
      <c r="S217" s="4">
        <v>0</v>
      </c>
      <c r="T217" s="4">
        <v>10</v>
      </c>
      <c r="U217" s="4">
        <v>51</v>
      </c>
      <c r="V217" s="4">
        <f>IF(ISERROR(VLOOKUP($S$217,'TAR FIN'!$A$1:$O$91,15,0)),0,VLOOKUP($S$217,'TAR FIN'!$A$1:$O$91,15,0))</f>
        <v>0</v>
      </c>
      <c r="W217" s="4">
        <f>IF(ISERROR(VLOOKUP($T$217,'TAR FIN'!$A$1:$O$91,15,0)),0,VLOOKUP($T$217,'TAR FIN'!$A$1:$O$91,15,0))</f>
        <v>1755.54</v>
      </c>
      <c r="X217" s="4">
        <f>IF(ISERROR(VLOOKUP($U$217,'TAR FIN'!$A$1:$O$91,15,0)),0,VLOOKUP($U$217,'TAR FIN'!$A$1:$O$91,15,0))</f>
        <v>298.83999999999997</v>
      </c>
      <c r="Y217" s="4"/>
      <c r="Z217" s="4">
        <f ca="1">('TUSD BE'!$AM$14+'TUSD BF_350'!$AM$14+'TUSD CVA'!$AM$14)*1</f>
        <v>1283.23</v>
      </c>
      <c r="AA217" s="4">
        <f ca="1">('TE BE'!$AB$5+'TE BF_350'!$AB$5+'TE CVA'!$AB$5)*1</f>
        <v>311.4117891483653</v>
      </c>
      <c r="AB217" s="4">
        <f>$K$217*$V$217</f>
        <v>0</v>
      </c>
      <c r="AC217" s="4">
        <f>$M$217*$W$217</f>
        <v>1485.1868399999998</v>
      </c>
      <c r="AD217" s="4">
        <f>$O$217*$X$217</f>
        <v>252.81863999999996</v>
      </c>
      <c r="AE217" s="4">
        <f>$K$217*$Y$217</f>
        <v>0</v>
      </c>
      <c r="AF217" s="4">
        <f ca="1">$M$217*$Z$217</f>
        <v>1085.61258</v>
      </c>
      <c r="AG217" s="4">
        <f ca="1">$O$217*$AA$217</f>
        <v>263.45437361951701</v>
      </c>
    </row>
    <row r="218" spans="1:33" ht="11.25" customHeight="1" x14ac:dyDescent="0.3">
      <c r="A218" s="3" t="s">
        <v>21</v>
      </c>
      <c r="B218" s="3" t="s">
        <v>39</v>
      </c>
      <c r="C218" s="3" t="s">
        <v>40</v>
      </c>
      <c r="D218" s="3" t="s">
        <v>44</v>
      </c>
      <c r="E218" s="3" t="s">
        <v>25</v>
      </c>
      <c r="F218" s="3" t="s">
        <v>25</v>
      </c>
      <c r="G218" s="3" t="s">
        <v>25</v>
      </c>
      <c r="H218" s="3" t="s">
        <v>34</v>
      </c>
      <c r="I218" s="6">
        <v>44593</v>
      </c>
      <c r="J218" s="4">
        <v>0</v>
      </c>
      <c r="K218" s="4">
        <v>0</v>
      </c>
      <c r="L218" s="4">
        <v>0.86299999999999999</v>
      </c>
      <c r="M218" s="4">
        <v>0.86299999999999999</v>
      </c>
      <c r="N218" s="4">
        <v>0.86299999999999999</v>
      </c>
      <c r="O218" s="4">
        <v>0.86299999999999999</v>
      </c>
      <c r="P218" s="4">
        <v>0</v>
      </c>
      <c r="Q218" s="3" t="s">
        <v>26</v>
      </c>
      <c r="R218" s="3">
        <v>0</v>
      </c>
      <c r="S218" s="4">
        <v>0</v>
      </c>
      <c r="T218" s="4">
        <v>10</v>
      </c>
      <c r="U218" s="4">
        <v>51</v>
      </c>
      <c r="V218" s="4">
        <f>IF(ISERROR(VLOOKUP($S$218,'TAR FIN'!$A$1:$O$91,15,0)),0,VLOOKUP($S$218,'TAR FIN'!$A$1:$O$91,15,0))</f>
        <v>0</v>
      </c>
      <c r="W218" s="4">
        <f>IF(ISERROR(VLOOKUP($T$218,'TAR FIN'!$A$1:$O$91,15,0)),0,VLOOKUP($T$218,'TAR FIN'!$A$1:$O$91,15,0))</f>
        <v>1755.54</v>
      </c>
      <c r="X218" s="4">
        <f>IF(ISERROR(VLOOKUP($U$218,'TAR FIN'!$A$1:$O$91,15,0)),0,VLOOKUP($U$218,'TAR FIN'!$A$1:$O$91,15,0))</f>
        <v>298.83999999999997</v>
      </c>
      <c r="Y218" s="4"/>
      <c r="Z218" s="4">
        <f ca="1">('TUSD BE'!$AM$14+'TUSD BF_350'!$AM$14+'TUSD CVA'!$AM$14)*1</f>
        <v>1283.23</v>
      </c>
      <c r="AA218" s="4">
        <f ca="1">('TE BE'!$AB$5+'TE BF_350'!$AB$5+'TE CVA'!$AB$5)*1</f>
        <v>311.4117891483653</v>
      </c>
      <c r="AB218" s="4">
        <f>$K$218*$V$218</f>
        <v>0</v>
      </c>
      <c r="AC218" s="4">
        <f>$M$218*$W$218</f>
        <v>1515.0310199999999</v>
      </c>
      <c r="AD218" s="4">
        <f>$O$218*$X$218</f>
        <v>257.89891999999998</v>
      </c>
      <c r="AE218" s="4">
        <f>$K$218*$Y$218</f>
        <v>0</v>
      </c>
      <c r="AF218" s="4">
        <f ca="1">$M$218*$Z$218</f>
        <v>1107.42749</v>
      </c>
      <c r="AG218" s="4">
        <f ca="1">$O$218*$AA$218</f>
        <v>268.74837403503926</v>
      </c>
    </row>
    <row r="219" spans="1:33" ht="11.25" customHeight="1" x14ac:dyDescent="0.3">
      <c r="A219" s="3" t="s">
        <v>21</v>
      </c>
      <c r="B219" s="3" t="s">
        <v>39</v>
      </c>
      <c r="C219" s="3" t="s">
        <v>40</v>
      </c>
      <c r="D219" s="3" t="s">
        <v>44</v>
      </c>
      <c r="E219" s="3" t="s">
        <v>25</v>
      </c>
      <c r="F219" s="3" t="s">
        <v>25</v>
      </c>
      <c r="G219" s="3" t="s">
        <v>25</v>
      </c>
      <c r="H219" s="3" t="s">
        <v>34</v>
      </c>
      <c r="I219" s="6">
        <v>44621</v>
      </c>
      <c r="J219" s="4">
        <v>0</v>
      </c>
      <c r="K219" s="4">
        <v>0</v>
      </c>
      <c r="L219" s="4">
        <v>0.94699999999999995</v>
      </c>
      <c r="M219" s="4">
        <v>0.94699999999999995</v>
      </c>
      <c r="N219" s="4">
        <v>0.94699999999999995</v>
      </c>
      <c r="O219" s="4">
        <v>0.94699999999999995</v>
      </c>
      <c r="P219" s="4">
        <v>0</v>
      </c>
      <c r="Q219" s="3" t="s">
        <v>26</v>
      </c>
      <c r="R219" s="3">
        <v>0</v>
      </c>
      <c r="S219" s="4">
        <v>0</v>
      </c>
      <c r="T219" s="4">
        <v>10</v>
      </c>
      <c r="U219" s="4">
        <v>51</v>
      </c>
      <c r="V219" s="4">
        <f>IF(ISERROR(VLOOKUP($S$219,'TAR FIN'!$A$1:$O$91,15,0)),0,VLOOKUP($S$219,'TAR FIN'!$A$1:$O$91,15,0))</f>
        <v>0</v>
      </c>
      <c r="W219" s="4">
        <f>IF(ISERROR(VLOOKUP($T$219,'TAR FIN'!$A$1:$O$91,15,0)),0,VLOOKUP($T$219,'TAR FIN'!$A$1:$O$91,15,0))</f>
        <v>1755.54</v>
      </c>
      <c r="X219" s="4">
        <f>IF(ISERROR(VLOOKUP($U$219,'TAR FIN'!$A$1:$O$91,15,0)),0,VLOOKUP($U$219,'TAR FIN'!$A$1:$O$91,15,0))</f>
        <v>298.83999999999997</v>
      </c>
      <c r="Y219" s="4"/>
      <c r="Z219" s="4">
        <f ca="1">('TUSD BE'!$AM$14+'TUSD BF_350'!$AM$14+'TUSD CVA'!$AM$14)*1</f>
        <v>1283.23</v>
      </c>
      <c r="AA219" s="4">
        <f ca="1">('TE BE'!$AB$5+'TE BF_350'!$AB$5+'TE CVA'!$AB$5)*1</f>
        <v>311.4117891483653</v>
      </c>
      <c r="AB219" s="4">
        <f>$K$219*$V$219</f>
        <v>0</v>
      </c>
      <c r="AC219" s="4">
        <f>$M$219*$W$219</f>
        <v>1662.4963799999998</v>
      </c>
      <c r="AD219" s="4">
        <f>$O$219*$X$219</f>
        <v>283.00147999999996</v>
      </c>
      <c r="AE219" s="4">
        <f>$K$219*$Y$219</f>
        <v>0</v>
      </c>
      <c r="AF219" s="4">
        <f ca="1">$M$219*$Z$219</f>
        <v>1215.2188099999998</v>
      </c>
      <c r="AG219" s="4">
        <f ca="1">$O$219*$AA$219</f>
        <v>294.90696432350194</v>
      </c>
    </row>
    <row r="220" spans="1:33" ht="11.25" customHeight="1" x14ac:dyDescent="0.3">
      <c r="A220" s="3" t="s">
        <v>21</v>
      </c>
      <c r="B220" s="3" t="s">
        <v>39</v>
      </c>
      <c r="C220" s="3" t="s">
        <v>40</v>
      </c>
      <c r="D220" s="3" t="s">
        <v>44</v>
      </c>
      <c r="E220" s="3" t="s">
        <v>25</v>
      </c>
      <c r="F220" s="3" t="s">
        <v>25</v>
      </c>
      <c r="G220" s="3" t="s">
        <v>25</v>
      </c>
      <c r="H220" s="3" t="s">
        <v>34</v>
      </c>
      <c r="I220" s="6">
        <v>44652</v>
      </c>
      <c r="J220" s="4">
        <v>0</v>
      </c>
      <c r="K220" s="4">
        <v>0</v>
      </c>
      <c r="L220" s="4">
        <v>0.76200000000000001</v>
      </c>
      <c r="M220" s="4">
        <v>0.76200000000000001</v>
      </c>
      <c r="N220" s="4">
        <v>0.76200000000000001</v>
      </c>
      <c r="O220" s="4">
        <v>0.76200000000000001</v>
      </c>
      <c r="P220" s="4">
        <v>0</v>
      </c>
      <c r="Q220" s="3" t="s">
        <v>26</v>
      </c>
      <c r="R220" s="3">
        <v>0</v>
      </c>
      <c r="S220" s="4">
        <v>0</v>
      </c>
      <c r="T220" s="4">
        <v>10</v>
      </c>
      <c r="U220" s="4">
        <v>51</v>
      </c>
      <c r="V220" s="4">
        <f>IF(ISERROR(VLOOKUP($S$220,'TAR FIN'!$A$1:$O$91,15,0)),0,VLOOKUP($S$220,'TAR FIN'!$A$1:$O$91,15,0))</f>
        <v>0</v>
      </c>
      <c r="W220" s="4">
        <f>IF(ISERROR(VLOOKUP($T$220,'TAR FIN'!$A$1:$O$91,15,0)),0,VLOOKUP($T$220,'TAR FIN'!$A$1:$O$91,15,0))</f>
        <v>1755.54</v>
      </c>
      <c r="X220" s="4">
        <f>IF(ISERROR(VLOOKUP($U$220,'TAR FIN'!$A$1:$O$91,15,0)),0,VLOOKUP($U$220,'TAR FIN'!$A$1:$O$91,15,0))</f>
        <v>298.83999999999997</v>
      </c>
      <c r="Y220" s="4"/>
      <c r="Z220" s="4">
        <f ca="1">('TUSD BE'!$AM$14+'TUSD BF_350'!$AM$14+'TUSD CVA'!$AM$14)*1</f>
        <v>1283.23</v>
      </c>
      <c r="AA220" s="4">
        <f ca="1">('TE BE'!$AB$5+'TE BF_350'!$AB$5+'TE CVA'!$AB$5)*1</f>
        <v>311.4117891483653</v>
      </c>
      <c r="AB220" s="4">
        <f>$K$220*$V$220</f>
        <v>0</v>
      </c>
      <c r="AC220" s="4">
        <f>$M$220*$W$220</f>
        <v>1337.7214799999999</v>
      </c>
      <c r="AD220" s="4">
        <f>$O$220*$X$220</f>
        <v>227.71607999999998</v>
      </c>
      <c r="AE220" s="4">
        <f>$K$220*$Y$220</f>
        <v>0</v>
      </c>
      <c r="AF220" s="4">
        <f ca="1">$M$220*$Z$220</f>
        <v>977.82126000000005</v>
      </c>
      <c r="AG220" s="4">
        <f ca="1">$O$220*$AA$220</f>
        <v>237.29578333105437</v>
      </c>
    </row>
    <row r="221" spans="1:33" ht="11.25" customHeight="1" x14ac:dyDescent="0.3">
      <c r="A221" s="3" t="s">
        <v>21</v>
      </c>
      <c r="B221" s="3" t="s">
        <v>39</v>
      </c>
      <c r="C221" s="3" t="s">
        <v>40</v>
      </c>
      <c r="D221" s="3" t="s">
        <v>44</v>
      </c>
      <c r="E221" s="3" t="s">
        <v>25</v>
      </c>
      <c r="F221" s="3" t="s">
        <v>25</v>
      </c>
      <c r="G221" s="3" t="s">
        <v>25</v>
      </c>
      <c r="H221" s="3" t="s">
        <v>34</v>
      </c>
      <c r="I221" s="6">
        <v>44682</v>
      </c>
      <c r="J221" s="4">
        <v>0</v>
      </c>
      <c r="K221" s="4">
        <v>0</v>
      </c>
      <c r="L221" s="4">
        <v>1.0860000000000001</v>
      </c>
      <c r="M221" s="4">
        <v>1.0860000000000001</v>
      </c>
      <c r="N221" s="4">
        <v>1.0860000000000001</v>
      </c>
      <c r="O221" s="4">
        <v>1.0860000000000001</v>
      </c>
      <c r="P221" s="4">
        <v>0</v>
      </c>
      <c r="Q221" s="3" t="s">
        <v>26</v>
      </c>
      <c r="R221" s="3">
        <v>0</v>
      </c>
      <c r="S221" s="4">
        <v>0</v>
      </c>
      <c r="T221" s="4">
        <v>10</v>
      </c>
      <c r="U221" s="4">
        <v>51</v>
      </c>
      <c r="V221" s="4">
        <f>IF(ISERROR(VLOOKUP($S$221,'TAR FIN'!$A$1:$O$91,15,0)),0,VLOOKUP($S$221,'TAR FIN'!$A$1:$O$91,15,0))</f>
        <v>0</v>
      </c>
      <c r="W221" s="4">
        <f>IF(ISERROR(VLOOKUP($T$221,'TAR FIN'!$A$1:$O$91,15,0)),0,VLOOKUP($T$221,'TAR FIN'!$A$1:$O$91,15,0))</f>
        <v>1755.54</v>
      </c>
      <c r="X221" s="4">
        <f>IF(ISERROR(VLOOKUP($U$221,'TAR FIN'!$A$1:$O$91,15,0)),0,VLOOKUP($U$221,'TAR FIN'!$A$1:$O$91,15,0))</f>
        <v>298.83999999999997</v>
      </c>
      <c r="Y221" s="4"/>
      <c r="Z221" s="4">
        <f ca="1">('TUSD BE'!$AM$14+'TUSD BF_350'!$AM$14+'TUSD CVA'!$AM$14)*1</f>
        <v>1283.23</v>
      </c>
      <c r="AA221" s="4">
        <f ca="1">('TE BE'!$AB$5+'TE BF_350'!$AB$5+'TE CVA'!$AB$5)*1</f>
        <v>311.4117891483653</v>
      </c>
      <c r="AB221" s="4">
        <f>$K$221*$V$221</f>
        <v>0</v>
      </c>
      <c r="AC221" s="4">
        <f>$M$221*$W$221</f>
        <v>1906.5164400000001</v>
      </c>
      <c r="AD221" s="4">
        <f>$O$221*$X$221</f>
        <v>324.54023999999998</v>
      </c>
      <c r="AE221" s="4">
        <f>$K$221*$Y$221</f>
        <v>0</v>
      </c>
      <c r="AF221" s="4">
        <f ca="1">$M$221*$Z$221</f>
        <v>1393.5877800000001</v>
      </c>
      <c r="AG221" s="4">
        <f ca="1">$O$221*$AA$221</f>
        <v>338.19320301512477</v>
      </c>
    </row>
    <row r="222" spans="1:33" ht="11.25" customHeight="1" x14ac:dyDescent="0.3">
      <c r="A222" s="3" t="s">
        <v>21</v>
      </c>
      <c r="B222" s="3" t="s">
        <v>39</v>
      </c>
      <c r="C222" s="3" t="s">
        <v>40</v>
      </c>
      <c r="D222" s="3" t="s">
        <v>44</v>
      </c>
      <c r="E222" s="3" t="s">
        <v>25</v>
      </c>
      <c r="F222" s="3" t="s">
        <v>25</v>
      </c>
      <c r="G222" s="3" t="s">
        <v>25</v>
      </c>
      <c r="H222" s="3" t="s">
        <v>34</v>
      </c>
      <c r="I222" s="6">
        <v>44713</v>
      </c>
      <c r="J222" s="4">
        <v>0</v>
      </c>
      <c r="K222" s="4">
        <v>0</v>
      </c>
      <c r="L222" s="4">
        <v>1.032</v>
      </c>
      <c r="M222" s="4">
        <v>1.032</v>
      </c>
      <c r="N222" s="4">
        <v>1.032</v>
      </c>
      <c r="O222" s="4">
        <v>1.032</v>
      </c>
      <c r="P222" s="4">
        <v>0</v>
      </c>
      <c r="Q222" s="3" t="s">
        <v>26</v>
      </c>
      <c r="R222" s="3">
        <v>0</v>
      </c>
      <c r="S222" s="4">
        <v>0</v>
      </c>
      <c r="T222" s="4">
        <v>10</v>
      </c>
      <c r="U222" s="4">
        <v>51</v>
      </c>
      <c r="V222" s="4">
        <f>IF(ISERROR(VLOOKUP($S$222,'TAR FIN'!$A$1:$O$91,15,0)),0,VLOOKUP($S$222,'TAR FIN'!$A$1:$O$91,15,0))</f>
        <v>0</v>
      </c>
      <c r="W222" s="4">
        <f>IF(ISERROR(VLOOKUP($T$222,'TAR FIN'!$A$1:$O$91,15,0)),0,VLOOKUP($T$222,'TAR FIN'!$A$1:$O$91,15,0))</f>
        <v>1755.54</v>
      </c>
      <c r="X222" s="4">
        <f>IF(ISERROR(VLOOKUP($U$222,'TAR FIN'!$A$1:$O$91,15,0)),0,VLOOKUP($U$222,'TAR FIN'!$A$1:$O$91,15,0))</f>
        <v>298.83999999999997</v>
      </c>
      <c r="Y222" s="4"/>
      <c r="Z222" s="4">
        <f ca="1">('TUSD BE'!$AM$14+'TUSD BF_350'!$AM$14+'TUSD CVA'!$AM$14)*1</f>
        <v>1283.23</v>
      </c>
      <c r="AA222" s="4">
        <f ca="1">('TE BE'!$AB$5+'TE BF_350'!$AB$5+'TE CVA'!$AB$5)*1</f>
        <v>311.4117891483653</v>
      </c>
      <c r="AB222" s="4">
        <f>$K$222*$V$222</f>
        <v>0</v>
      </c>
      <c r="AC222" s="4">
        <f>$M$222*$W$222</f>
        <v>1811.7172800000001</v>
      </c>
      <c r="AD222" s="4">
        <f>$O$222*$X$222</f>
        <v>308.40287999999998</v>
      </c>
      <c r="AE222" s="4">
        <f>$K$222*$Y$222</f>
        <v>0</v>
      </c>
      <c r="AF222" s="4">
        <f ca="1">$M$222*$Z$222</f>
        <v>1324.2933600000001</v>
      </c>
      <c r="AG222" s="4">
        <f ca="1">$O$222*$AA$222</f>
        <v>321.37696640111301</v>
      </c>
    </row>
    <row r="223" spans="1:33" ht="11.25" customHeight="1" x14ac:dyDescent="0.3">
      <c r="A223" s="3" t="s">
        <v>21</v>
      </c>
      <c r="B223" s="3" t="s">
        <v>39</v>
      </c>
      <c r="C223" s="3" t="s">
        <v>40</v>
      </c>
      <c r="D223" s="3" t="s">
        <v>43</v>
      </c>
      <c r="E223" s="3" t="s">
        <v>25</v>
      </c>
      <c r="F223" s="3" t="s">
        <v>25</v>
      </c>
      <c r="G223" s="3" t="s">
        <v>25</v>
      </c>
      <c r="H223" s="3" t="s">
        <v>35</v>
      </c>
      <c r="I223" s="6">
        <v>44378</v>
      </c>
      <c r="J223" s="4">
        <v>0</v>
      </c>
      <c r="K223" s="88">
        <v>0</v>
      </c>
      <c r="L223" s="4">
        <v>8.7330000000000005</v>
      </c>
      <c r="M223" s="88">
        <v>8.7330000000000005</v>
      </c>
      <c r="N223" s="4">
        <v>8.7330000000000005</v>
      </c>
      <c r="O223" s="88">
        <v>8.7330000000000005</v>
      </c>
      <c r="P223" s="4">
        <v>0</v>
      </c>
      <c r="Q223" s="3" t="s">
        <v>26</v>
      </c>
      <c r="R223" s="3">
        <v>0</v>
      </c>
      <c r="S223" s="4">
        <v>0</v>
      </c>
      <c r="T223" s="4">
        <v>11</v>
      </c>
      <c r="U223" s="4">
        <v>52</v>
      </c>
      <c r="V223" s="88">
        <f>IF(ISERROR(VLOOKUP($S$223,'TAR FIN'!$A$1:$O$91,15,0)),0,VLOOKUP($S$223,'TAR FIN'!$A$1:$O$91,15,0))</f>
        <v>0</v>
      </c>
      <c r="W223" s="88">
        <f>IF(ISERROR(VLOOKUP($T$223,'TAR FIN'!$A$1:$O$91,15,0)),0,VLOOKUP($T$223,'TAR FIN'!$A$1:$O$91,15,0))*(1-0.04)</f>
        <v>86.918400000000005</v>
      </c>
      <c r="X223" s="88">
        <f>IF(ISERROR(VLOOKUP($U$223,'TAR FIN'!$A$1:$O$91,15,0)),0,VLOOKUP($U$223,'TAR FIN'!$A$1:$O$91,15,0))*(1-0.04)</f>
        <v>182.36160000000001</v>
      </c>
      <c r="Y223" s="88"/>
      <c r="Z223" s="88">
        <f ca="1">('TUSD BE'!$AM$15+'TUSD BF_350'!$AM$15+'TUSD CVA'!$AM$15)*1*(1-0.02)</f>
        <v>114.45420000000001</v>
      </c>
      <c r="AA223" s="88">
        <f ca="1">('TE BE'!$AB$6+'TE BF_350'!$AB$6+'TE CVA'!$AB$6)*1*(1-0.02)</f>
        <v>191.97913082263719</v>
      </c>
      <c r="AB223" s="4">
        <f>$K$223*$V$223</f>
        <v>0</v>
      </c>
      <c r="AC223" s="4">
        <f>$M$223*$W$223</f>
        <v>759.05838720000008</v>
      </c>
      <c r="AD223" s="4">
        <f>$O$223*$X$223</f>
        <v>1592.5638528000002</v>
      </c>
      <c r="AE223" s="4">
        <f>$K$223*$Y$223</f>
        <v>0</v>
      </c>
      <c r="AF223" s="4">
        <f ca="1">$M$223*$Z$223</f>
        <v>999.52852860000019</v>
      </c>
      <c r="AG223" s="4">
        <f ca="1">$O$223*$AA$223</f>
        <v>1676.5537494740906</v>
      </c>
    </row>
    <row r="224" spans="1:33" ht="11.25" customHeight="1" x14ac:dyDescent="0.3">
      <c r="A224" s="3" t="s">
        <v>21</v>
      </c>
      <c r="B224" s="3" t="s">
        <v>39</v>
      </c>
      <c r="C224" s="3" t="s">
        <v>40</v>
      </c>
      <c r="D224" s="3" t="s">
        <v>43</v>
      </c>
      <c r="E224" s="3" t="s">
        <v>25</v>
      </c>
      <c r="F224" s="3" t="s">
        <v>25</v>
      </c>
      <c r="G224" s="3" t="s">
        <v>25</v>
      </c>
      <c r="H224" s="3" t="s">
        <v>35</v>
      </c>
      <c r="I224" s="6">
        <v>44409</v>
      </c>
      <c r="J224" s="4">
        <v>0</v>
      </c>
      <c r="K224" s="88">
        <v>0</v>
      </c>
      <c r="L224" s="4">
        <v>2.7029999999999998</v>
      </c>
      <c r="M224" s="88">
        <v>2.7029999999999998</v>
      </c>
      <c r="N224" s="4">
        <v>2.7029999999999998</v>
      </c>
      <c r="O224" s="88">
        <v>2.7029999999999998</v>
      </c>
      <c r="P224" s="4">
        <v>0</v>
      </c>
      <c r="Q224" s="3" t="s">
        <v>26</v>
      </c>
      <c r="R224" s="3">
        <v>0</v>
      </c>
      <c r="S224" s="4">
        <v>0</v>
      </c>
      <c r="T224" s="4">
        <v>11</v>
      </c>
      <c r="U224" s="4">
        <v>52</v>
      </c>
      <c r="V224" s="88">
        <f>IF(ISERROR(VLOOKUP($S$224,'TAR FIN'!$A$1:$O$91,15,0)),0,VLOOKUP($S$224,'TAR FIN'!$A$1:$O$91,15,0))</f>
        <v>0</v>
      </c>
      <c r="W224" s="88">
        <f>IF(ISERROR(VLOOKUP($T$224,'TAR FIN'!$A$1:$O$91,15,0)),0,VLOOKUP($T$224,'TAR FIN'!$A$1:$O$91,15,0))*(1-0.04)</f>
        <v>86.918400000000005</v>
      </c>
      <c r="X224" s="88">
        <f>IF(ISERROR(VLOOKUP($U$224,'TAR FIN'!$A$1:$O$91,15,0)),0,VLOOKUP($U$224,'TAR FIN'!$A$1:$O$91,15,0))*(1-0.04)</f>
        <v>182.36160000000001</v>
      </c>
      <c r="Y224" s="88"/>
      <c r="Z224" s="88">
        <f ca="1">('TUSD BE'!$AM$15+'TUSD BF_350'!$AM$15+'TUSD CVA'!$AM$15)*1*(1-0.02)</f>
        <v>114.45420000000001</v>
      </c>
      <c r="AA224" s="88">
        <f ca="1">('TE BE'!$AB$6+'TE BF_350'!$AB$6+'TE CVA'!$AB$6)*1*(1-0.02)</f>
        <v>191.97913082263719</v>
      </c>
      <c r="AB224" s="4">
        <f>$K$224*$V$224</f>
        <v>0</v>
      </c>
      <c r="AC224" s="4">
        <f>$M$224*$W$224</f>
        <v>234.9404352</v>
      </c>
      <c r="AD224" s="4">
        <f>$O$224*$X$224</f>
        <v>492.92340480000001</v>
      </c>
      <c r="AE224" s="4">
        <f>$K$224*$Y$224</f>
        <v>0</v>
      </c>
      <c r="AF224" s="4">
        <f ca="1">$M$224*$Z$224</f>
        <v>309.36970260000004</v>
      </c>
      <c r="AG224" s="4">
        <f ca="1">$O$224*$AA$224</f>
        <v>518.9195906135883</v>
      </c>
    </row>
    <row r="225" spans="1:33" ht="11.25" customHeight="1" x14ac:dyDescent="0.3">
      <c r="A225" s="3" t="s">
        <v>21</v>
      </c>
      <c r="B225" s="3" t="s">
        <v>39</v>
      </c>
      <c r="C225" s="3" t="s">
        <v>40</v>
      </c>
      <c r="D225" s="3" t="s">
        <v>43</v>
      </c>
      <c r="E225" s="3" t="s">
        <v>25</v>
      </c>
      <c r="F225" s="3" t="s">
        <v>25</v>
      </c>
      <c r="G225" s="3" t="s">
        <v>25</v>
      </c>
      <c r="H225" s="3" t="s">
        <v>35</v>
      </c>
      <c r="I225" s="6">
        <v>44440</v>
      </c>
      <c r="J225" s="4">
        <v>0</v>
      </c>
      <c r="K225" s="88">
        <v>0</v>
      </c>
      <c r="L225" s="4">
        <v>3.448</v>
      </c>
      <c r="M225" s="88">
        <v>3.448</v>
      </c>
      <c r="N225" s="4">
        <v>3.448</v>
      </c>
      <c r="O225" s="88">
        <v>3.448</v>
      </c>
      <c r="P225" s="4">
        <v>0</v>
      </c>
      <c r="Q225" s="3" t="s">
        <v>26</v>
      </c>
      <c r="R225" s="3">
        <v>0</v>
      </c>
      <c r="S225" s="4">
        <v>0</v>
      </c>
      <c r="T225" s="4">
        <v>11</v>
      </c>
      <c r="U225" s="4">
        <v>52</v>
      </c>
      <c r="V225" s="88">
        <f>IF(ISERROR(VLOOKUP($S$225,'TAR FIN'!$A$1:$O$91,15,0)),0,VLOOKUP($S$225,'TAR FIN'!$A$1:$O$91,15,0))</f>
        <v>0</v>
      </c>
      <c r="W225" s="88">
        <f>IF(ISERROR(VLOOKUP($T$225,'TAR FIN'!$A$1:$O$91,15,0)),0,VLOOKUP($T$225,'TAR FIN'!$A$1:$O$91,15,0))*(1-0.04)</f>
        <v>86.918400000000005</v>
      </c>
      <c r="X225" s="88">
        <f>IF(ISERROR(VLOOKUP($U$225,'TAR FIN'!$A$1:$O$91,15,0)),0,VLOOKUP($U$225,'TAR FIN'!$A$1:$O$91,15,0))*(1-0.04)</f>
        <v>182.36160000000001</v>
      </c>
      <c r="Y225" s="88"/>
      <c r="Z225" s="88">
        <f ca="1">('TUSD BE'!$AM$15+'TUSD BF_350'!$AM$15+'TUSD CVA'!$AM$15)*1*(1-0.02)</f>
        <v>114.45420000000001</v>
      </c>
      <c r="AA225" s="88">
        <f ca="1">('TE BE'!$AB$6+'TE BF_350'!$AB$6+'TE CVA'!$AB$6)*1*(1-0.02)</f>
        <v>191.97913082263719</v>
      </c>
      <c r="AB225" s="4">
        <f>$K$225*$V$225</f>
        <v>0</v>
      </c>
      <c r="AC225" s="4">
        <f>$M$225*$W$225</f>
        <v>299.69464320000003</v>
      </c>
      <c r="AD225" s="4">
        <f>$O$225*$X$225</f>
        <v>628.78279680000003</v>
      </c>
      <c r="AE225" s="4">
        <f>$K$225*$Y$225</f>
        <v>0</v>
      </c>
      <c r="AF225" s="4">
        <f ca="1">$M$225*$Z$225</f>
        <v>394.63808160000002</v>
      </c>
      <c r="AG225" s="4">
        <f ca="1">$O$225*$AA$225</f>
        <v>661.944043076453</v>
      </c>
    </row>
    <row r="226" spans="1:33" ht="11.25" customHeight="1" x14ac:dyDescent="0.3">
      <c r="A226" s="3" t="s">
        <v>21</v>
      </c>
      <c r="B226" s="3" t="s">
        <v>39</v>
      </c>
      <c r="C226" s="3" t="s">
        <v>40</v>
      </c>
      <c r="D226" s="3" t="s">
        <v>43</v>
      </c>
      <c r="E226" s="3" t="s">
        <v>25</v>
      </c>
      <c r="F226" s="3" t="s">
        <v>25</v>
      </c>
      <c r="G226" s="3" t="s">
        <v>25</v>
      </c>
      <c r="H226" s="3" t="s">
        <v>35</v>
      </c>
      <c r="I226" s="6">
        <v>44470</v>
      </c>
      <c r="J226" s="4">
        <v>0</v>
      </c>
      <c r="K226" s="88">
        <v>0</v>
      </c>
      <c r="L226" s="4">
        <v>4.165</v>
      </c>
      <c r="M226" s="88">
        <v>4.165</v>
      </c>
      <c r="N226" s="4">
        <v>4.165</v>
      </c>
      <c r="O226" s="88">
        <v>4.165</v>
      </c>
      <c r="P226" s="4">
        <v>0</v>
      </c>
      <c r="Q226" s="3" t="s">
        <v>26</v>
      </c>
      <c r="R226" s="3">
        <v>0</v>
      </c>
      <c r="S226" s="4">
        <v>0</v>
      </c>
      <c r="T226" s="4">
        <v>11</v>
      </c>
      <c r="U226" s="4">
        <v>52</v>
      </c>
      <c r="V226" s="88">
        <f>IF(ISERROR(VLOOKUP($S$226,'TAR FIN'!$A$1:$O$91,15,0)),0,VLOOKUP($S$226,'TAR FIN'!$A$1:$O$91,15,0))</f>
        <v>0</v>
      </c>
      <c r="W226" s="88">
        <f>IF(ISERROR(VLOOKUP($T$226,'TAR FIN'!$A$1:$O$91,15,0)),0,VLOOKUP($T$226,'TAR FIN'!$A$1:$O$91,15,0))*(1-0.04)</f>
        <v>86.918400000000005</v>
      </c>
      <c r="X226" s="88">
        <f>IF(ISERROR(VLOOKUP($U$226,'TAR FIN'!$A$1:$O$91,15,0)),0,VLOOKUP($U$226,'TAR FIN'!$A$1:$O$91,15,0))*(1-0.04)</f>
        <v>182.36160000000001</v>
      </c>
      <c r="Y226" s="88"/>
      <c r="Z226" s="88">
        <f ca="1">('TUSD BE'!$AM$15+'TUSD BF_350'!$AM$15+'TUSD CVA'!$AM$15)*1*(1-0.02)</f>
        <v>114.45420000000001</v>
      </c>
      <c r="AA226" s="88">
        <f ca="1">('TE BE'!$AB$6+'TE BF_350'!$AB$6+'TE CVA'!$AB$6)*1*(1-0.02)</f>
        <v>191.97913082263719</v>
      </c>
      <c r="AB226" s="4">
        <f>$K$226*$V$226</f>
        <v>0</v>
      </c>
      <c r="AC226" s="4">
        <f>$M$226*$W$226</f>
        <v>362.01513600000004</v>
      </c>
      <c r="AD226" s="4">
        <f>$O$226*$X$226</f>
        <v>759.53606400000001</v>
      </c>
      <c r="AE226" s="4">
        <f>$K$226*$Y$226</f>
        <v>0</v>
      </c>
      <c r="AF226" s="4">
        <f ca="1">$M$226*$Z$226</f>
        <v>476.70174300000008</v>
      </c>
      <c r="AG226" s="4">
        <f ca="1">$O$226*$AA$226</f>
        <v>799.59307987628392</v>
      </c>
    </row>
    <row r="227" spans="1:33" ht="11.25" customHeight="1" x14ac:dyDescent="0.3">
      <c r="A227" s="3" t="s">
        <v>21</v>
      </c>
      <c r="B227" s="3" t="s">
        <v>39</v>
      </c>
      <c r="C227" s="3" t="s">
        <v>40</v>
      </c>
      <c r="D227" s="3" t="s">
        <v>43</v>
      </c>
      <c r="E227" s="3" t="s">
        <v>25</v>
      </c>
      <c r="F227" s="3" t="s">
        <v>25</v>
      </c>
      <c r="G227" s="3" t="s">
        <v>25</v>
      </c>
      <c r="H227" s="3" t="s">
        <v>35</v>
      </c>
      <c r="I227" s="6">
        <v>44501</v>
      </c>
      <c r="J227" s="4">
        <v>0</v>
      </c>
      <c r="K227" s="88">
        <v>0</v>
      </c>
      <c r="L227" s="4">
        <v>2.2269999999999999</v>
      </c>
      <c r="M227" s="88">
        <v>2.2269999999999999</v>
      </c>
      <c r="N227" s="4">
        <v>2.2269999999999999</v>
      </c>
      <c r="O227" s="88">
        <v>2.2269999999999999</v>
      </c>
      <c r="P227" s="4">
        <v>0</v>
      </c>
      <c r="Q227" s="3" t="s">
        <v>26</v>
      </c>
      <c r="R227" s="3">
        <v>0</v>
      </c>
      <c r="S227" s="4">
        <v>0</v>
      </c>
      <c r="T227" s="4">
        <v>11</v>
      </c>
      <c r="U227" s="4">
        <v>52</v>
      </c>
      <c r="V227" s="88">
        <f>IF(ISERROR(VLOOKUP($S$227,'TAR FIN'!$A$1:$O$91,15,0)),0,VLOOKUP($S$227,'TAR FIN'!$A$1:$O$91,15,0))</f>
        <v>0</v>
      </c>
      <c r="W227" s="88">
        <f>IF(ISERROR(VLOOKUP($T$227,'TAR FIN'!$A$1:$O$91,15,0)),0,VLOOKUP($T$227,'TAR FIN'!$A$1:$O$91,15,0))*(1-0.04)</f>
        <v>86.918400000000005</v>
      </c>
      <c r="X227" s="88">
        <f>IF(ISERROR(VLOOKUP($U$227,'TAR FIN'!$A$1:$O$91,15,0)),0,VLOOKUP($U$227,'TAR FIN'!$A$1:$O$91,15,0))*(1-0.04)</f>
        <v>182.36160000000001</v>
      </c>
      <c r="Y227" s="88"/>
      <c r="Z227" s="88">
        <f ca="1">('TUSD BE'!$AM$15+'TUSD BF_350'!$AM$15+'TUSD CVA'!$AM$15)*1*(1-0.02)</f>
        <v>114.45420000000001</v>
      </c>
      <c r="AA227" s="88">
        <f ca="1">('TE BE'!$AB$6+'TE BF_350'!$AB$6+'TE CVA'!$AB$6)*1*(1-0.02)</f>
        <v>191.97913082263719</v>
      </c>
      <c r="AB227" s="4">
        <f>$K$227*$V$227</f>
        <v>0</v>
      </c>
      <c r="AC227" s="4">
        <f>$M$227*$W$227</f>
        <v>193.5672768</v>
      </c>
      <c r="AD227" s="4">
        <f>$O$227*$X$227</f>
        <v>406.11928319999998</v>
      </c>
      <c r="AE227" s="4">
        <f>$K$227*$Y$227</f>
        <v>0</v>
      </c>
      <c r="AF227" s="4">
        <f ca="1">$M$227*$Z$227</f>
        <v>254.88950340000002</v>
      </c>
      <c r="AG227" s="4">
        <f ca="1">$O$227*$AA$227</f>
        <v>427.537524342013</v>
      </c>
    </row>
    <row r="228" spans="1:33" ht="11.25" customHeight="1" x14ac:dyDescent="0.3">
      <c r="A228" s="3" t="s">
        <v>21</v>
      </c>
      <c r="B228" s="3" t="s">
        <v>39</v>
      </c>
      <c r="C228" s="3" t="s">
        <v>40</v>
      </c>
      <c r="D228" s="3" t="s">
        <v>43</v>
      </c>
      <c r="E228" s="3" t="s">
        <v>25</v>
      </c>
      <c r="F228" s="3" t="s">
        <v>25</v>
      </c>
      <c r="G228" s="3" t="s">
        <v>25</v>
      </c>
      <c r="H228" s="3" t="s">
        <v>35</v>
      </c>
      <c r="I228" s="6">
        <v>44531</v>
      </c>
      <c r="J228" s="4">
        <v>0</v>
      </c>
      <c r="K228" s="88">
        <v>0</v>
      </c>
      <c r="L228" s="4">
        <v>0.65800000000000003</v>
      </c>
      <c r="M228" s="88">
        <v>0.65800000000000003</v>
      </c>
      <c r="N228" s="4">
        <v>0.65800000000000003</v>
      </c>
      <c r="O228" s="88">
        <v>0.65800000000000003</v>
      </c>
      <c r="P228" s="4">
        <v>0</v>
      </c>
      <c r="Q228" s="3" t="s">
        <v>26</v>
      </c>
      <c r="R228" s="3">
        <v>0</v>
      </c>
      <c r="S228" s="4">
        <v>0</v>
      </c>
      <c r="T228" s="4">
        <v>11</v>
      </c>
      <c r="U228" s="4">
        <v>52</v>
      </c>
      <c r="V228" s="88">
        <f>IF(ISERROR(VLOOKUP($S$228,'TAR FIN'!$A$1:$O$91,15,0)),0,VLOOKUP($S$228,'TAR FIN'!$A$1:$O$91,15,0))</f>
        <v>0</v>
      </c>
      <c r="W228" s="88">
        <f>IF(ISERROR(VLOOKUP($T$228,'TAR FIN'!$A$1:$O$91,15,0)),0,VLOOKUP($T$228,'TAR FIN'!$A$1:$O$91,15,0))*(1-0.04)</f>
        <v>86.918400000000005</v>
      </c>
      <c r="X228" s="88">
        <f>IF(ISERROR(VLOOKUP($U$228,'TAR FIN'!$A$1:$O$91,15,0)),0,VLOOKUP($U$228,'TAR FIN'!$A$1:$O$91,15,0))*(1-0.04)</f>
        <v>182.36160000000001</v>
      </c>
      <c r="Y228" s="88"/>
      <c r="Z228" s="88">
        <f ca="1">('TUSD BE'!$AM$15+'TUSD BF_350'!$AM$15+'TUSD CVA'!$AM$15)*1*(1-0.02)</f>
        <v>114.45420000000001</v>
      </c>
      <c r="AA228" s="88">
        <f ca="1">('TE BE'!$AB$6+'TE BF_350'!$AB$6+'TE CVA'!$AB$6)*1*(1-0.02)</f>
        <v>191.97913082263719</v>
      </c>
      <c r="AB228" s="4">
        <f>$K$228*$V$228</f>
        <v>0</v>
      </c>
      <c r="AC228" s="4">
        <f>$M$228*$W$228</f>
        <v>57.192307200000009</v>
      </c>
      <c r="AD228" s="4">
        <f>$O$228*$X$228</f>
        <v>119.99393280000001</v>
      </c>
      <c r="AE228" s="4">
        <f>$K$228*$Y$228</f>
        <v>0</v>
      </c>
      <c r="AF228" s="4">
        <f ca="1">$M$228*$Z$228</f>
        <v>75.310863600000019</v>
      </c>
      <c r="AG228" s="4">
        <f ca="1">$O$228*$AA$228</f>
        <v>126.32226808129528</v>
      </c>
    </row>
    <row r="229" spans="1:33" ht="11.25" customHeight="1" x14ac:dyDescent="0.3">
      <c r="A229" s="3" t="s">
        <v>21</v>
      </c>
      <c r="B229" s="3" t="s">
        <v>39</v>
      </c>
      <c r="C229" s="3" t="s">
        <v>40</v>
      </c>
      <c r="D229" s="3" t="s">
        <v>43</v>
      </c>
      <c r="E229" s="3" t="s">
        <v>25</v>
      </c>
      <c r="F229" s="3" t="s">
        <v>25</v>
      </c>
      <c r="G229" s="3" t="s">
        <v>25</v>
      </c>
      <c r="H229" s="3" t="s">
        <v>35</v>
      </c>
      <c r="I229" s="6">
        <v>44562</v>
      </c>
      <c r="J229" s="4">
        <v>0</v>
      </c>
      <c r="K229" s="88">
        <v>0</v>
      </c>
      <c r="L229" s="4">
        <v>0.996</v>
      </c>
      <c r="M229" s="88">
        <v>0.996</v>
      </c>
      <c r="N229" s="4">
        <v>0.996</v>
      </c>
      <c r="O229" s="88">
        <v>0.996</v>
      </c>
      <c r="P229" s="4">
        <v>0</v>
      </c>
      <c r="Q229" s="3" t="s">
        <v>26</v>
      </c>
      <c r="R229" s="3">
        <v>0</v>
      </c>
      <c r="S229" s="4">
        <v>0</v>
      </c>
      <c r="T229" s="4">
        <v>11</v>
      </c>
      <c r="U229" s="4">
        <v>52</v>
      </c>
      <c r="V229" s="88">
        <f>IF(ISERROR(VLOOKUP($S$229,'TAR FIN'!$A$1:$O$91,15,0)),0,VLOOKUP($S$229,'TAR FIN'!$A$1:$O$91,15,0))</f>
        <v>0</v>
      </c>
      <c r="W229" s="88">
        <f>IF(ISERROR(VLOOKUP($T$229,'TAR FIN'!$A$1:$O$91,15,0)),0,VLOOKUP($T$229,'TAR FIN'!$A$1:$O$91,15,0))*(1-0.04)</f>
        <v>86.918400000000005</v>
      </c>
      <c r="X229" s="88">
        <f>IF(ISERROR(VLOOKUP($U$229,'TAR FIN'!$A$1:$O$91,15,0)),0,VLOOKUP($U$229,'TAR FIN'!$A$1:$O$91,15,0))*(1-0.04)</f>
        <v>182.36160000000001</v>
      </c>
      <c r="Y229" s="88"/>
      <c r="Z229" s="88">
        <f ca="1">('TUSD BE'!$AM$15+'TUSD BF_350'!$AM$15+'TUSD CVA'!$AM$15)*1*(1-0.02)</f>
        <v>114.45420000000001</v>
      </c>
      <c r="AA229" s="88">
        <f ca="1">('TE BE'!$AB$6+'TE BF_350'!$AB$6+'TE CVA'!$AB$6)*1*(1-0.02)</f>
        <v>191.97913082263719</v>
      </c>
      <c r="AB229" s="4">
        <f>$K$229*$V$229</f>
        <v>0</v>
      </c>
      <c r="AC229" s="4">
        <f>$M$229*$W$229</f>
        <v>86.570726399999998</v>
      </c>
      <c r="AD229" s="4">
        <f>$O$229*$X$229</f>
        <v>181.63215360000001</v>
      </c>
      <c r="AE229" s="4">
        <f>$K$229*$Y$229</f>
        <v>0</v>
      </c>
      <c r="AF229" s="4">
        <f ca="1">$M$229*$Z$229</f>
        <v>113.99638320000001</v>
      </c>
      <c r="AG229" s="4">
        <f ca="1">$O$229*$AA$229</f>
        <v>191.21121429934664</v>
      </c>
    </row>
    <row r="230" spans="1:33" ht="11.25" customHeight="1" x14ac:dyDescent="0.3">
      <c r="A230" s="3" t="s">
        <v>21</v>
      </c>
      <c r="B230" s="3" t="s">
        <v>39</v>
      </c>
      <c r="C230" s="3" t="s">
        <v>40</v>
      </c>
      <c r="D230" s="3" t="s">
        <v>43</v>
      </c>
      <c r="E230" s="3" t="s">
        <v>25</v>
      </c>
      <c r="F230" s="3" t="s">
        <v>25</v>
      </c>
      <c r="G230" s="3" t="s">
        <v>25</v>
      </c>
      <c r="H230" s="3" t="s">
        <v>35</v>
      </c>
      <c r="I230" s="6">
        <v>44593</v>
      </c>
      <c r="J230" s="4">
        <v>0</v>
      </c>
      <c r="K230" s="88">
        <v>0</v>
      </c>
      <c r="L230" s="4">
        <v>3.266</v>
      </c>
      <c r="M230" s="88">
        <v>3.266</v>
      </c>
      <c r="N230" s="4">
        <v>3.266</v>
      </c>
      <c r="O230" s="88">
        <v>3.266</v>
      </c>
      <c r="P230" s="4">
        <v>0</v>
      </c>
      <c r="Q230" s="3" t="s">
        <v>26</v>
      </c>
      <c r="R230" s="3">
        <v>0</v>
      </c>
      <c r="S230" s="4">
        <v>0</v>
      </c>
      <c r="T230" s="4">
        <v>11</v>
      </c>
      <c r="U230" s="4">
        <v>52</v>
      </c>
      <c r="V230" s="88">
        <f>IF(ISERROR(VLOOKUP($S$230,'TAR FIN'!$A$1:$O$91,15,0)),0,VLOOKUP($S$230,'TAR FIN'!$A$1:$O$91,15,0))</f>
        <v>0</v>
      </c>
      <c r="W230" s="88">
        <f>IF(ISERROR(VLOOKUP($T$230,'TAR FIN'!$A$1:$O$91,15,0)),0,VLOOKUP($T$230,'TAR FIN'!$A$1:$O$91,15,0))*(1-0.04)</f>
        <v>86.918400000000005</v>
      </c>
      <c r="X230" s="88">
        <f>IF(ISERROR(VLOOKUP($U$230,'TAR FIN'!$A$1:$O$91,15,0)),0,VLOOKUP($U$230,'TAR FIN'!$A$1:$O$91,15,0))*(1-0.04)</f>
        <v>182.36160000000001</v>
      </c>
      <c r="Y230" s="88"/>
      <c r="Z230" s="88">
        <f ca="1">('TUSD BE'!$AM$15+'TUSD BF_350'!$AM$15+'TUSD CVA'!$AM$15)*1*(1-0.02)</f>
        <v>114.45420000000001</v>
      </c>
      <c r="AA230" s="88">
        <f ca="1">('TE BE'!$AB$6+'TE BF_350'!$AB$6+'TE CVA'!$AB$6)*1*(1-0.02)</f>
        <v>191.97913082263719</v>
      </c>
      <c r="AB230" s="4">
        <f>$K$230*$V$230</f>
        <v>0</v>
      </c>
      <c r="AC230" s="4">
        <f>$M$230*$W$230</f>
        <v>283.87549440000004</v>
      </c>
      <c r="AD230" s="4">
        <f>$O$230*$X$230</f>
        <v>595.59298560000002</v>
      </c>
      <c r="AE230" s="4">
        <f>$K$230*$Y$230</f>
        <v>0</v>
      </c>
      <c r="AF230" s="4">
        <f ca="1">$M$230*$Z$230</f>
        <v>373.80741720000003</v>
      </c>
      <c r="AG230" s="4">
        <f ca="1">$O$230*$AA$230</f>
        <v>627.00384126673305</v>
      </c>
    </row>
    <row r="231" spans="1:33" ht="11.25" customHeight="1" x14ac:dyDescent="0.3">
      <c r="A231" s="3" t="s">
        <v>21</v>
      </c>
      <c r="B231" s="3" t="s">
        <v>39</v>
      </c>
      <c r="C231" s="3" t="s">
        <v>40</v>
      </c>
      <c r="D231" s="3" t="s">
        <v>43</v>
      </c>
      <c r="E231" s="3" t="s">
        <v>25</v>
      </c>
      <c r="F231" s="3" t="s">
        <v>25</v>
      </c>
      <c r="G231" s="3" t="s">
        <v>25</v>
      </c>
      <c r="H231" s="3" t="s">
        <v>35</v>
      </c>
      <c r="I231" s="6">
        <v>44621</v>
      </c>
      <c r="J231" s="4">
        <v>0</v>
      </c>
      <c r="K231" s="88">
        <v>0</v>
      </c>
      <c r="L231" s="4">
        <v>20.085000000000001</v>
      </c>
      <c r="M231" s="88">
        <v>20.085000000000001</v>
      </c>
      <c r="N231" s="4">
        <v>20.085000000000001</v>
      </c>
      <c r="O231" s="88">
        <v>20.085000000000001</v>
      </c>
      <c r="P231" s="4">
        <v>0</v>
      </c>
      <c r="Q231" s="3" t="s">
        <v>26</v>
      </c>
      <c r="R231" s="3">
        <v>0</v>
      </c>
      <c r="S231" s="4">
        <v>0</v>
      </c>
      <c r="T231" s="4">
        <v>11</v>
      </c>
      <c r="U231" s="4">
        <v>52</v>
      </c>
      <c r="V231" s="88">
        <f>IF(ISERROR(VLOOKUP($S$231,'TAR FIN'!$A$1:$O$91,15,0)),0,VLOOKUP($S$231,'TAR FIN'!$A$1:$O$91,15,0))</f>
        <v>0</v>
      </c>
      <c r="W231" s="88">
        <f>IF(ISERROR(VLOOKUP($T$231,'TAR FIN'!$A$1:$O$91,15,0)),0,VLOOKUP($T$231,'TAR FIN'!$A$1:$O$91,15,0))*(1-0.04)</f>
        <v>86.918400000000005</v>
      </c>
      <c r="X231" s="88">
        <f>IF(ISERROR(VLOOKUP($U$231,'TAR FIN'!$A$1:$O$91,15,0)),0,VLOOKUP($U$231,'TAR FIN'!$A$1:$O$91,15,0))*(1-0.04)</f>
        <v>182.36160000000001</v>
      </c>
      <c r="Y231" s="88"/>
      <c r="Z231" s="88">
        <f ca="1">('TUSD BE'!$AM$15+'TUSD BF_350'!$AM$15+'TUSD CVA'!$AM$15)*1*(1-0.02)</f>
        <v>114.45420000000001</v>
      </c>
      <c r="AA231" s="88">
        <f ca="1">('TE BE'!$AB$6+'TE BF_350'!$AB$6+'TE CVA'!$AB$6)*1*(1-0.02)</f>
        <v>191.97913082263719</v>
      </c>
      <c r="AB231" s="4">
        <f>$K$231*$V$231</f>
        <v>0</v>
      </c>
      <c r="AC231" s="4">
        <f>$M$231*$W$231</f>
        <v>1745.7560640000002</v>
      </c>
      <c r="AD231" s="4">
        <f>$O$231*$X$231</f>
        <v>3662.7327360000004</v>
      </c>
      <c r="AE231" s="4">
        <f>$K$231*$Y$231</f>
        <v>0</v>
      </c>
      <c r="AF231" s="4">
        <f ca="1">$M$231*$Z$231</f>
        <v>2298.8126070000003</v>
      </c>
      <c r="AG231" s="4">
        <f ca="1">$O$231*$AA$231</f>
        <v>3855.9008425726679</v>
      </c>
    </row>
    <row r="232" spans="1:33" ht="11.25" customHeight="1" x14ac:dyDescent="0.3">
      <c r="A232" s="3" t="s">
        <v>21</v>
      </c>
      <c r="B232" s="3" t="s">
        <v>39</v>
      </c>
      <c r="C232" s="3" t="s">
        <v>40</v>
      </c>
      <c r="D232" s="3" t="s">
        <v>43</v>
      </c>
      <c r="E232" s="3" t="s">
        <v>25</v>
      </c>
      <c r="F232" s="3" t="s">
        <v>25</v>
      </c>
      <c r="G232" s="3" t="s">
        <v>25</v>
      </c>
      <c r="H232" s="3" t="s">
        <v>35</v>
      </c>
      <c r="I232" s="6">
        <v>44652</v>
      </c>
      <c r="J232" s="4">
        <v>0</v>
      </c>
      <c r="K232" s="88">
        <v>0</v>
      </c>
      <c r="L232" s="4">
        <v>24.28</v>
      </c>
      <c r="M232" s="88">
        <v>24.28</v>
      </c>
      <c r="N232" s="4">
        <v>24.28</v>
      </c>
      <c r="O232" s="88">
        <v>24.28</v>
      </c>
      <c r="P232" s="4">
        <v>0</v>
      </c>
      <c r="Q232" s="3" t="s">
        <v>26</v>
      </c>
      <c r="R232" s="3">
        <v>0</v>
      </c>
      <c r="S232" s="4">
        <v>0</v>
      </c>
      <c r="T232" s="4">
        <v>11</v>
      </c>
      <c r="U232" s="4">
        <v>52</v>
      </c>
      <c r="V232" s="88">
        <f>IF(ISERROR(VLOOKUP($S$232,'TAR FIN'!$A$1:$O$91,15,0)),0,VLOOKUP($S$232,'TAR FIN'!$A$1:$O$91,15,0))</f>
        <v>0</v>
      </c>
      <c r="W232" s="88">
        <f>IF(ISERROR(VLOOKUP($T$232,'TAR FIN'!$A$1:$O$91,15,0)),0,VLOOKUP($T$232,'TAR FIN'!$A$1:$O$91,15,0))*(1-0.04)</f>
        <v>86.918400000000005</v>
      </c>
      <c r="X232" s="88">
        <f>IF(ISERROR(VLOOKUP($U$232,'TAR FIN'!$A$1:$O$91,15,0)),0,VLOOKUP($U$232,'TAR FIN'!$A$1:$O$91,15,0))*(1-0.04)</f>
        <v>182.36160000000001</v>
      </c>
      <c r="Y232" s="88"/>
      <c r="Z232" s="88">
        <f ca="1">('TUSD BE'!$AM$15+'TUSD BF_350'!$AM$15+'TUSD CVA'!$AM$15)*1*(1-0.02)</f>
        <v>114.45420000000001</v>
      </c>
      <c r="AA232" s="88">
        <f ca="1">('TE BE'!$AB$6+'TE BF_350'!$AB$6+'TE CVA'!$AB$6)*1*(1-0.02)</f>
        <v>191.97913082263719</v>
      </c>
      <c r="AB232" s="4">
        <f>$K$232*$V$232</f>
        <v>0</v>
      </c>
      <c r="AC232" s="4">
        <f>$M$232*$W$232</f>
        <v>2110.3787520000001</v>
      </c>
      <c r="AD232" s="4">
        <f>$O$232*$X$232</f>
        <v>4427.7396480000007</v>
      </c>
      <c r="AE232" s="4">
        <f>$K$232*$Y$232</f>
        <v>0</v>
      </c>
      <c r="AF232" s="4">
        <f ca="1">$M$232*$Z$232</f>
        <v>2778.9479760000004</v>
      </c>
      <c r="AG232" s="4">
        <f ca="1">$O$232*$AA$232</f>
        <v>4661.2532963736312</v>
      </c>
    </row>
    <row r="233" spans="1:33" ht="11.25" customHeight="1" x14ac:dyDescent="0.3">
      <c r="A233" s="3" t="s">
        <v>21</v>
      </c>
      <c r="B233" s="3" t="s">
        <v>39</v>
      </c>
      <c r="C233" s="3" t="s">
        <v>40</v>
      </c>
      <c r="D233" s="3" t="s">
        <v>43</v>
      </c>
      <c r="E233" s="3" t="s">
        <v>25</v>
      </c>
      <c r="F233" s="3" t="s">
        <v>25</v>
      </c>
      <c r="G233" s="3" t="s">
        <v>25</v>
      </c>
      <c r="H233" s="3" t="s">
        <v>35</v>
      </c>
      <c r="I233" s="6">
        <v>44682</v>
      </c>
      <c r="J233" s="4">
        <v>0</v>
      </c>
      <c r="K233" s="88">
        <v>0</v>
      </c>
      <c r="L233" s="4">
        <v>12.068</v>
      </c>
      <c r="M233" s="88">
        <v>12.068</v>
      </c>
      <c r="N233" s="4">
        <v>12.068</v>
      </c>
      <c r="O233" s="88">
        <v>12.068</v>
      </c>
      <c r="P233" s="4">
        <v>0</v>
      </c>
      <c r="Q233" s="3" t="s">
        <v>26</v>
      </c>
      <c r="R233" s="3">
        <v>0</v>
      </c>
      <c r="S233" s="4">
        <v>0</v>
      </c>
      <c r="T233" s="4">
        <v>11</v>
      </c>
      <c r="U233" s="4">
        <v>52</v>
      </c>
      <c r="V233" s="88">
        <f>IF(ISERROR(VLOOKUP($S$233,'TAR FIN'!$A$1:$O$91,15,0)),0,VLOOKUP($S$233,'TAR FIN'!$A$1:$O$91,15,0))</f>
        <v>0</v>
      </c>
      <c r="W233" s="88">
        <f>IF(ISERROR(VLOOKUP($T$233,'TAR FIN'!$A$1:$O$91,15,0)),0,VLOOKUP($T$233,'TAR FIN'!$A$1:$O$91,15,0))*(1-0.04)</f>
        <v>86.918400000000005</v>
      </c>
      <c r="X233" s="88">
        <f>IF(ISERROR(VLOOKUP($U$233,'TAR FIN'!$A$1:$O$91,15,0)),0,VLOOKUP($U$233,'TAR FIN'!$A$1:$O$91,15,0))*(1-0.04)</f>
        <v>182.36160000000001</v>
      </c>
      <c r="Y233" s="88"/>
      <c r="Z233" s="88">
        <f ca="1">('TUSD BE'!$AM$15+'TUSD BF_350'!$AM$15+'TUSD CVA'!$AM$15)*1*(1-0.02)</f>
        <v>114.45420000000001</v>
      </c>
      <c r="AA233" s="88">
        <f ca="1">('TE BE'!$AB$6+'TE BF_350'!$AB$6+'TE CVA'!$AB$6)*1*(1-0.02)</f>
        <v>191.97913082263719</v>
      </c>
      <c r="AB233" s="4">
        <f>$K$233*$V$233</f>
        <v>0</v>
      </c>
      <c r="AC233" s="4">
        <f>$M$233*$W$233</f>
        <v>1048.9312512000001</v>
      </c>
      <c r="AD233" s="4">
        <f>$O$233*$X$233</f>
        <v>2200.7397888</v>
      </c>
      <c r="AE233" s="4">
        <f>$K$233*$Y$233</f>
        <v>0</v>
      </c>
      <c r="AF233" s="4">
        <f ca="1">$M$233*$Z$233</f>
        <v>1381.2332856</v>
      </c>
      <c r="AG233" s="4">
        <f ca="1">$O$233*$AA$233</f>
        <v>2316.8041507675857</v>
      </c>
    </row>
    <row r="234" spans="1:33" ht="11.25" customHeight="1" x14ac:dyDescent="0.3">
      <c r="A234" s="3" t="s">
        <v>21</v>
      </c>
      <c r="B234" s="3" t="s">
        <v>39</v>
      </c>
      <c r="C234" s="3" t="s">
        <v>40</v>
      </c>
      <c r="D234" s="3" t="s">
        <v>43</v>
      </c>
      <c r="E234" s="3" t="s">
        <v>25</v>
      </c>
      <c r="F234" s="3" t="s">
        <v>25</v>
      </c>
      <c r="G234" s="3" t="s">
        <v>25</v>
      </c>
      <c r="H234" s="3" t="s">
        <v>35</v>
      </c>
      <c r="I234" s="6">
        <v>44713</v>
      </c>
      <c r="J234" s="4">
        <v>0</v>
      </c>
      <c r="K234" s="88">
        <v>0</v>
      </c>
      <c r="L234" s="4">
        <v>9.1359999999999992</v>
      </c>
      <c r="M234" s="88">
        <v>9.1359999999999992</v>
      </c>
      <c r="N234" s="4">
        <v>9.1359999999999992</v>
      </c>
      <c r="O234" s="88">
        <v>9.1359999999999992</v>
      </c>
      <c r="P234" s="4">
        <v>0</v>
      </c>
      <c r="Q234" s="3" t="s">
        <v>26</v>
      </c>
      <c r="R234" s="3">
        <v>0</v>
      </c>
      <c r="S234" s="4">
        <v>0</v>
      </c>
      <c r="T234" s="4">
        <v>11</v>
      </c>
      <c r="U234" s="4">
        <v>52</v>
      </c>
      <c r="V234" s="88">
        <f>IF(ISERROR(VLOOKUP($S$234,'TAR FIN'!$A$1:$O$91,15,0)),0,VLOOKUP($S$234,'TAR FIN'!$A$1:$O$91,15,0))</f>
        <v>0</v>
      </c>
      <c r="W234" s="88">
        <f>IF(ISERROR(VLOOKUP($T$234,'TAR FIN'!$A$1:$O$91,15,0)),0,VLOOKUP($T$234,'TAR FIN'!$A$1:$O$91,15,0))*(1-0.04)</f>
        <v>86.918400000000005</v>
      </c>
      <c r="X234" s="88">
        <f>IF(ISERROR(VLOOKUP($U$234,'TAR FIN'!$A$1:$O$91,15,0)),0,VLOOKUP($U$234,'TAR FIN'!$A$1:$O$91,15,0))*(1-0.04)</f>
        <v>182.36160000000001</v>
      </c>
      <c r="Y234" s="88"/>
      <c r="Z234" s="88">
        <f ca="1">('TUSD BE'!$AM$15+'TUSD BF_350'!$AM$15+'TUSD CVA'!$AM$15)*1*(1-0.02)</f>
        <v>114.45420000000001</v>
      </c>
      <c r="AA234" s="88">
        <f ca="1">('TE BE'!$AB$6+'TE BF_350'!$AB$6+'TE CVA'!$AB$6)*1*(1-0.02)</f>
        <v>191.97913082263719</v>
      </c>
      <c r="AB234" s="4">
        <f>$K$234*$V$234</f>
        <v>0</v>
      </c>
      <c r="AC234" s="4">
        <f>$M$234*$W$234</f>
        <v>794.08650239999997</v>
      </c>
      <c r="AD234" s="4">
        <f>$O$234*$X$234</f>
        <v>1666.0555775999999</v>
      </c>
      <c r="AE234" s="4">
        <f>$K$234*$Y$234</f>
        <v>0</v>
      </c>
      <c r="AF234" s="4">
        <f ca="1">$M$234*$Z$234</f>
        <v>1045.6535712</v>
      </c>
      <c r="AG234" s="4">
        <f ca="1">$O$234*$AA$234</f>
        <v>1753.9213391956132</v>
      </c>
    </row>
    <row r="235" spans="1:33" ht="11.25" customHeight="1" x14ac:dyDescent="0.3">
      <c r="A235" s="3" t="s">
        <v>21</v>
      </c>
      <c r="B235" s="3" t="s">
        <v>39</v>
      </c>
      <c r="C235" s="3" t="s">
        <v>40</v>
      </c>
      <c r="D235" s="3" t="s">
        <v>43</v>
      </c>
      <c r="E235" s="3" t="s">
        <v>25</v>
      </c>
      <c r="F235" s="3" t="s">
        <v>25</v>
      </c>
      <c r="G235" s="3" t="s">
        <v>25</v>
      </c>
      <c r="H235" s="3" t="s">
        <v>25</v>
      </c>
      <c r="I235" s="6">
        <v>44378</v>
      </c>
      <c r="J235" s="4">
        <v>150</v>
      </c>
      <c r="K235" s="88">
        <v>150</v>
      </c>
      <c r="L235" s="4">
        <v>0</v>
      </c>
      <c r="M235" s="88">
        <v>0</v>
      </c>
      <c r="N235" s="4">
        <v>0</v>
      </c>
      <c r="O235" s="88">
        <v>0</v>
      </c>
      <c r="P235" s="4">
        <v>2</v>
      </c>
      <c r="Q235" s="3" t="s">
        <v>26</v>
      </c>
      <c r="R235" s="3">
        <v>0</v>
      </c>
      <c r="S235" s="4">
        <v>9</v>
      </c>
      <c r="T235" s="4">
        <v>0</v>
      </c>
      <c r="U235" s="4">
        <v>0</v>
      </c>
      <c r="V235" s="88">
        <f>IF(ISERROR(VLOOKUP($S$235,'TAR FIN'!$A$1:$O$91,15,0)),0,VLOOKUP($S$235,'TAR FIN'!$A$1:$O$91,15,0))*(1-0.04)</f>
        <v>32.611199999999997</v>
      </c>
      <c r="W235" s="88">
        <f>IF(ISERROR(VLOOKUP($T$235,'TAR FIN'!$A$1:$O$91,15,0)),0,VLOOKUP($T$235,'TAR FIN'!$A$1:$O$91,15,0))</f>
        <v>0</v>
      </c>
      <c r="X235" s="88">
        <f>IF(ISERROR(VLOOKUP($U$235,'TAR FIN'!$A$1:$O$91,15,0)),0,VLOOKUP($U$235,'TAR FIN'!$A$1:$O$91,15,0))</f>
        <v>0</v>
      </c>
      <c r="Y235" s="88">
        <f ca="1">('TUSD BE'!$AM$13+'TUSD BF_350'!$AM$13+'TUSD CVA'!$AM$13)*1*(1-0.02)</f>
        <v>31.663800000000002</v>
      </c>
      <c r="Z235" s="88"/>
      <c r="AA235" s="88"/>
      <c r="AB235" s="4">
        <f>$K$235*$V$235</f>
        <v>4891.6799999999994</v>
      </c>
      <c r="AC235" s="4">
        <f>$M$235*$W$235</f>
        <v>0</v>
      </c>
      <c r="AD235" s="4">
        <f>$O$235*$X$235</f>
        <v>0</v>
      </c>
      <c r="AE235" s="4">
        <f ca="1">$K$235*$Y$235</f>
        <v>4749.5700000000006</v>
      </c>
      <c r="AF235" s="4">
        <f>$M$235*$Z$235</f>
        <v>0</v>
      </c>
      <c r="AG235" s="4">
        <f>$O$235*$AA$235</f>
        <v>0</v>
      </c>
    </row>
    <row r="236" spans="1:33" ht="11.25" customHeight="1" x14ac:dyDescent="0.3">
      <c r="A236" s="3" t="s">
        <v>21</v>
      </c>
      <c r="B236" s="3" t="s">
        <v>39</v>
      </c>
      <c r="C236" s="3" t="s">
        <v>40</v>
      </c>
      <c r="D236" s="3" t="s">
        <v>43</v>
      </c>
      <c r="E236" s="3" t="s">
        <v>25</v>
      </c>
      <c r="F236" s="3" t="s">
        <v>25</v>
      </c>
      <c r="G236" s="3" t="s">
        <v>25</v>
      </c>
      <c r="H236" s="3" t="s">
        <v>25</v>
      </c>
      <c r="I236" s="6">
        <v>44409</v>
      </c>
      <c r="J236" s="4">
        <v>91</v>
      </c>
      <c r="K236" s="88">
        <v>91</v>
      </c>
      <c r="L236" s="4">
        <v>0</v>
      </c>
      <c r="M236" s="88">
        <v>0</v>
      </c>
      <c r="N236" s="4">
        <v>0</v>
      </c>
      <c r="O236" s="88">
        <v>0</v>
      </c>
      <c r="P236" s="4">
        <v>2</v>
      </c>
      <c r="Q236" s="3" t="s">
        <v>26</v>
      </c>
      <c r="R236" s="3">
        <v>0</v>
      </c>
      <c r="S236" s="4">
        <v>9</v>
      </c>
      <c r="T236" s="4">
        <v>0</v>
      </c>
      <c r="U236" s="4">
        <v>0</v>
      </c>
      <c r="V236" s="88">
        <f>IF(ISERROR(VLOOKUP($S$236,'TAR FIN'!$A$1:$O$91,15,0)),0,VLOOKUP($S$236,'TAR FIN'!$A$1:$O$91,15,0))*(1-0.04)</f>
        <v>32.611199999999997</v>
      </c>
      <c r="W236" s="88">
        <f>IF(ISERROR(VLOOKUP($T$236,'TAR FIN'!$A$1:$O$91,15,0)),0,VLOOKUP($T$236,'TAR FIN'!$A$1:$O$91,15,0))</f>
        <v>0</v>
      </c>
      <c r="X236" s="88">
        <f>IF(ISERROR(VLOOKUP($U$236,'TAR FIN'!$A$1:$O$91,15,0)),0,VLOOKUP($U$236,'TAR FIN'!$A$1:$O$91,15,0))</f>
        <v>0</v>
      </c>
      <c r="Y236" s="88">
        <f ca="1">('TUSD BE'!$AM$13+'TUSD BF_350'!$AM$13+'TUSD CVA'!$AM$13)*1*(1-0.02)</f>
        <v>31.663800000000002</v>
      </c>
      <c r="Z236" s="88"/>
      <c r="AA236" s="88"/>
      <c r="AB236" s="4">
        <f>$K$236*$V$236</f>
        <v>2967.6191999999996</v>
      </c>
      <c r="AC236" s="4">
        <f>$M$236*$W$236</f>
        <v>0</v>
      </c>
      <c r="AD236" s="4">
        <f>$O$236*$X$236</f>
        <v>0</v>
      </c>
      <c r="AE236" s="4">
        <f ca="1">$K$236*$Y$236</f>
        <v>2881.4058</v>
      </c>
      <c r="AF236" s="4">
        <f>$M$236*$Z$236</f>
        <v>0</v>
      </c>
      <c r="AG236" s="4">
        <f>$O$236*$AA$236</f>
        <v>0</v>
      </c>
    </row>
    <row r="237" spans="1:33" ht="11.25" customHeight="1" x14ac:dyDescent="0.3">
      <c r="A237" s="3" t="s">
        <v>21</v>
      </c>
      <c r="B237" s="3" t="s">
        <v>39</v>
      </c>
      <c r="C237" s="3" t="s">
        <v>40</v>
      </c>
      <c r="D237" s="3" t="s">
        <v>43</v>
      </c>
      <c r="E237" s="3" t="s">
        <v>25</v>
      </c>
      <c r="F237" s="3" t="s">
        <v>25</v>
      </c>
      <c r="G237" s="3" t="s">
        <v>25</v>
      </c>
      <c r="H237" s="3" t="s">
        <v>25</v>
      </c>
      <c r="I237" s="6">
        <v>44440</v>
      </c>
      <c r="J237" s="4">
        <v>84</v>
      </c>
      <c r="K237" s="88">
        <v>84</v>
      </c>
      <c r="L237" s="4">
        <v>0</v>
      </c>
      <c r="M237" s="88">
        <v>0</v>
      </c>
      <c r="N237" s="4">
        <v>0</v>
      </c>
      <c r="O237" s="88">
        <v>0</v>
      </c>
      <c r="P237" s="4">
        <v>2</v>
      </c>
      <c r="Q237" s="3" t="s">
        <v>26</v>
      </c>
      <c r="R237" s="3">
        <v>0</v>
      </c>
      <c r="S237" s="4">
        <v>9</v>
      </c>
      <c r="T237" s="4">
        <v>0</v>
      </c>
      <c r="U237" s="4">
        <v>0</v>
      </c>
      <c r="V237" s="88">
        <f>IF(ISERROR(VLOOKUP($S$237,'TAR FIN'!$A$1:$O$91,15,0)),0,VLOOKUP($S$237,'TAR FIN'!$A$1:$O$91,15,0))*(1-0.04)</f>
        <v>32.611199999999997</v>
      </c>
      <c r="W237" s="88">
        <f>IF(ISERROR(VLOOKUP($T$237,'TAR FIN'!$A$1:$O$91,15,0)),0,VLOOKUP($T$237,'TAR FIN'!$A$1:$O$91,15,0))</f>
        <v>0</v>
      </c>
      <c r="X237" s="88">
        <f>IF(ISERROR(VLOOKUP($U$237,'TAR FIN'!$A$1:$O$91,15,0)),0,VLOOKUP($U$237,'TAR FIN'!$A$1:$O$91,15,0))</f>
        <v>0</v>
      </c>
      <c r="Y237" s="88">
        <f ca="1">('TUSD BE'!$AM$13+'TUSD BF_350'!$AM$13+'TUSD CVA'!$AM$13)*1*(1-0.02)</f>
        <v>31.663800000000002</v>
      </c>
      <c r="Z237" s="88"/>
      <c r="AA237" s="88"/>
      <c r="AB237" s="4">
        <f>$K$237*$V$237</f>
        <v>2739.3407999999999</v>
      </c>
      <c r="AC237" s="4">
        <f>$M$237*$W$237</f>
        <v>0</v>
      </c>
      <c r="AD237" s="4">
        <f>$O$237*$X$237</f>
        <v>0</v>
      </c>
      <c r="AE237" s="4">
        <f ca="1">$K$237*$Y$237</f>
        <v>2659.7592</v>
      </c>
      <c r="AF237" s="4">
        <f>$M$237*$Z$237</f>
        <v>0</v>
      </c>
      <c r="AG237" s="4">
        <f>$O$237*$AA$237</f>
        <v>0</v>
      </c>
    </row>
    <row r="238" spans="1:33" ht="11.25" customHeight="1" x14ac:dyDescent="0.3">
      <c r="A238" s="3" t="s">
        <v>21</v>
      </c>
      <c r="B238" s="3" t="s">
        <v>39</v>
      </c>
      <c r="C238" s="3" t="s">
        <v>40</v>
      </c>
      <c r="D238" s="3" t="s">
        <v>43</v>
      </c>
      <c r="E238" s="3" t="s">
        <v>25</v>
      </c>
      <c r="F238" s="3" t="s">
        <v>25</v>
      </c>
      <c r="G238" s="3" t="s">
        <v>25</v>
      </c>
      <c r="H238" s="3" t="s">
        <v>25</v>
      </c>
      <c r="I238" s="6">
        <v>44470</v>
      </c>
      <c r="J238" s="4">
        <v>83</v>
      </c>
      <c r="K238" s="88">
        <v>83</v>
      </c>
      <c r="L238" s="4">
        <v>0</v>
      </c>
      <c r="M238" s="88">
        <v>0</v>
      </c>
      <c r="N238" s="4">
        <v>0</v>
      </c>
      <c r="O238" s="88">
        <v>0</v>
      </c>
      <c r="P238" s="4">
        <v>2</v>
      </c>
      <c r="Q238" s="3" t="s">
        <v>26</v>
      </c>
      <c r="R238" s="3">
        <v>0</v>
      </c>
      <c r="S238" s="4">
        <v>9</v>
      </c>
      <c r="T238" s="4">
        <v>0</v>
      </c>
      <c r="U238" s="4">
        <v>0</v>
      </c>
      <c r="V238" s="88">
        <f>IF(ISERROR(VLOOKUP($S$238,'TAR FIN'!$A$1:$O$91,15,0)),0,VLOOKUP($S$238,'TAR FIN'!$A$1:$O$91,15,0))*(1-0.04)</f>
        <v>32.611199999999997</v>
      </c>
      <c r="W238" s="88">
        <f>IF(ISERROR(VLOOKUP($T$238,'TAR FIN'!$A$1:$O$91,15,0)),0,VLOOKUP($T$238,'TAR FIN'!$A$1:$O$91,15,0))</f>
        <v>0</v>
      </c>
      <c r="X238" s="88">
        <f>IF(ISERROR(VLOOKUP($U$238,'TAR FIN'!$A$1:$O$91,15,0)),0,VLOOKUP($U$238,'TAR FIN'!$A$1:$O$91,15,0))</f>
        <v>0</v>
      </c>
      <c r="Y238" s="88">
        <f ca="1">('TUSD BE'!$AM$13+'TUSD BF_350'!$AM$13+'TUSD CVA'!$AM$13)*1*(1-0.02)</f>
        <v>31.663800000000002</v>
      </c>
      <c r="Z238" s="88"/>
      <c r="AA238" s="88"/>
      <c r="AB238" s="4">
        <f>$K$238*$V$238</f>
        <v>2706.7295999999997</v>
      </c>
      <c r="AC238" s="4">
        <f>$M$238*$W$238</f>
        <v>0</v>
      </c>
      <c r="AD238" s="4">
        <f>$O$238*$X$238</f>
        <v>0</v>
      </c>
      <c r="AE238" s="4">
        <f ca="1">$K$238*$Y$238</f>
        <v>2628.0954000000002</v>
      </c>
      <c r="AF238" s="4">
        <f>$M$238*$Z$238</f>
        <v>0</v>
      </c>
      <c r="AG238" s="4">
        <f>$O$238*$AA$238</f>
        <v>0</v>
      </c>
    </row>
    <row r="239" spans="1:33" ht="11.25" customHeight="1" x14ac:dyDescent="0.3">
      <c r="A239" s="3" t="s">
        <v>21</v>
      </c>
      <c r="B239" s="3" t="s">
        <v>39</v>
      </c>
      <c r="C239" s="3" t="s">
        <v>40</v>
      </c>
      <c r="D239" s="3" t="s">
        <v>43</v>
      </c>
      <c r="E239" s="3" t="s">
        <v>25</v>
      </c>
      <c r="F239" s="3" t="s">
        <v>25</v>
      </c>
      <c r="G239" s="3" t="s">
        <v>25</v>
      </c>
      <c r="H239" s="3" t="s">
        <v>25</v>
      </c>
      <c r="I239" s="6">
        <v>44501</v>
      </c>
      <c r="J239" s="4">
        <v>89</v>
      </c>
      <c r="K239" s="88">
        <v>89</v>
      </c>
      <c r="L239" s="4">
        <v>0</v>
      </c>
      <c r="M239" s="88">
        <v>0</v>
      </c>
      <c r="N239" s="4">
        <v>0</v>
      </c>
      <c r="O239" s="88">
        <v>0</v>
      </c>
      <c r="P239" s="4">
        <v>2</v>
      </c>
      <c r="Q239" s="3" t="s">
        <v>26</v>
      </c>
      <c r="R239" s="3">
        <v>0</v>
      </c>
      <c r="S239" s="4">
        <v>9</v>
      </c>
      <c r="T239" s="4">
        <v>0</v>
      </c>
      <c r="U239" s="4">
        <v>0</v>
      </c>
      <c r="V239" s="88">
        <f>IF(ISERROR(VLOOKUP($S$239,'TAR FIN'!$A$1:$O$91,15,0)),0,VLOOKUP($S$239,'TAR FIN'!$A$1:$O$91,15,0))*(1-0.04)</f>
        <v>32.611199999999997</v>
      </c>
      <c r="W239" s="88">
        <f>IF(ISERROR(VLOOKUP($T$239,'TAR FIN'!$A$1:$O$91,15,0)),0,VLOOKUP($T$239,'TAR FIN'!$A$1:$O$91,15,0))</f>
        <v>0</v>
      </c>
      <c r="X239" s="88">
        <f>IF(ISERROR(VLOOKUP($U$239,'TAR FIN'!$A$1:$O$91,15,0)),0,VLOOKUP($U$239,'TAR FIN'!$A$1:$O$91,15,0))</f>
        <v>0</v>
      </c>
      <c r="Y239" s="88">
        <f ca="1">('TUSD BE'!$AM$13+'TUSD BF_350'!$AM$13+'TUSD CVA'!$AM$13)*1*(1-0.02)</f>
        <v>31.663800000000002</v>
      </c>
      <c r="Z239" s="88"/>
      <c r="AA239" s="88"/>
      <c r="AB239" s="4">
        <f>$K$239*$V$239</f>
        <v>2902.3967999999995</v>
      </c>
      <c r="AC239" s="4">
        <f>$M$239*$W$239</f>
        <v>0</v>
      </c>
      <c r="AD239" s="4">
        <f>$O$239*$X$239</f>
        <v>0</v>
      </c>
      <c r="AE239" s="4">
        <f ca="1">$K$239*$Y$239</f>
        <v>2818.0782000000004</v>
      </c>
      <c r="AF239" s="4">
        <f>$M$239*$Z$239</f>
        <v>0</v>
      </c>
      <c r="AG239" s="4">
        <f>$O$239*$AA$239</f>
        <v>0</v>
      </c>
    </row>
    <row r="240" spans="1:33" ht="11.25" customHeight="1" x14ac:dyDescent="0.3">
      <c r="A240" s="3" t="s">
        <v>21</v>
      </c>
      <c r="B240" s="3" t="s">
        <v>39</v>
      </c>
      <c r="C240" s="3" t="s">
        <v>40</v>
      </c>
      <c r="D240" s="3" t="s">
        <v>43</v>
      </c>
      <c r="E240" s="3" t="s">
        <v>25</v>
      </c>
      <c r="F240" s="3" t="s">
        <v>25</v>
      </c>
      <c r="G240" s="3" t="s">
        <v>25</v>
      </c>
      <c r="H240" s="3" t="s">
        <v>25</v>
      </c>
      <c r="I240" s="6">
        <v>44531</v>
      </c>
      <c r="J240" s="4">
        <v>44</v>
      </c>
      <c r="K240" s="88">
        <v>44</v>
      </c>
      <c r="L240" s="4">
        <v>0</v>
      </c>
      <c r="M240" s="88">
        <v>0</v>
      </c>
      <c r="N240" s="4">
        <v>0</v>
      </c>
      <c r="O240" s="88">
        <v>0</v>
      </c>
      <c r="P240" s="4">
        <v>2</v>
      </c>
      <c r="Q240" s="3" t="s">
        <v>26</v>
      </c>
      <c r="R240" s="3">
        <v>0</v>
      </c>
      <c r="S240" s="4">
        <v>9</v>
      </c>
      <c r="T240" s="4">
        <v>0</v>
      </c>
      <c r="U240" s="4">
        <v>0</v>
      </c>
      <c r="V240" s="88">
        <f>IF(ISERROR(VLOOKUP($S$240,'TAR FIN'!$A$1:$O$91,15,0)),0,VLOOKUP($S$240,'TAR FIN'!$A$1:$O$91,15,0))*(1-0.04)</f>
        <v>32.611199999999997</v>
      </c>
      <c r="W240" s="88">
        <f>IF(ISERROR(VLOOKUP($T$240,'TAR FIN'!$A$1:$O$91,15,0)),0,VLOOKUP($T$240,'TAR FIN'!$A$1:$O$91,15,0))</f>
        <v>0</v>
      </c>
      <c r="X240" s="88">
        <f>IF(ISERROR(VLOOKUP($U$240,'TAR FIN'!$A$1:$O$91,15,0)),0,VLOOKUP($U$240,'TAR FIN'!$A$1:$O$91,15,0))</f>
        <v>0</v>
      </c>
      <c r="Y240" s="88">
        <f ca="1">('TUSD BE'!$AM$13+'TUSD BF_350'!$AM$13+'TUSD CVA'!$AM$13)*1*(1-0.02)</f>
        <v>31.663800000000002</v>
      </c>
      <c r="Z240" s="88"/>
      <c r="AA240" s="88"/>
      <c r="AB240" s="4">
        <f>$K$240*$V$240</f>
        <v>1434.8927999999999</v>
      </c>
      <c r="AC240" s="4">
        <f>$M$240*$W$240</f>
        <v>0</v>
      </c>
      <c r="AD240" s="4">
        <f>$O$240*$X$240</f>
        <v>0</v>
      </c>
      <c r="AE240" s="4">
        <f ca="1">$K$240*$Y$240</f>
        <v>1393.2072000000001</v>
      </c>
      <c r="AF240" s="4">
        <f>$M$240*$Z$240</f>
        <v>0</v>
      </c>
      <c r="AG240" s="4">
        <f>$O$240*$AA$240</f>
        <v>0</v>
      </c>
    </row>
    <row r="241" spans="1:33" ht="11.25" customHeight="1" x14ac:dyDescent="0.3">
      <c r="A241" s="3" t="s">
        <v>21</v>
      </c>
      <c r="B241" s="3" t="s">
        <v>39</v>
      </c>
      <c r="C241" s="3" t="s">
        <v>40</v>
      </c>
      <c r="D241" s="3" t="s">
        <v>43</v>
      </c>
      <c r="E241" s="3" t="s">
        <v>25</v>
      </c>
      <c r="F241" s="3" t="s">
        <v>25</v>
      </c>
      <c r="G241" s="3" t="s">
        <v>25</v>
      </c>
      <c r="H241" s="3" t="s">
        <v>25</v>
      </c>
      <c r="I241" s="6">
        <v>44562</v>
      </c>
      <c r="J241" s="4">
        <v>46</v>
      </c>
      <c r="K241" s="88">
        <v>46</v>
      </c>
      <c r="L241" s="4">
        <v>0</v>
      </c>
      <c r="M241" s="88">
        <v>0</v>
      </c>
      <c r="N241" s="4">
        <v>0</v>
      </c>
      <c r="O241" s="88">
        <v>0</v>
      </c>
      <c r="P241" s="4">
        <v>2</v>
      </c>
      <c r="Q241" s="3" t="s">
        <v>26</v>
      </c>
      <c r="R241" s="3">
        <v>0</v>
      </c>
      <c r="S241" s="4">
        <v>9</v>
      </c>
      <c r="T241" s="4">
        <v>0</v>
      </c>
      <c r="U241" s="4">
        <v>0</v>
      </c>
      <c r="V241" s="88">
        <f>IF(ISERROR(VLOOKUP($S$241,'TAR FIN'!$A$1:$O$91,15,0)),0,VLOOKUP($S$241,'TAR FIN'!$A$1:$O$91,15,0))*(1-0.04)</f>
        <v>32.611199999999997</v>
      </c>
      <c r="W241" s="88">
        <f>IF(ISERROR(VLOOKUP($T$241,'TAR FIN'!$A$1:$O$91,15,0)),0,VLOOKUP($T$241,'TAR FIN'!$A$1:$O$91,15,0))</f>
        <v>0</v>
      </c>
      <c r="X241" s="88">
        <f>IF(ISERROR(VLOOKUP($U$241,'TAR FIN'!$A$1:$O$91,15,0)),0,VLOOKUP($U$241,'TAR FIN'!$A$1:$O$91,15,0))</f>
        <v>0</v>
      </c>
      <c r="Y241" s="88">
        <f ca="1">('TUSD BE'!$AM$13+'TUSD BF_350'!$AM$13+'TUSD CVA'!$AM$13)*1*(1-0.02)</f>
        <v>31.663800000000002</v>
      </c>
      <c r="Z241" s="88"/>
      <c r="AA241" s="88"/>
      <c r="AB241" s="4">
        <f>$K$241*$V$241</f>
        <v>1500.1151999999997</v>
      </c>
      <c r="AC241" s="4">
        <f>$M$241*$W$241</f>
        <v>0</v>
      </c>
      <c r="AD241" s="4">
        <f>$O$241*$X$241</f>
        <v>0</v>
      </c>
      <c r="AE241" s="4">
        <f ca="1">$K$241*$Y$241</f>
        <v>1456.5348000000001</v>
      </c>
      <c r="AF241" s="4">
        <f>$M$241*$Z$241</f>
        <v>0</v>
      </c>
      <c r="AG241" s="4">
        <f>$O$241*$AA$241</f>
        <v>0</v>
      </c>
    </row>
    <row r="242" spans="1:33" ht="11.25" customHeight="1" x14ac:dyDescent="0.3">
      <c r="A242" s="3" t="s">
        <v>21</v>
      </c>
      <c r="B242" s="3" t="s">
        <v>39</v>
      </c>
      <c r="C242" s="3" t="s">
        <v>40</v>
      </c>
      <c r="D242" s="3" t="s">
        <v>43</v>
      </c>
      <c r="E242" s="3" t="s">
        <v>25</v>
      </c>
      <c r="F242" s="3" t="s">
        <v>25</v>
      </c>
      <c r="G242" s="3" t="s">
        <v>25</v>
      </c>
      <c r="H242" s="3" t="s">
        <v>25</v>
      </c>
      <c r="I242" s="6">
        <v>44593</v>
      </c>
      <c r="J242" s="4">
        <v>57</v>
      </c>
      <c r="K242" s="88">
        <v>57</v>
      </c>
      <c r="L242" s="4">
        <v>0</v>
      </c>
      <c r="M242" s="88">
        <v>0</v>
      </c>
      <c r="N242" s="4">
        <v>0</v>
      </c>
      <c r="O242" s="88">
        <v>0</v>
      </c>
      <c r="P242" s="4">
        <v>2</v>
      </c>
      <c r="Q242" s="3" t="s">
        <v>26</v>
      </c>
      <c r="R242" s="3">
        <v>0</v>
      </c>
      <c r="S242" s="4">
        <v>9</v>
      </c>
      <c r="T242" s="4">
        <v>0</v>
      </c>
      <c r="U242" s="4">
        <v>0</v>
      </c>
      <c r="V242" s="88">
        <f>IF(ISERROR(VLOOKUP($S$242,'TAR FIN'!$A$1:$O$91,15,0)),0,VLOOKUP($S$242,'TAR FIN'!$A$1:$O$91,15,0))*(1-0.04)</f>
        <v>32.611199999999997</v>
      </c>
      <c r="W242" s="88">
        <f>IF(ISERROR(VLOOKUP($T$242,'TAR FIN'!$A$1:$O$91,15,0)),0,VLOOKUP($T$242,'TAR FIN'!$A$1:$O$91,15,0))</f>
        <v>0</v>
      </c>
      <c r="X242" s="88">
        <f>IF(ISERROR(VLOOKUP($U$242,'TAR FIN'!$A$1:$O$91,15,0)),0,VLOOKUP($U$242,'TAR FIN'!$A$1:$O$91,15,0))</f>
        <v>0</v>
      </c>
      <c r="Y242" s="88">
        <f ca="1">('TUSD BE'!$AM$13+'TUSD BF_350'!$AM$13+'TUSD CVA'!$AM$13)*1*(1-0.02)</f>
        <v>31.663800000000002</v>
      </c>
      <c r="Z242" s="88"/>
      <c r="AA242" s="88"/>
      <c r="AB242" s="4">
        <f>$K$242*$V$242</f>
        <v>1858.8383999999999</v>
      </c>
      <c r="AC242" s="4">
        <f>$M$242*$W$242</f>
        <v>0</v>
      </c>
      <c r="AD242" s="4">
        <f>$O$242*$X$242</f>
        <v>0</v>
      </c>
      <c r="AE242" s="4">
        <f ca="1">$K$242*$Y$242</f>
        <v>1804.8366000000001</v>
      </c>
      <c r="AF242" s="4">
        <f>$M$242*$Z$242</f>
        <v>0</v>
      </c>
      <c r="AG242" s="4">
        <f>$O$242*$AA$242</f>
        <v>0</v>
      </c>
    </row>
    <row r="243" spans="1:33" ht="11.25" customHeight="1" x14ac:dyDescent="0.3">
      <c r="A243" s="3" t="s">
        <v>21</v>
      </c>
      <c r="B243" s="3" t="s">
        <v>39</v>
      </c>
      <c r="C243" s="3" t="s">
        <v>40</v>
      </c>
      <c r="D243" s="3" t="s">
        <v>43</v>
      </c>
      <c r="E243" s="3" t="s">
        <v>25</v>
      </c>
      <c r="F243" s="3" t="s">
        <v>25</v>
      </c>
      <c r="G243" s="3" t="s">
        <v>25</v>
      </c>
      <c r="H243" s="3" t="s">
        <v>25</v>
      </c>
      <c r="I243" s="6">
        <v>44621</v>
      </c>
      <c r="J243" s="4">
        <v>117</v>
      </c>
      <c r="K243" s="88">
        <v>117</v>
      </c>
      <c r="L243" s="4">
        <v>0</v>
      </c>
      <c r="M243" s="88">
        <v>0</v>
      </c>
      <c r="N243" s="4">
        <v>0</v>
      </c>
      <c r="O243" s="88">
        <v>0</v>
      </c>
      <c r="P243" s="4">
        <v>2</v>
      </c>
      <c r="Q243" s="3" t="s">
        <v>26</v>
      </c>
      <c r="R243" s="3">
        <v>0</v>
      </c>
      <c r="S243" s="4">
        <v>9</v>
      </c>
      <c r="T243" s="4">
        <v>0</v>
      </c>
      <c r="U243" s="4">
        <v>0</v>
      </c>
      <c r="V243" s="88">
        <f>IF(ISERROR(VLOOKUP($S$243,'TAR FIN'!$A$1:$O$91,15,0)),0,VLOOKUP($S$243,'TAR FIN'!$A$1:$O$91,15,0))*(1-0.04)</f>
        <v>32.611199999999997</v>
      </c>
      <c r="W243" s="88">
        <f>IF(ISERROR(VLOOKUP($T$243,'TAR FIN'!$A$1:$O$91,15,0)),0,VLOOKUP($T$243,'TAR FIN'!$A$1:$O$91,15,0))</f>
        <v>0</v>
      </c>
      <c r="X243" s="88">
        <f>IF(ISERROR(VLOOKUP($U$243,'TAR FIN'!$A$1:$O$91,15,0)),0,VLOOKUP($U$243,'TAR FIN'!$A$1:$O$91,15,0))</f>
        <v>0</v>
      </c>
      <c r="Y243" s="88">
        <f ca="1">('TUSD BE'!$AM$13+'TUSD BF_350'!$AM$13+'TUSD CVA'!$AM$13)*1*(1-0.02)</f>
        <v>31.663800000000002</v>
      </c>
      <c r="Z243" s="88"/>
      <c r="AA243" s="88"/>
      <c r="AB243" s="4">
        <f>$K$243*$V$243</f>
        <v>3815.5103999999997</v>
      </c>
      <c r="AC243" s="4">
        <f>$M$243*$W$243</f>
        <v>0</v>
      </c>
      <c r="AD243" s="4">
        <f>$O$243*$X$243</f>
        <v>0</v>
      </c>
      <c r="AE243" s="4">
        <f ca="1">$K$243*$Y$243</f>
        <v>3704.6646000000001</v>
      </c>
      <c r="AF243" s="4">
        <f>$M$243*$Z$243</f>
        <v>0</v>
      </c>
      <c r="AG243" s="4">
        <f>$O$243*$AA$243</f>
        <v>0</v>
      </c>
    </row>
    <row r="244" spans="1:33" ht="11.25" customHeight="1" x14ac:dyDescent="0.3">
      <c r="A244" s="3" t="s">
        <v>21</v>
      </c>
      <c r="B244" s="3" t="s">
        <v>39</v>
      </c>
      <c r="C244" s="3" t="s">
        <v>40</v>
      </c>
      <c r="D244" s="3" t="s">
        <v>43</v>
      </c>
      <c r="E244" s="3" t="s">
        <v>25</v>
      </c>
      <c r="F244" s="3" t="s">
        <v>25</v>
      </c>
      <c r="G244" s="3" t="s">
        <v>25</v>
      </c>
      <c r="H244" s="3" t="s">
        <v>25</v>
      </c>
      <c r="I244" s="6">
        <v>44652</v>
      </c>
      <c r="J244" s="4">
        <v>156</v>
      </c>
      <c r="K244" s="88">
        <v>156</v>
      </c>
      <c r="L244" s="4">
        <v>0</v>
      </c>
      <c r="M244" s="88">
        <v>0</v>
      </c>
      <c r="N244" s="4">
        <v>0</v>
      </c>
      <c r="O244" s="88">
        <v>0</v>
      </c>
      <c r="P244" s="4">
        <v>2</v>
      </c>
      <c r="Q244" s="3" t="s">
        <v>26</v>
      </c>
      <c r="R244" s="3">
        <v>0</v>
      </c>
      <c r="S244" s="4">
        <v>9</v>
      </c>
      <c r="T244" s="4">
        <v>0</v>
      </c>
      <c r="U244" s="4">
        <v>0</v>
      </c>
      <c r="V244" s="88">
        <f>IF(ISERROR(VLOOKUP($S$244,'TAR FIN'!$A$1:$O$91,15,0)),0,VLOOKUP($S$244,'TAR FIN'!$A$1:$O$91,15,0))*(1-0.04)</f>
        <v>32.611199999999997</v>
      </c>
      <c r="W244" s="88">
        <f>IF(ISERROR(VLOOKUP($T$244,'TAR FIN'!$A$1:$O$91,15,0)),0,VLOOKUP($T$244,'TAR FIN'!$A$1:$O$91,15,0))</f>
        <v>0</v>
      </c>
      <c r="X244" s="88">
        <f>IF(ISERROR(VLOOKUP($U$244,'TAR FIN'!$A$1:$O$91,15,0)),0,VLOOKUP($U$244,'TAR FIN'!$A$1:$O$91,15,0))</f>
        <v>0</v>
      </c>
      <c r="Y244" s="88">
        <f ca="1">('TUSD BE'!$AM$13+'TUSD BF_350'!$AM$13+'TUSD CVA'!$AM$13)*1*(1-0.02)</f>
        <v>31.663800000000002</v>
      </c>
      <c r="Z244" s="88"/>
      <c r="AA244" s="88"/>
      <c r="AB244" s="4">
        <f>$K$244*$V$244</f>
        <v>5087.3471999999992</v>
      </c>
      <c r="AC244" s="4">
        <f>$M$244*$W$244</f>
        <v>0</v>
      </c>
      <c r="AD244" s="4">
        <f>$O$244*$X$244</f>
        <v>0</v>
      </c>
      <c r="AE244" s="4">
        <f ca="1">$K$244*$Y$244</f>
        <v>4939.5528000000004</v>
      </c>
      <c r="AF244" s="4">
        <f>$M$244*$Z$244</f>
        <v>0</v>
      </c>
      <c r="AG244" s="4">
        <f>$O$244*$AA$244</f>
        <v>0</v>
      </c>
    </row>
    <row r="245" spans="1:33" ht="11.25" customHeight="1" x14ac:dyDescent="0.3">
      <c r="A245" s="3" t="s">
        <v>21</v>
      </c>
      <c r="B245" s="3" t="s">
        <v>39</v>
      </c>
      <c r="C245" s="3" t="s">
        <v>40</v>
      </c>
      <c r="D245" s="3" t="s">
        <v>43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44682</v>
      </c>
      <c r="J245" s="4">
        <v>120</v>
      </c>
      <c r="K245" s="88">
        <v>120</v>
      </c>
      <c r="L245" s="4">
        <v>0</v>
      </c>
      <c r="M245" s="88">
        <v>0</v>
      </c>
      <c r="N245" s="4">
        <v>0</v>
      </c>
      <c r="O245" s="88">
        <v>0</v>
      </c>
      <c r="P245" s="4">
        <v>2</v>
      </c>
      <c r="Q245" s="3" t="s">
        <v>26</v>
      </c>
      <c r="R245" s="3">
        <v>0</v>
      </c>
      <c r="S245" s="4">
        <v>9</v>
      </c>
      <c r="T245" s="4">
        <v>0</v>
      </c>
      <c r="U245" s="4">
        <v>0</v>
      </c>
      <c r="V245" s="88">
        <f>IF(ISERROR(VLOOKUP($S$245,'TAR FIN'!$A$1:$O$91,15,0)),0,VLOOKUP($S$245,'TAR FIN'!$A$1:$O$91,15,0))*(1-0.04)</f>
        <v>32.611199999999997</v>
      </c>
      <c r="W245" s="88">
        <f>IF(ISERROR(VLOOKUP($T$245,'TAR FIN'!$A$1:$O$91,15,0)),0,VLOOKUP($T$245,'TAR FIN'!$A$1:$O$91,15,0))</f>
        <v>0</v>
      </c>
      <c r="X245" s="88">
        <f>IF(ISERROR(VLOOKUP($U$245,'TAR FIN'!$A$1:$O$91,15,0)),0,VLOOKUP($U$245,'TAR FIN'!$A$1:$O$91,15,0))</f>
        <v>0</v>
      </c>
      <c r="Y245" s="88">
        <f ca="1">('TUSD BE'!$AM$13+'TUSD BF_350'!$AM$13+'TUSD CVA'!$AM$13)*1*(1-0.02)</f>
        <v>31.663800000000002</v>
      </c>
      <c r="Z245" s="88"/>
      <c r="AA245" s="88"/>
      <c r="AB245" s="4">
        <f>$K$245*$V$245</f>
        <v>3913.3439999999996</v>
      </c>
      <c r="AC245" s="4">
        <f>$M$245*$W$245</f>
        <v>0</v>
      </c>
      <c r="AD245" s="4">
        <f>$O$245*$X$245</f>
        <v>0</v>
      </c>
      <c r="AE245" s="4">
        <f ca="1">$K$245*$Y$245</f>
        <v>3799.6560000000004</v>
      </c>
      <c r="AF245" s="4">
        <f>$M$245*$Z$245</f>
        <v>0</v>
      </c>
      <c r="AG245" s="4">
        <f>$O$245*$AA$245</f>
        <v>0</v>
      </c>
    </row>
    <row r="246" spans="1:33" ht="11.25" customHeight="1" x14ac:dyDescent="0.3">
      <c r="A246" s="3" t="s">
        <v>21</v>
      </c>
      <c r="B246" s="3" t="s">
        <v>39</v>
      </c>
      <c r="C246" s="3" t="s">
        <v>40</v>
      </c>
      <c r="D246" s="3" t="s">
        <v>43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44713</v>
      </c>
      <c r="J246" s="4">
        <v>98</v>
      </c>
      <c r="K246" s="88">
        <v>98</v>
      </c>
      <c r="L246" s="4">
        <v>0</v>
      </c>
      <c r="M246" s="88">
        <v>0</v>
      </c>
      <c r="N246" s="4">
        <v>0</v>
      </c>
      <c r="O246" s="88">
        <v>0</v>
      </c>
      <c r="P246" s="4">
        <v>2</v>
      </c>
      <c r="Q246" s="3" t="s">
        <v>26</v>
      </c>
      <c r="R246" s="3">
        <v>0</v>
      </c>
      <c r="S246" s="4">
        <v>9</v>
      </c>
      <c r="T246" s="4">
        <v>0</v>
      </c>
      <c r="U246" s="4">
        <v>0</v>
      </c>
      <c r="V246" s="88">
        <f>IF(ISERROR(VLOOKUP($S$246,'TAR FIN'!$A$1:$O$91,15,0)),0,VLOOKUP($S$246,'TAR FIN'!$A$1:$O$91,15,0))*(1-0.04)</f>
        <v>32.611199999999997</v>
      </c>
      <c r="W246" s="88">
        <f>IF(ISERROR(VLOOKUP($T$246,'TAR FIN'!$A$1:$O$91,15,0)),0,VLOOKUP($T$246,'TAR FIN'!$A$1:$O$91,15,0))</f>
        <v>0</v>
      </c>
      <c r="X246" s="88">
        <f>IF(ISERROR(VLOOKUP($U$246,'TAR FIN'!$A$1:$O$91,15,0)),0,VLOOKUP($U$246,'TAR FIN'!$A$1:$O$91,15,0))</f>
        <v>0</v>
      </c>
      <c r="Y246" s="88">
        <f ca="1">('TUSD BE'!$AM$13+'TUSD BF_350'!$AM$13+'TUSD CVA'!$AM$13)*1*(1-0.02)</f>
        <v>31.663800000000002</v>
      </c>
      <c r="Z246" s="88"/>
      <c r="AA246" s="88"/>
      <c r="AB246" s="4">
        <f>$K$246*$V$246</f>
        <v>3195.8975999999998</v>
      </c>
      <c r="AC246" s="4">
        <f>$M$246*$W$246</f>
        <v>0</v>
      </c>
      <c r="AD246" s="4">
        <f>$O$246*$X$246</f>
        <v>0</v>
      </c>
      <c r="AE246" s="4">
        <f ca="1">$K$246*$Y$246</f>
        <v>3103.0524</v>
      </c>
      <c r="AF246" s="4">
        <f>$M$246*$Z$246</f>
        <v>0</v>
      </c>
      <c r="AG246" s="4">
        <f>$O$246*$AA$246</f>
        <v>0</v>
      </c>
    </row>
    <row r="247" spans="1:33" ht="11.25" customHeight="1" x14ac:dyDescent="0.3">
      <c r="A247" s="3" t="s">
        <v>21</v>
      </c>
      <c r="B247" s="3" t="s">
        <v>39</v>
      </c>
      <c r="C247" s="3" t="s">
        <v>40</v>
      </c>
      <c r="D247" s="3" t="s">
        <v>43</v>
      </c>
      <c r="E247" s="3" t="s">
        <v>25</v>
      </c>
      <c r="F247" s="3" t="s">
        <v>25</v>
      </c>
      <c r="G247" s="3" t="s">
        <v>25</v>
      </c>
      <c r="H247" s="3" t="s">
        <v>34</v>
      </c>
      <c r="I247" s="6">
        <v>44378</v>
      </c>
      <c r="J247" s="4">
        <v>0</v>
      </c>
      <c r="K247" s="88">
        <v>0</v>
      </c>
      <c r="L247" s="4">
        <v>0.56100000000000005</v>
      </c>
      <c r="M247" s="88">
        <v>0.56100000000000005</v>
      </c>
      <c r="N247" s="4">
        <v>0.56100000000000005</v>
      </c>
      <c r="O247" s="88">
        <v>0.56100000000000005</v>
      </c>
      <c r="P247" s="4">
        <v>0</v>
      </c>
      <c r="Q247" s="3" t="s">
        <v>26</v>
      </c>
      <c r="R247" s="3">
        <v>0</v>
      </c>
      <c r="S247" s="4">
        <v>0</v>
      </c>
      <c r="T247" s="4">
        <v>10</v>
      </c>
      <c r="U247" s="4">
        <v>51</v>
      </c>
      <c r="V247" s="88">
        <f>IF(ISERROR(VLOOKUP($S$247,'TAR FIN'!$A$1:$O$91,15,0)),0,VLOOKUP($S$247,'TAR FIN'!$A$1:$O$91,15,0))</f>
        <v>0</v>
      </c>
      <c r="W247" s="88">
        <f>IF(ISERROR(VLOOKUP($T$247,'TAR FIN'!$A$1:$O$91,15,0)),0,VLOOKUP($T$247,'TAR FIN'!$A$1:$O$91,15,0))*(1-0.04)</f>
        <v>1685.3183999999999</v>
      </c>
      <c r="X247" s="88">
        <f>IF(ISERROR(VLOOKUP($U$247,'TAR FIN'!$A$1:$O$91,15,0)),0,VLOOKUP($U$247,'TAR FIN'!$A$1:$O$91,15,0))*(1-0.04)</f>
        <v>286.88639999999998</v>
      </c>
      <c r="Y247" s="88"/>
      <c r="Z247" s="88">
        <f ca="1">('TUSD BE'!$AM$14+'TUSD BF_350'!$AM$14+'TUSD CVA'!$AM$14)*1*(1-0.02)</f>
        <v>1257.5654</v>
      </c>
      <c r="AA247" s="88">
        <f ca="1">('TE BE'!$AB$5+'TE BF_350'!$AB$5+'TE CVA'!$AB$5)*1*(1-0.02)</f>
        <v>305.18355336539798</v>
      </c>
      <c r="AB247" s="4">
        <f>$K$247*$V$247</f>
        <v>0</v>
      </c>
      <c r="AC247" s="4">
        <f>$M$247*$W$247</f>
        <v>945.46362240000008</v>
      </c>
      <c r="AD247" s="4">
        <f>$O$247*$X$247</f>
        <v>160.94327040000002</v>
      </c>
      <c r="AE247" s="4">
        <f>$K$247*$Y$247</f>
        <v>0</v>
      </c>
      <c r="AF247" s="4">
        <f ca="1">$M$247*$Z$247</f>
        <v>705.4941894000001</v>
      </c>
      <c r="AG247" s="4">
        <f ca="1">$O$247*$AA$247</f>
        <v>171.20797343798827</v>
      </c>
    </row>
    <row r="248" spans="1:33" ht="11.25" customHeight="1" x14ac:dyDescent="0.3">
      <c r="A248" s="3" t="s">
        <v>21</v>
      </c>
      <c r="B248" s="3" t="s">
        <v>39</v>
      </c>
      <c r="C248" s="3" t="s">
        <v>40</v>
      </c>
      <c r="D248" s="3" t="s">
        <v>43</v>
      </c>
      <c r="E248" s="3" t="s">
        <v>25</v>
      </c>
      <c r="F248" s="3" t="s">
        <v>25</v>
      </c>
      <c r="G248" s="3" t="s">
        <v>25</v>
      </c>
      <c r="H248" s="3" t="s">
        <v>34</v>
      </c>
      <c r="I248" s="6">
        <v>44409</v>
      </c>
      <c r="J248" s="4">
        <v>0</v>
      </c>
      <c r="K248" s="88">
        <v>0</v>
      </c>
      <c r="L248" s="4">
        <v>0.27</v>
      </c>
      <c r="M248" s="88">
        <v>0.27</v>
      </c>
      <c r="N248" s="4">
        <v>0.27</v>
      </c>
      <c r="O248" s="88">
        <v>0.27</v>
      </c>
      <c r="P248" s="4">
        <v>0</v>
      </c>
      <c r="Q248" s="3" t="s">
        <v>26</v>
      </c>
      <c r="R248" s="3">
        <v>0</v>
      </c>
      <c r="S248" s="4">
        <v>0</v>
      </c>
      <c r="T248" s="4">
        <v>10</v>
      </c>
      <c r="U248" s="4">
        <v>51</v>
      </c>
      <c r="V248" s="88">
        <f>IF(ISERROR(VLOOKUP($S$248,'TAR FIN'!$A$1:$O$91,15,0)),0,VLOOKUP($S$248,'TAR FIN'!$A$1:$O$91,15,0))</f>
        <v>0</v>
      </c>
      <c r="W248" s="88">
        <f>IF(ISERROR(VLOOKUP($T$248,'TAR FIN'!$A$1:$O$91,15,0)),0,VLOOKUP($T$248,'TAR FIN'!$A$1:$O$91,15,0))*(1-0.04)</f>
        <v>1685.3183999999999</v>
      </c>
      <c r="X248" s="88">
        <f>IF(ISERROR(VLOOKUP($U$248,'TAR FIN'!$A$1:$O$91,15,0)),0,VLOOKUP($U$248,'TAR FIN'!$A$1:$O$91,15,0))*(1-0.04)</f>
        <v>286.88639999999998</v>
      </c>
      <c r="Y248" s="88"/>
      <c r="Z248" s="88">
        <f ca="1">('TUSD BE'!$AM$14+'TUSD BF_350'!$AM$14+'TUSD CVA'!$AM$14)*1*(1-0.02)</f>
        <v>1257.5654</v>
      </c>
      <c r="AA248" s="88">
        <f ca="1">('TE BE'!$AB$5+'TE BF_350'!$AB$5+'TE CVA'!$AB$5)*1*(1-0.02)</f>
        <v>305.18355336539798</v>
      </c>
      <c r="AB248" s="4">
        <f>$K$248*$V$248</f>
        <v>0</v>
      </c>
      <c r="AC248" s="4">
        <f>$M$248*$W$248</f>
        <v>455.03596800000003</v>
      </c>
      <c r="AD248" s="4">
        <f>$O$248*$X$248</f>
        <v>77.459327999999999</v>
      </c>
      <c r="AE248" s="4">
        <f>$K$248*$Y$248</f>
        <v>0</v>
      </c>
      <c r="AF248" s="4">
        <f ca="1">$M$248*$Z$248</f>
        <v>339.54265800000002</v>
      </c>
      <c r="AG248" s="4">
        <f ca="1">$O$248*$AA$248</f>
        <v>82.399559408657467</v>
      </c>
    </row>
    <row r="249" spans="1:33" ht="11.25" customHeight="1" x14ac:dyDescent="0.3">
      <c r="A249" s="3" t="s">
        <v>21</v>
      </c>
      <c r="B249" s="3" t="s">
        <v>39</v>
      </c>
      <c r="C249" s="3" t="s">
        <v>40</v>
      </c>
      <c r="D249" s="3" t="s">
        <v>43</v>
      </c>
      <c r="E249" s="3" t="s">
        <v>25</v>
      </c>
      <c r="F249" s="3" t="s">
        <v>25</v>
      </c>
      <c r="G249" s="3" t="s">
        <v>25</v>
      </c>
      <c r="H249" s="3" t="s">
        <v>34</v>
      </c>
      <c r="I249" s="6">
        <v>44440</v>
      </c>
      <c r="J249" s="4">
        <v>0</v>
      </c>
      <c r="K249" s="88">
        <v>0</v>
      </c>
      <c r="L249" s="4">
        <v>0.59899999999999998</v>
      </c>
      <c r="M249" s="88">
        <v>0.59899999999999998</v>
      </c>
      <c r="N249" s="4">
        <v>0.59899999999999998</v>
      </c>
      <c r="O249" s="88">
        <v>0.59899999999999998</v>
      </c>
      <c r="P249" s="4">
        <v>0</v>
      </c>
      <c r="Q249" s="3" t="s">
        <v>26</v>
      </c>
      <c r="R249" s="3">
        <v>0</v>
      </c>
      <c r="S249" s="4">
        <v>0</v>
      </c>
      <c r="T249" s="4">
        <v>10</v>
      </c>
      <c r="U249" s="4">
        <v>51</v>
      </c>
      <c r="V249" s="88">
        <f>IF(ISERROR(VLOOKUP($S$249,'TAR FIN'!$A$1:$O$91,15,0)),0,VLOOKUP($S$249,'TAR FIN'!$A$1:$O$91,15,0))</f>
        <v>0</v>
      </c>
      <c r="W249" s="88">
        <f>IF(ISERROR(VLOOKUP($T$249,'TAR FIN'!$A$1:$O$91,15,0)),0,VLOOKUP($T$249,'TAR FIN'!$A$1:$O$91,15,0))*(1-0.04)</f>
        <v>1685.3183999999999</v>
      </c>
      <c r="X249" s="88">
        <f>IF(ISERROR(VLOOKUP($U$249,'TAR FIN'!$A$1:$O$91,15,0)),0,VLOOKUP($U$249,'TAR FIN'!$A$1:$O$91,15,0))*(1-0.04)</f>
        <v>286.88639999999998</v>
      </c>
      <c r="Y249" s="88"/>
      <c r="Z249" s="88">
        <f ca="1">('TUSD BE'!$AM$14+'TUSD BF_350'!$AM$14+'TUSD CVA'!$AM$14)*1*(1-0.02)</f>
        <v>1257.5654</v>
      </c>
      <c r="AA249" s="88">
        <f ca="1">('TE BE'!$AB$5+'TE BF_350'!$AB$5+'TE CVA'!$AB$5)*1*(1-0.02)</f>
        <v>305.18355336539798</v>
      </c>
      <c r="AB249" s="4">
        <f>$K$249*$V$249</f>
        <v>0</v>
      </c>
      <c r="AC249" s="4">
        <f>$M$249*$W$249</f>
        <v>1009.5057215999999</v>
      </c>
      <c r="AD249" s="4">
        <f>$O$249*$X$249</f>
        <v>171.84495359999997</v>
      </c>
      <c r="AE249" s="4">
        <f>$K$249*$Y$249</f>
        <v>0</v>
      </c>
      <c r="AF249" s="4">
        <f ca="1">$M$249*$Z$249</f>
        <v>753.28167459999997</v>
      </c>
      <c r="AG249" s="4">
        <f ca="1">$O$249*$AA$249</f>
        <v>182.80494846587339</v>
      </c>
    </row>
    <row r="250" spans="1:33" ht="11.25" customHeight="1" x14ac:dyDescent="0.3">
      <c r="A250" s="3" t="s">
        <v>21</v>
      </c>
      <c r="B250" s="3" t="s">
        <v>39</v>
      </c>
      <c r="C250" s="3" t="s">
        <v>40</v>
      </c>
      <c r="D250" s="3" t="s">
        <v>43</v>
      </c>
      <c r="E250" s="3" t="s">
        <v>25</v>
      </c>
      <c r="F250" s="3" t="s">
        <v>25</v>
      </c>
      <c r="G250" s="3" t="s">
        <v>25</v>
      </c>
      <c r="H250" s="3" t="s">
        <v>34</v>
      </c>
      <c r="I250" s="6">
        <v>44470</v>
      </c>
      <c r="J250" s="4">
        <v>0</v>
      </c>
      <c r="K250" s="88">
        <v>0</v>
      </c>
      <c r="L250" s="4">
        <v>1.0640000000000001</v>
      </c>
      <c r="M250" s="88">
        <v>1.0640000000000001</v>
      </c>
      <c r="N250" s="4">
        <v>1.0640000000000001</v>
      </c>
      <c r="O250" s="88">
        <v>1.0640000000000001</v>
      </c>
      <c r="P250" s="4">
        <v>0</v>
      </c>
      <c r="Q250" s="3" t="s">
        <v>26</v>
      </c>
      <c r="R250" s="3">
        <v>0</v>
      </c>
      <c r="S250" s="4">
        <v>0</v>
      </c>
      <c r="T250" s="4">
        <v>10</v>
      </c>
      <c r="U250" s="4">
        <v>51</v>
      </c>
      <c r="V250" s="88">
        <f>IF(ISERROR(VLOOKUP($S$250,'TAR FIN'!$A$1:$O$91,15,0)),0,VLOOKUP($S$250,'TAR FIN'!$A$1:$O$91,15,0))</f>
        <v>0</v>
      </c>
      <c r="W250" s="88">
        <f>IF(ISERROR(VLOOKUP($T$250,'TAR FIN'!$A$1:$O$91,15,0)),0,VLOOKUP($T$250,'TAR FIN'!$A$1:$O$91,15,0))*(1-0.04)</f>
        <v>1685.3183999999999</v>
      </c>
      <c r="X250" s="88">
        <f>IF(ISERROR(VLOOKUP($U$250,'TAR FIN'!$A$1:$O$91,15,0)),0,VLOOKUP($U$250,'TAR FIN'!$A$1:$O$91,15,0))*(1-0.04)</f>
        <v>286.88639999999998</v>
      </c>
      <c r="Y250" s="88"/>
      <c r="Z250" s="88">
        <f ca="1">('TUSD BE'!$AM$14+'TUSD BF_350'!$AM$14+'TUSD CVA'!$AM$14)*1*(1-0.02)</f>
        <v>1257.5654</v>
      </c>
      <c r="AA250" s="88">
        <f ca="1">('TE BE'!$AB$5+'TE BF_350'!$AB$5+'TE CVA'!$AB$5)*1*(1-0.02)</f>
        <v>305.18355336539798</v>
      </c>
      <c r="AB250" s="4">
        <f>$K$250*$V$250</f>
        <v>0</v>
      </c>
      <c r="AC250" s="4">
        <f>$M$250*$W$250</f>
        <v>1793.1787775999999</v>
      </c>
      <c r="AD250" s="4">
        <f>$O$250*$X$250</f>
        <v>305.24712959999999</v>
      </c>
      <c r="AE250" s="4">
        <f>$K$250*$Y$250</f>
        <v>0</v>
      </c>
      <c r="AF250" s="4">
        <f ca="1">$M$250*$Z$250</f>
        <v>1338.0495856</v>
      </c>
      <c r="AG250" s="4">
        <f ca="1">$O$250*$AA$250</f>
        <v>324.71530078078348</v>
      </c>
    </row>
    <row r="251" spans="1:33" ht="11.25" customHeight="1" x14ac:dyDescent="0.3">
      <c r="A251" s="3" t="s">
        <v>21</v>
      </c>
      <c r="B251" s="3" t="s">
        <v>39</v>
      </c>
      <c r="C251" s="3" t="s">
        <v>40</v>
      </c>
      <c r="D251" s="3" t="s">
        <v>43</v>
      </c>
      <c r="E251" s="3" t="s">
        <v>25</v>
      </c>
      <c r="F251" s="3" t="s">
        <v>25</v>
      </c>
      <c r="G251" s="3" t="s">
        <v>25</v>
      </c>
      <c r="H251" s="3" t="s">
        <v>34</v>
      </c>
      <c r="I251" s="6">
        <v>44501</v>
      </c>
      <c r="J251" s="4">
        <v>0</v>
      </c>
      <c r="K251" s="88">
        <v>0</v>
      </c>
      <c r="L251" s="4">
        <v>6.4000000000000001E-2</v>
      </c>
      <c r="M251" s="88">
        <v>6.4000000000000001E-2</v>
      </c>
      <c r="N251" s="4">
        <v>6.4000000000000001E-2</v>
      </c>
      <c r="O251" s="88">
        <v>6.4000000000000001E-2</v>
      </c>
      <c r="P251" s="4">
        <v>0</v>
      </c>
      <c r="Q251" s="3" t="s">
        <v>26</v>
      </c>
      <c r="R251" s="3">
        <v>0</v>
      </c>
      <c r="S251" s="4">
        <v>0</v>
      </c>
      <c r="T251" s="4">
        <v>10</v>
      </c>
      <c r="U251" s="4">
        <v>51</v>
      </c>
      <c r="V251" s="88">
        <f>IF(ISERROR(VLOOKUP($S$251,'TAR FIN'!$A$1:$O$91,15,0)),0,VLOOKUP($S$251,'TAR FIN'!$A$1:$O$91,15,0))</f>
        <v>0</v>
      </c>
      <c r="W251" s="88">
        <f>IF(ISERROR(VLOOKUP($T$251,'TAR FIN'!$A$1:$O$91,15,0)),0,VLOOKUP($T$251,'TAR FIN'!$A$1:$O$91,15,0))*(1-0.04)</f>
        <v>1685.3183999999999</v>
      </c>
      <c r="X251" s="88">
        <f>IF(ISERROR(VLOOKUP($U$251,'TAR FIN'!$A$1:$O$91,15,0)),0,VLOOKUP($U$251,'TAR FIN'!$A$1:$O$91,15,0))*(1-0.04)</f>
        <v>286.88639999999998</v>
      </c>
      <c r="Y251" s="88"/>
      <c r="Z251" s="88">
        <f ca="1">('TUSD BE'!$AM$14+'TUSD BF_350'!$AM$14+'TUSD CVA'!$AM$14)*1*(1-0.02)</f>
        <v>1257.5654</v>
      </c>
      <c r="AA251" s="88">
        <f ca="1">('TE BE'!$AB$5+'TE BF_350'!$AB$5+'TE CVA'!$AB$5)*1*(1-0.02)</f>
        <v>305.18355336539798</v>
      </c>
      <c r="AB251" s="4">
        <f>$K$251*$V$251</f>
        <v>0</v>
      </c>
      <c r="AC251" s="4">
        <f>$M$251*$W$251</f>
        <v>107.86037759999999</v>
      </c>
      <c r="AD251" s="4">
        <f>$O$251*$X$251</f>
        <v>18.360729599999999</v>
      </c>
      <c r="AE251" s="4">
        <f>$K$251*$Y$251</f>
        <v>0</v>
      </c>
      <c r="AF251" s="4">
        <f ca="1">$M$251*$Z$251</f>
        <v>80.484185600000004</v>
      </c>
      <c r="AG251" s="4">
        <f ca="1">$O$251*$AA$251</f>
        <v>19.531747415385471</v>
      </c>
    </row>
    <row r="252" spans="1:33" ht="11.25" customHeight="1" x14ac:dyDescent="0.3">
      <c r="A252" s="3" t="s">
        <v>21</v>
      </c>
      <c r="B252" s="3" t="s">
        <v>39</v>
      </c>
      <c r="C252" s="3" t="s">
        <v>40</v>
      </c>
      <c r="D252" s="3" t="s">
        <v>43</v>
      </c>
      <c r="E252" s="3" t="s">
        <v>25</v>
      </c>
      <c r="F252" s="3" t="s">
        <v>25</v>
      </c>
      <c r="G252" s="3" t="s">
        <v>25</v>
      </c>
      <c r="H252" s="3" t="s">
        <v>34</v>
      </c>
      <c r="I252" s="6">
        <v>44531</v>
      </c>
      <c r="J252" s="4">
        <v>0</v>
      </c>
      <c r="K252" s="88">
        <v>0</v>
      </c>
      <c r="L252" s="4">
        <v>6.5000000000000002E-2</v>
      </c>
      <c r="M252" s="88">
        <v>6.5000000000000002E-2</v>
      </c>
      <c r="N252" s="4">
        <v>6.5000000000000002E-2</v>
      </c>
      <c r="O252" s="88">
        <v>6.5000000000000002E-2</v>
      </c>
      <c r="P252" s="4">
        <v>0</v>
      </c>
      <c r="Q252" s="3" t="s">
        <v>26</v>
      </c>
      <c r="R252" s="3">
        <v>0</v>
      </c>
      <c r="S252" s="4">
        <v>0</v>
      </c>
      <c r="T252" s="4">
        <v>10</v>
      </c>
      <c r="U252" s="4">
        <v>51</v>
      </c>
      <c r="V252" s="88">
        <f>IF(ISERROR(VLOOKUP($S$252,'TAR FIN'!$A$1:$O$91,15,0)),0,VLOOKUP($S$252,'TAR FIN'!$A$1:$O$91,15,0))</f>
        <v>0</v>
      </c>
      <c r="W252" s="88">
        <f>IF(ISERROR(VLOOKUP($T$252,'TAR FIN'!$A$1:$O$91,15,0)),0,VLOOKUP($T$252,'TAR FIN'!$A$1:$O$91,15,0))*(1-0.04)</f>
        <v>1685.3183999999999</v>
      </c>
      <c r="X252" s="88">
        <f>IF(ISERROR(VLOOKUP($U$252,'TAR FIN'!$A$1:$O$91,15,0)),0,VLOOKUP($U$252,'TAR FIN'!$A$1:$O$91,15,0))*(1-0.04)</f>
        <v>286.88639999999998</v>
      </c>
      <c r="Y252" s="88"/>
      <c r="Z252" s="88">
        <f ca="1">('TUSD BE'!$AM$14+'TUSD BF_350'!$AM$14+'TUSD CVA'!$AM$14)*1*(1-0.02)</f>
        <v>1257.5654</v>
      </c>
      <c r="AA252" s="88">
        <f ca="1">('TE BE'!$AB$5+'TE BF_350'!$AB$5+'TE CVA'!$AB$5)*1*(1-0.02)</f>
        <v>305.18355336539798</v>
      </c>
      <c r="AB252" s="4">
        <f>$K$252*$V$252</f>
        <v>0</v>
      </c>
      <c r="AC252" s="4">
        <f>$M$252*$W$252</f>
        <v>109.54569599999999</v>
      </c>
      <c r="AD252" s="4">
        <f>$O$252*$X$252</f>
        <v>18.647615999999999</v>
      </c>
      <c r="AE252" s="4">
        <f>$K$252*$Y$252</f>
        <v>0</v>
      </c>
      <c r="AF252" s="4">
        <f ca="1">$M$252*$Z$252</f>
        <v>81.741750999999994</v>
      </c>
      <c r="AG252" s="4">
        <f ca="1">$O$252*$AA$252</f>
        <v>19.83693096875087</v>
      </c>
    </row>
    <row r="253" spans="1:33" ht="11.25" customHeight="1" x14ac:dyDescent="0.3">
      <c r="A253" s="3" t="s">
        <v>21</v>
      </c>
      <c r="B253" s="3" t="s">
        <v>39</v>
      </c>
      <c r="C253" s="3" t="s">
        <v>40</v>
      </c>
      <c r="D253" s="3" t="s">
        <v>43</v>
      </c>
      <c r="E253" s="3" t="s">
        <v>25</v>
      </c>
      <c r="F253" s="3" t="s">
        <v>25</v>
      </c>
      <c r="G253" s="3" t="s">
        <v>25</v>
      </c>
      <c r="H253" s="3" t="s">
        <v>34</v>
      </c>
      <c r="I253" s="6">
        <v>44562</v>
      </c>
      <c r="J253" s="4">
        <v>0</v>
      </c>
      <c r="K253" s="88">
        <v>0</v>
      </c>
      <c r="L253" s="4">
        <v>7.1999999999999995E-2</v>
      </c>
      <c r="M253" s="88">
        <v>7.1999999999999995E-2</v>
      </c>
      <c r="N253" s="4">
        <v>7.1999999999999995E-2</v>
      </c>
      <c r="O253" s="88">
        <v>7.1999999999999995E-2</v>
      </c>
      <c r="P253" s="4">
        <v>0</v>
      </c>
      <c r="Q253" s="3" t="s">
        <v>26</v>
      </c>
      <c r="R253" s="3">
        <v>0</v>
      </c>
      <c r="S253" s="4">
        <v>0</v>
      </c>
      <c r="T253" s="4">
        <v>10</v>
      </c>
      <c r="U253" s="4">
        <v>51</v>
      </c>
      <c r="V253" s="88">
        <f>IF(ISERROR(VLOOKUP($S$253,'TAR FIN'!$A$1:$O$91,15,0)),0,VLOOKUP($S$253,'TAR FIN'!$A$1:$O$91,15,0))</f>
        <v>0</v>
      </c>
      <c r="W253" s="88">
        <f>IF(ISERROR(VLOOKUP($T$253,'TAR FIN'!$A$1:$O$91,15,0)),0,VLOOKUP($T$253,'TAR FIN'!$A$1:$O$91,15,0))*(1-0.04)</f>
        <v>1685.3183999999999</v>
      </c>
      <c r="X253" s="88">
        <f>IF(ISERROR(VLOOKUP($U$253,'TAR FIN'!$A$1:$O$91,15,0)),0,VLOOKUP($U$253,'TAR FIN'!$A$1:$O$91,15,0))*(1-0.04)</f>
        <v>286.88639999999998</v>
      </c>
      <c r="Y253" s="88"/>
      <c r="Z253" s="88">
        <f ca="1">('TUSD BE'!$AM$14+'TUSD BF_350'!$AM$14+'TUSD CVA'!$AM$14)*1*(1-0.02)</f>
        <v>1257.5654</v>
      </c>
      <c r="AA253" s="88">
        <f ca="1">('TE BE'!$AB$5+'TE BF_350'!$AB$5+'TE CVA'!$AB$5)*1*(1-0.02)</f>
        <v>305.18355336539798</v>
      </c>
      <c r="AB253" s="4">
        <f>$K$253*$V$253</f>
        <v>0</v>
      </c>
      <c r="AC253" s="4">
        <f>$M$253*$W$253</f>
        <v>121.34292479999998</v>
      </c>
      <c r="AD253" s="4">
        <f>$O$253*$X$253</f>
        <v>20.655820799999997</v>
      </c>
      <c r="AE253" s="4">
        <f>$K$253*$Y$253</f>
        <v>0</v>
      </c>
      <c r="AF253" s="4">
        <f ca="1">$M$253*$Z$253</f>
        <v>90.544708799999995</v>
      </c>
      <c r="AG253" s="4">
        <f ca="1">$O$253*$AA$253</f>
        <v>21.973215842308655</v>
      </c>
    </row>
    <row r="254" spans="1:33" ht="11.25" customHeight="1" x14ac:dyDescent="0.3">
      <c r="A254" s="3" t="s">
        <v>21</v>
      </c>
      <c r="B254" s="3" t="s">
        <v>39</v>
      </c>
      <c r="C254" s="3" t="s">
        <v>40</v>
      </c>
      <c r="D254" s="3" t="s">
        <v>43</v>
      </c>
      <c r="E254" s="3" t="s">
        <v>25</v>
      </c>
      <c r="F254" s="3" t="s">
        <v>25</v>
      </c>
      <c r="G254" s="3" t="s">
        <v>25</v>
      </c>
      <c r="H254" s="3" t="s">
        <v>34</v>
      </c>
      <c r="I254" s="6">
        <v>44593</v>
      </c>
      <c r="J254" s="4">
        <v>0</v>
      </c>
      <c r="K254" s="88">
        <v>0</v>
      </c>
      <c r="L254" s="4">
        <v>0.27100000000000002</v>
      </c>
      <c r="M254" s="88">
        <v>0.27100000000000002</v>
      </c>
      <c r="N254" s="4">
        <v>0.27100000000000002</v>
      </c>
      <c r="O254" s="88">
        <v>0.27100000000000002</v>
      </c>
      <c r="P254" s="4">
        <v>0</v>
      </c>
      <c r="Q254" s="3" t="s">
        <v>26</v>
      </c>
      <c r="R254" s="3">
        <v>0</v>
      </c>
      <c r="S254" s="4">
        <v>0</v>
      </c>
      <c r="T254" s="4">
        <v>10</v>
      </c>
      <c r="U254" s="4">
        <v>51</v>
      </c>
      <c r="V254" s="88">
        <f>IF(ISERROR(VLOOKUP($S$254,'TAR FIN'!$A$1:$O$91,15,0)),0,VLOOKUP($S$254,'TAR FIN'!$A$1:$O$91,15,0))</f>
        <v>0</v>
      </c>
      <c r="W254" s="88">
        <f>IF(ISERROR(VLOOKUP($T$254,'TAR FIN'!$A$1:$O$91,15,0)),0,VLOOKUP($T$254,'TAR FIN'!$A$1:$O$91,15,0))*(1-0.04)</f>
        <v>1685.3183999999999</v>
      </c>
      <c r="X254" s="88">
        <f>IF(ISERROR(VLOOKUP($U$254,'TAR FIN'!$A$1:$O$91,15,0)),0,VLOOKUP($U$254,'TAR FIN'!$A$1:$O$91,15,0))*(1-0.04)</f>
        <v>286.88639999999998</v>
      </c>
      <c r="Y254" s="88"/>
      <c r="Z254" s="88">
        <f ca="1">('TUSD BE'!$AM$14+'TUSD BF_350'!$AM$14+'TUSD CVA'!$AM$14)*1*(1-0.02)</f>
        <v>1257.5654</v>
      </c>
      <c r="AA254" s="88">
        <f ca="1">('TE BE'!$AB$5+'TE BF_350'!$AB$5+'TE CVA'!$AB$5)*1*(1-0.02)</f>
        <v>305.18355336539798</v>
      </c>
      <c r="AB254" s="4">
        <f>$K$254*$V$254</f>
        <v>0</v>
      </c>
      <c r="AC254" s="4">
        <f>$M$254*$W$254</f>
        <v>456.7212864</v>
      </c>
      <c r="AD254" s="4">
        <f>$O$254*$X$254</f>
        <v>77.7462144</v>
      </c>
      <c r="AE254" s="4">
        <f>$K$254*$Y$254</f>
        <v>0</v>
      </c>
      <c r="AF254" s="4">
        <f ca="1">$M$254*$Z$254</f>
        <v>340.80022339999999</v>
      </c>
      <c r="AG254" s="4">
        <f ca="1">$O$254*$AA$254</f>
        <v>82.704742962022863</v>
      </c>
    </row>
    <row r="255" spans="1:33" ht="11.25" customHeight="1" x14ac:dyDescent="0.3">
      <c r="A255" s="3" t="s">
        <v>21</v>
      </c>
      <c r="B255" s="3" t="s">
        <v>39</v>
      </c>
      <c r="C255" s="3" t="s">
        <v>40</v>
      </c>
      <c r="D255" s="3" t="s">
        <v>43</v>
      </c>
      <c r="E255" s="3" t="s">
        <v>25</v>
      </c>
      <c r="F255" s="3" t="s">
        <v>25</v>
      </c>
      <c r="G255" s="3" t="s">
        <v>25</v>
      </c>
      <c r="H255" s="3" t="s">
        <v>34</v>
      </c>
      <c r="I255" s="6">
        <v>44621</v>
      </c>
      <c r="J255" s="4">
        <v>0</v>
      </c>
      <c r="K255" s="88">
        <v>0</v>
      </c>
      <c r="L255" s="4">
        <v>2.4649999999999999</v>
      </c>
      <c r="M255" s="88">
        <v>2.4649999999999999</v>
      </c>
      <c r="N255" s="4">
        <v>2.4649999999999999</v>
      </c>
      <c r="O255" s="88">
        <v>2.4649999999999999</v>
      </c>
      <c r="P255" s="4">
        <v>0</v>
      </c>
      <c r="Q255" s="3" t="s">
        <v>26</v>
      </c>
      <c r="R255" s="3">
        <v>0</v>
      </c>
      <c r="S255" s="4">
        <v>0</v>
      </c>
      <c r="T255" s="4">
        <v>10</v>
      </c>
      <c r="U255" s="4">
        <v>51</v>
      </c>
      <c r="V255" s="88">
        <f>IF(ISERROR(VLOOKUP($S$255,'TAR FIN'!$A$1:$O$91,15,0)),0,VLOOKUP($S$255,'TAR FIN'!$A$1:$O$91,15,0))</f>
        <v>0</v>
      </c>
      <c r="W255" s="88">
        <f>IF(ISERROR(VLOOKUP($T$255,'TAR FIN'!$A$1:$O$91,15,0)),0,VLOOKUP($T$255,'TAR FIN'!$A$1:$O$91,15,0))*(1-0.04)</f>
        <v>1685.3183999999999</v>
      </c>
      <c r="X255" s="88">
        <f>IF(ISERROR(VLOOKUP($U$255,'TAR FIN'!$A$1:$O$91,15,0)),0,VLOOKUP($U$255,'TAR FIN'!$A$1:$O$91,15,0))*(1-0.04)</f>
        <v>286.88639999999998</v>
      </c>
      <c r="Y255" s="88"/>
      <c r="Z255" s="88">
        <f ca="1">('TUSD BE'!$AM$14+'TUSD BF_350'!$AM$14+'TUSD CVA'!$AM$14)*1*(1-0.02)</f>
        <v>1257.5654</v>
      </c>
      <c r="AA255" s="88">
        <f ca="1">('TE BE'!$AB$5+'TE BF_350'!$AB$5+'TE CVA'!$AB$5)*1*(1-0.02)</f>
        <v>305.18355336539798</v>
      </c>
      <c r="AB255" s="4">
        <f>$K$255*$V$255</f>
        <v>0</v>
      </c>
      <c r="AC255" s="4">
        <f>$M$255*$W$255</f>
        <v>4154.3098559999999</v>
      </c>
      <c r="AD255" s="4">
        <f>$O$255*$X$255</f>
        <v>707.1749759999999</v>
      </c>
      <c r="AE255" s="4">
        <f>$K$255*$Y$255</f>
        <v>0</v>
      </c>
      <c r="AF255" s="4">
        <f ca="1">$M$255*$Z$255</f>
        <v>3099.8987109999998</v>
      </c>
      <c r="AG255" s="4">
        <f ca="1">$O$255*$AA$255</f>
        <v>752.277459045706</v>
      </c>
    </row>
    <row r="256" spans="1:33" ht="11.25" customHeight="1" x14ac:dyDescent="0.3">
      <c r="A256" s="3" t="s">
        <v>21</v>
      </c>
      <c r="B256" s="3" t="s">
        <v>39</v>
      </c>
      <c r="C256" s="3" t="s">
        <v>40</v>
      </c>
      <c r="D256" s="3" t="s">
        <v>43</v>
      </c>
      <c r="E256" s="3" t="s">
        <v>25</v>
      </c>
      <c r="F256" s="3" t="s">
        <v>25</v>
      </c>
      <c r="G256" s="3" t="s">
        <v>25</v>
      </c>
      <c r="H256" s="3" t="s">
        <v>34</v>
      </c>
      <c r="I256" s="6">
        <v>44652</v>
      </c>
      <c r="J256" s="4">
        <v>0</v>
      </c>
      <c r="K256" s="88">
        <v>0</v>
      </c>
      <c r="L256" s="4">
        <v>2.4</v>
      </c>
      <c r="M256" s="88">
        <v>2.4</v>
      </c>
      <c r="N256" s="4">
        <v>2.4</v>
      </c>
      <c r="O256" s="88">
        <v>2.4</v>
      </c>
      <c r="P256" s="4">
        <v>0</v>
      </c>
      <c r="Q256" s="3" t="s">
        <v>26</v>
      </c>
      <c r="R256" s="3">
        <v>0</v>
      </c>
      <c r="S256" s="4">
        <v>0</v>
      </c>
      <c r="T256" s="4">
        <v>10</v>
      </c>
      <c r="U256" s="4">
        <v>51</v>
      </c>
      <c r="V256" s="88">
        <f>IF(ISERROR(VLOOKUP($S$256,'TAR FIN'!$A$1:$O$91,15,0)),0,VLOOKUP($S$256,'TAR FIN'!$A$1:$O$91,15,0))</f>
        <v>0</v>
      </c>
      <c r="W256" s="88">
        <f>IF(ISERROR(VLOOKUP($T$256,'TAR FIN'!$A$1:$O$91,15,0)),0,VLOOKUP($T$256,'TAR FIN'!$A$1:$O$91,15,0))*(1-0.04)</f>
        <v>1685.3183999999999</v>
      </c>
      <c r="X256" s="88">
        <f>IF(ISERROR(VLOOKUP($U$256,'TAR FIN'!$A$1:$O$91,15,0)),0,VLOOKUP($U$256,'TAR FIN'!$A$1:$O$91,15,0))*(1-0.04)</f>
        <v>286.88639999999998</v>
      </c>
      <c r="Y256" s="88"/>
      <c r="Z256" s="88">
        <f ca="1">('TUSD BE'!$AM$14+'TUSD BF_350'!$AM$14+'TUSD CVA'!$AM$14)*1*(1-0.02)</f>
        <v>1257.5654</v>
      </c>
      <c r="AA256" s="88">
        <f ca="1">('TE BE'!$AB$5+'TE BF_350'!$AB$5+'TE CVA'!$AB$5)*1*(1-0.02)</f>
        <v>305.18355336539798</v>
      </c>
      <c r="AB256" s="4">
        <f>$K$256*$V$256</f>
        <v>0</v>
      </c>
      <c r="AC256" s="4">
        <f>$M$256*$W$256</f>
        <v>4044.7641599999997</v>
      </c>
      <c r="AD256" s="4">
        <f>$O$256*$X$256</f>
        <v>688.52735999999993</v>
      </c>
      <c r="AE256" s="4">
        <f>$K$256*$Y$256</f>
        <v>0</v>
      </c>
      <c r="AF256" s="4">
        <f ca="1">$M$256*$Z$256</f>
        <v>3018.1569599999998</v>
      </c>
      <c r="AG256" s="4">
        <f ca="1">$O$256*$AA$256</f>
        <v>732.44052807695516</v>
      </c>
    </row>
    <row r="257" spans="1:33" ht="11.25" customHeight="1" x14ac:dyDescent="0.3">
      <c r="A257" s="3" t="s">
        <v>21</v>
      </c>
      <c r="B257" s="3" t="s">
        <v>39</v>
      </c>
      <c r="C257" s="3" t="s">
        <v>40</v>
      </c>
      <c r="D257" s="3" t="s">
        <v>43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44682</v>
      </c>
      <c r="J257" s="4">
        <v>0</v>
      </c>
      <c r="K257" s="88">
        <v>0</v>
      </c>
      <c r="L257" s="4">
        <v>1.9390000000000001</v>
      </c>
      <c r="M257" s="88">
        <v>1.9390000000000001</v>
      </c>
      <c r="N257" s="4">
        <v>1.9390000000000001</v>
      </c>
      <c r="O257" s="88">
        <v>1.9390000000000001</v>
      </c>
      <c r="P257" s="4">
        <v>0</v>
      </c>
      <c r="Q257" s="3" t="s">
        <v>26</v>
      </c>
      <c r="R257" s="3">
        <v>0</v>
      </c>
      <c r="S257" s="4">
        <v>0</v>
      </c>
      <c r="T257" s="4">
        <v>10</v>
      </c>
      <c r="U257" s="4">
        <v>51</v>
      </c>
      <c r="V257" s="88">
        <f>IF(ISERROR(VLOOKUP($S$257,'TAR FIN'!$A$1:$O$91,15,0)),0,VLOOKUP($S$257,'TAR FIN'!$A$1:$O$91,15,0))</f>
        <v>0</v>
      </c>
      <c r="W257" s="88">
        <f>IF(ISERROR(VLOOKUP($T$257,'TAR FIN'!$A$1:$O$91,15,0)),0,VLOOKUP($T$257,'TAR FIN'!$A$1:$O$91,15,0))*(1-0.04)</f>
        <v>1685.3183999999999</v>
      </c>
      <c r="X257" s="88">
        <f>IF(ISERROR(VLOOKUP($U$257,'TAR FIN'!$A$1:$O$91,15,0)),0,VLOOKUP($U$257,'TAR FIN'!$A$1:$O$91,15,0))*(1-0.04)</f>
        <v>286.88639999999998</v>
      </c>
      <c r="Y257" s="88"/>
      <c r="Z257" s="88">
        <f ca="1">('TUSD BE'!$AM$14+'TUSD BF_350'!$AM$14+'TUSD CVA'!$AM$14)*1*(1-0.02)</f>
        <v>1257.5654</v>
      </c>
      <c r="AA257" s="88">
        <f ca="1">('TE BE'!$AB$5+'TE BF_350'!$AB$5+'TE CVA'!$AB$5)*1*(1-0.02)</f>
        <v>305.18355336539798</v>
      </c>
      <c r="AB257" s="4">
        <f>$K$257*$V$257</f>
        <v>0</v>
      </c>
      <c r="AC257" s="4">
        <f>$M$257*$W$257</f>
        <v>3267.8323775999997</v>
      </c>
      <c r="AD257" s="4">
        <f>$O$257*$X$257</f>
        <v>556.27272959999993</v>
      </c>
      <c r="AE257" s="4">
        <f>$K$257*$Y$257</f>
        <v>0</v>
      </c>
      <c r="AF257" s="4">
        <f ca="1">$M$257*$Z$257</f>
        <v>2438.4193105999998</v>
      </c>
      <c r="AG257" s="4">
        <f ca="1">$O$257*$AA$257</f>
        <v>591.75090997550672</v>
      </c>
    </row>
    <row r="258" spans="1:33" ht="11.25" customHeight="1" x14ac:dyDescent="0.3">
      <c r="A258" s="3" t="s">
        <v>21</v>
      </c>
      <c r="B258" s="3" t="s">
        <v>39</v>
      </c>
      <c r="C258" s="3" t="s">
        <v>40</v>
      </c>
      <c r="D258" s="3" t="s">
        <v>43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44713</v>
      </c>
      <c r="J258" s="4">
        <v>0</v>
      </c>
      <c r="K258" s="88">
        <v>0</v>
      </c>
      <c r="L258" s="4">
        <v>1.1779999999999999</v>
      </c>
      <c r="M258" s="88">
        <v>1.1779999999999999</v>
      </c>
      <c r="N258" s="4">
        <v>1.1779999999999999</v>
      </c>
      <c r="O258" s="88">
        <v>1.1779999999999999</v>
      </c>
      <c r="P258" s="4">
        <v>0</v>
      </c>
      <c r="Q258" s="3" t="s">
        <v>26</v>
      </c>
      <c r="R258" s="3">
        <v>0</v>
      </c>
      <c r="S258" s="4">
        <v>0</v>
      </c>
      <c r="T258" s="4">
        <v>10</v>
      </c>
      <c r="U258" s="4">
        <v>51</v>
      </c>
      <c r="V258" s="88">
        <f>IF(ISERROR(VLOOKUP($S$258,'TAR FIN'!$A$1:$O$91,15,0)),0,VLOOKUP($S$258,'TAR FIN'!$A$1:$O$91,15,0))</f>
        <v>0</v>
      </c>
      <c r="W258" s="88">
        <f>IF(ISERROR(VLOOKUP($T$258,'TAR FIN'!$A$1:$O$91,15,0)),0,VLOOKUP($T$258,'TAR FIN'!$A$1:$O$91,15,0))*(1-0.04)</f>
        <v>1685.3183999999999</v>
      </c>
      <c r="X258" s="88">
        <f>IF(ISERROR(VLOOKUP($U$258,'TAR FIN'!$A$1:$O$91,15,0)),0,VLOOKUP($U$258,'TAR FIN'!$A$1:$O$91,15,0))*(1-0.04)</f>
        <v>286.88639999999998</v>
      </c>
      <c r="Y258" s="88"/>
      <c r="Z258" s="88">
        <f ca="1">('TUSD BE'!$AM$14+'TUSD BF_350'!$AM$14+'TUSD CVA'!$AM$14)*1*(1-0.02)</f>
        <v>1257.5654</v>
      </c>
      <c r="AA258" s="88">
        <f ca="1">('TE BE'!$AB$5+'TE BF_350'!$AB$5+'TE CVA'!$AB$5)*1*(1-0.02)</f>
        <v>305.18355336539798</v>
      </c>
      <c r="AB258" s="4">
        <f>$K$258*$V$258</f>
        <v>0</v>
      </c>
      <c r="AC258" s="4">
        <f>$M$258*$W$258</f>
        <v>1985.3050751999997</v>
      </c>
      <c r="AD258" s="4">
        <f>$O$258*$X$258</f>
        <v>337.95217919999993</v>
      </c>
      <c r="AE258" s="4">
        <f>$K$258*$Y$258</f>
        <v>0</v>
      </c>
      <c r="AF258" s="4">
        <f ca="1">$M$258*$Z$258</f>
        <v>1481.4120412</v>
      </c>
      <c r="AG258" s="4">
        <f ca="1">$O$258*$AA$258</f>
        <v>359.50622586443882</v>
      </c>
    </row>
    <row r="259" spans="1:33" ht="11.25" customHeight="1" x14ac:dyDescent="0.3">
      <c r="A259" s="3" t="s">
        <v>21</v>
      </c>
      <c r="B259" s="3" t="s">
        <v>22</v>
      </c>
      <c r="C259" s="3" t="s">
        <v>33</v>
      </c>
      <c r="D259" s="3" t="s">
        <v>24</v>
      </c>
      <c r="E259" s="3" t="s">
        <v>24</v>
      </c>
      <c r="F259" s="3" t="s">
        <v>25</v>
      </c>
      <c r="G259" s="3" t="s">
        <v>25</v>
      </c>
      <c r="H259" s="3" t="s">
        <v>35</v>
      </c>
      <c r="I259" s="6">
        <v>44378</v>
      </c>
      <c r="J259" s="4">
        <v>0</v>
      </c>
      <c r="K259" s="4">
        <v>0</v>
      </c>
      <c r="L259" s="4">
        <v>0.318</v>
      </c>
      <c r="M259" s="4">
        <v>0.318</v>
      </c>
      <c r="N259" s="4">
        <v>0.318</v>
      </c>
      <c r="O259" s="4">
        <v>0.318</v>
      </c>
      <c r="P259" s="4">
        <v>0</v>
      </c>
      <c r="Q259" s="3" t="s">
        <v>26</v>
      </c>
      <c r="R259" s="3">
        <v>0</v>
      </c>
      <c r="S259" s="4">
        <v>0</v>
      </c>
      <c r="T259" s="4">
        <v>18</v>
      </c>
      <c r="U259" s="4">
        <v>58</v>
      </c>
      <c r="V259" s="4">
        <f>IF(ISERROR(VLOOKUP($S$259,'TAR FIN'!$A$1:$O$91,15,0)),0,VLOOKUP($S$259,'TAR FIN'!$A$1:$O$91,15,0))</f>
        <v>0</v>
      </c>
      <c r="W259" s="4">
        <f>IF(ISERROR(VLOOKUP($T$259,'TAR FIN'!$A$1:$O$91,15,0)),0,VLOOKUP($T$259,'TAR FIN'!$A$1:$O$91,15,0))</f>
        <v>271.08</v>
      </c>
      <c r="X259" s="4">
        <f>IF(ISERROR(VLOOKUP($U$259,'TAR FIN'!$A$1:$O$91,15,0)),0,VLOOKUP($U$259,'TAR FIN'!$A$1:$O$91,15,0))</f>
        <v>189.96</v>
      </c>
      <c r="Y259" s="4"/>
      <c r="Z259" s="4">
        <f ca="1">('TUSD BE'!$AM$22+'TUSD BF_350'!$AM$22+'TUSD CVA'!$AM$22)*1</f>
        <v>318.93064710349933</v>
      </c>
      <c r="AA259" s="4">
        <f ca="1">('TE BE'!$AB$13+'TE BF_350'!$AB$13+'TE CVA'!$AB$13)*1</f>
        <v>195.89707226799715</v>
      </c>
      <c r="AB259" s="4">
        <f>$K$259*$V$259</f>
        <v>0</v>
      </c>
      <c r="AC259" s="4">
        <f>$M$259*$W$259</f>
        <v>86.203440000000001</v>
      </c>
      <c r="AD259" s="4">
        <f>$O$259*$X$259</f>
        <v>60.40728</v>
      </c>
      <c r="AE259" s="4">
        <f>$K$259*$Y$259</f>
        <v>0</v>
      </c>
      <c r="AF259" s="4">
        <f ca="1">$M$259*$Z$259</f>
        <v>101.41994577891279</v>
      </c>
      <c r="AG259" s="4">
        <f ca="1">$O$259*$AA$259</f>
        <v>62.295268981223096</v>
      </c>
    </row>
    <row r="260" spans="1:33" ht="11.25" customHeight="1" x14ac:dyDescent="0.3">
      <c r="A260" s="3" t="s">
        <v>21</v>
      </c>
      <c r="B260" s="3" t="s">
        <v>22</v>
      </c>
      <c r="C260" s="3" t="s">
        <v>33</v>
      </c>
      <c r="D260" s="3" t="s">
        <v>24</v>
      </c>
      <c r="E260" s="3" t="s">
        <v>24</v>
      </c>
      <c r="F260" s="3" t="s">
        <v>25</v>
      </c>
      <c r="G260" s="3" t="s">
        <v>25</v>
      </c>
      <c r="H260" s="3" t="s">
        <v>35</v>
      </c>
      <c r="I260" s="6">
        <v>44409</v>
      </c>
      <c r="J260" s="4">
        <v>0</v>
      </c>
      <c r="K260" s="4">
        <v>0</v>
      </c>
      <c r="L260" s="4">
        <v>0.35799999999999998</v>
      </c>
      <c r="M260" s="4">
        <v>0.35799999999999998</v>
      </c>
      <c r="N260" s="4">
        <v>0.35799999999999998</v>
      </c>
      <c r="O260" s="4">
        <v>0.35799999999999998</v>
      </c>
      <c r="P260" s="4">
        <v>0</v>
      </c>
      <c r="Q260" s="3" t="s">
        <v>26</v>
      </c>
      <c r="R260" s="3">
        <v>0</v>
      </c>
      <c r="S260" s="4">
        <v>0</v>
      </c>
      <c r="T260" s="4">
        <v>18</v>
      </c>
      <c r="U260" s="4">
        <v>58</v>
      </c>
      <c r="V260" s="4">
        <f>IF(ISERROR(VLOOKUP($S$260,'TAR FIN'!$A$1:$O$91,15,0)),0,VLOOKUP($S$260,'TAR FIN'!$A$1:$O$91,15,0))</f>
        <v>0</v>
      </c>
      <c r="W260" s="4">
        <f>IF(ISERROR(VLOOKUP($T$260,'TAR FIN'!$A$1:$O$91,15,0)),0,VLOOKUP($T$260,'TAR FIN'!$A$1:$O$91,15,0))</f>
        <v>271.08</v>
      </c>
      <c r="X260" s="4">
        <f>IF(ISERROR(VLOOKUP($U$260,'TAR FIN'!$A$1:$O$91,15,0)),0,VLOOKUP($U$260,'TAR FIN'!$A$1:$O$91,15,0))</f>
        <v>189.96</v>
      </c>
      <c r="Y260" s="4"/>
      <c r="Z260" s="4">
        <f ca="1">('TUSD BE'!$AM$22+'TUSD BF_350'!$AM$22+'TUSD CVA'!$AM$22)*1</f>
        <v>318.93064710349933</v>
      </c>
      <c r="AA260" s="4">
        <f ca="1">('TE BE'!$AB$13+'TE BF_350'!$AB$13+'TE CVA'!$AB$13)*1</f>
        <v>195.89707226799715</v>
      </c>
      <c r="AB260" s="4">
        <f>$K$260*$V$260</f>
        <v>0</v>
      </c>
      <c r="AC260" s="4">
        <f>$M$260*$W$260</f>
        <v>97.046639999999996</v>
      </c>
      <c r="AD260" s="4">
        <f>$O$260*$X$260</f>
        <v>68.005679999999998</v>
      </c>
      <c r="AE260" s="4">
        <f>$K$260*$Y$260</f>
        <v>0</v>
      </c>
      <c r="AF260" s="4">
        <f ca="1">$M$260*$Z$260</f>
        <v>114.17717166305276</v>
      </c>
      <c r="AG260" s="4">
        <f ca="1">$O$260*$AA$260</f>
        <v>70.131151871942976</v>
      </c>
    </row>
    <row r="261" spans="1:33" ht="11.25" customHeight="1" x14ac:dyDescent="0.3">
      <c r="A261" s="3" t="s">
        <v>21</v>
      </c>
      <c r="B261" s="3" t="s">
        <v>22</v>
      </c>
      <c r="C261" s="3" t="s">
        <v>33</v>
      </c>
      <c r="D261" s="3" t="s">
        <v>24</v>
      </c>
      <c r="E261" s="3" t="s">
        <v>24</v>
      </c>
      <c r="F261" s="3" t="s">
        <v>25</v>
      </c>
      <c r="G261" s="3" t="s">
        <v>25</v>
      </c>
      <c r="H261" s="3" t="s">
        <v>35</v>
      </c>
      <c r="I261" s="6">
        <v>44440</v>
      </c>
      <c r="J261" s="4">
        <v>0</v>
      </c>
      <c r="K261" s="4">
        <v>0</v>
      </c>
      <c r="L261" s="4">
        <v>0.37</v>
      </c>
      <c r="M261" s="4">
        <v>0.37</v>
      </c>
      <c r="N261" s="4">
        <v>0.37</v>
      </c>
      <c r="O261" s="4">
        <v>0.37</v>
      </c>
      <c r="P261" s="4">
        <v>0</v>
      </c>
      <c r="Q261" s="3" t="s">
        <v>26</v>
      </c>
      <c r="R261" s="3">
        <v>0</v>
      </c>
      <c r="S261" s="4">
        <v>0</v>
      </c>
      <c r="T261" s="4">
        <v>18</v>
      </c>
      <c r="U261" s="4">
        <v>58</v>
      </c>
      <c r="V261" s="4">
        <f>IF(ISERROR(VLOOKUP($S$261,'TAR FIN'!$A$1:$O$91,15,0)),0,VLOOKUP($S$261,'TAR FIN'!$A$1:$O$91,15,0))</f>
        <v>0</v>
      </c>
      <c r="W261" s="4">
        <f>IF(ISERROR(VLOOKUP($T$261,'TAR FIN'!$A$1:$O$91,15,0)),0,VLOOKUP($T$261,'TAR FIN'!$A$1:$O$91,15,0))</f>
        <v>271.08</v>
      </c>
      <c r="X261" s="4">
        <f>IF(ISERROR(VLOOKUP($U$261,'TAR FIN'!$A$1:$O$91,15,0)),0,VLOOKUP($U$261,'TAR FIN'!$A$1:$O$91,15,0))</f>
        <v>189.96</v>
      </c>
      <c r="Y261" s="4"/>
      <c r="Z261" s="4">
        <f ca="1">('TUSD BE'!$AM$22+'TUSD BF_350'!$AM$22+'TUSD CVA'!$AM$22)*1</f>
        <v>318.93064710349933</v>
      </c>
      <c r="AA261" s="4">
        <f ca="1">('TE BE'!$AB$13+'TE BF_350'!$AB$13+'TE CVA'!$AB$13)*1</f>
        <v>195.89707226799715</v>
      </c>
      <c r="AB261" s="4">
        <f>$K$261*$V$261</f>
        <v>0</v>
      </c>
      <c r="AC261" s="4">
        <f>$M$261*$W$261</f>
        <v>100.2996</v>
      </c>
      <c r="AD261" s="4">
        <f>$O$261*$X$261</f>
        <v>70.285200000000003</v>
      </c>
      <c r="AE261" s="4">
        <f>$K$261*$Y$261</f>
        <v>0</v>
      </c>
      <c r="AF261" s="4">
        <f ca="1">$M$261*$Z$261</f>
        <v>118.00433942829476</v>
      </c>
      <c r="AG261" s="4">
        <f ca="1">$O$261*$AA$261</f>
        <v>72.481916739158947</v>
      </c>
    </row>
    <row r="262" spans="1:33" ht="11.25" customHeight="1" x14ac:dyDescent="0.3">
      <c r="A262" s="3" t="s">
        <v>21</v>
      </c>
      <c r="B262" s="3" t="s">
        <v>22</v>
      </c>
      <c r="C262" s="3" t="s">
        <v>33</v>
      </c>
      <c r="D262" s="3" t="s">
        <v>24</v>
      </c>
      <c r="E262" s="3" t="s">
        <v>24</v>
      </c>
      <c r="F262" s="3" t="s">
        <v>25</v>
      </c>
      <c r="G262" s="3" t="s">
        <v>25</v>
      </c>
      <c r="H262" s="3" t="s">
        <v>35</v>
      </c>
      <c r="I262" s="6">
        <v>44470</v>
      </c>
      <c r="J262" s="4">
        <v>0</v>
      </c>
      <c r="K262" s="4">
        <v>0</v>
      </c>
      <c r="L262" s="4">
        <v>0.378</v>
      </c>
      <c r="M262" s="4">
        <v>0.378</v>
      </c>
      <c r="N262" s="4">
        <v>0.378</v>
      </c>
      <c r="O262" s="4">
        <v>0.378</v>
      </c>
      <c r="P262" s="4">
        <v>0</v>
      </c>
      <c r="Q262" s="3" t="s">
        <v>26</v>
      </c>
      <c r="R262" s="3">
        <v>0</v>
      </c>
      <c r="S262" s="4">
        <v>0</v>
      </c>
      <c r="T262" s="4">
        <v>18</v>
      </c>
      <c r="U262" s="4">
        <v>58</v>
      </c>
      <c r="V262" s="4">
        <f>IF(ISERROR(VLOOKUP($S$262,'TAR FIN'!$A$1:$O$91,15,0)),0,VLOOKUP($S$262,'TAR FIN'!$A$1:$O$91,15,0))</f>
        <v>0</v>
      </c>
      <c r="W262" s="4">
        <f>IF(ISERROR(VLOOKUP($T$262,'TAR FIN'!$A$1:$O$91,15,0)),0,VLOOKUP($T$262,'TAR FIN'!$A$1:$O$91,15,0))</f>
        <v>271.08</v>
      </c>
      <c r="X262" s="4">
        <f>IF(ISERROR(VLOOKUP($U$262,'TAR FIN'!$A$1:$O$91,15,0)),0,VLOOKUP($U$262,'TAR FIN'!$A$1:$O$91,15,0))</f>
        <v>189.96</v>
      </c>
      <c r="Y262" s="4"/>
      <c r="Z262" s="4">
        <f ca="1">('TUSD BE'!$AM$22+'TUSD BF_350'!$AM$22+'TUSD CVA'!$AM$22)*1</f>
        <v>318.93064710349933</v>
      </c>
      <c r="AA262" s="4">
        <f ca="1">('TE BE'!$AB$13+'TE BF_350'!$AB$13+'TE CVA'!$AB$13)*1</f>
        <v>195.89707226799715</v>
      </c>
      <c r="AB262" s="4">
        <f>$K$262*$V$262</f>
        <v>0</v>
      </c>
      <c r="AC262" s="4">
        <f>$M$262*$W$262</f>
        <v>102.46823999999999</v>
      </c>
      <c r="AD262" s="4">
        <f>$O$262*$X$262</f>
        <v>71.804879999999997</v>
      </c>
      <c r="AE262" s="4">
        <f>$K$262*$Y$262</f>
        <v>0</v>
      </c>
      <c r="AF262" s="4">
        <f ca="1">$M$262*$Z$262</f>
        <v>120.55578460512274</v>
      </c>
      <c r="AG262" s="4">
        <f ca="1">$O$262*$AA$262</f>
        <v>74.049093317302919</v>
      </c>
    </row>
    <row r="263" spans="1:33" ht="11.25" customHeight="1" x14ac:dyDescent="0.3">
      <c r="A263" s="3" t="s">
        <v>21</v>
      </c>
      <c r="B263" s="3" t="s">
        <v>22</v>
      </c>
      <c r="C263" s="3" t="s">
        <v>33</v>
      </c>
      <c r="D263" s="3" t="s">
        <v>24</v>
      </c>
      <c r="E263" s="3" t="s">
        <v>24</v>
      </c>
      <c r="F263" s="3" t="s">
        <v>25</v>
      </c>
      <c r="G263" s="3" t="s">
        <v>25</v>
      </c>
      <c r="H263" s="3" t="s">
        <v>35</v>
      </c>
      <c r="I263" s="6">
        <v>44501</v>
      </c>
      <c r="J263" s="4">
        <v>0</v>
      </c>
      <c r="K263" s="4">
        <v>0</v>
      </c>
      <c r="L263" s="4">
        <v>0.49199999999999999</v>
      </c>
      <c r="M263" s="4">
        <v>0.49199999999999999</v>
      </c>
      <c r="N263" s="4">
        <v>0.49199999999999999</v>
      </c>
      <c r="O263" s="4">
        <v>0.49199999999999999</v>
      </c>
      <c r="P263" s="4">
        <v>0</v>
      </c>
      <c r="Q263" s="3" t="s">
        <v>26</v>
      </c>
      <c r="R263" s="3">
        <v>0</v>
      </c>
      <c r="S263" s="4">
        <v>0</v>
      </c>
      <c r="T263" s="4">
        <v>18</v>
      </c>
      <c r="U263" s="4">
        <v>58</v>
      </c>
      <c r="V263" s="4">
        <f>IF(ISERROR(VLOOKUP($S$263,'TAR FIN'!$A$1:$O$91,15,0)),0,VLOOKUP($S$263,'TAR FIN'!$A$1:$O$91,15,0))</f>
        <v>0</v>
      </c>
      <c r="W263" s="4">
        <f>IF(ISERROR(VLOOKUP($T$263,'TAR FIN'!$A$1:$O$91,15,0)),0,VLOOKUP($T$263,'TAR FIN'!$A$1:$O$91,15,0))</f>
        <v>271.08</v>
      </c>
      <c r="X263" s="4">
        <f>IF(ISERROR(VLOOKUP($U$263,'TAR FIN'!$A$1:$O$91,15,0)),0,VLOOKUP($U$263,'TAR FIN'!$A$1:$O$91,15,0))</f>
        <v>189.96</v>
      </c>
      <c r="Y263" s="4"/>
      <c r="Z263" s="4">
        <f ca="1">('TUSD BE'!$AM$22+'TUSD BF_350'!$AM$22+'TUSD CVA'!$AM$22)*1</f>
        <v>318.93064710349933</v>
      </c>
      <c r="AA263" s="4">
        <f ca="1">('TE BE'!$AB$13+'TE BF_350'!$AB$13+'TE CVA'!$AB$13)*1</f>
        <v>195.89707226799715</v>
      </c>
      <c r="AB263" s="4">
        <f>$K$263*$V$263</f>
        <v>0</v>
      </c>
      <c r="AC263" s="4">
        <f>$M$263*$W$263</f>
        <v>133.37135999999998</v>
      </c>
      <c r="AD263" s="4">
        <f>$O$263*$X$263</f>
        <v>93.460319999999996</v>
      </c>
      <c r="AE263" s="4">
        <f>$K$263*$Y$263</f>
        <v>0</v>
      </c>
      <c r="AF263" s="4">
        <f ca="1">$M$263*$Z$263</f>
        <v>156.91387837492167</v>
      </c>
      <c r="AG263" s="4">
        <f ca="1">$O$263*$AA$263</f>
        <v>96.381359555854601</v>
      </c>
    </row>
    <row r="264" spans="1:33" ht="11.25" customHeight="1" x14ac:dyDescent="0.3">
      <c r="A264" s="3" t="s">
        <v>21</v>
      </c>
      <c r="B264" s="3" t="s">
        <v>22</v>
      </c>
      <c r="C264" s="3" t="s">
        <v>33</v>
      </c>
      <c r="D264" s="3" t="s">
        <v>24</v>
      </c>
      <c r="E264" s="3" t="s">
        <v>24</v>
      </c>
      <c r="F264" s="3" t="s">
        <v>25</v>
      </c>
      <c r="G264" s="3" t="s">
        <v>25</v>
      </c>
      <c r="H264" s="3" t="s">
        <v>35</v>
      </c>
      <c r="I264" s="6">
        <v>44531</v>
      </c>
      <c r="J264" s="4">
        <v>0</v>
      </c>
      <c r="K264" s="4">
        <v>0</v>
      </c>
      <c r="L264" s="4">
        <v>0.54100000000000004</v>
      </c>
      <c r="M264" s="4">
        <v>0.54100000000000004</v>
      </c>
      <c r="N264" s="4">
        <v>0.54100000000000004</v>
      </c>
      <c r="O264" s="4">
        <v>0.54100000000000004</v>
      </c>
      <c r="P264" s="4">
        <v>0</v>
      </c>
      <c r="Q264" s="3" t="s">
        <v>26</v>
      </c>
      <c r="R264" s="3">
        <v>0</v>
      </c>
      <c r="S264" s="4">
        <v>0</v>
      </c>
      <c r="T264" s="4">
        <v>18</v>
      </c>
      <c r="U264" s="4">
        <v>58</v>
      </c>
      <c r="V264" s="4">
        <f>IF(ISERROR(VLOOKUP($S$264,'TAR FIN'!$A$1:$O$91,15,0)),0,VLOOKUP($S$264,'TAR FIN'!$A$1:$O$91,15,0))</f>
        <v>0</v>
      </c>
      <c r="W264" s="4">
        <f>IF(ISERROR(VLOOKUP($T$264,'TAR FIN'!$A$1:$O$91,15,0)),0,VLOOKUP($T$264,'TAR FIN'!$A$1:$O$91,15,0))</f>
        <v>271.08</v>
      </c>
      <c r="X264" s="4">
        <f>IF(ISERROR(VLOOKUP($U$264,'TAR FIN'!$A$1:$O$91,15,0)),0,VLOOKUP($U$264,'TAR FIN'!$A$1:$O$91,15,0))</f>
        <v>189.96</v>
      </c>
      <c r="Y264" s="4"/>
      <c r="Z264" s="4">
        <f ca="1">('TUSD BE'!$AM$22+'TUSD BF_350'!$AM$22+'TUSD CVA'!$AM$22)*1</f>
        <v>318.93064710349933</v>
      </c>
      <c r="AA264" s="4">
        <f ca="1">('TE BE'!$AB$13+'TE BF_350'!$AB$13+'TE CVA'!$AB$13)*1</f>
        <v>195.89707226799715</v>
      </c>
      <c r="AB264" s="4">
        <f>$K$264*$V$264</f>
        <v>0</v>
      </c>
      <c r="AC264" s="4">
        <f>$M$264*$W$264</f>
        <v>146.65428</v>
      </c>
      <c r="AD264" s="4">
        <f>$O$264*$X$264</f>
        <v>102.76836000000002</v>
      </c>
      <c r="AE264" s="4">
        <f>$K$264*$Y$264</f>
        <v>0</v>
      </c>
      <c r="AF264" s="4">
        <f ca="1">$M$264*$Z$264</f>
        <v>172.54148008299313</v>
      </c>
      <c r="AG264" s="4">
        <f ca="1">$O$264*$AA$264</f>
        <v>105.98031609698646</v>
      </c>
    </row>
    <row r="265" spans="1:33" ht="11.25" customHeight="1" x14ac:dyDescent="0.3">
      <c r="A265" s="3" t="s">
        <v>21</v>
      </c>
      <c r="B265" s="3" t="s">
        <v>22</v>
      </c>
      <c r="C265" s="3" t="s">
        <v>33</v>
      </c>
      <c r="D265" s="3" t="s">
        <v>24</v>
      </c>
      <c r="E265" s="3" t="s">
        <v>24</v>
      </c>
      <c r="F265" s="3" t="s">
        <v>25</v>
      </c>
      <c r="G265" s="3" t="s">
        <v>25</v>
      </c>
      <c r="H265" s="3" t="s">
        <v>35</v>
      </c>
      <c r="I265" s="6">
        <v>44562</v>
      </c>
      <c r="J265" s="4">
        <v>0</v>
      </c>
      <c r="K265" s="4">
        <v>0</v>
      </c>
      <c r="L265" s="4">
        <v>0.66900000000000004</v>
      </c>
      <c r="M265" s="4">
        <v>0.66900000000000004</v>
      </c>
      <c r="N265" s="4">
        <v>0.66900000000000004</v>
      </c>
      <c r="O265" s="4">
        <v>0.66900000000000004</v>
      </c>
      <c r="P265" s="4">
        <v>0</v>
      </c>
      <c r="Q265" s="3" t="s">
        <v>26</v>
      </c>
      <c r="R265" s="3">
        <v>0</v>
      </c>
      <c r="S265" s="4">
        <v>0</v>
      </c>
      <c r="T265" s="4">
        <v>18</v>
      </c>
      <c r="U265" s="4">
        <v>58</v>
      </c>
      <c r="V265" s="4">
        <f>IF(ISERROR(VLOOKUP($S$265,'TAR FIN'!$A$1:$O$91,15,0)),0,VLOOKUP($S$265,'TAR FIN'!$A$1:$O$91,15,0))</f>
        <v>0</v>
      </c>
      <c r="W265" s="4">
        <f>IF(ISERROR(VLOOKUP($T$265,'TAR FIN'!$A$1:$O$91,15,0)),0,VLOOKUP($T$265,'TAR FIN'!$A$1:$O$91,15,0))</f>
        <v>271.08</v>
      </c>
      <c r="X265" s="4">
        <f>IF(ISERROR(VLOOKUP($U$265,'TAR FIN'!$A$1:$O$91,15,0)),0,VLOOKUP($U$265,'TAR FIN'!$A$1:$O$91,15,0))</f>
        <v>189.96</v>
      </c>
      <c r="Y265" s="4"/>
      <c r="Z265" s="4">
        <f ca="1">('TUSD BE'!$AM$22+'TUSD BF_350'!$AM$22+'TUSD CVA'!$AM$22)*1</f>
        <v>318.93064710349933</v>
      </c>
      <c r="AA265" s="4">
        <f ca="1">('TE BE'!$AB$13+'TE BF_350'!$AB$13+'TE CVA'!$AB$13)*1</f>
        <v>195.89707226799715</v>
      </c>
      <c r="AB265" s="4">
        <f>$K$265*$V$265</f>
        <v>0</v>
      </c>
      <c r="AC265" s="4">
        <f>$M$265*$W$265</f>
        <v>181.35252</v>
      </c>
      <c r="AD265" s="4">
        <f>$O$265*$X$265</f>
        <v>127.08324000000002</v>
      </c>
      <c r="AE265" s="4">
        <f>$K$265*$Y$265</f>
        <v>0</v>
      </c>
      <c r="AF265" s="4">
        <f ca="1">$M$265*$Z$265</f>
        <v>213.36460291224105</v>
      </c>
      <c r="AG265" s="4">
        <f ca="1">$O$265*$AA$265</f>
        <v>131.05514134729009</v>
      </c>
    </row>
    <row r="266" spans="1:33" ht="11.25" customHeight="1" x14ac:dyDescent="0.3">
      <c r="A266" s="3" t="s">
        <v>21</v>
      </c>
      <c r="B266" s="3" t="s">
        <v>22</v>
      </c>
      <c r="C266" s="3" t="s">
        <v>33</v>
      </c>
      <c r="D266" s="3" t="s">
        <v>24</v>
      </c>
      <c r="E266" s="3" t="s">
        <v>24</v>
      </c>
      <c r="F266" s="3" t="s">
        <v>25</v>
      </c>
      <c r="G266" s="3" t="s">
        <v>25</v>
      </c>
      <c r="H266" s="3" t="s">
        <v>35</v>
      </c>
      <c r="I266" s="6">
        <v>44593</v>
      </c>
      <c r="J266" s="4">
        <v>0</v>
      </c>
      <c r="K266" s="4">
        <v>0</v>
      </c>
      <c r="L266" s="4">
        <v>0.77100000000000002</v>
      </c>
      <c r="M266" s="4">
        <v>0.77100000000000002</v>
      </c>
      <c r="N266" s="4">
        <v>0.77100000000000002</v>
      </c>
      <c r="O266" s="4">
        <v>0.77100000000000002</v>
      </c>
      <c r="P266" s="4">
        <v>0</v>
      </c>
      <c r="Q266" s="3" t="s">
        <v>26</v>
      </c>
      <c r="R266" s="3">
        <v>0</v>
      </c>
      <c r="S266" s="4">
        <v>0</v>
      </c>
      <c r="T266" s="4">
        <v>18</v>
      </c>
      <c r="U266" s="4">
        <v>58</v>
      </c>
      <c r="V266" s="4">
        <f>IF(ISERROR(VLOOKUP($S$266,'TAR FIN'!$A$1:$O$91,15,0)),0,VLOOKUP($S$266,'TAR FIN'!$A$1:$O$91,15,0))</f>
        <v>0</v>
      </c>
      <c r="W266" s="4">
        <f>IF(ISERROR(VLOOKUP($T$266,'TAR FIN'!$A$1:$O$91,15,0)),0,VLOOKUP($T$266,'TAR FIN'!$A$1:$O$91,15,0))</f>
        <v>271.08</v>
      </c>
      <c r="X266" s="4">
        <f>IF(ISERROR(VLOOKUP($U$266,'TAR FIN'!$A$1:$O$91,15,0)),0,VLOOKUP($U$266,'TAR FIN'!$A$1:$O$91,15,0))</f>
        <v>189.96</v>
      </c>
      <c r="Y266" s="4"/>
      <c r="Z266" s="4">
        <f ca="1">('TUSD BE'!$AM$22+'TUSD BF_350'!$AM$22+'TUSD CVA'!$AM$22)*1</f>
        <v>318.93064710349933</v>
      </c>
      <c r="AA266" s="4">
        <f ca="1">('TE BE'!$AB$13+'TE BF_350'!$AB$13+'TE CVA'!$AB$13)*1</f>
        <v>195.89707226799715</v>
      </c>
      <c r="AB266" s="4">
        <f>$K$266*$V$266</f>
        <v>0</v>
      </c>
      <c r="AC266" s="4">
        <f>$M$266*$W$266</f>
        <v>209.00268</v>
      </c>
      <c r="AD266" s="4">
        <f>$O$266*$X$266</f>
        <v>146.45916</v>
      </c>
      <c r="AE266" s="4">
        <f>$K$266*$Y$266</f>
        <v>0</v>
      </c>
      <c r="AF266" s="4">
        <f ca="1">$M$266*$Z$266</f>
        <v>245.89552891679799</v>
      </c>
      <c r="AG266" s="4">
        <f ca="1">$O$266*$AA$266</f>
        <v>151.03664271862581</v>
      </c>
    </row>
    <row r="267" spans="1:33" ht="11.25" customHeight="1" x14ac:dyDescent="0.3">
      <c r="A267" s="3" t="s">
        <v>21</v>
      </c>
      <c r="B267" s="3" t="s">
        <v>22</v>
      </c>
      <c r="C267" s="3" t="s">
        <v>33</v>
      </c>
      <c r="D267" s="3" t="s">
        <v>24</v>
      </c>
      <c r="E267" s="3" t="s">
        <v>24</v>
      </c>
      <c r="F267" s="3" t="s">
        <v>25</v>
      </c>
      <c r="G267" s="3" t="s">
        <v>25</v>
      </c>
      <c r="H267" s="3" t="s">
        <v>35</v>
      </c>
      <c r="I267" s="6">
        <v>44621</v>
      </c>
      <c r="J267" s="4">
        <v>0</v>
      </c>
      <c r="K267" s="4">
        <v>0</v>
      </c>
      <c r="L267" s="4">
        <v>0.61899999999999999</v>
      </c>
      <c r="M267" s="4">
        <v>0.61899999999999999</v>
      </c>
      <c r="N267" s="4">
        <v>0.61899999999999999</v>
      </c>
      <c r="O267" s="4">
        <v>0.61899999999999999</v>
      </c>
      <c r="P267" s="4">
        <v>0</v>
      </c>
      <c r="Q267" s="3" t="s">
        <v>26</v>
      </c>
      <c r="R267" s="3">
        <v>0</v>
      </c>
      <c r="S267" s="4">
        <v>0</v>
      </c>
      <c r="T267" s="4">
        <v>18</v>
      </c>
      <c r="U267" s="4">
        <v>58</v>
      </c>
      <c r="V267" s="4">
        <f>IF(ISERROR(VLOOKUP($S$267,'TAR FIN'!$A$1:$O$91,15,0)),0,VLOOKUP($S$267,'TAR FIN'!$A$1:$O$91,15,0))</f>
        <v>0</v>
      </c>
      <c r="W267" s="4">
        <f>IF(ISERROR(VLOOKUP($T$267,'TAR FIN'!$A$1:$O$91,15,0)),0,VLOOKUP($T$267,'TAR FIN'!$A$1:$O$91,15,0))</f>
        <v>271.08</v>
      </c>
      <c r="X267" s="4">
        <f>IF(ISERROR(VLOOKUP($U$267,'TAR FIN'!$A$1:$O$91,15,0)),0,VLOOKUP($U$267,'TAR FIN'!$A$1:$O$91,15,0))</f>
        <v>189.96</v>
      </c>
      <c r="Y267" s="4"/>
      <c r="Z267" s="4">
        <f ca="1">('TUSD BE'!$AM$22+'TUSD BF_350'!$AM$22+'TUSD CVA'!$AM$22)*1</f>
        <v>318.93064710349933</v>
      </c>
      <c r="AA267" s="4">
        <f ca="1">('TE BE'!$AB$13+'TE BF_350'!$AB$13+'TE CVA'!$AB$13)*1</f>
        <v>195.89707226799715</v>
      </c>
      <c r="AB267" s="4">
        <f>$K$267*$V$267</f>
        <v>0</v>
      </c>
      <c r="AC267" s="4">
        <f>$M$267*$W$267</f>
        <v>167.79852</v>
      </c>
      <c r="AD267" s="4">
        <f>$O$267*$X$267</f>
        <v>117.58524</v>
      </c>
      <c r="AE267" s="4">
        <f>$K$267*$Y$267</f>
        <v>0</v>
      </c>
      <c r="AF267" s="4">
        <f ca="1">$M$267*$Z$267</f>
        <v>197.41807055706607</v>
      </c>
      <c r="AG267" s="4">
        <f ca="1">$O$267*$AA$267</f>
        <v>121.26028773389024</v>
      </c>
    </row>
    <row r="268" spans="1:33" ht="11.25" customHeight="1" x14ac:dyDescent="0.3">
      <c r="A268" s="3" t="s">
        <v>21</v>
      </c>
      <c r="B268" s="3" t="s">
        <v>22</v>
      </c>
      <c r="C268" s="3" t="s">
        <v>33</v>
      </c>
      <c r="D268" s="3" t="s">
        <v>24</v>
      </c>
      <c r="E268" s="3" t="s">
        <v>24</v>
      </c>
      <c r="F268" s="3" t="s">
        <v>25</v>
      </c>
      <c r="G268" s="3" t="s">
        <v>25</v>
      </c>
      <c r="H268" s="3" t="s">
        <v>35</v>
      </c>
      <c r="I268" s="6">
        <v>44652</v>
      </c>
      <c r="J268" s="4">
        <v>0</v>
      </c>
      <c r="K268" s="4">
        <v>0</v>
      </c>
      <c r="L268" s="4">
        <v>0.376</v>
      </c>
      <c r="M268" s="4">
        <v>0.376</v>
      </c>
      <c r="N268" s="4">
        <v>0.376</v>
      </c>
      <c r="O268" s="4">
        <v>0.376</v>
      </c>
      <c r="P268" s="4">
        <v>0</v>
      </c>
      <c r="Q268" s="3" t="s">
        <v>26</v>
      </c>
      <c r="R268" s="3">
        <v>0</v>
      </c>
      <c r="S268" s="4">
        <v>0</v>
      </c>
      <c r="T268" s="4">
        <v>18</v>
      </c>
      <c r="U268" s="4">
        <v>58</v>
      </c>
      <c r="V268" s="4">
        <f>IF(ISERROR(VLOOKUP($S$268,'TAR FIN'!$A$1:$O$91,15,0)),0,VLOOKUP($S$268,'TAR FIN'!$A$1:$O$91,15,0))</f>
        <v>0</v>
      </c>
      <c r="W268" s="4">
        <f>IF(ISERROR(VLOOKUP($T$268,'TAR FIN'!$A$1:$O$91,15,0)),0,VLOOKUP($T$268,'TAR FIN'!$A$1:$O$91,15,0))</f>
        <v>271.08</v>
      </c>
      <c r="X268" s="4">
        <f>IF(ISERROR(VLOOKUP($U$268,'TAR FIN'!$A$1:$O$91,15,0)),0,VLOOKUP($U$268,'TAR FIN'!$A$1:$O$91,15,0))</f>
        <v>189.96</v>
      </c>
      <c r="Y268" s="4"/>
      <c r="Z268" s="4">
        <f ca="1">('TUSD BE'!$AM$22+'TUSD BF_350'!$AM$22+'TUSD CVA'!$AM$22)*1</f>
        <v>318.93064710349933</v>
      </c>
      <c r="AA268" s="4">
        <f ca="1">('TE BE'!$AB$13+'TE BF_350'!$AB$13+'TE CVA'!$AB$13)*1</f>
        <v>195.89707226799715</v>
      </c>
      <c r="AB268" s="4">
        <f>$K$268*$V$268</f>
        <v>0</v>
      </c>
      <c r="AC268" s="4">
        <f>$M$268*$W$268</f>
        <v>101.92608</v>
      </c>
      <c r="AD268" s="4">
        <f>$O$268*$X$268</f>
        <v>71.424959999999999</v>
      </c>
      <c r="AE268" s="4">
        <f>$K$268*$Y$268</f>
        <v>0</v>
      </c>
      <c r="AF268" s="4">
        <f ca="1">$M$268*$Z$268</f>
        <v>119.91792331091574</v>
      </c>
      <c r="AG268" s="4">
        <f ca="1">$O$268*$AA$268</f>
        <v>73.657299172766926</v>
      </c>
    </row>
    <row r="269" spans="1:33" ht="11.25" customHeight="1" x14ac:dyDescent="0.3">
      <c r="A269" s="3" t="s">
        <v>21</v>
      </c>
      <c r="B269" s="3" t="s">
        <v>22</v>
      </c>
      <c r="C269" s="3" t="s">
        <v>33</v>
      </c>
      <c r="D269" s="3" t="s">
        <v>24</v>
      </c>
      <c r="E269" s="3" t="s">
        <v>24</v>
      </c>
      <c r="F269" s="3" t="s">
        <v>25</v>
      </c>
      <c r="G269" s="3" t="s">
        <v>25</v>
      </c>
      <c r="H269" s="3" t="s">
        <v>35</v>
      </c>
      <c r="I269" s="6">
        <v>44682</v>
      </c>
      <c r="J269" s="4">
        <v>0</v>
      </c>
      <c r="K269" s="4">
        <v>0</v>
      </c>
      <c r="L269" s="4">
        <v>0.33100000000000002</v>
      </c>
      <c r="M269" s="4">
        <v>0.33100000000000002</v>
      </c>
      <c r="N269" s="4">
        <v>0.33100000000000002</v>
      </c>
      <c r="O269" s="4">
        <v>0.33100000000000002</v>
      </c>
      <c r="P269" s="4">
        <v>0</v>
      </c>
      <c r="Q269" s="3" t="s">
        <v>26</v>
      </c>
      <c r="R269" s="3">
        <v>0</v>
      </c>
      <c r="S269" s="4">
        <v>0</v>
      </c>
      <c r="T269" s="4">
        <v>18</v>
      </c>
      <c r="U269" s="4">
        <v>58</v>
      </c>
      <c r="V269" s="4">
        <f>IF(ISERROR(VLOOKUP($S$269,'TAR FIN'!$A$1:$O$91,15,0)),0,VLOOKUP($S$269,'TAR FIN'!$A$1:$O$91,15,0))</f>
        <v>0</v>
      </c>
      <c r="W269" s="4">
        <f>IF(ISERROR(VLOOKUP($T$269,'TAR FIN'!$A$1:$O$91,15,0)),0,VLOOKUP($T$269,'TAR FIN'!$A$1:$O$91,15,0))</f>
        <v>271.08</v>
      </c>
      <c r="X269" s="4">
        <f>IF(ISERROR(VLOOKUP($U$269,'TAR FIN'!$A$1:$O$91,15,0)),0,VLOOKUP($U$269,'TAR FIN'!$A$1:$O$91,15,0))</f>
        <v>189.96</v>
      </c>
      <c r="Y269" s="4"/>
      <c r="Z269" s="4">
        <f ca="1">('TUSD BE'!$AM$22+'TUSD BF_350'!$AM$22+'TUSD CVA'!$AM$22)*1</f>
        <v>318.93064710349933</v>
      </c>
      <c r="AA269" s="4">
        <f ca="1">('TE BE'!$AB$13+'TE BF_350'!$AB$13+'TE CVA'!$AB$13)*1</f>
        <v>195.89707226799715</v>
      </c>
      <c r="AB269" s="4">
        <f>$K$269*$V$269</f>
        <v>0</v>
      </c>
      <c r="AC269" s="4">
        <f>$M$269*$W$269</f>
        <v>89.72748</v>
      </c>
      <c r="AD269" s="4">
        <f>$O$269*$X$269</f>
        <v>62.876760000000004</v>
      </c>
      <c r="AE269" s="4">
        <f>$K$269*$Y$269</f>
        <v>0</v>
      </c>
      <c r="AF269" s="4">
        <f ca="1">$M$269*$Z$269</f>
        <v>105.56604419125829</v>
      </c>
      <c r="AG269" s="4">
        <f ca="1">$O$269*$AA$269</f>
        <v>64.841930920707057</v>
      </c>
    </row>
    <row r="270" spans="1:33" ht="11.25" customHeight="1" x14ac:dyDescent="0.3">
      <c r="A270" s="3" t="s">
        <v>21</v>
      </c>
      <c r="B270" s="3" t="s">
        <v>22</v>
      </c>
      <c r="C270" s="3" t="s">
        <v>33</v>
      </c>
      <c r="D270" s="3" t="s">
        <v>24</v>
      </c>
      <c r="E270" s="3" t="s">
        <v>24</v>
      </c>
      <c r="F270" s="3" t="s">
        <v>25</v>
      </c>
      <c r="G270" s="3" t="s">
        <v>25</v>
      </c>
      <c r="H270" s="3" t="s">
        <v>35</v>
      </c>
      <c r="I270" s="6">
        <v>44713</v>
      </c>
      <c r="J270" s="4">
        <v>0</v>
      </c>
      <c r="K270" s="4">
        <v>0</v>
      </c>
      <c r="L270" s="4">
        <v>0.46200000000000002</v>
      </c>
      <c r="M270" s="4">
        <v>0.46200000000000002</v>
      </c>
      <c r="N270" s="4">
        <v>0.46200000000000002</v>
      </c>
      <c r="O270" s="4">
        <v>0.46200000000000002</v>
      </c>
      <c r="P270" s="4">
        <v>0</v>
      </c>
      <c r="Q270" s="3" t="s">
        <v>26</v>
      </c>
      <c r="R270" s="3">
        <v>0</v>
      </c>
      <c r="S270" s="4">
        <v>0</v>
      </c>
      <c r="T270" s="4">
        <v>18</v>
      </c>
      <c r="U270" s="4">
        <v>58</v>
      </c>
      <c r="V270" s="4">
        <f>IF(ISERROR(VLOOKUP($S$270,'TAR FIN'!$A$1:$O$91,15,0)),0,VLOOKUP($S$270,'TAR FIN'!$A$1:$O$91,15,0))</f>
        <v>0</v>
      </c>
      <c r="W270" s="4">
        <f>IF(ISERROR(VLOOKUP($T$270,'TAR FIN'!$A$1:$O$91,15,0)),0,VLOOKUP($T$270,'TAR FIN'!$A$1:$O$91,15,0))</f>
        <v>271.08</v>
      </c>
      <c r="X270" s="4">
        <f>IF(ISERROR(VLOOKUP($U$270,'TAR FIN'!$A$1:$O$91,15,0)),0,VLOOKUP($U$270,'TAR FIN'!$A$1:$O$91,15,0))</f>
        <v>189.96</v>
      </c>
      <c r="Y270" s="4"/>
      <c r="Z270" s="4">
        <f ca="1">('TUSD BE'!$AM$22+'TUSD BF_350'!$AM$22+'TUSD CVA'!$AM$22)*1</f>
        <v>318.93064710349933</v>
      </c>
      <c r="AA270" s="4">
        <f ca="1">('TE BE'!$AB$13+'TE BF_350'!$AB$13+'TE CVA'!$AB$13)*1</f>
        <v>195.89707226799715</v>
      </c>
      <c r="AB270" s="4">
        <f>$K$270*$V$270</f>
        <v>0</v>
      </c>
      <c r="AC270" s="4">
        <f>$M$270*$W$270</f>
        <v>125.23895999999999</v>
      </c>
      <c r="AD270" s="4">
        <f>$O$270*$X$270</f>
        <v>87.761520000000004</v>
      </c>
      <c r="AE270" s="4">
        <f>$K$270*$Y$270</f>
        <v>0</v>
      </c>
      <c r="AF270" s="4">
        <f ca="1">$M$270*$Z$270</f>
        <v>147.34595896181671</v>
      </c>
      <c r="AG270" s="4">
        <f ca="1">$O$270*$AA$270</f>
        <v>90.504447387814679</v>
      </c>
    </row>
    <row r="271" spans="1:33" ht="11.25" customHeight="1" x14ac:dyDescent="0.3">
      <c r="A271" s="3" t="s">
        <v>21</v>
      </c>
      <c r="B271" s="3" t="s">
        <v>22</v>
      </c>
      <c r="C271" s="3" t="s">
        <v>33</v>
      </c>
      <c r="D271" s="3" t="s">
        <v>24</v>
      </c>
      <c r="E271" s="3" t="s">
        <v>24</v>
      </c>
      <c r="F271" s="3" t="s">
        <v>25</v>
      </c>
      <c r="G271" s="3" t="s">
        <v>25</v>
      </c>
      <c r="H271" s="3" t="s">
        <v>36</v>
      </c>
      <c r="I271" s="6">
        <v>44378</v>
      </c>
      <c r="J271" s="4">
        <v>0</v>
      </c>
      <c r="K271" s="4">
        <v>0</v>
      </c>
      <c r="L271" s="4">
        <v>2.3E-2</v>
      </c>
      <c r="M271" s="4">
        <v>2.3E-2</v>
      </c>
      <c r="N271" s="4">
        <v>2.3E-2</v>
      </c>
      <c r="O271" s="4">
        <v>2.3E-2</v>
      </c>
      <c r="P271" s="4">
        <v>0</v>
      </c>
      <c r="Q271" s="3" t="s">
        <v>26</v>
      </c>
      <c r="R271" s="3">
        <v>0</v>
      </c>
      <c r="S271" s="4">
        <v>0</v>
      </c>
      <c r="T271" s="4">
        <v>17</v>
      </c>
      <c r="U271" s="4">
        <v>57</v>
      </c>
      <c r="V271" s="4">
        <f>IF(ISERROR(VLOOKUP($S$271,'TAR FIN'!$A$1:$O$91,15,0)),0,VLOOKUP($S$271,'TAR FIN'!$A$1:$O$91,15,0))</f>
        <v>0</v>
      </c>
      <c r="W271" s="4">
        <f>IF(ISERROR(VLOOKUP($T$271,'TAR FIN'!$A$1:$O$91,15,0)),0,VLOOKUP($T$271,'TAR FIN'!$A$1:$O$91,15,0))</f>
        <v>589.08000000000004</v>
      </c>
      <c r="X271" s="4">
        <f>IF(ISERROR(VLOOKUP($U$271,'TAR FIN'!$A$1:$O$91,15,0)),0,VLOOKUP($U$271,'TAR FIN'!$A$1:$O$91,15,0))</f>
        <v>189.96</v>
      </c>
      <c r="Y271" s="4"/>
      <c r="Z271" s="4">
        <f ca="1">('TUSD BE'!$AM$21+'TUSD BF_350'!$AM$21+'TUSD CVA'!$AM$21)*1</f>
        <v>700.20680179490989</v>
      </c>
      <c r="AA271" s="4">
        <f ca="1">('TE BE'!$AB$12+'TE BF_350'!$AB$12+'TE CVA'!$AB$12)*1</f>
        <v>195.89707226799715</v>
      </c>
      <c r="AB271" s="4">
        <f>$K$271*$V$271</f>
        <v>0</v>
      </c>
      <c r="AC271" s="4">
        <f>$M$271*$W$271</f>
        <v>13.54884</v>
      </c>
      <c r="AD271" s="4">
        <f>$O$271*$X$271</f>
        <v>4.3690800000000003</v>
      </c>
      <c r="AE271" s="4">
        <f>$K$271*$Y$271</f>
        <v>0</v>
      </c>
      <c r="AF271" s="4">
        <f ca="1">$M$271*$Z$271</f>
        <v>16.104756441282927</v>
      </c>
      <c r="AG271" s="4">
        <f ca="1">$O$271*$AA$271</f>
        <v>4.5056326621639347</v>
      </c>
    </row>
    <row r="272" spans="1:33" ht="11.25" customHeight="1" x14ac:dyDescent="0.3">
      <c r="A272" s="3" t="s">
        <v>21</v>
      </c>
      <c r="B272" s="3" t="s">
        <v>22</v>
      </c>
      <c r="C272" s="3" t="s">
        <v>33</v>
      </c>
      <c r="D272" s="3" t="s">
        <v>24</v>
      </c>
      <c r="E272" s="3" t="s">
        <v>24</v>
      </c>
      <c r="F272" s="3" t="s">
        <v>25</v>
      </c>
      <c r="G272" s="3" t="s">
        <v>25</v>
      </c>
      <c r="H272" s="3" t="s">
        <v>36</v>
      </c>
      <c r="I272" s="6">
        <v>44409</v>
      </c>
      <c r="J272" s="4">
        <v>0</v>
      </c>
      <c r="K272" s="4">
        <v>0</v>
      </c>
      <c r="L272" s="4">
        <v>2.7E-2</v>
      </c>
      <c r="M272" s="4">
        <v>2.7E-2</v>
      </c>
      <c r="N272" s="4">
        <v>2.7E-2</v>
      </c>
      <c r="O272" s="4">
        <v>2.7E-2</v>
      </c>
      <c r="P272" s="4">
        <v>0</v>
      </c>
      <c r="Q272" s="3" t="s">
        <v>26</v>
      </c>
      <c r="R272" s="3">
        <v>0</v>
      </c>
      <c r="S272" s="4">
        <v>0</v>
      </c>
      <c r="T272" s="4">
        <v>17</v>
      </c>
      <c r="U272" s="4">
        <v>57</v>
      </c>
      <c r="V272" s="4">
        <f>IF(ISERROR(VLOOKUP($S$272,'TAR FIN'!$A$1:$O$91,15,0)),0,VLOOKUP($S$272,'TAR FIN'!$A$1:$O$91,15,0))</f>
        <v>0</v>
      </c>
      <c r="W272" s="4">
        <f>IF(ISERROR(VLOOKUP($T$272,'TAR FIN'!$A$1:$O$91,15,0)),0,VLOOKUP($T$272,'TAR FIN'!$A$1:$O$91,15,0))</f>
        <v>589.08000000000004</v>
      </c>
      <c r="X272" s="4">
        <f>IF(ISERROR(VLOOKUP($U$272,'TAR FIN'!$A$1:$O$91,15,0)),0,VLOOKUP($U$272,'TAR FIN'!$A$1:$O$91,15,0))</f>
        <v>189.96</v>
      </c>
      <c r="Y272" s="4"/>
      <c r="Z272" s="4">
        <f ca="1">('TUSD BE'!$AM$21+'TUSD BF_350'!$AM$21+'TUSD CVA'!$AM$21)*1</f>
        <v>700.20680179490989</v>
      </c>
      <c r="AA272" s="4">
        <f ca="1">('TE BE'!$AB$12+'TE BF_350'!$AB$12+'TE CVA'!$AB$12)*1</f>
        <v>195.89707226799715</v>
      </c>
      <c r="AB272" s="4">
        <f>$K$272*$V$272</f>
        <v>0</v>
      </c>
      <c r="AC272" s="4">
        <f>$M$272*$W$272</f>
        <v>15.90516</v>
      </c>
      <c r="AD272" s="4">
        <f>$O$272*$X$272</f>
        <v>5.1289199999999999</v>
      </c>
      <c r="AE272" s="4">
        <f>$K$272*$Y$272</f>
        <v>0</v>
      </c>
      <c r="AF272" s="4">
        <f ca="1">$M$272*$Z$272</f>
        <v>18.905583648462567</v>
      </c>
      <c r="AG272" s="4">
        <f ca="1">$O$272*$AA$272</f>
        <v>5.2892209512359232</v>
      </c>
    </row>
    <row r="273" spans="1:33" ht="11.25" customHeight="1" x14ac:dyDescent="0.3">
      <c r="A273" s="3" t="s">
        <v>21</v>
      </c>
      <c r="B273" s="3" t="s">
        <v>22</v>
      </c>
      <c r="C273" s="3" t="s">
        <v>33</v>
      </c>
      <c r="D273" s="3" t="s">
        <v>24</v>
      </c>
      <c r="E273" s="3" t="s">
        <v>24</v>
      </c>
      <c r="F273" s="3" t="s">
        <v>25</v>
      </c>
      <c r="G273" s="3" t="s">
        <v>25</v>
      </c>
      <c r="H273" s="3" t="s">
        <v>36</v>
      </c>
      <c r="I273" s="6">
        <v>44440</v>
      </c>
      <c r="J273" s="4">
        <v>0</v>
      </c>
      <c r="K273" s="4">
        <v>0</v>
      </c>
      <c r="L273" s="4">
        <v>2.7E-2</v>
      </c>
      <c r="M273" s="4">
        <v>2.7E-2</v>
      </c>
      <c r="N273" s="4">
        <v>2.7E-2</v>
      </c>
      <c r="O273" s="4">
        <v>2.7E-2</v>
      </c>
      <c r="P273" s="4">
        <v>0</v>
      </c>
      <c r="Q273" s="3" t="s">
        <v>26</v>
      </c>
      <c r="R273" s="3">
        <v>0</v>
      </c>
      <c r="S273" s="4">
        <v>0</v>
      </c>
      <c r="T273" s="4">
        <v>17</v>
      </c>
      <c r="U273" s="4">
        <v>57</v>
      </c>
      <c r="V273" s="4">
        <f>IF(ISERROR(VLOOKUP($S$273,'TAR FIN'!$A$1:$O$91,15,0)),0,VLOOKUP($S$273,'TAR FIN'!$A$1:$O$91,15,0))</f>
        <v>0</v>
      </c>
      <c r="W273" s="4">
        <f>IF(ISERROR(VLOOKUP($T$273,'TAR FIN'!$A$1:$O$91,15,0)),0,VLOOKUP($T$273,'TAR FIN'!$A$1:$O$91,15,0))</f>
        <v>589.08000000000004</v>
      </c>
      <c r="X273" s="4">
        <f>IF(ISERROR(VLOOKUP($U$273,'TAR FIN'!$A$1:$O$91,15,0)),0,VLOOKUP($U$273,'TAR FIN'!$A$1:$O$91,15,0))</f>
        <v>189.96</v>
      </c>
      <c r="Y273" s="4"/>
      <c r="Z273" s="4">
        <f ca="1">('TUSD BE'!$AM$21+'TUSD BF_350'!$AM$21+'TUSD CVA'!$AM$21)*1</f>
        <v>700.20680179490989</v>
      </c>
      <c r="AA273" s="4">
        <f ca="1">('TE BE'!$AB$12+'TE BF_350'!$AB$12+'TE CVA'!$AB$12)*1</f>
        <v>195.89707226799715</v>
      </c>
      <c r="AB273" s="4">
        <f>$K$273*$V$273</f>
        <v>0</v>
      </c>
      <c r="AC273" s="4">
        <f>$M$273*$W$273</f>
        <v>15.90516</v>
      </c>
      <c r="AD273" s="4">
        <f>$O$273*$X$273</f>
        <v>5.1289199999999999</v>
      </c>
      <c r="AE273" s="4">
        <f>$K$273*$Y$273</f>
        <v>0</v>
      </c>
      <c r="AF273" s="4">
        <f ca="1">$M$273*$Z$273</f>
        <v>18.905583648462567</v>
      </c>
      <c r="AG273" s="4">
        <f ca="1">$O$273*$AA$273</f>
        <v>5.2892209512359232</v>
      </c>
    </row>
    <row r="274" spans="1:33" ht="11.25" customHeight="1" x14ac:dyDescent="0.3">
      <c r="A274" s="3" t="s">
        <v>21</v>
      </c>
      <c r="B274" s="3" t="s">
        <v>22</v>
      </c>
      <c r="C274" s="3" t="s">
        <v>33</v>
      </c>
      <c r="D274" s="3" t="s">
        <v>24</v>
      </c>
      <c r="E274" s="3" t="s">
        <v>24</v>
      </c>
      <c r="F274" s="3" t="s">
        <v>25</v>
      </c>
      <c r="G274" s="3" t="s">
        <v>25</v>
      </c>
      <c r="H274" s="3" t="s">
        <v>36</v>
      </c>
      <c r="I274" s="6">
        <v>44470</v>
      </c>
      <c r="J274" s="4">
        <v>0</v>
      </c>
      <c r="K274" s="4">
        <v>0</v>
      </c>
      <c r="L274" s="4">
        <v>2.5999999999999999E-2</v>
      </c>
      <c r="M274" s="4">
        <v>2.5999999999999999E-2</v>
      </c>
      <c r="N274" s="4">
        <v>2.5999999999999999E-2</v>
      </c>
      <c r="O274" s="4">
        <v>2.5999999999999999E-2</v>
      </c>
      <c r="P274" s="4">
        <v>0</v>
      </c>
      <c r="Q274" s="3" t="s">
        <v>26</v>
      </c>
      <c r="R274" s="3">
        <v>0</v>
      </c>
      <c r="S274" s="4">
        <v>0</v>
      </c>
      <c r="T274" s="4">
        <v>17</v>
      </c>
      <c r="U274" s="4">
        <v>57</v>
      </c>
      <c r="V274" s="4">
        <f>IF(ISERROR(VLOOKUP($S$274,'TAR FIN'!$A$1:$O$91,15,0)),0,VLOOKUP($S$274,'TAR FIN'!$A$1:$O$91,15,0))</f>
        <v>0</v>
      </c>
      <c r="W274" s="4">
        <f>IF(ISERROR(VLOOKUP($T$274,'TAR FIN'!$A$1:$O$91,15,0)),0,VLOOKUP($T$274,'TAR FIN'!$A$1:$O$91,15,0))</f>
        <v>589.08000000000004</v>
      </c>
      <c r="X274" s="4">
        <f>IF(ISERROR(VLOOKUP($U$274,'TAR FIN'!$A$1:$O$91,15,0)),0,VLOOKUP($U$274,'TAR FIN'!$A$1:$O$91,15,0))</f>
        <v>189.96</v>
      </c>
      <c r="Y274" s="4"/>
      <c r="Z274" s="4">
        <f ca="1">('TUSD BE'!$AM$21+'TUSD BF_350'!$AM$21+'TUSD CVA'!$AM$21)*1</f>
        <v>700.20680179490989</v>
      </c>
      <c r="AA274" s="4">
        <f ca="1">('TE BE'!$AB$12+'TE BF_350'!$AB$12+'TE CVA'!$AB$12)*1</f>
        <v>195.89707226799715</v>
      </c>
      <c r="AB274" s="4">
        <f>$K$274*$V$274</f>
        <v>0</v>
      </c>
      <c r="AC274" s="4">
        <f>$M$274*$W$274</f>
        <v>15.316079999999999</v>
      </c>
      <c r="AD274" s="4">
        <f>$O$274*$X$274</f>
        <v>4.9389599999999998</v>
      </c>
      <c r="AE274" s="4">
        <f>$K$274*$Y$274</f>
        <v>0</v>
      </c>
      <c r="AF274" s="4">
        <f ca="1">$M$274*$Z$274</f>
        <v>18.205376846667658</v>
      </c>
      <c r="AG274" s="4">
        <f ca="1">$O$274*$AA$274</f>
        <v>5.0933238789679258</v>
      </c>
    </row>
    <row r="275" spans="1:33" ht="11.25" customHeight="1" x14ac:dyDescent="0.3">
      <c r="A275" s="3" t="s">
        <v>21</v>
      </c>
      <c r="B275" s="3" t="s">
        <v>22</v>
      </c>
      <c r="C275" s="3" t="s">
        <v>33</v>
      </c>
      <c r="D275" s="3" t="s">
        <v>24</v>
      </c>
      <c r="E275" s="3" t="s">
        <v>24</v>
      </c>
      <c r="F275" s="3" t="s">
        <v>25</v>
      </c>
      <c r="G275" s="3" t="s">
        <v>25</v>
      </c>
      <c r="H275" s="3" t="s">
        <v>36</v>
      </c>
      <c r="I275" s="6">
        <v>44501</v>
      </c>
      <c r="J275" s="4">
        <v>0</v>
      </c>
      <c r="K275" s="4">
        <v>0</v>
      </c>
      <c r="L275" s="4">
        <v>4.1000000000000002E-2</v>
      </c>
      <c r="M275" s="4">
        <v>4.1000000000000002E-2</v>
      </c>
      <c r="N275" s="4">
        <v>4.1000000000000002E-2</v>
      </c>
      <c r="O275" s="4">
        <v>4.1000000000000002E-2</v>
      </c>
      <c r="P275" s="4">
        <v>0</v>
      </c>
      <c r="Q275" s="3" t="s">
        <v>26</v>
      </c>
      <c r="R275" s="3">
        <v>0</v>
      </c>
      <c r="S275" s="4">
        <v>0</v>
      </c>
      <c r="T275" s="4">
        <v>17</v>
      </c>
      <c r="U275" s="4">
        <v>57</v>
      </c>
      <c r="V275" s="4">
        <f>IF(ISERROR(VLOOKUP($S$275,'TAR FIN'!$A$1:$O$91,15,0)),0,VLOOKUP($S$275,'TAR FIN'!$A$1:$O$91,15,0))</f>
        <v>0</v>
      </c>
      <c r="W275" s="4">
        <f>IF(ISERROR(VLOOKUP($T$275,'TAR FIN'!$A$1:$O$91,15,0)),0,VLOOKUP($T$275,'TAR FIN'!$A$1:$O$91,15,0))</f>
        <v>589.08000000000004</v>
      </c>
      <c r="X275" s="4">
        <f>IF(ISERROR(VLOOKUP($U$275,'TAR FIN'!$A$1:$O$91,15,0)),0,VLOOKUP($U$275,'TAR FIN'!$A$1:$O$91,15,0))</f>
        <v>189.96</v>
      </c>
      <c r="Y275" s="4"/>
      <c r="Z275" s="4">
        <f ca="1">('TUSD BE'!$AM$21+'TUSD BF_350'!$AM$21+'TUSD CVA'!$AM$21)*1</f>
        <v>700.20680179490989</v>
      </c>
      <c r="AA275" s="4">
        <f ca="1">('TE BE'!$AB$12+'TE BF_350'!$AB$12+'TE CVA'!$AB$12)*1</f>
        <v>195.89707226799715</v>
      </c>
      <c r="AB275" s="4">
        <f>$K$275*$V$275</f>
        <v>0</v>
      </c>
      <c r="AC275" s="4">
        <f>$M$275*$W$275</f>
        <v>24.152280000000001</v>
      </c>
      <c r="AD275" s="4">
        <f>$O$275*$X$275</f>
        <v>7.7883600000000008</v>
      </c>
      <c r="AE275" s="4">
        <f>$K$275*$Y$275</f>
        <v>0</v>
      </c>
      <c r="AF275" s="4">
        <f ca="1">$M$275*$Z$275</f>
        <v>28.708478873591307</v>
      </c>
      <c r="AG275" s="4">
        <f ca="1">$O$275*$AA$275</f>
        <v>8.0317799629878834</v>
      </c>
    </row>
    <row r="276" spans="1:33" ht="11.25" customHeight="1" x14ac:dyDescent="0.3">
      <c r="A276" s="3" t="s">
        <v>21</v>
      </c>
      <c r="B276" s="3" t="s">
        <v>22</v>
      </c>
      <c r="C276" s="3" t="s">
        <v>33</v>
      </c>
      <c r="D276" s="3" t="s">
        <v>24</v>
      </c>
      <c r="E276" s="3" t="s">
        <v>24</v>
      </c>
      <c r="F276" s="3" t="s">
        <v>25</v>
      </c>
      <c r="G276" s="3" t="s">
        <v>25</v>
      </c>
      <c r="H276" s="3" t="s">
        <v>36</v>
      </c>
      <c r="I276" s="6">
        <v>44531</v>
      </c>
      <c r="J276" s="4">
        <v>0</v>
      </c>
      <c r="K276" s="4">
        <v>0</v>
      </c>
      <c r="L276" s="4">
        <v>4.3999999999999997E-2</v>
      </c>
      <c r="M276" s="4">
        <v>4.3999999999999997E-2</v>
      </c>
      <c r="N276" s="4">
        <v>4.3999999999999997E-2</v>
      </c>
      <c r="O276" s="4">
        <v>4.3999999999999997E-2</v>
      </c>
      <c r="P276" s="4">
        <v>0</v>
      </c>
      <c r="Q276" s="3" t="s">
        <v>26</v>
      </c>
      <c r="R276" s="3">
        <v>0</v>
      </c>
      <c r="S276" s="4">
        <v>0</v>
      </c>
      <c r="T276" s="4">
        <v>17</v>
      </c>
      <c r="U276" s="4">
        <v>57</v>
      </c>
      <c r="V276" s="4">
        <f>IF(ISERROR(VLOOKUP($S$276,'TAR FIN'!$A$1:$O$91,15,0)),0,VLOOKUP($S$276,'TAR FIN'!$A$1:$O$91,15,0))</f>
        <v>0</v>
      </c>
      <c r="W276" s="4">
        <f>IF(ISERROR(VLOOKUP($T$276,'TAR FIN'!$A$1:$O$91,15,0)),0,VLOOKUP($T$276,'TAR FIN'!$A$1:$O$91,15,0))</f>
        <v>589.08000000000004</v>
      </c>
      <c r="X276" s="4">
        <f>IF(ISERROR(VLOOKUP($U$276,'TAR FIN'!$A$1:$O$91,15,0)),0,VLOOKUP($U$276,'TAR FIN'!$A$1:$O$91,15,0))</f>
        <v>189.96</v>
      </c>
      <c r="Y276" s="4"/>
      <c r="Z276" s="4">
        <f ca="1">('TUSD BE'!$AM$21+'TUSD BF_350'!$AM$21+'TUSD CVA'!$AM$21)*1</f>
        <v>700.20680179490989</v>
      </c>
      <c r="AA276" s="4">
        <f ca="1">('TE BE'!$AB$12+'TE BF_350'!$AB$12+'TE CVA'!$AB$12)*1</f>
        <v>195.89707226799715</v>
      </c>
      <c r="AB276" s="4">
        <f>$K$276*$V$276</f>
        <v>0</v>
      </c>
      <c r="AC276" s="4">
        <f>$M$276*$W$276</f>
        <v>25.919519999999999</v>
      </c>
      <c r="AD276" s="4">
        <f>$O$276*$X$276</f>
        <v>8.3582400000000003</v>
      </c>
      <c r="AE276" s="4">
        <f>$K$276*$Y$276</f>
        <v>0</v>
      </c>
      <c r="AF276" s="4">
        <f ca="1">$M$276*$Z$276</f>
        <v>30.809099278976035</v>
      </c>
      <c r="AG276" s="4">
        <f ca="1">$O$276*$AA$276</f>
        <v>8.6194711797918746</v>
      </c>
    </row>
    <row r="277" spans="1:33" ht="11.25" customHeight="1" x14ac:dyDescent="0.3">
      <c r="A277" s="3" t="s">
        <v>21</v>
      </c>
      <c r="B277" s="3" t="s">
        <v>22</v>
      </c>
      <c r="C277" s="3" t="s">
        <v>33</v>
      </c>
      <c r="D277" s="3" t="s">
        <v>24</v>
      </c>
      <c r="E277" s="3" t="s">
        <v>24</v>
      </c>
      <c r="F277" s="3" t="s">
        <v>25</v>
      </c>
      <c r="G277" s="3" t="s">
        <v>25</v>
      </c>
      <c r="H277" s="3" t="s">
        <v>36</v>
      </c>
      <c r="I277" s="6">
        <v>44562</v>
      </c>
      <c r="J277" s="4">
        <v>0</v>
      </c>
      <c r="K277" s="4">
        <v>0</v>
      </c>
      <c r="L277" s="4">
        <v>5.8999999999999997E-2</v>
      </c>
      <c r="M277" s="4">
        <v>5.8999999999999997E-2</v>
      </c>
      <c r="N277" s="4">
        <v>5.8999999999999997E-2</v>
      </c>
      <c r="O277" s="4">
        <v>5.8999999999999997E-2</v>
      </c>
      <c r="P277" s="4">
        <v>0</v>
      </c>
      <c r="Q277" s="3" t="s">
        <v>26</v>
      </c>
      <c r="R277" s="3">
        <v>0</v>
      </c>
      <c r="S277" s="4">
        <v>0</v>
      </c>
      <c r="T277" s="4">
        <v>17</v>
      </c>
      <c r="U277" s="4">
        <v>57</v>
      </c>
      <c r="V277" s="4">
        <f>IF(ISERROR(VLOOKUP($S$277,'TAR FIN'!$A$1:$O$91,15,0)),0,VLOOKUP($S$277,'TAR FIN'!$A$1:$O$91,15,0))</f>
        <v>0</v>
      </c>
      <c r="W277" s="4">
        <f>IF(ISERROR(VLOOKUP($T$277,'TAR FIN'!$A$1:$O$91,15,0)),0,VLOOKUP($T$277,'TAR FIN'!$A$1:$O$91,15,0))</f>
        <v>589.08000000000004</v>
      </c>
      <c r="X277" s="4">
        <f>IF(ISERROR(VLOOKUP($U$277,'TAR FIN'!$A$1:$O$91,15,0)),0,VLOOKUP($U$277,'TAR FIN'!$A$1:$O$91,15,0))</f>
        <v>189.96</v>
      </c>
      <c r="Y277" s="4"/>
      <c r="Z277" s="4">
        <f ca="1">('TUSD BE'!$AM$21+'TUSD BF_350'!$AM$21+'TUSD CVA'!$AM$21)*1</f>
        <v>700.20680179490989</v>
      </c>
      <c r="AA277" s="4">
        <f ca="1">('TE BE'!$AB$12+'TE BF_350'!$AB$12+'TE CVA'!$AB$12)*1</f>
        <v>195.89707226799715</v>
      </c>
      <c r="AB277" s="4">
        <f>$K$277*$V$277</f>
        <v>0</v>
      </c>
      <c r="AC277" s="4">
        <f>$M$277*$W$277</f>
        <v>34.755720000000004</v>
      </c>
      <c r="AD277" s="4">
        <f>$O$277*$X$277</f>
        <v>11.20764</v>
      </c>
      <c r="AE277" s="4">
        <f>$K$277*$Y$277</f>
        <v>0</v>
      </c>
      <c r="AF277" s="4">
        <f ca="1">$M$277*$Z$277</f>
        <v>41.312201305899684</v>
      </c>
      <c r="AG277" s="4">
        <f ca="1">$O$277*$AA$277</f>
        <v>11.55792726381183</v>
      </c>
    </row>
    <row r="278" spans="1:33" ht="11.25" customHeight="1" x14ac:dyDescent="0.3">
      <c r="A278" s="3" t="s">
        <v>21</v>
      </c>
      <c r="B278" s="3" t="s">
        <v>22</v>
      </c>
      <c r="C278" s="3" t="s">
        <v>33</v>
      </c>
      <c r="D278" s="3" t="s">
        <v>24</v>
      </c>
      <c r="E278" s="3" t="s">
        <v>24</v>
      </c>
      <c r="F278" s="3" t="s">
        <v>25</v>
      </c>
      <c r="G278" s="3" t="s">
        <v>25</v>
      </c>
      <c r="H278" s="3" t="s">
        <v>36</v>
      </c>
      <c r="I278" s="6">
        <v>44593</v>
      </c>
      <c r="J278" s="4">
        <v>0</v>
      </c>
      <c r="K278" s="4">
        <v>0</v>
      </c>
      <c r="L278" s="4">
        <v>7.0999999999999994E-2</v>
      </c>
      <c r="M278" s="4">
        <v>7.0999999999999994E-2</v>
      </c>
      <c r="N278" s="4">
        <v>7.0999999999999994E-2</v>
      </c>
      <c r="O278" s="4">
        <v>7.0999999999999994E-2</v>
      </c>
      <c r="P278" s="4">
        <v>0</v>
      </c>
      <c r="Q278" s="3" t="s">
        <v>26</v>
      </c>
      <c r="R278" s="3">
        <v>0</v>
      </c>
      <c r="S278" s="4">
        <v>0</v>
      </c>
      <c r="T278" s="4">
        <v>17</v>
      </c>
      <c r="U278" s="4">
        <v>57</v>
      </c>
      <c r="V278" s="4">
        <f>IF(ISERROR(VLOOKUP($S$278,'TAR FIN'!$A$1:$O$91,15,0)),0,VLOOKUP($S$278,'TAR FIN'!$A$1:$O$91,15,0))</f>
        <v>0</v>
      </c>
      <c r="W278" s="4">
        <f>IF(ISERROR(VLOOKUP($T$278,'TAR FIN'!$A$1:$O$91,15,0)),0,VLOOKUP($T$278,'TAR FIN'!$A$1:$O$91,15,0))</f>
        <v>589.08000000000004</v>
      </c>
      <c r="X278" s="4">
        <f>IF(ISERROR(VLOOKUP($U$278,'TAR FIN'!$A$1:$O$91,15,0)),0,VLOOKUP($U$278,'TAR FIN'!$A$1:$O$91,15,0))</f>
        <v>189.96</v>
      </c>
      <c r="Y278" s="4"/>
      <c r="Z278" s="4">
        <f ca="1">('TUSD BE'!$AM$21+'TUSD BF_350'!$AM$21+'TUSD CVA'!$AM$21)*1</f>
        <v>700.20680179490989</v>
      </c>
      <c r="AA278" s="4">
        <f ca="1">('TE BE'!$AB$12+'TE BF_350'!$AB$12+'TE CVA'!$AB$12)*1</f>
        <v>195.89707226799715</v>
      </c>
      <c r="AB278" s="4">
        <f>$K$278*$V$278</f>
        <v>0</v>
      </c>
      <c r="AC278" s="4">
        <f>$M$278*$W$278</f>
        <v>41.824680000000001</v>
      </c>
      <c r="AD278" s="4">
        <f>$O$278*$X$278</f>
        <v>13.487159999999999</v>
      </c>
      <c r="AE278" s="4">
        <f>$K$278*$Y$278</f>
        <v>0</v>
      </c>
      <c r="AF278" s="4">
        <f ca="1">$M$278*$Z$278</f>
        <v>49.714682927438595</v>
      </c>
      <c r="AG278" s="4">
        <f ca="1">$O$278*$AA$278</f>
        <v>13.908692131027797</v>
      </c>
    </row>
    <row r="279" spans="1:33" ht="11.25" customHeight="1" x14ac:dyDescent="0.3">
      <c r="A279" s="3" t="s">
        <v>21</v>
      </c>
      <c r="B279" s="3" t="s">
        <v>22</v>
      </c>
      <c r="C279" s="3" t="s">
        <v>33</v>
      </c>
      <c r="D279" s="3" t="s">
        <v>24</v>
      </c>
      <c r="E279" s="3" t="s">
        <v>24</v>
      </c>
      <c r="F279" s="3" t="s">
        <v>25</v>
      </c>
      <c r="G279" s="3" t="s">
        <v>25</v>
      </c>
      <c r="H279" s="3" t="s">
        <v>36</v>
      </c>
      <c r="I279" s="6">
        <v>44621</v>
      </c>
      <c r="J279" s="4">
        <v>0</v>
      </c>
      <c r="K279" s="4">
        <v>0</v>
      </c>
      <c r="L279" s="4">
        <v>5.5E-2</v>
      </c>
      <c r="M279" s="4">
        <v>5.5E-2</v>
      </c>
      <c r="N279" s="4">
        <v>5.5E-2</v>
      </c>
      <c r="O279" s="4">
        <v>5.5E-2</v>
      </c>
      <c r="P279" s="4">
        <v>0</v>
      </c>
      <c r="Q279" s="3" t="s">
        <v>26</v>
      </c>
      <c r="R279" s="3">
        <v>0</v>
      </c>
      <c r="S279" s="4">
        <v>0</v>
      </c>
      <c r="T279" s="4">
        <v>17</v>
      </c>
      <c r="U279" s="4">
        <v>57</v>
      </c>
      <c r="V279" s="4">
        <f>IF(ISERROR(VLOOKUP($S$279,'TAR FIN'!$A$1:$O$91,15,0)),0,VLOOKUP($S$279,'TAR FIN'!$A$1:$O$91,15,0))</f>
        <v>0</v>
      </c>
      <c r="W279" s="4">
        <f>IF(ISERROR(VLOOKUP($T$279,'TAR FIN'!$A$1:$O$91,15,0)),0,VLOOKUP($T$279,'TAR FIN'!$A$1:$O$91,15,0))</f>
        <v>589.08000000000004</v>
      </c>
      <c r="X279" s="4">
        <f>IF(ISERROR(VLOOKUP($U$279,'TAR FIN'!$A$1:$O$91,15,0)),0,VLOOKUP($U$279,'TAR FIN'!$A$1:$O$91,15,0))</f>
        <v>189.96</v>
      </c>
      <c r="Y279" s="4"/>
      <c r="Z279" s="4">
        <f ca="1">('TUSD BE'!$AM$21+'TUSD BF_350'!$AM$21+'TUSD CVA'!$AM$21)*1</f>
        <v>700.20680179490989</v>
      </c>
      <c r="AA279" s="4">
        <f ca="1">('TE BE'!$AB$12+'TE BF_350'!$AB$12+'TE CVA'!$AB$12)*1</f>
        <v>195.89707226799715</v>
      </c>
      <c r="AB279" s="4">
        <f>$K$279*$V$279</f>
        <v>0</v>
      </c>
      <c r="AC279" s="4">
        <f>$M$279*$W$279</f>
        <v>32.3994</v>
      </c>
      <c r="AD279" s="4">
        <f>$O$279*$X$279</f>
        <v>10.447800000000001</v>
      </c>
      <c r="AE279" s="4">
        <f>$K$279*$Y$279</f>
        <v>0</v>
      </c>
      <c r="AF279" s="4">
        <f ca="1">$M$279*$Z$279</f>
        <v>38.511374098720047</v>
      </c>
      <c r="AG279" s="4">
        <f ca="1">$O$279*$AA$279</f>
        <v>10.774338974739843</v>
      </c>
    </row>
    <row r="280" spans="1:33" ht="11.25" customHeight="1" x14ac:dyDescent="0.3">
      <c r="A280" s="3" t="s">
        <v>21</v>
      </c>
      <c r="B280" s="3" t="s">
        <v>22</v>
      </c>
      <c r="C280" s="3" t="s">
        <v>33</v>
      </c>
      <c r="D280" s="3" t="s">
        <v>24</v>
      </c>
      <c r="E280" s="3" t="s">
        <v>24</v>
      </c>
      <c r="F280" s="3" t="s">
        <v>25</v>
      </c>
      <c r="G280" s="3" t="s">
        <v>25</v>
      </c>
      <c r="H280" s="3" t="s">
        <v>36</v>
      </c>
      <c r="I280" s="6">
        <v>44652</v>
      </c>
      <c r="J280" s="4">
        <v>0</v>
      </c>
      <c r="K280" s="4">
        <v>0</v>
      </c>
      <c r="L280" s="4">
        <v>2.7E-2</v>
      </c>
      <c r="M280" s="4">
        <v>2.7E-2</v>
      </c>
      <c r="N280" s="4">
        <v>2.7E-2</v>
      </c>
      <c r="O280" s="4">
        <v>2.7E-2</v>
      </c>
      <c r="P280" s="4">
        <v>0</v>
      </c>
      <c r="Q280" s="3" t="s">
        <v>26</v>
      </c>
      <c r="R280" s="3">
        <v>0</v>
      </c>
      <c r="S280" s="4">
        <v>0</v>
      </c>
      <c r="T280" s="4">
        <v>17</v>
      </c>
      <c r="U280" s="4">
        <v>57</v>
      </c>
      <c r="V280" s="4">
        <f>IF(ISERROR(VLOOKUP($S$280,'TAR FIN'!$A$1:$O$91,15,0)),0,VLOOKUP($S$280,'TAR FIN'!$A$1:$O$91,15,0))</f>
        <v>0</v>
      </c>
      <c r="W280" s="4">
        <f>IF(ISERROR(VLOOKUP($T$280,'TAR FIN'!$A$1:$O$91,15,0)),0,VLOOKUP($T$280,'TAR FIN'!$A$1:$O$91,15,0))</f>
        <v>589.08000000000004</v>
      </c>
      <c r="X280" s="4">
        <f>IF(ISERROR(VLOOKUP($U$280,'TAR FIN'!$A$1:$O$91,15,0)),0,VLOOKUP($U$280,'TAR FIN'!$A$1:$O$91,15,0))</f>
        <v>189.96</v>
      </c>
      <c r="Y280" s="4"/>
      <c r="Z280" s="4">
        <f ca="1">('TUSD BE'!$AM$21+'TUSD BF_350'!$AM$21+'TUSD CVA'!$AM$21)*1</f>
        <v>700.20680179490989</v>
      </c>
      <c r="AA280" s="4">
        <f ca="1">('TE BE'!$AB$12+'TE BF_350'!$AB$12+'TE CVA'!$AB$12)*1</f>
        <v>195.89707226799715</v>
      </c>
      <c r="AB280" s="4">
        <f>$K$280*$V$280</f>
        <v>0</v>
      </c>
      <c r="AC280" s="4">
        <f>$M$280*$W$280</f>
        <v>15.90516</v>
      </c>
      <c r="AD280" s="4">
        <f>$O$280*$X$280</f>
        <v>5.1289199999999999</v>
      </c>
      <c r="AE280" s="4">
        <f>$K$280*$Y$280</f>
        <v>0</v>
      </c>
      <c r="AF280" s="4">
        <f ca="1">$M$280*$Z$280</f>
        <v>18.905583648462567</v>
      </c>
      <c r="AG280" s="4">
        <f ca="1">$O$280*$AA$280</f>
        <v>5.2892209512359232</v>
      </c>
    </row>
    <row r="281" spans="1:33" ht="11.25" customHeight="1" x14ac:dyDescent="0.3">
      <c r="A281" s="3" t="s">
        <v>21</v>
      </c>
      <c r="B281" s="3" t="s">
        <v>22</v>
      </c>
      <c r="C281" s="3" t="s">
        <v>33</v>
      </c>
      <c r="D281" s="3" t="s">
        <v>24</v>
      </c>
      <c r="E281" s="3" t="s">
        <v>24</v>
      </c>
      <c r="F281" s="3" t="s">
        <v>25</v>
      </c>
      <c r="G281" s="3" t="s">
        <v>25</v>
      </c>
      <c r="H281" s="3" t="s">
        <v>36</v>
      </c>
      <c r="I281" s="6">
        <v>44682</v>
      </c>
      <c r="J281" s="4">
        <v>0</v>
      </c>
      <c r="K281" s="4">
        <v>0</v>
      </c>
      <c r="L281" s="4">
        <v>2.1999999999999999E-2</v>
      </c>
      <c r="M281" s="4">
        <v>2.1999999999999999E-2</v>
      </c>
      <c r="N281" s="4">
        <v>2.1999999999999999E-2</v>
      </c>
      <c r="O281" s="4">
        <v>2.1999999999999999E-2</v>
      </c>
      <c r="P281" s="4">
        <v>0</v>
      </c>
      <c r="Q281" s="3" t="s">
        <v>26</v>
      </c>
      <c r="R281" s="3">
        <v>0</v>
      </c>
      <c r="S281" s="4">
        <v>0</v>
      </c>
      <c r="T281" s="4">
        <v>17</v>
      </c>
      <c r="U281" s="4">
        <v>57</v>
      </c>
      <c r="V281" s="4">
        <f>IF(ISERROR(VLOOKUP($S$281,'TAR FIN'!$A$1:$O$91,15,0)),0,VLOOKUP($S$281,'TAR FIN'!$A$1:$O$91,15,0))</f>
        <v>0</v>
      </c>
      <c r="W281" s="4">
        <f>IF(ISERROR(VLOOKUP($T$281,'TAR FIN'!$A$1:$O$91,15,0)),0,VLOOKUP($T$281,'TAR FIN'!$A$1:$O$91,15,0))</f>
        <v>589.08000000000004</v>
      </c>
      <c r="X281" s="4">
        <f>IF(ISERROR(VLOOKUP($U$281,'TAR FIN'!$A$1:$O$91,15,0)),0,VLOOKUP($U$281,'TAR FIN'!$A$1:$O$91,15,0))</f>
        <v>189.96</v>
      </c>
      <c r="Y281" s="4"/>
      <c r="Z281" s="4">
        <f ca="1">('TUSD BE'!$AM$21+'TUSD BF_350'!$AM$21+'TUSD CVA'!$AM$21)*1</f>
        <v>700.20680179490989</v>
      </c>
      <c r="AA281" s="4">
        <f ca="1">('TE BE'!$AB$12+'TE BF_350'!$AB$12+'TE CVA'!$AB$12)*1</f>
        <v>195.89707226799715</v>
      </c>
      <c r="AB281" s="4">
        <f>$K$281*$V$281</f>
        <v>0</v>
      </c>
      <c r="AC281" s="4">
        <f>$M$281*$W$281</f>
        <v>12.959759999999999</v>
      </c>
      <c r="AD281" s="4">
        <f>$O$281*$X$281</f>
        <v>4.1791200000000002</v>
      </c>
      <c r="AE281" s="4">
        <f>$K$281*$Y$281</f>
        <v>0</v>
      </c>
      <c r="AF281" s="4">
        <f ca="1">$M$281*$Z$281</f>
        <v>15.404549639488017</v>
      </c>
      <c r="AG281" s="4">
        <f ca="1">$O$281*$AA$281</f>
        <v>4.3097355898959373</v>
      </c>
    </row>
    <row r="282" spans="1:33" ht="11.25" customHeight="1" x14ac:dyDescent="0.3">
      <c r="A282" s="3" t="s">
        <v>21</v>
      </c>
      <c r="B282" s="3" t="s">
        <v>22</v>
      </c>
      <c r="C282" s="3" t="s">
        <v>33</v>
      </c>
      <c r="D282" s="3" t="s">
        <v>24</v>
      </c>
      <c r="E282" s="3" t="s">
        <v>24</v>
      </c>
      <c r="F282" s="3" t="s">
        <v>25</v>
      </c>
      <c r="G282" s="3" t="s">
        <v>25</v>
      </c>
      <c r="H282" s="3" t="s">
        <v>36</v>
      </c>
      <c r="I282" s="6">
        <v>44713</v>
      </c>
      <c r="J282" s="4">
        <v>0</v>
      </c>
      <c r="K282" s="4">
        <v>0</v>
      </c>
      <c r="L282" s="4">
        <v>3.7999999999999999E-2</v>
      </c>
      <c r="M282" s="4">
        <v>3.7999999999999999E-2</v>
      </c>
      <c r="N282" s="4">
        <v>3.7999999999999999E-2</v>
      </c>
      <c r="O282" s="4">
        <v>3.7999999999999999E-2</v>
      </c>
      <c r="P282" s="4">
        <v>0</v>
      </c>
      <c r="Q282" s="3" t="s">
        <v>26</v>
      </c>
      <c r="R282" s="3">
        <v>0</v>
      </c>
      <c r="S282" s="4">
        <v>0</v>
      </c>
      <c r="T282" s="4">
        <v>17</v>
      </c>
      <c r="U282" s="4">
        <v>57</v>
      </c>
      <c r="V282" s="4">
        <f>IF(ISERROR(VLOOKUP($S$282,'TAR FIN'!$A$1:$O$91,15,0)),0,VLOOKUP($S$282,'TAR FIN'!$A$1:$O$91,15,0))</f>
        <v>0</v>
      </c>
      <c r="W282" s="4">
        <f>IF(ISERROR(VLOOKUP($T$282,'TAR FIN'!$A$1:$O$91,15,0)),0,VLOOKUP($T$282,'TAR FIN'!$A$1:$O$91,15,0))</f>
        <v>589.08000000000004</v>
      </c>
      <c r="X282" s="4">
        <f>IF(ISERROR(VLOOKUP($U$282,'TAR FIN'!$A$1:$O$91,15,0)),0,VLOOKUP($U$282,'TAR FIN'!$A$1:$O$91,15,0))</f>
        <v>189.96</v>
      </c>
      <c r="Y282" s="4"/>
      <c r="Z282" s="4">
        <f ca="1">('TUSD BE'!$AM$21+'TUSD BF_350'!$AM$21+'TUSD CVA'!$AM$21)*1</f>
        <v>700.20680179490989</v>
      </c>
      <c r="AA282" s="4">
        <f ca="1">('TE BE'!$AB$12+'TE BF_350'!$AB$12+'TE CVA'!$AB$12)*1</f>
        <v>195.89707226799715</v>
      </c>
      <c r="AB282" s="4">
        <f>$K$282*$V$282</f>
        <v>0</v>
      </c>
      <c r="AC282" s="4">
        <f>$M$282*$W$282</f>
        <v>22.38504</v>
      </c>
      <c r="AD282" s="4">
        <f>$O$282*$X$282</f>
        <v>7.2184800000000005</v>
      </c>
      <c r="AE282" s="4">
        <f>$K$282*$Y$282</f>
        <v>0</v>
      </c>
      <c r="AF282" s="4">
        <f ca="1">$M$282*$Z$282</f>
        <v>26.607858468206576</v>
      </c>
      <c r="AG282" s="4">
        <f ca="1">$O$282*$AA$282</f>
        <v>7.4440887461838914</v>
      </c>
    </row>
    <row r="283" spans="1:33" ht="11.25" customHeight="1" x14ac:dyDescent="0.3">
      <c r="A283" s="3" t="s">
        <v>21</v>
      </c>
      <c r="B283" s="3" t="s">
        <v>22</v>
      </c>
      <c r="C283" s="3" t="s">
        <v>33</v>
      </c>
      <c r="D283" s="3" t="s">
        <v>24</v>
      </c>
      <c r="E283" s="3" t="s">
        <v>24</v>
      </c>
      <c r="F283" s="3" t="s">
        <v>25</v>
      </c>
      <c r="G283" s="3" t="s">
        <v>25</v>
      </c>
      <c r="H283" s="3" t="s">
        <v>34</v>
      </c>
      <c r="I283" s="6">
        <v>44378</v>
      </c>
      <c r="J283" s="4">
        <v>0</v>
      </c>
      <c r="K283" s="4">
        <v>0</v>
      </c>
      <c r="L283" s="4">
        <v>4.9000000000000002E-2</v>
      </c>
      <c r="M283" s="4">
        <v>4.9000000000000002E-2</v>
      </c>
      <c r="N283" s="4">
        <v>4.9000000000000002E-2</v>
      </c>
      <c r="O283" s="4">
        <v>4.9000000000000002E-2</v>
      </c>
      <c r="P283" s="4">
        <v>0</v>
      </c>
      <c r="Q283" s="3" t="s">
        <v>26</v>
      </c>
      <c r="R283" s="3">
        <v>0</v>
      </c>
      <c r="S283" s="4">
        <v>0</v>
      </c>
      <c r="T283" s="4">
        <v>16</v>
      </c>
      <c r="U283" s="4">
        <v>56</v>
      </c>
      <c r="V283" s="4">
        <f>IF(ISERROR(VLOOKUP($S$283,'TAR FIN'!$A$1:$O$91,15,0)),0,VLOOKUP($S$283,'TAR FIN'!$A$1:$O$91,15,0))</f>
        <v>0</v>
      </c>
      <c r="W283" s="4">
        <f>IF(ISERROR(VLOOKUP($T$283,'TAR FIN'!$A$1:$O$91,15,0)),0,VLOOKUP($T$283,'TAR FIN'!$A$1:$O$91,15,0))</f>
        <v>907.08</v>
      </c>
      <c r="X283" s="4">
        <f>IF(ISERROR(VLOOKUP($U$283,'TAR FIN'!$A$1:$O$91,15,0)),0,VLOOKUP($U$283,'TAR FIN'!$A$1:$O$91,15,0))</f>
        <v>298.83999999999997</v>
      </c>
      <c r="Y283" s="4"/>
      <c r="Z283" s="4">
        <f ca="1">('TUSD BE'!$AM$20+'TUSD BF_350'!$AM$20+'TUSD CVA'!$AM$20)*1</f>
        <v>1081.4828785686461</v>
      </c>
      <c r="AA283" s="4">
        <f ca="1">('TE BE'!$AB$11+'TE BF_350'!$AB$11+'TE CVA'!$AB$11)*1</f>
        <v>311.4117891483653</v>
      </c>
      <c r="AB283" s="4">
        <f>$K$283*$V$283</f>
        <v>0</v>
      </c>
      <c r="AC283" s="4">
        <f>$M$283*$W$283</f>
        <v>44.446920000000006</v>
      </c>
      <c r="AD283" s="4">
        <f>$O$283*$X$283</f>
        <v>14.64316</v>
      </c>
      <c r="AE283" s="4">
        <f>$K$283*$Y$283</f>
        <v>0</v>
      </c>
      <c r="AF283" s="4">
        <f ca="1">$M$283*$Z$283</f>
        <v>52.992661049863663</v>
      </c>
      <c r="AG283" s="4">
        <f ca="1">$O$283*$AA$283</f>
        <v>15.259177668269901</v>
      </c>
    </row>
    <row r="284" spans="1:33" ht="11.25" customHeight="1" x14ac:dyDescent="0.3">
      <c r="A284" s="3" t="s">
        <v>21</v>
      </c>
      <c r="B284" s="3" t="s">
        <v>22</v>
      </c>
      <c r="C284" s="3" t="s">
        <v>33</v>
      </c>
      <c r="D284" s="3" t="s">
        <v>24</v>
      </c>
      <c r="E284" s="3" t="s">
        <v>24</v>
      </c>
      <c r="F284" s="3" t="s">
        <v>25</v>
      </c>
      <c r="G284" s="3" t="s">
        <v>25</v>
      </c>
      <c r="H284" s="3" t="s">
        <v>34</v>
      </c>
      <c r="I284" s="6">
        <v>44409</v>
      </c>
      <c r="J284" s="4">
        <v>0</v>
      </c>
      <c r="K284" s="4">
        <v>0</v>
      </c>
      <c r="L284" s="4">
        <v>0.06</v>
      </c>
      <c r="M284" s="4">
        <v>0.06</v>
      </c>
      <c r="N284" s="4">
        <v>0.06</v>
      </c>
      <c r="O284" s="4">
        <v>0.06</v>
      </c>
      <c r="P284" s="4">
        <v>0</v>
      </c>
      <c r="Q284" s="3" t="s">
        <v>26</v>
      </c>
      <c r="R284" s="3">
        <v>0</v>
      </c>
      <c r="S284" s="4">
        <v>0</v>
      </c>
      <c r="T284" s="4">
        <v>16</v>
      </c>
      <c r="U284" s="4">
        <v>56</v>
      </c>
      <c r="V284" s="4">
        <f>IF(ISERROR(VLOOKUP($S$284,'TAR FIN'!$A$1:$O$91,15,0)),0,VLOOKUP($S$284,'TAR FIN'!$A$1:$O$91,15,0))</f>
        <v>0</v>
      </c>
      <c r="W284" s="4">
        <f>IF(ISERROR(VLOOKUP($T$284,'TAR FIN'!$A$1:$O$91,15,0)),0,VLOOKUP($T$284,'TAR FIN'!$A$1:$O$91,15,0))</f>
        <v>907.08</v>
      </c>
      <c r="X284" s="4">
        <f>IF(ISERROR(VLOOKUP($U$284,'TAR FIN'!$A$1:$O$91,15,0)),0,VLOOKUP($U$284,'TAR FIN'!$A$1:$O$91,15,0))</f>
        <v>298.83999999999997</v>
      </c>
      <c r="Y284" s="4"/>
      <c r="Z284" s="4">
        <f ca="1">('TUSD BE'!$AM$20+'TUSD BF_350'!$AM$20+'TUSD CVA'!$AM$20)*1</f>
        <v>1081.4828785686461</v>
      </c>
      <c r="AA284" s="4">
        <f ca="1">('TE BE'!$AB$11+'TE BF_350'!$AB$11+'TE CVA'!$AB$11)*1</f>
        <v>311.4117891483653</v>
      </c>
      <c r="AB284" s="4">
        <f>$K$284*$V$284</f>
        <v>0</v>
      </c>
      <c r="AC284" s="4">
        <f>$M$284*$W$284</f>
        <v>54.424799999999998</v>
      </c>
      <c r="AD284" s="4">
        <f>$O$284*$X$284</f>
        <v>17.930399999999999</v>
      </c>
      <c r="AE284" s="4">
        <f>$K$284*$Y$284</f>
        <v>0</v>
      </c>
      <c r="AF284" s="4">
        <f ca="1">$M$284*$Z$284</f>
        <v>64.888972714118765</v>
      </c>
      <c r="AG284" s="4">
        <f ca="1">$O$284*$AA$284</f>
        <v>18.684707348901917</v>
      </c>
    </row>
    <row r="285" spans="1:33" ht="11.25" customHeight="1" x14ac:dyDescent="0.3">
      <c r="A285" s="3" t="s">
        <v>21</v>
      </c>
      <c r="B285" s="3" t="s">
        <v>22</v>
      </c>
      <c r="C285" s="3" t="s">
        <v>33</v>
      </c>
      <c r="D285" s="3" t="s">
        <v>24</v>
      </c>
      <c r="E285" s="3" t="s">
        <v>24</v>
      </c>
      <c r="F285" s="3" t="s">
        <v>25</v>
      </c>
      <c r="G285" s="3" t="s">
        <v>25</v>
      </c>
      <c r="H285" s="3" t="s">
        <v>34</v>
      </c>
      <c r="I285" s="6">
        <v>44440</v>
      </c>
      <c r="J285" s="4">
        <v>0</v>
      </c>
      <c r="K285" s="4">
        <v>0</v>
      </c>
      <c r="L285" s="4">
        <v>5.3999999999999999E-2</v>
      </c>
      <c r="M285" s="4">
        <v>5.3999999999999999E-2</v>
      </c>
      <c r="N285" s="4">
        <v>5.3999999999999999E-2</v>
      </c>
      <c r="O285" s="4">
        <v>5.3999999999999999E-2</v>
      </c>
      <c r="P285" s="4">
        <v>0</v>
      </c>
      <c r="Q285" s="3" t="s">
        <v>26</v>
      </c>
      <c r="R285" s="3">
        <v>0</v>
      </c>
      <c r="S285" s="4">
        <v>0</v>
      </c>
      <c r="T285" s="4">
        <v>16</v>
      </c>
      <c r="U285" s="4">
        <v>56</v>
      </c>
      <c r="V285" s="4">
        <f>IF(ISERROR(VLOOKUP($S$285,'TAR FIN'!$A$1:$O$91,15,0)),0,VLOOKUP($S$285,'TAR FIN'!$A$1:$O$91,15,0))</f>
        <v>0</v>
      </c>
      <c r="W285" s="4">
        <f>IF(ISERROR(VLOOKUP($T$285,'TAR FIN'!$A$1:$O$91,15,0)),0,VLOOKUP($T$285,'TAR FIN'!$A$1:$O$91,15,0))</f>
        <v>907.08</v>
      </c>
      <c r="X285" s="4">
        <f>IF(ISERROR(VLOOKUP($U$285,'TAR FIN'!$A$1:$O$91,15,0)),0,VLOOKUP($U$285,'TAR FIN'!$A$1:$O$91,15,0))</f>
        <v>298.83999999999997</v>
      </c>
      <c r="Y285" s="4"/>
      <c r="Z285" s="4">
        <f ca="1">('TUSD BE'!$AM$20+'TUSD BF_350'!$AM$20+'TUSD CVA'!$AM$20)*1</f>
        <v>1081.4828785686461</v>
      </c>
      <c r="AA285" s="4">
        <f ca="1">('TE BE'!$AB$11+'TE BF_350'!$AB$11+'TE CVA'!$AB$11)*1</f>
        <v>311.4117891483653</v>
      </c>
      <c r="AB285" s="4">
        <f>$K$285*$V$285</f>
        <v>0</v>
      </c>
      <c r="AC285" s="4">
        <f>$M$285*$W$285</f>
        <v>48.982320000000001</v>
      </c>
      <c r="AD285" s="4">
        <f>$O$285*$X$285</f>
        <v>16.137359999999997</v>
      </c>
      <c r="AE285" s="4">
        <f>$K$285*$Y$285</f>
        <v>0</v>
      </c>
      <c r="AF285" s="4">
        <f ca="1">$M$285*$Z$285</f>
        <v>58.400075442706893</v>
      </c>
      <c r="AG285" s="4">
        <f ca="1">$O$285*$AA$285</f>
        <v>16.816236614011725</v>
      </c>
    </row>
    <row r="286" spans="1:33" ht="11.25" customHeight="1" x14ac:dyDescent="0.3">
      <c r="A286" s="3" t="s">
        <v>21</v>
      </c>
      <c r="B286" s="3" t="s">
        <v>22</v>
      </c>
      <c r="C286" s="3" t="s">
        <v>33</v>
      </c>
      <c r="D286" s="3" t="s">
        <v>24</v>
      </c>
      <c r="E286" s="3" t="s">
        <v>24</v>
      </c>
      <c r="F286" s="3" t="s">
        <v>25</v>
      </c>
      <c r="G286" s="3" t="s">
        <v>25</v>
      </c>
      <c r="H286" s="3" t="s">
        <v>34</v>
      </c>
      <c r="I286" s="6">
        <v>44470</v>
      </c>
      <c r="J286" s="4">
        <v>0</v>
      </c>
      <c r="K286" s="4">
        <v>0</v>
      </c>
      <c r="L286" s="4">
        <v>5.2999999999999999E-2</v>
      </c>
      <c r="M286" s="4">
        <v>5.2999999999999999E-2</v>
      </c>
      <c r="N286" s="4">
        <v>5.2999999999999999E-2</v>
      </c>
      <c r="O286" s="4">
        <v>5.2999999999999999E-2</v>
      </c>
      <c r="P286" s="4">
        <v>0</v>
      </c>
      <c r="Q286" s="3" t="s">
        <v>26</v>
      </c>
      <c r="R286" s="3">
        <v>0</v>
      </c>
      <c r="S286" s="4">
        <v>0</v>
      </c>
      <c r="T286" s="4">
        <v>16</v>
      </c>
      <c r="U286" s="4">
        <v>56</v>
      </c>
      <c r="V286" s="4">
        <f>IF(ISERROR(VLOOKUP($S$286,'TAR FIN'!$A$1:$O$91,15,0)),0,VLOOKUP($S$286,'TAR FIN'!$A$1:$O$91,15,0))</f>
        <v>0</v>
      </c>
      <c r="W286" s="4">
        <f>IF(ISERROR(VLOOKUP($T$286,'TAR FIN'!$A$1:$O$91,15,0)),0,VLOOKUP($T$286,'TAR FIN'!$A$1:$O$91,15,0))</f>
        <v>907.08</v>
      </c>
      <c r="X286" s="4">
        <f>IF(ISERROR(VLOOKUP($U$286,'TAR FIN'!$A$1:$O$91,15,0)),0,VLOOKUP($U$286,'TAR FIN'!$A$1:$O$91,15,0))</f>
        <v>298.83999999999997</v>
      </c>
      <c r="Y286" s="4"/>
      <c r="Z286" s="4">
        <f ca="1">('TUSD BE'!$AM$20+'TUSD BF_350'!$AM$20+'TUSD CVA'!$AM$20)*1</f>
        <v>1081.4828785686461</v>
      </c>
      <c r="AA286" s="4">
        <f ca="1">('TE BE'!$AB$11+'TE BF_350'!$AB$11+'TE CVA'!$AB$11)*1</f>
        <v>311.4117891483653</v>
      </c>
      <c r="AB286" s="4">
        <f>$K$286*$V$286</f>
        <v>0</v>
      </c>
      <c r="AC286" s="4">
        <f>$M$286*$W$286</f>
        <v>48.075240000000001</v>
      </c>
      <c r="AD286" s="4">
        <f>$O$286*$X$286</f>
        <v>15.838519999999999</v>
      </c>
      <c r="AE286" s="4">
        <f>$K$286*$Y$286</f>
        <v>0</v>
      </c>
      <c r="AF286" s="4">
        <f ca="1">$M$286*$Z$286</f>
        <v>57.318592564138243</v>
      </c>
      <c r="AG286" s="4">
        <f ca="1">$O$286*$AA$286</f>
        <v>16.504824824863359</v>
      </c>
    </row>
    <row r="287" spans="1:33" ht="11.25" customHeight="1" x14ac:dyDescent="0.3">
      <c r="A287" s="3" t="s">
        <v>21</v>
      </c>
      <c r="B287" s="3" t="s">
        <v>22</v>
      </c>
      <c r="C287" s="3" t="s">
        <v>33</v>
      </c>
      <c r="D287" s="3" t="s">
        <v>24</v>
      </c>
      <c r="E287" s="3" t="s">
        <v>24</v>
      </c>
      <c r="F287" s="3" t="s">
        <v>25</v>
      </c>
      <c r="G287" s="3" t="s">
        <v>25</v>
      </c>
      <c r="H287" s="3" t="s">
        <v>34</v>
      </c>
      <c r="I287" s="6">
        <v>44501</v>
      </c>
      <c r="J287" s="4">
        <v>0</v>
      </c>
      <c r="K287" s="4">
        <v>0</v>
      </c>
      <c r="L287" s="4">
        <v>5.0999999999999997E-2</v>
      </c>
      <c r="M287" s="4">
        <v>5.0999999999999997E-2</v>
      </c>
      <c r="N287" s="4">
        <v>5.0999999999999997E-2</v>
      </c>
      <c r="O287" s="4">
        <v>5.0999999999999997E-2</v>
      </c>
      <c r="P287" s="4">
        <v>0</v>
      </c>
      <c r="Q287" s="3" t="s">
        <v>26</v>
      </c>
      <c r="R287" s="3">
        <v>0</v>
      </c>
      <c r="S287" s="4">
        <v>0</v>
      </c>
      <c r="T287" s="4">
        <v>16</v>
      </c>
      <c r="U287" s="4">
        <v>56</v>
      </c>
      <c r="V287" s="4">
        <f>IF(ISERROR(VLOOKUP($S$287,'TAR FIN'!$A$1:$O$91,15,0)),0,VLOOKUP($S$287,'TAR FIN'!$A$1:$O$91,15,0))</f>
        <v>0</v>
      </c>
      <c r="W287" s="4">
        <f>IF(ISERROR(VLOOKUP($T$287,'TAR FIN'!$A$1:$O$91,15,0)),0,VLOOKUP($T$287,'TAR FIN'!$A$1:$O$91,15,0))</f>
        <v>907.08</v>
      </c>
      <c r="X287" s="4">
        <f>IF(ISERROR(VLOOKUP($U$287,'TAR FIN'!$A$1:$O$91,15,0)),0,VLOOKUP($U$287,'TAR FIN'!$A$1:$O$91,15,0))</f>
        <v>298.83999999999997</v>
      </c>
      <c r="Y287" s="4"/>
      <c r="Z287" s="4">
        <f ca="1">('TUSD BE'!$AM$20+'TUSD BF_350'!$AM$20+'TUSD CVA'!$AM$20)*1</f>
        <v>1081.4828785686461</v>
      </c>
      <c r="AA287" s="4">
        <f ca="1">('TE BE'!$AB$11+'TE BF_350'!$AB$11+'TE CVA'!$AB$11)*1</f>
        <v>311.4117891483653</v>
      </c>
      <c r="AB287" s="4">
        <f>$K$287*$V$287</f>
        <v>0</v>
      </c>
      <c r="AC287" s="4">
        <f>$M$287*$W$287</f>
        <v>46.26108</v>
      </c>
      <c r="AD287" s="4">
        <f>$O$287*$X$287</f>
        <v>15.240839999999999</v>
      </c>
      <c r="AE287" s="4">
        <f>$K$287*$Y$287</f>
        <v>0</v>
      </c>
      <c r="AF287" s="4">
        <f ca="1">$M$287*$Z$287</f>
        <v>55.155626807000949</v>
      </c>
      <c r="AG287" s="4">
        <f ca="1">$O$287*$AA$287</f>
        <v>15.882001246566629</v>
      </c>
    </row>
    <row r="288" spans="1:33" ht="11.25" customHeight="1" x14ac:dyDescent="0.3">
      <c r="A288" s="3" t="s">
        <v>21</v>
      </c>
      <c r="B288" s="3" t="s">
        <v>22</v>
      </c>
      <c r="C288" s="3" t="s">
        <v>33</v>
      </c>
      <c r="D288" s="3" t="s">
        <v>24</v>
      </c>
      <c r="E288" s="3" t="s">
        <v>24</v>
      </c>
      <c r="F288" s="3" t="s">
        <v>25</v>
      </c>
      <c r="G288" s="3" t="s">
        <v>25</v>
      </c>
      <c r="H288" s="3" t="s">
        <v>34</v>
      </c>
      <c r="I288" s="6">
        <v>44531</v>
      </c>
      <c r="J288" s="4">
        <v>0</v>
      </c>
      <c r="K288" s="4">
        <v>0</v>
      </c>
      <c r="L288" s="4">
        <v>5.5E-2</v>
      </c>
      <c r="M288" s="4">
        <v>5.5E-2</v>
      </c>
      <c r="N288" s="4">
        <v>5.5E-2</v>
      </c>
      <c r="O288" s="4">
        <v>5.5E-2</v>
      </c>
      <c r="P288" s="4">
        <v>0</v>
      </c>
      <c r="Q288" s="3" t="s">
        <v>26</v>
      </c>
      <c r="R288" s="3">
        <v>0</v>
      </c>
      <c r="S288" s="4">
        <v>0</v>
      </c>
      <c r="T288" s="4">
        <v>16</v>
      </c>
      <c r="U288" s="4">
        <v>56</v>
      </c>
      <c r="V288" s="4">
        <f>IF(ISERROR(VLOOKUP($S$288,'TAR FIN'!$A$1:$O$91,15,0)),0,VLOOKUP($S$288,'TAR FIN'!$A$1:$O$91,15,0))</f>
        <v>0</v>
      </c>
      <c r="W288" s="4">
        <f>IF(ISERROR(VLOOKUP($T$288,'TAR FIN'!$A$1:$O$91,15,0)),0,VLOOKUP($T$288,'TAR FIN'!$A$1:$O$91,15,0))</f>
        <v>907.08</v>
      </c>
      <c r="X288" s="4">
        <f>IF(ISERROR(VLOOKUP($U$288,'TAR FIN'!$A$1:$O$91,15,0)),0,VLOOKUP($U$288,'TAR FIN'!$A$1:$O$91,15,0))</f>
        <v>298.83999999999997</v>
      </c>
      <c r="Y288" s="4"/>
      <c r="Z288" s="4">
        <f ca="1">('TUSD BE'!$AM$20+'TUSD BF_350'!$AM$20+'TUSD CVA'!$AM$20)*1</f>
        <v>1081.4828785686461</v>
      </c>
      <c r="AA288" s="4">
        <f ca="1">('TE BE'!$AB$11+'TE BF_350'!$AB$11+'TE CVA'!$AB$11)*1</f>
        <v>311.4117891483653</v>
      </c>
      <c r="AB288" s="4">
        <f>$K$288*$V$288</f>
        <v>0</v>
      </c>
      <c r="AC288" s="4">
        <f>$M$288*$W$288</f>
        <v>49.889400000000002</v>
      </c>
      <c r="AD288" s="4">
        <f>$O$288*$X$288</f>
        <v>16.436199999999999</v>
      </c>
      <c r="AE288" s="4">
        <f>$K$288*$Y$288</f>
        <v>0</v>
      </c>
      <c r="AF288" s="4">
        <f ca="1">$M$288*$Z$288</f>
        <v>59.481558321275536</v>
      </c>
      <c r="AG288" s="4">
        <f ca="1">$O$288*$AA$288</f>
        <v>17.127648403160091</v>
      </c>
    </row>
    <row r="289" spans="1:33" ht="11.25" customHeight="1" x14ac:dyDescent="0.3">
      <c r="A289" s="3" t="s">
        <v>21</v>
      </c>
      <c r="B289" s="3" t="s">
        <v>22</v>
      </c>
      <c r="C289" s="3" t="s">
        <v>33</v>
      </c>
      <c r="D289" s="3" t="s">
        <v>24</v>
      </c>
      <c r="E289" s="3" t="s">
        <v>24</v>
      </c>
      <c r="F289" s="3" t="s">
        <v>25</v>
      </c>
      <c r="G289" s="3" t="s">
        <v>25</v>
      </c>
      <c r="H289" s="3" t="s">
        <v>34</v>
      </c>
      <c r="I289" s="6">
        <v>44562</v>
      </c>
      <c r="J289" s="4">
        <v>0</v>
      </c>
      <c r="K289" s="4">
        <v>0</v>
      </c>
      <c r="L289" s="4">
        <v>6.3E-2</v>
      </c>
      <c r="M289" s="4">
        <v>6.3E-2</v>
      </c>
      <c r="N289" s="4">
        <v>6.3E-2</v>
      </c>
      <c r="O289" s="4">
        <v>6.3E-2</v>
      </c>
      <c r="P289" s="4">
        <v>0</v>
      </c>
      <c r="Q289" s="3" t="s">
        <v>26</v>
      </c>
      <c r="R289" s="3">
        <v>0</v>
      </c>
      <c r="S289" s="4">
        <v>0</v>
      </c>
      <c r="T289" s="4">
        <v>16</v>
      </c>
      <c r="U289" s="4">
        <v>56</v>
      </c>
      <c r="V289" s="4">
        <f>IF(ISERROR(VLOOKUP($S$289,'TAR FIN'!$A$1:$O$91,15,0)),0,VLOOKUP($S$289,'TAR FIN'!$A$1:$O$91,15,0))</f>
        <v>0</v>
      </c>
      <c r="W289" s="4">
        <f>IF(ISERROR(VLOOKUP($T$289,'TAR FIN'!$A$1:$O$91,15,0)),0,VLOOKUP($T$289,'TAR FIN'!$A$1:$O$91,15,0))</f>
        <v>907.08</v>
      </c>
      <c r="X289" s="4">
        <f>IF(ISERROR(VLOOKUP($U$289,'TAR FIN'!$A$1:$O$91,15,0)),0,VLOOKUP($U$289,'TAR FIN'!$A$1:$O$91,15,0))</f>
        <v>298.83999999999997</v>
      </c>
      <c r="Y289" s="4"/>
      <c r="Z289" s="4">
        <f ca="1">('TUSD BE'!$AM$20+'TUSD BF_350'!$AM$20+'TUSD CVA'!$AM$20)*1</f>
        <v>1081.4828785686461</v>
      </c>
      <c r="AA289" s="4">
        <f ca="1">('TE BE'!$AB$11+'TE BF_350'!$AB$11+'TE CVA'!$AB$11)*1</f>
        <v>311.4117891483653</v>
      </c>
      <c r="AB289" s="4">
        <f>$K$289*$V$289</f>
        <v>0</v>
      </c>
      <c r="AC289" s="4">
        <f>$M$289*$W$289</f>
        <v>57.146040000000006</v>
      </c>
      <c r="AD289" s="4">
        <f>$O$289*$X$289</f>
        <v>18.826919999999998</v>
      </c>
      <c r="AE289" s="4">
        <f>$K$289*$Y$289</f>
        <v>0</v>
      </c>
      <c r="AF289" s="4">
        <f ca="1">$M$289*$Z$289</f>
        <v>68.133421349824701</v>
      </c>
      <c r="AG289" s="4">
        <f ca="1">$O$289*$AA$289</f>
        <v>19.618942716347014</v>
      </c>
    </row>
    <row r="290" spans="1:33" ht="11.25" customHeight="1" x14ac:dyDescent="0.3">
      <c r="A290" s="3" t="s">
        <v>21</v>
      </c>
      <c r="B290" s="3" t="s">
        <v>22</v>
      </c>
      <c r="C290" s="3" t="s">
        <v>33</v>
      </c>
      <c r="D290" s="3" t="s">
        <v>24</v>
      </c>
      <c r="E290" s="3" t="s">
        <v>24</v>
      </c>
      <c r="F290" s="3" t="s">
        <v>25</v>
      </c>
      <c r="G290" s="3" t="s">
        <v>25</v>
      </c>
      <c r="H290" s="3" t="s">
        <v>34</v>
      </c>
      <c r="I290" s="6">
        <v>44593</v>
      </c>
      <c r="J290" s="4">
        <v>0</v>
      </c>
      <c r="K290" s="4">
        <v>0</v>
      </c>
      <c r="L290" s="4">
        <v>7.8E-2</v>
      </c>
      <c r="M290" s="4">
        <v>7.8E-2</v>
      </c>
      <c r="N290" s="4">
        <v>7.8E-2</v>
      </c>
      <c r="O290" s="4">
        <v>7.8E-2</v>
      </c>
      <c r="P290" s="4">
        <v>0</v>
      </c>
      <c r="Q290" s="3" t="s">
        <v>26</v>
      </c>
      <c r="R290" s="3">
        <v>0</v>
      </c>
      <c r="S290" s="4">
        <v>0</v>
      </c>
      <c r="T290" s="4">
        <v>16</v>
      </c>
      <c r="U290" s="4">
        <v>56</v>
      </c>
      <c r="V290" s="4">
        <f>IF(ISERROR(VLOOKUP($S$290,'TAR FIN'!$A$1:$O$91,15,0)),0,VLOOKUP($S$290,'TAR FIN'!$A$1:$O$91,15,0))</f>
        <v>0</v>
      </c>
      <c r="W290" s="4">
        <f>IF(ISERROR(VLOOKUP($T$290,'TAR FIN'!$A$1:$O$91,15,0)),0,VLOOKUP($T$290,'TAR FIN'!$A$1:$O$91,15,0))</f>
        <v>907.08</v>
      </c>
      <c r="X290" s="4">
        <f>IF(ISERROR(VLOOKUP($U$290,'TAR FIN'!$A$1:$O$91,15,0)),0,VLOOKUP($U$290,'TAR FIN'!$A$1:$O$91,15,0))</f>
        <v>298.83999999999997</v>
      </c>
      <c r="Y290" s="4"/>
      <c r="Z290" s="4">
        <f ca="1">('TUSD BE'!$AM$20+'TUSD BF_350'!$AM$20+'TUSD CVA'!$AM$20)*1</f>
        <v>1081.4828785686461</v>
      </c>
      <c r="AA290" s="4">
        <f ca="1">('TE BE'!$AB$11+'TE BF_350'!$AB$11+'TE CVA'!$AB$11)*1</f>
        <v>311.4117891483653</v>
      </c>
      <c r="AB290" s="4">
        <f>$K$290*$V$290</f>
        <v>0</v>
      </c>
      <c r="AC290" s="4">
        <f>$M$290*$W$290</f>
        <v>70.75224</v>
      </c>
      <c r="AD290" s="4">
        <f>$O$290*$X$290</f>
        <v>23.309519999999999</v>
      </c>
      <c r="AE290" s="4">
        <f>$K$290*$Y$290</f>
        <v>0</v>
      </c>
      <c r="AF290" s="4">
        <f ca="1">$M$290*$Z$290</f>
        <v>84.355664528354396</v>
      </c>
      <c r="AG290" s="4">
        <f ca="1">$O$290*$AA$290</f>
        <v>24.290119553572495</v>
      </c>
    </row>
    <row r="291" spans="1:33" ht="11.25" customHeight="1" x14ac:dyDescent="0.3">
      <c r="A291" s="3" t="s">
        <v>21</v>
      </c>
      <c r="B291" s="3" t="s">
        <v>22</v>
      </c>
      <c r="C291" s="3" t="s">
        <v>33</v>
      </c>
      <c r="D291" s="3" t="s">
        <v>24</v>
      </c>
      <c r="E291" s="3" t="s">
        <v>24</v>
      </c>
      <c r="F291" s="3" t="s">
        <v>25</v>
      </c>
      <c r="G291" s="3" t="s">
        <v>25</v>
      </c>
      <c r="H291" s="3" t="s">
        <v>34</v>
      </c>
      <c r="I291" s="6">
        <v>44621</v>
      </c>
      <c r="J291" s="4">
        <v>0</v>
      </c>
      <c r="K291" s="4">
        <v>0</v>
      </c>
      <c r="L291" s="4">
        <v>6.9000000000000006E-2</v>
      </c>
      <c r="M291" s="4">
        <v>6.9000000000000006E-2</v>
      </c>
      <c r="N291" s="4">
        <v>6.9000000000000006E-2</v>
      </c>
      <c r="O291" s="4">
        <v>6.9000000000000006E-2</v>
      </c>
      <c r="P291" s="4">
        <v>0</v>
      </c>
      <c r="Q291" s="3" t="s">
        <v>26</v>
      </c>
      <c r="R291" s="3">
        <v>0</v>
      </c>
      <c r="S291" s="4">
        <v>0</v>
      </c>
      <c r="T291" s="4">
        <v>16</v>
      </c>
      <c r="U291" s="4">
        <v>56</v>
      </c>
      <c r="V291" s="4">
        <f>IF(ISERROR(VLOOKUP($S$291,'TAR FIN'!$A$1:$O$91,15,0)),0,VLOOKUP($S$291,'TAR FIN'!$A$1:$O$91,15,0))</f>
        <v>0</v>
      </c>
      <c r="W291" s="4">
        <f>IF(ISERROR(VLOOKUP($T$291,'TAR FIN'!$A$1:$O$91,15,0)),0,VLOOKUP($T$291,'TAR FIN'!$A$1:$O$91,15,0))</f>
        <v>907.08</v>
      </c>
      <c r="X291" s="4">
        <f>IF(ISERROR(VLOOKUP($U$291,'TAR FIN'!$A$1:$O$91,15,0)),0,VLOOKUP($U$291,'TAR FIN'!$A$1:$O$91,15,0))</f>
        <v>298.83999999999997</v>
      </c>
      <c r="Y291" s="4"/>
      <c r="Z291" s="4">
        <f ca="1">('TUSD BE'!$AM$20+'TUSD BF_350'!$AM$20+'TUSD CVA'!$AM$20)*1</f>
        <v>1081.4828785686461</v>
      </c>
      <c r="AA291" s="4">
        <f ca="1">('TE BE'!$AB$11+'TE BF_350'!$AB$11+'TE CVA'!$AB$11)*1</f>
        <v>311.4117891483653</v>
      </c>
      <c r="AB291" s="4">
        <f>$K$291*$V$291</f>
        <v>0</v>
      </c>
      <c r="AC291" s="4">
        <f>$M$291*$W$291</f>
        <v>62.58852000000001</v>
      </c>
      <c r="AD291" s="4">
        <f>$O$291*$X$291</f>
        <v>20.619959999999999</v>
      </c>
      <c r="AE291" s="4">
        <f>$K$291*$Y$291</f>
        <v>0</v>
      </c>
      <c r="AF291" s="4">
        <f ca="1">$M$291*$Z$291</f>
        <v>74.622318621236587</v>
      </c>
      <c r="AG291" s="4">
        <f ca="1">$O$291*$AA$291</f>
        <v>21.487413451237206</v>
      </c>
    </row>
    <row r="292" spans="1:33" ht="11.25" customHeight="1" x14ac:dyDescent="0.3">
      <c r="A292" s="3" t="s">
        <v>21</v>
      </c>
      <c r="B292" s="3" t="s">
        <v>22</v>
      </c>
      <c r="C292" s="3" t="s">
        <v>33</v>
      </c>
      <c r="D292" s="3" t="s">
        <v>24</v>
      </c>
      <c r="E292" s="3" t="s">
        <v>24</v>
      </c>
      <c r="F292" s="3" t="s">
        <v>25</v>
      </c>
      <c r="G292" s="3" t="s">
        <v>25</v>
      </c>
      <c r="H292" s="3" t="s">
        <v>34</v>
      </c>
      <c r="I292" s="6">
        <v>44652</v>
      </c>
      <c r="J292" s="4">
        <v>0</v>
      </c>
      <c r="K292" s="4">
        <v>0</v>
      </c>
      <c r="L292" s="4">
        <v>4.2000000000000003E-2</v>
      </c>
      <c r="M292" s="4">
        <v>4.2000000000000003E-2</v>
      </c>
      <c r="N292" s="4">
        <v>4.2000000000000003E-2</v>
      </c>
      <c r="O292" s="4">
        <v>4.2000000000000003E-2</v>
      </c>
      <c r="P292" s="4">
        <v>0</v>
      </c>
      <c r="Q292" s="3" t="s">
        <v>26</v>
      </c>
      <c r="R292" s="3">
        <v>0</v>
      </c>
      <c r="S292" s="4">
        <v>0</v>
      </c>
      <c r="T292" s="4">
        <v>16</v>
      </c>
      <c r="U292" s="4">
        <v>56</v>
      </c>
      <c r="V292" s="4">
        <f>IF(ISERROR(VLOOKUP($S$292,'TAR FIN'!$A$1:$O$91,15,0)),0,VLOOKUP($S$292,'TAR FIN'!$A$1:$O$91,15,0))</f>
        <v>0</v>
      </c>
      <c r="W292" s="4">
        <f>IF(ISERROR(VLOOKUP($T$292,'TAR FIN'!$A$1:$O$91,15,0)),0,VLOOKUP($T$292,'TAR FIN'!$A$1:$O$91,15,0))</f>
        <v>907.08</v>
      </c>
      <c r="X292" s="4">
        <f>IF(ISERROR(VLOOKUP($U$292,'TAR FIN'!$A$1:$O$91,15,0)),0,VLOOKUP($U$292,'TAR FIN'!$A$1:$O$91,15,0))</f>
        <v>298.83999999999997</v>
      </c>
      <c r="Y292" s="4"/>
      <c r="Z292" s="4">
        <f ca="1">('TUSD BE'!$AM$20+'TUSD BF_350'!$AM$20+'TUSD CVA'!$AM$20)*1</f>
        <v>1081.4828785686461</v>
      </c>
      <c r="AA292" s="4">
        <f ca="1">('TE BE'!$AB$11+'TE BF_350'!$AB$11+'TE CVA'!$AB$11)*1</f>
        <v>311.4117891483653</v>
      </c>
      <c r="AB292" s="4">
        <f>$K$292*$V$292</f>
        <v>0</v>
      </c>
      <c r="AC292" s="4">
        <f>$M$292*$W$292</f>
        <v>38.097360000000002</v>
      </c>
      <c r="AD292" s="4">
        <f>$O$292*$X$292</f>
        <v>12.55128</v>
      </c>
      <c r="AE292" s="4">
        <f>$K$292*$Y$292</f>
        <v>0</v>
      </c>
      <c r="AF292" s="4">
        <f ca="1">$M$292*$Z$292</f>
        <v>45.422280899883141</v>
      </c>
      <c r="AG292" s="4">
        <f ca="1">$O$292*$AA$292</f>
        <v>13.079295144231343</v>
      </c>
    </row>
    <row r="293" spans="1:33" ht="11.25" customHeight="1" x14ac:dyDescent="0.3">
      <c r="A293" s="3" t="s">
        <v>21</v>
      </c>
      <c r="B293" s="3" t="s">
        <v>22</v>
      </c>
      <c r="C293" s="3" t="s">
        <v>33</v>
      </c>
      <c r="D293" s="3" t="s">
        <v>24</v>
      </c>
      <c r="E293" s="3" t="s">
        <v>24</v>
      </c>
      <c r="F293" s="3" t="s">
        <v>25</v>
      </c>
      <c r="G293" s="3" t="s">
        <v>25</v>
      </c>
      <c r="H293" s="3" t="s">
        <v>34</v>
      </c>
      <c r="I293" s="6">
        <v>44682</v>
      </c>
      <c r="J293" s="4">
        <v>0</v>
      </c>
      <c r="K293" s="4">
        <v>0</v>
      </c>
      <c r="L293" s="4">
        <v>4.3999999999999997E-2</v>
      </c>
      <c r="M293" s="4">
        <v>4.3999999999999997E-2</v>
      </c>
      <c r="N293" s="4">
        <v>4.3999999999999997E-2</v>
      </c>
      <c r="O293" s="4">
        <v>4.3999999999999997E-2</v>
      </c>
      <c r="P293" s="4">
        <v>0</v>
      </c>
      <c r="Q293" s="3" t="s">
        <v>26</v>
      </c>
      <c r="R293" s="3">
        <v>0</v>
      </c>
      <c r="S293" s="4">
        <v>0</v>
      </c>
      <c r="T293" s="4">
        <v>16</v>
      </c>
      <c r="U293" s="4">
        <v>56</v>
      </c>
      <c r="V293" s="4">
        <f>IF(ISERROR(VLOOKUP($S$293,'TAR FIN'!$A$1:$O$91,15,0)),0,VLOOKUP($S$293,'TAR FIN'!$A$1:$O$91,15,0))</f>
        <v>0</v>
      </c>
      <c r="W293" s="4">
        <f>IF(ISERROR(VLOOKUP($T$293,'TAR FIN'!$A$1:$O$91,15,0)),0,VLOOKUP($T$293,'TAR FIN'!$A$1:$O$91,15,0))</f>
        <v>907.08</v>
      </c>
      <c r="X293" s="4">
        <f>IF(ISERROR(VLOOKUP($U$293,'TAR FIN'!$A$1:$O$91,15,0)),0,VLOOKUP($U$293,'TAR FIN'!$A$1:$O$91,15,0))</f>
        <v>298.83999999999997</v>
      </c>
      <c r="Y293" s="4"/>
      <c r="Z293" s="4">
        <f ca="1">('TUSD BE'!$AM$20+'TUSD BF_350'!$AM$20+'TUSD CVA'!$AM$20)*1</f>
        <v>1081.4828785686461</v>
      </c>
      <c r="AA293" s="4">
        <f ca="1">('TE BE'!$AB$11+'TE BF_350'!$AB$11+'TE CVA'!$AB$11)*1</f>
        <v>311.4117891483653</v>
      </c>
      <c r="AB293" s="4">
        <f>$K$293*$V$293</f>
        <v>0</v>
      </c>
      <c r="AC293" s="4">
        <f>$M$293*$W$293</f>
        <v>39.911520000000003</v>
      </c>
      <c r="AD293" s="4">
        <f>$O$293*$X$293</f>
        <v>13.148959999999999</v>
      </c>
      <c r="AE293" s="4">
        <f>$K$293*$Y$293</f>
        <v>0</v>
      </c>
      <c r="AF293" s="4">
        <f ca="1">$M$293*$Z$293</f>
        <v>47.585246657020427</v>
      </c>
      <c r="AG293" s="4">
        <f ca="1">$O$293*$AA$293</f>
        <v>13.702118722528072</v>
      </c>
    </row>
    <row r="294" spans="1:33" ht="11.25" customHeight="1" x14ac:dyDescent="0.3">
      <c r="A294" s="3" t="s">
        <v>21</v>
      </c>
      <c r="B294" s="3" t="s">
        <v>22</v>
      </c>
      <c r="C294" s="3" t="s">
        <v>33</v>
      </c>
      <c r="D294" s="3" t="s">
        <v>24</v>
      </c>
      <c r="E294" s="3" t="s">
        <v>24</v>
      </c>
      <c r="F294" s="3" t="s">
        <v>25</v>
      </c>
      <c r="G294" s="3" t="s">
        <v>25</v>
      </c>
      <c r="H294" s="3" t="s">
        <v>34</v>
      </c>
      <c r="I294" s="6">
        <v>44713</v>
      </c>
      <c r="J294" s="4">
        <v>0</v>
      </c>
      <c r="K294" s="4">
        <v>0</v>
      </c>
      <c r="L294" s="4">
        <v>7.0000000000000007E-2</v>
      </c>
      <c r="M294" s="4">
        <v>7.0000000000000007E-2</v>
      </c>
      <c r="N294" s="4">
        <v>7.0000000000000007E-2</v>
      </c>
      <c r="O294" s="4">
        <v>7.0000000000000007E-2</v>
      </c>
      <c r="P294" s="4">
        <v>0</v>
      </c>
      <c r="Q294" s="3" t="s">
        <v>26</v>
      </c>
      <c r="R294" s="3">
        <v>0</v>
      </c>
      <c r="S294" s="4">
        <v>0</v>
      </c>
      <c r="T294" s="4">
        <v>16</v>
      </c>
      <c r="U294" s="4">
        <v>56</v>
      </c>
      <c r="V294" s="4">
        <f>IF(ISERROR(VLOOKUP($S$294,'TAR FIN'!$A$1:$O$91,15,0)),0,VLOOKUP($S$294,'TAR FIN'!$A$1:$O$91,15,0))</f>
        <v>0</v>
      </c>
      <c r="W294" s="4">
        <f>IF(ISERROR(VLOOKUP($T$294,'TAR FIN'!$A$1:$O$91,15,0)),0,VLOOKUP($T$294,'TAR FIN'!$A$1:$O$91,15,0))</f>
        <v>907.08</v>
      </c>
      <c r="X294" s="4">
        <f>IF(ISERROR(VLOOKUP($U$294,'TAR FIN'!$A$1:$O$91,15,0)),0,VLOOKUP($U$294,'TAR FIN'!$A$1:$O$91,15,0))</f>
        <v>298.83999999999997</v>
      </c>
      <c r="Y294" s="4"/>
      <c r="Z294" s="4">
        <f ca="1">('TUSD BE'!$AM$20+'TUSD BF_350'!$AM$20+'TUSD CVA'!$AM$20)*1</f>
        <v>1081.4828785686461</v>
      </c>
      <c r="AA294" s="4">
        <f ca="1">('TE BE'!$AB$11+'TE BF_350'!$AB$11+'TE CVA'!$AB$11)*1</f>
        <v>311.4117891483653</v>
      </c>
      <c r="AB294" s="4">
        <f>$K$294*$V$294</f>
        <v>0</v>
      </c>
      <c r="AC294" s="4">
        <f>$M$294*$W$294</f>
        <v>63.49560000000001</v>
      </c>
      <c r="AD294" s="4">
        <f>$O$294*$X$294</f>
        <v>20.918800000000001</v>
      </c>
      <c r="AE294" s="4">
        <f>$K$294*$Y$294</f>
        <v>0</v>
      </c>
      <c r="AF294" s="4">
        <f ca="1">$M$294*$Z$294</f>
        <v>75.703801499805238</v>
      </c>
      <c r="AG294" s="4">
        <f ca="1">$O$294*$AA$294</f>
        <v>21.798825240385572</v>
      </c>
    </row>
    <row r="295" spans="1:33" ht="11.25" customHeight="1" x14ac:dyDescent="0.3">
      <c r="A295" s="3" t="s">
        <v>21</v>
      </c>
      <c r="B295" s="3" t="s">
        <v>22</v>
      </c>
      <c r="C295" s="3" t="s">
        <v>23</v>
      </c>
      <c r="D295" s="3" t="s">
        <v>24</v>
      </c>
      <c r="E295" s="3" t="s">
        <v>24</v>
      </c>
      <c r="F295" s="3" t="s">
        <v>25</v>
      </c>
      <c r="G295" s="3" t="s">
        <v>25</v>
      </c>
      <c r="H295" s="3" t="s">
        <v>25</v>
      </c>
      <c r="I295" s="6">
        <v>44378</v>
      </c>
      <c r="J295" s="4">
        <v>0</v>
      </c>
      <c r="K295" s="4">
        <v>0</v>
      </c>
      <c r="L295" s="4">
        <v>1503.675</v>
      </c>
      <c r="M295" s="4">
        <v>1503.675</v>
      </c>
      <c r="N295" s="4">
        <v>1503.675</v>
      </c>
      <c r="O295" s="4">
        <v>1503.675</v>
      </c>
      <c r="P295" s="4">
        <v>9100</v>
      </c>
      <c r="Q295" s="3" t="s">
        <v>26</v>
      </c>
      <c r="R295" s="3">
        <v>0</v>
      </c>
      <c r="S295" s="4">
        <v>0</v>
      </c>
      <c r="T295" s="4">
        <v>19</v>
      </c>
      <c r="U295" s="4">
        <v>59</v>
      </c>
      <c r="V295" s="4">
        <f>IF(ISERROR(VLOOKUP($S$295,'TAR FIN'!$A$1:$O$91,15,0)),0,VLOOKUP($S$295,'TAR FIN'!$A$1:$O$91,15,0))</f>
        <v>0</v>
      </c>
      <c r="W295" s="4">
        <f>IF(ISERROR(VLOOKUP($T$295,'TAR FIN'!$A$1:$O$91,15,0)),0,VLOOKUP($T$295,'TAR FIN'!$A$1:$O$91,15,0))</f>
        <v>406.52</v>
      </c>
      <c r="X295" s="4">
        <f>IF(ISERROR(VLOOKUP($U$295,'TAR FIN'!$A$1:$O$91,15,0)),0,VLOOKUP($U$295,'TAR FIN'!$A$1:$O$91,15,0))</f>
        <v>199.03</v>
      </c>
      <c r="Y295" s="4"/>
      <c r="Z295" s="4">
        <f ca="1">('TUSD BE'!$AM$23+'TUSD BF_350'!$AM$23+'TUSD CVA'!$AM$23)*1</f>
        <v>446.02270810064761</v>
      </c>
      <c r="AA295" s="4">
        <f ca="1">('TE BE'!$AB$14+'TE BF_350'!$AB$14+'TE CVA'!$AB$14)*1</f>
        <v>205.52329867469447</v>
      </c>
      <c r="AB295" s="4">
        <f>$K$295*$V$295</f>
        <v>0</v>
      </c>
      <c r="AC295" s="4">
        <f>$M$295*$W$295</f>
        <v>611273.96100000001</v>
      </c>
      <c r="AD295" s="4">
        <f>$O$295*$X$295</f>
        <v>299276.43524999998</v>
      </c>
      <c r="AE295" s="4">
        <f>$K$295*$Y$295</f>
        <v>0</v>
      </c>
      <c r="AF295" s="4">
        <f ca="1">$M$295*$Z$295</f>
        <v>670673.19560324121</v>
      </c>
      <c r="AG295" s="4">
        <f ca="1">$O$295*$AA$295</f>
        <v>309040.24613467121</v>
      </c>
    </row>
    <row r="296" spans="1:33" ht="11.25" customHeight="1" x14ac:dyDescent="0.3">
      <c r="A296" s="3" t="s">
        <v>27</v>
      </c>
      <c r="B296" s="3" t="s">
        <v>22</v>
      </c>
      <c r="C296" s="3" t="s">
        <v>23</v>
      </c>
      <c r="D296" s="3" t="s">
        <v>24</v>
      </c>
      <c r="E296" s="3" t="s">
        <v>24</v>
      </c>
      <c r="F296" s="3" t="s">
        <v>25</v>
      </c>
      <c r="G296" s="3" t="s">
        <v>25</v>
      </c>
      <c r="H296" s="3" t="s">
        <v>25</v>
      </c>
      <c r="I296" s="6">
        <v>44378</v>
      </c>
      <c r="J296" s="4">
        <v>0</v>
      </c>
      <c r="K296" s="4">
        <v>0</v>
      </c>
      <c r="L296" s="4">
        <v>-2.8140000000000001</v>
      </c>
      <c r="M296" s="4">
        <v>-2.8140000000000001</v>
      </c>
      <c r="N296" s="4">
        <v>-2.8140000000000001</v>
      </c>
      <c r="O296" s="4">
        <v>-2.8140000000000001</v>
      </c>
      <c r="P296" s="4">
        <v>0</v>
      </c>
      <c r="Q296" s="3" t="s">
        <v>26</v>
      </c>
      <c r="R296" s="3">
        <v>0</v>
      </c>
      <c r="S296" s="4">
        <v>0</v>
      </c>
      <c r="T296" s="4">
        <v>19</v>
      </c>
      <c r="U296" s="4">
        <v>59</v>
      </c>
      <c r="V296" s="4">
        <f>IF(ISERROR(VLOOKUP($S$296,'TAR FIN'!$A$1:$O$91,15,0)),0,VLOOKUP($S$296,'TAR FIN'!$A$1:$O$91,15,0))</f>
        <v>0</v>
      </c>
      <c r="W296" s="4">
        <f>IF(ISERROR(VLOOKUP($T$296,'TAR FIN'!$A$1:$O$91,15,0)),0,VLOOKUP($T$296,'TAR FIN'!$A$1:$O$91,15,0))</f>
        <v>406.52</v>
      </c>
      <c r="X296" s="4">
        <f>IF(ISERROR(VLOOKUP($U$296,'TAR FIN'!$A$1:$O$91,15,0)),0,VLOOKUP($U$296,'TAR FIN'!$A$1:$O$91,15,0))</f>
        <v>199.03</v>
      </c>
      <c r="Y296" s="4"/>
      <c r="Z296" s="4">
        <f ca="1">('TUSD BE'!$AM$23+'TUSD BF_350'!$AM$23+'TUSD CVA'!$AM$23)*1</f>
        <v>446.02270810064761</v>
      </c>
      <c r="AA296" s="4">
        <f ca="1">('TE BE'!$AB$14+'TE BF_350'!$AB$14+'TE CVA'!$AB$14)*1</f>
        <v>205.52329867469447</v>
      </c>
      <c r="AB296" s="4">
        <f>$K$296*$V$296</f>
        <v>0</v>
      </c>
      <c r="AC296" s="4">
        <f>$M$296*$W$296</f>
        <v>-1143.9472799999999</v>
      </c>
      <c r="AD296" s="4">
        <f>$O$296*$X$296</f>
        <v>-560.07042000000001</v>
      </c>
      <c r="AE296" s="4">
        <f>$K$296*$Y$296</f>
        <v>0</v>
      </c>
      <c r="AF296" s="4">
        <f ca="1">$M$296*$Z$296</f>
        <v>-1255.1079005952224</v>
      </c>
      <c r="AG296" s="4">
        <f ca="1">$O$296*$AA$296</f>
        <v>-578.34256247059022</v>
      </c>
    </row>
    <row r="297" spans="1:33" ht="11.25" customHeight="1" x14ac:dyDescent="0.3">
      <c r="A297" s="3" t="s">
        <v>28</v>
      </c>
      <c r="B297" s="3" t="s">
        <v>22</v>
      </c>
      <c r="C297" s="3" t="s">
        <v>23</v>
      </c>
      <c r="D297" s="3" t="s">
        <v>24</v>
      </c>
      <c r="E297" s="3" t="s">
        <v>24</v>
      </c>
      <c r="F297" s="3" t="s">
        <v>25</v>
      </c>
      <c r="G297" s="3" t="s">
        <v>25</v>
      </c>
      <c r="H297" s="3" t="s">
        <v>25</v>
      </c>
      <c r="I297" s="6">
        <v>44378</v>
      </c>
      <c r="J297" s="4">
        <v>0</v>
      </c>
      <c r="K297" s="4">
        <v>0</v>
      </c>
      <c r="L297" s="4">
        <v>38.305999999999997</v>
      </c>
      <c r="M297" s="4">
        <v>38.305999999999997</v>
      </c>
      <c r="N297" s="4">
        <v>38.305999999999997</v>
      </c>
      <c r="O297" s="4">
        <v>38.305999999999997</v>
      </c>
      <c r="P297" s="4">
        <v>150</v>
      </c>
      <c r="Q297" s="3" t="s">
        <v>26</v>
      </c>
      <c r="R297" s="3">
        <v>0</v>
      </c>
      <c r="S297" s="4">
        <v>0</v>
      </c>
      <c r="T297" s="4">
        <v>19</v>
      </c>
      <c r="U297" s="4">
        <v>59</v>
      </c>
      <c r="V297" s="4">
        <f>IF(ISERROR(VLOOKUP($S$297,'TAR FIN'!$A$1:$O$91,15,0)),0,VLOOKUP($S$297,'TAR FIN'!$A$1:$O$91,15,0))</f>
        <v>0</v>
      </c>
      <c r="W297" s="4">
        <f>IF(ISERROR(VLOOKUP($T$297,'TAR FIN'!$A$1:$O$91,15,0)),0,VLOOKUP($T$297,'TAR FIN'!$A$1:$O$91,15,0))</f>
        <v>406.52</v>
      </c>
      <c r="X297" s="4">
        <f>IF(ISERROR(VLOOKUP($U$297,'TAR FIN'!$A$1:$O$91,15,0)),0,VLOOKUP($U$297,'TAR FIN'!$A$1:$O$91,15,0))</f>
        <v>199.03</v>
      </c>
      <c r="Y297" s="4"/>
      <c r="Z297" s="4">
        <f ca="1">('TUSD BE'!$AM$23+'TUSD BF_350'!$AM$23+'TUSD CVA'!$AM$23)*1</f>
        <v>446.02270810064761</v>
      </c>
      <c r="AA297" s="4">
        <f ca="1">('TE BE'!$AB$14+'TE BF_350'!$AB$14+'TE CVA'!$AB$14)*1</f>
        <v>205.52329867469447</v>
      </c>
      <c r="AB297" s="4">
        <f>$K$297*$V$297</f>
        <v>0</v>
      </c>
      <c r="AC297" s="4">
        <f>$M$297*$W$297</f>
        <v>15572.155119999998</v>
      </c>
      <c r="AD297" s="4">
        <f>$O$297*$X$297</f>
        <v>7624.0431799999997</v>
      </c>
      <c r="AE297" s="4">
        <f>$K$297*$Y$297</f>
        <v>0</v>
      </c>
      <c r="AF297" s="4">
        <f ca="1">$M$297*$Z$297</f>
        <v>17085.345856503405</v>
      </c>
      <c r="AG297" s="4">
        <f ca="1">$O$297*$AA$297</f>
        <v>7872.7754790328463</v>
      </c>
    </row>
    <row r="298" spans="1:33" ht="11.25" customHeight="1" x14ac:dyDescent="0.3">
      <c r="A298" s="3" t="s">
        <v>21</v>
      </c>
      <c r="B298" s="3" t="s">
        <v>22</v>
      </c>
      <c r="C298" s="3" t="s">
        <v>23</v>
      </c>
      <c r="D298" s="3" t="s">
        <v>24</v>
      </c>
      <c r="E298" s="3" t="s">
        <v>24</v>
      </c>
      <c r="F298" s="3" t="s">
        <v>25</v>
      </c>
      <c r="G298" s="3" t="s">
        <v>25</v>
      </c>
      <c r="H298" s="3" t="s">
        <v>25</v>
      </c>
      <c r="I298" s="6">
        <v>44409</v>
      </c>
      <c r="J298" s="4">
        <v>0</v>
      </c>
      <c r="K298" s="4">
        <v>0</v>
      </c>
      <c r="L298" s="4">
        <v>1619.2529999999999</v>
      </c>
      <c r="M298" s="4">
        <v>1619.2529999999999</v>
      </c>
      <c r="N298" s="4">
        <v>1619.2529999999999</v>
      </c>
      <c r="O298" s="4">
        <v>1619.2529999999999</v>
      </c>
      <c r="P298" s="4">
        <v>9125</v>
      </c>
      <c r="Q298" s="3" t="s">
        <v>26</v>
      </c>
      <c r="R298" s="3">
        <v>0</v>
      </c>
      <c r="S298" s="4">
        <v>0</v>
      </c>
      <c r="T298" s="4">
        <v>19</v>
      </c>
      <c r="U298" s="4">
        <v>59</v>
      </c>
      <c r="V298" s="4">
        <f>IF(ISERROR(VLOOKUP($S$298,'TAR FIN'!$A$1:$O$91,15,0)),0,VLOOKUP($S$298,'TAR FIN'!$A$1:$O$91,15,0))</f>
        <v>0</v>
      </c>
      <c r="W298" s="4">
        <f>IF(ISERROR(VLOOKUP($T$298,'TAR FIN'!$A$1:$O$91,15,0)),0,VLOOKUP($T$298,'TAR FIN'!$A$1:$O$91,15,0))</f>
        <v>406.52</v>
      </c>
      <c r="X298" s="4">
        <f>IF(ISERROR(VLOOKUP($U$298,'TAR FIN'!$A$1:$O$91,15,0)),0,VLOOKUP($U$298,'TAR FIN'!$A$1:$O$91,15,0))</f>
        <v>199.03</v>
      </c>
      <c r="Y298" s="4"/>
      <c r="Z298" s="4">
        <f ca="1">('TUSD BE'!$AM$23+'TUSD BF_350'!$AM$23+'TUSD CVA'!$AM$23)*1</f>
        <v>446.02270810064761</v>
      </c>
      <c r="AA298" s="4">
        <f ca="1">('TE BE'!$AB$14+'TE BF_350'!$AB$14+'TE CVA'!$AB$14)*1</f>
        <v>205.52329867469447</v>
      </c>
      <c r="AB298" s="4">
        <f>$K$298*$V$298</f>
        <v>0</v>
      </c>
      <c r="AC298" s="4">
        <f>$M$298*$W$298</f>
        <v>658258.72955999989</v>
      </c>
      <c r="AD298" s="4">
        <f>$O$298*$X$298</f>
        <v>322279.92459000001</v>
      </c>
      <c r="AE298" s="4">
        <f>$K$298*$Y$298</f>
        <v>0</v>
      </c>
      <c r="AF298" s="4">
        <f ca="1">$M$298*$Z$298</f>
        <v>722223.60816009785</v>
      </c>
      <c r="AG298" s="4">
        <f ca="1">$O$298*$AA$298</f>
        <v>332794.21794889506</v>
      </c>
    </row>
    <row r="299" spans="1:33" ht="11.25" customHeight="1" x14ac:dyDescent="0.3">
      <c r="A299" s="3" t="s">
        <v>27</v>
      </c>
      <c r="B299" s="3" t="s">
        <v>22</v>
      </c>
      <c r="C299" s="3" t="s">
        <v>23</v>
      </c>
      <c r="D299" s="3" t="s">
        <v>24</v>
      </c>
      <c r="E299" s="3" t="s">
        <v>24</v>
      </c>
      <c r="F299" s="3" t="s">
        <v>25</v>
      </c>
      <c r="G299" s="3" t="s">
        <v>25</v>
      </c>
      <c r="H299" s="3" t="s">
        <v>25</v>
      </c>
      <c r="I299" s="6">
        <v>44409</v>
      </c>
      <c r="J299" s="4">
        <v>0</v>
      </c>
      <c r="K299" s="4">
        <v>0</v>
      </c>
      <c r="L299" s="4">
        <v>-8.343</v>
      </c>
      <c r="M299" s="4">
        <v>-8.343</v>
      </c>
      <c r="N299" s="4">
        <v>-8.343</v>
      </c>
      <c r="O299" s="4">
        <v>-8.343</v>
      </c>
      <c r="P299" s="4">
        <v>0</v>
      </c>
      <c r="Q299" s="3" t="s">
        <v>26</v>
      </c>
      <c r="R299" s="3">
        <v>0</v>
      </c>
      <c r="S299" s="4">
        <v>0</v>
      </c>
      <c r="T299" s="4">
        <v>19</v>
      </c>
      <c r="U299" s="4">
        <v>59</v>
      </c>
      <c r="V299" s="4">
        <f>IF(ISERROR(VLOOKUP($S$299,'TAR FIN'!$A$1:$O$91,15,0)),0,VLOOKUP($S$299,'TAR FIN'!$A$1:$O$91,15,0))</f>
        <v>0</v>
      </c>
      <c r="W299" s="4">
        <f>IF(ISERROR(VLOOKUP($T$299,'TAR FIN'!$A$1:$O$91,15,0)),0,VLOOKUP($T$299,'TAR FIN'!$A$1:$O$91,15,0))</f>
        <v>406.52</v>
      </c>
      <c r="X299" s="4">
        <f>IF(ISERROR(VLOOKUP($U$299,'TAR FIN'!$A$1:$O$91,15,0)),0,VLOOKUP($U$299,'TAR FIN'!$A$1:$O$91,15,0))</f>
        <v>199.03</v>
      </c>
      <c r="Y299" s="4"/>
      <c r="Z299" s="4">
        <f ca="1">('TUSD BE'!$AM$23+'TUSD BF_350'!$AM$23+'TUSD CVA'!$AM$23)*1</f>
        <v>446.02270810064761</v>
      </c>
      <c r="AA299" s="4">
        <f ca="1">('TE BE'!$AB$14+'TE BF_350'!$AB$14+'TE CVA'!$AB$14)*1</f>
        <v>205.52329867469447</v>
      </c>
      <c r="AB299" s="4">
        <f>$K$299*$V$299</f>
        <v>0</v>
      </c>
      <c r="AC299" s="4">
        <f>$M$299*$W$299</f>
        <v>-3391.59636</v>
      </c>
      <c r="AD299" s="4">
        <f>$O$299*$X$299</f>
        <v>-1660.50729</v>
      </c>
      <c r="AE299" s="4">
        <f>$K$299*$Y$299</f>
        <v>0</v>
      </c>
      <c r="AF299" s="4">
        <f ca="1">$M$299*$Z$299</f>
        <v>-3721.1674536837031</v>
      </c>
      <c r="AG299" s="4">
        <f ca="1">$O$299*$AA$299</f>
        <v>-1714.680880842976</v>
      </c>
    </row>
    <row r="300" spans="1:33" ht="11.25" customHeight="1" x14ac:dyDescent="0.3">
      <c r="A300" s="3" t="s">
        <v>28</v>
      </c>
      <c r="B300" s="3" t="s">
        <v>22</v>
      </c>
      <c r="C300" s="3" t="s">
        <v>23</v>
      </c>
      <c r="D300" s="3" t="s">
        <v>24</v>
      </c>
      <c r="E300" s="3" t="s">
        <v>24</v>
      </c>
      <c r="F300" s="3" t="s">
        <v>25</v>
      </c>
      <c r="G300" s="3" t="s">
        <v>25</v>
      </c>
      <c r="H300" s="3" t="s">
        <v>25</v>
      </c>
      <c r="I300" s="6">
        <v>44409</v>
      </c>
      <c r="J300" s="4">
        <v>0</v>
      </c>
      <c r="K300" s="4">
        <v>0</v>
      </c>
      <c r="L300" s="4">
        <v>23.1</v>
      </c>
      <c r="M300" s="4">
        <v>23.1</v>
      </c>
      <c r="N300" s="4">
        <v>23.1</v>
      </c>
      <c r="O300" s="4">
        <v>23.1</v>
      </c>
      <c r="P300" s="4">
        <v>154</v>
      </c>
      <c r="Q300" s="3" t="s">
        <v>26</v>
      </c>
      <c r="R300" s="3">
        <v>0</v>
      </c>
      <c r="S300" s="4">
        <v>0</v>
      </c>
      <c r="T300" s="4">
        <v>19</v>
      </c>
      <c r="U300" s="4">
        <v>59</v>
      </c>
      <c r="V300" s="4">
        <f>IF(ISERROR(VLOOKUP($S$300,'TAR FIN'!$A$1:$O$91,15,0)),0,VLOOKUP($S$300,'TAR FIN'!$A$1:$O$91,15,0))</f>
        <v>0</v>
      </c>
      <c r="W300" s="4">
        <f>IF(ISERROR(VLOOKUP($T$300,'TAR FIN'!$A$1:$O$91,15,0)),0,VLOOKUP($T$300,'TAR FIN'!$A$1:$O$91,15,0))</f>
        <v>406.52</v>
      </c>
      <c r="X300" s="4">
        <f>IF(ISERROR(VLOOKUP($U$300,'TAR FIN'!$A$1:$O$91,15,0)),0,VLOOKUP($U$300,'TAR FIN'!$A$1:$O$91,15,0))</f>
        <v>199.03</v>
      </c>
      <c r="Y300" s="4"/>
      <c r="Z300" s="4">
        <f ca="1">('TUSD BE'!$AM$23+'TUSD BF_350'!$AM$23+'TUSD CVA'!$AM$23)*1</f>
        <v>446.02270810064761</v>
      </c>
      <c r="AA300" s="4">
        <f ca="1">('TE BE'!$AB$14+'TE BF_350'!$AB$14+'TE CVA'!$AB$14)*1</f>
        <v>205.52329867469447</v>
      </c>
      <c r="AB300" s="4">
        <f>$K$300*$V$300</f>
        <v>0</v>
      </c>
      <c r="AC300" s="4">
        <f>$M$300*$W$300</f>
        <v>9390.612000000001</v>
      </c>
      <c r="AD300" s="4">
        <f>$O$300*$X$300</f>
        <v>4597.5930000000008</v>
      </c>
      <c r="AE300" s="4">
        <f>$K$300*$Y$300</f>
        <v>0</v>
      </c>
      <c r="AF300" s="4">
        <f ca="1">$M$300*$Z$300</f>
        <v>10303.12455712496</v>
      </c>
      <c r="AG300" s="4">
        <f ca="1">$O$300*$AA$300</f>
        <v>4747.5881993854427</v>
      </c>
    </row>
    <row r="301" spans="1:33" ht="11.25" customHeight="1" x14ac:dyDescent="0.3">
      <c r="A301" s="3" t="s">
        <v>28</v>
      </c>
      <c r="B301" s="3" t="s">
        <v>22</v>
      </c>
      <c r="C301" s="3" t="s">
        <v>23</v>
      </c>
      <c r="D301" s="3" t="s">
        <v>24</v>
      </c>
      <c r="E301" s="3" t="s">
        <v>24</v>
      </c>
      <c r="F301" s="3" t="s">
        <v>25</v>
      </c>
      <c r="G301" s="3" t="s">
        <v>25</v>
      </c>
      <c r="H301" s="3" t="s">
        <v>25</v>
      </c>
      <c r="I301" s="6">
        <v>44409</v>
      </c>
      <c r="J301" s="4">
        <v>0</v>
      </c>
      <c r="K301" s="4">
        <v>0</v>
      </c>
      <c r="L301" s="4">
        <v>-7.8010000000000002</v>
      </c>
      <c r="M301" s="4">
        <v>-7.8010000000000002</v>
      </c>
      <c r="N301" s="4">
        <v>-7.8010000000000002</v>
      </c>
      <c r="O301" s="4">
        <v>-7.8010000000000002</v>
      </c>
      <c r="P301" s="4">
        <v>1</v>
      </c>
      <c r="Q301" s="3" t="s">
        <v>26</v>
      </c>
      <c r="R301" s="3">
        <v>0</v>
      </c>
      <c r="S301" s="4">
        <v>0</v>
      </c>
      <c r="T301" s="4">
        <v>19</v>
      </c>
      <c r="U301" s="4">
        <v>59</v>
      </c>
      <c r="V301" s="4">
        <f>IF(ISERROR(VLOOKUP($S$301,'TAR FIN'!$A$1:$O$91,15,0)),0,VLOOKUP($S$301,'TAR FIN'!$A$1:$O$91,15,0))</f>
        <v>0</v>
      </c>
      <c r="W301" s="4">
        <f>IF(ISERROR(VLOOKUP($T$301,'TAR FIN'!$A$1:$O$91,15,0)),0,VLOOKUP($T$301,'TAR FIN'!$A$1:$O$91,15,0))</f>
        <v>406.52</v>
      </c>
      <c r="X301" s="4">
        <f>IF(ISERROR(VLOOKUP($U$301,'TAR FIN'!$A$1:$O$91,15,0)),0,VLOOKUP($U$301,'TAR FIN'!$A$1:$O$91,15,0))</f>
        <v>199.03</v>
      </c>
      <c r="Y301" s="4"/>
      <c r="Z301" s="4">
        <f ca="1">('TUSD BE'!$AM$23+'TUSD BF_350'!$AM$23+'TUSD CVA'!$AM$23)*1</f>
        <v>446.02270810064761</v>
      </c>
      <c r="AA301" s="4">
        <f ca="1">('TE BE'!$AB$14+'TE BF_350'!$AB$14+'TE CVA'!$AB$14)*1</f>
        <v>205.52329867469447</v>
      </c>
      <c r="AB301" s="4">
        <f>$K$301*$V$301</f>
        <v>0</v>
      </c>
      <c r="AC301" s="4">
        <f>$M$301*$W$301</f>
        <v>-3171.2625199999998</v>
      </c>
      <c r="AD301" s="4">
        <f>$O$301*$X$301</f>
        <v>-1552.63303</v>
      </c>
      <c r="AE301" s="4">
        <f>$K$301*$Y$301</f>
        <v>0</v>
      </c>
      <c r="AF301" s="4">
        <f ca="1">$M$301*$Z$301</f>
        <v>-3479.4231458931522</v>
      </c>
      <c r="AG301" s="4">
        <f ca="1">$O$301*$AA$301</f>
        <v>-1603.2872529612916</v>
      </c>
    </row>
    <row r="302" spans="1:33" ht="11.25" customHeight="1" x14ac:dyDescent="0.3">
      <c r="A302" s="3" t="s">
        <v>21</v>
      </c>
      <c r="B302" s="3" t="s">
        <v>22</v>
      </c>
      <c r="C302" s="3" t="s">
        <v>23</v>
      </c>
      <c r="D302" s="3" t="s">
        <v>24</v>
      </c>
      <c r="E302" s="3" t="s">
        <v>24</v>
      </c>
      <c r="F302" s="3" t="s">
        <v>25</v>
      </c>
      <c r="G302" s="3" t="s">
        <v>25</v>
      </c>
      <c r="H302" s="3" t="s">
        <v>25</v>
      </c>
      <c r="I302" s="6">
        <v>44440</v>
      </c>
      <c r="J302" s="4">
        <v>0</v>
      </c>
      <c r="K302" s="4">
        <v>0</v>
      </c>
      <c r="L302" s="4">
        <v>1433.952</v>
      </c>
      <c r="M302" s="4">
        <v>1433.952</v>
      </c>
      <c r="N302" s="4">
        <v>1433.952</v>
      </c>
      <c r="O302" s="4">
        <v>1433.952</v>
      </c>
      <c r="P302" s="4">
        <v>9152</v>
      </c>
      <c r="Q302" s="3" t="s">
        <v>26</v>
      </c>
      <c r="R302" s="3">
        <v>0</v>
      </c>
      <c r="S302" s="4">
        <v>0</v>
      </c>
      <c r="T302" s="4">
        <v>19</v>
      </c>
      <c r="U302" s="4">
        <v>59</v>
      </c>
      <c r="V302" s="4">
        <f>IF(ISERROR(VLOOKUP($S$302,'TAR FIN'!$A$1:$O$91,15,0)),0,VLOOKUP($S$302,'TAR FIN'!$A$1:$O$91,15,0))</f>
        <v>0</v>
      </c>
      <c r="W302" s="4">
        <f>IF(ISERROR(VLOOKUP($T$302,'TAR FIN'!$A$1:$O$91,15,0)),0,VLOOKUP($T$302,'TAR FIN'!$A$1:$O$91,15,0))</f>
        <v>406.52</v>
      </c>
      <c r="X302" s="4">
        <f>IF(ISERROR(VLOOKUP($U$302,'TAR FIN'!$A$1:$O$91,15,0)),0,VLOOKUP($U$302,'TAR FIN'!$A$1:$O$91,15,0))</f>
        <v>199.03</v>
      </c>
      <c r="Y302" s="4"/>
      <c r="Z302" s="4">
        <f ca="1">('TUSD BE'!$AM$23+'TUSD BF_350'!$AM$23+'TUSD CVA'!$AM$23)*1</f>
        <v>446.02270810064761</v>
      </c>
      <c r="AA302" s="4">
        <f ca="1">('TE BE'!$AB$14+'TE BF_350'!$AB$14+'TE CVA'!$AB$14)*1</f>
        <v>205.52329867469447</v>
      </c>
      <c r="AB302" s="4">
        <f>$K$302*$V$302</f>
        <v>0</v>
      </c>
      <c r="AC302" s="4">
        <f>$M$302*$W$302</f>
        <v>582930.16703999997</v>
      </c>
      <c r="AD302" s="4">
        <f>$O$302*$X$302</f>
        <v>285399.46656000003</v>
      </c>
      <c r="AE302" s="4">
        <f>$K$302*$Y$302</f>
        <v>0</v>
      </c>
      <c r="AF302" s="4">
        <f ca="1">$M$302*$Z$302</f>
        <v>639575.15432633983</v>
      </c>
      <c r="AG302" s="4">
        <f ca="1">$O$302*$AA$302</f>
        <v>294710.54518117546</v>
      </c>
    </row>
    <row r="303" spans="1:33" ht="11.25" customHeight="1" x14ac:dyDescent="0.3">
      <c r="A303" s="3" t="s">
        <v>27</v>
      </c>
      <c r="B303" s="3" t="s">
        <v>22</v>
      </c>
      <c r="C303" s="3" t="s">
        <v>23</v>
      </c>
      <c r="D303" s="3" t="s">
        <v>24</v>
      </c>
      <c r="E303" s="3" t="s">
        <v>24</v>
      </c>
      <c r="F303" s="3" t="s">
        <v>25</v>
      </c>
      <c r="G303" s="3" t="s">
        <v>25</v>
      </c>
      <c r="H303" s="3" t="s">
        <v>25</v>
      </c>
      <c r="I303" s="6">
        <v>44440</v>
      </c>
      <c r="J303" s="4">
        <v>0</v>
      </c>
      <c r="K303" s="4">
        <v>0</v>
      </c>
      <c r="L303" s="4">
        <v>0.79500000000000004</v>
      </c>
      <c r="M303" s="4">
        <v>0.79500000000000004</v>
      </c>
      <c r="N303" s="4">
        <v>0.79500000000000004</v>
      </c>
      <c r="O303" s="4">
        <v>0.79500000000000004</v>
      </c>
      <c r="P303" s="4">
        <v>0</v>
      </c>
      <c r="Q303" s="3" t="s">
        <v>26</v>
      </c>
      <c r="R303" s="3">
        <v>0</v>
      </c>
      <c r="S303" s="4">
        <v>0</v>
      </c>
      <c r="T303" s="4">
        <v>19</v>
      </c>
      <c r="U303" s="4">
        <v>59</v>
      </c>
      <c r="V303" s="4">
        <f>IF(ISERROR(VLOOKUP($S$303,'TAR FIN'!$A$1:$O$91,15,0)),0,VLOOKUP($S$303,'TAR FIN'!$A$1:$O$91,15,0))</f>
        <v>0</v>
      </c>
      <c r="W303" s="4">
        <f>IF(ISERROR(VLOOKUP($T$303,'TAR FIN'!$A$1:$O$91,15,0)),0,VLOOKUP($T$303,'TAR FIN'!$A$1:$O$91,15,0))</f>
        <v>406.52</v>
      </c>
      <c r="X303" s="4">
        <f>IF(ISERROR(VLOOKUP($U$303,'TAR FIN'!$A$1:$O$91,15,0)),0,VLOOKUP($U$303,'TAR FIN'!$A$1:$O$91,15,0))</f>
        <v>199.03</v>
      </c>
      <c r="Y303" s="4"/>
      <c r="Z303" s="4">
        <f ca="1">('TUSD BE'!$AM$23+'TUSD BF_350'!$AM$23+'TUSD CVA'!$AM$23)*1</f>
        <v>446.02270810064761</v>
      </c>
      <c r="AA303" s="4">
        <f ca="1">('TE BE'!$AB$14+'TE BF_350'!$AB$14+'TE CVA'!$AB$14)*1</f>
        <v>205.52329867469447</v>
      </c>
      <c r="AB303" s="4">
        <f>$K$303*$V$303</f>
        <v>0</v>
      </c>
      <c r="AC303" s="4">
        <f>$M$303*$W$303</f>
        <v>323.18340000000001</v>
      </c>
      <c r="AD303" s="4">
        <f>$O$303*$X$303</f>
        <v>158.22885000000002</v>
      </c>
      <c r="AE303" s="4">
        <f>$K$303*$Y$303</f>
        <v>0</v>
      </c>
      <c r="AF303" s="4">
        <f ca="1">$M$303*$Z$303</f>
        <v>354.58805294001485</v>
      </c>
      <c r="AG303" s="4">
        <f ca="1">$O$303*$AA$303</f>
        <v>163.39102244638212</v>
      </c>
    </row>
    <row r="304" spans="1:33" ht="11.25" customHeight="1" x14ac:dyDescent="0.3">
      <c r="A304" s="3" t="s">
        <v>28</v>
      </c>
      <c r="B304" s="3" t="s">
        <v>22</v>
      </c>
      <c r="C304" s="3" t="s">
        <v>23</v>
      </c>
      <c r="D304" s="3" t="s">
        <v>24</v>
      </c>
      <c r="E304" s="3" t="s">
        <v>24</v>
      </c>
      <c r="F304" s="3" t="s">
        <v>25</v>
      </c>
      <c r="G304" s="3" t="s">
        <v>25</v>
      </c>
      <c r="H304" s="3" t="s">
        <v>25</v>
      </c>
      <c r="I304" s="6">
        <v>44440</v>
      </c>
      <c r="J304" s="4">
        <v>0</v>
      </c>
      <c r="K304" s="4">
        <v>0</v>
      </c>
      <c r="L304" s="4">
        <v>21.585000000000001</v>
      </c>
      <c r="M304" s="4">
        <v>21.585000000000001</v>
      </c>
      <c r="N304" s="4">
        <v>21.585000000000001</v>
      </c>
      <c r="O304" s="4">
        <v>21.585000000000001</v>
      </c>
      <c r="P304" s="4">
        <v>157</v>
      </c>
      <c r="Q304" s="3" t="s">
        <v>26</v>
      </c>
      <c r="R304" s="3">
        <v>0</v>
      </c>
      <c r="S304" s="4">
        <v>0</v>
      </c>
      <c r="T304" s="4">
        <v>19</v>
      </c>
      <c r="U304" s="4">
        <v>59</v>
      </c>
      <c r="V304" s="4">
        <f>IF(ISERROR(VLOOKUP($S$304,'TAR FIN'!$A$1:$O$91,15,0)),0,VLOOKUP($S$304,'TAR FIN'!$A$1:$O$91,15,0))</f>
        <v>0</v>
      </c>
      <c r="W304" s="4">
        <f>IF(ISERROR(VLOOKUP($T$304,'TAR FIN'!$A$1:$O$91,15,0)),0,VLOOKUP($T$304,'TAR FIN'!$A$1:$O$91,15,0))</f>
        <v>406.52</v>
      </c>
      <c r="X304" s="4">
        <f>IF(ISERROR(VLOOKUP($U$304,'TAR FIN'!$A$1:$O$91,15,0)),0,VLOOKUP($U$304,'TAR FIN'!$A$1:$O$91,15,0))</f>
        <v>199.03</v>
      </c>
      <c r="Y304" s="4"/>
      <c r="Z304" s="4">
        <f ca="1">('TUSD BE'!$AM$23+'TUSD BF_350'!$AM$23+'TUSD CVA'!$AM$23)*1</f>
        <v>446.02270810064761</v>
      </c>
      <c r="AA304" s="4">
        <f ca="1">('TE BE'!$AB$14+'TE BF_350'!$AB$14+'TE CVA'!$AB$14)*1</f>
        <v>205.52329867469447</v>
      </c>
      <c r="AB304" s="4">
        <f>$K$304*$V$304</f>
        <v>0</v>
      </c>
      <c r="AC304" s="4">
        <f>$M$304*$W$304</f>
        <v>8774.7342000000008</v>
      </c>
      <c r="AD304" s="4">
        <f>$O$304*$X$304</f>
        <v>4296.0625500000006</v>
      </c>
      <c r="AE304" s="4">
        <f>$K$304*$Y$304</f>
        <v>0</v>
      </c>
      <c r="AF304" s="4">
        <f ca="1">$M$304*$Z$304</f>
        <v>9627.4001543524791</v>
      </c>
      <c r="AG304" s="4">
        <f ca="1">$O$304*$AA$304</f>
        <v>4436.2204018932807</v>
      </c>
    </row>
    <row r="305" spans="1:33" ht="11.25" customHeight="1" x14ac:dyDescent="0.3">
      <c r="A305" s="3" t="s">
        <v>21</v>
      </c>
      <c r="B305" s="3" t="s">
        <v>22</v>
      </c>
      <c r="C305" s="3" t="s">
        <v>23</v>
      </c>
      <c r="D305" s="3" t="s">
        <v>24</v>
      </c>
      <c r="E305" s="3" t="s">
        <v>24</v>
      </c>
      <c r="F305" s="3" t="s">
        <v>25</v>
      </c>
      <c r="G305" s="3" t="s">
        <v>25</v>
      </c>
      <c r="H305" s="3" t="s">
        <v>25</v>
      </c>
      <c r="I305" s="6">
        <v>44470</v>
      </c>
      <c r="J305" s="4">
        <v>0</v>
      </c>
      <c r="K305" s="4">
        <v>0</v>
      </c>
      <c r="L305" s="4">
        <v>1494.028</v>
      </c>
      <c r="M305" s="4">
        <v>1494.028</v>
      </c>
      <c r="N305" s="4">
        <v>1494.028</v>
      </c>
      <c r="O305" s="4">
        <v>1494.028</v>
      </c>
      <c r="P305" s="4">
        <v>9140</v>
      </c>
      <c r="Q305" s="3" t="s">
        <v>26</v>
      </c>
      <c r="R305" s="3">
        <v>0</v>
      </c>
      <c r="S305" s="4">
        <v>0</v>
      </c>
      <c r="T305" s="4">
        <v>19</v>
      </c>
      <c r="U305" s="4">
        <v>59</v>
      </c>
      <c r="V305" s="4">
        <f>IF(ISERROR(VLOOKUP($S$305,'TAR FIN'!$A$1:$O$91,15,0)),0,VLOOKUP($S$305,'TAR FIN'!$A$1:$O$91,15,0))</f>
        <v>0</v>
      </c>
      <c r="W305" s="4">
        <f>IF(ISERROR(VLOOKUP($T$305,'TAR FIN'!$A$1:$O$91,15,0)),0,VLOOKUP($T$305,'TAR FIN'!$A$1:$O$91,15,0))</f>
        <v>406.52</v>
      </c>
      <c r="X305" s="4">
        <f>IF(ISERROR(VLOOKUP($U$305,'TAR FIN'!$A$1:$O$91,15,0)),0,VLOOKUP($U$305,'TAR FIN'!$A$1:$O$91,15,0))</f>
        <v>199.03</v>
      </c>
      <c r="Y305" s="4"/>
      <c r="Z305" s="4">
        <f ca="1">('TUSD BE'!$AM$23+'TUSD BF_350'!$AM$23+'TUSD CVA'!$AM$23)*1</f>
        <v>446.02270810064761</v>
      </c>
      <c r="AA305" s="4">
        <f ca="1">('TE BE'!$AB$14+'TE BF_350'!$AB$14+'TE CVA'!$AB$14)*1</f>
        <v>205.52329867469447</v>
      </c>
      <c r="AB305" s="4">
        <f>$K$305*$V$305</f>
        <v>0</v>
      </c>
      <c r="AC305" s="4">
        <f>$M$305*$W$305</f>
        <v>607352.26255999994</v>
      </c>
      <c r="AD305" s="4">
        <f>$O$305*$X$305</f>
        <v>297356.39283999999</v>
      </c>
      <c r="AE305" s="4">
        <f>$K$305*$Y$305</f>
        <v>0</v>
      </c>
      <c r="AF305" s="4">
        <f ca="1">$M$305*$Z$305</f>
        <v>666370.41453819431</v>
      </c>
      <c r="AG305" s="4">
        <f ca="1">$O$305*$AA$305</f>
        <v>307057.56287235644</v>
      </c>
    </row>
    <row r="306" spans="1:33" ht="11.25" customHeight="1" x14ac:dyDescent="0.3">
      <c r="A306" s="3" t="s">
        <v>27</v>
      </c>
      <c r="B306" s="3" t="s">
        <v>22</v>
      </c>
      <c r="C306" s="3" t="s">
        <v>23</v>
      </c>
      <c r="D306" s="3" t="s">
        <v>24</v>
      </c>
      <c r="E306" s="3" t="s">
        <v>24</v>
      </c>
      <c r="F306" s="3" t="s">
        <v>25</v>
      </c>
      <c r="G306" s="3" t="s">
        <v>25</v>
      </c>
      <c r="H306" s="3" t="s">
        <v>25</v>
      </c>
      <c r="I306" s="6">
        <v>44470</v>
      </c>
      <c r="J306" s="4">
        <v>0</v>
      </c>
      <c r="K306" s="4">
        <v>0</v>
      </c>
      <c r="L306" s="4">
        <v>-1.1319999999999999</v>
      </c>
      <c r="M306" s="4">
        <v>-1.1319999999999999</v>
      </c>
      <c r="N306" s="4">
        <v>-1.1319999999999999</v>
      </c>
      <c r="O306" s="4">
        <v>-1.1319999999999999</v>
      </c>
      <c r="P306" s="4">
        <v>0</v>
      </c>
      <c r="Q306" s="3" t="s">
        <v>26</v>
      </c>
      <c r="R306" s="3">
        <v>0</v>
      </c>
      <c r="S306" s="4">
        <v>0</v>
      </c>
      <c r="T306" s="4">
        <v>19</v>
      </c>
      <c r="U306" s="4">
        <v>59</v>
      </c>
      <c r="V306" s="4">
        <f>IF(ISERROR(VLOOKUP($S$306,'TAR FIN'!$A$1:$O$91,15,0)),0,VLOOKUP($S$306,'TAR FIN'!$A$1:$O$91,15,0))</f>
        <v>0</v>
      </c>
      <c r="W306" s="4">
        <f>IF(ISERROR(VLOOKUP($T$306,'TAR FIN'!$A$1:$O$91,15,0)),0,VLOOKUP($T$306,'TAR FIN'!$A$1:$O$91,15,0))</f>
        <v>406.52</v>
      </c>
      <c r="X306" s="4">
        <f>IF(ISERROR(VLOOKUP($U$306,'TAR FIN'!$A$1:$O$91,15,0)),0,VLOOKUP($U$306,'TAR FIN'!$A$1:$O$91,15,0))</f>
        <v>199.03</v>
      </c>
      <c r="Y306" s="4"/>
      <c r="Z306" s="4">
        <f ca="1">('TUSD BE'!$AM$23+'TUSD BF_350'!$AM$23+'TUSD CVA'!$AM$23)*1</f>
        <v>446.02270810064761</v>
      </c>
      <c r="AA306" s="4">
        <f ca="1">('TE BE'!$AB$14+'TE BF_350'!$AB$14+'TE CVA'!$AB$14)*1</f>
        <v>205.52329867469447</v>
      </c>
      <c r="AB306" s="4">
        <f>$K$306*$V$306</f>
        <v>0</v>
      </c>
      <c r="AC306" s="4">
        <f>$M$306*$W$306</f>
        <v>-460.18063999999993</v>
      </c>
      <c r="AD306" s="4">
        <f>$O$306*$X$306</f>
        <v>-225.30195999999998</v>
      </c>
      <c r="AE306" s="4">
        <f>$K$306*$Y$306</f>
        <v>0</v>
      </c>
      <c r="AF306" s="4">
        <f ca="1">$M$306*$Z$306</f>
        <v>-504.89770556993307</v>
      </c>
      <c r="AG306" s="4">
        <f ca="1">$O$306*$AA$306</f>
        <v>-232.65237409975413</v>
      </c>
    </row>
    <row r="307" spans="1:33" ht="11.25" customHeight="1" x14ac:dyDescent="0.3">
      <c r="A307" s="3" t="s">
        <v>28</v>
      </c>
      <c r="B307" s="3" t="s">
        <v>22</v>
      </c>
      <c r="C307" s="3" t="s">
        <v>23</v>
      </c>
      <c r="D307" s="3" t="s">
        <v>24</v>
      </c>
      <c r="E307" s="3" t="s">
        <v>24</v>
      </c>
      <c r="F307" s="3" t="s">
        <v>25</v>
      </c>
      <c r="G307" s="3" t="s">
        <v>25</v>
      </c>
      <c r="H307" s="3" t="s">
        <v>25</v>
      </c>
      <c r="I307" s="6">
        <v>44470</v>
      </c>
      <c r="J307" s="4">
        <v>0</v>
      </c>
      <c r="K307" s="4">
        <v>0</v>
      </c>
      <c r="L307" s="4">
        <v>17.795999999999999</v>
      </c>
      <c r="M307" s="4">
        <v>17.795999999999999</v>
      </c>
      <c r="N307" s="4">
        <v>17.795999999999999</v>
      </c>
      <c r="O307" s="4">
        <v>17.795999999999999</v>
      </c>
      <c r="P307" s="4">
        <v>164</v>
      </c>
      <c r="Q307" s="3" t="s">
        <v>26</v>
      </c>
      <c r="R307" s="3">
        <v>0</v>
      </c>
      <c r="S307" s="4">
        <v>0</v>
      </c>
      <c r="T307" s="4">
        <v>19</v>
      </c>
      <c r="U307" s="4">
        <v>59</v>
      </c>
      <c r="V307" s="4">
        <f>IF(ISERROR(VLOOKUP($S$307,'TAR FIN'!$A$1:$O$91,15,0)),0,VLOOKUP($S$307,'TAR FIN'!$A$1:$O$91,15,0))</f>
        <v>0</v>
      </c>
      <c r="W307" s="4">
        <f>IF(ISERROR(VLOOKUP($T$307,'TAR FIN'!$A$1:$O$91,15,0)),0,VLOOKUP($T$307,'TAR FIN'!$A$1:$O$91,15,0))</f>
        <v>406.52</v>
      </c>
      <c r="X307" s="4">
        <f>IF(ISERROR(VLOOKUP($U$307,'TAR FIN'!$A$1:$O$91,15,0)),0,VLOOKUP($U$307,'TAR FIN'!$A$1:$O$91,15,0))</f>
        <v>199.03</v>
      </c>
      <c r="Y307" s="4"/>
      <c r="Z307" s="4">
        <f ca="1">('TUSD BE'!$AM$23+'TUSD BF_350'!$AM$23+'TUSD CVA'!$AM$23)*1</f>
        <v>446.02270810064761</v>
      </c>
      <c r="AA307" s="4">
        <f ca="1">('TE BE'!$AB$14+'TE BF_350'!$AB$14+'TE CVA'!$AB$14)*1</f>
        <v>205.52329867469447</v>
      </c>
      <c r="AB307" s="4">
        <f>$K$307*$V$307</f>
        <v>0</v>
      </c>
      <c r="AC307" s="4">
        <f>$M$307*$W$307</f>
        <v>7234.4299199999996</v>
      </c>
      <c r="AD307" s="4">
        <f>$O$307*$X$307</f>
        <v>3541.93788</v>
      </c>
      <c r="AE307" s="4">
        <f>$K$307*$Y$307</f>
        <v>0</v>
      </c>
      <c r="AF307" s="4">
        <f ca="1">$M$307*$Z$307</f>
        <v>7937.4201133591241</v>
      </c>
      <c r="AG307" s="4">
        <f ca="1">$O$307*$AA$307</f>
        <v>3657.4926232148628</v>
      </c>
    </row>
    <row r="308" spans="1:33" ht="11.25" customHeight="1" x14ac:dyDescent="0.3">
      <c r="A308" s="3" t="s">
        <v>21</v>
      </c>
      <c r="B308" s="3" t="s">
        <v>22</v>
      </c>
      <c r="C308" s="3" t="s">
        <v>23</v>
      </c>
      <c r="D308" s="3" t="s">
        <v>24</v>
      </c>
      <c r="E308" s="3" t="s">
        <v>24</v>
      </c>
      <c r="F308" s="3" t="s">
        <v>25</v>
      </c>
      <c r="G308" s="3" t="s">
        <v>25</v>
      </c>
      <c r="H308" s="3" t="s">
        <v>25</v>
      </c>
      <c r="I308" s="6">
        <v>44501</v>
      </c>
      <c r="J308" s="4">
        <v>0</v>
      </c>
      <c r="K308" s="4">
        <v>0</v>
      </c>
      <c r="L308" s="4">
        <v>1608.471</v>
      </c>
      <c r="M308" s="4">
        <v>1608.471</v>
      </c>
      <c r="N308" s="4">
        <v>1608.471</v>
      </c>
      <c r="O308" s="4">
        <v>1608.471</v>
      </c>
      <c r="P308" s="4">
        <v>9148</v>
      </c>
      <c r="Q308" s="3" t="s">
        <v>26</v>
      </c>
      <c r="R308" s="3">
        <v>0</v>
      </c>
      <c r="S308" s="4">
        <v>0</v>
      </c>
      <c r="T308" s="4">
        <v>19</v>
      </c>
      <c r="U308" s="4">
        <v>59</v>
      </c>
      <c r="V308" s="4">
        <f>IF(ISERROR(VLOOKUP($S$308,'TAR FIN'!$A$1:$O$91,15,0)),0,VLOOKUP($S$308,'TAR FIN'!$A$1:$O$91,15,0))</f>
        <v>0</v>
      </c>
      <c r="W308" s="4">
        <f>IF(ISERROR(VLOOKUP($T$308,'TAR FIN'!$A$1:$O$91,15,0)),0,VLOOKUP($T$308,'TAR FIN'!$A$1:$O$91,15,0))</f>
        <v>406.52</v>
      </c>
      <c r="X308" s="4">
        <f>IF(ISERROR(VLOOKUP($U$308,'TAR FIN'!$A$1:$O$91,15,0)),0,VLOOKUP($U$308,'TAR FIN'!$A$1:$O$91,15,0))</f>
        <v>199.03</v>
      </c>
      <c r="Y308" s="4"/>
      <c r="Z308" s="4">
        <f ca="1">('TUSD BE'!$AM$23+'TUSD BF_350'!$AM$23+'TUSD CVA'!$AM$23)*1</f>
        <v>446.02270810064761</v>
      </c>
      <c r="AA308" s="4">
        <f ca="1">('TE BE'!$AB$14+'TE BF_350'!$AB$14+'TE CVA'!$AB$14)*1</f>
        <v>205.52329867469447</v>
      </c>
      <c r="AB308" s="4">
        <f>$K$308*$V$308</f>
        <v>0</v>
      </c>
      <c r="AC308" s="4">
        <f>$M$308*$W$308</f>
        <v>653875.63092000003</v>
      </c>
      <c r="AD308" s="4">
        <f>$O$308*$X$308</f>
        <v>320133.98313000001</v>
      </c>
      <c r="AE308" s="4">
        <f>$K$308*$Y$308</f>
        <v>0</v>
      </c>
      <c r="AF308" s="4">
        <f ca="1">$M$308*$Z$308</f>
        <v>717414.59132135671</v>
      </c>
      <c r="AG308" s="4">
        <f ca="1">$O$308*$AA$308</f>
        <v>330578.26574258448</v>
      </c>
    </row>
    <row r="309" spans="1:33" ht="11.25" customHeight="1" x14ac:dyDescent="0.3">
      <c r="A309" s="3" t="s">
        <v>27</v>
      </c>
      <c r="B309" s="3" t="s">
        <v>22</v>
      </c>
      <c r="C309" s="3" t="s">
        <v>23</v>
      </c>
      <c r="D309" s="3" t="s">
        <v>24</v>
      </c>
      <c r="E309" s="3" t="s">
        <v>24</v>
      </c>
      <c r="F309" s="3" t="s">
        <v>25</v>
      </c>
      <c r="G309" s="3" t="s">
        <v>25</v>
      </c>
      <c r="H309" s="3" t="s">
        <v>25</v>
      </c>
      <c r="I309" s="6">
        <v>44501</v>
      </c>
      <c r="J309" s="4">
        <v>0</v>
      </c>
      <c r="K309" s="4">
        <v>0</v>
      </c>
      <c r="L309" s="4">
        <v>-0.13500000000000001</v>
      </c>
      <c r="M309" s="4">
        <v>-0.13500000000000001</v>
      </c>
      <c r="N309" s="4">
        <v>-0.13500000000000001</v>
      </c>
      <c r="O309" s="4">
        <v>-0.13500000000000001</v>
      </c>
      <c r="P309" s="4">
        <v>0</v>
      </c>
      <c r="Q309" s="3" t="s">
        <v>26</v>
      </c>
      <c r="R309" s="3">
        <v>0</v>
      </c>
      <c r="S309" s="4">
        <v>0</v>
      </c>
      <c r="T309" s="4">
        <v>19</v>
      </c>
      <c r="U309" s="4">
        <v>59</v>
      </c>
      <c r="V309" s="4">
        <f>IF(ISERROR(VLOOKUP($S$309,'TAR FIN'!$A$1:$O$91,15,0)),0,VLOOKUP($S$309,'TAR FIN'!$A$1:$O$91,15,0))</f>
        <v>0</v>
      </c>
      <c r="W309" s="4">
        <f>IF(ISERROR(VLOOKUP($T$309,'TAR FIN'!$A$1:$O$91,15,0)),0,VLOOKUP($T$309,'TAR FIN'!$A$1:$O$91,15,0))</f>
        <v>406.52</v>
      </c>
      <c r="X309" s="4">
        <f>IF(ISERROR(VLOOKUP($U$309,'TAR FIN'!$A$1:$O$91,15,0)),0,VLOOKUP($U$309,'TAR FIN'!$A$1:$O$91,15,0))</f>
        <v>199.03</v>
      </c>
      <c r="Y309" s="4"/>
      <c r="Z309" s="4">
        <f ca="1">('TUSD BE'!$AM$23+'TUSD BF_350'!$AM$23+'TUSD CVA'!$AM$23)*1</f>
        <v>446.02270810064761</v>
      </c>
      <c r="AA309" s="4">
        <f ca="1">('TE BE'!$AB$14+'TE BF_350'!$AB$14+'TE CVA'!$AB$14)*1</f>
        <v>205.52329867469447</v>
      </c>
      <c r="AB309" s="4">
        <f>$K$309*$V$309</f>
        <v>0</v>
      </c>
      <c r="AC309" s="4">
        <f>$M$309*$W$309</f>
        <v>-54.880200000000002</v>
      </c>
      <c r="AD309" s="4">
        <f>$O$309*$X$309</f>
        <v>-26.869050000000001</v>
      </c>
      <c r="AE309" s="4">
        <f>$K$309*$Y$309</f>
        <v>0</v>
      </c>
      <c r="AF309" s="4">
        <f ca="1">$M$309*$Z$309</f>
        <v>-60.21306559358743</v>
      </c>
      <c r="AG309" s="4">
        <f ca="1">$O$309*$AA$309</f>
        <v>-27.745645321083757</v>
      </c>
    </row>
    <row r="310" spans="1:33" ht="11.25" customHeight="1" x14ac:dyDescent="0.3">
      <c r="A310" s="3" t="s">
        <v>28</v>
      </c>
      <c r="B310" s="3" t="s">
        <v>22</v>
      </c>
      <c r="C310" s="3" t="s">
        <v>23</v>
      </c>
      <c r="D310" s="3" t="s">
        <v>24</v>
      </c>
      <c r="E310" s="3" t="s">
        <v>24</v>
      </c>
      <c r="F310" s="3" t="s">
        <v>25</v>
      </c>
      <c r="G310" s="3" t="s">
        <v>25</v>
      </c>
      <c r="H310" s="3" t="s">
        <v>25</v>
      </c>
      <c r="I310" s="6">
        <v>44501</v>
      </c>
      <c r="J310" s="4">
        <v>0</v>
      </c>
      <c r="K310" s="4">
        <v>0</v>
      </c>
      <c r="L310" s="4">
        <v>18.366</v>
      </c>
      <c r="M310" s="4">
        <v>18.366</v>
      </c>
      <c r="N310" s="4">
        <v>18.366</v>
      </c>
      <c r="O310" s="4">
        <v>18.366</v>
      </c>
      <c r="P310" s="4">
        <v>170</v>
      </c>
      <c r="Q310" s="3" t="s">
        <v>26</v>
      </c>
      <c r="R310" s="3">
        <v>0</v>
      </c>
      <c r="S310" s="4">
        <v>0</v>
      </c>
      <c r="T310" s="4">
        <v>19</v>
      </c>
      <c r="U310" s="4">
        <v>59</v>
      </c>
      <c r="V310" s="4">
        <f>IF(ISERROR(VLOOKUP($S$310,'TAR FIN'!$A$1:$O$91,15,0)),0,VLOOKUP($S$310,'TAR FIN'!$A$1:$O$91,15,0))</f>
        <v>0</v>
      </c>
      <c r="W310" s="4">
        <f>IF(ISERROR(VLOOKUP($T$310,'TAR FIN'!$A$1:$O$91,15,0)),0,VLOOKUP($T$310,'TAR FIN'!$A$1:$O$91,15,0))</f>
        <v>406.52</v>
      </c>
      <c r="X310" s="4">
        <f>IF(ISERROR(VLOOKUP($U$310,'TAR FIN'!$A$1:$O$91,15,0)),0,VLOOKUP($U$310,'TAR FIN'!$A$1:$O$91,15,0))</f>
        <v>199.03</v>
      </c>
      <c r="Y310" s="4"/>
      <c r="Z310" s="4">
        <f ca="1">('TUSD BE'!$AM$23+'TUSD BF_350'!$AM$23+'TUSD CVA'!$AM$23)*1</f>
        <v>446.02270810064761</v>
      </c>
      <c r="AA310" s="4">
        <f ca="1">('TE BE'!$AB$14+'TE BF_350'!$AB$14+'TE CVA'!$AB$14)*1</f>
        <v>205.52329867469447</v>
      </c>
      <c r="AB310" s="4">
        <f>$K$310*$V$310</f>
        <v>0</v>
      </c>
      <c r="AC310" s="4">
        <f>$M$310*$W$310</f>
        <v>7466.1463199999998</v>
      </c>
      <c r="AD310" s="4">
        <f>$O$310*$X$310</f>
        <v>3655.3849799999998</v>
      </c>
      <c r="AE310" s="4">
        <f>$K$310*$Y$310</f>
        <v>0</v>
      </c>
      <c r="AF310" s="4">
        <f ca="1">$M$310*$Z$310</f>
        <v>8191.6530569764936</v>
      </c>
      <c r="AG310" s="4">
        <f ca="1">$O$310*$AA$310</f>
        <v>3774.6409034594385</v>
      </c>
    </row>
    <row r="311" spans="1:33" ht="11.25" customHeight="1" x14ac:dyDescent="0.3">
      <c r="A311" s="3" t="s">
        <v>21</v>
      </c>
      <c r="B311" s="3" t="s">
        <v>22</v>
      </c>
      <c r="C311" s="3" t="s">
        <v>23</v>
      </c>
      <c r="D311" s="3" t="s">
        <v>24</v>
      </c>
      <c r="E311" s="3" t="s">
        <v>24</v>
      </c>
      <c r="F311" s="3" t="s">
        <v>25</v>
      </c>
      <c r="G311" s="3" t="s">
        <v>25</v>
      </c>
      <c r="H311" s="3" t="s">
        <v>25</v>
      </c>
      <c r="I311" s="6">
        <v>44531</v>
      </c>
      <c r="J311" s="4">
        <v>0</v>
      </c>
      <c r="K311" s="4">
        <v>0</v>
      </c>
      <c r="L311" s="4">
        <v>1688.9179999999999</v>
      </c>
      <c r="M311" s="4">
        <v>1688.9179999999999</v>
      </c>
      <c r="N311" s="4">
        <v>1688.9179999999999</v>
      </c>
      <c r="O311" s="4">
        <v>1688.9179999999999</v>
      </c>
      <c r="P311" s="4">
        <v>9151</v>
      </c>
      <c r="Q311" s="3" t="s">
        <v>26</v>
      </c>
      <c r="R311" s="3">
        <v>0</v>
      </c>
      <c r="S311" s="4">
        <v>0</v>
      </c>
      <c r="T311" s="4">
        <v>19</v>
      </c>
      <c r="U311" s="4">
        <v>59</v>
      </c>
      <c r="V311" s="4">
        <f>IF(ISERROR(VLOOKUP($S$311,'TAR FIN'!$A$1:$O$91,15,0)),0,VLOOKUP($S$311,'TAR FIN'!$A$1:$O$91,15,0))</f>
        <v>0</v>
      </c>
      <c r="W311" s="4">
        <f>IF(ISERROR(VLOOKUP($T$311,'TAR FIN'!$A$1:$O$91,15,0)),0,VLOOKUP($T$311,'TAR FIN'!$A$1:$O$91,15,0))</f>
        <v>406.52</v>
      </c>
      <c r="X311" s="4">
        <f>IF(ISERROR(VLOOKUP($U$311,'TAR FIN'!$A$1:$O$91,15,0)),0,VLOOKUP($U$311,'TAR FIN'!$A$1:$O$91,15,0))</f>
        <v>199.03</v>
      </c>
      <c r="Y311" s="4"/>
      <c r="Z311" s="4">
        <f ca="1">('TUSD BE'!$AM$23+'TUSD BF_350'!$AM$23+'TUSD CVA'!$AM$23)*1</f>
        <v>446.02270810064761</v>
      </c>
      <c r="AA311" s="4">
        <f ca="1">('TE BE'!$AB$14+'TE BF_350'!$AB$14+'TE CVA'!$AB$14)*1</f>
        <v>205.52329867469447</v>
      </c>
      <c r="AB311" s="4">
        <f>$K$311*$V$311</f>
        <v>0</v>
      </c>
      <c r="AC311" s="4">
        <f>$M$311*$W$311</f>
        <v>686578.9453599999</v>
      </c>
      <c r="AD311" s="4">
        <f>$O$311*$X$311</f>
        <v>336145.34953999997</v>
      </c>
      <c r="AE311" s="4">
        <f>$K$311*$Y$311</f>
        <v>0</v>
      </c>
      <c r="AF311" s="4">
        <f ca="1">$M$311*$Z$311</f>
        <v>753295.78011992946</v>
      </c>
      <c r="AG311" s="4">
        <f ca="1">$O$311*$AA$311</f>
        <v>347111.99855106761</v>
      </c>
    </row>
    <row r="312" spans="1:33" ht="11.25" customHeight="1" x14ac:dyDescent="0.3">
      <c r="A312" s="3" t="s">
        <v>27</v>
      </c>
      <c r="B312" s="3" t="s">
        <v>22</v>
      </c>
      <c r="C312" s="3" t="s">
        <v>23</v>
      </c>
      <c r="D312" s="3" t="s">
        <v>24</v>
      </c>
      <c r="E312" s="3" t="s">
        <v>24</v>
      </c>
      <c r="F312" s="3" t="s">
        <v>25</v>
      </c>
      <c r="G312" s="3" t="s">
        <v>25</v>
      </c>
      <c r="H312" s="3" t="s">
        <v>25</v>
      </c>
      <c r="I312" s="6">
        <v>44531</v>
      </c>
      <c r="J312" s="4">
        <v>0</v>
      </c>
      <c r="K312" s="4">
        <v>0</v>
      </c>
      <c r="L312" s="4">
        <v>8.3000000000000004E-2</v>
      </c>
      <c r="M312" s="4">
        <v>8.3000000000000004E-2</v>
      </c>
      <c r="N312" s="4">
        <v>8.3000000000000004E-2</v>
      </c>
      <c r="O312" s="4">
        <v>8.3000000000000004E-2</v>
      </c>
      <c r="P312" s="4">
        <v>0</v>
      </c>
      <c r="Q312" s="3" t="s">
        <v>26</v>
      </c>
      <c r="R312" s="3">
        <v>0</v>
      </c>
      <c r="S312" s="4">
        <v>0</v>
      </c>
      <c r="T312" s="4">
        <v>19</v>
      </c>
      <c r="U312" s="4">
        <v>59</v>
      </c>
      <c r="V312" s="4">
        <f>IF(ISERROR(VLOOKUP($S$312,'TAR FIN'!$A$1:$O$91,15,0)),0,VLOOKUP($S$312,'TAR FIN'!$A$1:$O$91,15,0))</f>
        <v>0</v>
      </c>
      <c r="W312" s="4">
        <f>IF(ISERROR(VLOOKUP($T$312,'TAR FIN'!$A$1:$O$91,15,0)),0,VLOOKUP($T$312,'TAR FIN'!$A$1:$O$91,15,0))</f>
        <v>406.52</v>
      </c>
      <c r="X312" s="4">
        <f>IF(ISERROR(VLOOKUP($U$312,'TAR FIN'!$A$1:$O$91,15,0)),0,VLOOKUP($U$312,'TAR FIN'!$A$1:$O$91,15,0))</f>
        <v>199.03</v>
      </c>
      <c r="Y312" s="4"/>
      <c r="Z312" s="4">
        <f ca="1">('TUSD BE'!$AM$23+'TUSD BF_350'!$AM$23+'TUSD CVA'!$AM$23)*1</f>
        <v>446.02270810064761</v>
      </c>
      <c r="AA312" s="4">
        <f ca="1">('TE BE'!$AB$14+'TE BF_350'!$AB$14+'TE CVA'!$AB$14)*1</f>
        <v>205.52329867469447</v>
      </c>
      <c r="AB312" s="4">
        <f>$K$312*$V$312</f>
        <v>0</v>
      </c>
      <c r="AC312" s="4">
        <f>$M$312*$W$312</f>
        <v>33.741160000000001</v>
      </c>
      <c r="AD312" s="4">
        <f>$O$312*$X$312</f>
        <v>16.519490000000001</v>
      </c>
      <c r="AE312" s="4">
        <f>$K$312*$Y$312</f>
        <v>0</v>
      </c>
      <c r="AF312" s="4">
        <f ca="1">$M$312*$Z$312</f>
        <v>37.019884772353755</v>
      </c>
      <c r="AG312" s="4">
        <f ca="1">$O$312*$AA$312</f>
        <v>17.058433789999643</v>
      </c>
    </row>
    <row r="313" spans="1:33" ht="11.25" customHeight="1" x14ac:dyDescent="0.3">
      <c r="A313" s="3" t="s">
        <v>28</v>
      </c>
      <c r="B313" s="3" t="s">
        <v>22</v>
      </c>
      <c r="C313" s="3" t="s">
        <v>23</v>
      </c>
      <c r="D313" s="3" t="s">
        <v>24</v>
      </c>
      <c r="E313" s="3" t="s">
        <v>24</v>
      </c>
      <c r="F313" s="3" t="s">
        <v>25</v>
      </c>
      <c r="G313" s="3" t="s">
        <v>25</v>
      </c>
      <c r="H313" s="3" t="s">
        <v>25</v>
      </c>
      <c r="I313" s="6">
        <v>44531</v>
      </c>
      <c r="J313" s="4">
        <v>0</v>
      </c>
      <c r="K313" s="4">
        <v>0</v>
      </c>
      <c r="L313" s="4">
        <v>22.138000000000002</v>
      </c>
      <c r="M313" s="4">
        <v>22.138000000000002</v>
      </c>
      <c r="N313" s="4">
        <v>22.138000000000002</v>
      </c>
      <c r="O313" s="4">
        <v>22.138000000000002</v>
      </c>
      <c r="P313" s="4">
        <v>175</v>
      </c>
      <c r="Q313" s="3" t="s">
        <v>26</v>
      </c>
      <c r="R313" s="3">
        <v>0</v>
      </c>
      <c r="S313" s="4">
        <v>0</v>
      </c>
      <c r="T313" s="4">
        <v>19</v>
      </c>
      <c r="U313" s="4">
        <v>59</v>
      </c>
      <c r="V313" s="4">
        <f>IF(ISERROR(VLOOKUP($S$313,'TAR FIN'!$A$1:$O$91,15,0)),0,VLOOKUP($S$313,'TAR FIN'!$A$1:$O$91,15,0))</f>
        <v>0</v>
      </c>
      <c r="W313" s="4">
        <f>IF(ISERROR(VLOOKUP($T$313,'TAR FIN'!$A$1:$O$91,15,0)),0,VLOOKUP($T$313,'TAR FIN'!$A$1:$O$91,15,0))</f>
        <v>406.52</v>
      </c>
      <c r="X313" s="4">
        <f>IF(ISERROR(VLOOKUP($U$313,'TAR FIN'!$A$1:$O$91,15,0)),0,VLOOKUP($U$313,'TAR FIN'!$A$1:$O$91,15,0))</f>
        <v>199.03</v>
      </c>
      <c r="Y313" s="4"/>
      <c r="Z313" s="4">
        <f ca="1">('TUSD BE'!$AM$23+'TUSD BF_350'!$AM$23+'TUSD CVA'!$AM$23)*1</f>
        <v>446.02270810064761</v>
      </c>
      <c r="AA313" s="4">
        <f ca="1">('TE BE'!$AB$14+'TE BF_350'!$AB$14+'TE CVA'!$AB$14)*1</f>
        <v>205.52329867469447</v>
      </c>
      <c r="AB313" s="4">
        <f>$K$313*$V$313</f>
        <v>0</v>
      </c>
      <c r="AC313" s="4">
        <f>$M$313*$W$313</f>
        <v>8999.5397599999997</v>
      </c>
      <c r="AD313" s="4">
        <f>$O$313*$X$313</f>
        <v>4406.1261400000003</v>
      </c>
      <c r="AE313" s="4">
        <f>$K$313*$Y$313</f>
        <v>0</v>
      </c>
      <c r="AF313" s="4">
        <f ca="1">$M$313*$Z$313</f>
        <v>9874.0507119321373</v>
      </c>
      <c r="AG313" s="4">
        <f ca="1">$O$313*$AA$313</f>
        <v>4549.8747860603862</v>
      </c>
    </row>
    <row r="314" spans="1:33" ht="11.25" customHeight="1" x14ac:dyDescent="0.3">
      <c r="A314" s="3" t="s">
        <v>21</v>
      </c>
      <c r="B314" s="3" t="s">
        <v>22</v>
      </c>
      <c r="C314" s="3" t="s">
        <v>23</v>
      </c>
      <c r="D314" s="3" t="s">
        <v>24</v>
      </c>
      <c r="E314" s="3" t="s">
        <v>24</v>
      </c>
      <c r="F314" s="3" t="s">
        <v>25</v>
      </c>
      <c r="G314" s="3" t="s">
        <v>25</v>
      </c>
      <c r="H314" s="3" t="s">
        <v>25</v>
      </c>
      <c r="I314" s="6">
        <v>44562</v>
      </c>
      <c r="J314" s="4">
        <v>0</v>
      </c>
      <c r="K314" s="4">
        <v>0</v>
      </c>
      <c r="L314" s="4">
        <v>2105.7750000000001</v>
      </c>
      <c r="M314" s="4">
        <v>2105.7750000000001</v>
      </c>
      <c r="N314" s="4">
        <v>2105.7750000000001</v>
      </c>
      <c r="O314" s="4">
        <v>2105.7750000000001</v>
      </c>
      <c r="P314" s="4">
        <v>9136</v>
      </c>
      <c r="Q314" s="3" t="s">
        <v>26</v>
      </c>
      <c r="R314" s="3">
        <v>0</v>
      </c>
      <c r="S314" s="4">
        <v>0</v>
      </c>
      <c r="T314" s="4">
        <v>19</v>
      </c>
      <c r="U314" s="4">
        <v>59</v>
      </c>
      <c r="V314" s="4">
        <f>IF(ISERROR(VLOOKUP($S$314,'TAR FIN'!$A$1:$O$91,15,0)),0,VLOOKUP($S$314,'TAR FIN'!$A$1:$O$91,15,0))</f>
        <v>0</v>
      </c>
      <c r="W314" s="4">
        <f>IF(ISERROR(VLOOKUP($T$314,'TAR FIN'!$A$1:$O$91,15,0)),0,VLOOKUP($T$314,'TAR FIN'!$A$1:$O$91,15,0))</f>
        <v>406.52</v>
      </c>
      <c r="X314" s="4">
        <f>IF(ISERROR(VLOOKUP($U$314,'TAR FIN'!$A$1:$O$91,15,0)),0,VLOOKUP($U$314,'TAR FIN'!$A$1:$O$91,15,0))</f>
        <v>199.03</v>
      </c>
      <c r="Y314" s="4"/>
      <c r="Z314" s="4">
        <f ca="1">('TUSD BE'!$AM$23+'TUSD BF_350'!$AM$23+'TUSD CVA'!$AM$23)*1</f>
        <v>446.02270810064761</v>
      </c>
      <c r="AA314" s="4">
        <f ca="1">('TE BE'!$AB$14+'TE BF_350'!$AB$14+'TE CVA'!$AB$14)*1</f>
        <v>205.52329867469447</v>
      </c>
      <c r="AB314" s="4">
        <f>$K$314*$V$314</f>
        <v>0</v>
      </c>
      <c r="AC314" s="4">
        <f>$M$314*$W$314</f>
        <v>856039.65300000005</v>
      </c>
      <c r="AD314" s="4">
        <f>$O$314*$X$314</f>
        <v>419112.39825000003</v>
      </c>
      <c r="AE314" s="4">
        <f>$K$314*$Y$314</f>
        <v>0</v>
      </c>
      <c r="AF314" s="4">
        <f ca="1">$M$314*$Z$314</f>
        <v>939223.4681506413</v>
      </c>
      <c r="AG314" s="4">
        <f ca="1">$O$314*$AA$314</f>
        <v>432785.82426670479</v>
      </c>
    </row>
    <row r="315" spans="1:33" ht="11.25" customHeight="1" x14ac:dyDescent="0.3">
      <c r="A315" s="3" t="s">
        <v>27</v>
      </c>
      <c r="B315" s="3" t="s">
        <v>22</v>
      </c>
      <c r="C315" s="3" t="s">
        <v>23</v>
      </c>
      <c r="D315" s="3" t="s">
        <v>24</v>
      </c>
      <c r="E315" s="3" t="s">
        <v>24</v>
      </c>
      <c r="F315" s="3" t="s">
        <v>25</v>
      </c>
      <c r="G315" s="3" t="s">
        <v>25</v>
      </c>
      <c r="H315" s="3" t="s">
        <v>25</v>
      </c>
      <c r="I315" s="6">
        <v>44562</v>
      </c>
      <c r="J315" s="4">
        <v>0</v>
      </c>
      <c r="K315" s="4">
        <v>0</v>
      </c>
      <c r="L315" s="4">
        <v>-0.67300000000000004</v>
      </c>
      <c r="M315" s="4">
        <v>-0.67300000000000004</v>
      </c>
      <c r="N315" s="4">
        <v>-0.67300000000000004</v>
      </c>
      <c r="O315" s="4">
        <v>-0.67300000000000004</v>
      </c>
      <c r="P315" s="4">
        <v>0</v>
      </c>
      <c r="Q315" s="3" t="s">
        <v>26</v>
      </c>
      <c r="R315" s="3">
        <v>0</v>
      </c>
      <c r="S315" s="4">
        <v>0</v>
      </c>
      <c r="T315" s="4">
        <v>19</v>
      </c>
      <c r="U315" s="4">
        <v>59</v>
      </c>
      <c r="V315" s="4">
        <f>IF(ISERROR(VLOOKUP($S$315,'TAR FIN'!$A$1:$O$91,15,0)),0,VLOOKUP($S$315,'TAR FIN'!$A$1:$O$91,15,0))</f>
        <v>0</v>
      </c>
      <c r="W315" s="4">
        <f>IF(ISERROR(VLOOKUP($T$315,'TAR FIN'!$A$1:$O$91,15,0)),0,VLOOKUP($T$315,'TAR FIN'!$A$1:$O$91,15,0))</f>
        <v>406.52</v>
      </c>
      <c r="X315" s="4">
        <f>IF(ISERROR(VLOOKUP($U$315,'TAR FIN'!$A$1:$O$91,15,0)),0,VLOOKUP($U$315,'TAR FIN'!$A$1:$O$91,15,0))</f>
        <v>199.03</v>
      </c>
      <c r="Y315" s="4"/>
      <c r="Z315" s="4">
        <f ca="1">('TUSD BE'!$AM$23+'TUSD BF_350'!$AM$23+'TUSD CVA'!$AM$23)*1</f>
        <v>446.02270810064761</v>
      </c>
      <c r="AA315" s="4">
        <f ca="1">('TE BE'!$AB$14+'TE BF_350'!$AB$14+'TE CVA'!$AB$14)*1</f>
        <v>205.52329867469447</v>
      </c>
      <c r="AB315" s="4">
        <f>$K$315*$V$315</f>
        <v>0</v>
      </c>
      <c r="AC315" s="4">
        <f>$M$315*$W$315</f>
        <v>-273.58796000000001</v>
      </c>
      <c r="AD315" s="4">
        <f>$O$315*$X$315</f>
        <v>-133.94719000000001</v>
      </c>
      <c r="AE315" s="4">
        <f>$K$315*$Y$315</f>
        <v>0</v>
      </c>
      <c r="AF315" s="4">
        <f ca="1">$M$315*$Z$315</f>
        <v>-300.17328255173584</v>
      </c>
      <c r="AG315" s="4">
        <f ca="1">$O$315*$AA$315</f>
        <v>-138.31718000806939</v>
      </c>
    </row>
    <row r="316" spans="1:33" ht="11.25" customHeight="1" x14ac:dyDescent="0.3">
      <c r="A316" s="3" t="s">
        <v>28</v>
      </c>
      <c r="B316" s="3" t="s">
        <v>22</v>
      </c>
      <c r="C316" s="3" t="s">
        <v>23</v>
      </c>
      <c r="D316" s="3" t="s">
        <v>24</v>
      </c>
      <c r="E316" s="3" t="s">
        <v>24</v>
      </c>
      <c r="F316" s="3" t="s">
        <v>25</v>
      </c>
      <c r="G316" s="3" t="s">
        <v>25</v>
      </c>
      <c r="H316" s="3" t="s">
        <v>25</v>
      </c>
      <c r="I316" s="6">
        <v>44562</v>
      </c>
      <c r="J316" s="4">
        <v>0</v>
      </c>
      <c r="K316" s="4">
        <v>0</v>
      </c>
      <c r="L316" s="4">
        <v>33.433999999999997</v>
      </c>
      <c r="M316" s="4">
        <v>33.433999999999997</v>
      </c>
      <c r="N316" s="4">
        <v>33.433999999999997</v>
      </c>
      <c r="O316" s="4">
        <v>33.433999999999997</v>
      </c>
      <c r="P316" s="4">
        <v>185</v>
      </c>
      <c r="Q316" s="3" t="s">
        <v>26</v>
      </c>
      <c r="R316" s="3">
        <v>0</v>
      </c>
      <c r="S316" s="4">
        <v>0</v>
      </c>
      <c r="T316" s="4">
        <v>19</v>
      </c>
      <c r="U316" s="4">
        <v>59</v>
      </c>
      <c r="V316" s="4">
        <f>IF(ISERROR(VLOOKUP($S$316,'TAR FIN'!$A$1:$O$91,15,0)),0,VLOOKUP($S$316,'TAR FIN'!$A$1:$O$91,15,0))</f>
        <v>0</v>
      </c>
      <c r="W316" s="4">
        <f>IF(ISERROR(VLOOKUP($T$316,'TAR FIN'!$A$1:$O$91,15,0)),0,VLOOKUP($T$316,'TAR FIN'!$A$1:$O$91,15,0))</f>
        <v>406.52</v>
      </c>
      <c r="X316" s="4">
        <f>IF(ISERROR(VLOOKUP($U$316,'TAR FIN'!$A$1:$O$91,15,0)),0,VLOOKUP($U$316,'TAR FIN'!$A$1:$O$91,15,0))</f>
        <v>199.03</v>
      </c>
      <c r="Y316" s="4"/>
      <c r="Z316" s="4">
        <f ca="1">('TUSD BE'!$AM$23+'TUSD BF_350'!$AM$23+'TUSD CVA'!$AM$23)*1</f>
        <v>446.02270810064761</v>
      </c>
      <c r="AA316" s="4">
        <f ca="1">('TE BE'!$AB$14+'TE BF_350'!$AB$14+'TE CVA'!$AB$14)*1</f>
        <v>205.52329867469447</v>
      </c>
      <c r="AB316" s="4">
        <f>$K$316*$V$316</f>
        <v>0</v>
      </c>
      <c r="AC316" s="4">
        <f>$M$316*$W$316</f>
        <v>13591.589679999999</v>
      </c>
      <c r="AD316" s="4">
        <f>$O$316*$X$316</f>
        <v>6654.3690199999992</v>
      </c>
      <c r="AE316" s="4">
        <f>$K$316*$Y$316</f>
        <v>0</v>
      </c>
      <c r="AF316" s="4">
        <f ca="1">$M$316*$Z$316</f>
        <v>14912.323222637051</v>
      </c>
      <c r="AG316" s="4">
        <f ca="1">$O$316*$AA$316</f>
        <v>6871.4659678897342</v>
      </c>
    </row>
    <row r="317" spans="1:33" ht="11.25" customHeight="1" x14ac:dyDescent="0.3">
      <c r="A317" s="3" t="s">
        <v>21</v>
      </c>
      <c r="B317" s="3" t="s">
        <v>22</v>
      </c>
      <c r="C317" s="3" t="s">
        <v>23</v>
      </c>
      <c r="D317" s="3" t="s">
        <v>24</v>
      </c>
      <c r="E317" s="3" t="s">
        <v>24</v>
      </c>
      <c r="F317" s="3" t="s">
        <v>25</v>
      </c>
      <c r="G317" s="3" t="s">
        <v>25</v>
      </c>
      <c r="H317" s="3" t="s">
        <v>25</v>
      </c>
      <c r="I317" s="6">
        <v>44593</v>
      </c>
      <c r="J317" s="4">
        <v>0</v>
      </c>
      <c r="K317" s="4">
        <v>0</v>
      </c>
      <c r="L317" s="4">
        <v>2474.37</v>
      </c>
      <c r="M317" s="4">
        <v>2474.37</v>
      </c>
      <c r="N317" s="4">
        <v>2474.37</v>
      </c>
      <c r="O317" s="4">
        <v>2474.37</v>
      </c>
      <c r="P317" s="4">
        <v>9092</v>
      </c>
      <c r="Q317" s="3" t="s">
        <v>26</v>
      </c>
      <c r="R317" s="3">
        <v>0</v>
      </c>
      <c r="S317" s="4">
        <v>0</v>
      </c>
      <c r="T317" s="4">
        <v>19</v>
      </c>
      <c r="U317" s="4">
        <v>59</v>
      </c>
      <c r="V317" s="4">
        <f>IF(ISERROR(VLOOKUP($S$317,'TAR FIN'!$A$1:$O$91,15,0)),0,VLOOKUP($S$317,'TAR FIN'!$A$1:$O$91,15,0))</f>
        <v>0</v>
      </c>
      <c r="W317" s="4">
        <f>IF(ISERROR(VLOOKUP($T$317,'TAR FIN'!$A$1:$O$91,15,0)),0,VLOOKUP($T$317,'TAR FIN'!$A$1:$O$91,15,0))</f>
        <v>406.52</v>
      </c>
      <c r="X317" s="4">
        <f>IF(ISERROR(VLOOKUP($U$317,'TAR FIN'!$A$1:$O$91,15,0)),0,VLOOKUP($U$317,'TAR FIN'!$A$1:$O$91,15,0))</f>
        <v>199.03</v>
      </c>
      <c r="Y317" s="4"/>
      <c r="Z317" s="4">
        <f ca="1">('TUSD BE'!$AM$23+'TUSD BF_350'!$AM$23+'TUSD CVA'!$AM$23)*1</f>
        <v>446.02270810064761</v>
      </c>
      <c r="AA317" s="4">
        <f ca="1">('TE BE'!$AB$14+'TE BF_350'!$AB$14+'TE CVA'!$AB$14)*1</f>
        <v>205.52329867469447</v>
      </c>
      <c r="AB317" s="4">
        <f>$K$317*$V$317</f>
        <v>0</v>
      </c>
      <c r="AC317" s="4">
        <f>$M$317*$W$317</f>
        <v>1005880.8923999999</v>
      </c>
      <c r="AD317" s="4">
        <f>$O$317*$X$317</f>
        <v>492473.86109999998</v>
      </c>
      <c r="AE317" s="4">
        <f>$K$317*$Y$317</f>
        <v>0</v>
      </c>
      <c r="AF317" s="4">
        <f ca="1">$M$317*$Z$317</f>
        <v>1103625.2082429994</v>
      </c>
      <c r="AG317" s="4">
        <f ca="1">$O$317*$AA$317</f>
        <v>508540.68454170373</v>
      </c>
    </row>
    <row r="318" spans="1:33" ht="11.25" customHeight="1" x14ac:dyDescent="0.3">
      <c r="A318" s="3" t="s">
        <v>27</v>
      </c>
      <c r="B318" s="3" t="s">
        <v>22</v>
      </c>
      <c r="C318" s="3" t="s">
        <v>23</v>
      </c>
      <c r="D318" s="3" t="s">
        <v>24</v>
      </c>
      <c r="E318" s="3" t="s">
        <v>24</v>
      </c>
      <c r="F318" s="3" t="s">
        <v>25</v>
      </c>
      <c r="G318" s="3" t="s">
        <v>25</v>
      </c>
      <c r="H318" s="3" t="s">
        <v>25</v>
      </c>
      <c r="I318" s="6">
        <v>44593</v>
      </c>
      <c r="J318" s="4">
        <v>0</v>
      </c>
      <c r="K318" s="4">
        <v>0</v>
      </c>
      <c r="L318" s="4">
        <v>68.471000000000004</v>
      </c>
      <c r="M318" s="4">
        <v>68.471000000000004</v>
      </c>
      <c r="N318" s="4">
        <v>68.471000000000004</v>
      </c>
      <c r="O318" s="4">
        <v>68.471000000000004</v>
      </c>
      <c r="P318" s="4">
        <v>0</v>
      </c>
      <c r="Q318" s="3" t="s">
        <v>26</v>
      </c>
      <c r="R318" s="3">
        <v>0</v>
      </c>
      <c r="S318" s="4">
        <v>0</v>
      </c>
      <c r="T318" s="4">
        <v>19</v>
      </c>
      <c r="U318" s="4">
        <v>59</v>
      </c>
      <c r="V318" s="4">
        <f>IF(ISERROR(VLOOKUP($S$318,'TAR FIN'!$A$1:$O$91,15,0)),0,VLOOKUP($S$318,'TAR FIN'!$A$1:$O$91,15,0))</f>
        <v>0</v>
      </c>
      <c r="W318" s="4">
        <f>IF(ISERROR(VLOOKUP($T$318,'TAR FIN'!$A$1:$O$91,15,0)),0,VLOOKUP($T$318,'TAR FIN'!$A$1:$O$91,15,0))</f>
        <v>406.52</v>
      </c>
      <c r="X318" s="4">
        <f>IF(ISERROR(VLOOKUP($U$318,'TAR FIN'!$A$1:$O$91,15,0)),0,VLOOKUP($U$318,'TAR FIN'!$A$1:$O$91,15,0))</f>
        <v>199.03</v>
      </c>
      <c r="Y318" s="4"/>
      <c r="Z318" s="4">
        <f ca="1">('TUSD BE'!$AM$23+'TUSD BF_350'!$AM$23+'TUSD CVA'!$AM$23)*1</f>
        <v>446.02270810064761</v>
      </c>
      <c r="AA318" s="4">
        <f ca="1">('TE BE'!$AB$14+'TE BF_350'!$AB$14+'TE CVA'!$AB$14)*1</f>
        <v>205.52329867469447</v>
      </c>
      <c r="AB318" s="4">
        <f>$K$318*$V$318</f>
        <v>0</v>
      </c>
      <c r="AC318" s="4">
        <f>$M$318*$W$318</f>
        <v>27834.83092</v>
      </c>
      <c r="AD318" s="4">
        <f>$O$318*$X$318</f>
        <v>13627.783130000002</v>
      </c>
      <c r="AE318" s="4">
        <f>$K$318*$Y$318</f>
        <v>0</v>
      </c>
      <c r="AF318" s="4">
        <f ca="1">$M$318*$Z$318</f>
        <v>30539.620846359445</v>
      </c>
      <c r="AG318" s="4">
        <f ca="1">$O$318*$AA$318</f>
        <v>14072.385783555006</v>
      </c>
    </row>
    <row r="319" spans="1:33" ht="11.25" customHeight="1" x14ac:dyDescent="0.3">
      <c r="A319" s="3" t="s">
        <v>28</v>
      </c>
      <c r="B319" s="3" t="s">
        <v>22</v>
      </c>
      <c r="C319" s="3" t="s">
        <v>23</v>
      </c>
      <c r="D319" s="3" t="s">
        <v>24</v>
      </c>
      <c r="E319" s="3" t="s">
        <v>24</v>
      </c>
      <c r="F319" s="3" t="s">
        <v>25</v>
      </c>
      <c r="G319" s="3" t="s">
        <v>25</v>
      </c>
      <c r="H319" s="3" t="s">
        <v>25</v>
      </c>
      <c r="I319" s="6">
        <v>44593</v>
      </c>
      <c r="J319" s="4">
        <v>0</v>
      </c>
      <c r="K319" s="4">
        <v>0</v>
      </c>
      <c r="L319" s="4">
        <v>37.749000000000002</v>
      </c>
      <c r="M319" s="4">
        <v>37.749000000000002</v>
      </c>
      <c r="N319" s="4">
        <v>37.749000000000002</v>
      </c>
      <c r="O319" s="4">
        <v>37.749000000000002</v>
      </c>
      <c r="P319" s="4">
        <v>193</v>
      </c>
      <c r="Q319" s="3" t="s">
        <v>26</v>
      </c>
      <c r="R319" s="3">
        <v>0</v>
      </c>
      <c r="S319" s="4">
        <v>0</v>
      </c>
      <c r="T319" s="4">
        <v>19</v>
      </c>
      <c r="U319" s="4">
        <v>59</v>
      </c>
      <c r="V319" s="4">
        <f>IF(ISERROR(VLOOKUP($S$319,'TAR FIN'!$A$1:$O$91,15,0)),0,VLOOKUP($S$319,'TAR FIN'!$A$1:$O$91,15,0))</f>
        <v>0</v>
      </c>
      <c r="W319" s="4">
        <f>IF(ISERROR(VLOOKUP($T$319,'TAR FIN'!$A$1:$O$91,15,0)),0,VLOOKUP($T$319,'TAR FIN'!$A$1:$O$91,15,0))</f>
        <v>406.52</v>
      </c>
      <c r="X319" s="4">
        <f>IF(ISERROR(VLOOKUP($U$319,'TAR FIN'!$A$1:$O$91,15,0)),0,VLOOKUP($U$319,'TAR FIN'!$A$1:$O$91,15,0))</f>
        <v>199.03</v>
      </c>
      <c r="Y319" s="4"/>
      <c r="Z319" s="4">
        <f ca="1">('TUSD BE'!$AM$23+'TUSD BF_350'!$AM$23+'TUSD CVA'!$AM$23)*1</f>
        <v>446.02270810064761</v>
      </c>
      <c r="AA319" s="4">
        <f ca="1">('TE BE'!$AB$14+'TE BF_350'!$AB$14+'TE CVA'!$AB$14)*1</f>
        <v>205.52329867469447</v>
      </c>
      <c r="AB319" s="4">
        <f>$K$319*$V$319</f>
        <v>0</v>
      </c>
      <c r="AC319" s="4">
        <f>$M$319*$W$319</f>
        <v>15345.723480000001</v>
      </c>
      <c r="AD319" s="4">
        <f>$O$319*$X$319</f>
        <v>7513.1834700000009</v>
      </c>
      <c r="AE319" s="4">
        <f>$K$319*$Y$319</f>
        <v>0</v>
      </c>
      <c r="AF319" s="4">
        <f ca="1">$M$319*$Z$319</f>
        <v>16836.911208091347</v>
      </c>
      <c r="AG319" s="4">
        <f ca="1">$O$319*$AA$319</f>
        <v>7758.2990016710419</v>
      </c>
    </row>
    <row r="320" spans="1:33" ht="11.25" customHeight="1" x14ac:dyDescent="0.3">
      <c r="A320" s="3" t="s">
        <v>21</v>
      </c>
      <c r="B320" s="3" t="s">
        <v>22</v>
      </c>
      <c r="C320" s="3" t="s">
        <v>23</v>
      </c>
      <c r="D320" s="3" t="s">
        <v>24</v>
      </c>
      <c r="E320" s="3" t="s">
        <v>24</v>
      </c>
      <c r="F320" s="3" t="s">
        <v>25</v>
      </c>
      <c r="G320" s="3" t="s">
        <v>25</v>
      </c>
      <c r="H320" s="3" t="s">
        <v>25</v>
      </c>
      <c r="I320" s="6">
        <v>44621</v>
      </c>
      <c r="J320" s="4">
        <v>0</v>
      </c>
      <c r="K320" s="4">
        <v>0</v>
      </c>
      <c r="L320" s="4">
        <v>1978.396</v>
      </c>
      <c r="M320" s="4">
        <v>1978.396</v>
      </c>
      <c r="N320" s="4">
        <v>1978.396</v>
      </c>
      <c r="O320" s="4">
        <v>1978.396</v>
      </c>
      <c r="P320" s="4">
        <v>9119</v>
      </c>
      <c r="Q320" s="3" t="s">
        <v>26</v>
      </c>
      <c r="R320" s="3">
        <v>0</v>
      </c>
      <c r="S320" s="4">
        <v>0</v>
      </c>
      <c r="T320" s="4">
        <v>19</v>
      </c>
      <c r="U320" s="4">
        <v>59</v>
      </c>
      <c r="V320" s="4">
        <f>IF(ISERROR(VLOOKUP($S$320,'TAR FIN'!$A$1:$O$91,15,0)),0,VLOOKUP($S$320,'TAR FIN'!$A$1:$O$91,15,0))</f>
        <v>0</v>
      </c>
      <c r="W320" s="4">
        <f>IF(ISERROR(VLOOKUP($T$320,'TAR FIN'!$A$1:$O$91,15,0)),0,VLOOKUP($T$320,'TAR FIN'!$A$1:$O$91,15,0))</f>
        <v>406.52</v>
      </c>
      <c r="X320" s="4">
        <f>IF(ISERROR(VLOOKUP($U$320,'TAR FIN'!$A$1:$O$91,15,0)),0,VLOOKUP($U$320,'TAR FIN'!$A$1:$O$91,15,0))</f>
        <v>199.03</v>
      </c>
      <c r="Y320" s="4"/>
      <c r="Z320" s="4">
        <f ca="1">('TUSD BE'!$AM$23+'TUSD BF_350'!$AM$23+'TUSD CVA'!$AM$23)*1</f>
        <v>446.02270810064761</v>
      </c>
      <c r="AA320" s="4">
        <f ca="1">('TE BE'!$AB$14+'TE BF_350'!$AB$14+'TE CVA'!$AB$14)*1</f>
        <v>205.52329867469447</v>
      </c>
      <c r="AB320" s="4">
        <f>$K$320*$V$320</f>
        <v>0</v>
      </c>
      <c r="AC320" s="4">
        <f>$M$320*$W$320</f>
        <v>804257.54191999999</v>
      </c>
      <c r="AD320" s="4">
        <f>$O$320*$X$320</f>
        <v>393760.15587999998</v>
      </c>
      <c r="AE320" s="4">
        <f>$K$320*$Y$320</f>
        <v>0</v>
      </c>
      <c r="AF320" s="4">
        <f ca="1">$M$320*$Z$320</f>
        <v>882409.54161548882</v>
      </c>
      <c r="AG320" s="4">
        <f ca="1">$O$320*$AA$320</f>
        <v>406606.47200482083</v>
      </c>
    </row>
    <row r="321" spans="1:33" ht="11.25" customHeight="1" x14ac:dyDescent="0.3">
      <c r="A321" s="3" t="s">
        <v>27</v>
      </c>
      <c r="B321" s="3" t="s">
        <v>22</v>
      </c>
      <c r="C321" s="3" t="s">
        <v>23</v>
      </c>
      <c r="D321" s="3" t="s">
        <v>24</v>
      </c>
      <c r="E321" s="3" t="s">
        <v>24</v>
      </c>
      <c r="F321" s="3" t="s">
        <v>25</v>
      </c>
      <c r="G321" s="3" t="s">
        <v>25</v>
      </c>
      <c r="H321" s="3" t="s">
        <v>25</v>
      </c>
      <c r="I321" s="6">
        <v>44621</v>
      </c>
      <c r="J321" s="4">
        <v>0</v>
      </c>
      <c r="K321" s="4">
        <v>0</v>
      </c>
      <c r="L321" s="4">
        <v>-8.8420000000000005</v>
      </c>
      <c r="M321" s="4">
        <v>-8.8420000000000005</v>
      </c>
      <c r="N321" s="4">
        <v>-8.8420000000000005</v>
      </c>
      <c r="O321" s="4">
        <v>-8.8420000000000005</v>
      </c>
      <c r="P321" s="4">
        <v>0</v>
      </c>
      <c r="Q321" s="3" t="s">
        <v>26</v>
      </c>
      <c r="R321" s="3">
        <v>0</v>
      </c>
      <c r="S321" s="4">
        <v>0</v>
      </c>
      <c r="T321" s="4">
        <v>19</v>
      </c>
      <c r="U321" s="4">
        <v>59</v>
      </c>
      <c r="V321" s="4">
        <f>IF(ISERROR(VLOOKUP($S$321,'TAR FIN'!$A$1:$O$91,15,0)),0,VLOOKUP($S$321,'TAR FIN'!$A$1:$O$91,15,0))</f>
        <v>0</v>
      </c>
      <c r="W321" s="4">
        <f>IF(ISERROR(VLOOKUP($T$321,'TAR FIN'!$A$1:$O$91,15,0)),0,VLOOKUP($T$321,'TAR FIN'!$A$1:$O$91,15,0))</f>
        <v>406.52</v>
      </c>
      <c r="X321" s="4">
        <f>IF(ISERROR(VLOOKUP($U$321,'TAR FIN'!$A$1:$O$91,15,0)),0,VLOOKUP($U$321,'TAR FIN'!$A$1:$O$91,15,0))</f>
        <v>199.03</v>
      </c>
      <c r="Y321" s="4"/>
      <c r="Z321" s="4">
        <f ca="1">('TUSD BE'!$AM$23+'TUSD BF_350'!$AM$23+'TUSD CVA'!$AM$23)*1</f>
        <v>446.02270810064761</v>
      </c>
      <c r="AA321" s="4">
        <f ca="1">('TE BE'!$AB$14+'TE BF_350'!$AB$14+'TE CVA'!$AB$14)*1</f>
        <v>205.52329867469447</v>
      </c>
      <c r="AB321" s="4">
        <f>$K$321*$V$321</f>
        <v>0</v>
      </c>
      <c r="AC321" s="4">
        <f>$M$321*$W$321</f>
        <v>-3594.4498400000002</v>
      </c>
      <c r="AD321" s="4">
        <f>$O$321*$X$321</f>
        <v>-1759.8232600000001</v>
      </c>
      <c r="AE321" s="4">
        <f>$K$321*$Y$321</f>
        <v>0</v>
      </c>
      <c r="AF321" s="4">
        <f ca="1">$M$321*$Z$321</f>
        <v>-3943.7327850259262</v>
      </c>
      <c r="AG321" s="4">
        <f ca="1">$O$321*$AA$321</f>
        <v>-1817.2370068816485</v>
      </c>
    </row>
    <row r="322" spans="1:33" ht="11.25" customHeight="1" x14ac:dyDescent="0.3">
      <c r="A322" s="3" t="s">
        <v>28</v>
      </c>
      <c r="B322" s="3" t="s">
        <v>22</v>
      </c>
      <c r="C322" s="3" t="s">
        <v>23</v>
      </c>
      <c r="D322" s="3" t="s">
        <v>24</v>
      </c>
      <c r="E322" s="3" t="s">
        <v>24</v>
      </c>
      <c r="F322" s="3" t="s">
        <v>25</v>
      </c>
      <c r="G322" s="3" t="s">
        <v>25</v>
      </c>
      <c r="H322" s="3" t="s">
        <v>25</v>
      </c>
      <c r="I322" s="6">
        <v>44621</v>
      </c>
      <c r="J322" s="4">
        <v>0</v>
      </c>
      <c r="K322" s="4">
        <v>0</v>
      </c>
      <c r="L322" s="4">
        <v>34.399000000000001</v>
      </c>
      <c r="M322" s="4">
        <v>34.399000000000001</v>
      </c>
      <c r="N322" s="4">
        <v>34.399000000000001</v>
      </c>
      <c r="O322" s="4">
        <v>34.399000000000001</v>
      </c>
      <c r="P322" s="4">
        <v>201</v>
      </c>
      <c r="Q322" s="3" t="s">
        <v>26</v>
      </c>
      <c r="R322" s="3">
        <v>0</v>
      </c>
      <c r="S322" s="4">
        <v>0</v>
      </c>
      <c r="T322" s="4">
        <v>19</v>
      </c>
      <c r="U322" s="4">
        <v>59</v>
      </c>
      <c r="V322" s="4">
        <f>IF(ISERROR(VLOOKUP($S$322,'TAR FIN'!$A$1:$O$91,15,0)),0,VLOOKUP($S$322,'TAR FIN'!$A$1:$O$91,15,0))</f>
        <v>0</v>
      </c>
      <c r="W322" s="4">
        <f>IF(ISERROR(VLOOKUP($T$322,'TAR FIN'!$A$1:$O$91,15,0)),0,VLOOKUP($T$322,'TAR FIN'!$A$1:$O$91,15,0))</f>
        <v>406.52</v>
      </c>
      <c r="X322" s="4">
        <f>IF(ISERROR(VLOOKUP($U$322,'TAR FIN'!$A$1:$O$91,15,0)),0,VLOOKUP($U$322,'TAR FIN'!$A$1:$O$91,15,0))</f>
        <v>199.03</v>
      </c>
      <c r="Y322" s="4"/>
      <c r="Z322" s="4">
        <f ca="1">('TUSD BE'!$AM$23+'TUSD BF_350'!$AM$23+'TUSD CVA'!$AM$23)*1</f>
        <v>446.02270810064761</v>
      </c>
      <c r="AA322" s="4">
        <f ca="1">('TE BE'!$AB$14+'TE BF_350'!$AB$14+'TE CVA'!$AB$14)*1</f>
        <v>205.52329867469447</v>
      </c>
      <c r="AB322" s="4">
        <f>$K$322*$V$322</f>
        <v>0</v>
      </c>
      <c r="AC322" s="4">
        <f>$M$322*$W$322</f>
        <v>13983.88148</v>
      </c>
      <c r="AD322" s="4">
        <f>$O$322*$X$322</f>
        <v>6846.4329699999998</v>
      </c>
      <c r="AE322" s="4">
        <f>$K$322*$Y$322</f>
        <v>0</v>
      </c>
      <c r="AF322" s="4">
        <f ca="1">$M$322*$Z$322</f>
        <v>15342.735135954177</v>
      </c>
      <c r="AG322" s="4">
        <f ca="1">$O$322*$AA$322</f>
        <v>7069.7959511108156</v>
      </c>
    </row>
    <row r="323" spans="1:33" ht="11.25" customHeight="1" x14ac:dyDescent="0.3">
      <c r="A323" s="3" t="s">
        <v>21</v>
      </c>
      <c r="B323" s="3" t="s">
        <v>22</v>
      </c>
      <c r="C323" s="3" t="s">
        <v>23</v>
      </c>
      <c r="D323" s="3" t="s">
        <v>24</v>
      </c>
      <c r="E323" s="3" t="s">
        <v>24</v>
      </c>
      <c r="F323" s="3" t="s">
        <v>25</v>
      </c>
      <c r="G323" s="3" t="s">
        <v>25</v>
      </c>
      <c r="H323" s="3" t="s">
        <v>25</v>
      </c>
      <c r="I323" s="6">
        <v>44652</v>
      </c>
      <c r="J323" s="4">
        <v>0</v>
      </c>
      <c r="K323" s="4">
        <v>0</v>
      </c>
      <c r="L323" s="4">
        <v>1361.423</v>
      </c>
      <c r="M323" s="4">
        <v>1361.423</v>
      </c>
      <c r="N323" s="4">
        <v>1361.423</v>
      </c>
      <c r="O323" s="4">
        <v>1361.423</v>
      </c>
      <c r="P323" s="4">
        <v>9150</v>
      </c>
      <c r="Q323" s="3" t="s">
        <v>26</v>
      </c>
      <c r="R323" s="3">
        <v>0</v>
      </c>
      <c r="S323" s="4">
        <v>0</v>
      </c>
      <c r="T323" s="4">
        <v>19</v>
      </c>
      <c r="U323" s="4">
        <v>59</v>
      </c>
      <c r="V323" s="4">
        <f>IF(ISERROR(VLOOKUP($S$323,'TAR FIN'!$A$1:$O$91,15,0)),0,VLOOKUP($S$323,'TAR FIN'!$A$1:$O$91,15,0))</f>
        <v>0</v>
      </c>
      <c r="W323" s="4">
        <f>IF(ISERROR(VLOOKUP($T$323,'TAR FIN'!$A$1:$O$91,15,0)),0,VLOOKUP($T$323,'TAR FIN'!$A$1:$O$91,15,0))</f>
        <v>406.52</v>
      </c>
      <c r="X323" s="4">
        <f>IF(ISERROR(VLOOKUP($U$323,'TAR FIN'!$A$1:$O$91,15,0)),0,VLOOKUP($U$323,'TAR FIN'!$A$1:$O$91,15,0))</f>
        <v>199.03</v>
      </c>
      <c r="Y323" s="4"/>
      <c r="Z323" s="4">
        <f ca="1">('TUSD BE'!$AM$23+'TUSD BF_350'!$AM$23+'TUSD CVA'!$AM$23)*1</f>
        <v>446.02270810064761</v>
      </c>
      <c r="AA323" s="4">
        <f ca="1">('TE BE'!$AB$14+'TE BF_350'!$AB$14+'TE CVA'!$AB$14)*1</f>
        <v>205.52329867469447</v>
      </c>
      <c r="AB323" s="4">
        <f>$K$323*$V$323</f>
        <v>0</v>
      </c>
      <c r="AC323" s="4">
        <f>$M$323*$W$323</f>
        <v>553445.67796</v>
      </c>
      <c r="AD323" s="4">
        <f>$O$323*$X$323</f>
        <v>270964.01968999999</v>
      </c>
      <c r="AE323" s="4">
        <f>$K$323*$Y$323</f>
        <v>0</v>
      </c>
      <c r="AF323" s="4">
        <f ca="1">$M$323*$Z$323</f>
        <v>607225.57333050796</v>
      </c>
      <c r="AG323" s="4">
        <f ca="1">$O$323*$AA$323</f>
        <v>279804.14585159859</v>
      </c>
    </row>
    <row r="324" spans="1:33" ht="11.25" customHeight="1" x14ac:dyDescent="0.3">
      <c r="A324" s="3" t="s">
        <v>27</v>
      </c>
      <c r="B324" s="3" t="s">
        <v>22</v>
      </c>
      <c r="C324" s="3" t="s">
        <v>23</v>
      </c>
      <c r="D324" s="3" t="s">
        <v>24</v>
      </c>
      <c r="E324" s="3" t="s">
        <v>24</v>
      </c>
      <c r="F324" s="3" t="s">
        <v>25</v>
      </c>
      <c r="G324" s="3" t="s">
        <v>25</v>
      </c>
      <c r="H324" s="3" t="s">
        <v>25</v>
      </c>
      <c r="I324" s="6">
        <v>44652</v>
      </c>
      <c r="J324" s="4">
        <v>0</v>
      </c>
      <c r="K324" s="4">
        <v>0</v>
      </c>
      <c r="L324" s="4">
        <v>-0.24</v>
      </c>
      <c r="M324" s="4">
        <v>-0.24</v>
      </c>
      <c r="N324" s="4">
        <v>-0.24</v>
      </c>
      <c r="O324" s="4">
        <v>-0.24</v>
      </c>
      <c r="P324" s="4">
        <v>0</v>
      </c>
      <c r="Q324" s="3" t="s">
        <v>26</v>
      </c>
      <c r="R324" s="3">
        <v>0</v>
      </c>
      <c r="S324" s="4">
        <v>0</v>
      </c>
      <c r="T324" s="4">
        <v>19</v>
      </c>
      <c r="U324" s="4">
        <v>59</v>
      </c>
      <c r="V324" s="4">
        <f>IF(ISERROR(VLOOKUP($S$324,'TAR FIN'!$A$1:$O$91,15,0)),0,VLOOKUP($S$324,'TAR FIN'!$A$1:$O$91,15,0))</f>
        <v>0</v>
      </c>
      <c r="W324" s="4">
        <f>IF(ISERROR(VLOOKUP($T$324,'TAR FIN'!$A$1:$O$91,15,0)),0,VLOOKUP($T$324,'TAR FIN'!$A$1:$O$91,15,0))</f>
        <v>406.52</v>
      </c>
      <c r="X324" s="4">
        <f>IF(ISERROR(VLOOKUP($U$324,'TAR FIN'!$A$1:$O$91,15,0)),0,VLOOKUP($U$324,'TAR FIN'!$A$1:$O$91,15,0))</f>
        <v>199.03</v>
      </c>
      <c r="Y324" s="4"/>
      <c r="Z324" s="4">
        <f ca="1">('TUSD BE'!$AM$23+'TUSD BF_350'!$AM$23+'TUSD CVA'!$AM$23)*1</f>
        <v>446.02270810064761</v>
      </c>
      <c r="AA324" s="4">
        <f ca="1">('TE BE'!$AB$14+'TE BF_350'!$AB$14+'TE CVA'!$AB$14)*1</f>
        <v>205.52329867469447</v>
      </c>
      <c r="AB324" s="4">
        <f>$K$324*$V$324</f>
        <v>0</v>
      </c>
      <c r="AC324" s="4">
        <f>$M$324*$W$324</f>
        <v>-97.564799999999991</v>
      </c>
      <c r="AD324" s="4">
        <f>$O$324*$X$324</f>
        <v>-47.767199999999995</v>
      </c>
      <c r="AE324" s="4">
        <f>$K$324*$Y$324</f>
        <v>0</v>
      </c>
      <c r="AF324" s="4">
        <f ca="1">$M$324*$Z$324</f>
        <v>-107.04544994415542</v>
      </c>
      <c r="AG324" s="4">
        <f ca="1">$O$324*$AA$324</f>
        <v>-49.325591681926674</v>
      </c>
    </row>
    <row r="325" spans="1:33" ht="11.25" customHeight="1" x14ac:dyDescent="0.3">
      <c r="A325" s="3" t="s">
        <v>28</v>
      </c>
      <c r="B325" s="3" t="s">
        <v>22</v>
      </c>
      <c r="C325" s="3" t="s">
        <v>23</v>
      </c>
      <c r="D325" s="3" t="s">
        <v>24</v>
      </c>
      <c r="E325" s="3" t="s">
        <v>24</v>
      </c>
      <c r="F325" s="3" t="s">
        <v>25</v>
      </c>
      <c r="G325" s="3" t="s">
        <v>25</v>
      </c>
      <c r="H325" s="3" t="s">
        <v>25</v>
      </c>
      <c r="I325" s="6">
        <v>44652</v>
      </c>
      <c r="J325" s="4">
        <v>0</v>
      </c>
      <c r="K325" s="4">
        <v>0</v>
      </c>
      <c r="L325" s="4">
        <v>22.411999999999999</v>
      </c>
      <c r="M325" s="4">
        <v>22.411999999999999</v>
      </c>
      <c r="N325" s="4">
        <v>22.411999999999999</v>
      </c>
      <c r="O325" s="4">
        <v>22.411999999999999</v>
      </c>
      <c r="P325" s="4">
        <v>212</v>
      </c>
      <c r="Q325" s="3" t="s">
        <v>26</v>
      </c>
      <c r="R325" s="3">
        <v>0</v>
      </c>
      <c r="S325" s="4">
        <v>0</v>
      </c>
      <c r="T325" s="4">
        <v>19</v>
      </c>
      <c r="U325" s="4">
        <v>59</v>
      </c>
      <c r="V325" s="4">
        <f>IF(ISERROR(VLOOKUP($S$325,'TAR FIN'!$A$1:$O$91,15,0)),0,VLOOKUP($S$325,'TAR FIN'!$A$1:$O$91,15,0))</f>
        <v>0</v>
      </c>
      <c r="W325" s="4">
        <f>IF(ISERROR(VLOOKUP($T$325,'TAR FIN'!$A$1:$O$91,15,0)),0,VLOOKUP($T$325,'TAR FIN'!$A$1:$O$91,15,0))</f>
        <v>406.52</v>
      </c>
      <c r="X325" s="4">
        <f>IF(ISERROR(VLOOKUP($U$325,'TAR FIN'!$A$1:$O$91,15,0)),0,VLOOKUP($U$325,'TAR FIN'!$A$1:$O$91,15,0))</f>
        <v>199.03</v>
      </c>
      <c r="Y325" s="4"/>
      <c r="Z325" s="4">
        <f ca="1">('TUSD BE'!$AM$23+'TUSD BF_350'!$AM$23+'TUSD CVA'!$AM$23)*1</f>
        <v>446.02270810064761</v>
      </c>
      <c r="AA325" s="4">
        <f ca="1">('TE BE'!$AB$14+'TE BF_350'!$AB$14+'TE CVA'!$AB$14)*1</f>
        <v>205.52329867469447</v>
      </c>
      <c r="AB325" s="4">
        <f>$K$325*$V$325</f>
        <v>0</v>
      </c>
      <c r="AC325" s="4">
        <f>$M$325*$W$325</f>
        <v>9110.9262399999989</v>
      </c>
      <c r="AD325" s="4">
        <f>$O$325*$X$325</f>
        <v>4460.6603599999999</v>
      </c>
      <c r="AE325" s="4">
        <f>$K$325*$Y$325</f>
        <v>0</v>
      </c>
      <c r="AF325" s="4">
        <f ca="1">$M$325*$Z$325</f>
        <v>9996.260933951713</v>
      </c>
      <c r="AG325" s="4">
        <f ca="1">$O$325*$AA$325</f>
        <v>4606.188169897252</v>
      </c>
    </row>
    <row r="326" spans="1:33" ht="11.25" customHeight="1" x14ac:dyDescent="0.3">
      <c r="A326" s="3" t="s">
        <v>21</v>
      </c>
      <c r="B326" s="3" t="s">
        <v>22</v>
      </c>
      <c r="C326" s="3" t="s">
        <v>23</v>
      </c>
      <c r="D326" s="3" t="s">
        <v>24</v>
      </c>
      <c r="E326" s="3" t="s">
        <v>24</v>
      </c>
      <c r="F326" s="3" t="s">
        <v>25</v>
      </c>
      <c r="G326" s="3" t="s">
        <v>25</v>
      </c>
      <c r="H326" s="3" t="s">
        <v>25</v>
      </c>
      <c r="I326" s="6">
        <v>44682</v>
      </c>
      <c r="J326" s="4">
        <v>0</v>
      </c>
      <c r="K326" s="4">
        <v>0</v>
      </c>
      <c r="L326" s="4">
        <v>1350.643</v>
      </c>
      <c r="M326" s="4">
        <v>1350.643</v>
      </c>
      <c r="N326" s="4">
        <v>1350.643</v>
      </c>
      <c r="O326" s="4">
        <v>1350.643</v>
      </c>
      <c r="P326" s="4">
        <v>8818</v>
      </c>
      <c r="Q326" s="3" t="s">
        <v>26</v>
      </c>
      <c r="R326" s="3">
        <v>0</v>
      </c>
      <c r="S326" s="4">
        <v>0</v>
      </c>
      <c r="T326" s="4">
        <v>19</v>
      </c>
      <c r="U326" s="4">
        <v>59</v>
      </c>
      <c r="V326" s="4">
        <f>IF(ISERROR(VLOOKUP($S$326,'TAR FIN'!$A$1:$O$91,15,0)),0,VLOOKUP($S$326,'TAR FIN'!$A$1:$O$91,15,0))</f>
        <v>0</v>
      </c>
      <c r="W326" s="4">
        <f>IF(ISERROR(VLOOKUP($T$326,'TAR FIN'!$A$1:$O$91,15,0)),0,VLOOKUP($T$326,'TAR FIN'!$A$1:$O$91,15,0))</f>
        <v>406.52</v>
      </c>
      <c r="X326" s="4">
        <f>IF(ISERROR(VLOOKUP($U$326,'TAR FIN'!$A$1:$O$91,15,0)),0,VLOOKUP($U$326,'TAR FIN'!$A$1:$O$91,15,0))</f>
        <v>199.03</v>
      </c>
      <c r="Y326" s="4"/>
      <c r="Z326" s="4">
        <f ca="1">('TUSD BE'!$AM$23+'TUSD BF_350'!$AM$23+'TUSD CVA'!$AM$23)*1</f>
        <v>446.02270810064761</v>
      </c>
      <c r="AA326" s="4">
        <f ca="1">('TE BE'!$AB$14+'TE BF_350'!$AB$14+'TE CVA'!$AB$14)*1</f>
        <v>205.52329867469447</v>
      </c>
      <c r="AB326" s="4">
        <f>$K$326*$V$326</f>
        <v>0</v>
      </c>
      <c r="AC326" s="4">
        <f>$M$326*$W$326</f>
        <v>549063.39235999994</v>
      </c>
      <c r="AD326" s="4">
        <f>$O$326*$X$326</f>
        <v>268818.47629000002</v>
      </c>
      <c r="AE326" s="4">
        <f>$K$326*$Y$326</f>
        <v>0</v>
      </c>
      <c r="AF326" s="4">
        <f ca="1">$M$326*$Z$326</f>
        <v>602417.44853718299</v>
      </c>
      <c r="AG326" s="4">
        <f ca="1">$O$326*$AA$326</f>
        <v>277588.60469188535</v>
      </c>
    </row>
    <row r="327" spans="1:33" ht="11.25" customHeight="1" x14ac:dyDescent="0.3">
      <c r="A327" s="3" t="s">
        <v>27</v>
      </c>
      <c r="B327" s="3" t="s">
        <v>22</v>
      </c>
      <c r="C327" s="3" t="s">
        <v>23</v>
      </c>
      <c r="D327" s="3" t="s">
        <v>24</v>
      </c>
      <c r="E327" s="3" t="s">
        <v>24</v>
      </c>
      <c r="F327" s="3" t="s">
        <v>25</v>
      </c>
      <c r="G327" s="3" t="s">
        <v>25</v>
      </c>
      <c r="H327" s="3" t="s">
        <v>25</v>
      </c>
      <c r="I327" s="6">
        <v>44682</v>
      </c>
      <c r="J327" s="4">
        <v>0</v>
      </c>
      <c r="K327" s="4">
        <v>0</v>
      </c>
      <c r="L327" s="4">
        <v>-1.476</v>
      </c>
      <c r="M327" s="4">
        <v>-1.476</v>
      </c>
      <c r="N327" s="4">
        <v>-1.476</v>
      </c>
      <c r="O327" s="4">
        <v>-1.476</v>
      </c>
      <c r="P327" s="4">
        <v>0</v>
      </c>
      <c r="Q327" s="3" t="s">
        <v>26</v>
      </c>
      <c r="R327" s="3">
        <v>0</v>
      </c>
      <c r="S327" s="4">
        <v>0</v>
      </c>
      <c r="T327" s="4">
        <v>19</v>
      </c>
      <c r="U327" s="4">
        <v>59</v>
      </c>
      <c r="V327" s="4">
        <f>IF(ISERROR(VLOOKUP($S$327,'TAR FIN'!$A$1:$O$91,15,0)),0,VLOOKUP($S$327,'TAR FIN'!$A$1:$O$91,15,0))</f>
        <v>0</v>
      </c>
      <c r="W327" s="4">
        <f>IF(ISERROR(VLOOKUP($T$327,'TAR FIN'!$A$1:$O$91,15,0)),0,VLOOKUP($T$327,'TAR FIN'!$A$1:$O$91,15,0))</f>
        <v>406.52</v>
      </c>
      <c r="X327" s="4">
        <f>IF(ISERROR(VLOOKUP($U$327,'TAR FIN'!$A$1:$O$91,15,0)),0,VLOOKUP($U$327,'TAR FIN'!$A$1:$O$91,15,0))</f>
        <v>199.03</v>
      </c>
      <c r="Y327" s="4"/>
      <c r="Z327" s="4">
        <f ca="1">('TUSD BE'!$AM$23+'TUSD BF_350'!$AM$23+'TUSD CVA'!$AM$23)*1</f>
        <v>446.02270810064761</v>
      </c>
      <c r="AA327" s="4">
        <f ca="1">('TE BE'!$AB$14+'TE BF_350'!$AB$14+'TE CVA'!$AB$14)*1</f>
        <v>205.52329867469447</v>
      </c>
      <c r="AB327" s="4">
        <f>$K$327*$V$327</f>
        <v>0</v>
      </c>
      <c r="AC327" s="4">
        <f>$M$327*$W$327</f>
        <v>-600.02351999999996</v>
      </c>
      <c r="AD327" s="4">
        <f>$O$327*$X$327</f>
        <v>-293.76828</v>
      </c>
      <c r="AE327" s="4">
        <f>$K$327*$Y$327</f>
        <v>0</v>
      </c>
      <c r="AF327" s="4">
        <f ca="1">$M$327*$Z$327</f>
        <v>-658.32951715655588</v>
      </c>
      <c r="AG327" s="4">
        <f ca="1">$O$327*$AA$327</f>
        <v>-303.35238884384904</v>
      </c>
    </row>
    <row r="328" spans="1:33" ht="11.25" customHeight="1" x14ac:dyDescent="0.3">
      <c r="A328" s="3" t="s">
        <v>28</v>
      </c>
      <c r="B328" s="3" t="s">
        <v>22</v>
      </c>
      <c r="C328" s="3" t="s">
        <v>23</v>
      </c>
      <c r="D328" s="3" t="s">
        <v>24</v>
      </c>
      <c r="E328" s="3" t="s">
        <v>24</v>
      </c>
      <c r="F328" s="3" t="s">
        <v>25</v>
      </c>
      <c r="G328" s="3" t="s">
        <v>25</v>
      </c>
      <c r="H328" s="3" t="s">
        <v>25</v>
      </c>
      <c r="I328" s="6">
        <v>44682</v>
      </c>
      <c r="J328" s="4">
        <v>0</v>
      </c>
      <c r="K328" s="4">
        <v>0</v>
      </c>
      <c r="L328" s="4">
        <v>26.657</v>
      </c>
      <c r="M328" s="4">
        <v>26.657</v>
      </c>
      <c r="N328" s="4">
        <v>26.657</v>
      </c>
      <c r="O328" s="4">
        <v>26.657</v>
      </c>
      <c r="P328" s="4">
        <v>225</v>
      </c>
      <c r="Q328" s="3" t="s">
        <v>26</v>
      </c>
      <c r="R328" s="3">
        <v>0</v>
      </c>
      <c r="S328" s="4">
        <v>0</v>
      </c>
      <c r="T328" s="4">
        <v>19</v>
      </c>
      <c r="U328" s="4">
        <v>59</v>
      </c>
      <c r="V328" s="4">
        <f>IF(ISERROR(VLOOKUP($S$328,'TAR FIN'!$A$1:$O$91,15,0)),0,VLOOKUP($S$328,'TAR FIN'!$A$1:$O$91,15,0))</f>
        <v>0</v>
      </c>
      <c r="W328" s="4">
        <f>IF(ISERROR(VLOOKUP($T$328,'TAR FIN'!$A$1:$O$91,15,0)),0,VLOOKUP($T$328,'TAR FIN'!$A$1:$O$91,15,0))</f>
        <v>406.52</v>
      </c>
      <c r="X328" s="4">
        <f>IF(ISERROR(VLOOKUP($U$328,'TAR FIN'!$A$1:$O$91,15,0)),0,VLOOKUP($U$328,'TAR FIN'!$A$1:$O$91,15,0))</f>
        <v>199.03</v>
      </c>
      <c r="Y328" s="4"/>
      <c r="Z328" s="4">
        <f ca="1">('TUSD BE'!$AM$23+'TUSD BF_350'!$AM$23+'TUSD CVA'!$AM$23)*1</f>
        <v>446.02270810064761</v>
      </c>
      <c r="AA328" s="4">
        <f ca="1">('TE BE'!$AB$14+'TE BF_350'!$AB$14+'TE CVA'!$AB$14)*1</f>
        <v>205.52329867469447</v>
      </c>
      <c r="AB328" s="4">
        <f>$K$328*$V$328</f>
        <v>0</v>
      </c>
      <c r="AC328" s="4">
        <f>$M$328*$W$328</f>
        <v>10836.603639999999</v>
      </c>
      <c r="AD328" s="4">
        <f>$O$328*$X$328</f>
        <v>5305.5427099999997</v>
      </c>
      <c r="AE328" s="4">
        <f>$K$328*$Y$328</f>
        <v>0</v>
      </c>
      <c r="AF328" s="4">
        <f ca="1">$M$328*$Z$328</f>
        <v>11889.627329838962</v>
      </c>
      <c r="AG328" s="4">
        <f ca="1">$O$328*$AA$328</f>
        <v>5478.6345727713306</v>
      </c>
    </row>
    <row r="329" spans="1:33" ht="11.25" customHeight="1" x14ac:dyDescent="0.3">
      <c r="A329" s="3" t="s">
        <v>21</v>
      </c>
      <c r="B329" s="3" t="s">
        <v>22</v>
      </c>
      <c r="C329" s="3" t="s">
        <v>23</v>
      </c>
      <c r="D329" s="3" t="s">
        <v>24</v>
      </c>
      <c r="E329" s="3" t="s">
        <v>24</v>
      </c>
      <c r="F329" s="3" t="s">
        <v>25</v>
      </c>
      <c r="G329" s="3" t="s">
        <v>25</v>
      </c>
      <c r="H329" s="3" t="s">
        <v>25</v>
      </c>
      <c r="I329" s="6">
        <v>44713</v>
      </c>
      <c r="J329" s="4">
        <v>0</v>
      </c>
      <c r="K329" s="4">
        <v>0</v>
      </c>
      <c r="L329" s="4">
        <v>1479.26</v>
      </c>
      <c r="M329" s="4">
        <v>1479.26</v>
      </c>
      <c r="N329" s="4">
        <v>1479.26</v>
      </c>
      <c r="O329" s="4">
        <v>1479.26</v>
      </c>
      <c r="P329" s="4">
        <v>8837</v>
      </c>
      <c r="Q329" s="3" t="s">
        <v>26</v>
      </c>
      <c r="R329" s="3">
        <v>0</v>
      </c>
      <c r="S329" s="4">
        <v>0</v>
      </c>
      <c r="T329" s="4">
        <v>19</v>
      </c>
      <c r="U329" s="4">
        <v>59</v>
      </c>
      <c r="V329" s="4">
        <f>IF(ISERROR(VLOOKUP($S$329,'TAR FIN'!$A$1:$O$91,15,0)),0,VLOOKUP($S$329,'TAR FIN'!$A$1:$O$91,15,0))</f>
        <v>0</v>
      </c>
      <c r="W329" s="4">
        <f>IF(ISERROR(VLOOKUP($T$329,'TAR FIN'!$A$1:$O$91,15,0)),0,VLOOKUP($T$329,'TAR FIN'!$A$1:$O$91,15,0))</f>
        <v>406.52</v>
      </c>
      <c r="X329" s="4">
        <f>IF(ISERROR(VLOOKUP($U$329,'TAR FIN'!$A$1:$O$91,15,0)),0,VLOOKUP($U$329,'TAR FIN'!$A$1:$O$91,15,0))</f>
        <v>199.03</v>
      </c>
      <c r="Y329" s="4"/>
      <c r="Z329" s="4">
        <f ca="1">('TUSD BE'!$AM$23+'TUSD BF_350'!$AM$23+'TUSD CVA'!$AM$23)*1</f>
        <v>446.02270810064761</v>
      </c>
      <c r="AA329" s="4">
        <f ca="1">('TE BE'!$AB$14+'TE BF_350'!$AB$14+'TE CVA'!$AB$14)*1</f>
        <v>205.52329867469447</v>
      </c>
      <c r="AB329" s="4">
        <f>$K$329*$V$329</f>
        <v>0</v>
      </c>
      <c r="AC329" s="4">
        <f>$M$329*$W$329</f>
        <v>601348.77519999992</v>
      </c>
      <c r="AD329" s="4">
        <f>$O$329*$X$329</f>
        <v>294417.11780000001</v>
      </c>
      <c r="AE329" s="4">
        <f>$K$329*$Y$329</f>
        <v>0</v>
      </c>
      <c r="AF329" s="4">
        <f ca="1">$M$329*$Z$329</f>
        <v>659783.55118496402</v>
      </c>
      <c r="AG329" s="4">
        <f ca="1">$O$329*$AA$329</f>
        <v>304022.39479752857</v>
      </c>
    </row>
    <row r="330" spans="1:33" ht="11.25" customHeight="1" x14ac:dyDescent="0.3">
      <c r="A330" s="3" t="s">
        <v>28</v>
      </c>
      <c r="B330" s="3" t="s">
        <v>22</v>
      </c>
      <c r="C330" s="3" t="s">
        <v>23</v>
      </c>
      <c r="D330" s="3" t="s">
        <v>24</v>
      </c>
      <c r="E330" s="3" t="s">
        <v>24</v>
      </c>
      <c r="F330" s="3" t="s">
        <v>25</v>
      </c>
      <c r="G330" s="3" t="s">
        <v>25</v>
      </c>
      <c r="H330" s="3" t="s">
        <v>25</v>
      </c>
      <c r="I330" s="6">
        <v>44713</v>
      </c>
      <c r="J330" s="4">
        <v>0</v>
      </c>
      <c r="K330" s="4">
        <v>0</v>
      </c>
      <c r="L330" s="4">
        <v>38.671999999999997</v>
      </c>
      <c r="M330" s="4">
        <v>38.671999999999997</v>
      </c>
      <c r="N330" s="4">
        <v>38.671999999999997</v>
      </c>
      <c r="O330" s="4">
        <v>38.671999999999997</v>
      </c>
      <c r="P330" s="4">
        <v>251</v>
      </c>
      <c r="Q330" s="3" t="s">
        <v>26</v>
      </c>
      <c r="R330" s="3">
        <v>0</v>
      </c>
      <c r="S330" s="4">
        <v>0</v>
      </c>
      <c r="T330" s="4">
        <v>19</v>
      </c>
      <c r="U330" s="4">
        <v>59</v>
      </c>
      <c r="V330" s="4">
        <f>IF(ISERROR(VLOOKUP($S$330,'TAR FIN'!$A$1:$O$91,15,0)),0,VLOOKUP($S$330,'TAR FIN'!$A$1:$O$91,15,0))</f>
        <v>0</v>
      </c>
      <c r="W330" s="4">
        <f>IF(ISERROR(VLOOKUP($T$330,'TAR FIN'!$A$1:$O$91,15,0)),0,VLOOKUP($T$330,'TAR FIN'!$A$1:$O$91,15,0))</f>
        <v>406.52</v>
      </c>
      <c r="X330" s="4">
        <f>IF(ISERROR(VLOOKUP($U$330,'TAR FIN'!$A$1:$O$91,15,0)),0,VLOOKUP($U$330,'TAR FIN'!$A$1:$O$91,15,0))</f>
        <v>199.03</v>
      </c>
      <c r="Y330" s="4"/>
      <c r="Z330" s="4">
        <f ca="1">('TUSD BE'!$AM$23+'TUSD BF_350'!$AM$23+'TUSD CVA'!$AM$23)*1</f>
        <v>446.02270810064761</v>
      </c>
      <c r="AA330" s="4">
        <f ca="1">('TE BE'!$AB$14+'TE BF_350'!$AB$14+'TE CVA'!$AB$14)*1</f>
        <v>205.52329867469447</v>
      </c>
      <c r="AB330" s="4">
        <f>$K$330*$V$330</f>
        <v>0</v>
      </c>
      <c r="AC330" s="4">
        <f>$M$330*$W$330</f>
        <v>15720.941439999999</v>
      </c>
      <c r="AD330" s="4">
        <f>$O$330*$X$330</f>
        <v>7696.8881599999995</v>
      </c>
      <c r="AE330" s="4">
        <f>$K$330*$Y$330</f>
        <v>0</v>
      </c>
      <c r="AF330" s="4">
        <f ca="1">$M$330*$Z$330</f>
        <v>17248.590167668244</v>
      </c>
      <c r="AG330" s="4">
        <f ca="1">$O$330*$AA$330</f>
        <v>7947.997006347784</v>
      </c>
    </row>
    <row r="331" spans="1:33" ht="11.25" customHeight="1" x14ac:dyDescent="0.3">
      <c r="A331" s="3" t="s">
        <v>21</v>
      </c>
      <c r="B331" s="3" t="s">
        <v>22</v>
      </c>
      <c r="C331" s="3" t="s">
        <v>23</v>
      </c>
      <c r="D331" s="3" t="s">
        <v>24</v>
      </c>
      <c r="E331" s="3" t="s">
        <v>29</v>
      </c>
      <c r="F331" s="3" t="s">
        <v>25</v>
      </c>
      <c r="G331" s="3" t="s">
        <v>25</v>
      </c>
      <c r="H331" s="3" t="s">
        <v>25</v>
      </c>
      <c r="I331" s="6">
        <v>44378</v>
      </c>
      <c r="J331" s="4">
        <v>0</v>
      </c>
      <c r="K331" s="4">
        <v>0</v>
      </c>
      <c r="L331" s="4">
        <v>32.19</v>
      </c>
      <c r="M331" s="4">
        <v>32.19</v>
      </c>
      <c r="N331" s="4">
        <v>32.19</v>
      </c>
      <c r="O331" s="4">
        <v>32.19</v>
      </c>
      <c r="P331" s="4">
        <v>64</v>
      </c>
      <c r="Q331" s="3" t="s">
        <v>26</v>
      </c>
      <c r="R331" s="3">
        <v>0</v>
      </c>
      <c r="S331" s="4">
        <v>0</v>
      </c>
      <c r="T331" s="4">
        <v>20</v>
      </c>
      <c r="U331" s="4">
        <v>60</v>
      </c>
      <c r="V331" s="4">
        <f>IF(ISERROR(VLOOKUP($S$331,'TAR FIN'!$A$1:$O$91,15,0)),0,VLOOKUP($S$331,'TAR FIN'!$A$1:$O$91,15,0))</f>
        <v>0</v>
      </c>
      <c r="W331" s="4">
        <f>IF(ISERROR(VLOOKUP($T$331,'TAR FIN'!$A$1:$O$91,15,0)),0,VLOOKUP($T$331,'TAR FIN'!$A$1:$O$91,15,0))</f>
        <v>112.15</v>
      </c>
      <c r="X331" s="4">
        <f>IF(ISERROR(VLOOKUP($U$331,'TAR FIN'!$A$1:$O$91,15,0)),0,VLOOKUP($U$331,'TAR FIN'!$A$1:$O$91,15,0))</f>
        <v>69.66</v>
      </c>
      <c r="Y331" s="4"/>
      <c r="Z331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1" s="4">
        <f ca="1">('TE BE'!$AB$15+'TE BF_350'!$AB$15+'TE CVA'!$AB$15)*(1-CUSTOS!$M$34)</f>
        <v>71.933154536143064</v>
      </c>
      <c r="AB331" s="4">
        <f>$K$331*$V$331</f>
        <v>0</v>
      </c>
      <c r="AC331" s="4">
        <f>$M$331*$W$331</f>
        <v>3610.1084999999998</v>
      </c>
      <c r="AD331" s="4">
        <f>$O$331*$X$331</f>
        <v>2242.3553999999999</v>
      </c>
      <c r="AE331" s="4">
        <f>$K$331*$Y$331</f>
        <v>0</v>
      </c>
      <c r="AF331" s="4">
        <f ca="1">$M$331*$Z$331</f>
        <v>3819.3143718482029</v>
      </c>
      <c r="AG331" s="4">
        <f ca="1">$O$331*$AA$331</f>
        <v>2315.5282445184453</v>
      </c>
    </row>
    <row r="332" spans="1:33" ht="11.25" customHeight="1" x14ac:dyDescent="0.3">
      <c r="A332" s="3" t="s">
        <v>28</v>
      </c>
      <c r="B332" s="3" t="s">
        <v>22</v>
      </c>
      <c r="C332" s="3" t="s">
        <v>23</v>
      </c>
      <c r="D332" s="3" t="s">
        <v>24</v>
      </c>
      <c r="E332" s="3" t="s">
        <v>29</v>
      </c>
      <c r="F332" s="3" t="s">
        <v>25</v>
      </c>
      <c r="G332" s="3" t="s">
        <v>25</v>
      </c>
      <c r="H332" s="3" t="s">
        <v>25</v>
      </c>
      <c r="I332" s="6">
        <v>44378</v>
      </c>
      <c r="J332" s="4">
        <v>0</v>
      </c>
      <c r="K332" s="4">
        <v>0</v>
      </c>
      <c r="L332" s="4">
        <v>0.06</v>
      </c>
      <c r="M332" s="4">
        <v>0.06</v>
      </c>
      <c r="N332" s="4">
        <v>0.06</v>
      </c>
      <c r="O332" s="4">
        <v>0.06</v>
      </c>
      <c r="P332" s="4">
        <v>1</v>
      </c>
      <c r="Q332" s="3" t="s">
        <v>26</v>
      </c>
      <c r="R332" s="3">
        <v>0</v>
      </c>
      <c r="S332" s="4">
        <v>0</v>
      </c>
      <c r="T332" s="4">
        <v>20</v>
      </c>
      <c r="U332" s="4">
        <v>60</v>
      </c>
      <c r="V332" s="4">
        <f>IF(ISERROR(VLOOKUP($S$332,'TAR FIN'!$A$1:$O$91,15,0)),0,VLOOKUP($S$332,'TAR FIN'!$A$1:$O$91,15,0))</f>
        <v>0</v>
      </c>
      <c r="W332" s="4">
        <f>IF(ISERROR(VLOOKUP($T$332,'TAR FIN'!$A$1:$O$91,15,0)),0,VLOOKUP($T$332,'TAR FIN'!$A$1:$O$91,15,0))</f>
        <v>112.15</v>
      </c>
      <c r="X332" s="4">
        <f>IF(ISERROR(VLOOKUP($U$332,'TAR FIN'!$A$1:$O$91,15,0)),0,VLOOKUP($U$332,'TAR FIN'!$A$1:$O$91,15,0))</f>
        <v>69.66</v>
      </c>
      <c r="Y332" s="4"/>
      <c r="Z332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2" s="4">
        <f ca="1">('TE BE'!$AB$15+'TE BF_350'!$AB$15+'TE CVA'!$AB$15)*(1-CUSTOS!$M$34)</f>
        <v>71.933154536143064</v>
      </c>
      <c r="AB332" s="4">
        <f>$K$332*$V$332</f>
        <v>0</v>
      </c>
      <c r="AC332" s="4">
        <f>$M$332*$W$332</f>
        <v>6.7290000000000001</v>
      </c>
      <c r="AD332" s="4">
        <f>$O$332*$X$332</f>
        <v>4.1795999999999998</v>
      </c>
      <c r="AE332" s="4">
        <f>$K$332*$Y$332</f>
        <v>0</v>
      </c>
      <c r="AF332" s="4">
        <f ca="1">$M$332*$Z$332</f>
        <v>7.1189457070795958</v>
      </c>
      <c r="AG332" s="4">
        <f ca="1">$O$332*$AA$332</f>
        <v>4.3159892721685837</v>
      </c>
    </row>
    <row r="333" spans="1:33" ht="11.25" customHeight="1" x14ac:dyDescent="0.3">
      <c r="A333" s="3" t="s">
        <v>21</v>
      </c>
      <c r="B333" s="3" t="s">
        <v>22</v>
      </c>
      <c r="C333" s="3" t="s">
        <v>23</v>
      </c>
      <c r="D333" s="3" t="s">
        <v>24</v>
      </c>
      <c r="E333" s="3" t="s">
        <v>29</v>
      </c>
      <c r="F333" s="3" t="s">
        <v>25</v>
      </c>
      <c r="G333" s="3" t="s">
        <v>25</v>
      </c>
      <c r="H333" s="3" t="s">
        <v>25</v>
      </c>
      <c r="I333" s="6">
        <v>44409</v>
      </c>
      <c r="J333" s="4">
        <v>0</v>
      </c>
      <c r="K333" s="4">
        <v>0</v>
      </c>
      <c r="L333" s="4">
        <v>32.31</v>
      </c>
      <c r="M333" s="4">
        <v>32.31</v>
      </c>
      <c r="N333" s="4">
        <v>32.31</v>
      </c>
      <c r="O333" s="4">
        <v>32.31</v>
      </c>
      <c r="P333" s="4">
        <v>63</v>
      </c>
      <c r="Q333" s="3" t="s">
        <v>26</v>
      </c>
      <c r="R333" s="3">
        <v>0</v>
      </c>
      <c r="S333" s="4">
        <v>0</v>
      </c>
      <c r="T333" s="4">
        <v>20</v>
      </c>
      <c r="U333" s="4">
        <v>60</v>
      </c>
      <c r="V333" s="4">
        <f>IF(ISERROR(VLOOKUP($S$333,'TAR FIN'!$A$1:$O$91,15,0)),0,VLOOKUP($S$333,'TAR FIN'!$A$1:$O$91,15,0))</f>
        <v>0</v>
      </c>
      <c r="W333" s="4">
        <f>IF(ISERROR(VLOOKUP($T$333,'TAR FIN'!$A$1:$O$91,15,0)),0,VLOOKUP($T$333,'TAR FIN'!$A$1:$O$91,15,0))</f>
        <v>112.15</v>
      </c>
      <c r="X333" s="4">
        <f>IF(ISERROR(VLOOKUP($U$333,'TAR FIN'!$A$1:$O$91,15,0)),0,VLOOKUP($U$333,'TAR FIN'!$A$1:$O$91,15,0))</f>
        <v>69.66</v>
      </c>
      <c r="Y333" s="4"/>
      <c r="Z333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3" s="4">
        <f ca="1">('TE BE'!$AB$15+'TE BF_350'!$AB$15+'TE CVA'!$AB$15)*(1-CUSTOS!$M$34)</f>
        <v>71.933154536143064</v>
      </c>
      <c r="AB333" s="4">
        <f>$K$333*$V$333</f>
        <v>0</v>
      </c>
      <c r="AC333" s="4">
        <f>$M$333*$W$333</f>
        <v>3623.5665000000004</v>
      </c>
      <c r="AD333" s="4">
        <f>$O$333*$X$333</f>
        <v>2250.7146000000002</v>
      </c>
      <c r="AE333" s="4">
        <f>$K$333*$Y$333</f>
        <v>0</v>
      </c>
      <c r="AF333" s="4">
        <f ca="1">$M$333*$Z$333</f>
        <v>3833.5522632623629</v>
      </c>
      <c r="AG333" s="4">
        <f ca="1">$O$333*$AA$333</f>
        <v>2324.1602230627827</v>
      </c>
    </row>
    <row r="334" spans="1:33" ht="11.25" customHeight="1" x14ac:dyDescent="0.3">
      <c r="A334" s="3" t="s">
        <v>28</v>
      </c>
      <c r="B334" s="3" t="s">
        <v>22</v>
      </c>
      <c r="C334" s="3" t="s">
        <v>23</v>
      </c>
      <c r="D334" s="3" t="s">
        <v>24</v>
      </c>
      <c r="E334" s="3" t="s">
        <v>29</v>
      </c>
      <c r="F334" s="3" t="s">
        <v>25</v>
      </c>
      <c r="G334" s="3" t="s">
        <v>25</v>
      </c>
      <c r="H334" s="3" t="s">
        <v>25</v>
      </c>
      <c r="I334" s="6">
        <v>44409</v>
      </c>
      <c r="J334" s="4">
        <v>0</v>
      </c>
      <c r="K334" s="4">
        <v>0</v>
      </c>
      <c r="L334" s="4">
        <v>0.03</v>
      </c>
      <c r="M334" s="4">
        <v>0.03</v>
      </c>
      <c r="N334" s="4">
        <v>0.03</v>
      </c>
      <c r="O334" s="4">
        <v>0.03</v>
      </c>
      <c r="P334" s="4">
        <v>1</v>
      </c>
      <c r="Q334" s="3" t="s">
        <v>26</v>
      </c>
      <c r="R334" s="3">
        <v>0</v>
      </c>
      <c r="S334" s="4">
        <v>0</v>
      </c>
      <c r="T334" s="4">
        <v>20</v>
      </c>
      <c r="U334" s="4">
        <v>60</v>
      </c>
      <c r="V334" s="4">
        <f>IF(ISERROR(VLOOKUP($S$334,'TAR FIN'!$A$1:$O$91,15,0)),0,VLOOKUP($S$334,'TAR FIN'!$A$1:$O$91,15,0))</f>
        <v>0</v>
      </c>
      <c r="W334" s="4">
        <f>IF(ISERROR(VLOOKUP($T$334,'TAR FIN'!$A$1:$O$91,15,0)),0,VLOOKUP($T$334,'TAR FIN'!$A$1:$O$91,15,0))</f>
        <v>112.15</v>
      </c>
      <c r="X334" s="4">
        <f>IF(ISERROR(VLOOKUP($U$334,'TAR FIN'!$A$1:$O$91,15,0)),0,VLOOKUP($U$334,'TAR FIN'!$A$1:$O$91,15,0))</f>
        <v>69.66</v>
      </c>
      <c r="Y334" s="4"/>
      <c r="Z334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4" s="4">
        <f ca="1">('TE BE'!$AB$15+'TE BF_350'!$AB$15+'TE CVA'!$AB$15)*(1-CUSTOS!$M$34)</f>
        <v>71.933154536143064</v>
      </c>
      <c r="AB334" s="4">
        <f>$K$334*$V$334</f>
        <v>0</v>
      </c>
      <c r="AC334" s="4">
        <f>$M$334*$W$334</f>
        <v>3.3645</v>
      </c>
      <c r="AD334" s="4">
        <f>$O$334*$X$334</f>
        <v>2.0897999999999999</v>
      </c>
      <c r="AE334" s="4">
        <f>$K$334*$Y$334</f>
        <v>0</v>
      </c>
      <c r="AF334" s="4">
        <f ca="1">$M$334*$Z$334</f>
        <v>3.5594728535397979</v>
      </c>
      <c r="AG334" s="4">
        <f ca="1">$O$334*$AA$334</f>
        <v>2.1579946360842919</v>
      </c>
    </row>
    <row r="335" spans="1:33" ht="11.25" customHeight="1" x14ac:dyDescent="0.3">
      <c r="A335" s="3" t="s">
        <v>21</v>
      </c>
      <c r="B335" s="3" t="s">
        <v>22</v>
      </c>
      <c r="C335" s="3" t="s">
        <v>23</v>
      </c>
      <c r="D335" s="3" t="s">
        <v>24</v>
      </c>
      <c r="E335" s="3" t="s">
        <v>29</v>
      </c>
      <c r="F335" s="3" t="s">
        <v>25</v>
      </c>
      <c r="G335" s="3" t="s">
        <v>25</v>
      </c>
      <c r="H335" s="3" t="s">
        <v>25</v>
      </c>
      <c r="I335" s="6">
        <v>44440</v>
      </c>
      <c r="J335" s="4">
        <v>0</v>
      </c>
      <c r="K335" s="4">
        <v>0</v>
      </c>
      <c r="L335" s="4">
        <v>32.58</v>
      </c>
      <c r="M335" s="4">
        <v>32.58</v>
      </c>
      <c r="N335" s="4">
        <v>32.58</v>
      </c>
      <c r="O335" s="4">
        <v>32.58</v>
      </c>
      <c r="P335" s="4">
        <v>51</v>
      </c>
      <c r="Q335" s="3" t="s">
        <v>26</v>
      </c>
      <c r="R335" s="3">
        <v>0</v>
      </c>
      <c r="S335" s="4">
        <v>0</v>
      </c>
      <c r="T335" s="4">
        <v>20</v>
      </c>
      <c r="U335" s="4">
        <v>60</v>
      </c>
      <c r="V335" s="4">
        <f>IF(ISERROR(VLOOKUP($S$335,'TAR FIN'!$A$1:$O$91,15,0)),0,VLOOKUP($S$335,'TAR FIN'!$A$1:$O$91,15,0))</f>
        <v>0</v>
      </c>
      <c r="W335" s="4">
        <f>IF(ISERROR(VLOOKUP($T$335,'TAR FIN'!$A$1:$O$91,15,0)),0,VLOOKUP($T$335,'TAR FIN'!$A$1:$O$91,15,0))</f>
        <v>112.15</v>
      </c>
      <c r="X335" s="4">
        <f>IF(ISERROR(VLOOKUP($U$335,'TAR FIN'!$A$1:$O$91,15,0)),0,VLOOKUP($U$335,'TAR FIN'!$A$1:$O$91,15,0))</f>
        <v>69.66</v>
      </c>
      <c r="Y335" s="4"/>
      <c r="Z335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5" s="4">
        <f ca="1">('TE BE'!$AB$15+'TE BF_350'!$AB$15+'TE CVA'!$AB$15)*(1-CUSTOS!$M$34)</f>
        <v>71.933154536143064</v>
      </c>
      <c r="AB335" s="4">
        <f>$K$335*$V$335</f>
        <v>0</v>
      </c>
      <c r="AC335" s="4">
        <f>$M$335*$W$335</f>
        <v>3653.8470000000002</v>
      </c>
      <c r="AD335" s="4">
        <f>$O$335*$X$335</f>
        <v>2269.5227999999997</v>
      </c>
      <c r="AE335" s="4">
        <f>$K$335*$Y$335</f>
        <v>0</v>
      </c>
      <c r="AF335" s="4">
        <f ca="1">$M$335*$Z$335</f>
        <v>3865.5875189442204</v>
      </c>
      <c r="AG335" s="4">
        <f ca="1">$O$335*$AA$335</f>
        <v>2343.5821747875411</v>
      </c>
    </row>
    <row r="336" spans="1:33" ht="11.25" customHeight="1" x14ac:dyDescent="0.3">
      <c r="A336" s="3" t="s">
        <v>28</v>
      </c>
      <c r="B336" s="3" t="s">
        <v>22</v>
      </c>
      <c r="C336" s="3" t="s">
        <v>23</v>
      </c>
      <c r="D336" s="3" t="s">
        <v>24</v>
      </c>
      <c r="E336" s="3" t="s">
        <v>29</v>
      </c>
      <c r="F336" s="3" t="s">
        <v>25</v>
      </c>
      <c r="G336" s="3" t="s">
        <v>25</v>
      </c>
      <c r="H336" s="3" t="s">
        <v>25</v>
      </c>
      <c r="I336" s="6">
        <v>44440</v>
      </c>
      <c r="J336" s="4">
        <v>0</v>
      </c>
      <c r="K336" s="4">
        <v>0</v>
      </c>
      <c r="L336" s="4">
        <v>0.03</v>
      </c>
      <c r="M336" s="4">
        <v>0.03</v>
      </c>
      <c r="N336" s="4">
        <v>0.03</v>
      </c>
      <c r="O336" s="4">
        <v>0.03</v>
      </c>
      <c r="P336" s="4">
        <v>1</v>
      </c>
      <c r="Q336" s="3" t="s">
        <v>26</v>
      </c>
      <c r="R336" s="3">
        <v>0</v>
      </c>
      <c r="S336" s="4">
        <v>0</v>
      </c>
      <c r="T336" s="4">
        <v>20</v>
      </c>
      <c r="U336" s="4">
        <v>60</v>
      </c>
      <c r="V336" s="4">
        <f>IF(ISERROR(VLOOKUP($S$336,'TAR FIN'!$A$1:$O$91,15,0)),0,VLOOKUP($S$336,'TAR FIN'!$A$1:$O$91,15,0))</f>
        <v>0</v>
      </c>
      <c r="W336" s="4">
        <f>IF(ISERROR(VLOOKUP($T$336,'TAR FIN'!$A$1:$O$91,15,0)),0,VLOOKUP($T$336,'TAR FIN'!$A$1:$O$91,15,0))</f>
        <v>112.15</v>
      </c>
      <c r="X336" s="4">
        <f>IF(ISERROR(VLOOKUP($U$336,'TAR FIN'!$A$1:$O$91,15,0)),0,VLOOKUP($U$336,'TAR FIN'!$A$1:$O$91,15,0))</f>
        <v>69.66</v>
      </c>
      <c r="Y336" s="4"/>
      <c r="Z336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6" s="4">
        <f ca="1">('TE BE'!$AB$15+'TE BF_350'!$AB$15+'TE CVA'!$AB$15)*(1-CUSTOS!$M$34)</f>
        <v>71.933154536143064</v>
      </c>
      <c r="AB336" s="4">
        <f>$K$336*$V$336</f>
        <v>0</v>
      </c>
      <c r="AC336" s="4">
        <f>$M$336*$W$336</f>
        <v>3.3645</v>
      </c>
      <c r="AD336" s="4">
        <f>$O$336*$X$336</f>
        <v>2.0897999999999999</v>
      </c>
      <c r="AE336" s="4">
        <f>$K$336*$Y$336</f>
        <v>0</v>
      </c>
      <c r="AF336" s="4">
        <f ca="1">$M$336*$Z$336</f>
        <v>3.5594728535397979</v>
      </c>
      <c r="AG336" s="4">
        <f ca="1">$O$336*$AA$336</f>
        <v>2.1579946360842919</v>
      </c>
    </row>
    <row r="337" spans="1:33" ht="11.25" customHeight="1" x14ac:dyDescent="0.3">
      <c r="A337" s="3" t="s">
        <v>21</v>
      </c>
      <c r="B337" s="3" t="s">
        <v>22</v>
      </c>
      <c r="C337" s="3" t="s">
        <v>23</v>
      </c>
      <c r="D337" s="3" t="s">
        <v>24</v>
      </c>
      <c r="E337" s="3" t="s">
        <v>29</v>
      </c>
      <c r="F337" s="3" t="s">
        <v>25</v>
      </c>
      <c r="G337" s="3" t="s">
        <v>25</v>
      </c>
      <c r="H337" s="3" t="s">
        <v>25</v>
      </c>
      <c r="I337" s="6">
        <v>44470</v>
      </c>
      <c r="J337" s="4">
        <v>0</v>
      </c>
      <c r="K337" s="4">
        <v>0</v>
      </c>
      <c r="L337" s="4">
        <v>32.700000000000003</v>
      </c>
      <c r="M337" s="4">
        <v>32.700000000000003</v>
      </c>
      <c r="N337" s="4">
        <v>32.700000000000003</v>
      </c>
      <c r="O337" s="4">
        <v>32.700000000000003</v>
      </c>
      <c r="P337" s="4">
        <v>53</v>
      </c>
      <c r="Q337" s="3" t="s">
        <v>26</v>
      </c>
      <c r="R337" s="3">
        <v>0</v>
      </c>
      <c r="S337" s="4">
        <v>0</v>
      </c>
      <c r="T337" s="4">
        <v>20</v>
      </c>
      <c r="U337" s="4">
        <v>60</v>
      </c>
      <c r="V337" s="4">
        <f>IF(ISERROR(VLOOKUP($S$337,'TAR FIN'!$A$1:$O$91,15,0)),0,VLOOKUP($S$337,'TAR FIN'!$A$1:$O$91,15,0))</f>
        <v>0</v>
      </c>
      <c r="W337" s="4">
        <f>IF(ISERROR(VLOOKUP($T$337,'TAR FIN'!$A$1:$O$91,15,0)),0,VLOOKUP($T$337,'TAR FIN'!$A$1:$O$91,15,0))</f>
        <v>112.15</v>
      </c>
      <c r="X337" s="4">
        <f>IF(ISERROR(VLOOKUP($U$337,'TAR FIN'!$A$1:$O$91,15,0)),0,VLOOKUP($U$337,'TAR FIN'!$A$1:$O$91,15,0))</f>
        <v>69.66</v>
      </c>
      <c r="Y337" s="4"/>
      <c r="Z337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7" s="4">
        <f ca="1">('TE BE'!$AB$15+'TE BF_350'!$AB$15+'TE CVA'!$AB$15)*(1-CUSTOS!$M$34)</f>
        <v>71.933154536143064</v>
      </c>
      <c r="AB337" s="4">
        <f>$K$337*$V$337</f>
        <v>0</v>
      </c>
      <c r="AC337" s="4">
        <f>$M$337*$W$337</f>
        <v>3667.3050000000003</v>
      </c>
      <c r="AD337" s="4">
        <f>$O$337*$X$337</f>
        <v>2277.8820000000001</v>
      </c>
      <c r="AE337" s="4">
        <f>$K$337*$Y$337</f>
        <v>0</v>
      </c>
      <c r="AF337" s="4">
        <f ca="1">$M$337*$Z$337</f>
        <v>3879.8254103583804</v>
      </c>
      <c r="AG337" s="4">
        <f ca="1">$O$337*$AA$337</f>
        <v>2352.2141533318786</v>
      </c>
    </row>
    <row r="338" spans="1:33" ht="11.25" customHeight="1" x14ac:dyDescent="0.3">
      <c r="A338" s="3" t="s">
        <v>28</v>
      </c>
      <c r="B338" s="3" t="s">
        <v>22</v>
      </c>
      <c r="C338" s="3" t="s">
        <v>23</v>
      </c>
      <c r="D338" s="3" t="s">
        <v>24</v>
      </c>
      <c r="E338" s="3" t="s">
        <v>29</v>
      </c>
      <c r="F338" s="3" t="s">
        <v>25</v>
      </c>
      <c r="G338" s="3" t="s">
        <v>25</v>
      </c>
      <c r="H338" s="3" t="s">
        <v>25</v>
      </c>
      <c r="I338" s="6">
        <v>44470</v>
      </c>
      <c r="J338" s="4">
        <v>0</v>
      </c>
      <c r="K338" s="4">
        <v>0</v>
      </c>
      <c r="L338" s="4">
        <v>0.03</v>
      </c>
      <c r="M338" s="4">
        <v>0.03</v>
      </c>
      <c r="N338" s="4">
        <v>0.03</v>
      </c>
      <c r="O338" s="4">
        <v>0.03</v>
      </c>
      <c r="P338" s="4">
        <v>1</v>
      </c>
      <c r="Q338" s="3" t="s">
        <v>26</v>
      </c>
      <c r="R338" s="3">
        <v>0</v>
      </c>
      <c r="S338" s="4">
        <v>0</v>
      </c>
      <c r="T338" s="4">
        <v>20</v>
      </c>
      <c r="U338" s="4">
        <v>60</v>
      </c>
      <c r="V338" s="4">
        <f>IF(ISERROR(VLOOKUP($S$338,'TAR FIN'!$A$1:$O$91,15,0)),0,VLOOKUP($S$338,'TAR FIN'!$A$1:$O$91,15,0))</f>
        <v>0</v>
      </c>
      <c r="W338" s="4">
        <f>IF(ISERROR(VLOOKUP($T$338,'TAR FIN'!$A$1:$O$91,15,0)),0,VLOOKUP($T$338,'TAR FIN'!$A$1:$O$91,15,0))</f>
        <v>112.15</v>
      </c>
      <c r="X338" s="4">
        <f>IF(ISERROR(VLOOKUP($U$338,'TAR FIN'!$A$1:$O$91,15,0)),0,VLOOKUP($U$338,'TAR FIN'!$A$1:$O$91,15,0))</f>
        <v>69.66</v>
      </c>
      <c r="Y338" s="4"/>
      <c r="Z338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8" s="4">
        <f ca="1">('TE BE'!$AB$15+'TE BF_350'!$AB$15+'TE CVA'!$AB$15)*(1-CUSTOS!$M$34)</f>
        <v>71.933154536143064</v>
      </c>
      <c r="AB338" s="4">
        <f>$K$338*$V$338</f>
        <v>0</v>
      </c>
      <c r="AC338" s="4">
        <f>$M$338*$W$338</f>
        <v>3.3645</v>
      </c>
      <c r="AD338" s="4">
        <f>$O$338*$X$338</f>
        <v>2.0897999999999999</v>
      </c>
      <c r="AE338" s="4">
        <f>$K$338*$Y$338</f>
        <v>0</v>
      </c>
      <c r="AF338" s="4">
        <f ca="1">$M$338*$Z$338</f>
        <v>3.5594728535397979</v>
      </c>
      <c r="AG338" s="4">
        <f ca="1">$O$338*$AA$338</f>
        <v>2.1579946360842919</v>
      </c>
    </row>
    <row r="339" spans="1:33" ht="11.25" customHeight="1" x14ac:dyDescent="0.3">
      <c r="A339" s="3" t="s">
        <v>21</v>
      </c>
      <c r="B339" s="3" t="s">
        <v>22</v>
      </c>
      <c r="C339" s="3" t="s">
        <v>23</v>
      </c>
      <c r="D339" s="3" t="s">
        <v>24</v>
      </c>
      <c r="E339" s="3" t="s">
        <v>29</v>
      </c>
      <c r="F339" s="3" t="s">
        <v>25</v>
      </c>
      <c r="G339" s="3" t="s">
        <v>25</v>
      </c>
      <c r="H339" s="3" t="s">
        <v>25</v>
      </c>
      <c r="I339" s="6">
        <v>44501</v>
      </c>
      <c r="J339" s="4">
        <v>0</v>
      </c>
      <c r="K339" s="4">
        <v>0</v>
      </c>
      <c r="L339" s="4">
        <v>32.880000000000003</v>
      </c>
      <c r="M339" s="4">
        <v>32.880000000000003</v>
      </c>
      <c r="N339" s="4">
        <v>32.880000000000003</v>
      </c>
      <c r="O339" s="4">
        <v>32.880000000000003</v>
      </c>
      <c r="P339" s="4">
        <v>43</v>
      </c>
      <c r="Q339" s="3" t="s">
        <v>26</v>
      </c>
      <c r="R339" s="3">
        <v>0</v>
      </c>
      <c r="S339" s="4">
        <v>0</v>
      </c>
      <c r="T339" s="4">
        <v>20</v>
      </c>
      <c r="U339" s="4">
        <v>60</v>
      </c>
      <c r="V339" s="4">
        <f>IF(ISERROR(VLOOKUP($S$339,'TAR FIN'!$A$1:$O$91,15,0)),0,VLOOKUP($S$339,'TAR FIN'!$A$1:$O$91,15,0))</f>
        <v>0</v>
      </c>
      <c r="W339" s="4">
        <f>IF(ISERROR(VLOOKUP($T$339,'TAR FIN'!$A$1:$O$91,15,0)),0,VLOOKUP($T$339,'TAR FIN'!$A$1:$O$91,15,0))</f>
        <v>112.15</v>
      </c>
      <c r="X339" s="4">
        <f>IF(ISERROR(VLOOKUP($U$339,'TAR FIN'!$A$1:$O$91,15,0)),0,VLOOKUP($U$339,'TAR FIN'!$A$1:$O$91,15,0))</f>
        <v>69.66</v>
      </c>
      <c r="Y339" s="4"/>
      <c r="Z339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39" s="4">
        <f ca="1">('TE BE'!$AB$15+'TE BF_350'!$AB$15+'TE CVA'!$AB$15)*(1-CUSTOS!$M$34)</f>
        <v>71.933154536143064</v>
      </c>
      <c r="AB339" s="4">
        <f>$K$339*$V$339</f>
        <v>0</v>
      </c>
      <c r="AC339" s="4">
        <f>$M$339*$W$339</f>
        <v>3687.4920000000006</v>
      </c>
      <c r="AD339" s="4">
        <f>$O$339*$X$339</f>
        <v>2290.4207999999999</v>
      </c>
      <c r="AE339" s="4">
        <f>$K$339*$Y$339</f>
        <v>0</v>
      </c>
      <c r="AF339" s="4">
        <f ca="1">$M$339*$Z$339</f>
        <v>3901.182247479619</v>
      </c>
      <c r="AG339" s="4">
        <f ca="1">$O$339*$AA$339</f>
        <v>2365.1621211483844</v>
      </c>
    </row>
    <row r="340" spans="1:33" ht="11.25" customHeight="1" x14ac:dyDescent="0.3">
      <c r="A340" s="3" t="s">
        <v>28</v>
      </c>
      <c r="B340" s="3" t="s">
        <v>22</v>
      </c>
      <c r="C340" s="3" t="s">
        <v>23</v>
      </c>
      <c r="D340" s="3" t="s">
        <v>24</v>
      </c>
      <c r="E340" s="3" t="s">
        <v>29</v>
      </c>
      <c r="F340" s="3" t="s">
        <v>25</v>
      </c>
      <c r="G340" s="3" t="s">
        <v>25</v>
      </c>
      <c r="H340" s="3" t="s">
        <v>25</v>
      </c>
      <c r="I340" s="6">
        <v>44501</v>
      </c>
      <c r="J340" s="4">
        <v>0</v>
      </c>
      <c r="K340" s="4">
        <v>0</v>
      </c>
      <c r="L340" s="4">
        <v>0.03</v>
      </c>
      <c r="M340" s="4">
        <v>0.03</v>
      </c>
      <c r="N340" s="4">
        <v>0.03</v>
      </c>
      <c r="O340" s="4">
        <v>0.03</v>
      </c>
      <c r="P340" s="4">
        <v>1</v>
      </c>
      <c r="Q340" s="3" t="s">
        <v>26</v>
      </c>
      <c r="R340" s="3">
        <v>0</v>
      </c>
      <c r="S340" s="4">
        <v>0</v>
      </c>
      <c r="T340" s="4">
        <v>20</v>
      </c>
      <c r="U340" s="4">
        <v>60</v>
      </c>
      <c r="V340" s="4">
        <f>IF(ISERROR(VLOOKUP($S$340,'TAR FIN'!$A$1:$O$91,15,0)),0,VLOOKUP($S$340,'TAR FIN'!$A$1:$O$91,15,0))</f>
        <v>0</v>
      </c>
      <c r="W340" s="4">
        <f>IF(ISERROR(VLOOKUP($T$340,'TAR FIN'!$A$1:$O$91,15,0)),0,VLOOKUP($T$340,'TAR FIN'!$A$1:$O$91,15,0))</f>
        <v>112.15</v>
      </c>
      <c r="X340" s="4">
        <f>IF(ISERROR(VLOOKUP($U$340,'TAR FIN'!$A$1:$O$91,15,0)),0,VLOOKUP($U$340,'TAR FIN'!$A$1:$O$91,15,0))</f>
        <v>69.66</v>
      </c>
      <c r="Y340" s="4"/>
      <c r="Z340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0" s="4">
        <f ca="1">('TE BE'!$AB$15+'TE BF_350'!$AB$15+'TE CVA'!$AB$15)*(1-CUSTOS!$M$34)</f>
        <v>71.933154536143064</v>
      </c>
      <c r="AB340" s="4">
        <f>$K$340*$V$340</f>
        <v>0</v>
      </c>
      <c r="AC340" s="4">
        <f>$M$340*$W$340</f>
        <v>3.3645</v>
      </c>
      <c r="AD340" s="4">
        <f>$O$340*$X$340</f>
        <v>2.0897999999999999</v>
      </c>
      <c r="AE340" s="4">
        <f>$K$340*$Y$340</f>
        <v>0</v>
      </c>
      <c r="AF340" s="4">
        <f ca="1">$M$340*$Z$340</f>
        <v>3.5594728535397979</v>
      </c>
      <c r="AG340" s="4">
        <f ca="1">$O$340*$AA$340</f>
        <v>2.1579946360842919</v>
      </c>
    </row>
    <row r="341" spans="1:33" ht="11.25" customHeight="1" x14ac:dyDescent="0.3">
      <c r="A341" s="3" t="s">
        <v>21</v>
      </c>
      <c r="B341" s="3" t="s">
        <v>22</v>
      </c>
      <c r="C341" s="3" t="s">
        <v>23</v>
      </c>
      <c r="D341" s="3" t="s">
        <v>24</v>
      </c>
      <c r="E341" s="3" t="s">
        <v>29</v>
      </c>
      <c r="F341" s="3" t="s">
        <v>25</v>
      </c>
      <c r="G341" s="3" t="s">
        <v>25</v>
      </c>
      <c r="H341" s="3" t="s">
        <v>25</v>
      </c>
      <c r="I341" s="6">
        <v>44531</v>
      </c>
      <c r="J341" s="4">
        <v>0</v>
      </c>
      <c r="K341" s="4">
        <v>0</v>
      </c>
      <c r="L341" s="4">
        <v>33.526000000000003</v>
      </c>
      <c r="M341" s="4">
        <v>33.526000000000003</v>
      </c>
      <c r="N341" s="4">
        <v>33.526000000000003</v>
      </c>
      <c r="O341" s="4">
        <v>33.526000000000003</v>
      </c>
      <c r="P341" s="4">
        <v>45</v>
      </c>
      <c r="Q341" s="3" t="s">
        <v>26</v>
      </c>
      <c r="R341" s="3">
        <v>0</v>
      </c>
      <c r="S341" s="4">
        <v>0</v>
      </c>
      <c r="T341" s="4">
        <v>20</v>
      </c>
      <c r="U341" s="4">
        <v>60</v>
      </c>
      <c r="V341" s="4">
        <f>IF(ISERROR(VLOOKUP($S$341,'TAR FIN'!$A$1:$O$91,15,0)),0,VLOOKUP($S$341,'TAR FIN'!$A$1:$O$91,15,0))</f>
        <v>0</v>
      </c>
      <c r="W341" s="4">
        <f>IF(ISERROR(VLOOKUP($T$341,'TAR FIN'!$A$1:$O$91,15,0)),0,VLOOKUP($T$341,'TAR FIN'!$A$1:$O$91,15,0))</f>
        <v>112.15</v>
      </c>
      <c r="X341" s="4">
        <f>IF(ISERROR(VLOOKUP($U$341,'TAR FIN'!$A$1:$O$91,15,0)),0,VLOOKUP($U$341,'TAR FIN'!$A$1:$O$91,15,0))</f>
        <v>69.66</v>
      </c>
      <c r="Y341" s="4"/>
      <c r="Z341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1" s="4">
        <f ca="1">('TE BE'!$AB$15+'TE BF_350'!$AB$15+'TE CVA'!$AB$15)*(1-CUSTOS!$M$34)</f>
        <v>71.933154536143064</v>
      </c>
      <c r="AB341" s="4">
        <f>$K$341*$V$341</f>
        <v>0</v>
      </c>
      <c r="AC341" s="4">
        <f>$M$341*$W$341</f>
        <v>3759.9409000000005</v>
      </c>
      <c r="AD341" s="4">
        <f>$O$341*$X$341</f>
        <v>2335.4211600000003</v>
      </c>
      <c r="AE341" s="4">
        <f>$K$341*$Y$341</f>
        <v>0</v>
      </c>
      <c r="AF341" s="4">
        <f ca="1">$M$341*$Z$341</f>
        <v>3977.8295629258428</v>
      </c>
      <c r="AG341" s="4">
        <f ca="1">$O$341*$AA$341</f>
        <v>2411.6309389787325</v>
      </c>
    </row>
    <row r="342" spans="1:33" ht="11.25" customHeight="1" x14ac:dyDescent="0.3">
      <c r="A342" s="3" t="s">
        <v>28</v>
      </c>
      <c r="B342" s="3" t="s">
        <v>22</v>
      </c>
      <c r="C342" s="3" t="s">
        <v>23</v>
      </c>
      <c r="D342" s="3" t="s">
        <v>24</v>
      </c>
      <c r="E342" s="3" t="s">
        <v>29</v>
      </c>
      <c r="F342" s="3" t="s">
        <v>25</v>
      </c>
      <c r="G342" s="3" t="s">
        <v>25</v>
      </c>
      <c r="H342" s="3" t="s">
        <v>25</v>
      </c>
      <c r="I342" s="6">
        <v>44531</v>
      </c>
      <c r="J342" s="4">
        <v>0</v>
      </c>
      <c r="K342" s="4">
        <v>0</v>
      </c>
      <c r="L342" s="4">
        <v>0.03</v>
      </c>
      <c r="M342" s="4">
        <v>1.0500000000000001E-2</v>
      </c>
      <c r="N342" s="4">
        <v>0.03</v>
      </c>
      <c r="O342" s="4">
        <v>1.0500000000000001E-2</v>
      </c>
      <c r="P342" s="4">
        <v>0</v>
      </c>
      <c r="Q342" s="3" t="s">
        <v>26</v>
      </c>
      <c r="R342" s="3">
        <v>0</v>
      </c>
      <c r="S342" s="4">
        <v>0</v>
      </c>
      <c r="T342" s="4">
        <v>20</v>
      </c>
      <c r="U342" s="4">
        <v>60</v>
      </c>
      <c r="V342" s="4">
        <f>IF(ISERROR(VLOOKUP($S$342,'TAR FIN'!$A$1:$O$91,15,0)),0,VLOOKUP($S$342,'TAR FIN'!$A$1:$O$91,15,0))</f>
        <v>0</v>
      </c>
      <c r="W342" s="4">
        <f>IF(ISERROR(VLOOKUP($T$342,'TAR FIN'!$A$1:$O$91,15,0)),0,VLOOKUP($T$342,'TAR FIN'!$A$1:$O$91,15,0))</f>
        <v>112.15</v>
      </c>
      <c r="X342" s="4">
        <f>IF(ISERROR(VLOOKUP($U$342,'TAR FIN'!$A$1:$O$91,15,0)),0,VLOOKUP($U$342,'TAR FIN'!$A$1:$O$91,15,0))</f>
        <v>69.66</v>
      </c>
      <c r="Y342" s="4"/>
      <c r="Z342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2" s="4">
        <f ca="1">('TE BE'!$AB$15+'TE BF_350'!$AB$15+'TE CVA'!$AB$15)*(1-CUSTOS!$M$34)</f>
        <v>71.933154536143064</v>
      </c>
      <c r="AB342" s="4">
        <f>$K$342*$V$342</f>
        <v>0</v>
      </c>
      <c r="AC342" s="4">
        <f>$M$342*$W$342</f>
        <v>1.177575</v>
      </c>
      <c r="AD342" s="4">
        <f>$O$342*$X$342</f>
        <v>0.73143000000000002</v>
      </c>
      <c r="AE342" s="4">
        <f>$K$342*$Y$342</f>
        <v>0</v>
      </c>
      <c r="AF342" s="4">
        <f ca="1">$M$342*$Z$342</f>
        <v>1.2458154987389294</v>
      </c>
      <c r="AG342" s="4">
        <f ca="1">$O$342*$AA$342</f>
        <v>0.75529812262950224</v>
      </c>
    </row>
    <row r="343" spans="1:33" ht="11.25" customHeight="1" x14ac:dyDescent="0.3">
      <c r="A343" s="3" t="s">
        <v>21</v>
      </c>
      <c r="B343" s="3" t="s">
        <v>22</v>
      </c>
      <c r="C343" s="3" t="s">
        <v>23</v>
      </c>
      <c r="D343" s="3" t="s">
        <v>24</v>
      </c>
      <c r="E343" s="3" t="s">
        <v>29</v>
      </c>
      <c r="F343" s="3" t="s">
        <v>25</v>
      </c>
      <c r="G343" s="3" t="s">
        <v>25</v>
      </c>
      <c r="H343" s="3" t="s">
        <v>25</v>
      </c>
      <c r="I343" s="6">
        <v>44562</v>
      </c>
      <c r="J343" s="4">
        <v>0</v>
      </c>
      <c r="K343" s="4">
        <v>0</v>
      </c>
      <c r="L343" s="4">
        <v>33.99</v>
      </c>
      <c r="M343" s="4">
        <v>33.99</v>
      </c>
      <c r="N343" s="4">
        <v>33.99</v>
      </c>
      <c r="O343" s="4">
        <v>33.99</v>
      </c>
      <c r="P343" s="4">
        <v>44</v>
      </c>
      <c r="Q343" s="3" t="s">
        <v>26</v>
      </c>
      <c r="R343" s="3">
        <v>0</v>
      </c>
      <c r="S343" s="4">
        <v>0</v>
      </c>
      <c r="T343" s="4">
        <v>20</v>
      </c>
      <c r="U343" s="4">
        <v>60</v>
      </c>
      <c r="V343" s="4">
        <f>IF(ISERROR(VLOOKUP($S$343,'TAR FIN'!$A$1:$O$91,15,0)),0,VLOOKUP($S$343,'TAR FIN'!$A$1:$O$91,15,0))</f>
        <v>0</v>
      </c>
      <c r="W343" s="4">
        <f>IF(ISERROR(VLOOKUP($T$343,'TAR FIN'!$A$1:$O$91,15,0)),0,VLOOKUP($T$343,'TAR FIN'!$A$1:$O$91,15,0))</f>
        <v>112.15</v>
      </c>
      <c r="X343" s="4">
        <f>IF(ISERROR(VLOOKUP($U$343,'TAR FIN'!$A$1:$O$91,15,0)),0,VLOOKUP($U$343,'TAR FIN'!$A$1:$O$91,15,0))</f>
        <v>69.66</v>
      </c>
      <c r="Y343" s="4"/>
      <c r="Z343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3" s="4">
        <f ca="1">('TE BE'!$AB$15+'TE BF_350'!$AB$15+'TE CVA'!$AB$15)*(1-CUSTOS!$M$34)</f>
        <v>71.933154536143064</v>
      </c>
      <c r="AB343" s="4">
        <f>$K$343*$V$343</f>
        <v>0</v>
      </c>
      <c r="AC343" s="4">
        <f>$M$343*$W$343</f>
        <v>3811.9785000000006</v>
      </c>
      <c r="AD343" s="4">
        <f>$O$343*$X$343</f>
        <v>2367.7433999999998</v>
      </c>
      <c r="AE343" s="4">
        <f>$K$343*$Y$343</f>
        <v>0</v>
      </c>
      <c r="AF343" s="4">
        <f ca="1">$M$343*$Z$343</f>
        <v>4032.8827430605916</v>
      </c>
      <c r="AG343" s="4">
        <f ca="1">$O$343*$AA$343</f>
        <v>2445.0079226835028</v>
      </c>
    </row>
    <row r="344" spans="1:33" ht="11.25" customHeight="1" x14ac:dyDescent="0.3">
      <c r="A344" s="3" t="s">
        <v>28</v>
      </c>
      <c r="B344" s="3" t="s">
        <v>22</v>
      </c>
      <c r="C344" s="3" t="s">
        <v>23</v>
      </c>
      <c r="D344" s="3" t="s">
        <v>24</v>
      </c>
      <c r="E344" s="3" t="s">
        <v>29</v>
      </c>
      <c r="F344" s="3" t="s">
        <v>25</v>
      </c>
      <c r="G344" s="3" t="s">
        <v>25</v>
      </c>
      <c r="H344" s="3" t="s">
        <v>25</v>
      </c>
      <c r="I344" s="6">
        <v>44562</v>
      </c>
      <c r="J344" s="4">
        <v>0</v>
      </c>
      <c r="K344" s="4">
        <v>0</v>
      </c>
      <c r="L344" s="4">
        <v>0.03</v>
      </c>
      <c r="M344" s="4">
        <v>1.0500000000000001E-2</v>
      </c>
      <c r="N344" s="4">
        <v>0.03</v>
      </c>
      <c r="O344" s="4">
        <v>1.0500000000000001E-2</v>
      </c>
      <c r="P344" s="4">
        <v>0</v>
      </c>
      <c r="Q344" s="3" t="s">
        <v>26</v>
      </c>
      <c r="R344" s="3">
        <v>0</v>
      </c>
      <c r="S344" s="4">
        <v>0</v>
      </c>
      <c r="T344" s="4">
        <v>20</v>
      </c>
      <c r="U344" s="4">
        <v>60</v>
      </c>
      <c r="V344" s="4">
        <f>IF(ISERROR(VLOOKUP($S$344,'TAR FIN'!$A$1:$O$91,15,0)),0,VLOOKUP($S$344,'TAR FIN'!$A$1:$O$91,15,0))</f>
        <v>0</v>
      </c>
      <c r="W344" s="4">
        <f>IF(ISERROR(VLOOKUP($T$344,'TAR FIN'!$A$1:$O$91,15,0)),0,VLOOKUP($T$344,'TAR FIN'!$A$1:$O$91,15,0))</f>
        <v>112.15</v>
      </c>
      <c r="X344" s="4">
        <f>IF(ISERROR(VLOOKUP($U$344,'TAR FIN'!$A$1:$O$91,15,0)),0,VLOOKUP($U$344,'TAR FIN'!$A$1:$O$91,15,0))</f>
        <v>69.66</v>
      </c>
      <c r="Y344" s="4"/>
      <c r="Z344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4" s="4">
        <f ca="1">('TE BE'!$AB$15+'TE BF_350'!$AB$15+'TE CVA'!$AB$15)*(1-CUSTOS!$M$34)</f>
        <v>71.933154536143064</v>
      </c>
      <c r="AB344" s="4">
        <f>$K$344*$V$344</f>
        <v>0</v>
      </c>
      <c r="AC344" s="4">
        <f>$M$344*$W$344</f>
        <v>1.177575</v>
      </c>
      <c r="AD344" s="4">
        <f>$O$344*$X$344</f>
        <v>0.73143000000000002</v>
      </c>
      <c r="AE344" s="4">
        <f>$K$344*$Y$344</f>
        <v>0</v>
      </c>
      <c r="AF344" s="4">
        <f ca="1">$M$344*$Z$344</f>
        <v>1.2458154987389294</v>
      </c>
      <c r="AG344" s="4">
        <f ca="1">$O$344*$AA$344</f>
        <v>0.75529812262950224</v>
      </c>
    </row>
    <row r="345" spans="1:33" ht="11.25" customHeight="1" x14ac:dyDescent="0.3">
      <c r="A345" s="3" t="s">
        <v>21</v>
      </c>
      <c r="B345" s="3" t="s">
        <v>22</v>
      </c>
      <c r="C345" s="3" t="s">
        <v>23</v>
      </c>
      <c r="D345" s="3" t="s">
        <v>24</v>
      </c>
      <c r="E345" s="3" t="s">
        <v>29</v>
      </c>
      <c r="F345" s="3" t="s">
        <v>25</v>
      </c>
      <c r="G345" s="3" t="s">
        <v>25</v>
      </c>
      <c r="H345" s="3" t="s">
        <v>25</v>
      </c>
      <c r="I345" s="6">
        <v>44593</v>
      </c>
      <c r="J345" s="4">
        <v>0</v>
      </c>
      <c r="K345" s="4">
        <v>0</v>
      </c>
      <c r="L345" s="4">
        <v>34.17</v>
      </c>
      <c r="M345" s="4">
        <v>34.17</v>
      </c>
      <c r="N345" s="4">
        <v>34.17</v>
      </c>
      <c r="O345" s="4">
        <v>34.17</v>
      </c>
      <c r="P345" s="4">
        <v>35</v>
      </c>
      <c r="Q345" s="3" t="s">
        <v>26</v>
      </c>
      <c r="R345" s="3">
        <v>0</v>
      </c>
      <c r="S345" s="4">
        <v>0</v>
      </c>
      <c r="T345" s="4">
        <v>20</v>
      </c>
      <c r="U345" s="4">
        <v>60</v>
      </c>
      <c r="V345" s="4">
        <f>IF(ISERROR(VLOOKUP($S$345,'TAR FIN'!$A$1:$O$91,15,0)),0,VLOOKUP($S$345,'TAR FIN'!$A$1:$O$91,15,0))</f>
        <v>0</v>
      </c>
      <c r="W345" s="4">
        <f>IF(ISERROR(VLOOKUP($T$345,'TAR FIN'!$A$1:$O$91,15,0)),0,VLOOKUP($T$345,'TAR FIN'!$A$1:$O$91,15,0))</f>
        <v>112.15</v>
      </c>
      <c r="X345" s="4">
        <f>IF(ISERROR(VLOOKUP($U$345,'TAR FIN'!$A$1:$O$91,15,0)),0,VLOOKUP($U$345,'TAR FIN'!$A$1:$O$91,15,0))</f>
        <v>69.66</v>
      </c>
      <c r="Y345" s="4"/>
      <c r="Z345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5" s="4">
        <f ca="1">('TE BE'!$AB$15+'TE BF_350'!$AB$15+'TE CVA'!$AB$15)*(1-CUSTOS!$M$34)</f>
        <v>71.933154536143064</v>
      </c>
      <c r="AB345" s="4">
        <f>$K$345*$V$345</f>
        <v>0</v>
      </c>
      <c r="AC345" s="4">
        <f>$M$345*$W$345</f>
        <v>3832.1655000000005</v>
      </c>
      <c r="AD345" s="4">
        <f>$O$345*$X$345</f>
        <v>2380.2822000000001</v>
      </c>
      <c r="AE345" s="4">
        <f>$K$345*$Y$345</f>
        <v>0</v>
      </c>
      <c r="AF345" s="4">
        <f ca="1">$M$345*$Z$345</f>
        <v>4054.2395801818302</v>
      </c>
      <c r="AG345" s="4">
        <f ca="1">$O$345*$AA$345</f>
        <v>2457.9558905000085</v>
      </c>
    </row>
    <row r="346" spans="1:33" ht="11.25" customHeight="1" x14ac:dyDescent="0.3">
      <c r="A346" s="3" t="s">
        <v>28</v>
      </c>
      <c r="B346" s="3" t="s">
        <v>22</v>
      </c>
      <c r="C346" s="3" t="s">
        <v>23</v>
      </c>
      <c r="D346" s="3" t="s">
        <v>24</v>
      </c>
      <c r="E346" s="3" t="s">
        <v>29</v>
      </c>
      <c r="F346" s="3" t="s">
        <v>25</v>
      </c>
      <c r="G346" s="3" t="s">
        <v>25</v>
      </c>
      <c r="H346" s="3" t="s">
        <v>25</v>
      </c>
      <c r="I346" s="6">
        <v>44593</v>
      </c>
      <c r="J346" s="4">
        <v>0</v>
      </c>
      <c r="K346" s="4">
        <v>0</v>
      </c>
      <c r="L346" s="4">
        <v>0.03</v>
      </c>
      <c r="M346" s="4">
        <v>1.0500000000000001E-2</v>
      </c>
      <c r="N346" s="4">
        <v>0.03</v>
      </c>
      <c r="O346" s="4">
        <v>1.0500000000000001E-2</v>
      </c>
      <c r="P346" s="4">
        <v>0</v>
      </c>
      <c r="Q346" s="3" t="s">
        <v>26</v>
      </c>
      <c r="R346" s="3">
        <v>0</v>
      </c>
      <c r="S346" s="4">
        <v>0</v>
      </c>
      <c r="T346" s="4">
        <v>20</v>
      </c>
      <c r="U346" s="4">
        <v>60</v>
      </c>
      <c r="V346" s="4">
        <f>IF(ISERROR(VLOOKUP($S$346,'TAR FIN'!$A$1:$O$91,15,0)),0,VLOOKUP($S$346,'TAR FIN'!$A$1:$O$91,15,0))</f>
        <v>0</v>
      </c>
      <c r="W346" s="4">
        <f>IF(ISERROR(VLOOKUP($T$346,'TAR FIN'!$A$1:$O$91,15,0)),0,VLOOKUP($T$346,'TAR FIN'!$A$1:$O$91,15,0))</f>
        <v>112.15</v>
      </c>
      <c r="X346" s="4">
        <f>IF(ISERROR(VLOOKUP($U$346,'TAR FIN'!$A$1:$O$91,15,0)),0,VLOOKUP($U$346,'TAR FIN'!$A$1:$O$91,15,0))</f>
        <v>69.66</v>
      </c>
      <c r="Y346" s="4"/>
      <c r="Z346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6" s="4">
        <f ca="1">('TE BE'!$AB$15+'TE BF_350'!$AB$15+'TE CVA'!$AB$15)*(1-CUSTOS!$M$34)</f>
        <v>71.933154536143064</v>
      </c>
      <c r="AB346" s="4">
        <f>$K$346*$V$346</f>
        <v>0</v>
      </c>
      <c r="AC346" s="4">
        <f>$M$346*$W$346</f>
        <v>1.177575</v>
      </c>
      <c r="AD346" s="4">
        <f>$O$346*$X$346</f>
        <v>0.73143000000000002</v>
      </c>
      <c r="AE346" s="4">
        <f>$K$346*$Y$346</f>
        <v>0</v>
      </c>
      <c r="AF346" s="4">
        <f ca="1">$M$346*$Z$346</f>
        <v>1.2458154987389294</v>
      </c>
      <c r="AG346" s="4">
        <f ca="1">$O$346*$AA$346</f>
        <v>0.75529812262950224</v>
      </c>
    </row>
    <row r="347" spans="1:33" ht="11.25" customHeight="1" x14ac:dyDescent="0.3">
      <c r="A347" s="3" t="s">
        <v>21</v>
      </c>
      <c r="B347" s="3" t="s">
        <v>22</v>
      </c>
      <c r="C347" s="3" t="s">
        <v>23</v>
      </c>
      <c r="D347" s="3" t="s">
        <v>24</v>
      </c>
      <c r="E347" s="3" t="s">
        <v>29</v>
      </c>
      <c r="F347" s="3" t="s">
        <v>25</v>
      </c>
      <c r="G347" s="3" t="s">
        <v>25</v>
      </c>
      <c r="H347" s="3" t="s">
        <v>25</v>
      </c>
      <c r="I347" s="6">
        <v>44621</v>
      </c>
      <c r="J347" s="4">
        <v>0</v>
      </c>
      <c r="K347" s="4">
        <v>0</v>
      </c>
      <c r="L347" s="4">
        <v>34.92</v>
      </c>
      <c r="M347" s="4">
        <v>34.92</v>
      </c>
      <c r="N347" s="4">
        <v>34.92</v>
      </c>
      <c r="O347" s="4">
        <v>34.92</v>
      </c>
      <c r="P347" s="4">
        <v>42</v>
      </c>
      <c r="Q347" s="3" t="s">
        <v>26</v>
      </c>
      <c r="R347" s="3">
        <v>0</v>
      </c>
      <c r="S347" s="4">
        <v>0</v>
      </c>
      <c r="T347" s="4">
        <v>20</v>
      </c>
      <c r="U347" s="4">
        <v>60</v>
      </c>
      <c r="V347" s="4">
        <f>IF(ISERROR(VLOOKUP($S$347,'TAR FIN'!$A$1:$O$91,15,0)),0,VLOOKUP($S$347,'TAR FIN'!$A$1:$O$91,15,0))</f>
        <v>0</v>
      </c>
      <c r="W347" s="4">
        <f>IF(ISERROR(VLOOKUP($T$347,'TAR FIN'!$A$1:$O$91,15,0)),0,VLOOKUP($T$347,'TAR FIN'!$A$1:$O$91,15,0))</f>
        <v>112.15</v>
      </c>
      <c r="X347" s="4">
        <f>IF(ISERROR(VLOOKUP($U$347,'TAR FIN'!$A$1:$O$91,15,0)),0,VLOOKUP($U$347,'TAR FIN'!$A$1:$O$91,15,0))</f>
        <v>69.66</v>
      </c>
      <c r="Y347" s="4"/>
      <c r="Z347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7" s="4">
        <f ca="1">('TE BE'!$AB$15+'TE BF_350'!$AB$15+'TE CVA'!$AB$15)*(1-CUSTOS!$M$34)</f>
        <v>71.933154536143064</v>
      </c>
      <c r="AB347" s="4">
        <f>$K$347*$V$347</f>
        <v>0</v>
      </c>
      <c r="AC347" s="4">
        <f>$M$347*$W$347</f>
        <v>3916.2780000000002</v>
      </c>
      <c r="AD347" s="4">
        <f>$O$347*$X$347</f>
        <v>2432.5272</v>
      </c>
      <c r="AE347" s="4">
        <f>$K$347*$Y$347</f>
        <v>0</v>
      </c>
      <c r="AF347" s="4">
        <f ca="1">$M$347*$Z$347</f>
        <v>4143.2264015203255</v>
      </c>
      <c r="AG347" s="4">
        <f ca="1">$O$347*$AA$347</f>
        <v>2511.9057564021159</v>
      </c>
    </row>
    <row r="348" spans="1:33" ht="11.25" customHeight="1" x14ac:dyDescent="0.3">
      <c r="A348" s="3" t="s">
        <v>28</v>
      </c>
      <c r="B348" s="3" t="s">
        <v>22</v>
      </c>
      <c r="C348" s="3" t="s">
        <v>23</v>
      </c>
      <c r="D348" s="3" t="s">
        <v>24</v>
      </c>
      <c r="E348" s="3" t="s">
        <v>29</v>
      </c>
      <c r="F348" s="3" t="s">
        <v>25</v>
      </c>
      <c r="G348" s="3" t="s">
        <v>25</v>
      </c>
      <c r="H348" s="3" t="s">
        <v>25</v>
      </c>
      <c r="I348" s="6">
        <v>44621</v>
      </c>
      <c r="J348" s="4">
        <v>0</v>
      </c>
      <c r="K348" s="4">
        <v>0</v>
      </c>
      <c r="L348" s="4">
        <v>0.03</v>
      </c>
      <c r="M348" s="4">
        <v>1.0500000000000001E-2</v>
      </c>
      <c r="N348" s="4">
        <v>0.03</v>
      </c>
      <c r="O348" s="4">
        <v>1.0500000000000001E-2</v>
      </c>
      <c r="P348" s="4">
        <v>0</v>
      </c>
      <c r="Q348" s="3" t="s">
        <v>26</v>
      </c>
      <c r="R348" s="3">
        <v>0</v>
      </c>
      <c r="S348" s="4">
        <v>0</v>
      </c>
      <c r="T348" s="4">
        <v>20</v>
      </c>
      <c r="U348" s="4">
        <v>60</v>
      </c>
      <c r="V348" s="4">
        <f>IF(ISERROR(VLOOKUP($S$348,'TAR FIN'!$A$1:$O$91,15,0)),0,VLOOKUP($S$348,'TAR FIN'!$A$1:$O$91,15,0))</f>
        <v>0</v>
      </c>
      <c r="W348" s="4">
        <f>IF(ISERROR(VLOOKUP($T$348,'TAR FIN'!$A$1:$O$91,15,0)),0,VLOOKUP($T$348,'TAR FIN'!$A$1:$O$91,15,0))</f>
        <v>112.15</v>
      </c>
      <c r="X348" s="4">
        <f>IF(ISERROR(VLOOKUP($U$348,'TAR FIN'!$A$1:$O$91,15,0)),0,VLOOKUP($U$348,'TAR FIN'!$A$1:$O$91,15,0))</f>
        <v>69.66</v>
      </c>
      <c r="Y348" s="4"/>
      <c r="Z348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8" s="4">
        <f ca="1">('TE BE'!$AB$15+'TE BF_350'!$AB$15+'TE CVA'!$AB$15)*(1-CUSTOS!$M$34)</f>
        <v>71.933154536143064</v>
      </c>
      <c r="AB348" s="4">
        <f>$K$348*$V$348</f>
        <v>0</v>
      </c>
      <c r="AC348" s="4">
        <f>$M$348*$W$348</f>
        <v>1.177575</v>
      </c>
      <c r="AD348" s="4">
        <f>$O$348*$X$348</f>
        <v>0.73143000000000002</v>
      </c>
      <c r="AE348" s="4">
        <f>$K$348*$Y$348</f>
        <v>0</v>
      </c>
      <c r="AF348" s="4">
        <f ca="1">$M$348*$Z$348</f>
        <v>1.2458154987389294</v>
      </c>
      <c r="AG348" s="4">
        <f ca="1">$O$348*$AA$348</f>
        <v>0.75529812262950224</v>
      </c>
    </row>
    <row r="349" spans="1:33" ht="11.25" customHeight="1" x14ac:dyDescent="0.3">
      <c r="A349" s="3" t="s">
        <v>21</v>
      </c>
      <c r="B349" s="3" t="s">
        <v>22</v>
      </c>
      <c r="C349" s="3" t="s">
        <v>23</v>
      </c>
      <c r="D349" s="3" t="s">
        <v>24</v>
      </c>
      <c r="E349" s="3" t="s">
        <v>29</v>
      </c>
      <c r="F349" s="3" t="s">
        <v>25</v>
      </c>
      <c r="G349" s="3" t="s">
        <v>25</v>
      </c>
      <c r="H349" s="3" t="s">
        <v>25</v>
      </c>
      <c r="I349" s="6">
        <v>44652</v>
      </c>
      <c r="J349" s="4">
        <v>0</v>
      </c>
      <c r="K349" s="4">
        <v>0</v>
      </c>
      <c r="L349" s="4">
        <v>35.58</v>
      </c>
      <c r="M349" s="4">
        <v>35.58</v>
      </c>
      <c r="N349" s="4">
        <v>35.58</v>
      </c>
      <c r="O349" s="4">
        <v>35.58</v>
      </c>
      <c r="P349" s="4">
        <v>40</v>
      </c>
      <c r="Q349" s="3" t="s">
        <v>26</v>
      </c>
      <c r="R349" s="3">
        <v>0</v>
      </c>
      <c r="S349" s="4">
        <v>0</v>
      </c>
      <c r="T349" s="4">
        <v>20</v>
      </c>
      <c r="U349" s="4">
        <v>60</v>
      </c>
      <c r="V349" s="4">
        <f>IF(ISERROR(VLOOKUP($S$349,'TAR FIN'!$A$1:$O$91,15,0)),0,VLOOKUP($S$349,'TAR FIN'!$A$1:$O$91,15,0))</f>
        <v>0</v>
      </c>
      <c r="W349" s="4">
        <f>IF(ISERROR(VLOOKUP($T$349,'TAR FIN'!$A$1:$O$91,15,0)),0,VLOOKUP($T$349,'TAR FIN'!$A$1:$O$91,15,0))</f>
        <v>112.15</v>
      </c>
      <c r="X349" s="4">
        <f>IF(ISERROR(VLOOKUP($U$349,'TAR FIN'!$A$1:$O$91,15,0)),0,VLOOKUP($U$349,'TAR FIN'!$A$1:$O$91,15,0))</f>
        <v>69.66</v>
      </c>
      <c r="Y349" s="4"/>
      <c r="Z349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49" s="4">
        <f ca="1">('TE BE'!$AB$15+'TE BF_350'!$AB$15+'TE CVA'!$AB$15)*(1-CUSTOS!$M$34)</f>
        <v>71.933154536143064</v>
      </c>
      <c r="AB349" s="4">
        <f>$K$349*$V$349</f>
        <v>0</v>
      </c>
      <c r="AC349" s="4">
        <f>$M$349*$W$349</f>
        <v>3990.297</v>
      </c>
      <c r="AD349" s="4">
        <f>$O$349*$X$349</f>
        <v>2478.5027999999998</v>
      </c>
      <c r="AE349" s="4">
        <f>$K$349*$Y$349</f>
        <v>0</v>
      </c>
      <c r="AF349" s="4">
        <f ca="1">$M$349*$Z$349</f>
        <v>4221.5348042982005</v>
      </c>
      <c r="AG349" s="4">
        <f ca="1">$O$349*$AA$349</f>
        <v>2559.3816383959702</v>
      </c>
    </row>
    <row r="350" spans="1:33" ht="11.25" customHeight="1" x14ac:dyDescent="0.3">
      <c r="A350" s="3" t="s">
        <v>28</v>
      </c>
      <c r="B350" s="3" t="s">
        <v>22</v>
      </c>
      <c r="C350" s="3" t="s">
        <v>23</v>
      </c>
      <c r="D350" s="3" t="s">
        <v>24</v>
      </c>
      <c r="E350" s="3" t="s">
        <v>29</v>
      </c>
      <c r="F350" s="3" t="s">
        <v>25</v>
      </c>
      <c r="G350" s="3" t="s">
        <v>25</v>
      </c>
      <c r="H350" s="3" t="s">
        <v>25</v>
      </c>
      <c r="I350" s="6">
        <v>44652</v>
      </c>
      <c r="J350" s="4">
        <v>0</v>
      </c>
      <c r="K350" s="4">
        <v>0</v>
      </c>
      <c r="L350" s="4">
        <v>0.03</v>
      </c>
      <c r="M350" s="4">
        <v>1.0500000000000001E-2</v>
      </c>
      <c r="N350" s="4">
        <v>0.03</v>
      </c>
      <c r="O350" s="4">
        <v>1.0500000000000001E-2</v>
      </c>
      <c r="P350" s="4">
        <v>0</v>
      </c>
      <c r="Q350" s="3" t="s">
        <v>26</v>
      </c>
      <c r="R350" s="3">
        <v>0</v>
      </c>
      <c r="S350" s="4">
        <v>0</v>
      </c>
      <c r="T350" s="4">
        <v>20</v>
      </c>
      <c r="U350" s="4">
        <v>60</v>
      </c>
      <c r="V350" s="4">
        <f>IF(ISERROR(VLOOKUP($S$350,'TAR FIN'!$A$1:$O$91,15,0)),0,VLOOKUP($S$350,'TAR FIN'!$A$1:$O$91,15,0))</f>
        <v>0</v>
      </c>
      <c r="W350" s="4">
        <f>IF(ISERROR(VLOOKUP($T$350,'TAR FIN'!$A$1:$O$91,15,0)),0,VLOOKUP($T$350,'TAR FIN'!$A$1:$O$91,15,0))</f>
        <v>112.15</v>
      </c>
      <c r="X350" s="4">
        <f>IF(ISERROR(VLOOKUP($U$350,'TAR FIN'!$A$1:$O$91,15,0)),0,VLOOKUP($U$350,'TAR FIN'!$A$1:$O$91,15,0))</f>
        <v>69.66</v>
      </c>
      <c r="Y350" s="4"/>
      <c r="Z350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50" s="4">
        <f ca="1">('TE BE'!$AB$15+'TE BF_350'!$AB$15+'TE CVA'!$AB$15)*(1-CUSTOS!$M$34)</f>
        <v>71.933154536143064</v>
      </c>
      <c r="AB350" s="4">
        <f>$K$350*$V$350</f>
        <v>0</v>
      </c>
      <c r="AC350" s="4">
        <f>$M$350*$W$350</f>
        <v>1.177575</v>
      </c>
      <c r="AD350" s="4">
        <f>$O$350*$X$350</f>
        <v>0.73143000000000002</v>
      </c>
      <c r="AE350" s="4">
        <f>$K$350*$Y$350</f>
        <v>0</v>
      </c>
      <c r="AF350" s="4">
        <f ca="1">$M$350*$Z$350</f>
        <v>1.2458154987389294</v>
      </c>
      <c r="AG350" s="4">
        <f ca="1">$O$350*$AA$350</f>
        <v>0.75529812262950224</v>
      </c>
    </row>
    <row r="351" spans="1:33" ht="11.25" customHeight="1" x14ac:dyDescent="0.3">
      <c r="A351" s="3" t="s">
        <v>21</v>
      </c>
      <c r="B351" s="3" t="s">
        <v>22</v>
      </c>
      <c r="C351" s="3" t="s">
        <v>23</v>
      </c>
      <c r="D351" s="3" t="s">
        <v>24</v>
      </c>
      <c r="E351" s="3" t="s">
        <v>29</v>
      </c>
      <c r="F351" s="3" t="s">
        <v>25</v>
      </c>
      <c r="G351" s="3" t="s">
        <v>25</v>
      </c>
      <c r="H351" s="3" t="s">
        <v>25</v>
      </c>
      <c r="I351" s="6">
        <v>44682</v>
      </c>
      <c r="J351" s="4">
        <v>0</v>
      </c>
      <c r="K351" s="4">
        <v>0</v>
      </c>
      <c r="L351" s="4">
        <v>45.710999999999999</v>
      </c>
      <c r="M351" s="4">
        <v>45.710999999999999</v>
      </c>
      <c r="N351" s="4">
        <v>45.710999999999999</v>
      </c>
      <c r="O351" s="4">
        <v>45.710999999999999</v>
      </c>
      <c r="P351" s="4">
        <v>70</v>
      </c>
      <c r="Q351" s="3" t="s">
        <v>26</v>
      </c>
      <c r="R351" s="3">
        <v>0</v>
      </c>
      <c r="S351" s="4">
        <v>0</v>
      </c>
      <c r="T351" s="4">
        <v>20</v>
      </c>
      <c r="U351" s="4">
        <v>60</v>
      </c>
      <c r="V351" s="4">
        <f>IF(ISERROR(VLOOKUP($S$351,'TAR FIN'!$A$1:$O$91,15,0)),0,VLOOKUP($S$351,'TAR FIN'!$A$1:$O$91,15,0))</f>
        <v>0</v>
      </c>
      <c r="W351" s="4">
        <f>IF(ISERROR(VLOOKUP($T$351,'TAR FIN'!$A$1:$O$91,15,0)),0,VLOOKUP($T$351,'TAR FIN'!$A$1:$O$91,15,0))</f>
        <v>112.15</v>
      </c>
      <c r="X351" s="4">
        <f>IF(ISERROR(VLOOKUP($U$351,'TAR FIN'!$A$1:$O$91,15,0)),0,VLOOKUP($U$351,'TAR FIN'!$A$1:$O$91,15,0))</f>
        <v>69.66</v>
      </c>
      <c r="Y351" s="4"/>
      <c r="Z351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51" s="4">
        <f ca="1">('TE BE'!$AB$15+'TE BF_350'!$AB$15+'TE CVA'!$AB$15)*(1-CUSTOS!$M$34)</f>
        <v>71.933154536143064</v>
      </c>
      <c r="AB351" s="4">
        <f>$K$351*$V$351</f>
        <v>0</v>
      </c>
      <c r="AC351" s="4">
        <f>$M$351*$W$351</f>
        <v>5126.4886500000002</v>
      </c>
      <c r="AD351" s="4">
        <f>$O$351*$X$351</f>
        <v>3184.2282599999999</v>
      </c>
      <c r="AE351" s="4">
        <f>$K$351*$Y$351</f>
        <v>0</v>
      </c>
      <c r="AF351" s="4">
        <f ca="1">$M$351*$Z$351</f>
        <v>5423.5687869385902</v>
      </c>
      <c r="AG351" s="4">
        <f ca="1">$O$351*$AA$351</f>
        <v>3288.1364270016356</v>
      </c>
    </row>
    <row r="352" spans="1:33" ht="11.25" customHeight="1" x14ac:dyDescent="0.3">
      <c r="A352" s="3" t="s">
        <v>28</v>
      </c>
      <c r="B352" s="3" t="s">
        <v>22</v>
      </c>
      <c r="C352" s="3" t="s">
        <v>23</v>
      </c>
      <c r="D352" s="3" t="s">
        <v>24</v>
      </c>
      <c r="E352" s="3" t="s">
        <v>29</v>
      </c>
      <c r="F352" s="3" t="s">
        <v>25</v>
      </c>
      <c r="G352" s="3" t="s">
        <v>25</v>
      </c>
      <c r="H352" s="3" t="s">
        <v>25</v>
      </c>
      <c r="I352" s="6">
        <v>44682</v>
      </c>
      <c r="J352" s="4">
        <v>0</v>
      </c>
      <c r="K352" s="4">
        <v>0</v>
      </c>
      <c r="L352" s="4">
        <v>0.03</v>
      </c>
      <c r="M352" s="4">
        <v>1.0500000000000001E-2</v>
      </c>
      <c r="N352" s="4">
        <v>0.03</v>
      </c>
      <c r="O352" s="4">
        <v>1.0500000000000001E-2</v>
      </c>
      <c r="P352" s="4">
        <v>0</v>
      </c>
      <c r="Q352" s="3" t="s">
        <v>26</v>
      </c>
      <c r="R352" s="3">
        <v>0</v>
      </c>
      <c r="S352" s="4">
        <v>0</v>
      </c>
      <c r="T352" s="4">
        <v>20</v>
      </c>
      <c r="U352" s="4">
        <v>60</v>
      </c>
      <c r="V352" s="4">
        <f>IF(ISERROR(VLOOKUP($S$352,'TAR FIN'!$A$1:$O$91,15,0)),0,VLOOKUP($S$352,'TAR FIN'!$A$1:$O$91,15,0))</f>
        <v>0</v>
      </c>
      <c r="W352" s="4">
        <f>IF(ISERROR(VLOOKUP($T$352,'TAR FIN'!$A$1:$O$91,15,0)),0,VLOOKUP($T$352,'TAR FIN'!$A$1:$O$91,15,0))</f>
        <v>112.15</v>
      </c>
      <c r="X352" s="4">
        <f>IF(ISERROR(VLOOKUP($U$352,'TAR FIN'!$A$1:$O$91,15,0)),0,VLOOKUP($U$352,'TAR FIN'!$A$1:$O$91,15,0))</f>
        <v>69.66</v>
      </c>
      <c r="Y352" s="4"/>
      <c r="Z352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52" s="4">
        <f ca="1">('TE BE'!$AB$15+'TE BF_350'!$AB$15+'TE CVA'!$AB$15)*(1-CUSTOS!$M$34)</f>
        <v>71.933154536143064</v>
      </c>
      <c r="AB352" s="4">
        <f>$K$352*$V$352</f>
        <v>0</v>
      </c>
      <c r="AC352" s="4">
        <f>$M$352*$W$352</f>
        <v>1.177575</v>
      </c>
      <c r="AD352" s="4">
        <f>$O$352*$X$352</f>
        <v>0.73143000000000002</v>
      </c>
      <c r="AE352" s="4">
        <f>$K$352*$Y$352</f>
        <v>0</v>
      </c>
      <c r="AF352" s="4">
        <f ca="1">$M$352*$Z$352</f>
        <v>1.2458154987389294</v>
      </c>
      <c r="AG352" s="4">
        <f ca="1">$O$352*$AA$352</f>
        <v>0.75529812262950224</v>
      </c>
    </row>
    <row r="353" spans="1:33" ht="11.25" customHeight="1" x14ac:dyDescent="0.3">
      <c r="A353" s="3" t="s">
        <v>21</v>
      </c>
      <c r="B353" s="3" t="s">
        <v>22</v>
      </c>
      <c r="C353" s="3" t="s">
        <v>23</v>
      </c>
      <c r="D353" s="3" t="s">
        <v>24</v>
      </c>
      <c r="E353" s="3" t="s">
        <v>29</v>
      </c>
      <c r="F353" s="3" t="s">
        <v>25</v>
      </c>
      <c r="G353" s="3" t="s">
        <v>25</v>
      </c>
      <c r="H353" s="3" t="s">
        <v>25</v>
      </c>
      <c r="I353" s="6">
        <v>44713</v>
      </c>
      <c r="J353" s="4">
        <v>0</v>
      </c>
      <c r="K353" s="4">
        <v>0</v>
      </c>
      <c r="L353" s="4">
        <v>44.174999999999997</v>
      </c>
      <c r="M353" s="4">
        <v>44.174999999999997</v>
      </c>
      <c r="N353" s="4">
        <v>44.174999999999997</v>
      </c>
      <c r="O353" s="4">
        <v>44.174999999999997</v>
      </c>
      <c r="P353" s="4">
        <v>59</v>
      </c>
      <c r="Q353" s="3" t="s">
        <v>26</v>
      </c>
      <c r="R353" s="3">
        <v>0</v>
      </c>
      <c r="S353" s="4">
        <v>0</v>
      </c>
      <c r="T353" s="4">
        <v>20</v>
      </c>
      <c r="U353" s="4">
        <v>60</v>
      </c>
      <c r="V353" s="4">
        <f>IF(ISERROR(VLOOKUP($S$353,'TAR FIN'!$A$1:$O$91,15,0)),0,VLOOKUP($S$353,'TAR FIN'!$A$1:$O$91,15,0))</f>
        <v>0</v>
      </c>
      <c r="W353" s="4">
        <f>IF(ISERROR(VLOOKUP($T$353,'TAR FIN'!$A$1:$O$91,15,0)),0,VLOOKUP($T$353,'TAR FIN'!$A$1:$O$91,15,0))</f>
        <v>112.15</v>
      </c>
      <c r="X353" s="4">
        <f>IF(ISERROR(VLOOKUP($U$353,'TAR FIN'!$A$1:$O$91,15,0)),0,VLOOKUP($U$353,'TAR FIN'!$A$1:$O$91,15,0))</f>
        <v>69.66</v>
      </c>
      <c r="Y353" s="4"/>
      <c r="Z353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53" s="4">
        <f ca="1">('TE BE'!$AB$15+'TE BF_350'!$AB$15+'TE CVA'!$AB$15)*(1-CUSTOS!$M$34)</f>
        <v>71.933154536143064</v>
      </c>
      <c r="AB353" s="4">
        <f>$K$353*$V$353</f>
        <v>0</v>
      </c>
      <c r="AC353" s="4">
        <f>$M$353*$W$353</f>
        <v>4954.2262499999997</v>
      </c>
      <c r="AD353" s="4">
        <f>$O$353*$X$353</f>
        <v>3077.2304999999997</v>
      </c>
      <c r="AE353" s="4">
        <f>$K$353*$Y$353</f>
        <v>0</v>
      </c>
      <c r="AF353" s="4">
        <f ca="1">$M$353*$Z$353</f>
        <v>5241.3237768373519</v>
      </c>
      <c r="AG353" s="4">
        <f ca="1">$O$353*$AA$353</f>
        <v>3177.6471016341197</v>
      </c>
    </row>
    <row r="354" spans="1:33" ht="11.25" customHeight="1" x14ac:dyDescent="0.3">
      <c r="A354" s="3" t="s">
        <v>28</v>
      </c>
      <c r="B354" s="3" t="s">
        <v>22</v>
      </c>
      <c r="C354" s="3" t="s">
        <v>23</v>
      </c>
      <c r="D354" s="3" t="s">
        <v>24</v>
      </c>
      <c r="E354" s="3" t="s">
        <v>29</v>
      </c>
      <c r="F354" s="3" t="s">
        <v>25</v>
      </c>
      <c r="G354" s="3" t="s">
        <v>25</v>
      </c>
      <c r="H354" s="3" t="s">
        <v>25</v>
      </c>
      <c r="I354" s="6">
        <v>44713</v>
      </c>
      <c r="J354" s="4">
        <v>0</v>
      </c>
      <c r="K354" s="4">
        <v>0</v>
      </c>
      <c r="L354" s="4">
        <v>0.03</v>
      </c>
      <c r="M354" s="4">
        <v>-8.9999999999999993E-3</v>
      </c>
      <c r="N354" s="4">
        <v>0.03</v>
      </c>
      <c r="O354" s="4">
        <v>-8.9999999999999993E-3</v>
      </c>
      <c r="P354" s="4">
        <v>0</v>
      </c>
      <c r="Q354" s="3" t="s">
        <v>26</v>
      </c>
      <c r="R354" s="3">
        <v>0</v>
      </c>
      <c r="S354" s="4">
        <v>0</v>
      </c>
      <c r="T354" s="4">
        <v>20</v>
      </c>
      <c r="U354" s="4">
        <v>60</v>
      </c>
      <c r="V354" s="4">
        <f>IF(ISERROR(VLOOKUP($S$354,'TAR FIN'!$A$1:$O$91,15,0)),0,VLOOKUP($S$354,'TAR FIN'!$A$1:$O$91,15,0))</f>
        <v>0</v>
      </c>
      <c r="W354" s="4">
        <f>IF(ISERROR(VLOOKUP($T$354,'TAR FIN'!$A$1:$O$91,15,0)),0,VLOOKUP($T$354,'TAR FIN'!$A$1:$O$91,15,0))</f>
        <v>112.15</v>
      </c>
      <c r="X354" s="4">
        <f>IF(ISERROR(VLOOKUP($U$354,'TAR FIN'!$A$1:$O$91,15,0)),0,VLOOKUP($U$354,'TAR FIN'!$A$1:$O$91,15,0))</f>
        <v>69.66</v>
      </c>
      <c r="Y354" s="4"/>
      <c r="Z354" s="4">
        <f ca="1">('TUSD BE'!$AM$24+'TUSD BF_350'!$AM$24+'TUSD CVA'!$AM$24-('TUSD BE'!$P$24+'TUSD BF_350'!$P$24+'TUSD CVA'!$P$24)-('TUSD BE'!$Q$24+'TUSD BF_350'!$Q$24+'TUSD CVA'!$Q$24)-('TUSD BE'!$R$24+'TUSD BF_350'!$R$24+'TUSD CVA'!$R$24))*(1-CUSTOS!$M$34)</f>
        <v>118.64909511799327</v>
      </c>
      <c r="AA354" s="4">
        <f ca="1">('TE BE'!$AB$15+'TE BF_350'!$AB$15+'TE CVA'!$AB$15)*(1-CUSTOS!$M$34)</f>
        <v>71.933154536143064</v>
      </c>
      <c r="AB354" s="4">
        <f>$K$354*$V$354</f>
        <v>0</v>
      </c>
      <c r="AC354" s="4">
        <f>$M$354*$W$354</f>
        <v>-1.00935</v>
      </c>
      <c r="AD354" s="4">
        <f>$O$354*$X$354</f>
        <v>-0.62693999999999994</v>
      </c>
      <c r="AE354" s="4">
        <f>$K$354*$Y$354</f>
        <v>0</v>
      </c>
      <c r="AF354" s="4">
        <f ca="1">$M$354*$Z$354</f>
        <v>-1.0678418560619394</v>
      </c>
      <c r="AG354" s="4">
        <f ca="1">$O$354*$AA$354</f>
        <v>-0.6473983908252875</v>
      </c>
    </row>
    <row r="355" spans="1:33" ht="11.25" customHeight="1" x14ac:dyDescent="0.3">
      <c r="A355" s="3" t="s">
        <v>21</v>
      </c>
      <c r="B355" s="3" t="s">
        <v>22</v>
      </c>
      <c r="C355" s="3" t="s">
        <v>23</v>
      </c>
      <c r="D355" s="3" t="s">
        <v>24</v>
      </c>
      <c r="E355" s="3" t="s">
        <v>30</v>
      </c>
      <c r="F355" s="3" t="s">
        <v>25</v>
      </c>
      <c r="G355" s="3" t="s">
        <v>25</v>
      </c>
      <c r="H355" s="3" t="s">
        <v>25</v>
      </c>
      <c r="I355" s="6">
        <v>44378</v>
      </c>
      <c r="J355" s="4">
        <v>0</v>
      </c>
      <c r="K355" s="4">
        <v>0</v>
      </c>
      <c r="L355" s="4">
        <v>62.991</v>
      </c>
      <c r="M355" s="4">
        <v>62.991</v>
      </c>
      <c r="N355" s="4">
        <v>62.991</v>
      </c>
      <c r="O355" s="4">
        <v>62.991</v>
      </c>
      <c r="P355" s="4">
        <v>268</v>
      </c>
      <c r="Q355" s="3" t="s">
        <v>26</v>
      </c>
      <c r="R355" s="3">
        <v>0</v>
      </c>
      <c r="S355" s="4">
        <v>0</v>
      </c>
      <c r="T355" s="4">
        <v>21</v>
      </c>
      <c r="U355" s="4">
        <v>61</v>
      </c>
      <c r="V355" s="4">
        <f>IF(ISERROR(VLOOKUP($S$355,'TAR FIN'!$A$1:$O$91,15,0)),0,VLOOKUP($S$355,'TAR FIN'!$A$1:$O$91,15,0))</f>
        <v>0</v>
      </c>
      <c r="W355" s="4">
        <f>IF(ISERROR(VLOOKUP($T$355,'TAR FIN'!$A$1:$O$91,15,0)),0,VLOOKUP($T$355,'TAR FIN'!$A$1:$O$91,15,0))</f>
        <v>192.27</v>
      </c>
      <c r="X355" s="4">
        <f>IF(ISERROR(VLOOKUP($U$355,'TAR FIN'!$A$1:$O$91,15,0)),0,VLOOKUP($U$355,'TAR FIN'!$A$1:$O$91,15,0))</f>
        <v>119.42</v>
      </c>
      <c r="Y355" s="4"/>
      <c r="Z355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55" s="4">
        <f ca="1">('TE BE'!$AB$16+'TE BF_350'!$AB$16+'TE CVA'!$AB$16)*(1-CUSTOS!$M$35)</f>
        <v>123.31397920481668</v>
      </c>
      <c r="AB355" s="4">
        <f>$K$355*$V$355</f>
        <v>0</v>
      </c>
      <c r="AC355" s="4">
        <f>$M$355*$W$355</f>
        <v>12111.279570000001</v>
      </c>
      <c r="AD355" s="4">
        <f>$O$355*$X$355</f>
        <v>7522.3852200000001</v>
      </c>
      <c r="AE355" s="4">
        <f>$K$355*$Y$355</f>
        <v>0</v>
      </c>
      <c r="AF355" s="4">
        <f ca="1">$M$355*$Z$355</f>
        <v>12812.271686704311</v>
      </c>
      <c r="AG355" s="4">
        <f ca="1">$O$355*$AA$355</f>
        <v>7767.6708640906072</v>
      </c>
    </row>
    <row r="356" spans="1:33" ht="11.25" customHeight="1" x14ac:dyDescent="0.3">
      <c r="A356" s="3" t="s">
        <v>27</v>
      </c>
      <c r="B356" s="3" t="s">
        <v>22</v>
      </c>
      <c r="C356" s="3" t="s">
        <v>23</v>
      </c>
      <c r="D356" s="3" t="s">
        <v>24</v>
      </c>
      <c r="E356" s="3" t="s">
        <v>30</v>
      </c>
      <c r="F356" s="3" t="s">
        <v>25</v>
      </c>
      <c r="G356" s="3" t="s">
        <v>25</v>
      </c>
      <c r="H356" s="3" t="s">
        <v>25</v>
      </c>
      <c r="I356" s="6">
        <v>44378</v>
      </c>
      <c r="J356" s="4">
        <v>0</v>
      </c>
      <c r="K356" s="4">
        <v>0</v>
      </c>
      <c r="L356" s="4">
        <v>-6.6000000000000003E-2</v>
      </c>
      <c r="M356" s="4">
        <v>-6.6000000000000003E-2</v>
      </c>
      <c r="N356" s="4">
        <v>-6.6000000000000003E-2</v>
      </c>
      <c r="O356" s="4">
        <v>-6.6000000000000003E-2</v>
      </c>
      <c r="P356" s="4">
        <v>0</v>
      </c>
      <c r="Q356" s="3" t="s">
        <v>26</v>
      </c>
      <c r="R356" s="3">
        <v>0</v>
      </c>
      <c r="S356" s="4">
        <v>0</v>
      </c>
      <c r="T356" s="4">
        <v>21</v>
      </c>
      <c r="U356" s="4">
        <v>61</v>
      </c>
      <c r="V356" s="4">
        <f>IF(ISERROR(VLOOKUP($S$356,'TAR FIN'!$A$1:$O$91,15,0)),0,VLOOKUP($S$356,'TAR FIN'!$A$1:$O$91,15,0))</f>
        <v>0</v>
      </c>
      <c r="W356" s="4">
        <f>IF(ISERROR(VLOOKUP($T$356,'TAR FIN'!$A$1:$O$91,15,0)),0,VLOOKUP($T$356,'TAR FIN'!$A$1:$O$91,15,0))</f>
        <v>192.27</v>
      </c>
      <c r="X356" s="4">
        <f>IF(ISERROR(VLOOKUP($U$356,'TAR FIN'!$A$1:$O$91,15,0)),0,VLOOKUP($U$356,'TAR FIN'!$A$1:$O$91,15,0))</f>
        <v>119.42</v>
      </c>
      <c r="Y356" s="4"/>
      <c r="Z356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56" s="4">
        <f ca="1">('TE BE'!$AB$16+'TE BF_350'!$AB$16+'TE CVA'!$AB$16)*(1-CUSTOS!$M$35)</f>
        <v>123.31397920481668</v>
      </c>
      <c r="AB356" s="4">
        <f>$K$356*$V$356</f>
        <v>0</v>
      </c>
      <c r="AC356" s="4">
        <f>$M$356*$W$356</f>
        <v>-12.689820000000001</v>
      </c>
      <c r="AD356" s="4">
        <f>$O$356*$X$356</f>
        <v>-7.8817200000000005</v>
      </c>
      <c r="AE356" s="4">
        <f>$K$356*$Y$356</f>
        <v>0</v>
      </c>
      <c r="AF356" s="4">
        <f ca="1">$M$356*$Z$356</f>
        <v>-13.424297619064383</v>
      </c>
      <c r="AG356" s="4">
        <f ca="1">$O$356*$AA$356</f>
        <v>-8.1387226275179003</v>
      </c>
    </row>
    <row r="357" spans="1:33" ht="11.25" customHeight="1" x14ac:dyDescent="0.3">
      <c r="A357" s="3" t="s">
        <v>28</v>
      </c>
      <c r="B357" s="3" t="s">
        <v>22</v>
      </c>
      <c r="C357" s="3" t="s">
        <v>23</v>
      </c>
      <c r="D357" s="3" t="s">
        <v>24</v>
      </c>
      <c r="E357" s="3" t="s">
        <v>30</v>
      </c>
      <c r="F357" s="3" t="s">
        <v>25</v>
      </c>
      <c r="G357" s="3" t="s">
        <v>25</v>
      </c>
      <c r="H357" s="3" t="s">
        <v>25</v>
      </c>
      <c r="I357" s="6">
        <v>44378</v>
      </c>
      <c r="J357" s="4">
        <v>0</v>
      </c>
      <c r="K357" s="4">
        <v>0</v>
      </c>
      <c r="L357" s="4">
        <v>0.14000000000000001</v>
      </c>
      <c r="M357" s="4">
        <v>0.14000000000000001</v>
      </c>
      <c r="N357" s="4">
        <v>0.14000000000000001</v>
      </c>
      <c r="O357" s="4">
        <v>0.14000000000000001</v>
      </c>
      <c r="P357" s="4">
        <v>0</v>
      </c>
      <c r="Q357" s="3" t="s">
        <v>26</v>
      </c>
      <c r="R357" s="3">
        <v>0</v>
      </c>
      <c r="S357" s="4">
        <v>0</v>
      </c>
      <c r="T357" s="4">
        <v>21</v>
      </c>
      <c r="U357" s="4">
        <v>61</v>
      </c>
      <c r="V357" s="4">
        <f>IF(ISERROR(VLOOKUP($S$357,'TAR FIN'!$A$1:$O$91,15,0)),0,VLOOKUP($S$357,'TAR FIN'!$A$1:$O$91,15,0))</f>
        <v>0</v>
      </c>
      <c r="W357" s="4">
        <f>IF(ISERROR(VLOOKUP($T$357,'TAR FIN'!$A$1:$O$91,15,0)),0,VLOOKUP($T$357,'TAR FIN'!$A$1:$O$91,15,0))</f>
        <v>192.27</v>
      </c>
      <c r="X357" s="4">
        <f>IF(ISERROR(VLOOKUP($U$357,'TAR FIN'!$A$1:$O$91,15,0)),0,VLOOKUP($U$357,'TAR FIN'!$A$1:$O$91,15,0))</f>
        <v>119.42</v>
      </c>
      <c r="Y357" s="4"/>
      <c r="Z357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57" s="4">
        <f ca="1">('TE BE'!$AB$16+'TE BF_350'!$AB$16+'TE CVA'!$AB$16)*(1-CUSTOS!$M$35)</f>
        <v>123.31397920481668</v>
      </c>
      <c r="AB357" s="4">
        <f>$K$357*$V$357</f>
        <v>0</v>
      </c>
      <c r="AC357" s="4">
        <f>$M$357*$W$357</f>
        <v>26.917800000000003</v>
      </c>
      <c r="AD357" s="4">
        <f>$O$357*$X$357</f>
        <v>16.718800000000002</v>
      </c>
      <c r="AE357" s="4">
        <f>$K$357*$Y$357</f>
        <v>0</v>
      </c>
      <c r="AF357" s="4">
        <f ca="1">$M$357*$Z$357</f>
        <v>28.47578282831839</v>
      </c>
      <c r="AG357" s="4">
        <f ca="1">$O$357*$AA$357</f>
        <v>17.263957088674335</v>
      </c>
    </row>
    <row r="358" spans="1:33" ht="11.25" customHeight="1" x14ac:dyDescent="0.3">
      <c r="A358" s="3" t="s">
        <v>21</v>
      </c>
      <c r="B358" s="3" t="s">
        <v>22</v>
      </c>
      <c r="C358" s="3" t="s">
        <v>23</v>
      </c>
      <c r="D358" s="3" t="s">
        <v>24</v>
      </c>
      <c r="E358" s="3" t="s">
        <v>30</v>
      </c>
      <c r="F358" s="3" t="s">
        <v>25</v>
      </c>
      <c r="G358" s="3" t="s">
        <v>25</v>
      </c>
      <c r="H358" s="3" t="s">
        <v>25</v>
      </c>
      <c r="I358" s="6">
        <v>44409</v>
      </c>
      <c r="J358" s="4">
        <v>0</v>
      </c>
      <c r="K358" s="4">
        <v>0</v>
      </c>
      <c r="L358" s="4">
        <v>64.536000000000001</v>
      </c>
      <c r="M358" s="4">
        <v>64.536000000000001</v>
      </c>
      <c r="N358" s="4">
        <v>64.536000000000001</v>
      </c>
      <c r="O358" s="4">
        <v>64.536000000000001</v>
      </c>
      <c r="P358" s="4">
        <v>215</v>
      </c>
      <c r="Q358" s="3" t="s">
        <v>26</v>
      </c>
      <c r="R358" s="3">
        <v>0</v>
      </c>
      <c r="S358" s="4">
        <v>0</v>
      </c>
      <c r="T358" s="4">
        <v>21</v>
      </c>
      <c r="U358" s="4">
        <v>61</v>
      </c>
      <c r="V358" s="4">
        <f>IF(ISERROR(VLOOKUP($S$358,'TAR FIN'!$A$1:$O$91,15,0)),0,VLOOKUP($S$358,'TAR FIN'!$A$1:$O$91,15,0))</f>
        <v>0</v>
      </c>
      <c r="W358" s="4">
        <f>IF(ISERROR(VLOOKUP($T$358,'TAR FIN'!$A$1:$O$91,15,0)),0,VLOOKUP($T$358,'TAR FIN'!$A$1:$O$91,15,0))</f>
        <v>192.27</v>
      </c>
      <c r="X358" s="4">
        <f>IF(ISERROR(VLOOKUP($U$358,'TAR FIN'!$A$1:$O$91,15,0)),0,VLOOKUP($U$358,'TAR FIN'!$A$1:$O$91,15,0))</f>
        <v>119.42</v>
      </c>
      <c r="Y358" s="4"/>
      <c r="Z358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58" s="4">
        <f ca="1">('TE BE'!$AB$16+'TE BF_350'!$AB$16+'TE CVA'!$AB$16)*(1-CUSTOS!$M$35)</f>
        <v>123.31397920481668</v>
      </c>
      <c r="AB358" s="4">
        <f>$K$358*$V$358</f>
        <v>0</v>
      </c>
      <c r="AC358" s="4">
        <f>$M$358*$W$358</f>
        <v>12408.336720000001</v>
      </c>
      <c r="AD358" s="4">
        <f>$O$358*$X$358</f>
        <v>7706.8891199999998</v>
      </c>
      <c r="AE358" s="4">
        <f>$K$358*$Y$358</f>
        <v>0</v>
      </c>
      <c r="AF358" s="4">
        <f ca="1">$M$358*$Z$358</f>
        <v>13126.522290059682</v>
      </c>
      <c r="AG358" s="4">
        <f ca="1">$O$358*$AA$358</f>
        <v>7958.1909619620492</v>
      </c>
    </row>
    <row r="359" spans="1:33" ht="11.25" customHeight="1" x14ac:dyDescent="0.3">
      <c r="A359" s="3" t="s">
        <v>27</v>
      </c>
      <c r="B359" s="3" t="s">
        <v>22</v>
      </c>
      <c r="C359" s="3" t="s">
        <v>23</v>
      </c>
      <c r="D359" s="3" t="s">
        <v>24</v>
      </c>
      <c r="E359" s="3" t="s">
        <v>30</v>
      </c>
      <c r="F359" s="3" t="s">
        <v>25</v>
      </c>
      <c r="G359" s="3" t="s">
        <v>25</v>
      </c>
      <c r="H359" s="3" t="s">
        <v>25</v>
      </c>
      <c r="I359" s="6">
        <v>44409</v>
      </c>
      <c r="J359" s="4">
        <v>0</v>
      </c>
      <c r="K359" s="4">
        <v>0</v>
      </c>
      <c r="L359" s="4">
        <v>0.14000000000000001</v>
      </c>
      <c r="M359" s="4">
        <v>0.14000000000000001</v>
      </c>
      <c r="N359" s="4">
        <v>0.14000000000000001</v>
      </c>
      <c r="O359" s="4">
        <v>0.14000000000000001</v>
      </c>
      <c r="P359" s="4">
        <v>0</v>
      </c>
      <c r="Q359" s="3" t="s">
        <v>26</v>
      </c>
      <c r="R359" s="3">
        <v>0</v>
      </c>
      <c r="S359" s="4">
        <v>0</v>
      </c>
      <c r="T359" s="4">
        <v>21</v>
      </c>
      <c r="U359" s="4">
        <v>61</v>
      </c>
      <c r="V359" s="4">
        <f>IF(ISERROR(VLOOKUP($S$359,'TAR FIN'!$A$1:$O$91,15,0)),0,VLOOKUP($S$359,'TAR FIN'!$A$1:$O$91,15,0))</f>
        <v>0</v>
      </c>
      <c r="W359" s="4">
        <f>IF(ISERROR(VLOOKUP($T$359,'TAR FIN'!$A$1:$O$91,15,0)),0,VLOOKUP($T$359,'TAR FIN'!$A$1:$O$91,15,0))</f>
        <v>192.27</v>
      </c>
      <c r="X359" s="4">
        <f>IF(ISERROR(VLOOKUP($U$359,'TAR FIN'!$A$1:$O$91,15,0)),0,VLOOKUP($U$359,'TAR FIN'!$A$1:$O$91,15,0))</f>
        <v>119.42</v>
      </c>
      <c r="Y359" s="4"/>
      <c r="Z359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59" s="4">
        <f ca="1">('TE BE'!$AB$16+'TE BF_350'!$AB$16+'TE CVA'!$AB$16)*(1-CUSTOS!$M$35)</f>
        <v>123.31397920481668</v>
      </c>
      <c r="AB359" s="4">
        <f>$K$359*$V$359</f>
        <v>0</v>
      </c>
      <c r="AC359" s="4">
        <f>$M$359*$W$359</f>
        <v>26.917800000000003</v>
      </c>
      <c r="AD359" s="4">
        <f>$O$359*$X$359</f>
        <v>16.718800000000002</v>
      </c>
      <c r="AE359" s="4">
        <f>$K$359*$Y$359</f>
        <v>0</v>
      </c>
      <c r="AF359" s="4">
        <f ca="1">$M$359*$Z$359</f>
        <v>28.47578282831839</v>
      </c>
      <c r="AG359" s="4">
        <f ca="1">$O$359*$AA$359</f>
        <v>17.263957088674335</v>
      </c>
    </row>
    <row r="360" spans="1:33" ht="11.25" customHeight="1" x14ac:dyDescent="0.3">
      <c r="A360" s="3" t="s">
        <v>28</v>
      </c>
      <c r="B360" s="3" t="s">
        <v>22</v>
      </c>
      <c r="C360" s="3" t="s">
        <v>23</v>
      </c>
      <c r="D360" s="3" t="s">
        <v>24</v>
      </c>
      <c r="E360" s="3" t="s">
        <v>30</v>
      </c>
      <c r="F360" s="3" t="s">
        <v>25</v>
      </c>
      <c r="G360" s="3" t="s">
        <v>25</v>
      </c>
      <c r="H360" s="3" t="s">
        <v>25</v>
      </c>
      <c r="I360" s="6">
        <v>44409</v>
      </c>
      <c r="J360" s="4">
        <v>0</v>
      </c>
      <c r="K360" s="4">
        <v>0</v>
      </c>
      <c r="L360" s="4">
        <v>6.2E-2</v>
      </c>
      <c r="M360" s="4">
        <v>6.2E-2</v>
      </c>
      <c r="N360" s="4">
        <v>6.2E-2</v>
      </c>
      <c r="O360" s="4">
        <v>6.2E-2</v>
      </c>
      <c r="P360" s="4">
        <v>0</v>
      </c>
      <c r="Q360" s="3" t="s">
        <v>26</v>
      </c>
      <c r="R360" s="3">
        <v>0</v>
      </c>
      <c r="S360" s="4">
        <v>0</v>
      </c>
      <c r="T360" s="4">
        <v>21</v>
      </c>
      <c r="U360" s="4">
        <v>61</v>
      </c>
      <c r="V360" s="4">
        <f>IF(ISERROR(VLOOKUP($S$360,'TAR FIN'!$A$1:$O$91,15,0)),0,VLOOKUP($S$360,'TAR FIN'!$A$1:$O$91,15,0))</f>
        <v>0</v>
      </c>
      <c r="W360" s="4">
        <f>IF(ISERROR(VLOOKUP($T$360,'TAR FIN'!$A$1:$O$91,15,0)),0,VLOOKUP($T$360,'TAR FIN'!$A$1:$O$91,15,0))</f>
        <v>192.27</v>
      </c>
      <c r="X360" s="4">
        <f>IF(ISERROR(VLOOKUP($U$360,'TAR FIN'!$A$1:$O$91,15,0)),0,VLOOKUP($U$360,'TAR FIN'!$A$1:$O$91,15,0))</f>
        <v>119.42</v>
      </c>
      <c r="Y360" s="4"/>
      <c r="Z360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0" s="4">
        <f ca="1">('TE BE'!$AB$16+'TE BF_350'!$AB$16+'TE CVA'!$AB$16)*(1-CUSTOS!$M$35)</f>
        <v>123.31397920481668</v>
      </c>
      <c r="AB360" s="4">
        <f>$K$360*$V$360</f>
        <v>0</v>
      </c>
      <c r="AC360" s="4">
        <f>$M$360*$W$360</f>
        <v>11.92074</v>
      </c>
      <c r="AD360" s="4">
        <f>$O$360*$X$360</f>
        <v>7.4040400000000002</v>
      </c>
      <c r="AE360" s="4">
        <f>$K$360*$Y$360</f>
        <v>0</v>
      </c>
      <c r="AF360" s="4">
        <f ca="1">$M$360*$Z$360</f>
        <v>12.610703823969571</v>
      </c>
      <c r="AG360" s="4">
        <f ca="1">$O$360*$AA$360</f>
        <v>7.645466710698634</v>
      </c>
    </row>
    <row r="361" spans="1:33" ht="11.25" customHeight="1" x14ac:dyDescent="0.3">
      <c r="A361" s="3" t="s">
        <v>21</v>
      </c>
      <c r="B361" s="3" t="s">
        <v>22</v>
      </c>
      <c r="C361" s="3" t="s">
        <v>23</v>
      </c>
      <c r="D361" s="3" t="s">
        <v>24</v>
      </c>
      <c r="E361" s="3" t="s">
        <v>30</v>
      </c>
      <c r="F361" s="3" t="s">
        <v>25</v>
      </c>
      <c r="G361" s="3" t="s">
        <v>25</v>
      </c>
      <c r="H361" s="3" t="s">
        <v>25</v>
      </c>
      <c r="I361" s="6">
        <v>44440</v>
      </c>
      <c r="J361" s="4">
        <v>0</v>
      </c>
      <c r="K361" s="4">
        <v>0</v>
      </c>
      <c r="L361" s="4">
        <v>65.968999999999994</v>
      </c>
      <c r="M361" s="4">
        <v>65.968999999999994</v>
      </c>
      <c r="N361" s="4">
        <v>65.968999999999994</v>
      </c>
      <c r="O361" s="4">
        <v>65.968999999999994</v>
      </c>
      <c r="P361" s="4">
        <v>234</v>
      </c>
      <c r="Q361" s="3" t="s">
        <v>26</v>
      </c>
      <c r="R361" s="3">
        <v>0</v>
      </c>
      <c r="S361" s="4">
        <v>0</v>
      </c>
      <c r="T361" s="4">
        <v>21</v>
      </c>
      <c r="U361" s="4">
        <v>61</v>
      </c>
      <c r="V361" s="4">
        <f>IF(ISERROR(VLOOKUP($S$361,'TAR FIN'!$A$1:$O$91,15,0)),0,VLOOKUP($S$361,'TAR FIN'!$A$1:$O$91,15,0))</f>
        <v>0</v>
      </c>
      <c r="W361" s="4">
        <f>IF(ISERROR(VLOOKUP($T$361,'TAR FIN'!$A$1:$O$91,15,0)),0,VLOOKUP($T$361,'TAR FIN'!$A$1:$O$91,15,0))</f>
        <v>192.27</v>
      </c>
      <c r="X361" s="4">
        <f>IF(ISERROR(VLOOKUP($U$361,'TAR FIN'!$A$1:$O$91,15,0)),0,VLOOKUP($U$361,'TAR FIN'!$A$1:$O$91,15,0))</f>
        <v>119.42</v>
      </c>
      <c r="Y361" s="4"/>
      <c r="Z361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1" s="4">
        <f ca="1">('TE BE'!$AB$16+'TE BF_350'!$AB$16+'TE CVA'!$AB$16)*(1-CUSTOS!$M$35)</f>
        <v>123.31397920481668</v>
      </c>
      <c r="AB361" s="4">
        <f>$K$361*$V$361</f>
        <v>0</v>
      </c>
      <c r="AC361" s="4">
        <f>$M$361*$W$361</f>
        <v>12683.859629999999</v>
      </c>
      <c r="AD361" s="4">
        <f>$O$361*$X$361</f>
        <v>7878.0179799999996</v>
      </c>
      <c r="AE361" s="4">
        <f>$K$361*$Y$361</f>
        <v>0</v>
      </c>
      <c r="AF361" s="4">
        <f ca="1">$M$361*$Z$361</f>
        <v>13417.992267152396</v>
      </c>
      <c r="AG361" s="4">
        <f ca="1">$O$361*$AA$361</f>
        <v>8134.8998941625505</v>
      </c>
    </row>
    <row r="362" spans="1:33" ht="11.25" customHeight="1" x14ac:dyDescent="0.3">
      <c r="A362" s="3" t="s">
        <v>28</v>
      </c>
      <c r="B362" s="3" t="s">
        <v>22</v>
      </c>
      <c r="C362" s="3" t="s">
        <v>23</v>
      </c>
      <c r="D362" s="3" t="s">
        <v>24</v>
      </c>
      <c r="E362" s="3" t="s">
        <v>30</v>
      </c>
      <c r="F362" s="3" t="s">
        <v>25</v>
      </c>
      <c r="G362" s="3" t="s">
        <v>25</v>
      </c>
      <c r="H362" s="3" t="s">
        <v>25</v>
      </c>
      <c r="I362" s="6">
        <v>44440</v>
      </c>
      <c r="J362" s="4">
        <v>0</v>
      </c>
      <c r="K362" s="4">
        <v>0</v>
      </c>
      <c r="L362" s="4">
        <v>7.0000000000000007E-2</v>
      </c>
      <c r="M362" s="4">
        <v>7.0000000000000007E-2</v>
      </c>
      <c r="N362" s="4">
        <v>7.0000000000000007E-2</v>
      </c>
      <c r="O362" s="4">
        <v>7.0000000000000007E-2</v>
      </c>
      <c r="P362" s="4">
        <v>0</v>
      </c>
      <c r="Q362" s="3" t="s">
        <v>26</v>
      </c>
      <c r="R362" s="3">
        <v>0</v>
      </c>
      <c r="S362" s="4">
        <v>0</v>
      </c>
      <c r="T362" s="4">
        <v>21</v>
      </c>
      <c r="U362" s="4">
        <v>61</v>
      </c>
      <c r="V362" s="4">
        <f>IF(ISERROR(VLOOKUP($S$362,'TAR FIN'!$A$1:$O$91,15,0)),0,VLOOKUP($S$362,'TAR FIN'!$A$1:$O$91,15,0))</f>
        <v>0</v>
      </c>
      <c r="W362" s="4">
        <f>IF(ISERROR(VLOOKUP($T$362,'TAR FIN'!$A$1:$O$91,15,0)),0,VLOOKUP($T$362,'TAR FIN'!$A$1:$O$91,15,0))</f>
        <v>192.27</v>
      </c>
      <c r="X362" s="4">
        <f>IF(ISERROR(VLOOKUP($U$362,'TAR FIN'!$A$1:$O$91,15,0)),0,VLOOKUP($U$362,'TAR FIN'!$A$1:$O$91,15,0))</f>
        <v>119.42</v>
      </c>
      <c r="Y362" s="4"/>
      <c r="Z362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2" s="4">
        <f ca="1">('TE BE'!$AB$16+'TE BF_350'!$AB$16+'TE CVA'!$AB$16)*(1-CUSTOS!$M$35)</f>
        <v>123.31397920481668</v>
      </c>
      <c r="AB362" s="4">
        <f>$K$362*$V$362</f>
        <v>0</v>
      </c>
      <c r="AC362" s="4">
        <f>$M$362*$W$362</f>
        <v>13.458900000000002</v>
      </c>
      <c r="AD362" s="4">
        <f>$O$362*$X$362</f>
        <v>8.3594000000000008</v>
      </c>
      <c r="AE362" s="4">
        <f>$K$362*$Y$362</f>
        <v>0</v>
      </c>
      <c r="AF362" s="4">
        <f ca="1">$M$362*$Z$362</f>
        <v>14.237891414159195</v>
      </c>
      <c r="AG362" s="4">
        <f ca="1">$O$362*$AA$362</f>
        <v>8.6319785443371675</v>
      </c>
    </row>
    <row r="363" spans="1:33" ht="11.25" customHeight="1" x14ac:dyDescent="0.3">
      <c r="A363" s="3" t="s">
        <v>21</v>
      </c>
      <c r="B363" s="3" t="s">
        <v>22</v>
      </c>
      <c r="C363" s="3" t="s">
        <v>23</v>
      </c>
      <c r="D363" s="3" t="s">
        <v>24</v>
      </c>
      <c r="E363" s="3" t="s">
        <v>30</v>
      </c>
      <c r="F363" s="3" t="s">
        <v>25</v>
      </c>
      <c r="G363" s="3" t="s">
        <v>25</v>
      </c>
      <c r="H363" s="3" t="s">
        <v>25</v>
      </c>
      <c r="I363" s="6">
        <v>44470</v>
      </c>
      <c r="J363" s="4">
        <v>0</v>
      </c>
      <c r="K363" s="4">
        <v>0</v>
      </c>
      <c r="L363" s="4">
        <v>67.483999999999995</v>
      </c>
      <c r="M363" s="4">
        <v>67.483999999999995</v>
      </c>
      <c r="N363" s="4">
        <v>67.483999999999995</v>
      </c>
      <c r="O363" s="4">
        <v>67.483999999999995</v>
      </c>
      <c r="P363" s="4">
        <v>198</v>
      </c>
      <c r="Q363" s="3" t="s">
        <v>26</v>
      </c>
      <c r="R363" s="3">
        <v>0</v>
      </c>
      <c r="S363" s="4">
        <v>0</v>
      </c>
      <c r="T363" s="4">
        <v>21</v>
      </c>
      <c r="U363" s="4">
        <v>61</v>
      </c>
      <c r="V363" s="4">
        <f>IF(ISERROR(VLOOKUP($S$363,'TAR FIN'!$A$1:$O$91,15,0)),0,VLOOKUP($S$363,'TAR FIN'!$A$1:$O$91,15,0))</f>
        <v>0</v>
      </c>
      <c r="W363" s="4">
        <f>IF(ISERROR(VLOOKUP($T$363,'TAR FIN'!$A$1:$O$91,15,0)),0,VLOOKUP($T$363,'TAR FIN'!$A$1:$O$91,15,0))</f>
        <v>192.27</v>
      </c>
      <c r="X363" s="4">
        <f>IF(ISERROR(VLOOKUP($U$363,'TAR FIN'!$A$1:$O$91,15,0)),0,VLOOKUP($U$363,'TAR FIN'!$A$1:$O$91,15,0))</f>
        <v>119.42</v>
      </c>
      <c r="Y363" s="4"/>
      <c r="Z363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3" s="4">
        <f ca="1">('TE BE'!$AB$16+'TE BF_350'!$AB$16+'TE CVA'!$AB$16)*(1-CUSTOS!$M$35)</f>
        <v>123.31397920481668</v>
      </c>
      <c r="AB363" s="4">
        <f>$K$363*$V$363</f>
        <v>0</v>
      </c>
      <c r="AC363" s="4">
        <f>$M$363*$W$363</f>
        <v>12975.14868</v>
      </c>
      <c r="AD363" s="4">
        <f>$O$363*$X$363</f>
        <v>8058.9392799999996</v>
      </c>
      <c r="AE363" s="4">
        <f>$K$363*$Y$363</f>
        <v>0</v>
      </c>
      <c r="AF363" s="4">
        <f ca="1">$M$363*$Z$363</f>
        <v>13726.140917044557</v>
      </c>
      <c r="AG363" s="4">
        <f ca="1">$O$363*$AA$363</f>
        <v>8321.7205726578486</v>
      </c>
    </row>
    <row r="364" spans="1:33" ht="11.25" customHeight="1" x14ac:dyDescent="0.3">
      <c r="A364" s="3" t="s">
        <v>28</v>
      </c>
      <c r="B364" s="3" t="s">
        <v>22</v>
      </c>
      <c r="C364" s="3" t="s">
        <v>23</v>
      </c>
      <c r="D364" s="3" t="s">
        <v>24</v>
      </c>
      <c r="E364" s="3" t="s">
        <v>30</v>
      </c>
      <c r="F364" s="3" t="s">
        <v>25</v>
      </c>
      <c r="G364" s="3" t="s">
        <v>25</v>
      </c>
      <c r="H364" s="3" t="s">
        <v>25</v>
      </c>
      <c r="I364" s="6">
        <v>44470</v>
      </c>
      <c r="J364" s="4">
        <v>0</v>
      </c>
      <c r="K364" s="4">
        <v>0</v>
      </c>
      <c r="L364" s="4">
        <v>7.0000000000000007E-2</v>
      </c>
      <c r="M364" s="4">
        <v>7.0000000000000007E-2</v>
      </c>
      <c r="N364" s="4">
        <v>7.0000000000000007E-2</v>
      </c>
      <c r="O364" s="4">
        <v>7.0000000000000007E-2</v>
      </c>
      <c r="P364" s="4">
        <v>0</v>
      </c>
      <c r="Q364" s="3" t="s">
        <v>26</v>
      </c>
      <c r="R364" s="3">
        <v>0</v>
      </c>
      <c r="S364" s="4">
        <v>0</v>
      </c>
      <c r="T364" s="4">
        <v>21</v>
      </c>
      <c r="U364" s="4">
        <v>61</v>
      </c>
      <c r="V364" s="4">
        <f>IF(ISERROR(VLOOKUP($S$364,'TAR FIN'!$A$1:$O$91,15,0)),0,VLOOKUP($S$364,'TAR FIN'!$A$1:$O$91,15,0))</f>
        <v>0</v>
      </c>
      <c r="W364" s="4">
        <f>IF(ISERROR(VLOOKUP($T$364,'TAR FIN'!$A$1:$O$91,15,0)),0,VLOOKUP($T$364,'TAR FIN'!$A$1:$O$91,15,0))</f>
        <v>192.27</v>
      </c>
      <c r="X364" s="4">
        <f>IF(ISERROR(VLOOKUP($U$364,'TAR FIN'!$A$1:$O$91,15,0)),0,VLOOKUP($U$364,'TAR FIN'!$A$1:$O$91,15,0))</f>
        <v>119.42</v>
      </c>
      <c r="Y364" s="4"/>
      <c r="Z364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4" s="4">
        <f ca="1">('TE BE'!$AB$16+'TE BF_350'!$AB$16+'TE CVA'!$AB$16)*(1-CUSTOS!$M$35)</f>
        <v>123.31397920481668</v>
      </c>
      <c r="AB364" s="4">
        <f>$K$364*$V$364</f>
        <v>0</v>
      </c>
      <c r="AC364" s="4">
        <f>$M$364*$W$364</f>
        <v>13.458900000000002</v>
      </c>
      <c r="AD364" s="4">
        <f>$O$364*$X$364</f>
        <v>8.3594000000000008</v>
      </c>
      <c r="AE364" s="4">
        <f>$K$364*$Y$364</f>
        <v>0</v>
      </c>
      <c r="AF364" s="4">
        <f ca="1">$M$364*$Z$364</f>
        <v>14.237891414159195</v>
      </c>
      <c r="AG364" s="4">
        <f ca="1">$O$364*$AA$364</f>
        <v>8.6319785443371675</v>
      </c>
    </row>
    <row r="365" spans="1:33" ht="11.25" customHeight="1" x14ac:dyDescent="0.3">
      <c r="A365" s="3" t="s">
        <v>21</v>
      </c>
      <c r="B365" s="3" t="s">
        <v>22</v>
      </c>
      <c r="C365" s="3" t="s">
        <v>23</v>
      </c>
      <c r="D365" s="3" t="s">
        <v>24</v>
      </c>
      <c r="E365" s="3" t="s">
        <v>30</v>
      </c>
      <c r="F365" s="3" t="s">
        <v>25</v>
      </c>
      <c r="G365" s="3" t="s">
        <v>25</v>
      </c>
      <c r="H365" s="3" t="s">
        <v>25</v>
      </c>
      <c r="I365" s="6">
        <v>44501</v>
      </c>
      <c r="J365" s="4">
        <v>0</v>
      </c>
      <c r="K365" s="4">
        <v>0</v>
      </c>
      <c r="L365" s="4">
        <v>68.765000000000001</v>
      </c>
      <c r="M365" s="4">
        <v>68.765000000000001</v>
      </c>
      <c r="N365" s="4">
        <v>68.765000000000001</v>
      </c>
      <c r="O365" s="4">
        <v>68.765000000000001</v>
      </c>
      <c r="P365" s="4">
        <v>185</v>
      </c>
      <c r="Q365" s="3" t="s">
        <v>26</v>
      </c>
      <c r="R365" s="3">
        <v>0</v>
      </c>
      <c r="S365" s="4">
        <v>0</v>
      </c>
      <c r="T365" s="4">
        <v>21</v>
      </c>
      <c r="U365" s="4">
        <v>61</v>
      </c>
      <c r="V365" s="4">
        <f>IF(ISERROR(VLOOKUP($S$365,'TAR FIN'!$A$1:$O$91,15,0)),0,VLOOKUP($S$365,'TAR FIN'!$A$1:$O$91,15,0))</f>
        <v>0</v>
      </c>
      <c r="W365" s="4">
        <f>IF(ISERROR(VLOOKUP($T$365,'TAR FIN'!$A$1:$O$91,15,0)),0,VLOOKUP($T$365,'TAR FIN'!$A$1:$O$91,15,0))</f>
        <v>192.27</v>
      </c>
      <c r="X365" s="4">
        <f>IF(ISERROR(VLOOKUP($U$365,'TAR FIN'!$A$1:$O$91,15,0)),0,VLOOKUP($U$365,'TAR FIN'!$A$1:$O$91,15,0))</f>
        <v>119.42</v>
      </c>
      <c r="Y365" s="4"/>
      <c r="Z365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5" s="4">
        <f ca="1">('TE BE'!$AB$16+'TE BF_350'!$AB$16+'TE CVA'!$AB$16)*(1-CUSTOS!$M$35)</f>
        <v>123.31397920481668</v>
      </c>
      <c r="AB365" s="4">
        <f>$K$365*$V$365</f>
        <v>0</v>
      </c>
      <c r="AC365" s="4">
        <f>$M$365*$W$365</f>
        <v>13221.446550000001</v>
      </c>
      <c r="AD365" s="4">
        <f>$O$365*$X$365</f>
        <v>8211.9163000000008</v>
      </c>
      <c r="AE365" s="4">
        <f>$K$365*$Y$365</f>
        <v>0</v>
      </c>
      <c r="AF365" s="4">
        <f ca="1">$M$365*$Z$365</f>
        <v>13986.694329923672</v>
      </c>
      <c r="AG365" s="4">
        <f ca="1">$O$365*$AA$365</f>
        <v>8479.6857800192192</v>
      </c>
    </row>
    <row r="366" spans="1:33" ht="11.25" customHeight="1" x14ac:dyDescent="0.3">
      <c r="A366" s="3" t="s">
        <v>28</v>
      </c>
      <c r="B366" s="3" t="s">
        <v>22</v>
      </c>
      <c r="C366" s="3" t="s">
        <v>23</v>
      </c>
      <c r="D366" s="3" t="s">
        <v>24</v>
      </c>
      <c r="E366" s="3" t="s">
        <v>30</v>
      </c>
      <c r="F366" s="3" t="s">
        <v>25</v>
      </c>
      <c r="G366" s="3" t="s">
        <v>25</v>
      </c>
      <c r="H366" s="3" t="s">
        <v>25</v>
      </c>
      <c r="I366" s="6">
        <v>44501</v>
      </c>
      <c r="J366" s="4">
        <v>0</v>
      </c>
      <c r="K366" s="4">
        <v>0</v>
      </c>
      <c r="L366" s="4">
        <v>0.14000000000000001</v>
      </c>
      <c r="M366" s="4">
        <v>0.14000000000000001</v>
      </c>
      <c r="N366" s="4">
        <v>0.14000000000000001</v>
      </c>
      <c r="O366" s="4">
        <v>0.14000000000000001</v>
      </c>
      <c r="P366" s="4">
        <v>0</v>
      </c>
      <c r="Q366" s="3" t="s">
        <v>26</v>
      </c>
      <c r="R366" s="3">
        <v>0</v>
      </c>
      <c r="S366" s="4">
        <v>0</v>
      </c>
      <c r="T366" s="4">
        <v>21</v>
      </c>
      <c r="U366" s="4">
        <v>61</v>
      </c>
      <c r="V366" s="4">
        <f>IF(ISERROR(VLOOKUP($S$366,'TAR FIN'!$A$1:$O$91,15,0)),0,VLOOKUP($S$366,'TAR FIN'!$A$1:$O$91,15,0))</f>
        <v>0</v>
      </c>
      <c r="W366" s="4">
        <f>IF(ISERROR(VLOOKUP($T$366,'TAR FIN'!$A$1:$O$91,15,0)),0,VLOOKUP($T$366,'TAR FIN'!$A$1:$O$91,15,0))</f>
        <v>192.27</v>
      </c>
      <c r="X366" s="4">
        <f>IF(ISERROR(VLOOKUP($U$366,'TAR FIN'!$A$1:$O$91,15,0)),0,VLOOKUP($U$366,'TAR FIN'!$A$1:$O$91,15,0))</f>
        <v>119.42</v>
      </c>
      <c r="Y366" s="4"/>
      <c r="Z366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6" s="4">
        <f ca="1">('TE BE'!$AB$16+'TE BF_350'!$AB$16+'TE CVA'!$AB$16)*(1-CUSTOS!$M$35)</f>
        <v>123.31397920481668</v>
      </c>
      <c r="AB366" s="4">
        <f>$K$366*$V$366</f>
        <v>0</v>
      </c>
      <c r="AC366" s="4">
        <f>$M$366*$W$366</f>
        <v>26.917800000000003</v>
      </c>
      <c r="AD366" s="4">
        <f>$O$366*$X$366</f>
        <v>16.718800000000002</v>
      </c>
      <c r="AE366" s="4">
        <f>$K$366*$Y$366</f>
        <v>0</v>
      </c>
      <c r="AF366" s="4">
        <f ca="1">$M$366*$Z$366</f>
        <v>28.47578282831839</v>
      </c>
      <c r="AG366" s="4">
        <f ca="1">$O$366*$AA$366</f>
        <v>17.263957088674335</v>
      </c>
    </row>
    <row r="367" spans="1:33" ht="11.25" customHeight="1" x14ac:dyDescent="0.3">
      <c r="A367" s="3" t="s">
        <v>21</v>
      </c>
      <c r="B367" s="3" t="s">
        <v>22</v>
      </c>
      <c r="C367" s="3" t="s">
        <v>23</v>
      </c>
      <c r="D367" s="3" t="s">
        <v>24</v>
      </c>
      <c r="E367" s="3" t="s">
        <v>30</v>
      </c>
      <c r="F367" s="3" t="s">
        <v>25</v>
      </c>
      <c r="G367" s="3" t="s">
        <v>25</v>
      </c>
      <c r="H367" s="3" t="s">
        <v>25</v>
      </c>
      <c r="I367" s="6">
        <v>44531</v>
      </c>
      <c r="J367" s="4">
        <v>0</v>
      </c>
      <c r="K367" s="4">
        <v>0</v>
      </c>
      <c r="L367" s="4">
        <v>70.614000000000004</v>
      </c>
      <c r="M367" s="4">
        <v>70.614000000000004</v>
      </c>
      <c r="N367" s="4">
        <v>70.614000000000004</v>
      </c>
      <c r="O367" s="4">
        <v>70.614000000000004</v>
      </c>
      <c r="P367" s="4">
        <v>162</v>
      </c>
      <c r="Q367" s="3" t="s">
        <v>26</v>
      </c>
      <c r="R367" s="3">
        <v>0</v>
      </c>
      <c r="S367" s="4">
        <v>0</v>
      </c>
      <c r="T367" s="4">
        <v>21</v>
      </c>
      <c r="U367" s="4">
        <v>61</v>
      </c>
      <c r="V367" s="4">
        <f>IF(ISERROR(VLOOKUP($S$367,'TAR FIN'!$A$1:$O$91,15,0)),0,VLOOKUP($S$367,'TAR FIN'!$A$1:$O$91,15,0))</f>
        <v>0</v>
      </c>
      <c r="W367" s="4">
        <f>IF(ISERROR(VLOOKUP($T$367,'TAR FIN'!$A$1:$O$91,15,0)),0,VLOOKUP($T$367,'TAR FIN'!$A$1:$O$91,15,0))</f>
        <v>192.27</v>
      </c>
      <c r="X367" s="4">
        <f>IF(ISERROR(VLOOKUP($U$367,'TAR FIN'!$A$1:$O$91,15,0)),0,VLOOKUP($U$367,'TAR FIN'!$A$1:$O$91,15,0))</f>
        <v>119.42</v>
      </c>
      <c r="Y367" s="4"/>
      <c r="Z367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7" s="4">
        <f ca="1">('TE BE'!$AB$16+'TE BF_350'!$AB$16+'TE CVA'!$AB$16)*(1-CUSTOS!$M$35)</f>
        <v>123.31397920481668</v>
      </c>
      <c r="AB367" s="4">
        <f>$K$367*$V$367</f>
        <v>0</v>
      </c>
      <c r="AC367" s="4">
        <f>$M$367*$W$367</f>
        <v>13576.953780000002</v>
      </c>
      <c r="AD367" s="4">
        <f>$O$367*$X$367</f>
        <v>8432.7238800000014</v>
      </c>
      <c r="AE367" s="4">
        <f>$K$367*$Y$367</f>
        <v>0</v>
      </c>
      <c r="AF367" s="4">
        <f ca="1">$M$367*$Z$367</f>
        <v>14362.778061706249</v>
      </c>
      <c r="AG367" s="4">
        <f ca="1">$O$367*$AA$367</f>
        <v>8707.6933275689244</v>
      </c>
    </row>
    <row r="368" spans="1:33" ht="11.25" customHeight="1" x14ac:dyDescent="0.3">
      <c r="A368" s="3" t="s">
        <v>28</v>
      </c>
      <c r="B368" s="3" t="s">
        <v>22</v>
      </c>
      <c r="C368" s="3" t="s">
        <v>23</v>
      </c>
      <c r="D368" s="3" t="s">
        <v>24</v>
      </c>
      <c r="E368" s="3" t="s">
        <v>30</v>
      </c>
      <c r="F368" s="3" t="s">
        <v>25</v>
      </c>
      <c r="G368" s="3" t="s">
        <v>25</v>
      </c>
      <c r="H368" s="3" t="s">
        <v>25</v>
      </c>
      <c r="I368" s="6">
        <v>44531</v>
      </c>
      <c r="J368" s="4">
        <v>0</v>
      </c>
      <c r="K368" s="4">
        <v>0</v>
      </c>
      <c r="L368" s="4">
        <v>3.1E-2</v>
      </c>
      <c r="M368" s="4">
        <v>1.8599999999999998E-2</v>
      </c>
      <c r="N368" s="4">
        <v>3.1E-2</v>
      </c>
      <c r="O368" s="4">
        <v>1.8599999999999998E-2</v>
      </c>
      <c r="P368" s="4">
        <v>0</v>
      </c>
      <c r="Q368" s="3" t="s">
        <v>26</v>
      </c>
      <c r="R368" s="3">
        <v>0</v>
      </c>
      <c r="S368" s="4">
        <v>0</v>
      </c>
      <c r="T368" s="4">
        <v>21</v>
      </c>
      <c r="U368" s="4">
        <v>61</v>
      </c>
      <c r="V368" s="4">
        <f>IF(ISERROR(VLOOKUP($S$368,'TAR FIN'!$A$1:$O$91,15,0)),0,VLOOKUP($S$368,'TAR FIN'!$A$1:$O$91,15,0))</f>
        <v>0</v>
      </c>
      <c r="W368" s="4">
        <f>IF(ISERROR(VLOOKUP($T$368,'TAR FIN'!$A$1:$O$91,15,0)),0,VLOOKUP($T$368,'TAR FIN'!$A$1:$O$91,15,0))</f>
        <v>192.27</v>
      </c>
      <c r="X368" s="4">
        <f>IF(ISERROR(VLOOKUP($U$368,'TAR FIN'!$A$1:$O$91,15,0)),0,VLOOKUP($U$368,'TAR FIN'!$A$1:$O$91,15,0))</f>
        <v>119.42</v>
      </c>
      <c r="Y368" s="4"/>
      <c r="Z368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8" s="4">
        <f ca="1">('TE BE'!$AB$16+'TE BF_350'!$AB$16+'TE CVA'!$AB$16)*(1-CUSTOS!$M$35)</f>
        <v>123.31397920481668</v>
      </c>
      <c r="AB368" s="4">
        <f>$K$368*$V$368</f>
        <v>0</v>
      </c>
      <c r="AC368" s="4">
        <f>$M$368*$W$368</f>
        <v>3.576222</v>
      </c>
      <c r="AD368" s="4">
        <f>$O$368*$X$368</f>
        <v>2.221212</v>
      </c>
      <c r="AE368" s="4">
        <f>$K$368*$Y$368</f>
        <v>0</v>
      </c>
      <c r="AF368" s="4">
        <f ca="1">$M$368*$Z$368</f>
        <v>3.7832111471908711</v>
      </c>
      <c r="AG368" s="4">
        <f ca="1">$O$368*$AA$368</f>
        <v>2.2936400132095898</v>
      </c>
    </row>
    <row r="369" spans="1:33" ht="11.25" customHeight="1" x14ac:dyDescent="0.3">
      <c r="A369" s="3" t="s">
        <v>21</v>
      </c>
      <c r="B369" s="3" t="s">
        <v>22</v>
      </c>
      <c r="C369" s="3" t="s">
        <v>23</v>
      </c>
      <c r="D369" s="3" t="s">
        <v>24</v>
      </c>
      <c r="E369" s="3" t="s">
        <v>30</v>
      </c>
      <c r="F369" s="3" t="s">
        <v>25</v>
      </c>
      <c r="G369" s="3" t="s">
        <v>25</v>
      </c>
      <c r="H369" s="3" t="s">
        <v>25</v>
      </c>
      <c r="I369" s="6">
        <v>44562</v>
      </c>
      <c r="J369" s="4">
        <v>0</v>
      </c>
      <c r="K369" s="4">
        <v>0</v>
      </c>
      <c r="L369" s="4">
        <v>73.241</v>
      </c>
      <c r="M369" s="4">
        <v>73.241</v>
      </c>
      <c r="N369" s="4">
        <v>73.241</v>
      </c>
      <c r="O369" s="4">
        <v>73.241</v>
      </c>
      <c r="P369" s="4">
        <v>122</v>
      </c>
      <c r="Q369" s="3" t="s">
        <v>26</v>
      </c>
      <c r="R369" s="3">
        <v>0</v>
      </c>
      <c r="S369" s="4">
        <v>0</v>
      </c>
      <c r="T369" s="4">
        <v>21</v>
      </c>
      <c r="U369" s="4">
        <v>61</v>
      </c>
      <c r="V369" s="4">
        <f>IF(ISERROR(VLOOKUP($S$369,'TAR FIN'!$A$1:$O$91,15,0)),0,VLOOKUP($S$369,'TAR FIN'!$A$1:$O$91,15,0))</f>
        <v>0</v>
      </c>
      <c r="W369" s="4">
        <f>IF(ISERROR(VLOOKUP($T$369,'TAR FIN'!$A$1:$O$91,15,0)),0,VLOOKUP($T$369,'TAR FIN'!$A$1:$O$91,15,0))</f>
        <v>192.27</v>
      </c>
      <c r="X369" s="4">
        <f>IF(ISERROR(VLOOKUP($U$369,'TAR FIN'!$A$1:$O$91,15,0)),0,VLOOKUP($U$369,'TAR FIN'!$A$1:$O$91,15,0))</f>
        <v>119.42</v>
      </c>
      <c r="Y369" s="4"/>
      <c r="Z369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69" s="4">
        <f ca="1">('TE BE'!$AB$16+'TE BF_350'!$AB$16+'TE CVA'!$AB$16)*(1-CUSTOS!$M$35)</f>
        <v>123.31397920481668</v>
      </c>
      <c r="AB369" s="4">
        <f>$K$369*$V$369</f>
        <v>0</v>
      </c>
      <c r="AC369" s="4">
        <f>$M$369*$W$369</f>
        <v>14082.047070000001</v>
      </c>
      <c r="AD369" s="4">
        <f>$O$369*$X$369</f>
        <v>8746.4402200000004</v>
      </c>
      <c r="AE369" s="4">
        <f>$K$369*$Y$369</f>
        <v>0</v>
      </c>
      <c r="AF369" s="4">
        <f ca="1">$M$369*$Z$369</f>
        <v>14897.105786634764</v>
      </c>
      <c r="AG369" s="4">
        <f ca="1">$O$369*$AA$369</f>
        <v>9031.6391509399782</v>
      </c>
    </row>
    <row r="370" spans="1:33" ht="11.25" customHeight="1" x14ac:dyDescent="0.3">
      <c r="A370" s="3" t="s">
        <v>28</v>
      </c>
      <c r="B370" s="3" t="s">
        <v>22</v>
      </c>
      <c r="C370" s="3" t="s">
        <v>23</v>
      </c>
      <c r="D370" s="3" t="s">
        <v>24</v>
      </c>
      <c r="E370" s="3" t="s">
        <v>30</v>
      </c>
      <c r="F370" s="3" t="s">
        <v>25</v>
      </c>
      <c r="G370" s="3" t="s">
        <v>25</v>
      </c>
      <c r="H370" s="3" t="s">
        <v>25</v>
      </c>
      <c r="I370" s="6">
        <v>44562</v>
      </c>
      <c r="J370" s="4">
        <v>0</v>
      </c>
      <c r="K370" s="4">
        <v>0</v>
      </c>
      <c r="L370" s="4">
        <v>7.0000000000000007E-2</v>
      </c>
      <c r="M370" s="4">
        <v>4.2000000000000003E-2</v>
      </c>
      <c r="N370" s="4">
        <v>7.0000000000000007E-2</v>
      </c>
      <c r="O370" s="4">
        <v>4.2000000000000003E-2</v>
      </c>
      <c r="P370" s="4">
        <v>0</v>
      </c>
      <c r="Q370" s="3" t="s">
        <v>26</v>
      </c>
      <c r="R370" s="3">
        <v>0</v>
      </c>
      <c r="S370" s="4">
        <v>0</v>
      </c>
      <c r="T370" s="4">
        <v>21</v>
      </c>
      <c r="U370" s="4">
        <v>61</v>
      </c>
      <c r="V370" s="4">
        <f>IF(ISERROR(VLOOKUP($S$370,'TAR FIN'!$A$1:$O$91,15,0)),0,VLOOKUP($S$370,'TAR FIN'!$A$1:$O$91,15,0))</f>
        <v>0</v>
      </c>
      <c r="W370" s="4">
        <f>IF(ISERROR(VLOOKUP($T$370,'TAR FIN'!$A$1:$O$91,15,0)),0,VLOOKUP($T$370,'TAR FIN'!$A$1:$O$91,15,0))</f>
        <v>192.27</v>
      </c>
      <c r="X370" s="4">
        <f>IF(ISERROR(VLOOKUP($U$370,'TAR FIN'!$A$1:$O$91,15,0)),0,VLOOKUP($U$370,'TAR FIN'!$A$1:$O$91,15,0))</f>
        <v>119.42</v>
      </c>
      <c r="Y370" s="4"/>
      <c r="Z370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0" s="4">
        <f ca="1">('TE BE'!$AB$16+'TE BF_350'!$AB$16+'TE CVA'!$AB$16)*(1-CUSTOS!$M$35)</f>
        <v>123.31397920481668</v>
      </c>
      <c r="AB370" s="4">
        <f>$K$370*$V$370</f>
        <v>0</v>
      </c>
      <c r="AC370" s="4">
        <f>$M$370*$W$370</f>
        <v>8.0753400000000006</v>
      </c>
      <c r="AD370" s="4">
        <f>$O$370*$X$370</f>
        <v>5.0156400000000003</v>
      </c>
      <c r="AE370" s="4">
        <f>$K$370*$Y$370</f>
        <v>0</v>
      </c>
      <c r="AF370" s="4">
        <f ca="1">$M$370*$Z$370</f>
        <v>8.5427348484955168</v>
      </c>
      <c r="AG370" s="4">
        <f ca="1">$O$370*$AA$370</f>
        <v>5.1791871266023009</v>
      </c>
    </row>
    <row r="371" spans="1:33" ht="11.25" customHeight="1" x14ac:dyDescent="0.3">
      <c r="A371" s="3" t="s">
        <v>21</v>
      </c>
      <c r="B371" s="3" t="s">
        <v>22</v>
      </c>
      <c r="C371" s="3" t="s">
        <v>23</v>
      </c>
      <c r="D371" s="3" t="s">
        <v>24</v>
      </c>
      <c r="E371" s="3" t="s">
        <v>30</v>
      </c>
      <c r="F371" s="3" t="s">
        <v>25</v>
      </c>
      <c r="G371" s="3" t="s">
        <v>25</v>
      </c>
      <c r="H371" s="3" t="s">
        <v>25</v>
      </c>
      <c r="I371" s="6">
        <v>44593</v>
      </c>
      <c r="J371" s="4">
        <v>0</v>
      </c>
      <c r="K371" s="4">
        <v>0</v>
      </c>
      <c r="L371" s="4">
        <v>74.933000000000007</v>
      </c>
      <c r="M371" s="4">
        <v>74.933000000000007</v>
      </c>
      <c r="N371" s="4">
        <v>74.933000000000007</v>
      </c>
      <c r="O371" s="4">
        <v>74.933000000000007</v>
      </c>
      <c r="P371" s="4">
        <v>103</v>
      </c>
      <c r="Q371" s="3" t="s">
        <v>26</v>
      </c>
      <c r="R371" s="3">
        <v>0</v>
      </c>
      <c r="S371" s="4">
        <v>0</v>
      </c>
      <c r="T371" s="4">
        <v>21</v>
      </c>
      <c r="U371" s="4">
        <v>61</v>
      </c>
      <c r="V371" s="4">
        <f>IF(ISERROR(VLOOKUP($S$371,'TAR FIN'!$A$1:$O$91,15,0)),0,VLOOKUP($S$371,'TAR FIN'!$A$1:$O$91,15,0))</f>
        <v>0</v>
      </c>
      <c r="W371" s="4">
        <f>IF(ISERROR(VLOOKUP($T$371,'TAR FIN'!$A$1:$O$91,15,0)),0,VLOOKUP($T$371,'TAR FIN'!$A$1:$O$91,15,0))</f>
        <v>192.27</v>
      </c>
      <c r="X371" s="4">
        <f>IF(ISERROR(VLOOKUP($U$371,'TAR FIN'!$A$1:$O$91,15,0)),0,VLOOKUP($U$371,'TAR FIN'!$A$1:$O$91,15,0))</f>
        <v>119.42</v>
      </c>
      <c r="Y371" s="4"/>
      <c r="Z371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1" s="4">
        <f ca="1">('TE BE'!$AB$16+'TE BF_350'!$AB$16+'TE CVA'!$AB$16)*(1-CUSTOS!$M$35)</f>
        <v>123.31397920481668</v>
      </c>
      <c r="AB371" s="4">
        <f>$K$371*$V$371</f>
        <v>0</v>
      </c>
      <c r="AC371" s="4">
        <f>$M$371*$W$371</f>
        <v>14407.367910000003</v>
      </c>
      <c r="AD371" s="4">
        <f>$O$371*$X$371</f>
        <v>8948.4988600000015</v>
      </c>
      <c r="AE371" s="4">
        <f>$K$371*$Y$371</f>
        <v>0</v>
      </c>
      <c r="AF371" s="4">
        <f ca="1">$M$371*$Z$371</f>
        <v>15241.255961959871</v>
      </c>
      <c r="AG371" s="4">
        <f ca="1">$O$371*$AA$371</f>
        <v>9240.2864037545296</v>
      </c>
    </row>
    <row r="372" spans="1:33" ht="11.25" customHeight="1" x14ac:dyDescent="0.3">
      <c r="A372" s="3" t="s">
        <v>28</v>
      </c>
      <c r="B372" s="3" t="s">
        <v>22</v>
      </c>
      <c r="C372" s="3" t="s">
        <v>23</v>
      </c>
      <c r="D372" s="3" t="s">
        <v>24</v>
      </c>
      <c r="E372" s="3" t="s">
        <v>30</v>
      </c>
      <c r="F372" s="3" t="s">
        <v>25</v>
      </c>
      <c r="G372" s="3" t="s">
        <v>25</v>
      </c>
      <c r="H372" s="3" t="s">
        <v>25</v>
      </c>
      <c r="I372" s="6">
        <v>44593</v>
      </c>
      <c r="J372" s="4">
        <v>0</v>
      </c>
      <c r="K372" s="4">
        <v>0</v>
      </c>
      <c r="L372" s="4">
        <v>7.0000000000000007E-2</v>
      </c>
      <c r="M372" s="4">
        <v>4.2000000000000003E-2</v>
      </c>
      <c r="N372" s="4">
        <v>7.0000000000000007E-2</v>
      </c>
      <c r="O372" s="4">
        <v>4.2000000000000003E-2</v>
      </c>
      <c r="P372" s="4">
        <v>0</v>
      </c>
      <c r="Q372" s="3" t="s">
        <v>26</v>
      </c>
      <c r="R372" s="3">
        <v>0</v>
      </c>
      <c r="S372" s="4">
        <v>0</v>
      </c>
      <c r="T372" s="4">
        <v>21</v>
      </c>
      <c r="U372" s="4">
        <v>61</v>
      </c>
      <c r="V372" s="4">
        <f>IF(ISERROR(VLOOKUP($S$372,'TAR FIN'!$A$1:$O$91,15,0)),0,VLOOKUP($S$372,'TAR FIN'!$A$1:$O$91,15,0))</f>
        <v>0</v>
      </c>
      <c r="W372" s="4">
        <f>IF(ISERROR(VLOOKUP($T$372,'TAR FIN'!$A$1:$O$91,15,0)),0,VLOOKUP($T$372,'TAR FIN'!$A$1:$O$91,15,0))</f>
        <v>192.27</v>
      </c>
      <c r="X372" s="4">
        <f>IF(ISERROR(VLOOKUP($U$372,'TAR FIN'!$A$1:$O$91,15,0)),0,VLOOKUP($U$372,'TAR FIN'!$A$1:$O$91,15,0))</f>
        <v>119.42</v>
      </c>
      <c r="Y372" s="4"/>
      <c r="Z372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2" s="4">
        <f ca="1">('TE BE'!$AB$16+'TE BF_350'!$AB$16+'TE CVA'!$AB$16)*(1-CUSTOS!$M$35)</f>
        <v>123.31397920481668</v>
      </c>
      <c r="AB372" s="4">
        <f>$K$372*$V$372</f>
        <v>0</v>
      </c>
      <c r="AC372" s="4">
        <f>$M$372*$W$372</f>
        <v>8.0753400000000006</v>
      </c>
      <c r="AD372" s="4">
        <f>$O$372*$X$372</f>
        <v>5.0156400000000003</v>
      </c>
      <c r="AE372" s="4">
        <f>$K$372*$Y$372</f>
        <v>0</v>
      </c>
      <c r="AF372" s="4">
        <f ca="1">$M$372*$Z$372</f>
        <v>8.5427348484955168</v>
      </c>
      <c r="AG372" s="4">
        <f ca="1">$O$372*$AA$372</f>
        <v>5.1791871266023009</v>
      </c>
    </row>
    <row r="373" spans="1:33" ht="11.25" customHeight="1" x14ac:dyDescent="0.3">
      <c r="A373" s="3" t="s">
        <v>21</v>
      </c>
      <c r="B373" s="3" t="s">
        <v>22</v>
      </c>
      <c r="C373" s="3" t="s">
        <v>23</v>
      </c>
      <c r="D373" s="3" t="s">
        <v>24</v>
      </c>
      <c r="E373" s="3" t="s">
        <v>30</v>
      </c>
      <c r="F373" s="3" t="s">
        <v>25</v>
      </c>
      <c r="G373" s="3" t="s">
        <v>25</v>
      </c>
      <c r="H373" s="3" t="s">
        <v>25</v>
      </c>
      <c r="I373" s="6">
        <v>44621</v>
      </c>
      <c r="J373" s="4">
        <v>0</v>
      </c>
      <c r="K373" s="4">
        <v>0</v>
      </c>
      <c r="L373" s="4">
        <v>75.010000000000005</v>
      </c>
      <c r="M373" s="4">
        <v>75.010000000000005</v>
      </c>
      <c r="N373" s="4">
        <v>75.010000000000005</v>
      </c>
      <c r="O373" s="4">
        <v>75.010000000000005</v>
      </c>
      <c r="P373" s="4">
        <v>138</v>
      </c>
      <c r="Q373" s="3" t="s">
        <v>26</v>
      </c>
      <c r="R373" s="3">
        <v>0</v>
      </c>
      <c r="S373" s="4">
        <v>0</v>
      </c>
      <c r="T373" s="4">
        <v>21</v>
      </c>
      <c r="U373" s="4">
        <v>61</v>
      </c>
      <c r="V373" s="4">
        <f>IF(ISERROR(VLOOKUP($S$373,'TAR FIN'!$A$1:$O$91,15,0)),0,VLOOKUP($S$373,'TAR FIN'!$A$1:$O$91,15,0))</f>
        <v>0</v>
      </c>
      <c r="W373" s="4">
        <f>IF(ISERROR(VLOOKUP($T$373,'TAR FIN'!$A$1:$O$91,15,0)),0,VLOOKUP($T$373,'TAR FIN'!$A$1:$O$91,15,0))</f>
        <v>192.27</v>
      </c>
      <c r="X373" s="4">
        <f>IF(ISERROR(VLOOKUP($U$373,'TAR FIN'!$A$1:$O$91,15,0)),0,VLOOKUP($U$373,'TAR FIN'!$A$1:$O$91,15,0))</f>
        <v>119.42</v>
      </c>
      <c r="Y373" s="4"/>
      <c r="Z373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3" s="4">
        <f ca="1">('TE BE'!$AB$16+'TE BF_350'!$AB$16+'TE CVA'!$AB$16)*(1-CUSTOS!$M$35)</f>
        <v>123.31397920481668</v>
      </c>
      <c r="AB373" s="4">
        <f>$K$373*$V$373</f>
        <v>0</v>
      </c>
      <c r="AC373" s="4">
        <f>$M$373*$W$373</f>
        <v>14422.172700000001</v>
      </c>
      <c r="AD373" s="4">
        <f>$O$373*$X$373</f>
        <v>8957.6941999999999</v>
      </c>
      <c r="AE373" s="4">
        <f>$K$373*$Y$373</f>
        <v>0</v>
      </c>
      <c r="AF373" s="4">
        <f ca="1">$M$373*$Z$373</f>
        <v>15256.917642515446</v>
      </c>
      <c r="AG373" s="4">
        <f ca="1">$O$373*$AA$373</f>
        <v>9249.7815801532997</v>
      </c>
    </row>
    <row r="374" spans="1:33" ht="11.25" customHeight="1" x14ac:dyDescent="0.3">
      <c r="A374" s="3" t="s">
        <v>28</v>
      </c>
      <c r="B374" s="3" t="s">
        <v>22</v>
      </c>
      <c r="C374" s="3" t="s">
        <v>23</v>
      </c>
      <c r="D374" s="3" t="s">
        <v>24</v>
      </c>
      <c r="E374" s="3" t="s">
        <v>30</v>
      </c>
      <c r="F374" s="3" t="s">
        <v>25</v>
      </c>
      <c r="G374" s="3" t="s">
        <v>25</v>
      </c>
      <c r="H374" s="3" t="s">
        <v>25</v>
      </c>
      <c r="I374" s="6">
        <v>44621</v>
      </c>
      <c r="J374" s="4">
        <v>0</v>
      </c>
      <c r="K374" s="4">
        <v>0</v>
      </c>
      <c r="L374" s="4">
        <v>7.0000000000000007E-2</v>
      </c>
      <c r="M374" s="4">
        <v>4.2000000000000003E-2</v>
      </c>
      <c r="N374" s="4">
        <v>7.0000000000000007E-2</v>
      </c>
      <c r="O374" s="4">
        <v>4.2000000000000003E-2</v>
      </c>
      <c r="P374" s="4">
        <v>0</v>
      </c>
      <c r="Q374" s="3" t="s">
        <v>26</v>
      </c>
      <c r="R374" s="3">
        <v>0</v>
      </c>
      <c r="S374" s="4">
        <v>0</v>
      </c>
      <c r="T374" s="4">
        <v>21</v>
      </c>
      <c r="U374" s="4">
        <v>61</v>
      </c>
      <c r="V374" s="4">
        <f>IF(ISERROR(VLOOKUP($S$374,'TAR FIN'!$A$1:$O$91,15,0)),0,VLOOKUP($S$374,'TAR FIN'!$A$1:$O$91,15,0))</f>
        <v>0</v>
      </c>
      <c r="W374" s="4">
        <f>IF(ISERROR(VLOOKUP($T$374,'TAR FIN'!$A$1:$O$91,15,0)),0,VLOOKUP($T$374,'TAR FIN'!$A$1:$O$91,15,0))</f>
        <v>192.27</v>
      </c>
      <c r="X374" s="4">
        <f>IF(ISERROR(VLOOKUP($U$374,'TAR FIN'!$A$1:$O$91,15,0)),0,VLOOKUP($U$374,'TAR FIN'!$A$1:$O$91,15,0))</f>
        <v>119.42</v>
      </c>
      <c r="Y374" s="4"/>
      <c r="Z374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4" s="4">
        <f ca="1">('TE BE'!$AB$16+'TE BF_350'!$AB$16+'TE CVA'!$AB$16)*(1-CUSTOS!$M$35)</f>
        <v>123.31397920481668</v>
      </c>
      <c r="AB374" s="4">
        <f>$K$374*$V$374</f>
        <v>0</v>
      </c>
      <c r="AC374" s="4">
        <f>$M$374*$W$374</f>
        <v>8.0753400000000006</v>
      </c>
      <c r="AD374" s="4">
        <f>$O$374*$X$374</f>
        <v>5.0156400000000003</v>
      </c>
      <c r="AE374" s="4">
        <f>$K$374*$Y$374</f>
        <v>0</v>
      </c>
      <c r="AF374" s="4">
        <f ca="1">$M$374*$Z$374</f>
        <v>8.5427348484955168</v>
      </c>
      <c r="AG374" s="4">
        <f ca="1">$O$374*$AA$374</f>
        <v>5.1791871266023009</v>
      </c>
    </row>
    <row r="375" spans="1:33" ht="11.25" customHeight="1" x14ac:dyDescent="0.3">
      <c r="A375" s="3" t="s">
        <v>21</v>
      </c>
      <c r="B375" s="3" t="s">
        <v>22</v>
      </c>
      <c r="C375" s="3" t="s">
        <v>23</v>
      </c>
      <c r="D375" s="3" t="s">
        <v>24</v>
      </c>
      <c r="E375" s="3" t="s">
        <v>30</v>
      </c>
      <c r="F375" s="3" t="s">
        <v>25</v>
      </c>
      <c r="G375" s="3" t="s">
        <v>25</v>
      </c>
      <c r="H375" s="3" t="s">
        <v>25</v>
      </c>
      <c r="I375" s="6">
        <v>44652</v>
      </c>
      <c r="J375" s="4">
        <v>0</v>
      </c>
      <c r="K375" s="4">
        <v>0</v>
      </c>
      <c r="L375" s="4">
        <v>73.043000000000006</v>
      </c>
      <c r="M375" s="4">
        <v>73.043000000000006</v>
      </c>
      <c r="N375" s="4">
        <v>73.043000000000006</v>
      </c>
      <c r="O375" s="4">
        <v>73.043000000000006</v>
      </c>
      <c r="P375" s="4">
        <v>265</v>
      </c>
      <c r="Q375" s="3" t="s">
        <v>26</v>
      </c>
      <c r="R375" s="3">
        <v>0</v>
      </c>
      <c r="S375" s="4">
        <v>0</v>
      </c>
      <c r="T375" s="4">
        <v>21</v>
      </c>
      <c r="U375" s="4">
        <v>61</v>
      </c>
      <c r="V375" s="4">
        <f>IF(ISERROR(VLOOKUP($S$375,'TAR FIN'!$A$1:$O$91,15,0)),0,VLOOKUP($S$375,'TAR FIN'!$A$1:$O$91,15,0))</f>
        <v>0</v>
      </c>
      <c r="W375" s="4">
        <f>IF(ISERROR(VLOOKUP($T$375,'TAR FIN'!$A$1:$O$91,15,0)),0,VLOOKUP($T$375,'TAR FIN'!$A$1:$O$91,15,0))</f>
        <v>192.27</v>
      </c>
      <c r="X375" s="4">
        <f>IF(ISERROR(VLOOKUP($U$375,'TAR FIN'!$A$1:$O$91,15,0)),0,VLOOKUP($U$375,'TAR FIN'!$A$1:$O$91,15,0))</f>
        <v>119.42</v>
      </c>
      <c r="Y375" s="4"/>
      <c r="Z375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5" s="4">
        <f ca="1">('TE BE'!$AB$16+'TE BF_350'!$AB$16+'TE CVA'!$AB$16)*(1-CUSTOS!$M$35)</f>
        <v>123.31397920481668</v>
      </c>
      <c r="AB375" s="4">
        <f>$K$375*$V$375</f>
        <v>0</v>
      </c>
      <c r="AC375" s="4">
        <f>$M$375*$W$375</f>
        <v>14043.977610000002</v>
      </c>
      <c r="AD375" s="4">
        <f>$O$375*$X$375</f>
        <v>8722.7950600000004</v>
      </c>
      <c r="AE375" s="4">
        <f>$K$375*$Y$375</f>
        <v>0</v>
      </c>
      <c r="AF375" s="4">
        <f ca="1">$M$375*$Z$375</f>
        <v>14856.832893777573</v>
      </c>
      <c r="AG375" s="4">
        <f ca="1">$O$375*$AA$375</f>
        <v>9007.2229830574252</v>
      </c>
    </row>
    <row r="376" spans="1:33" ht="11.25" customHeight="1" x14ac:dyDescent="0.3">
      <c r="A376" s="3" t="s">
        <v>28</v>
      </c>
      <c r="B376" s="3" t="s">
        <v>22</v>
      </c>
      <c r="C376" s="3" t="s">
        <v>23</v>
      </c>
      <c r="D376" s="3" t="s">
        <v>24</v>
      </c>
      <c r="E376" s="3" t="s">
        <v>30</v>
      </c>
      <c r="F376" s="3" t="s">
        <v>25</v>
      </c>
      <c r="G376" s="3" t="s">
        <v>25</v>
      </c>
      <c r="H376" s="3" t="s">
        <v>25</v>
      </c>
      <c r="I376" s="6">
        <v>44652</v>
      </c>
      <c r="J376" s="4">
        <v>0</v>
      </c>
      <c r="K376" s="4">
        <v>0</v>
      </c>
      <c r="L376" s="4">
        <v>5.8999999999999997E-2</v>
      </c>
      <c r="M376" s="4">
        <v>3.5400000000000001E-2</v>
      </c>
      <c r="N376" s="4">
        <v>5.8999999999999997E-2</v>
      </c>
      <c r="O376" s="4">
        <v>3.5400000000000001E-2</v>
      </c>
      <c r="P376" s="4">
        <v>0</v>
      </c>
      <c r="Q376" s="3" t="s">
        <v>26</v>
      </c>
      <c r="R376" s="3">
        <v>0</v>
      </c>
      <c r="S376" s="4">
        <v>0</v>
      </c>
      <c r="T376" s="4">
        <v>21</v>
      </c>
      <c r="U376" s="4">
        <v>61</v>
      </c>
      <c r="V376" s="4">
        <f>IF(ISERROR(VLOOKUP($S$376,'TAR FIN'!$A$1:$O$91,15,0)),0,VLOOKUP($S$376,'TAR FIN'!$A$1:$O$91,15,0))</f>
        <v>0</v>
      </c>
      <c r="W376" s="4">
        <f>IF(ISERROR(VLOOKUP($T$376,'TAR FIN'!$A$1:$O$91,15,0)),0,VLOOKUP($T$376,'TAR FIN'!$A$1:$O$91,15,0))</f>
        <v>192.27</v>
      </c>
      <c r="X376" s="4">
        <f>IF(ISERROR(VLOOKUP($U$376,'TAR FIN'!$A$1:$O$91,15,0)),0,VLOOKUP($U$376,'TAR FIN'!$A$1:$O$91,15,0))</f>
        <v>119.42</v>
      </c>
      <c r="Y376" s="4"/>
      <c r="Z376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6" s="4">
        <f ca="1">('TE BE'!$AB$16+'TE BF_350'!$AB$16+'TE CVA'!$AB$16)*(1-CUSTOS!$M$35)</f>
        <v>123.31397920481668</v>
      </c>
      <c r="AB376" s="4">
        <f>$K$376*$V$376</f>
        <v>0</v>
      </c>
      <c r="AC376" s="4">
        <f>$M$376*$W$376</f>
        <v>6.8063580000000004</v>
      </c>
      <c r="AD376" s="4">
        <f>$O$376*$X$376</f>
        <v>4.227468</v>
      </c>
      <c r="AE376" s="4">
        <f>$K$376*$Y$376</f>
        <v>0</v>
      </c>
      <c r="AF376" s="4">
        <f ca="1">$M$376*$Z$376</f>
        <v>7.2003050865890783</v>
      </c>
      <c r="AG376" s="4">
        <f ca="1">$O$376*$AA$376</f>
        <v>4.3653148638505108</v>
      </c>
    </row>
    <row r="377" spans="1:33" ht="11.25" customHeight="1" x14ac:dyDescent="0.3">
      <c r="A377" s="3" t="s">
        <v>21</v>
      </c>
      <c r="B377" s="3" t="s">
        <v>22</v>
      </c>
      <c r="C377" s="3" t="s">
        <v>23</v>
      </c>
      <c r="D377" s="3" t="s">
        <v>24</v>
      </c>
      <c r="E377" s="3" t="s">
        <v>30</v>
      </c>
      <c r="F377" s="3" t="s">
        <v>25</v>
      </c>
      <c r="G377" s="3" t="s">
        <v>25</v>
      </c>
      <c r="H377" s="3" t="s">
        <v>25</v>
      </c>
      <c r="I377" s="6">
        <v>44682</v>
      </c>
      <c r="J377" s="4">
        <v>0</v>
      </c>
      <c r="K377" s="4">
        <v>0</v>
      </c>
      <c r="L377" s="4">
        <v>90.843999999999994</v>
      </c>
      <c r="M377" s="4">
        <v>90.843999999999994</v>
      </c>
      <c r="N377" s="4">
        <v>90.843999999999994</v>
      </c>
      <c r="O377" s="4">
        <v>90.843999999999994</v>
      </c>
      <c r="P377" s="4">
        <v>370</v>
      </c>
      <c r="Q377" s="3" t="s">
        <v>26</v>
      </c>
      <c r="R377" s="3">
        <v>0</v>
      </c>
      <c r="S377" s="4">
        <v>0</v>
      </c>
      <c r="T377" s="4">
        <v>21</v>
      </c>
      <c r="U377" s="4">
        <v>61</v>
      </c>
      <c r="V377" s="4">
        <f>IF(ISERROR(VLOOKUP($S$377,'TAR FIN'!$A$1:$O$91,15,0)),0,VLOOKUP($S$377,'TAR FIN'!$A$1:$O$91,15,0))</f>
        <v>0</v>
      </c>
      <c r="W377" s="4">
        <f>IF(ISERROR(VLOOKUP($T$377,'TAR FIN'!$A$1:$O$91,15,0)),0,VLOOKUP($T$377,'TAR FIN'!$A$1:$O$91,15,0))</f>
        <v>192.27</v>
      </c>
      <c r="X377" s="4">
        <f>IF(ISERROR(VLOOKUP($U$377,'TAR FIN'!$A$1:$O$91,15,0)),0,VLOOKUP($U$377,'TAR FIN'!$A$1:$O$91,15,0))</f>
        <v>119.42</v>
      </c>
      <c r="Y377" s="4"/>
      <c r="Z377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7" s="4">
        <f ca="1">('TE BE'!$AB$16+'TE BF_350'!$AB$16+'TE CVA'!$AB$16)*(1-CUSTOS!$M$35)</f>
        <v>123.31397920481668</v>
      </c>
      <c r="AB377" s="4">
        <f>$K$377*$V$377</f>
        <v>0</v>
      </c>
      <c r="AC377" s="4">
        <f>$M$377*$W$377</f>
        <v>17466.57588</v>
      </c>
      <c r="AD377" s="4">
        <f>$O$377*$X$377</f>
        <v>10848.590479999999</v>
      </c>
      <c r="AE377" s="4">
        <f>$K$377*$Y$377</f>
        <v>0</v>
      </c>
      <c r="AF377" s="4">
        <f ca="1">$M$377*$Z$377</f>
        <v>18477.528680398253</v>
      </c>
      <c r="AG377" s="4">
        <f ca="1">$O$377*$AA$377</f>
        <v>11202.335126882366</v>
      </c>
    </row>
    <row r="378" spans="1:33" ht="11.25" customHeight="1" x14ac:dyDescent="0.3">
      <c r="A378" s="3" t="s">
        <v>28</v>
      </c>
      <c r="B378" s="3" t="s">
        <v>22</v>
      </c>
      <c r="C378" s="3" t="s">
        <v>23</v>
      </c>
      <c r="D378" s="3" t="s">
        <v>24</v>
      </c>
      <c r="E378" s="3" t="s">
        <v>30</v>
      </c>
      <c r="F378" s="3" t="s">
        <v>25</v>
      </c>
      <c r="G378" s="3" t="s">
        <v>25</v>
      </c>
      <c r="H378" s="3" t="s">
        <v>25</v>
      </c>
      <c r="I378" s="6">
        <v>44682</v>
      </c>
      <c r="J378" s="4">
        <v>0</v>
      </c>
      <c r="K378" s="4">
        <v>0</v>
      </c>
      <c r="L378" s="4">
        <v>7.0000000000000007E-2</v>
      </c>
      <c r="M378" s="4">
        <v>4.2000000000000003E-2</v>
      </c>
      <c r="N378" s="4">
        <v>7.0000000000000007E-2</v>
      </c>
      <c r="O378" s="4">
        <v>4.2000000000000003E-2</v>
      </c>
      <c r="P378" s="4">
        <v>0</v>
      </c>
      <c r="Q378" s="3" t="s">
        <v>26</v>
      </c>
      <c r="R378" s="3">
        <v>0</v>
      </c>
      <c r="S378" s="4">
        <v>0</v>
      </c>
      <c r="T378" s="4">
        <v>21</v>
      </c>
      <c r="U378" s="4">
        <v>61</v>
      </c>
      <c r="V378" s="4">
        <f>IF(ISERROR(VLOOKUP($S$378,'TAR FIN'!$A$1:$O$91,15,0)),0,VLOOKUP($S$378,'TAR FIN'!$A$1:$O$91,15,0))</f>
        <v>0</v>
      </c>
      <c r="W378" s="4">
        <f>IF(ISERROR(VLOOKUP($T$378,'TAR FIN'!$A$1:$O$91,15,0)),0,VLOOKUP($T$378,'TAR FIN'!$A$1:$O$91,15,0))</f>
        <v>192.27</v>
      </c>
      <c r="X378" s="4">
        <f>IF(ISERROR(VLOOKUP($U$378,'TAR FIN'!$A$1:$O$91,15,0)),0,VLOOKUP($U$378,'TAR FIN'!$A$1:$O$91,15,0))</f>
        <v>119.42</v>
      </c>
      <c r="Y378" s="4"/>
      <c r="Z378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8" s="4">
        <f ca="1">('TE BE'!$AB$16+'TE BF_350'!$AB$16+'TE CVA'!$AB$16)*(1-CUSTOS!$M$35)</f>
        <v>123.31397920481668</v>
      </c>
      <c r="AB378" s="4">
        <f>$K$378*$V$378</f>
        <v>0</v>
      </c>
      <c r="AC378" s="4">
        <f>$M$378*$W$378</f>
        <v>8.0753400000000006</v>
      </c>
      <c r="AD378" s="4">
        <f>$O$378*$X$378</f>
        <v>5.0156400000000003</v>
      </c>
      <c r="AE378" s="4">
        <f>$K$378*$Y$378</f>
        <v>0</v>
      </c>
      <c r="AF378" s="4">
        <f ca="1">$M$378*$Z$378</f>
        <v>8.5427348484955168</v>
      </c>
      <c r="AG378" s="4">
        <f ca="1">$O$378*$AA$378</f>
        <v>5.1791871266023009</v>
      </c>
    </row>
    <row r="379" spans="1:33" ht="11.25" customHeight="1" x14ac:dyDescent="0.3">
      <c r="A379" s="3" t="s">
        <v>21</v>
      </c>
      <c r="B379" s="3" t="s">
        <v>22</v>
      </c>
      <c r="C379" s="3" t="s">
        <v>23</v>
      </c>
      <c r="D379" s="3" t="s">
        <v>24</v>
      </c>
      <c r="E379" s="3" t="s">
        <v>30</v>
      </c>
      <c r="F379" s="3" t="s">
        <v>25</v>
      </c>
      <c r="G379" s="3" t="s">
        <v>25</v>
      </c>
      <c r="H379" s="3" t="s">
        <v>25</v>
      </c>
      <c r="I379" s="6">
        <v>44713</v>
      </c>
      <c r="J379" s="4">
        <v>0</v>
      </c>
      <c r="K379" s="4">
        <v>0</v>
      </c>
      <c r="L379" s="4">
        <v>88.426000000000002</v>
      </c>
      <c r="M379" s="4">
        <v>88.426000000000002</v>
      </c>
      <c r="N379" s="4">
        <v>88.426000000000002</v>
      </c>
      <c r="O379" s="4">
        <v>88.426000000000002</v>
      </c>
      <c r="P379" s="4">
        <v>339</v>
      </c>
      <c r="Q379" s="3" t="s">
        <v>26</v>
      </c>
      <c r="R379" s="3">
        <v>0</v>
      </c>
      <c r="S379" s="4">
        <v>0</v>
      </c>
      <c r="T379" s="4">
        <v>21</v>
      </c>
      <c r="U379" s="4">
        <v>61</v>
      </c>
      <c r="V379" s="4">
        <f>IF(ISERROR(VLOOKUP($S$379,'TAR FIN'!$A$1:$O$91,15,0)),0,VLOOKUP($S$379,'TAR FIN'!$A$1:$O$91,15,0))</f>
        <v>0</v>
      </c>
      <c r="W379" s="4">
        <f>IF(ISERROR(VLOOKUP($T$379,'TAR FIN'!$A$1:$O$91,15,0)),0,VLOOKUP($T$379,'TAR FIN'!$A$1:$O$91,15,0))</f>
        <v>192.27</v>
      </c>
      <c r="X379" s="4">
        <f>IF(ISERROR(VLOOKUP($U$379,'TAR FIN'!$A$1:$O$91,15,0)),0,VLOOKUP($U$379,'TAR FIN'!$A$1:$O$91,15,0))</f>
        <v>119.42</v>
      </c>
      <c r="Y379" s="4"/>
      <c r="Z379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79" s="4">
        <f ca="1">('TE BE'!$AB$16+'TE BF_350'!$AB$16+'TE CVA'!$AB$16)*(1-CUSTOS!$M$35)</f>
        <v>123.31397920481668</v>
      </c>
      <c r="AB379" s="4">
        <f>$K$379*$V$379</f>
        <v>0</v>
      </c>
      <c r="AC379" s="4">
        <f>$M$379*$W$379</f>
        <v>17001.667020000001</v>
      </c>
      <c r="AD379" s="4">
        <f>$O$379*$X$379</f>
        <v>10559.832920000001</v>
      </c>
      <c r="AE379" s="4">
        <f>$K$379*$Y$379</f>
        <v>0</v>
      </c>
      <c r="AF379" s="4">
        <f ca="1">$M$379*$Z$379</f>
        <v>17985.711231263442</v>
      </c>
      <c r="AG379" s="4">
        <f ca="1">$O$379*$AA$379</f>
        <v>10904.161925165119</v>
      </c>
    </row>
    <row r="380" spans="1:33" ht="11.25" customHeight="1" x14ac:dyDescent="0.3">
      <c r="A380" s="3" t="s">
        <v>28</v>
      </c>
      <c r="B380" s="3" t="s">
        <v>22</v>
      </c>
      <c r="C380" s="3" t="s">
        <v>23</v>
      </c>
      <c r="D380" s="3" t="s">
        <v>24</v>
      </c>
      <c r="E380" s="3" t="s">
        <v>30</v>
      </c>
      <c r="F380" s="3" t="s">
        <v>25</v>
      </c>
      <c r="G380" s="3" t="s">
        <v>25</v>
      </c>
      <c r="H380" s="3" t="s">
        <v>25</v>
      </c>
      <c r="I380" s="6">
        <v>44713</v>
      </c>
      <c r="J380" s="4">
        <v>0</v>
      </c>
      <c r="K380" s="4">
        <v>0</v>
      </c>
      <c r="L380" s="4">
        <v>7.0000000000000007E-2</v>
      </c>
      <c r="M380" s="4">
        <v>1.4E-2</v>
      </c>
      <c r="N380" s="4">
        <v>7.0000000000000007E-2</v>
      </c>
      <c r="O380" s="4">
        <v>1.4E-2</v>
      </c>
      <c r="P380" s="4">
        <v>0</v>
      </c>
      <c r="Q380" s="3" t="s">
        <v>26</v>
      </c>
      <c r="R380" s="3">
        <v>0</v>
      </c>
      <c r="S380" s="4">
        <v>0</v>
      </c>
      <c r="T380" s="4">
        <v>21</v>
      </c>
      <c r="U380" s="4">
        <v>61</v>
      </c>
      <c r="V380" s="4">
        <f>IF(ISERROR(VLOOKUP($S$380,'TAR FIN'!$A$1:$O$91,15,0)),0,VLOOKUP($S$380,'TAR FIN'!$A$1:$O$91,15,0))</f>
        <v>0</v>
      </c>
      <c r="W380" s="4">
        <f>IF(ISERROR(VLOOKUP($T$380,'TAR FIN'!$A$1:$O$91,15,0)),0,VLOOKUP($T$380,'TAR FIN'!$A$1:$O$91,15,0))</f>
        <v>192.27</v>
      </c>
      <c r="X380" s="4">
        <f>IF(ISERROR(VLOOKUP($U$380,'TAR FIN'!$A$1:$O$91,15,0)),0,VLOOKUP($U$380,'TAR FIN'!$A$1:$O$91,15,0))</f>
        <v>119.42</v>
      </c>
      <c r="Y380" s="4"/>
      <c r="Z380" s="4">
        <f ca="1">('TUSD BE'!$AM$25+'TUSD BF_350'!$AM$25+'TUSD CVA'!$AM$25-('TUSD BE'!$P$25+'TUSD BF_350'!$P$25+'TUSD CVA'!$P$25)-('TUSD BE'!$Q$25+'TUSD BF_350'!$Q$25+'TUSD CVA'!$Q$25)-('TUSD BE'!$R$25+'TUSD BF_350'!$R$25+'TUSD CVA'!$R$25))*(1-CUSTOS!$M$35)</f>
        <v>203.39844877370277</v>
      </c>
      <c r="AA380" s="4">
        <f ca="1">('TE BE'!$AB$16+'TE BF_350'!$AB$16+'TE CVA'!$AB$16)*(1-CUSTOS!$M$35)</f>
        <v>123.31397920481668</v>
      </c>
      <c r="AB380" s="4">
        <f>$K$380*$V$380</f>
        <v>0</v>
      </c>
      <c r="AC380" s="4">
        <f>$M$380*$W$380</f>
        <v>2.6917800000000001</v>
      </c>
      <c r="AD380" s="4">
        <f>$O$380*$X$380</f>
        <v>1.67188</v>
      </c>
      <c r="AE380" s="4">
        <f>$K$380*$Y$380</f>
        <v>0</v>
      </c>
      <c r="AF380" s="4">
        <f ca="1">$M$380*$Z$380</f>
        <v>2.8475782828318388</v>
      </c>
      <c r="AG380" s="4">
        <f ca="1">$O$380*$AA$380</f>
        <v>1.7263957088674335</v>
      </c>
    </row>
    <row r="381" spans="1:33" ht="11.25" customHeight="1" x14ac:dyDescent="0.3">
      <c r="A381" s="3" t="s">
        <v>21</v>
      </c>
      <c r="B381" s="3" t="s">
        <v>22</v>
      </c>
      <c r="C381" s="3" t="s">
        <v>23</v>
      </c>
      <c r="D381" s="3" t="s">
        <v>24</v>
      </c>
      <c r="E381" s="3" t="s">
        <v>31</v>
      </c>
      <c r="F381" s="3" t="s">
        <v>25</v>
      </c>
      <c r="G381" s="3" t="s">
        <v>25</v>
      </c>
      <c r="H381" s="3" t="s">
        <v>25</v>
      </c>
      <c r="I381" s="6">
        <v>44378</v>
      </c>
      <c r="J381" s="4">
        <v>0</v>
      </c>
      <c r="K381" s="4">
        <v>0</v>
      </c>
      <c r="L381" s="4">
        <v>52.960999999999999</v>
      </c>
      <c r="M381" s="4">
        <v>52.960999999999999</v>
      </c>
      <c r="N381" s="4">
        <v>52.960999999999999</v>
      </c>
      <c r="O381" s="4">
        <v>52.960999999999999</v>
      </c>
      <c r="P381" s="4">
        <v>545</v>
      </c>
      <c r="Q381" s="3" t="s">
        <v>26</v>
      </c>
      <c r="R381" s="3">
        <v>0</v>
      </c>
      <c r="S381" s="4">
        <v>0</v>
      </c>
      <c r="T381" s="4">
        <v>22</v>
      </c>
      <c r="U381" s="4">
        <v>62</v>
      </c>
      <c r="V381" s="4">
        <f>IF(ISERROR(VLOOKUP($S$381,'TAR FIN'!$A$1:$O$91,15,0)),0,VLOOKUP($S$381,'TAR FIN'!$A$1:$O$91,15,0))</f>
        <v>0</v>
      </c>
      <c r="W381" s="4">
        <f>IF(ISERROR(VLOOKUP($T$381,'TAR FIN'!$A$1:$O$91,15,0)),0,VLOOKUP($T$381,'TAR FIN'!$A$1:$O$91,15,0))</f>
        <v>288.39999999999998</v>
      </c>
      <c r="X381" s="4">
        <f>IF(ISERROR(VLOOKUP($U$381,'TAR FIN'!$A$1:$O$91,15,0)),0,VLOOKUP($U$381,'TAR FIN'!$A$1:$O$91,15,0))</f>
        <v>179.13</v>
      </c>
      <c r="Y381" s="4"/>
      <c r="Z381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1" s="4">
        <f ca="1">('TE BE'!$AB$17+'TE BF_350'!$AB$17+'TE CVA'!$AB$17)*(1-CUSTOS!$M$36)</f>
        <v>184.97096880722503</v>
      </c>
      <c r="AB381" s="4">
        <f>$K$381*$V$381</f>
        <v>0</v>
      </c>
      <c r="AC381" s="4">
        <f>$M$381*$W$381</f>
        <v>15273.952399999998</v>
      </c>
      <c r="AD381" s="4">
        <f>$O$381*$X$381</f>
        <v>9486.9039300000004</v>
      </c>
      <c r="AE381" s="4">
        <f>$K$381*$Y$381</f>
        <v>0</v>
      </c>
      <c r="AF381" s="4">
        <f ca="1">$M$381*$Z$381</f>
        <v>16158.277868256109</v>
      </c>
      <c r="AG381" s="4">
        <f ca="1">$O$381*$AA$381</f>
        <v>9796.2474789994449</v>
      </c>
    </row>
    <row r="382" spans="1:33" ht="11.25" customHeight="1" x14ac:dyDescent="0.3">
      <c r="A382" s="3" t="s">
        <v>27</v>
      </c>
      <c r="B382" s="3" t="s">
        <v>22</v>
      </c>
      <c r="C382" s="3" t="s">
        <v>23</v>
      </c>
      <c r="D382" s="3" t="s">
        <v>24</v>
      </c>
      <c r="E382" s="3" t="s">
        <v>31</v>
      </c>
      <c r="F382" s="3" t="s">
        <v>25</v>
      </c>
      <c r="G382" s="3" t="s">
        <v>25</v>
      </c>
      <c r="H382" s="3" t="s">
        <v>25</v>
      </c>
      <c r="I382" s="6">
        <v>44378</v>
      </c>
      <c r="J382" s="4">
        <v>0</v>
      </c>
      <c r="K382" s="4">
        <v>0</v>
      </c>
      <c r="L382" s="4">
        <v>-0.12</v>
      </c>
      <c r="M382" s="4">
        <v>-0.12</v>
      </c>
      <c r="N382" s="4">
        <v>-0.12</v>
      </c>
      <c r="O382" s="4">
        <v>-0.12</v>
      </c>
      <c r="P382" s="4">
        <v>0</v>
      </c>
      <c r="Q382" s="3" t="s">
        <v>26</v>
      </c>
      <c r="R382" s="3">
        <v>0</v>
      </c>
      <c r="S382" s="4">
        <v>0</v>
      </c>
      <c r="T382" s="4">
        <v>22</v>
      </c>
      <c r="U382" s="4">
        <v>62</v>
      </c>
      <c r="V382" s="4">
        <f>IF(ISERROR(VLOOKUP($S$382,'TAR FIN'!$A$1:$O$91,15,0)),0,VLOOKUP($S$382,'TAR FIN'!$A$1:$O$91,15,0))</f>
        <v>0</v>
      </c>
      <c r="W382" s="4">
        <f>IF(ISERROR(VLOOKUP($T$382,'TAR FIN'!$A$1:$O$91,15,0)),0,VLOOKUP($T$382,'TAR FIN'!$A$1:$O$91,15,0))</f>
        <v>288.39999999999998</v>
      </c>
      <c r="X382" s="4">
        <f>IF(ISERROR(VLOOKUP($U$382,'TAR FIN'!$A$1:$O$91,15,0)),0,VLOOKUP($U$382,'TAR FIN'!$A$1:$O$91,15,0))</f>
        <v>179.13</v>
      </c>
      <c r="Y382" s="4"/>
      <c r="Z382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2" s="4">
        <f ca="1">('TE BE'!$AB$17+'TE BF_350'!$AB$17+'TE CVA'!$AB$17)*(1-CUSTOS!$M$36)</f>
        <v>184.97096880722503</v>
      </c>
      <c r="AB382" s="4">
        <f>$K$382*$V$382</f>
        <v>0</v>
      </c>
      <c r="AC382" s="4">
        <f>$M$382*$W$382</f>
        <v>-34.607999999999997</v>
      </c>
      <c r="AD382" s="4">
        <f>$O$382*$X$382</f>
        <v>-21.4956</v>
      </c>
      <c r="AE382" s="4">
        <f>$K$382*$Y$382</f>
        <v>0</v>
      </c>
      <c r="AF382" s="4">
        <f ca="1">$M$382*$Z$382</f>
        <v>-36.611720779266498</v>
      </c>
      <c r="AG382" s="4">
        <f ca="1">$O$382*$AA$382</f>
        <v>-22.196516256867003</v>
      </c>
    </row>
    <row r="383" spans="1:33" ht="11.25" customHeight="1" x14ac:dyDescent="0.3">
      <c r="A383" s="3" t="s">
        <v>28</v>
      </c>
      <c r="B383" s="3" t="s">
        <v>22</v>
      </c>
      <c r="C383" s="3" t="s">
        <v>23</v>
      </c>
      <c r="D383" s="3" t="s">
        <v>24</v>
      </c>
      <c r="E383" s="3" t="s">
        <v>31</v>
      </c>
      <c r="F383" s="3" t="s">
        <v>25</v>
      </c>
      <c r="G383" s="3" t="s">
        <v>25</v>
      </c>
      <c r="H383" s="3" t="s">
        <v>25</v>
      </c>
      <c r="I383" s="6">
        <v>44378</v>
      </c>
      <c r="J383" s="4">
        <v>0</v>
      </c>
      <c r="K383" s="4">
        <v>0</v>
      </c>
      <c r="L383" s="4">
        <v>4.3999999999999997E-2</v>
      </c>
      <c r="M383" s="4">
        <v>4.3999999999999997E-2</v>
      </c>
      <c r="N383" s="4">
        <v>4.3999999999999997E-2</v>
      </c>
      <c r="O383" s="4">
        <v>4.3999999999999997E-2</v>
      </c>
      <c r="P383" s="4">
        <v>0</v>
      </c>
      <c r="Q383" s="3" t="s">
        <v>26</v>
      </c>
      <c r="R383" s="3">
        <v>0</v>
      </c>
      <c r="S383" s="4">
        <v>0</v>
      </c>
      <c r="T383" s="4">
        <v>22</v>
      </c>
      <c r="U383" s="4">
        <v>62</v>
      </c>
      <c r="V383" s="4">
        <f>IF(ISERROR(VLOOKUP($S$383,'TAR FIN'!$A$1:$O$91,15,0)),0,VLOOKUP($S$383,'TAR FIN'!$A$1:$O$91,15,0))</f>
        <v>0</v>
      </c>
      <c r="W383" s="4">
        <f>IF(ISERROR(VLOOKUP($T$383,'TAR FIN'!$A$1:$O$91,15,0)),0,VLOOKUP($T$383,'TAR FIN'!$A$1:$O$91,15,0))</f>
        <v>288.39999999999998</v>
      </c>
      <c r="X383" s="4">
        <f>IF(ISERROR(VLOOKUP($U$383,'TAR FIN'!$A$1:$O$91,15,0)),0,VLOOKUP($U$383,'TAR FIN'!$A$1:$O$91,15,0))</f>
        <v>179.13</v>
      </c>
      <c r="Y383" s="4"/>
      <c r="Z383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3" s="4">
        <f ca="1">('TE BE'!$AB$17+'TE BF_350'!$AB$17+'TE CVA'!$AB$17)*(1-CUSTOS!$M$36)</f>
        <v>184.97096880722503</v>
      </c>
      <c r="AB383" s="4">
        <f>$K$383*$V$383</f>
        <v>0</v>
      </c>
      <c r="AC383" s="4">
        <f>$M$383*$W$383</f>
        <v>12.689599999999999</v>
      </c>
      <c r="AD383" s="4">
        <f>$O$383*$X$383</f>
        <v>7.8817199999999996</v>
      </c>
      <c r="AE383" s="4">
        <f>$K$383*$Y$383</f>
        <v>0</v>
      </c>
      <c r="AF383" s="4">
        <f ca="1">$M$383*$Z$383</f>
        <v>13.424297619064383</v>
      </c>
      <c r="AG383" s="4">
        <f ca="1">$O$383*$AA$383</f>
        <v>8.1387226275179003</v>
      </c>
    </row>
    <row r="384" spans="1:33" ht="11.25" customHeight="1" x14ac:dyDescent="0.3">
      <c r="A384" s="3" t="s">
        <v>21</v>
      </c>
      <c r="B384" s="3" t="s">
        <v>22</v>
      </c>
      <c r="C384" s="3" t="s">
        <v>23</v>
      </c>
      <c r="D384" s="3" t="s">
        <v>24</v>
      </c>
      <c r="E384" s="3" t="s">
        <v>31</v>
      </c>
      <c r="F384" s="3" t="s">
        <v>25</v>
      </c>
      <c r="G384" s="3" t="s">
        <v>25</v>
      </c>
      <c r="H384" s="3" t="s">
        <v>25</v>
      </c>
      <c r="I384" s="6">
        <v>44409</v>
      </c>
      <c r="J384" s="4">
        <v>0</v>
      </c>
      <c r="K384" s="4">
        <v>0</v>
      </c>
      <c r="L384" s="4">
        <v>61.317999999999998</v>
      </c>
      <c r="M384" s="4">
        <v>61.317999999999998</v>
      </c>
      <c r="N384" s="4">
        <v>61.317999999999998</v>
      </c>
      <c r="O384" s="4">
        <v>61.317999999999998</v>
      </c>
      <c r="P384" s="4">
        <v>566</v>
      </c>
      <c r="Q384" s="3" t="s">
        <v>26</v>
      </c>
      <c r="R384" s="3">
        <v>0</v>
      </c>
      <c r="S384" s="4">
        <v>0</v>
      </c>
      <c r="T384" s="4">
        <v>22</v>
      </c>
      <c r="U384" s="4">
        <v>62</v>
      </c>
      <c r="V384" s="4">
        <f>IF(ISERROR(VLOOKUP($S$384,'TAR FIN'!$A$1:$O$91,15,0)),0,VLOOKUP($S$384,'TAR FIN'!$A$1:$O$91,15,0))</f>
        <v>0</v>
      </c>
      <c r="W384" s="4">
        <f>IF(ISERROR(VLOOKUP($T$384,'TAR FIN'!$A$1:$O$91,15,0)),0,VLOOKUP($T$384,'TAR FIN'!$A$1:$O$91,15,0))</f>
        <v>288.39999999999998</v>
      </c>
      <c r="X384" s="4">
        <f>IF(ISERROR(VLOOKUP($U$384,'TAR FIN'!$A$1:$O$91,15,0)),0,VLOOKUP($U$384,'TAR FIN'!$A$1:$O$91,15,0))</f>
        <v>179.13</v>
      </c>
      <c r="Y384" s="4"/>
      <c r="Z384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4" s="4">
        <f ca="1">('TE BE'!$AB$17+'TE BF_350'!$AB$17+'TE CVA'!$AB$17)*(1-CUSTOS!$M$36)</f>
        <v>184.97096880722503</v>
      </c>
      <c r="AB384" s="4">
        <f>$K$384*$V$384</f>
        <v>0</v>
      </c>
      <c r="AC384" s="4">
        <f>$M$384*$W$384</f>
        <v>17684.111199999999</v>
      </c>
      <c r="AD384" s="4">
        <f>$O$384*$X$384</f>
        <v>10983.893339999999</v>
      </c>
      <c r="AE384" s="4">
        <f>$K$384*$Y$384</f>
        <v>0</v>
      </c>
      <c r="AF384" s="4">
        <f ca="1">$M$384*$Z$384</f>
        <v>18707.979122858858</v>
      </c>
      <c r="AG384" s="4">
        <f ca="1">$O$384*$AA$384</f>
        <v>11342.049865321424</v>
      </c>
    </row>
    <row r="385" spans="1:33" ht="11.25" customHeight="1" x14ac:dyDescent="0.3">
      <c r="A385" s="3" t="s">
        <v>27</v>
      </c>
      <c r="B385" s="3" t="s">
        <v>22</v>
      </c>
      <c r="C385" s="3" t="s">
        <v>23</v>
      </c>
      <c r="D385" s="3" t="s">
        <v>24</v>
      </c>
      <c r="E385" s="3" t="s">
        <v>31</v>
      </c>
      <c r="F385" s="3" t="s">
        <v>25</v>
      </c>
      <c r="G385" s="3" t="s">
        <v>25</v>
      </c>
      <c r="H385" s="3" t="s">
        <v>25</v>
      </c>
      <c r="I385" s="6">
        <v>44409</v>
      </c>
      <c r="J385" s="4">
        <v>0</v>
      </c>
      <c r="K385" s="4">
        <v>0</v>
      </c>
      <c r="L385" s="4">
        <v>0.23799999999999999</v>
      </c>
      <c r="M385" s="4">
        <v>0.23799999999999999</v>
      </c>
      <c r="N385" s="4">
        <v>0.23799999999999999</v>
      </c>
      <c r="O385" s="4">
        <v>0.23799999999999999</v>
      </c>
      <c r="P385" s="4">
        <v>0</v>
      </c>
      <c r="Q385" s="3" t="s">
        <v>26</v>
      </c>
      <c r="R385" s="3">
        <v>0</v>
      </c>
      <c r="S385" s="4">
        <v>0</v>
      </c>
      <c r="T385" s="4">
        <v>22</v>
      </c>
      <c r="U385" s="4">
        <v>62</v>
      </c>
      <c r="V385" s="4">
        <f>IF(ISERROR(VLOOKUP($S$385,'TAR FIN'!$A$1:$O$91,15,0)),0,VLOOKUP($S$385,'TAR FIN'!$A$1:$O$91,15,0))</f>
        <v>0</v>
      </c>
      <c r="W385" s="4">
        <f>IF(ISERROR(VLOOKUP($T$385,'TAR FIN'!$A$1:$O$91,15,0)),0,VLOOKUP($T$385,'TAR FIN'!$A$1:$O$91,15,0))</f>
        <v>288.39999999999998</v>
      </c>
      <c r="X385" s="4">
        <f>IF(ISERROR(VLOOKUP($U$385,'TAR FIN'!$A$1:$O$91,15,0)),0,VLOOKUP($U$385,'TAR FIN'!$A$1:$O$91,15,0))</f>
        <v>179.13</v>
      </c>
      <c r="Y385" s="4"/>
      <c r="Z385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5" s="4">
        <f ca="1">('TE BE'!$AB$17+'TE BF_350'!$AB$17+'TE CVA'!$AB$17)*(1-CUSTOS!$M$36)</f>
        <v>184.97096880722503</v>
      </c>
      <c r="AB385" s="4">
        <f>$K$385*$V$385</f>
        <v>0</v>
      </c>
      <c r="AC385" s="4">
        <f>$M$385*$W$385</f>
        <v>68.639199999999988</v>
      </c>
      <c r="AD385" s="4">
        <f>$O$385*$X$385</f>
        <v>42.632939999999998</v>
      </c>
      <c r="AE385" s="4">
        <f>$K$385*$Y$385</f>
        <v>0</v>
      </c>
      <c r="AF385" s="4">
        <f ca="1">$M$385*$Z$385</f>
        <v>72.613246212211891</v>
      </c>
      <c r="AG385" s="4">
        <f ca="1">$O$385*$AA$385</f>
        <v>44.023090576119557</v>
      </c>
    </row>
    <row r="386" spans="1:33" ht="11.25" customHeight="1" x14ac:dyDescent="0.3">
      <c r="A386" s="3" t="s">
        <v>21</v>
      </c>
      <c r="B386" s="3" t="s">
        <v>22</v>
      </c>
      <c r="C386" s="3" t="s">
        <v>23</v>
      </c>
      <c r="D386" s="3" t="s">
        <v>24</v>
      </c>
      <c r="E386" s="3" t="s">
        <v>31</v>
      </c>
      <c r="F386" s="3" t="s">
        <v>25</v>
      </c>
      <c r="G386" s="3" t="s">
        <v>25</v>
      </c>
      <c r="H386" s="3" t="s">
        <v>25</v>
      </c>
      <c r="I386" s="6">
        <v>44440</v>
      </c>
      <c r="J386" s="4">
        <v>0</v>
      </c>
      <c r="K386" s="4">
        <v>0</v>
      </c>
      <c r="L386" s="4">
        <v>58.665999999999997</v>
      </c>
      <c r="M386" s="4">
        <v>58.665999999999997</v>
      </c>
      <c r="N386" s="4">
        <v>58.665999999999997</v>
      </c>
      <c r="O386" s="4">
        <v>58.665999999999997</v>
      </c>
      <c r="P386" s="4">
        <v>579</v>
      </c>
      <c r="Q386" s="3" t="s">
        <v>26</v>
      </c>
      <c r="R386" s="3">
        <v>0</v>
      </c>
      <c r="S386" s="4">
        <v>0</v>
      </c>
      <c r="T386" s="4">
        <v>22</v>
      </c>
      <c r="U386" s="4">
        <v>62</v>
      </c>
      <c r="V386" s="4">
        <f>IF(ISERROR(VLOOKUP($S$386,'TAR FIN'!$A$1:$O$91,15,0)),0,VLOOKUP($S$386,'TAR FIN'!$A$1:$O$91,15,0))</f>
        <v>0</v>
      </c>
      <c r="W386" s="4">
        <f>IF(ISERROR(VLOOKUP($T$386,'TAR FIN'!$A$1:$O$91,15,0)),0,VLOOKUP($T$386,'TAR FIN'!$A$1:$O$91,15,0))</f>
        <v>288.39999999999998</v>
      </c>
      <c r="X386" s="4">
        <f>IF(ISERROR(VLOOKUP($U$386,'TAR FIN'!$A$1:$O$91,15,0)),0,VLOOKUP($U$386,'TAR FIN'!$A$1:$O$91,15,0))</f>
        <v>179.13</v>
      </c>
      <c r="Y386" s="4"/>
      <c r="Z386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6" s="4">
        <f ca="1">('TE BE'!$AB$17+'TE BF_350'!$AB$17+'TE CVA'!$AB$17)*(1-CUSTOS!$M$36)</f>
        <v>184.97096880722503</v>
      </c>
      <c r="AB386" s="4">
        <f>$K$386*$V$386</f>
        <v>0</v>
      </c>
      <c r="AC386" s="4">
        <f>$M$386*$W$386</f>
        <v>16919.274399999998</v>
      </c>
      <c r="AD386" s="4">
        <f>$O$386*$X$386</f>
        <v>10508.84058</v>
      </c>
      <c r="AE386" s="4">
        <f>$K$386*$Y$386</f>
        <v>0</v>
      </c>
      <c r="AF386" s="4">
        <f ca="1">$M$386*$Z$386</f>
        <v>17898.860093637071</v>
      </c>
      <c r="AG386" s="4">
        <f ca="1">$O$386*$AA$386</f>
        <v>10851.506856044663</v>
      </c>
    </row>
    <row r="387" spans="1:33" ht="11.25" customHeight="1" x14ac:dyDescent="0.3">
      <c r="A387" s="3" t="s">
        <v>28</v>
      </c>
      <c r="B387" s="3" t="s">
        <v>22</v>
      </c>
      <c r="C387" s="3" t="s">
        <v>23</v>
      </c>
      <c r="D387" s="3" t="s">
        <v>24</v>
      </c>
      <c r="E387" s="3" t="s">
        <v>31</v>
      </c>
      <c r="F387" s="3" t="s">
        <v>25</v>
      </c>
      <c r="G387" s="3" t="s">
        <v>25</v>
      </c>
      <c r="H387" s="3" t="s">
        <v>25</v>
      </c>
      <c r="I387" s="6">
        <v>44440</v>
      </c>
      <c r="J387" s="4">
        <v>0</v>
      </c>
      <c r="K387" s="4">
        <v>0</v>
      </c>
      <c r="L387" s="4">
        <v>3.0000000000000001E-3</v>
      </c>
      <c r="M387" s="4">
        <v>3.0000000000000001E-3</v>
      </c>
      <c r="N387" s="4">
        <v>3.0000000000000001E-3</v>
      </c>
      <c r="O387" s="4">
        <v>3.0000000000000001E-3</v>
      </c>
      <c r="P387" s="4">
        <v>0</v>
      </c>
      <c r="Q387" s="3" t="s">
        <v>26</v>
      </c>
      <c r="R387" s="3">
        <v>0</v>
      </c>
      <c r="S387" s="4">
        <v>0</v>
      </c>
      <c r="T387" s="4">
        <v>22</v>
      </c>
      <c r="U387" s="4">
        <v>62</v>
      </c>
      <c r="V387" s="4">
        <f>IF(ISERROR(VLOOKUP($S$387,'TAR FIN'!$A$1:$O$91,15,0)),0,VLOOKUP($S$387,'TAR FIN'!$A$1:$O$91,15,0))</f>
        <v>0</v>
      </c>
      <c r="W387" s="4">
        <f>IF(ISERROR(VLOOKUP($T$387,'TAR FIN'!$A$1:$O$91,15,0)),0,VLOOKUP($T$387,'TAR FIN'!$A$1:$O$91,15,0))</f>
        <v>288.39999999999998</v>
      </c>
      <c r="X387" s="4">
        <f>IF(ISERROR(VLOOKUP($U$387,'TAR FIN'!$A$1:$O$91,15,0)),0,VLOOKUP($U$387,'TAR FIN'!$A$1:$O$91,15,0))</f>
        <v>179.13</v>
      </c>
      <c r="Y387" s="4"/>
      <c r="Z387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7" s="4">
        <f ca="1">('TE BE'!$AB$17+'TE BF_350'!$AB$17+'TE CVA'!$AB$17)*(1-CUSTOS!$M$36)</f>
        <v>184.97096880722503</v>
      </c>
      <c r="AB387" s="4">
        <f>$K$387*$V$387</f>
        <v>0</v>
      </c>
      <c r="AC387" s="4">
        <f>$M$387*$W$387</f>
        <v>0.86519999999999997</v>
      </c>
      <c r="AD387" s="4">
        <f>$O$387*$X$387</f>
        <v>0.53739000000000003</v>
      </c>
      <c r="AE387" s="4">
        <f>$K$387*$Y$387</f>
        <v>0</v>
      </c>
      <c r="AF387" s="4">
        <f ca="1">$M$387*$Z$387</f>
        <v>0.91529301948166253</v>
      </c>
      <c r="AG387" s="4">
        <f ca="1">$O$387*$AA$387</f>
        <v>0.55491290642167512</v>
      </c>
    </row>
    <row r="388" spans="1:33" ht="11.25" customHeight="1" x14ac:dyDescent="0.3">
      <c r="A388" s="3" t="s">
        <v>21</v>
      </c>
      <c r="B388" s="3" t="s">
        <v>22</v>
      </c>
      <c r="C388" s="3" t="s">
        <v>23</v>
      </c>
      <c r="D388" s="3" t="s">
        <v>24</v>
      </c>
      <c r="E388" s="3" t="s">
        <v>31</v>
      </c>
      <c r="F388" s="3" t="s">
        <v>25</v>
      </c>
      <c r="G388" s="3" t="s">
        <v>25</v>
      </c>
      <c r="H388" s="3" t="s">
        <v>25</v>
      </c>
      <c r="I388" s="6">
        <v>44470</v>
      </c>
      <c r="J388" s="4">
        <v>0</v>
      </c>
      <c r="K388" s="4">
        <v>0</v>
      </c>
      <c r="L388" s="4">
        <v>62.91</v>
      </c>
      <c r="M388" s="4">
        <v>62.91</v>
      </c>
      <c r="N388" s="4">
        <v>62.91</v>
      </c>
      <c r="O388" s="4">
        <v>62.91</v>
      </c>
      <c r="P388" s="4">
        <v>595</v>
      </c>
      <c r="Q388" s="3" t="s">
        <v>26</v>
      </c>
      <c r="R388" s="3">
        <v>0</v>
      </c>
      <c r="S388" s="4">
        <v>0</v>
      </c>
      <c r="T388" s="4">
        <v>22</v>
      </c>
      <c r="U388" s="4">
        <v>62</v>
      </c>
      <c r="V388" s="4">
        <f>IF(ISERROR(VLOOKUP($S$388,'TAR FIN'!$A$1:$O$91,15,0)),0,VLOOKUP($S$388,'TAR FIN'!$A$1:$O$91,15,0))</f>
        <v>0</v>
      </c>
      <c r="W388" s="4">
        <f>IF(ISERROR(VLOOKUP($T$388,'TAR FIN'!$A$1:$O$91,15,0)),0,VLOOKUP($T$388,'TAR FIN'!$A$1:$O$91,15,0))</f>
        <v>288.39999999999998</v>
      </c>
      <c r="X388" s="4">
        <f>IF(ISERROR(VLOOKUP($U$388,'TAR FIN'!$A$1:$O$91,15,0)),0,VLOOKUP($U$388,'TAR FIN'!$A$1:$O$91,15,0))</f>
        <v>179.13</v>
      </c>
      <c r="Y388" s="4"/>
      <c r="Z388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8" s="4">
        <f ca="1">('TE BE'!$AB$17+'TE BF_350'!$AB$17+'TE CVA'!$AB$17)*(1-CUSTOS!$M$36)</f>
        <v>184.97096880722503</v>
      </c>
      <c r="AB388" s="4">
        <f>$K$388*$V$388</f>
        <v>0</v>
      </c>
      <c r="AC388" s="4">
        <f>$M$388*$W$388</f>
        <v>18143.243999999999</v>
      </c>
      <c r="AD388" s="4">
        <f>$O$388*$X$388</f>
        <v>11269.068299999999</v>
      </c>
      <c r="AE388" s="4">
        <f>$K$388*$Y$388</f>
        <v>0</v>
      </c>
      <c r="AF388" s="4">
        <f ca="1">$M$388*$Z$388</f>
        <v>19193.694618530462</v>
      </c>
      <c r="AG388" s="4">
        <f ca="1">$O$388*$AA$388</f>
        <v>11636.523647662527</v>
      </c>
    </row>
    <row r="389" spans="1:33" ht="11.25" customHeight="1" x14ac:dyDescent="0.3">
      <c r="A389" s="3" t="s">
        <v>21</v>
      </c>
      <c r="B389" s="3" t="s">
        <v>22</v>
      </c>
      <c r="C389" s="3" t="s">
        <v>23</v>
      </c>
      <c r="D389" s="3" t="s">
        <v>24</v>
      </c>
      <c r="E389" s="3" t="s">
        <v>31</v>
      </c>
      <c r="F389" s="3" t="s">
        <v>25</v>
      </c>
      <c r="G389" s="3" t="s">
        <v>25</v>
      </c>
      <c r="H389" s="3" t="s">
        <v>25</v>
      </c>
      <c r="I389" s="6">
        <v>44501</v>
      </c>
      <c r="J389" s="4">
        <v>0</v>
      </c>
      <c r="K389" s="4">
        <v>0</v>
      </c>
      <c r="L389" s="4">
        <v>70.632000000000005</v>
      </c>
      <c r="M389" s="4">
        <v>70.632000000000005</v>
      </c>
      <c r="N389" s="4">
        <v>70.632000000000005</v>
      </c>
      <c r="O389" s="4">
        <v>70.632000000000005</v>
      </c>
      <c r="P389" s="4">
        <v>564</v>
      </c>
      <c r="Q389" s="3" t="s">
        <v>26</v>
      </c>
      <c r="R389" s="3">
        <v>0</v>
      </c>
      <c r="S389" s="4">
        <v>0</v>
      </c>
      <c r="T389" s="4">
        <v>22</v>
      </c>
      <c r="U389" s="4">
        <v>62</v>
      </c>
      <c r="V389" s="4">
        <f>IF(ISERROR(VLOOKUP($S$389,'TAR FIN'!$A$1:$O$91,15,0)),0,VLOOKUP($S$389,'TAR FIN'!$A$1:$O$91,15,0))</f>
        <v>0</v>
      </c>
      <c r="W389" s="4">
        <f>IF(ISERROR(VLOOKUP($T$389,'TAR FIN'!$A$1:$O$91,15,0)),0,VLOOKUP($T$389,'TAR FIN'!$A$1:$O$91,15,0))</f>
        <v>288.39999999999998</v>
      </c>
      <c r="X389" s="4">
        <f>IF(ISERROR(VLOOKUP($U$389,'TAR FIN'!$A$1:$O$91,15,0)),0,VLOOKUP($U$389,'TAR FIN'!$A$1:$O$91,15,0))</f>
        <v>179.13</v>
      </c>
      <c r="Y389" s="4"/>
      <c r="Z389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89" s="4">
        <f ca="1">('TE BE'!$AB$17+'TE BF_350'!$AB$17+'TE CVA'!$AB$17)*(1-CUSTOS!$M$36)</f>
        <v>184.97096880722503</v>
      </c>
      <c r="AB389" s="4">
        <f>$K$389*$V$389</f>
        <v>0</v>
      </c>
      <c r="AC389" s="4">
        <f>$M$389*$W$389</f>
        <v>20370.268800000002</v>
      </c>
      <c r="AD389" s="4">
        <f>$O$389*$X$389</f>
        <v>12652.310160000001</v>
      </c>
      <c r="AE389" s="4">
        <f>$K$389*$Y$389</f>
        <v>0</v>
      </c>
      <c r="AF389" s="4">
        <f ca="1">$M$389*$Z$389</f>
        <v>21549.658850676264</v>
      </c>
      <c r="AG389" s="4">
        <f ca="1">$O$389*$AA$389</f>
        <v>13064.86946879192</v>
      </c>
    </row>
    <row r="390" spans="1:33" ht="11.25" customHeight="1" x14ac:dyDescent="0.3">
      <c r="A390" s="3" t="s">
        <v>21</v>
      </c>
      <c r="B390" s="3" t="s">
        <v>22</v>
      </c>
      <c r="C390" s="3" t="s">
        <v>23</v>
      </c>
      <c r="D390" s="3" t="s">
        <v>24</v>
      </c>
      <c r="E390" s="3" t="s">
        <v>31</v>
      </c>
      <c r="F390" s="3" t="s">
        <v>25</v>
      </c>
      <c r="G390" s="3" t="s">
        <v>25</v>
      </c>
      <c r="H390" s="3" t="s">
        <v>25</v>
      </c>
      <c r="I390" s="6">
        <v>44531</v>
      </c>
      <c r="J390" s="4">
        <v>0</v>
      </c>
      <c r="K390" s="4">
        <v>0</v>
      </c>
      <c r="L390" s="4">
        <v>75.957999999999998</v>
      </c>
      <c r="M390" s="4">
        <v>75.957999999999998</v>
      </c>
      <c r="N390" s="4">
        <v>75.957999999999998</v>
      </c>
      <c r="O390" s="4">
        <v>75.957999999999998</v>
      </c>
      <c r="P390" s="4">
        <v>557</v>
      </c>
      <c r="Q390" s="3" t="s">
        <v>26</v>
      </c>
      <c r="R390" s="3">
        <v>0</v>
      </c>
      <c r="S390" s="4">
        <v>0</v>
      </c>
      <c r="T390" s="4">
        <v>22</v>
      </c>
      <c r="U390" s="4">
        <v>62</v>
      </c>
      <c r="V390" s="4">
        <f>IF(ISERROR(VLOOKUP($S$390,'TAR FIN'!$A$1:$O$91,15,0)),0,VLOOKUP($S$390,'TAR FIN'!$A$1:$O$91,15,0))</f>
        <v>0</v>
      </c>
      <c r="W390" s="4">
        <f>IF(ISERROR(VLOOKUP($T$390,'TAR FIN'!$A$1:$O$91,15,0)),0,VLOOKUP($T$390,'TAR FIN'!$A$1:$O$91,15,0))</f>
        <v>288.39999999999998</v>
      </c>
      <c r="X390" s="4">
        <f>IF(ISERROR(VLOOKUP($U$390,'TAR FIN'!$A$1:$O$91,15,0)),0,VLOOKUP($U$390,'TAR FIN'!$A$1:$O$91,15,0))</f>
        <v>179.13</v>
      </c>
      <c r="Y390" s="4"/>
      <c r="Z390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0" s="4">
        <f ca="1">('TE BE'!$AB$17+'TE BF_350'!$AB$17+'TE CVA'!$AB$17)*(1-CUSTOS!$M$36)</f>
        <v>184.97096880722503</v>
      </c>
      <c r="AB390" s="4">
        <f>$K$390*$V$390</f>
        <v>0</v>
      </c>
      <c r="AC390" s="4">
        <f>$M$390*$W$390</f>
        <v>21906.287199999999</v>
      </c>
      <c r="AD390" s="4">
        <f>$O$390*$X$390</f>
        <v>13606.356539999999</v>
      </c>
      <c r="AE390" s="4">
        <f>$K$390*$Y$390</f>
        <v>0</v>
      </c>
      <c r="AF390" s="4">
        <f ca="1">$M$390*$Z$390</f>
        <v>23174.609057929374</v>
      </c>
      <c r="AG390" s="4">
        <f ca="1">$O$390*$AA$390</f>
        <v>14050.024848659199</v>
      </c>
    </row>
    <row r="391" spans="1:33" ht="11.25" customHeight="1" x14ac:dyDescent="0.3">
      <c r="A391" s="3" t="s">
        <v>21</v>
      </c>
      <c r="B391" s="3" t="s">
        <v>22</v>
      </c>
      <c r="C391" s="3" t="s">
        <v>23</v>
      </c>
      <c r="D391" s="3" t="s">
        <v>24</v>
      </c>
      <c r="E391" s="3" t="s">
        <v>31</v>
      </c>
      <c r="F391" s="3" t="s">
        <v>25</v>
      </c>
      <c r="G391" s="3" t="s">
        <v>25</v>
      </c>
      <c r="H391" s="3" t="s">
        <v>25</v>
      </c>
      <c r="I391" s="6">
        <v>44562</v>
      </c>
      <c r="J391" s="4">
        <v>0</v>
      </c>
      <c r="K391" s="4">
        <v>0</v>
      </c>
      <c r="L391" s="4">
        <v>86.519000000000005</v>
      </c>
      <c r="M391" s="4">
        <v>86.519000000000005</v>
      </c>
      <c r="N391" s="4">
        <v>86.519000000000005</v>
      </c>
      <c r="O391" s="4">
        <v>86.519000000000005</v>
      </c>
      <c r="P391" s="4">
        <v>513</v>
      </c>
      <c r="Q391" s="3" t="s">
        <v>26</v>
      </c>
      <c r="R391" s="3">
        <v>0</v>
      </c>
      <c r="S391" s="4">
        <v>0</v>
      </c>
      <c r="T391" s="4">
        <v>22</v>
      </c>
      <c r="U391" s="4">
        <v>62</v>
      </c>
      <c r="V391" s="4">
        <f>IF(ISERROR(VLOOKUP($S$391,'TAR FIN'!$A$1:$O$91,15,0)),0,VLOOKUP($S$391,'TAR FIN'!$A$1:$O$91,15,0))</f>
        <v>0</v>
      </c>
      <c r="W391" s="4">
        <f>IF(ISERROR(VLOOKUP($T$391,'TAR FIN'!$A$1:$O$91,15,0)),0,VLOOKUP($T$391,'TAR FIN'!$A$1:$O$91,15,0))</f>
        <v>288.39999999999998</v>
      </c>
      <c r="X391" s="4">
        <f>IF(ISERROR(VLOOKUP($U$391,'TAR FIN'!$A$1:$O$91,15,0)),0,VLOOKUP($U$391,'TAR FIN'!$A$1:$O$91,15,0))</f>
        <v>179.13</v>
      </c>
      <c r="Y391" s="4"/>
      <c r="Z391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1" s="4">
        <f ca="1">('TE BE'!$AB$17+'TE BF_350'!$AB$17+'TE CVA'!$AB$17)*(1-CUSTOS!$M$36)</f>
        <v>184.97096880722503</v>
      </c>
      <c r="AB391" s="4">
        <f>$K$391*$V$391</f>
        <v>0</v>
      </c>
      <c r="AC391" s="4">
        <f>$M$391*$W$391</f>
        <v>24952.079600000001</v>
      </c>
      <c r="AD391" s="4">
        <f>$O$391*$X$391</f>
        <v>15498.14847</v>
      </c>
      <c r="AE391" s="4">
        <f>$K$391*$Y$391</f>
        <v>0</v>
      </c>
      <c r="AF391" s="4">
        <f ca="1">$M$391*$Z$391</f>
        <v>26396.745584177988</v>
      </c>
      <c r="AG391" s="4">
        <f ca="1">$O$391*$AA$391</f>
        <v>16003.503250232303</v>
      </c>
    </row>
    <row r="392" spans="1:33" ht="11.25" customHeight="1" x14ac:dyDescent="0.3">
      <c r="A392" s="3" t="s">
        <v>28</v>
      </c>
      <c r="B392" s="3" t="s">
        <v>22</v>
      </c>
      <c r="C392" s="3" t="s">
        <v>23</v>
      </c>
      <c r="D392" s="3" t="s">
        <v>24</v>
      </c>
      <c r="E392" s="3" t="s">
        <v>31</v>
      </c>
      <c r="F392" s="3" t="s">
        <v>25</v>
      </c>
      <c r="G392" s="3" t="s">
        <v>25</v>
      </c>
      <c r="H392" s="3" t="s">
        <v>25</v>
      </c>
      <c r="I392" s="6">
        <v>44562</v>
      </c>
      <c r="J392" s="4">
        <v>0</v>
      </c>
      <c r="K392" s="4">
        <v>0</v>
      </c>
      <c r="L392" s="4">
        <v>2.5000000000000001E-2</v>
      </c>
      <c r="M392" s="4">
        <v>2.2499999999999999E-2</v>
      </c>
      <c r="N392" s="4">
        <v>2.5000000000000001E-2</v>
      </c>
      <c r="O392" s="4">
        <v>2.2499999999999999E-2</v>
      </c>
      <c r="P392" s="4">
        <v>0</v>
      </c>
      <c r="Q392" s="3" t="s">
        <v>26</v>
      </c>
      <c r="R392" s="3">
        <v>0</v>
      </c>
      <c r="S392" s="4">
        <v>0</v>
      </c>
      <c r="T392" s="4">
        <v>22</v>
      </c>
      <c r="U392" s="4">
        <v>62</v>
      </c>
      <c r="V392" s="4">
        <f>IF(ISERROR(VLOOKUP($S$392,'TAR FIN'!$A$1:$O$91,15,0)),0,VLOOKUP($S$392,'TAR FIN'!$A$1:$O$91,15,0))</f>
        <v>0</v>
      </c>
      <c r="W392" s="4">
        <f>IF(ISERROR(VLOOKUP($T$392,'TAR FIN'!$A$1:$O$91,15,0)),0,VLOOKUP($T$392,'TAR FIN'!$A$1:$O$91,15,0))</f>
        <v>288.39999999999998</v>
      </c>
      <c r="X392" s="4">
        <f>IF(ISERROR(VLOOKUP($U$392,'TAR FIN'!$A$1:$O$91,15,0)),0,VLOOKUP($U$392,'TAR FIN'!$A$1:$O$91,15,0))</f>
        <v>179.13</v>
      </c>
      <c r="Y392" s="4"/>
      <c r="Z392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2" s="4">
        <f ca="1">('TE BE'!$AB$17+'TE BF_350'!$AB$17+'TE CVA'!$AB$17)*(1-CUSTOS!$M$36)</f>
        <v>184.97096880722503</v>
      </c>
      <c r="AB392" s="4">
        <f>$K$392*$V$392</f>
        <v>0</v>
      </c>
      <c r="AC392" s="4">
        <f>$M$392*$W$392</f>
        <v>6.488999999999999</v>
      </c>
      <c r="AD392" s="4">
        <f>$O$392*$X$392</f>
        <v>4.0304250000000001</v>
      </c>
      <c r="AE392" s="4">
        <f>$K$392*$Y$392</f>
        <v>0</v>
      </c>
      <c r="AF392" s="4">
        <f ca="1">$M$392*$Z$392</f>
        <v>6.8646976461124689</v>
      </c>
      <c r="AG392" s="4">
        <f ca="1">$O$392*$AA$392</f>
        <v>4.1618467981625633</v>
      </c>
    </row>
    <row r="393" spans="1:33" ht="11.25" customHeight="1" x14ac:dyDescent="0.3">
      <c r="A393" s="3" t="s">
        <v>21</v>
      </c>
      <c r="B393" s="3" t="s">
        <v>22</v>
      </c>
      <c r="C393" s="3" t="s">
        <v>23</v>
      </c>
      <c r="D393" s="3" t="s">
        <v>24</v>
      </c>
      <c r="E393" s="3" t="s">
        <v>31</v>
      </c>
      <c r="F393" s="3" t="s">
        <v>25</v>
      </c>
      <c r="G393" s="3" t="s">
        <v>25</v>
      </c>
      <c r="H393" s="3" t="s">
        <v>25</v>
      </c>
      <c r="I393" s="6">
        <v>44593</v>
      </c>
      <c r="J393" s="4">
        <v>0</v>
      </c>
      <c r="K393" s="4">
        <v>0</v>
      </c>
      <c r="L393" s="4">
        <v>96.45</v>
      </c>
      <c r="M393" s="4">
        <v>96.45</v>
      </c>
      <c r="N393" s="4">
        <v>96.45</v>
      </c>
      <c r="O393" s="4">
        <v>96.45</v>
      </c>
      <c r="P393" s="4">
        <v>437</v>
      </c>
      <c r="Q393" s="3" t="s">
        <v>26</v>
      </c>
      <c r="R393" s="3">
        <v>0</v>
      </c>
      <c r="S393" s="4">
        <v>0</v>
      </c>
      <c r="T393" s="4">
        <v>22</v>
      </c>
      <c r="U393" s="4">
        <v>62</v>
      </c>
      <c r="V393" s="4">
        <f>IF(ISERROR(VLOOKUP($S$393,'TAR FIN'!$A$1:$O$91,15,0)),0,VLOOKUP($S$393,'TAR FIN'!$A$1:$O$91,15,0))</f>
        <v>0</v>
      </c>
      <c r="W393" s="4">
        <f>IF(ISERROR(VLOOKUP($T$393,'TAR FIN'!$A$1:$O$91,15,0)),0,VLOOKUP($T$393,'TAR FIN'!$A$1:$O$91,15,0))</f>
        <v>288.39999999999998</v>
      </c>
      <c r="X393" s="4">
        <f>IF(ISERROR(VLOOKUP($U$393,'TAR FIN'!$A$1:$O$91,15,0)),0,VLOOKUP($U$393,'TAR FIN'!$A$1:$O$91,15,0))</f>
        <v>179.13</v>
      </c>
      <c r="Y393" s="4"/>
      <c r="Z393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3" s="4">
        <f ca="1">('TE BE'!$AB$17+'TE BF_350'!$AB$17+'TE CVA'!$AB$17)*(1-CUSTOS!$M$36)</f>
        <v>184.97096880722503</v>
      </c>
      <c r="AB393" s="4">
        <f>$K$393*$V$393</f>
        <v>0</v>
      </c>
      <c r="AC393" s="4">
        <f>$M$393*$W$393</f>
        <v>27816.18</v>
      </c>
      <c r="AD393" s="4">
        <f>$O$393*$X$393</f>
        <v>17277.088500000002</v>
      </c>
      <c r="AE393" s="4">
        <f>$K$393*$Y$393</f>
        <v>0</v>
      </c>
      <c r="AF393" s="4">
        <f ca="1">$M$393*$Z$393</f>
        <v>29426.670576335451</v>
      </c>
      <c r="AG393" s="4">
        <f ca="1">$O$393*$AA$393</f>
        <v>17840.449941456856</v>
      </c>
    </row>
    <row r="394" spans="1:33" ht="11.25" customHeight="1" x14ac:dyDescent="0.3">
      <c r="A394" s="3" t="s">
        <v>27</v>
      </c>
      <c r="B394" s="3" t="s">
        <v>22</v>
      </c>
      <c r="C394" s="3" t="s">
        <v>23</v>
      </c>
      <c r="D394" s="3" t="s">
        <v>24</v>
      </c>
      <c r="E394" s="3" t="s">
        <v>31</v>
      </c>
      <c r="F394" s="3" t="s">
        <v>25</v>
      </c>
      <c r="G394" s="3" t="s">
        <v>25</v>
      </c>
      <c r="H394" s="3" t="s">
        <v>25</v>
      </c>
      <c r="I394" s="6">
        <v>44593</v>
      </c>
      <c r="J394" s="4">
        <v>0</v>
      </c>
      <c r="K394" s="4">
        <v>0</v>
      </c>
      <c r="L394" s="4">
        <v>-9.4E-2</v>
      </c>
      <c r="M394" s="4">
        <v>-9.4E-2</v>
      </c>
      <c r="N394" s="4">
        <v>-9.4E-2</v>
      </c>
      <c r="O394" s="4">
        <v>-9.4E-2</v>
      </c>
      <c r="P394" s="4">
        <v>0</v>
      </c>
      <c r="Q394" s="3" t="s">
        <v>26</v>
      </c>
      <c r="R394" s="3">
        <v>0</v>
      </c>
      <c r="S394" s="4">
        <v>0</v>
      </c>
      <c r="T394" s="4">
        <v>22</v>
      </c>
      <c r="U394" s="4">
        <v>62</v>
      </c>
      <c r="V394" s="4">
        <f>IF(ISERROR(VLOOKUP($S$394,'TAR FIN'!$A$1:$O$91,15,0)),0,VLOOKUP($S$394,'TAR FIN'!$A$1:$O$91,15,0))</f>
        <v>0</v>
      </c>
      <c r="W394" s="4">
        <f>IF(ISERROR(VLOOKUP($T$394,'TAR FIN'!$A$1:$O$91,15,0)),0,VLOOKUP($T$394,'TAR FIN'!$A$1:$O$91,15,0))</f>
        <v>288.39999999999998</v>
      </c>
      <c r="X394" s="4">
        <f>IF(ISERROR(VLOOKUP($U$394,'TAR FIN'!$A$1:$O$91,15,0)),0,VLOOKUP($U$394,'TAR FIN'!$A$1:$O$91,15,0))</f>
        <v>179.13</v>
      </c>
      <c r="Y394" s="4"/>
      <c r="Z394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4" s="4">
        <f ca="1">('TE BE'!$AB$17+'TE BF_350'!$AB$17+'TE CVA'!$AB$17)*(1-CUSTOS!$M$36)</f>
        <v>184.97096880722503</v>
      </c>
      <c r="AB394" s="4">
        <f>$K$394*$V$394</f>
        <v>0</v>
      </c>
      <c r="AC394" s="4">
        <f>$M$394*$W$394</f>
        <v>-27.109599999999997</v>
      </c>
      <c r="AD394" s="4">
        <f>$O$394*$X$394</f>
        <v>-16.83822</v>
      </c>
      <c r="AE394" s="4">
        <f>$K$394*$Y$394</f>
        <v>0</v>
      </c>
      <c r="AF394" s="4">
        <f ca="1">$M$394*$Z$394</f>
        <v>-28.679181277092091</v>
      </c>
      <c r="AG394" s="4">
        <f ca="1">$O$394*$AA$394</f>
        <v>-17.387271067879155</v>
      </c>
    </row>
    <row r="395" spans="1:33" ht="11.25" customHeight="1" x14ac:dyDescent="0.3">
      <c r="A395" s="3" t="s">
        <v>28</v>
      </c>
      <c r="B395" s="3" t="s">
        <v>22</v>
      </c>
      <c r="C395" s="3" t="s">
        <v>23</v>
      </c>
      <c r="D395" s="3" t="s">
        <v>24</v>
      </c>
      <c r="E395" s="3" t="s">
        <v>31</v>
      </c>
      <c r="F395" s="3" t="s">
        <v>25</v>
      </c>
      <c r="G395" s="3" t="s">
        <v>25</v>
      </c>
      <c r="H395" s="3" t="s">
        <v>25</v>
      </c>
      <c r="I395" s="6">
        <v>44593</v>
      </c>
      <c r="J395" s="4">
        <v>0</v>
      </c>
      <c r="K395" s="4">
        <v>0</v>
      </c>
      <c r="L395" s="4">
        <v>0.12</v>
      </c>
      <c r="M395" s="4">
        <v>0.108</v>
      </c>
      <c r="N395" s="4">
        <v>0.12</v>
      </c>
      <c r="O395" s="4">
        <v>0.108</v>
      </c>
      <c r="P395" s="4">
        <v>0</v>
      </c>
      <c r="Q395" s="3" t="s">
        <v>26</v>
      </c>
      <c r="R395" s="3">
        <v>0</v>
      </c>
      <c r="S395" s="4">
        <v>0</v>
      </c>
      <c r="T395" s="4">
        <v>22</v>
      </c>
      <c r="U395" s="4">
        <v>62</v>
      </c>
      <c r="V395" s="4">
        <f>IF(ISERROR(VLOOKUP($S$395,'TAR FIN'!$A$1:$O$91,15,0)),0,VLOOKUP($S$395,'TAR FIN'!$A$1:$O$91,15,0))</f>
        <v>0</v>
      </c>
      <c r="W395" s="4">
        <f>IF(ISERROR(VLOOKUP($T$395,'TAR FIN'!$A$1:$O$91,15,0)),0,VLOOKUP($T$395,'TAR FIN'!$A$1:$O$91,15,0))</f>
        <v>288.39999999999998</v>
      </c>
      <c r="X395" s="4">
        <f>IF(ISERROR(VLOOKUP($U$395,'TAR FIN'!$A$1:$O$91,15,0)),0,VLOOKUP($U$395,'TAR FIN'!$A$1:$O$91,15,0))</f>
        <v>179.13</v>
      </c>
      <c r="Y395" s="4"/>
      <c r="Z395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5" s="4">
        <f ca="1">('TE BE'!$AB$17+'TE BF_350'!$AB$17+'TE CVA'!$AB$17)*(1-CUSTOS!$M$36)</f>
        <v>184.97096880722503</v>
      </c>
      <c r="AB395" s="4">
        <f>$K$395*$V$395</f>
        <v>0</v>
      </c>
      <c r="AC395" s="4">
        <f>$M$395*$W$395</f>
        <v>31.147199999999998</v>
      </c>
      <c r="AD395" s="4">
        <f>$O$395*$X$395</f>
        <v>19.346039999999999</v>
      </c>
      <c r="AE395" s="4">
        <f>$K$395*$Y$395</f>
        <v>0</v>
      </c>
      <c r="AF395" s="4">
        <f ca="1">$M$395*$Z$395</f>
        <v>32.950548701339848</v>
      </c>
      <c r="AG395" s="4">
        <f ca="1">$O$395*$AA$395</f>
        <v>19.976864631180302</v>
      </c>
    </row>
    <row r="396" spans="1:33" ht="11.25" customHeight="1" x14ac:dyDescent="0.3">
      <c r="A396" s="3" t="s">
        <v>21</v>
      </c>
      <c r="B396" s="3" t="s">
        <v>22</v>
      </c>
      <c r="C396" s="3" t="s">
        <v>23</v>
      </c>
      <c r="D396" s="3" t="s">
        <v>24</v>
      </c>
      <c r="E396" s="3" t="s">
        <v>31</v>
      </c>
      <c r="F396" s="3" t="s">
        <v>25</v>
      </c>
      <c r="G396" s="3" t="s">
        <v>25</v>
      </c>
      <c r="H396" s="3" t="s">
        <v>25</v>
      </c>
      <c r="I396" s="6">
        <v>44621</v>
      </c>
      <c r="J396" s="4">
        <v>0</v>
      </c>
      <c r="K396" s="4">
        <v>0</v>
      </c>
      <c r="L396" s="4">
        <v>87.647000000000006</v>
      </c>
      <c r="M396" s="4">
        <v>87.647000000000006</v>
      </c>
      <c r="N396" s="4">
        <v>87.647000000000006</v>
      </c>
      <c r="O396" s="4">
        <v>87.647000000000006</v>
      </c>
      <c r="P396" s="4">
        <v>538</v>
      </c>
      <c r="Q396" s="3" t="s">
        <v>26</v>
      </c>
      <c r="R396" s="3">
        <v>0</v>
      </c>
      <c r="S396" s="4">
        <v>0</v>
      </c>
      <c r="T396" s="4">
        <v>22</v>
      </c>
      <c r="U396" s="4">
        <v>62</v>
      </c>
      <c r="V396" s="4">
        <f>IF(ISERROR(VLOOKUP($S$396,'TAR FIN'!$A$1:$O$91,15,0)),0,VLOOKUP($S$396,'TAR FIN'!$A$1:$O$91,15,0))</f>
        <v>0</v>
      </c>
      <c r="W396" s="4">
        <f>IF(ISERROR(VLOOKUP($T$396,'TAR FIN'!$A$1:$O$91,15,0)),0,VLOOKUP($T$396,'TAR FIN'!$A$1:$O$91,15,0))</f>
        <v>288.39999999999998</v>
      </c>
      <c r="X396" s="4">
        <f>IF(ISERROR(VLOOKUP($U$396,'TAR FIN'!$A$1:$O$91,15,0)),0,VLOOKUP($U$396,'TAR FIN'!$A$1:$O$91,15,0))</f>
        <v>179.13</v>
      </c>
      <c r="Y396" s="4"/>
      <c r="Z396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6" s="4">
        <f ca="1">('TE BE'!$AB$17+'TE BF_350'!$AB$17+'TE CVA'!$AB$17)*(1-CUSTOS!$M$36)</f>
        <v>184.97096880722503</v>
      </c>
      <c r="AB396" s="4">
        <f>$K$396*$V$396</f>
        <v>0</v>
      </c>
      <c r="AC396" s="4">
        <f>$M$396*$W$396</f>
        <v>25277.394799999998</v>
      </c>
      <c r="AD396" s="4">
        <f>$O$396*$X$396</f>
        <v>15700.207110000001</v>
      </c>
      <c r="AE396" s="4">
        <f>$K$396*$Y$396</f>
        <v>0</v>
      </c>
      <c r="AF396" s="4">
        <f ca="1">$M$396*$Z$396</f>
        <v>26740.895759503092</v>
      </c>
      <c r="AG396" s="4">
        <f ca="1">$O$396*$AA$396</f>
        <v>16212.150503046854</v>
      </c>
    </row>
    <row r="397" spans="1:33" ht="11.25" customHeight="1" x14ac:dyDescent="0.3">
      <c r="A397" s="3" t="s">
        <v>27</v>
      </c>
      <c r="B397" s="3" t="s">
        <v>22</v>
      </c>
      <c r="C397" s="3" t="s">
        <v>23</v>
      </c>
      <c r="D397" s="3" t="s">
        <v>24</v>
      </c>
      <c r="E397" s="3" t="s">
        <v>31</v>
      </c>
      <c r="F397" s="3" t="s">
        <v>25</v>
      </c>
      <c r="G397" s="3" t="s">
        <v>25</v>
      </c>
      <c r="H397" s="3" t="s">
        <v>25</v>
      </c>
      <c r="I397" s="6">
        <v>44621</v>
      </c>
      <c r="J397" s="4">
        <v>0</v>
      </c>
      <c r="K397" s="4">
        <v>0</v>
      </c>
      <c r="L397" s="4">
        <v>-8.4000000000000005E-2</v>
      </c>
      <c r="M397" s="4">
        <v>-8.4000000000000005E-2</v>
      </c>
      <c r="N397" s="4">
        <v>-8.4000000000000005E-2</v>
      </c>
      <c r="O397" s="4">
        <v>-8.4000000000000005E-2</v>
      </c>
      <c r="P397" s="4">
        <v>0</v>
      </c>
      <c r="Q397" s="3" t="s">
        <v>26</v>
      </c>
      <c r="R397" s="3">
        <v>0</v>
      </c>
      <c r="S397" s="4">
        <v>0</v>
      </c>
      <c r="T397" s="4">
        <v>22</v>
      </c>
      <c r="U397" s="4">
        <v>62</v>
      </c>
      <c r="V397" s="4">
        <f>IF(ISERROR(VLOOKUP($S$397,'TAR FIN'!$A$1:$O$91,15,0)),0,VLOOKUP($S$397,'TAR FIN'!$A$1:$O$91,15,0))</f>
        <v>0</v>
      </c>
      <c r="W397" s="4">
        <f>IF(ISERROR(VLOOKUP($T$397,'TAR FIN'!$A$1:$O$91,15,0)),0,VLOOKUP($T$397,'TAR FIN'!$A$1:$O$91,15,0))</f>
        <v>288.39999999999998</v>
      </c>
      <c r="X397" s="4">
        <f>IF(ISERROR(VLOOKUP($U$397,'TAR FIN'!$A$1:$O$91,15,0)),0,VLOOKUP($U$397,'TAR FIN'!$A$1:$O$91,15,0))</f>
        <v>179.13</v>
      </c>
      <c r="Y397" s="4"/>
      <c r="Z397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7" s="4">
        <f ca="1">('TE BE'!$AB$17+'TE BF_350'!$AB$17+'TE CVA'!$AB$17)*(1-CUSTOS!$M$36)</f>
        <v>184.97096880722503</v>
      </c>
      <c r="AB397" s="4">
        <f>$K$397*$V$397</f>
        <v>0</v>
      </c>
      <c r="AC397" s="4">
        <f>$M$397*$W$397</f>
        <v>-24.2256</v>
      </c>
      <c r="AD397" s="4">
        <f>$O$397*$X$397</f>
        <v>-15.04692</v>
      </c>
      <c r="AE397" s="4">
        <f>$K$397*$Y$397</f>
        <v>0</v>
      </c>
      <c r="AF397" s="4">
        <f ca="1">$M$397*$Z$397</f>
        <v>-25.62820454548655</v>
      </c>
      <c r="AG397" s="4">
        <f ca="1">$O$397*$AA$397</f>
        <v>-15.537561379806904</v>
      </c>
    </row>
    <row r="398" spans="1:33" ht="11.25" customHeight="1" x14ac:dyDescent="0.3">
      <c r="A398" s="3" t="s">
        <v>28</v>
      </c>
      <c r="B398" s="3" t="s">
        <v>22</v>
      </c>
      <c r="C398" s="3" t="s">
        <v>23</v>
      </c>
      <c r="D398" s="3" t="s">
        <v>24</v>
      </c>
      <c r="E398" s="3" t="s">
        <v>31</v>
      </c>
      <c r="F398" s="3" t="s">
        <v>25</v>
      </c>
      <c r="G398" s="3" t="s">
        <v>25</v>
      </c>
      <c r="H398" s="3" t="s">
        <v>25</v>
      </c>
      <c r="I398" s="6">
        <v>44621</v>
      </c>
      <c r="J398" s="4">
        <v>0</v>
      </c>
      <c r="K398" s="4">
        <v>0</v>
      </c>
      <c r="L398" s="4">
        <v>6.5000000000000002E-2</v>
      </c>
      <c r="M398" s="4">
        <v>5.8500000000000003E-2</v>
      </c>
      <c r="N398" s="4">
        <v>6.5000000000000002E-2</v>
      </c>
      <c r="O398" s="4">
        <v>5.8500000000000003E-2</v>
      </c>
      <c r="P398" s="4">
        <v>0</v>
      </c>
      <c r="Q398" s="3" t="s">
        <v>26</v>
      </c>
      <c r="R398" s="3">
        <v>0</v>
      </c>
      <c r="S398" s="4">
        <v>0</v>
      </c>
      <c r="T398" s="4">
        <v>22</v>
      </c>
      <c r="U398" s="4">
        <v>62</v>
      </c>
      <c r="V398" s="4">
        <f>IF(ISERROR(VLOOKUP($S$398,'TAR FIN'!$A$1:$O$91,15,0)),0,VLOOKUP($S$398,'TAR FIN'!$A$1:$O$91,15,0))</f>
        <v>0</v>
      </c>
      <c r="W398" s="4">
        <f>IF(ISERROR(VLOOKUP($T$398,'TAR FIN'!$A$1:$O$91,15,0)),0,VLOOKUP($T$398,'TAR FIN'!$A$1:$O$91,15,0))</f>
        <v>288.39999999999998</v>
      </c>
      <c r="X398" s="4">
        <f>IF(ISERROR(VLOOKUP($U$398,'TAR FIN'!$A$1:$O$91,15,0)),0,VLOOKUP($U$398,'TAR FIN'!$A$1:$O$91,15,0))</f>
        <v>179.13</v>
      </c>
      <c r="Y398" s="4"/>
      <c r="Z398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8" s="4">
        <f ca="1">('TE BE'!$AB$17+'TE BF_350'!$AB$17+'TE CVA'!$AB$17)*(1-CUSTOS!$M$36)</f>
        <v>184.97096880722503</v>
      </c>
      <c r="AB398" s="4">
        <f>$K$398*$V$398</f>
        <v>0</v>
      </c>
      <c r="AC398" s="4">
        <f>$M$398*$W$398</f>
        <v>16.871400000000001</v>
      </c>
      <c r="AD398" s="4">
        <f>$O$398*$X$398</f>
        <v>10.479105000000001</v>
      </c>
      <c r="AE398" s="4">
        <f>$K$398*$Y$398</f>
        <v>0</v>
      </c>
      <c r="AF398" s="4">
        <f ca="1">$M$398*$Z$398</f>
        <v>17.84821387989242</v>
      </c>
      <c r="AG398" s="4">
        <f ca="1">$O$398*$AA$398</f>
        <v>10.820801675222665</v>
      </c>
    </row>
    <row r="399" spans="1:33" ht="11.25" customHeight="1" x14ac:dyDescent="0.3">
      <c r="A399" s="3" t="s">
        <v>21</v>
      </c>
      <c r="B399" s="3" t="s">
        <v>22</v>
      </c>
      <c r="C399" s="3" t="s">
        <v>23</v>
      </c>
      <c r="D399" s="3" t="s">
        <v>24</v>
      </c>
      <c r="E399" s="3" t="s">
        <v>31</v>
      </c>
      <c r="F399" s="3" t="s">
        <v>25</v>
      </c>
      <c r="G399" s="3" t="s">
        <v>25</v>
      </c>
      <c r="H399" s="3" t="s">
        <v>25</v>
      </c>
      <c r="I399" s="6">
        <v>44652</v>
      </c>
      <c r="J399" s="4">
        <v>0</v>
      </c>
      <c r="K399" s="4">
        <v>0</v>
      </c>
      <c r="L399" s="4">
        <v>65.495000000000005</v>
      </c>
      <c r="M399" s="4">
        <v>65.495000000000005</v>
      </c>
      <c r="N399" s="4">
        <v>65.495000000000005</v>
      </c>
      <c r="O399" s="4">
        <v>65.495000000000005</v>
      </c>
      <c r="P399" s="4">
        <v>636</v>
      </c>
      <c r="Q399" s="3" t="s">
        <v>26</v>
      </c>
      <c r="R399" s="3">
        <v>0</v>
      </c>
      <c r="S399" s="4">
        <v>0</v>
      </c>
      <c r="T399" s="4">
        <v>22</v>
      </c>
      <c r="U399" s="4">
        <v>62</v>
      </c>
      <c r="V399" s="4">
        <f>IF(ISERROR(VLOOKUP($S$399,'TAR FIN'!$A$1:$O$91,15,0)),0,VLOOKUP($S$399,'TAR FIN'!$A$1:$O$91,15,0))</f>
        <v>0</v>
      </c>
      <c r="W399" s="4">
        <f>IF(ISERROR(VLOOKUP($T$399,'TAR FIN'!$A$1:$O$91,15,0)),0,VLOOKUP($T$399,'TAR FIN'!$A$1:$O$91,15,0))</f>
        <v>288.39999999999998</v>
      </c>
      <c r="X399" s="4">
        <f>IF(ISERROR(VLOOKUP($U$399,'TAR FIN'!$A$1:$O$91,15,0)),0,VLOOKUP($U$399,'TAR FIN'!$A$1:$O$91,15,0))</f>
        <v>179.13</v>
      </c>
      <c r="Y399" s="4"/>
      <c r="Z399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399" s="4">
        <f ca="1">('TE BE'!$AB$17+'TE BF_350'!$AB$17+'TE CVA'!$AB$17)*(1-CUSTOS!$M$36)</f>
        <v>184.97096880722503</v>
      </c>
      <c r="AB399" s="4">
        <f>$K$399*$V$399</f>
        <v>0</v>
      </c>
      <c r="AC399" s="4">
        <f>$M$399*$W$399</f>
        <v>18888.758000000002</v>
      </c>
      <c r="AD399" s="4">
        <f>$O$399*$X$399</f>
        <v>11732.119350000001</v>
      </c>
      <c r="AE399" s="4">
        <f>$K$399*$Y$399</f>
        <v>0</v>
      </c>
      <c r="AF399" s="4">
        <f ca="1">$M$399*$Z$399</f>
        <v>19982.372103650498</v>
      </c>
      <c r="AG399" s="4">
        <f ca="1">$O$399*$AA$399</f>
        <v>12114.673602029205</v>
      </c>
    </row>
    <row r="400" spans="1:33" ht="11.25" customHeight="1" x14ac:dyDescent="0.3">
      <c r="A400" s="3" t="s">
        <v>21</v>
      </c>
      <c r="B400" s="3" t="s">
        <v>22</v>
      </c>
      <c r="C400" s="3" t="s">
        <v>23</v>
      </c>
      <c r="D400" s="3" t="s">
        <v>24</v>
      </c>
      <c r="E400" s="3" t="s">
        <v>31</v>
      </c>
      <c r="F400" s="3" t="s">
        <v>25</v>
      </c>
      <c r="G400" s="3" t="s">
        <v>25</v>
      </c>
      <c r="H400" s="3" t="s">
        <v>25</v>
      </c>
      <c r="I400" s="6">
        <v>44682</v>
      </c>
      <c r="J400" s="4">
        <v>0</v>
      </c>
      <c r="K400" s="4">
        <v>0</v>
      </c>
      <c r="L400" s="4">
        <v>77.677999999999997</v>
      </c>
      <c r="M400" s="4">
        <v>77.677999999999997</v>
      </c>
      <c r="N400" s="4">
        <v>77.677999999999997</v>
      </c>
      <c r="O400" s="4">
        <v>77.677999999999997</v>
      </c>
      <c r="P400" s="4">
        <v>771</v>
      </c>
      <c r="Q400" s="3" t="s">
        <v>26</v>
      </c>
      <c r="R400" s="3">
        <v>0</v>
      </c>
      <c r="S400" s="4">
        <v>0</v>
      </c>
      <c r="T400" s="4">
        <v>22</v>
      </c>
      <c r="U400" s="4">
        <v>62</v>
      </c>
      <c r="V400" s="4">
        <f>IF(ISERROR(VLOOKUP($S$400,'TAR FIN'!$A$1:$O$91,15,0)),0,VLOOKUP($S$400,'TAR FIN'!$A$1:$O$91,15,0))</f>
        <v>0</v>
      </c>
      <c r="W400" s="4">
        <f>IF(ISERROR(VLOOKUP($T$400,'TAR FIN'!$A$1:$O$91,15,0)),0,VLOOKUP($T$400,'TAR FIN'!$A$1:$O$91,15,0))</f>
        <v>288.39999999999998</v>
      </c>
      <c r="X400" s="4">
        <f>IF(ISERROR(VLOOKUP($U$400,'TAR FIN'!$A$1:$O$91,15,0)),0,VLOOKUP($U$400,'TAR FIN'!$A$1:$O$91,15,0))</f>
        <v>179.13</v>
      </c>
      <c r="Y400" s="4"/>
      <c r="Z400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400" s="4">
        <f ca="1">('TE BE'!$AB$17+'TE BF_350'!$AB$17+'TE CVA'!$AB$17)*(1-CUSTOS!$M$36)</f>
        <v>184.97096880722503</v>
      </c>
      <c r="AB400" s="4">
        <f>$K$400*$V$400</f>
        <v>0</v>
      </c>
      <c r="AC400" s="4">
        <f>$M$400*$W$400</f>
        <v>22402.335199999998</v>
      </c>
      <c r="AD400" s="4">
        <f>$O$400*$X$400</f>
        <v>13914.460139999999</v>
      </c>
      <c r="AE400" s="4">
        <f>$K$400*$Y$400</f>
        <v>0</v>
      </c>
      <c r="AF400" s="4">
        <f ca="1">$M$400*$Z$400</f>
        <v>23699.377055765526</v>
      </c>
      <c r="AG400" s="4">
        <f ca="1">$O$400*$AA$400</f>
        <v>14368.174915007627</v>
      </c>
    </row>
    <row r="401" spans="1:33" ht="11.25" customHeight="1" x14ac:dyDescent="0.3">
      <c r="A401" s="3" t="s">
        <v>28</v>
      </c>
      <c r="B401" s="3" t="s">
        <v>22</v>
      </c>
      <c r="C401" s="3" t="s">
        <v>23</v>
      </c>
      <c r="D401" s="3" t="s">
        <v>24</v>
      </c>
      <c r="E401" s="3" t="s">
        <v>31</v>
      </c>
      <c r="F401" s="3" t="s">
        <v>25</v>
      </c>
      <c r="G401" s="3" t="s">
        <v>25</v>
      </c>
      <c r="H401" s="3" t="s">
        <v>25</v>
      </c>
      <c r="I401" s="6">
        <v>44682</v>
      </c>
      <c r="J401" s="4">
        <v>0</v>
      </c>
      <c r="K401" s="4">
        <v>0</v>
      </c>
      <c r="L401" s="4">
        <v>4.7E-2</v>
      </c>
      <c r="M401" s="4">
        <v>4.2299999999999997E-2</v>
      </c>
      <c r="N401" s="4">
        <v>4.7E-2</v>
      </c>
      <c r="O401" s="4">
        <v>4.2299999999999997E-2</v>
      </c>
      <c r="P401" s="4">
        <v>0</v>
      </c>
      <c r="Q401" s="3" t="s">
        <v>26</v>
      </c>
      <c r="R401" s="3">
        <v>0</v>
      </c>
      <c r="S401" s="4">
        <v>0</v>
      </c>
      <c r="T401" s="4">
        <v>22</v>
      </c>
      <c r="U401" s="4">
        <v>62</v>
      </c>
      <c r="V401" s="4">
        <f>IF(ISERROR(VLOOKUP($S$401,'TAR FIN'!$A$1:$O$91,15,0)),0,VLOOKUP($S$401,'TAR FIN'!$A$1:$O$91,15,0))</f>
        <v>0</v>
      </c>
      <c r="W401" s="4">
        <f>IF(ISERROR(VLOOKUP($T$401,'TAR FIN'!$A$1:$O$91,15,0)),0,VLOOKUP($T$401,'TAR FIN'!$A$1:$O$91,15,0))</f>
        <v>288.39999999999998</v>
      </c>
      <c r="X401" s="4">
        <f>IF(ISERROR(VLOOKUP($U$401,'TAR FIN'!$A$1:$O$91,15,0)),0,VLOOKUP($U$401,'TAR FIN'!$A$1:$O$91,15,0))</f>
        <v>179.13</v>
      </c>
      <c r="Y401" s="4"/>
      <c r="Z401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401" s="4">
        <f ca="1">('TE BE'!$AB$17+'TE BF_350'!$AB$17+'TE CVA'!$AB$17)*(1-CUSTOS!$M$36)</f>
        <v>184.97096880722503</v>
      </c>
      <c r="AB401" s="4">
        <f>$K$401*$V$401</f>
        <v>0</v>
      </c>
      <c r="AC401" s="4">
        <f>$M$401*$W$401</f>
        <v>12.199319999999998</v>
      </c>
      <c r="AD401" s="4">
        <f>$O$401*$X$401</f>
        <v>7.5771989999999994</v>
      </c>
      <c r="AE401" s="4">
        <f>$K$401*$Y$401</f>
        <v>0</v>
      </c>
      <c r="AF401" s="4">
        <f ca="1">$M$401*$Z$401</f>
        <v>12.905631574691441</v>
      </c>
      <c r="AG401" s="4">
        <f ca="1">$O$401*$AA$401</f>
        <v>7.8242719805456185</v>
      </c>
    </row>
    <row r="402" spans="1:33" ht="11.25" customHeight="1" x14ac:dyDescent="0.3">
      <c r="A402" s="3" t="s">
        <v>21</v>
      </c>
      <c r="B402" s="3" t="s">
        <v>22</v>
      </c>
      <c r="C402" s="3" t="s">
        <v>23</v>
      </c>
      <c r="D402" s="3" t="s">
        <v>24</v>
      </c>
      <c r="E402" s="3" t="s">
        <v>31</v>
      </c>
      <c r="F402" s="3" t="s">
        <v>25</v>
      </c>
      <c r="G402" s="3" t="s">
        <v>25</v>
      </c>
      <c r="H402" s="3" t="s">
        <v>25</v>
      </c>
      <c r="I402" s="6">
        <v>44713</v>
      </c>
      <c r="J402" s="4">
        <v>0</v>
      </c>
      <c r="K402" s="4">
        <v>0</v>
      </c>
      <c r="L402" s="4">
        <v>79.436999999999998</v>
      </c>
      <c r="M402" s="4">
        <v>79.436999999999998</v>
      </c>
      <c r="N402" s="4">
        <v>79.436999999999998</v>
      </c>
      <c r="O402" s="4">
        <v>79.436999999999998</v>
      </c>
      <c r="P402" s="4">
        <v>738</v>
      </c>
      <c r="Q402" s="3" t="s">
        <v>26</v>
      </c>
      <c r="R402" s="3">
        <v>0</v>
      </c>
      <c r="S402" s="4">
        <v>0</v>
      </c>
      <c r="T402" s="4">
        <v>22</v>
      </c>
      <c r="U402" s="4">
        <v>62</v>
      </c>
      <c r="V402" s="4">
        <f>IF(ISERROR(VLOOKUP($S$402,'TAR FIN'!$A$1:$O$91,15,0)),0,VLOOKUP($S$402,'TAR FIN'!$A$1:$O$91,15,0))</f>
        <v>0</v>
      </c>
      <c r="W402" s="4">
        <f>IF(ISERROR(VLOOKUP($T$402,'TAR FIN'!$A$1:$O$91,15,0)),0,VLOOKUP($T$402,'TAR FIN'!$A$1:$O$91,15,0))</f>
        <v>288.39999999999998</v>
      </c>
      <c r="X402" s="4">
        <f>IF(ISERROR(VLOOKUP($U$402,'TAR FIN'!$A$1:$O$91,15,0)),0,VLOOKUP($U$402,'TAR FIN'!$A$1:$O$91,15,0))</f>
        <v>179.13</v>
      </c>
      <c r="Y402" s="4"/>
      <c r="Z402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402" s="4">
        <f ca="1">('TE BE'!$AB$17+'TE BF_350'!$AB$17+'TE CVA'!$AB$17)*(1-CUSTOS!$M$36)</f>
        <v>184.97096880722503</v>
      </c>
      <c r="AB402" s="4">
        <f>$K$402*$V$402</f>
        <v>0</v>
      </c>
      <c r="AC402" s="4">
        <f>$M$402*$W$402</f>
        <v>22909.630799999999</v>
      </c>
      <c r="AD402" s="4">
        <f>$O$402*$X$402</f>
        <v>14229.549809999999</v>
      </c>
      <c r="AE402" s="4">
        <f>$K$402*$Y$402</f>
        <v>0</v>
      </c>
      <c r="AF402" s="4">
        <f ca="1">$M$402*$Z$402</f>
        <v>24236.043862854942</v>
      </c>
      <c r="AG402" s="4">
        <f ca="1">$O$402*$AA$402</f>
        <v>14693.538849139535</v>
      </c>
    </row>
    <row r="403" spans="1:33" ht="11.25" customHeight="1" x14ac:dyDescent="0.3">
      <c r="A403" s="3" t="s">
        <v>28</v>
      </c>
      <c r="B403" s="3" t="s">
        <v>22</v>
      </c>
      <c r="C403" s="3" t="s">
        <v>23</v>
      </c>
      <c r="D403" s="3" t="s">
        <v>24</v>
      </c>
      <c r="E403" s="3" t="s">
        <v>31</v>
      </c>
      <c r="F403" s="3" t="s">
        <v>25</v>
      </c>
      <c r="G403" s="3" t="s">
        <v>25</v>
      </c>
      <c r="H403" s="3" t="s">
        <v>25</v>
      </c>
      <c r="I403" s="6">
        <v>44713</v>
      </c>
      <c r="J403" s="4">
        <v>0</v>
      </c>
      <c r="K403" s="4">
        <v>0</v>
      </c>
      <c r="L403" s="4">
        <v>8.5999999999999993E-2</v>
      </c>
      <c r="M403" s="4">
        <v>6.88E-2</v>
      </c>
      <c r="N403" s="4">
        <v>8.5999999999999993E-2</v>
      </c>
      <c r="O403" s="4">
        <v>6.88E-2</v>
      </c>
      <c r="P403" s="4">
        <v>1</v>
      </c>
      <c r="Q403" s="3" t="s">
        <v>26</v>
      </c>
      <c r="R403" s="3">
        <v>0</v>
      </c>
      <c r="S403" s="4">
        <v>0</v>
      </c>
      <c r="T403" s="4">
        <v>22</v>
      </c>
      <c r="U403" s="4">
        <v>62</v>
      </c>
      <c r="V403" s="4">
        <f>IF(ISERROR(VLOOKUP($S$403,'TAR FIN'!$A$1:$O$91,15,0)),0,VLOOKUP($S$403,'TAR FIN'!$A$1:$O$91,15,0))</f>
        <v>0</v>
      </c>
      <c r="W403" s="4">
        <f>IF(ISERROR(VLOOKUP($T$403,'TAR FIN'!$A$1:$O$91,15,0)),0,VLOOKUP($T$403,'TAR FIN'!$A$1:$O$91,15,0))</f>
        <v>288.39999999999998</v>
      </c>
      <c r="X403" s="4">
        <f>IF(ISERROR(VLOOKUP($U$403,'TAR FIN'!$A$1:$O$91,15,0)),0,VLOOKUP($U$403,'TAR FIN'!$A$1:$O$91,15,0))</f>
        <v>179.13</v>
      </c>
      <c r="Y403" s="4"/>
      <c r="Z403" s="4">
        <f ca="1">('TUSD BE'!$AM$26+'TUSD BF_350'!$AM$26+'TUSD CVA'!$AM$26-('TUSD BE'!$P$26+'TUSD BF_350'!$P$26+'TUSD CVA'!$P$26)-('TUSD BE'!$Q$26+'TUSD BF_350'!$Q$26+'TUSD CVA'!$Q$26)-('TUSD BE'!$R$26+'TUSD BF_350'!$R$26+'TUSD CVA'!$R$26))*(1-CUSTOS!$M$36)</f>
        <v>305.09767316055417</v>
      </c>
      <c r="AA403" s="4">
        <f ca="1">('TE BE'!$AB$17+'TE BF_350'!$AB$17+'TE CVA'!$AB$17)*(1-CUSTOS!$M$36)</f>
        <v>184.97096880722503</v>
      </c>
      <c r="AB403" s="4">
        <f>$K$403*$V$403</f>
        <v>0</v>
      </c>
      <c r="AC403" s="4">
        <f>$M$403*$W$403</f>
        <v>19.841919999999998</v>
      </c>
      <c r="AD403" s="4">
        <f>$O$403*$X$403</f>
        <v>12.324144</v>
      </c>
      <c r="AE403" s="4">
        <f>$K$403*$Y$403</f>
        <v>0</v>
      </c>
      <c r="AF403" s="4">
        <f ca="1">$M$403*$Z$403</f>
        <v>20.990719913446128</v>
      </c>
      <c r="AG403" s="4">
        <f ca="1">$O$403*$AA$403</f>
        <v>12.726002653937082</v>
      </c>
    </row>
    <row r="404" spans="1:33" ht="11.25" customHeight="1" x14ac:dyDescent="0.3">
      <c r="A404" s="3" t="s">
        <v>21</v>
      </c>
      <c r="B404" s="3" t="s">
        <v>22</v>
      </c>
      <c r="C404" s="3" t="s">
        <v>23</v>
      </c>
      <c r="D404" s="3" t="s">
        <v>24</v>
      </c>
      <c r="E404" s="3" t="s">
        <v>32</v>
      </c>
      <c r="F404" s="3" t="s">
        <v>25</v>
      </c>
      <c r="G404" s="3" t="s">
        <v>25</v>
      </c>
      <c r="H404" s="3" t="s">
        <v>25</v>
      </c>
      <c r="I404" s="6">
        <v>44378</v>
      </c>
      <c r="J404" s="4">
        <v>0</v>
      </c>
      <c r="K404" s="4">
        <v>0</v>
      </c>
      <c r="L404" s="4">
        <v>12.297000000000001</v>
      </c>
      <c r="M404" s="4">
        <v>12.297000000000001</v>
      </c>
      <c r="N404" s="4">
        <v>12.297000000000001</v>
      </c>
      <c r="O404" s="4">
        <v>12.297000000000001</v>
      </c>
      <c r="P404" s="4">
        <v>196</v>
      </c>
      <c r="Q404" s="3" t="s">
        <v>26</v>
      </c>
      <c r="R404" s="3">
        <v>0</v>
      </c>
      <c r="S404" s="4">
        <v>0</v>
      </c>
      <c r="T404" s="4">
        <v>23</v>
      </c>
      <c r="U404" s="4">
        <v>63</v>
      </c>
      <c r="V404" s="4">
        <f>IF(ISERROR(VLOOKUP($S$404,'TAR FIN'!$A$1:$O$91,15,0)),0,VLOOKUP($S$404,'TAR FIN'!$A$1:$O$91,15,0))</f>
        <v>0</v>
      </c>
      <c r="W404" s="4">
        <f>IF(ISERROR(VLOOKUP($T$404,'TAR FIN'!$A$1:$O$91,15,0)),0,VLOOKUP($T$404,'TAR FIN'!$A$1:$O$91,15,0))</f>
        <v>320.44</v>
      </c>
      <c r="X404" s="4">
        <f>IF(ISERROR(VLOOKUP($U$404,'TAR FIN'!$A$1:$O$91,15,0)),0,VLOOKUP($U$404,'TAR FIN'!$A$1:$O$91,15,0))</f>
        <v>199.03</v>
      </c>
      <c r="Y404" s="4"/>
      <c r="Z404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04" s="4">
        <f ca="1">('TE BE'!$AB$18+'TE BF_350'!$AB$18+'TE CVA'!$AB$18)*(1-CUSTOS!$M$37)</f>
        <v>205.52329867469447</v>
      </c>
      <c r="AB404" s="4">
        <f>$K$404*$V$404</f>
        <v>0</v>
      </c>
      <c r="AC404" s="4">
        <f>$M$404*$W$404</f>
        <v>3940.4506800000004</v>
      </c>
      <c r="AD404" s="4">
        <f>$O$404*$X$404</f>
        <v>2447.4719100000002</v>
      </c>
      <c r="AE404" s="4">
        <f>$K$404*$Y$404</f>
        <v>0</v>
      </c>
      <c r="AF404" s="4">
        <f ca="1">$M$404*$Z$404</f>
        <v>4168.6512076170384</v>
      </c>
      <c r="AG404" s="4">
        <f ca="1">$O$404*$AA$404</f>
        <v>2527.320003802718</v>
      </c>
    </row>
    <row r="405" spans="1:33" ht="11.25" customHeight="1" x14ac:dyDescent="0.3">
      <c r="A405" s="3" t="s">
        <v>27</v>
      </c>
      <c r="B405" s="3" t="s">
        <v>22</v>
      </c>
      <c r="C405" s="3" t="s">
        <v>23</v>
      </c>
      <c r="D405" s="3" t="s">
        <v>24</v>
      </c>
      <c r="E405" s="3" t="s">
        <v>32</v>
      </c>
      <c r="F405" s="3" t="s">
        <v>25</v>
      </c>
      <c r="G405" s="3" t="s">
        <v>25</v>
      </c>
      <c r="H405" s="3" t="s">
        <v>25</v>
      </c>
      <c r="I405" s="6">
        <v>44378</v>
      </c>
      <c r="J405" s="4">
        <v>0</v>
      </c>
      <c r="K405" s="4">
        <v>0</v>
      </c>
      <c r="L405" s="4">
        <v>-0.03</v>
      </c>
      <c r="M405" s="4">
        <v>-0.03</v>
      </c>
      <c r="N405" s="4">
        <v>-0.03</v>
      </c>
      <c r="O405" s="4">
        <v>-0.03</v>
      </c>
      <c r="P405" s="4">
        <v>0</v>
      </c>
      <c r="Q405" s="3" t="s">
        <v>26</v>
      </c>
      <c r="R405" s="3">
        <v>0</v>
      </c>
      <c r="S405" s="4">
        <v>0</v>
      </c>
      <c r="T405" s="4">
        <v>23</v>
      </c>
      <c r="U405" s="4">
        <v>63</v>
      </c>
      <c r="V405" s="4">
        <f>IF(ISERROR(VLOOKUP($S$405,'TAR FIN'!$A$1:$O$91,15,0)),0,VLOOKUP($S$405,'TAR FIN'!$A$1:$O$91,15,0))</f>
        <v>0</v>
      </c>
      <c r="W405" s="4">
        <f>IF(ISERROR(VLOOKUP($T$405,'TAR FIN'!$A$1:$O$91,15,0)),0,VLOOKUP($T$405,'TAR FIN'!$A$1:$O$91,15,0))</f>
        <v>320.44</v>
      </c>
      <c r="X405" s="4">
        <f>IF(ISERROR(VLOOKUP($U$405,'TAR FIN'!$A$1:$O$91,15,0)),0,VLOOKUP($U$405,'TAR FIN'!$A$1:$O$91,15,0))</f>
        <v>199.03</v>
      </c>
      <c r="Y405" s="4"/>
      <c r="Z405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05" s="4">
        <f ca="1">('TE BE'!$AB$18+'TE BF_350'!$AB$18+'TE CVA'!$AB$18)*(1-CUSTOS!$M$37)</f>
        <v>205.52329867469447</v>
      </c>
      <c r="AB405" s="4">
        <f>$K$405*$V$405</f>
        <v>0</v>
      </c>
      <c r="AC405" s="4">
        <f>$M$405*$W$405</f>
        <v>-9.6131999999999991</v>
      </c>
      <c r="AD405" s="4">
        <f>$O$405*$X$405</f>
        <v>-5.9708999999999994</v>
      </c>
      <c r="AE405" s="4">
        <f>$K$405*$Y$405</f>
        <v>0</v>
      </c>
      <c r="AF405" s="4">
        <f ca="1">$M$405*$Z$405</f>
        <v>-10.169922438685138</v>
      </c>
      <c r="AG405" s="4">
        <f ca="1">$O$405*$AA$405</f>
        <v>-6.1656989602408343</v>
      </c>
    </row>
    <row r="406" spans="1:33" ht="11.25" customHeight="1" x14ac:dyDescent="0.3">
      <c r="A406" s="3" t="s">
        <v>21</v>
      </c>
      <c r="B406" s="3" t="s">
        <v>22</v>
      </c>
      <c r="C406" s="3" t="s">
        <v>23</v>
      </c>
      <c r="D406" s="3" t="s">
        <v>24</v>
      </c>
      <c r="E406" s="3" t="s">
        <v>32</v>
      </c>
      <c r="F406" s="3" t="s">
        <v>25</v>
      </c>
      <c r="G406" s="3" t="s">
        <v>25</v>
      </c>
      <c r="H406" s="3" t="s">
        <v>25</v>
      </c>
      <c r="I406" s="6">
        <v>44409</v>
      </c>
      <c r="J406" s="4">
        <v>0</v>
      </c>
      <c r="K406" s="4">
        <v>0</v>
      </c>
      <c r="L406" s="4">
        <v>16.533000000000001</v>
      </c>
      <c r="M406" s="4">
        <v>16.533000000000001</v>
      </c>
      <c r="N406" s="4">
        <v>16.533000000000001</v>
      </c>
      <c r="O406" s="4">
        <v>16.533000000000001</v>
      </c>
      <c r="P406" s="4">
        <v>233</v>
      </c>
      <c r="Q406" s="3" t="s">
        <v>26</v>
      </c>
      <c r="R406" s="3">
        <v>0</v>
      </c>
      <c r="S406" s="4">
        <v>0</v>
      </c>
      <c r="T406" s="4">
        <v>23</v>
      </c>
      <c r="U406" s="4">
        <v>63</v>
      </c>
      <c r="V406" s="4">
        <f>IF(ISERROR(VLOOKUP($S$406,'TAR FIN'!$A$1:$O$91,15,0)),0,VLOOKUP($S$406,'TAR FIN'!$A$1:$O$91,15,0))</f>
        <v>0</v>
      </c>
      <c r="W406" s="4">
        <f>IF(ISERROR(VLOOKUP($T$406,'TAR FIN'!$A$1:$O$91,15,0)),0,VLOOKUP($T$406,'TAR FIN'!$A$1:$O$91,15,0))</f>
        <v>320.44</v>
      </c>
      <c r="X406" s="4">
        <f>IF(ISERROR(VLOOKUP($U$406,'TAR FIN'!$A$1:$O$91,15,0)),0,VLOOKUP($U$406,'TAR FIN'!$A$1:$O$91,15,0))</f>
        <v>199.03</v>
      </c>
      <c r="Y406" s="4"/>
      <c r="Z406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06" s="4">
        <f ca="1">('TE BE'!$AB$18+'TE BF_350'!$AB$18+'TE CVA'!$AB$18)*(1-CUSTOS!$M$37)</f>
        <v>205.52329867469447</v>
      </c>
      <c r="AB406" s="4">
        <f>$K$406*$V$406</f>
        <v>0</v>
      </c>
      <c r="AC406" s="4">
        <f>$M$406*$W$406</f>
        <v>5297.8345200000003</v>
      </c>
      <c r="AD406" s="4">
        <f>$O$406*$X$406</f>
        <v>3290.5629900000004</v>
      </c>
      <c r="AE406" s="4">
        <f>$K$406*$Y$406</f>
        <v>0</v>
      </c>
      <c r="AF406" s="4">
        <f ca="1">$M$406*$Z$406</f>
        <v>5604.6442559593797</v>
      </c>
      <c r="AG406" s="4">
        <f ca="1">$O$406*$AA$406</f>
        <v>3397.9166969887242</v>
      </c>
    </row>
    <row r="407" spans="1:33" ht="11.25" customHeight="1" x14ac:dyDescent="0.3">
      <c r="A407" s="3" t="s">
        <v>21</v>
      </c>
      <c r="B407" s="3" t="s">
        <v>22</v>
      </c>
      <c r="C407" s="3" t="s">
        <v>23</v>
      </c>
      <c r="D407" s="3" t="s">
        <v>24</v>
      </c>
      <c r="E407" s="3" t="s">
        <v>32</v>
      </c>
      <c r="F407" s="3" t="s">
        <v>25</v>
      </c>
      <c r="G407" s="3" t="s">
        <v>25</v>
      </c>
      <c r="H407" s="3" t="s">
        <v>25</v>
      </c>
      <c r="I407" s="6">
        <v>44440</v>
      </c>
      <c r="J407" s="4">
        <v>0</v>
      </c>
      <c r="K407" s="4">
        <v>0</v>
      </c>
      <c r="L407" s="4">
        <v>14.256</v>
      </c>
      <c r="M407" s="4">
        <v>14.256</v>
      </c>
      <c r="N407" s="4">
        <v>14.256</v>
      </c>
      <c r="O407" s="4">
        <v>14.256</v>
      </c>
      <c r="P407" s="4">
        <v>222</v>
      </c>
      <c r="Q407" s="3" t="s">
        <v>26</v>
      </c>
      <c r="R407" s="3">
        <v>0</v>
      </c>
      <c r="S407" s="4">
        <v>0</v>
      </c>
      <c r="T407" s="4">
        <v>23</v>
      </c>
      <c r="U407" s="4">
        <v>63</v>
      </c>
      <c r="V407" s="4">
        <f>IF(ISERROR(VLOOKUP($S$407,'TAR FIN'!$A$1:$O$91,15,0)),0,VLOOKUP($S$407,'TAR FIN'!$A$1:$O$91,15,0))</f>
        <v>0</v>
      </c>
      <c r="W407" s="4">
        <f>IF(ISERROR(VLOOKUP($T$407,'TAR FIN'!$A$1:$O$91,15,0)),0,VLOOKUP($T$407,'TAR FIN'!$A$1:$O$91,15,0))</f>
        <v>320.44</v>
      </c>
      <c r="X407" s="4">
        <f>IF(ISERROR(VLOOKUP($U$407,'TAR FIN'!$A$1:$O$91,15,0)),0,VLOOKUP($U$407,'TAR FIN'!$A$1:$O$91,15,0))</f>
        <v>199.03</v>
      </c>
      <c r="Y407" s="4"/>
      <c r="Z407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07" s="4">
        <f ca="1">('TE BE'!$AB$18+'TE BF_350'!$AB$18+'TE CVA'!$AB$18)*(1-CUSTOS!$M$37)</f>
        <v>205.52329867469447</v>
      </c>
      <c r="AB407" s="4">
        <f>$K$407*$V$407</f>
        <v>0</v>
      </c>
      <c r="AC407" s="4">
        <f>$M$407*$W$407</f>
        <v>4568.1926400000002</v>
      </c>
      <c r="AD407" s="4">
        <f>$O$407*$X$407</f>
        <v>2837.3716800000002</v>
      </c>
      <c r="AE407" s="4">
        <f>$K$407*$Y$407</f>
        <v>0</v>
      </c>
      <c r="AF407" s="4">
        <f ca="1">$M$407*$Z$407</f>
        <v>4832.7471428631779</v>
      </c>
      <c r="AG407" s="4">
        <f ca="1">$O$407*$AA$407</f>
        <v>2929.9401459064443</v>
      </c>
    </row>
    <row r="408" spans="1:33" ht="11.25" customHeight="1" x14ac:dyDescent="0.3">
      <c r="A408" s="3" t="s">
        <v>21</v>
      </c>
      <c r="B408" s="3" t="s">
        <v>22</v>
      </c>
      <c r="C408" s="3" t="s">
        <v>23</v>
      </c>
      <c r="D408" s="3" t="s">
        <v>24</v>
      </c>
      <c r="E408" s="3" t="s">
        <v>32</v>
      </c>
      <c r="F408" s="3" t="s">
        <v>25</v>
      </c>
      <c r="G408" s="3" t="s">
        <v>25</v>
      </c>
      <c r="H408" s="3" t="s">
        <v>25</v>
      </c>
      <c r="I408" s="6">
        <v>44470</v>
      </c>
      <c r="J408" s="4">
        <v>0</v>
      </c>
      <c r="K408" s="4">
        <v>0</v>
      </c>
      <c r="L408" s="4">
        <v>15.997999999999999</v>
      </c>
      <c r="M408" s="4">
        <v>15.997999999999999</v>
      </c>
      <c r="N408" s="4">
        <v>15.997999999999999</v>
      </c>
      <c r="O408" s="4">
        <v>15.997999999999999</v>
      </c>
      <c r="P408" s="4">
        <v>244</v>
      </c>
      <c r="Q408" s="3" t="s">
        <v>26</v>
      </c>
      <c r="R408" s="3">
        <v>0</v>
      </c>
      <c r="S408" s="4">
        <v>0</v>
      </c>
      <c r="T408" s="4">
        <v>23</v>
      </c>
      <c r="U408" s="4">
        <v>63</v>
      </c>
      <c r="V408" s="4">
        <f>IF(ISERROR(VLOOKUP($S$408,'TAR FIN'!$A$1:$O$91,15,0)),0,VLOOKUP($S$408,'TAR FIN'!$A$1:$O$91,15,0))</f>
        <v>0</v>
      </c>
      <c r="W408" s="4">
        <f>IF(ISERROR(VLOOKUP($T$408,'TAR FIN'!$A$1:$O$91,15,0)),0,VLOOKUP($T$408,'TAR FIN'!$A$1:$O$91,15,0))</f>
        <v>320.44</v>
      </c>
      <c r="X408" s="4">
        <f>IF(ISERROR(VLOOKUP($U$408,'TAR FIN'!$A$1:$O$91,15,0)),0,VLOOKUP($U$408,'TAR FIN'!$A$1:$O$91,15,0))</f>
        <v>199.03</v>
      </c>
      <c r="Y408" s="4"/>
      <c r="Z408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08" s="4">
        <f ca="1">('TE BE'!$AB$18+'TE BF_350'!$AB$18+'TE CVA'!$AB$18)*(1-CUSTOS!$M$37)</f>
        <v>205.52329867469447</v>
      </c>
      <c r="AB408" s="4">
        <f>$K$408*$V$408</f>
        <v>0</v>
      </c>
      <c r="AC408" s="4">
        <f>$M$408*$W$408</f>
        <v>5126.39912</v>
      </c>
      <c r="AD408" s="4">
        <f>$O$408*$X$408</f>
        <v>3184.08194</v>
      </c>
      <c r="AE408" s="4">
        <f>$K$408*$Y$408</f>
        <v>0</v>
      </c>
      <c r="AF408" s="4">
        <f ca="1">$M$408*$Z$408</f>
        <v>5423.280639136161</v>
      </c>
      <c r="AG408" s="4">
        <f ca="1">$O$408*$AA$408</f>
        <v>3287.9617321977621</v>
      </c>
    </row>
    <row r="409" spans="1:33" ht="11.25" customHeight="1" x14ac:dyDescent="0.3">
      <c r="A409" s="3" t="s">
        <v>21</v>
      </c>
      <c r="B409" s="3" t="s">
        <v>22</v>
      </c>
      <c r="C409" s="3" t="s">
        <v>23</v>
      </c>
      <c r="D409" s="3" t="s">
        <v>24</v>
      </c>
      <c r="E409" s="3" t="s">
        <v>32</v>
      </c>
      <c r="F409" s="3" t="s">
        <v>25</v>
      </c>
      <c r="G409" s="3" t="s">
        <v>25</v>
      </c>
      <c r="H409" s="3" t="s">
        <v>25</v>
      </c>
      <c r="I409" s="6">
        <v>44501</v>
      </c>
      <c r="J409" s="4">
        <v>0</v>
      </c>
      <c r="K409" s="4">
        <v>0</v>
      </c>
      <c r="L409" s="4">
        <v>22.010999999999999</v>
      </c>
      <c r="M409" s="4">
        <v>22.010999999999999</v>
      </c>
      <c r="N409" s="4">
        <v>22.010999999999999</v>
      </c>
      <c r="O409" s="4">
        <v>22.010999999999999</v>
      </c>
      <c r="P409" s="4">
        <v>303</v>
      </c>
      <c r="Q409" s="3" t="s">
        <v>26</v>
      </c>
      <c r="R409" s="3">
        <v>0</v>
      </c>
      <c r="S409" s="4">
        <v>0</v>
      </c>
      <c r="T409" s="4">
        <v>23</v>
      </c>
      <c r="U409" s="4">
        <v>63</v>
      </c>
      <c r="V409" s="4">
        <f>IF(ISERROR(VLOOKUP($S$409,'TAR FIN'!$A$1:$O$91,15,0)),0,VLOOKUP($S$409,'TAR FIN'!$A$1:$O$91,15,0))</f>
        <v>0</v>
      </c>
      <c r="W409" s="4">
        <f>IF(ISERROR(VLOOKUP($T$409,'TAR FIN'!$A$1:$O$91,15,0)),0,VLOOKUP($T$409,'TAR FIN'!$A$1:$O$91,15,0))</f>
        <v>320.44</v>
      </c>
      <c r="X409" s="4">
        <f>IF(ISERROR(VLOOKUP($U$409,'TAR FIN'!$A$1:$O$91,15,0)),0,VLOOKUP($U$409,'TAR FIN'!$A$1:$O$91,15,0))</f>
        <v>199.03</v>
      </c>
      <c r="Y409" s="4"/>
      <c r="Z409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09" s="4">
        <f ca="1">('TE BE'!$AB$18+'TE BF_350'!$AB$18+'TE CVA'!$AB$18)*(1-CUSTOS!$M$37)</f>
        <v>205.52329867469447</v>
      </c>
      <c r="AB409" s="4">
        <f>$K$409*$V$409</f>
        <v>0</v>
      </c>
      <c r="AC409" s="4">
        <f>$M$409*$W$409</f>
        <v>7053.2048399999994</v>
      </c>
      <c r="AD409" s="4">
        <f>$O$409*$X$409</f>
        <v>4380.84933</v>
      </c>
      <c r="AE409" s="4">
        <f>$K$409*$Y$409</f>
        <v>0</v>
      </c>
      <c r="AF409" s="4">
        <f ca="1">$M$409*$Z$409</f>
        <v>7461.6720932632852</v>
      </c>
      <c r="AG409" s="4">
        <f ca="1">$O$409*$AA$409</f>
        <v>4523.7733271286997</v>
      </c>
    </row>
    <row r="410" spans="1:33" ht="11.25" customHeight="1" x14ac:dyDescent="0.3">
      <c r="A410" s="3" t="s">
        <v>21</v>
      </c>
      <c r="B410" s="3" t="s">
        <v>22</v>
      </c>
      <c r="C410" s="3" t="s">
        <v>23</v>
      </c>
      <c r="D410" s="3" t="s">
        <v>24</v>
      </c>
      <c r="E410" s="3" t="s">
        <v>32</v>
      </c>
      <c r="F410" s="3" t="s">
        <v>25</v>
      </c>
      <c r="G410" s="3" t="s">
        <v>25</v>
      </c>
      <c r="H410" s="3" t="s">
        <v>25</v>
      </c>
      <c r="I410" s="6">
        <v>44531</v>
      </c>
      <c r="J410" s="4">
        <v>0</v>
      </c>
      <c r="K410" s="4">
        <v>0</v>
      </c>
      <c r="L410" s="4">
        <v>25.661000000000001</v>
      </c>
      <c r="M410" s="4">
        <v>25.661000000000001</v>
      </c>
      <c r="N410" s="4">
        <v>25.661000000000001</v>
      </c>
      <c r="O410" s="4">
        <v>25.661000000000001</v>
      </c>
      <c r="P410" s="4">
        <v>354</v>
      </c>
      <c r="Q410" s="3" t="s">
        <v>26</v>
      </c>
      <c r="R410" s="3">
        <v>0</v>
      </c>
      <c r="S410" s="4">
        <v>0</v>
      </c>
      <c r="T410" s="4">
        <v>23</v>
      </c>
      <c r="U410" s="4">
        <v>63</v>
      </c>
      <c r="V410" s="4">
        <f>IF(ISERROR(VLOOKUP($S$410,'TAR FIN'!$A$1:$O$91,15,0)),0,VLOOKUP($S$410,'TAR FIN'!$A$1:$O$91,15,0))</f>
        <v>0</v>
      </c>
      <c r="W410" s="4">
        <f>IF(ISERROR(VLOOKUP($T$410,'TAR FIN'!$A$1:$O$91,15,0)),0,VLOOKUP($T$410,'TAR FIN'!$A$1:$O$91,15,0))</f>
        <v>320.44</v>
      </c>
      <c r="X410" s="4">
        <f>IF(ISERROR(VLOOKUP($U$410,'TAR FIN'!$A$1:$O$91,15,0)),0,VLOOKUP($U$410,'TAR FIN'!$A$1:$O$91,15,0))</f>
        <v>199.03</v>
      </c>
      <c r="Y410" s="4"/>
      <c r="Z410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0" s="4">
        <f ca="1">('TE BE'!$AB$18+'TE BF_350'!$AB$18+'TE CVA'!$AB$18)*(1-CUSTOS!$M$37)</f>
        <v>205.52329867469447</v>
      </c>
      <c r="AB410" s="4">
        <f>$K$410*$V$410</f>
        <v>0</v>
      </c>
      <c r="AC410" s="4">
        <f>$M$410*$W$410</f>
        <v>8222.8108400000001</v>
      </c>
      <c r="AD410" s="4">
        <f>$O$410*$X$410</f>
        <v>5107.3088299999999</v>
      </c>
      <c r="AE410" s="4">
        <f>$K$410*$Y$410</f>
        <v>0</v>
      </c>
      <c r="AF410" s="4">
        <f ca="1">$M$410*$Z$410</f>
        <v>8699.0126566366453</v>
      </c>
      <c r="AG410" s="4">
        <f ca="1">$O$410*$AA$410</f>
        <v>5273.9333672913353</v>
      </c>
    </row>
    <row r="411" spans="1:33" ht="11.25" customHeight="1" x14ac:dyDescent="0.3">
      <c r="A411" s="3" t="s">
        <v>21</v>
      </c>
      <c r="B411" s="3" t="s">
        <v>22</v>
      </c>
      <c r="C411" s="3" t="s">
        <v>23</v>
      </c>
      <c r="D411" s="3" t="s">
        <v>24</v>
      </c>
      <c r="E411" s="3" t="s">
        <v>32</v>
      </c>
      <c r="F411" s="3" t="s">
        <v>25</v>
      </c>
      <c r="G411" s="3" t="s">
        <v>25</v>
      </c>
      <c r="H411" s="3" t="s">
        <v>25</v>
      </c>
      <c r="I411" s="6">
        <v>44562</v>
      </c>
      <c r="J411" s="4">
        <v>0</v>
      </c>
      <c r="K411" s="4">
        <v>0</v>
      </c>
      <c r="L411" s="4">
        <v>47.101999999999997</v>
      </c>
      <c r="M411" s="4">
        <v>47.101999999999997</v>
      </c>
      <c r="N411" s="4">
        <v>47.101999999999997</v>
      </c>
      <c r="O411" s="4">
        <v>47.101999999999997</v>
      </c>
      <c r="P411" s="4">
        <v>453</v>
      </c>
      <c r="Q411" s="3" t="s">
        <v>26</v>
      </c>
      <c r="R411" s="3">
        <v>0</v>
      </c>
      <c r="S411" s="4">
        <v>0</v>
      </c>
      <c r="T411" s="4">
        <v>23</v>
      </c>
      <c r="U411" s="4">
        <v>63</v>
      </c>
      <c r="V411" s="4">
        <f>IF(ISERROR(VLOOKUP($S$411,'TAR FIN'!$A$1:$O$91,15,0)),0,VLOOKUP($S$411,'TAR FIN'!$A$1:$O$91,15,0))</f>
        <v>0</v>
      </c>
      <c r="W411" s="4">
        <f>IF(ISERROR(VLOOKUP($T$411,'TAR FIN'!$A$1:$O$91,15,0)),0,VLOOKUP($T$411,'TAR FIN'!$A$1:$O$91,15,0))</f>
        <v>320.44</v>
      </c>
      <c r="X411" s="4">
        <f>IF(ISERROR(VLOOKUP($U$411,'TAR FIN'!$A$1:$O$91,15,0)),0,VLOOKUP($U$411,'TAR FIN'!$A$1:$O$91,15,0))</f>
        <v>199.03</v>
      </c>
      <c r="Y411" s="4"/>
      <c r="Z411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1" s="4">
        <f ca="1">('TE BE'!$AB$18+'TE BF_350'!$AB$18+'TE CVA'!$AB$18)*(1-CUSTOS!$M$37)</f>
        <v>205.52329867469447</v>
      </c>
      <c r="AB411" s="4">
        <f>$K$411*$V$411</f>
        <v>0</v>
      </c>
      <c r="AC411" s="4">
        <f>$M$411*$W$411</f>
        <v>15093.364879999999</v>
      </c>
      <c r="AD411" s="4">
        <f>$O$411*$X$411</f>
        <v>9374.7110599999996</v>
      </c>
      <c r="AE411" s="4">
        <f>$K$411*$Y$411</f>
        <v>0</v>
      </c>
      <c r="AF411" s="4">
        <f ca="1">$M$411*$Z$411</f>
        <v>15967.456223564912</v>
      </c>
      <c r="AG411" s="4">
        <f ca="1">$O$411*$AA$411</f>
        <v>9680.5584141754589</v>
      </c>
    </row>
    <row r="412" spans="1:33" ht="11.25" customHeight="1" x14ac:dyDescent="0.3">
      <c r="A412" s="3" t="s">
        <v>27</v>
      </c>
      <c r="B412" s="3" t="s">
        <v>22</v>
      </c>
      <c r="C412" s="3" t="s">
        <v>23</v>
      </c>
      <c r="D412" s="3" t="s">
        <v>24</v>
      </c>
      <c r="E412" s="3" t="s">
        <v>32</v>
      </c>
      <c r="F412" s="3" t="s">
        <v>25</v>
      </c>
      <c r="G412" s="3" t="s">
        <v>25</v>
      </c>
      <c r="H412" s="3" t="s">
        <v>25</v>
      </c>
      <c r="I412" s="6">
        <v>44562</v>
      </c>
      <c r="J412" s="4">
        <v>0</v>
      </c>
      <c r="K412" s="4">
        <v>0</v>
      </c>
      <c r="L412" s="4">
        <v>0.24</v>
      </c>
      <c r="M412" s="4">
        <v>0.24</v>
      </c>
      <c r="N412" s="4">
        <v>0.24</v>
      </c>
      <c r="O412" s="4">
        <v>0.24</v>
      </c>
      <c r="P412" s="4">
        <v>0</v>
      </c>
      <c r="Q412" s="3" t="s">
        <v>26</v>
      </c>
      <c r="R412" s="3">
        <v>0</v>
      </c>
      <c r="S412" s="4">
        <v>0</v>
      </c>
      <c r="T412" s="4">
        <v>23</v>
      </c>
      <c r="U412" s="4">
        <v>63</v>
      </c>
      <c r="V412" s="4">
        <f>IF(ISERROR(VLOOKUP($S$412,'TAR FIN'!$A$1:$O$91,15,0)),0,VLOOKUP($S$412,'TAR FIN'!$A$1:$O$91,15,0))</f>
        <v>0</v>
      </c>
      <c r="W412" s="4">
        <f>IF(ISERROR(VLOOKUP($T$412,'TAR FIN'!$A$1:$O$91,15,0)),0,VLOOKUP($T$412,'TAR FIN'!$A$1:$O$91,15,0))</f>
        <v>320.44</v>
      </c>
      <c r="X412" s="4">
        <f>IF(ISERROR(VLOOKUP($U$412,'TAR FIN'!$A$1:$O$91,15,0)),0,VLOOKUP($U$412,'TAR FIN'!$A$1:$O$91,15,0))</f>
        <v>199.03</v>
      </c>
      <c r="Y412" s="4"/>
      <c r="Z412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2" s="4">
        <f ca="1">('TE BE'!$AB$18+'TE BF_350'!$AB$18+'TE CVA'!$AB$18)*(1-CUSTOS!$M$37)</f>
        <v>205.52329867469447</v>
      </c>
      <c r="AB412" s="4">
        <f>$K$412*$V$412</f>
        <v>0</v>
      </c>
      <c r="AC412" s="4">
        <f>$M$412*$W$412</f>
        <v>76.905599999999993</v>
      </c>
      <c r="AD412" s="4">
        <f>$O$412*$X$412</f>
        <v>47.767199999999995</v>
      </c>
      <c r="AE412" s="4">
        <f>$K$412*$Y$412</f>
        <v>0</v>
      </c>
      <c r="AF412" s="4">
        <f ca="1">$M$412*$Z$412</f>
        <v>81.359379509481101</v>
      </c>
      <c r="AG412" s="4">
        <f ca="1">$O$412*$AA$412</f>
        <v>49.325591681926674</v>
      </c>
    </row>
    <row r="413" spans="1:33" ht="11.25" customHeight="1" x14ac:dyDescent="0.3">
      <c r="A413" s="3" t="s">
        <v>21</v>
      </c>
      <c r="B413" s="3" t="s">
        <v>22</v>
      </c>
      <c r="C413" s="3" t="s">
        <v>23</v>
      </c>
      <c r="D413" s="3" t="s">
        <v>24</v>
      </c>
      <c r="E413" s="3" t="s">
        <v>32</v>
      </c>
      <c r="F413" s="3" t="s">
        <v>25</v>
      </c>
      <c r="G413" s="3" t="s">
        <v>25</v>
      </c>
      <c r="H413" s="3" t="s">
        <v>25</v>
      </c>
      <c r="I413" s="6">
        <v>44593</v>
      </c>
      <c r="J413" s="4">
        <v>0</v>
      </c>
      <c r="K413" s="4">
        <v>0</v>
      </c>
      <c r="L413" s="4">
        <v>70.347999999999999</v>
      </c>
      <c r="M413" s="4">
        <v>70.347999999999999</v>
      </c>
      <c r="N413" s="4">
        <v>70.347999999999999</v>
      </c>
      <c r="O413" s="4">
        <v>70.347999999999999</v>
      </c>
      <c r="P413" s="4">
        <v>564</v>
      </c>
      <c r="Q413" s="3" t="s">
        <v>26</v>
      </c>
      <c r="R413" s="3">
        <v>0</v>
      </c>
      <c r="S413" s="4">
        <v>0</v>
      </c>
      <c r="T413" s="4">
        <v>23</v>
      </c>
      <c r="U413" s="4">
        <v>63</v>
      </c>
      <c r="V413" s="4">
        <f>IF(ISERROR(VLOOKUP($S$413,'TAR FIN'!$A$1:$O$91,15,0)),0,VLOOKUP($S$413,'TAR FIN'!$A$1:$O$91,15,0))</f>
        <v>0</v>
      </c>
      <c r="W413" s="4">
        <f>IF(ISERROR(VLOOKUP($T$413,'TAR FIN'!$A$1:$O$91,15,0)),0,VLOOKUP($T$413,'TAR FIN'!$A$1:$O$91,15,0))</f>
        <v>320.44</v>
      </c>
      <c r="X413" s="4">
        <f>IF(ISERROR(VLOOKUP($U$413,'TAR FIN'!$A$1:$O$91,15,0)),0,VLOOKUP($U$413,'TAR FIN'!$A$1:$O$91,15,0))</f>
        <v>199.03</v>
      </c>
      <c r="Y413" s="4"/>
      <c r="Z413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3" s="4">
        <f ca="1">('TE BE'!$AB$18+'TE BF_350'!$AB$18+'TE CVA'!$AB$18)*(1-CUSTOS!$M$37)</f>
        <v>205.52329867469447</v>
      </c>
      <c r="AB413" s="4">
        <f>$K$413*$V$413</f>
        <v>0</v>
      </c>
      <c r="AC413" s="4">
        <f>$M$413*$W$413</f>
        <v>22542.313119999999</v>
      </c>
      <c r="AD413" s="4">
        <f>$O$413*$X$413</f>
        <v>14001.362439999999</v>
      </c>
      <c r="AE413" s="4">
        <f>$K$413*$Y$413</f>
        <v>0</v>
      </c>
      <c r="AF413" s="4">
        <f ca="1">$M$413*$Z$413</f>
        <v>23847.790123887404</v>
      </c>
      <c r="AG413" s="4">
        <f ca="1">$O$413*$AA$413</f>
        <v>14458.153015167407</v>
      </c>
    </row>
    <row r="414" spans="1:33" ht="11.25" customHeight="1" x14ac:dyDescent="0.3">
      <c r="A414" s="3" t="s">
        <v>27</v>
      </c>
      <c r="B414" s="3" t="s">
        <v>22</v>
      </c>
      <c r="C414" s="3" t="s">
        <v>23</v>
      </c>
      <c r="D414" s="3" t="s">
        <v>24</v>
      </c>
      <c r="E414" s="3" t="s">
        <v>32</v>
      </c>
      <c r="F414" s="3" t="s">
        <v>25</v>
      </c>
      <c r="G414" s="3" t="s">
        <v>25</v>
      </c>
      <c r="H414" s="3" t="s">
        <v>25</v>
      </c>
      <c r="I414" s="6">
        <v>44593</v>
      </c>
      <c r="J414" s="4">
        <v>0</v>
      </c>
      <c r="K414" s="4">
        <v>0</v>
      </c>
      <c r="L414" s="4">
        <v>-0.61499999999999999</v>
      </c>
      <c r="M414" s="4">
        <v>-0.61499999999999999</v>
      </c>
      <c r="N414" s="4">
        <v>-0.61499999999999999</v>
      </c>
      <c r="O414" s="4">
        <v>-0.61499999999999999</v>
      </c>
      <c r="P414" s="4">
        <v>0</v>
      </c>
      <c r="Q414" s="3" t="s">
        <v>26</v>
      </c>
      <c r="R414" s="3">
        <v>0</v>
      </c>
      <c r="S414" s="4">
        <v>0</v>
      </c>
      <c r="T414" s="4">
        <v>23</v>
      </c>
      <c r="U414" s="4">
        <v>63</v>
      </c>
      <c r="V414" s="4">
        <f>IF(ISERROR(VLOOKUP($S$414,'TAR FIN'!$A$1:$O$91,15,0)),0,VLOOKUP($S$414,'TAR FIN'!$A$1:$O$91,15,0))</f>
        <v>0</v>
      </c>
      <c r="W414" s="4">
        <f>IF(ISERROR(VLOOKUP($T$414,'TAR FIN'!$A$1:$O$91,15,0)),0,VLOOKUP($T$414,'TAR FIN'!$A$1:$O$91,15,0))</f>
        <v>320.44</v>
      </c>
      <c r="X414" s="4">
        <f>IF(ISERROR(VLOOKUP($U$414,'TAR FIN'!$A$1:$O$91,15,0)),0,VLOOKUP($U$414,'TAR FIN'!$A$1:$O$91,15,0))</f>
        <v>199.03</v>
      </c>
      <c r="Y414" s="4"/>
      <c r="Z414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4" s="4">
        <f ca="1">('TE BE'!$AB$18+'TE BF_350'!$AB$18+'TE CVA'!$AB$18)*(1-CUSTOS!$M$37)</f>
        <v>205.52329867469447</v>
      </c>
      <c r="AB414" s="4">
        <f>$K$414*$V$414</f>
        <v>0</v>
      </c>
      <c r="AC414" s="4">
        <f>$M$414*$W$414</f>
        <v>-197.07059999999998</v>
      </c>
      <c r="AD414" s="4">
        <f>$O$414*$X$414</f>
        <v>-122.40344999999999</v>
      </c>
      <c r="AE414" s="4">
        <f>$K$414*$Y$414</f>
        <v>0</v>
      </c>
      <c r="AF414" s="4">
        <f ca="1">$M$414*$Z$414</f>
        <v>-208.48340999304534</v>
      </c>
      <c r="AG414" s="4">
        <f ca="1">$O$414*$AA$414</f>
        <v>-126.39682868493711</v>
      </c>
    </row>
    <row r="415" spans="1:33" ht="11.25" customHeight="1" x14ac:dyDescent="0.3">
      <c r="A415" s="3" t="s">
        <v>28</v>
      </c>
      <c r="B415" s="3" t="s">
        <v>22</v>
      </c>
      <c r="C415" s="3" t="s">
        <v>23</v>
      </c>
      <c r="D415" s="3" t="s">
        <v>24</v>
      </c>
      <c r="E415" s="3" t="s">
        <v>32</v>
      </c>
      <c r="F415" s="3" t="s">
        <v>25</v>
      </c>
      <c r="G415" s="3" t="s">
        <v>25</v>
      </c>
      <c r="H415" s="3" t="s">
        <v>25</v>
      </c>
      <c r="I415" s="6">
        <v>44593</v>
      </c>
      <c r="J415" s="4">
        <v>0</v>
      </c>
      <c r="K415" s="4">
        <v>0</v>
      </c>
      <c r="L415" s="4">
        <v>1.4E-2</v>
      </c>
      <c r="M415" s="4">
        <v>1.4E-2</v>
      </c>
      <c r="N415" s="4">
        <v>1.4E-2</v>
      </c>
      <c r="O415" s="4">
        <v>1.4E-2</v>
      </c>
      <c r="P415" s="4">
        <v>1</v>
      </c>
      <c r="Q415" s="3" t="s">
        <v>26</v>
      </c>
      <c r="R415" s="3">
        <v>0</v>
      </c>
      <c r="S415" s="4">
        <v>0</v>
      </c>
      <c r="T415" s="4">
        <v>23</v>
      </c>
      <c r="U415" s="4">
        <v>63</v>
      </c>
      <c r="V415" s="4">
        <f>IF(ISERROR(VLOOKUP($S$415,'TAR FIN'!$A$1:$O$91,15,0)),0,VLOOKUP($S$415,'TAR FIN'!$A$1:$O$91,15,0))</f>
        <v>0</v>
      </c>
      <c r="W415" s="4">
        <f>IF(ISERROR(VLOOKUP($T$415,'TAR FIN'!$A$1:$O$91,15,0)),0,VLOOKUP($T$415,'TAR FIN'!$A$1:$O$91,15,0))</f>
        <v>320.44</v>
      </c>
      <c r="X415" s="4">
        <f>IF(ISERROR(VLOOKUP($U$415,'TAR FIN'!$A$1:$O$91,15,0)),0,VLOOKUP($U$415,'TAR FIN'!$A$1:$O$91,15,0))</f>
        <v>199.03</v>
      </c>
      <c r="Y415" s="4"/>
      <c r="Z415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5" s="4">
        <f ca="1">('TE BE'!$AB$18+'TE BF_350'!$AB$18+'TE CVA'!$AB$18)*(1-CUSTOS!$M$37)</f>
        <v>205.52329867469447</v>
      </c>
      <c r="AB415" s="4">
        <f>$K$415*$V$415</f>
        <v>0</v>
      </c>
      <c r="AC415" s="4">
        <f>$M$415*$W$415</f>
        <v>4.4861599999999999</v>
      </c>
      <c r="AD415" s="4">
        <f>$O$415*$X$415</f>
        <v>2.7864200000000001</v>
      </c>
      <c r="AE415" s="4">
        <f>$K$415*$Y$415</f>
        <v>0</v>
      </c>
      <c r="AF415" s="4">
        <f ca="1">$M$415*$Z$415</f>
        <v>4.7459638047197314</v>
      </c>
      <c r="AG415" s="4">
        <f ca="1">$O$415*$AA$415</f>
        <v>2.8773261814457225</v>
      </c>
    </row>
    <row r="416" spans="1:33" ht="11.25" customHeight="1" x14ac:dyDescent="0.3">
      <c r="A416" s="3" t="s">
        <v>21</v>
      </c>
      <c r="B416" s="3" t="s">
        <v>22</v>
      </c>
      <c r="C416" s="3" t="s">
        <v>23</v>
      </c>
      <c r="D416" s="3" t="s">
        <v>24</v>
      </c>
      <c r="E416" s="3" t="s">
        <v>32</v>
      </c>
      <c r="F416" s="3" t="s">
        <v>25</v>
      </c>
      <c r="G416" s="3" t="s">
        <v>25</v>
      </c>
      <c r="H416" s="3" t="s">
        <v>25</v>
      </c>
      <c r="I416" s="6">
        <v>44621</v>
      </c>
      <c r="J416" s="4">
        <v>0</v>
      </c>
      <c r="K416" s="4">
        <v>0</v>
      </c>
      <c r="L416" s="4">
        <v>43.421999999999997</v>
      </c>
      <c r="M416" s="4">
        <v>43.421999999999997</v>
      </c>
      <c r="N416" s="4">
        <v>43.421999999999997</v>
      </c>
      <c r="O416" s="4">
        <v>43.421999999999997</v>
      </c>
      <c r="P416" s="4">
        <v>447</v>
      </c>
      <c r="Q416" s="3" t="s">
        <v>26</v>
      </c>
      <c r="R416" s="3">
        <v>0</v>
      </c>
      <c r="S416" s="4">
        <v>0</v>
      </c>
      <c r="T416" s="4">
        <v>23</v>
      </c>
      <c r="U416" s="4">
        <v>63</v>
      </c>
      <c r="V416" s="4">
        <f>IF(ISERROR(VLOOKUP($S$416,'TAR FIN'!$A$1:$O$91,15,0)),0,VLOOKUP($S$416,'TAR FIN'!$A$1:$O$91,15,0))</f>
        <v>0</v>
      </c>
      <c r="W416" s="4">
        <f>IF(ISERROR(VLOOKUP($T$416,'TAR FIN'!$A$1:$O$91,15,0)),0,VLOOKUP($T$416,'TAR FIN'!$A$1:$O$91,15,0))</f>
        <v>320.44</v>
      </c>
      <c r="X416" s="4">
        <f>IF(ISERROR(VLOOKUP($U$416,'TAR FIN'!$A$1:$O$91,15,0)),0,VLOOKUP($U$416,'TAR FIN'!$A$1:$O$91,15,0))</f>
        <v>199.03</v>
      </c>
      <c r="Y416" s="4"/>
      <c r="Z416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6" s="4">
        <f ca="1">('TE BE'!$AB$18+'TE BF_350'!$AB$18+'TE CVA'!$AB$18)*(1-CUSTOS!$M$37)</f>
        <v>205.52329867469447</v>
      </c>
      <c r="AB416" s="4">
        <f>$K$416*$V$416</f>
        <v>0</v>
      </c>
      <c r="AC416" s="4">
        <f>$M$416*$W$416</f>
        <v>13914.14568</v>
      </c>
      <c r="AD416" s="4">
        <f>$O$416*$X$416</f>
        <v>8642.2806600000004</v>
      </c>
      <c r="AE416" s="4">
        <f>$K$416*$Y$416</f>
        <v>0</v>
      </c>
      <c r="AF416" s="4">
        <f ca="1">$M$416*$Z$416</f>
        <v>14719.945737752867</v>
      </c>
      <c r="AG416" s="4">
        <f ca="1">$O$416*$AA$416</f>
        <v>8924.2326750525826</v>
      </c>
    </row>
    <row r="417" spans="1:33" ht="11.25" customHeight="1" x14ac:dyDescent="0.3">
      <c r="A417" s="3" t="s">
        <v>27</v>
      </c>
      <c r="B417" s="3" t="s">
        <v>22</v>
      </c>
      <c r="C417" s="3" t="s">
        <v>23</v>
      </c>
      <c r="D417" s="3" t="s">
        <v>24</v>
      </c>
      <c r="E417" s="3" t="s">
        <v>32</v>
      </c>
      <c r="F417" s="3" t="s">
        <v>25</v>
      </c>
      <c r="G417" s="3" t="s">
        <v>25</v>
      </c>
      <c r="H417" s="3" t="s">
        <v>25</v>
      </c>
      <c r="I417" s="6">
        <v>44621</v>
      </c>
      <c r="J417" s="4">
        <v>0</v>
      </c>
      <c r="K417" s="4">
        <v>0</v>
      </c>
      <c r="L417" s="4">
        <v>-0.43099999999999999</v>
      </c>
      <c r="M417" s="4">
        <v>-0.43099999999999999</v>
      </c>
      <c r="N417" s="4">
        <v>-0.43099999999999999</v>
      </c>
      <c r="O417" s="4">
        <v>-0.43099999999999999</v>
      </c>
      <c r="P417" s="4">
        <v>0</v>
      </c>
      <c r="Q417" s="3" t="s">
        <v>26</v>
      </c>
      <c r="R417" s="3">
        <v>0</v>
      </c>
      <c r="S417" s="4">
        <v>0</v>
      </c>
      <c r="T417" s="4">
        <v>23</v>
      </c>
      <c r="U417" s="4">
        <v>63</v>
      </c>
      <c r="V417" s="4">
        <f>IF(ISERROR(VLOOKUP($S$417,'TAR FIN'!$A$1:$O$91,15,0)),0,VLOOKUP($S$417,'TAR FIN'!$A$1:$O$91,15,0))</f>
        <v>0</v>
      </c>
      <c r="W417" s="4">
        <f>IF(ISERROR(VLOOKUP($T$417,'TAR FIN'!$A$1:$O$91,15,0)),0,VLOOKUP($T$417,'TAR FIN'!$A$1:$O$91,15,0))</f>
        <v>320.44</v>
      </c>
      <c r="X417" s="4">
        <f>IF(ISERROR(VLOOKUP($U$417,'TAR FIN'!$A$1:$O$91,15,0)),0,VLOOKUP($U$417,'TAR FIN'!$A$1:$O$91,15,0))</f>
        <v>199.03</v>
      </c>
      <c r="Y417" s="4"/>
      <c r="Z417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7" s="4">
        <f ca="1">('TE BE'!$AB$18+'TE BF_350'!$AB$18+'TE CVA'!$AB$18)*(1-CUSTOS!$M$37)</f>
        <v>205.52329867469447</v>
      </c>
      <c r="AB417" s="4">
        <f>$K$417*$V$417</f>
        <v>0</v>
      </c>
      <c r="AC417" s="4">
        <f>$M$417*$W$417</f>
        <v>-138.10963999999998</v>
      </c>
      <c r="AD417" s="4">
        <f>$O$417*$X$417</f>
        <v>-85.781930000000003</v>
      </c>
      <c r="AE417" s="4">
        <f>$K$417*$Y$417</f>
        <v>0</v>
      </c>
      <c r="AF417" s="4">
        <f ca="1">$M$417*$Z$417</f>
        <v>-146.10788570244316</v>
      </c>
      <c r="AG417" s="4">
        <f ca="1">$O$417*$AA$417</f>
        <v>-88.580541728793321</v>
      </c>
    </row>
    <row r="418" spans="1:33" ht="11.25" customHeight="1" x14ac:dyDescent="0.3">
      <c r="A418" s="3" t="s">
        <v>21</v>
      </c>
      <c r="B418" s="3" t="s">
        <v>22</v>
      </c>
      <c r="C418" s="3" t="s">
        <v>23</v>
      </c>
      <c r="D418" s="3" t="s">
        <v>24</v>
      </c>
      <c r="E418" s="3" t="s">
        <v>32</v>
      </c>
      <c r="F418" s="3" t="s">
        <v>25</v>
      </c>
      <c r="G418" s="3" t="s">
        <v>25</v>
      </c>
      <c r="H418" s="3" t="s">
        <v>25</v>
      </c>
      <c r="I418" s="6">
        <v>44652</v>
      </c>
      <c r="J418" s="4">
        <v>0</v>
      </c>
      <c r="K418" s="4">
        <v>0</v>
      </c>
      <c r="L418" s="4">
        <v>17.241</v>
      </c>
      <c r="M418" s="4">
        <v>17.241</v>
      </c>
      <c r="N418" s="4">
        <v>17.241</v>
      </c>
      <c r="O418" s="4">
        <v>17.241</v>
      </c>
      <c r="P418" s="4">
        <v>245</v>
      </c>
      <c r="Q418" s="3" t="s">
        <v>26</v>
      </c>
      <c r="R418" s="3">
        <v>0</v>
      </c>
      <c r="S418" s="4">
        <v>0</v>
      </c>
      <c r="T418" s="4">
        <v>23</v>
      </c>
      <c r="U418" s="4">
        <v>63</v>
      </c>
      <c r="V418" s="4">
        <f>IF(ISERROR(VLOOKUP($S$418,'TAR FIN'!$A$1:$O$91,15,0)),0,VLOOKUP($S$418,'TAR FIN'!$A$1:$O$91,15,0))</f>
        <v>0</v>
      </c>
      <c r="W418" s="4">
        <f>IF(ISERROR(VLOOKUP($T$418,'TAR FIN'!$A$1:$O$91,15,0)),0,VLOOKUP($T$418,'TAR FIN'!$A$1:$O$91,15,0))</f>
        <v>320.44</v>
      </c>
      <c r="X418" s="4">
        <f>IF(ISERROR(VLOOKUP($U$418,'TAR FIN'!$A$1:$O$91,15,0)),0,VLOOKUP($U$418,'TAR FIN'!$A$1:$O$91,15,0))</f>
        <v>199.03</v>
      </c>
      <c r="Y418" s="4"/>
      <c r="Z418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8" s="4">
        <f ca="1">('TE BE'!$AB$18+'TE BF_350'!$AB$18+'TE CVA'!$AB$18)*(1-CUSTOS!$M$37)</f>
        <v>205.52329867469447</v>
      </c>
      <c r="AB418" s="4">
        <f>$K$418*$V$418</f>
        <v>0</v>
      </c>
      <c r="AC418" s="4">
        <f>$M$418*$W$418</f>
        <v>5524.70604</v>
      </c>
      <c r="AD418" s="4">
        <f>$O$418*$X$418</f>
        <v>3431.4762299999998</v>
      </c>
      <c r="AE418" s="4">
        <f>$K$418*$Y$418</f>
        <v>0</v>
      </c>
      <c r="AF418" s="4">
        <f ca="1">$M$418*$Z$418</f>
        <v>5844.654425512349</v>
      </c>
      <c r="AG418" s="4">
        <f ca="1">$O$418*$AA$418</f>
        <v>3543.4271924504073</v>
      </c>
    </row>
    <row r="419" spans="1:33" ht="11.25" customHeight="1" x14ac:dyDescent="0.3">
      <c r="A419" s="3" t="s">
        <v>21</v>
      </c>
      <c r="B419" s="3" t="s">
        <v>22</v>
      </c>
      <c r="C419" s="3" t="s">
        <v>23</v>
      </c>
      <c r="D419" s="3" t="s">
        <v>24</v>
      </c>
      <c r="E419" s="3" t="s">
        <v>32</v>
      </c>
      <c r="F419" s="3" t="s">
        <v>25</v>
      </c>
      <c r="G419" s="3" t="s">
        <v>25</v>
      </c>
      <c r="H419" s="3" t="s">
        <v>25</v>
      </c>
      <c r="I419" s="6">
        <v>44682</v>
      </c>
      <c r="J419" s="4">
        <v>0</v>
      </c>
      <c r="K419" s="4">
        <v>0</v>
      </c>
      <c r="L419" s="4">
        <v>22.236000000000001</v>
      </c>
      <c r="M419" s="4">
        <v>22.236000000000001</v>
      </c>
      <c r="N419" s="4">
        <v>22.236000000000001</v>
      </c>
      <c r="O419" s="4">
        <v>22.236000000000001</v>
      </c>
      <c r="P419" s="4">
        <v>294</v>
      </c>
      <c r="Q419" s="3" t="s">
        <v>26</v>
      </c>
      <c r="R419" s="3">
        <v>0</v>
      </c>
      <c r="S419" s="4">
        <v>0</v>
      </c>
      <c r="T419" s="4">
        <v>23</v>
      </c>
      <c r="U419" s="4">
        <v>63</v>
      </c>
      <c r="V419" s="4">
        <f>IF(ISERROR(VLOOKUP($S$419,'TAR FIN'!$A$1:$O$91,15,0)),0,VLOOKUP($S$419,'TAR FIN'!$A$1:$O$91,15,0))</f>
        <v>0</v>
      </c>
      <c r="W419" s="4">
        <f>IF(ISERROR(VLOOKUP($T$419,'TAR FIN'!$A$1:$O$91,15,0)),0,VLOOKUP($T$419,'TAR FIN'!$A$1:$O$91,15,0))</f>
        <v>320.44</v>
      </c>
      <c r="X419" s="4">
        <f>IF(ISERROR(VLOOKUP($U$419,'TAR FIN'!$A$1:$O$91,15,0)),0,VLOOKUP($U$419,'TAR FIN'!$A$1:$O$91,15,0))</f>
        <v>199.03</v>
      </c>
      <c r="Y419" s="4"/>
      <c r="Z419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19" s="4">
        <f ca="1">('TE BE'!$AB$18+'TE BF_350'!$AB$18+'TE CVA'!$AB$18)*(1-CUSTOS!$M$37)</f>
        <v>205.52329867469447</v>
      </c>
      <c r="AB419" s="4">
        <f>$K$419*$V$419</f>
        <v>0</v>
      </c>
      <c r="AC419" s="4">
        <f>$M$419*$W$419</f>
        <v>7125.3038400000005</v>
      </c>
      <c r="AD419" s="4">
        <f>$O$419*$X$419</f>
        <v>4425.6310800000001</v>
      </c>
      <c r="AE419" s="4">
        <f>$K$419*$Y$419</f>
        <v>0</v>
      </c>
      <c r="AF419" s="4">
        <f ca="1">$M$419*$Z$419</f>
        <v>7537.9465115534249</v>
      </c>
      <c r="AG419" s="4">
        <f ca="1">$O$419*$AA$419</f>
        <v>4570.0160693305061</v>
      </c>
    </row>
    <row r="420" spans="1:33" ht="11.25" customHeight="1" x14ac:dyDescent="0.3">
      <c r="A420" s="3" t="s">
        <v>21</v>
      </c>
      <c r="B420" s="3" t="s">
        <v>22</v>
      </c>
      <c r="C420" s="3" t="s">
        <v>23</v>
      </c>
      <c r="D420" s="3" t="s">
        <v>24</v>
      </c>
      <c r="E420" s="3" t="s">
        <v>32</v>
      </c>
      <c r="F420" s="3" t="s">
        <v>25</v>
      </c>
      <c r="G420" s="3" t="s">
        <v>25</v>
      </c>
      <c r="H420" s="3" t="s">
        <v>25</v>
      </c>
      <c r="I420" s="6">
        <v>44713</v>
      </c>
      <c r="J420" s="4">
        <v>0</v>
      </c>
      <c r="K420" s="4">
        <v>0</v>
      </c>
      <c r="L420" s="4">
        <v>25.146999999999998</v>
      </c>
      <c r="M420" s="4">
        <v>25.146999999999998</v>
      </c>
      <c r="N420" s="4">
        <v>25.146999999999998</v>
      </c>
      <c r="O420" s="4">
        <v>25.146999999999998</v>
      </c>
      <c r="P420" s="4">
        <v>316</v>
      </c>
      <c r="Q420" s="3" t="s">
        <v>26</v>
      </c>
      <c r="R420" s="3">
        <v>0</v>
      </c>
      <c r="S420" s="4">
        <v>0</v>
      </c>
      <c r="T420" s="4">
        <v>23</v>
      </c>
      <c r="U420" s="4">
        <v>63</v>
      </c>
      <c r="V420" s="4">
        <f>IF(ISERROR(VLOOKUP($S$420,'TAR FIN'!$A$1:$O$91,15,0)),0,VLOOKUP($S$420,'TAR FIN'!$A$1:$O$91,15,0))</f>
        <v>0</v>
      </c>
      <c r="W420" s="4">
        <f>IF(ISERROR(VLOOKUP($T$420,'TAR FIN'!$A$1:$O$91,15,0)),0,VLOOKUP($T$420,'TAR FIN'!$A$1:$O$91,15,0))</f>
        <v>320.44</v>
      </c>
      <c r="X420" s="4">
        <f>IF(ISERROR(VLOOKUP($U$420,'TAR FIN'!$A$1:$O$91,15,0)),0,VLOOKUP($U$420,'TAR FIN'!$A$1:$O$91,15,0))</f>
        <v>199.03</v>
      </c>
      <c r="Y420" s="4"/>
      <c r="Z420" s="4">
        <f ca="1">('TUSD BE'!$AM$27+'TUSD BF_350'!$AM$27+'TUSD CVA'!$AM$27-('TUSD BE'!$P$27+'TUSD BF_350'!$P$27+'TUSD CVA'!$P$27)-('TUSD BE'!$Q$27+'TUSD BF_350'!$Q$27+'TUSD CVA'!$Q$27)-('TUSD BE'!$R$27+'TUSD BF_350'!$R$27+'TUSD CVA'!$R$27))*(1-CUSTOS!$M$37)</f>
        <v>338.99741462283794</v>
      </c>
      <c r="AA420" s="4">
        <f ca="1">('TE BE'!$AB$18+'TE BF_350'!$AB$18+'TE CVA'!$AB$18)*(1-CUSTOS!$M$37)</f>
        <v>205.52329867469447</v>
      </c>
      <c r="AB420" s="4">
        <f>$K$420*$V$420</f>
        <v>0</v>
      </c>
      <c r="AC420" s="4">
        <f>$M$420*$W$420</f>
        <v>8058.1046799999995</v>
      </c>
      <c r="AD420" s="4">
        <f>$O$420*$X$420</f>
        <v>5005.0074100000002</v>
      </c>
      <c r="AE420" s="4">
        <f>$K$420*$Y$420</f>
        <v>0</v>
      </c>
      <c r="AF420" s="4">
        <f ca="1">$M$420*$Z$420</f>
        <v>8524.7679855205042</v>
      </c>
      <c r="AG420" s="4">
        <f ca="1">$O$420*$AA$420</f>
        <v>5168.2943917725415</v>
      </c>
    </row>
    <row r="421" spans="1:33" ht="11.25" customHeight="1" x14ac:dyDescent="0.3">
      <c r="A421" s="3" t="s">
        <v>21</v>
      </c>
      <c r="B421" s="3" t="s">
        <v>42</v>
      </c>
      <c r="C421" s="3" t="s">
        <v>33</v>
      </c>
      <c r="D421" s="3" t="s">
        <v>43</v>
      </c>
      <c r="E421" s="3" t="s">
        <v>25</v>
      </c>
      <c r="F421" s="3" t="s">
        <v>25</v>
      </c>
      <c r="G421" s="3" t="s">
        <v>25</v>
      </c>
      <c r="H421" s="3" t="s">
        <v>35</v>
      </c>
      <c r="I421" s="6">
        <v>44409</v>
      </c>
      <c r="J421" s="4">
        <v>0</v>
      </c>
      <c r="K421" s="4">
        <v>0</v>
      </c>
      <c r="L421" s="4">
        <v>0.13700000000000001</v>
      </c>
      <c r="M421" s="4">
        <v>0.13700000000000001</v>
      </c>
      <c r="N421" s="4">
        <v>0.13700000000000001</v>
      </c>
      <c r="O421" s="4">
        <v>0.13700000000000001</v>
      </c>
      <c r="P421" s="4">
        <v>0</v>
      </c>
      <c r="Q421" s="3" t="s">
        <v>26</v>
      </c>
      <c r="R421" s="3">
        <v>0</v>
      </c>
      <c r="S421" s="4">
        <v>0</v>
      </c>
      <c r="T421" s="4">
        <v>31</v>
      </c>
      <c r="U421" s="4">
        <v>71</v>
      </c>
      <c r="V421" s="4">
        <f>IF(ISERROR(VLOOKUP($S$421,'TAR FIN'!$A$1:$O$91,15,0)),0,VLOOKUP($S$421,'TAR FIN'!$A$1:$O$91,15,0))</f>
        <v>0</v>
      </c>
      <c r="W421" s="4">
        <f>IF(ISERROR(VLOOKUP($T$421,'TAR FIN'!$A$1:$O$91,15,0)),0,VLOOKUP($T$421,'TAR FIN'!$A$1:$O$91,15,0))</f>
        <v>243.73</v>
      </c>
      <c r="X421" s="4">
        <f>IF(ISERROR(VLOOKUP($U$421,'TAR FIN'!$A$1:$O$91,15,0)),0,VLOOKUP($U$421,'TAR FIN'!$A$1:$O$91,15,0))</f>
        <v>167.16</v>
      </c>
      <c r="Y421" s="4"/>
      <c r="Z421" s="4">
        <f ca="1">('TUSD BE'!$AM$35+'TUSD BF_350'!$AM$35+'TUSD CVA'!$AM$35)*(1-CUSTOS!$M$38)</f>
        <v>308.75483518149031</v>
      </c>
      <c r="AA421" s="4">
        <f ca="1">('TE BE'!$AB$26+'TE BF_350'!$AB$26+'TE CVA'!$AB$26)*(1-CUSTOS!$M$38)</f>
        <v>184.1432479319173</v>
      </c>
      <c r="AB421" s="4">
        <f>$K$421*$V$421</f>
        <v>0</v>
      </c>
      <c r="AC421" s="4">
        <f>$M$421*$W$421</f>
        <v>33.391010000000001</v>
      </c>
      <c r="AD421" s="4">
        <f>$O$421*$X$421</f>
        <v>22.900920000000003</v>
      </c>
      <c r="AE421" s="4">
        <f>$K$421*$Y$421</f>
        <v>0</v>
      </c>
      <c r="AF421" s="4">
        <f ca="1">$M$421*$Z$421</f>
        <v>42.299412419864176</v>
      </c>
      <c r="AG421" s="4">
        <f ca="1">$O$421*$AA$421</f>
        <v>25.227624966672671</v>
      </c>
    </row>
    <row r="422" spans="1:33" ht="11.25" customHeight="1" x14ac:dyDescent="0.3">
      <c r="A422" s="3" t="s">
        <v>21</v>
      </c>
      <c r="B422" s="3" t="s">
        <v>42</v>
      </c>
      <c r="C422" s="3" t="s">
        <v>33</v>
      </c>
      <c r="D422" s="3" t="s">
        <v>43</v>
      </c>
      <c r="E422" s="3" t="s">
        <v>25</v>
      </c>
      <c r="F422" s="3" t="s">
        <v>25</v>
      </c>
      <c r="G422" s="3" t="s">
        <v>25</v>
      </c>
      <c r="H422" s="3" t="s">
        <v>35</v>
      </c>
      <c r="I422" s="6">
        <v>44470</v>
      </c>
      <c r="J422" s="4">
        <v>0</v>
      </c>
      <c r="K422" s="4">
        <v>0</v>
      </c>
      <c r="L422" s="4">
        <v>0.44500000000000001</v>
      </c>
      <c r="M422" s="4">
        <v>0.44500000000000001</v>
      </c>
      <c r="N422" s="4">
        <v>0.44500000000000001</v>
      </c>
      <c r="O422" s="4">
        <v>0.44500000000000001</v>
      </c>
      <c r="P422" s="4">
        <v>0</v>
      </c>
      <c r="Q422" s="3" t="s">
        <v>26</v>
      </c>
      <c r="R422" s="3">
        <v>0</v>
      </c>
      <c r="S422" s="4">
        <v>0</v>
      </c>
      <c r="T422" s="4">
        <v>31</v>
      </c>
      <c r="U422" s="4">
        <v>71</v>
      </c>
      <c r="V422" s="4">
        <f>IF(ISERROR(VLOOKUP($S$422,'TAR FIN'!$A$1:$O$91,15,0)),0,VLOOKUP($S$422,'TAR FIN'!$A$1:$O$91,15,0))</f>
        <v>0</v>
      </c>
      <c r="W422" s="4">
        <f>IF(ISERROR(VLOOKUP($T$422,'TAR FIN'!$A$1:$O$91,15,0)),0,VLOOKUP($T$422,'TAR FIN'!$A$1:$O$91,15,0))</f>
        <v>243.73</v>
      </c>
      <c r="X422" s="4">
        <f>IF(ISERROR(VLOOKUP($U$422,'TAR FIN'!$A$1:$O$91,15,0)),0,VLOOKUP($U$422,'TAR FIN'!$A$1:$O$91,15,0))</f>
        <v>167.16</v>
      </c>
      <c r="Y422" s="4"/>
      <c r="Z422" s="4">
        <f ca="1">('TUSD BE'!$AM$35+'TUSD BF_350'!$AM$35+'TUSD CVA'!$AM$35)*(1-CUSTOS!$M$38)</f>
        <v>308.75483518149031</v>
      </c>
      <c r="AA422" s="4">
        <f ca="1">('TE BE'!$AB$26+'TE BF_350'!$AB$26+'TE CVA'!$AB$26)*(1-CUSTOS!$M$38)</f>
        <v>184.1432479319173</v>
      </c>
      <c r="AB422" s="4">
        <f>$K$422*$V$422</f>
        <v>0</v>
      </c>
      <c r="AC422" s="4">
        <f>$M$422*$W$422</f>
        <v>108.45985</v>
      </c>
      <c r="AD422" s="4">
        <f>$O$422*$X$422</f>
        <v>74.386200000000002</v>
      </c>
      <c r="AE422" s="4">
        <f>$K$422*$Y$422</f>
        <v>0</v>
      </c>
      <c r="AF422" s="4">
        <f ca="1">$M$422*$Z$422</f>
        <v>137.3959016557632</v>
      </c>
      <c r="AG422" s="4">
        <f ca="1">$O$422*$AA$422</f>
        <v>81.943745329703205</v>
      </c>
    </row>
    <row r="423" spans="1:33" ht="11.25" customHeight="1" x14ac:dyDescent="0.3">
      <c r="A423" s="3" t="s">
        <v>21</v>
      </c>
      <c r="B423" s="3" t="s">
        <v>42</v>
      </c>
      <c r="C423" s="3" t="s">
        <v>33</v>
      </c>
      <c r="D423" s="3" t="s">
        <v>43</v>
      </c>
      <c r="E423" s="3" t="s">
        <v>25</v>
      </c>
      <c r="F423" s="3" t="s">
        <v>25</v>
      </c>
      <c r="G423" s="3" t="s">
        <v>25</v>
      </c>
      <c r="H423" s="3" t="s">
        <v>35</v>
      </c>
      <c r="I423" s="6">
        <v>44501</v>
      </c>
      <c r="J423" s="4">
        <v>0</v>
      </c>
      <c r="K423" s="4">
        <v>0</v>
      </c>
      <c r="L423" s="4">
        <v>0.26400000000000001</v>
      </c>
      <c r="M423" s="4">
        <v>0.26400000000000001</v>
      </c>
      <c r="N423" s="4">
        <v>0.26400000000000001</v>
      </c>
      <c r="O423" s="4">
        <v>0.26400000000000001</v>
      </c>
      <c r="P423" s="4">
        <v>0</v>
      </c>
      <c r="Q423" s="3" t="s">
        <v>26</v>
      </c>
      <c r="R423" s="3">
        <v>0</v>
      </c>
      <c r="S423" s="4">
        <v>0</v>
      </c>
      <c r="T423" s="4">
        <v>31</v>
      </c>
      <c r="U423" s="4">
        <v>71</v>
      </c>
      <c r="V423" s="4">
        <f>IF(ISERROR(VLOOKUP($S$423,'TAR FIN'!$A$1:$O$91,15,0)),0,VLOOKUP($S$423,'TAR FIN'!$A$1:$O$91,15,0))</f>
        <v>0</v>
      </c>
      <c r="W423" s="4">
        <f>IF(ISERROR(VLOOKUP($T$423,'TAR FIN'!$A$1:$O$91,15,0)),0,VLOOKUP($T$423,'TAR FIN'!$A$1:$O$91,15,0))</f>
        <v>243.73</v>
      </c>
      <c r="X423" s="4">
        <f>IF(ISERROR(VLOOKUP($U$423,'TAR FIN'!$A$1:$O$91,15,0)),0,VLOOKUP($U$423,'TAR FIN'!$A$1:$O$91,15,0))</f>
        <v>167.16</v>
      </c>
      <c r="Y423" s="4"/>
      <c r="Z423" s="4">
        <f ca="1">('TUSD BE'!$AM$35+'TUSD BF_350'!$AM$35+'TUSD CVA'!$AM$35)*(1-CUSTOS!$M$38)</f>
        <v>308.75483518149031</v>
      </c>
      <c r="AA423" s="4">
        <f ca="1">('TE BE'!$AB$26+'TE BF_350'!$AB$26+'TE CVA'!$AB$26)*(1-CUSTOS!$M$38)</f>
        <v>184.1432479319173</v>
      </c>
      <c r="AB423" s="4">
        <f>$K$423*$V$423</f>
        <v>0</v>
      </c>
      <c r="AC423" s="4">
        <f>$M$423*$W$423</f>
        <v>64.344719999999995</v>
      </c>
      <c r="AD423" s="4">
        <f>$O$423*$X$423</f>
        <v>44.130240000000001</v>
      </c>
      <c r="AE423" s="4">
        <f>$K$423*$Y$423</f>
        <v>0</v>
      </c>
      <c r="AF423" s="4">
        <f ca="1">$M$423*$Z$423</f>
        <v>81.511276487913449</v>
      </c>
      <c r="AG423" s="4">
        <f ca="1">$O$423*$AA$423</f>
        <v>48.613817454026169</v>
      </c>
    </row>
    <row r="424" spans="1:33" ht="11.25" customHeight="1" x14ac:dyDescent="0.3">
      <c r="A424" s="3" t="s">
        <v>21</v>
      </c>
      <c r="B424" s="3" t="s">
        <v>42</v>
      </c>
      <c r="C424" s="3" t="s">
        <v>33</v>
      </c>
      <c r="D424" s="3" t="s">
        <v>43</v>
      </c>
      <c r="E424" s="3" t="s">
        <v>25</v>
      </c>
      <c r="F424" s="3" t="s">
        <v>25</v>
      </c>
      <c r="G424" s="3" t="s">
        <v>25</v>
      </c>
      <c r="H424" s="3" t="s">
        <v>35</v>
      </c>
      <c r="I424" s="6">
        <v>44531</v>
      </c>
      <c r="J424" s="4">
        <v>0</v>
      </c>
      <c r="K424" s="4">
        <v>0</v>
      </c>
      <c r="L424" s="4">
        <v>0.33200000000000002</v>
      </c>
      <c r="M424" s="4">
        <v>0.33200000000000002</v>
      </c>
      <c r="N424" s="4">
        <v>0.33200000000000002</v>
      </c>
      <c r="O424" s="4">
        <v>0.33200000000000002</v>
      </c>
      <c r="P424" s="4">
        <v>0</v>
      </c>
      <c r="Q424" s="3" t="s">
        <v>26</v>
      </c>
      <c r="R424" s="3">
        <v>0</v>
      </c>
      <c r="S424" s="4">
        <v>0</v>
      </c>
      <c r="T424" s="4">
        <v>31</v>
      </c>
      <c r="U424" s="4">
        <v>71</v>
      </c>
      <c r="V424" s="4">
        <f>IF(ISERROR(VLOOKUP($S$424,'TAR FIN'!$A$1:$O$91,15,0)),0,VLOOKUP($S$424,'TAR FIN'!$A$1:$O$91,15,0))</f>
        <v>0</v>
      </c>
      <c r="W424" s="4">
        <f>IF(ISERROR(VLOOKUP($T$424,'TAR FIN'!$A$1:$O$91,15,0)),0,VLOOKUP($T$424,'TAR FIN'!$A$1:$O$91,15,0))</f>
        <v>243.73</v>
      </c>
      <c r="X424" s="4">
        <f>IF(ISERROR(VLOOKUP($U$424,'TAR FIN'!$A$1:$O$91,15,0)),0,VLOOKUP($U$424,'TAR FIN'!$A$1:$O$91,15,0))</f>
        <v>167.16</v>
      </c>
      <c r="Y424" s="4"/>
      <c r="Z424" s="4">
        <f ca="1">('TUSD BE'!$AM$35+'TUSD BF_350'!$AM$35+'TUSD CVA'!$AM$35)*(1-CUSTOS!$M$38)</f>
        <v>308.75483518149031</v>
      </c>
      <c r="AA424" s="4">
        <f ca="1">('TE BE'!$AB$26+'TE BF_350'!$AB$26+'TE CVA'!$AB$26)*(1-CUSTOS!$M$38)</f>
        <v>184.1432479319173</v>
      </c>
      <c r="AB424" s="4">
        <f>$K$424*$V$424</f>
        <v>0</v>
      </c>
      <c r="AC424" s="4">
        <f>$M$424*$W$424</f>
        <v>80.918360000000007</v>
      </c>
      <c r="AD424" s="4">
        <f>$O$424*$X$424</f>
        <v>55.497120000000002</v>
      </c>
      <c r="AE424" s="4">
        <f>$K$424*$Y$424</f>
        <v>0</v>
      </c>
      <c r="AF424" s="4">
        <f ca="1">$M$424*$Z$424</f>
        <v>102.50660528025479</v>
      </c>
      <c r="AG424" s="4">
        <f ca="1">$O$424*$AA$424</f>
        <v>61.135558313396544</v>
      </c>
    </row>
    <row r="425" spans="1:33" ht="11.25" customHeight="1" x14ac:dyDescent="0.3">
      <c r="A425" s="3" t="s">
        <v>21</v>
      </c>
      <c r="B425" s="3" t="s">
        <v>42</v>
      </c>
      <c r="C425" s="3" t="s">
        <v>33</v>
      </c>
      <c r="D425" s="3" t="s">
        <v>43</v>
      </c>
      <c r="E425" s="3" t="s">
        <v>25</v>
      </c>
      <c r="F425" s="3" t="s">
        <v>25</v>
      </c>
      <c r="G425" s="3" t="s">
        <v>25</v>
      </c>
      <c r="H425" s="3" t="s">
        <v>35</v>
      </c>
      <c r="I425" s="6">
        <v>44562</v>
      </c>
      <c r="J425" s="4">
        <v>0</v>
      </c>
      <c r="K425" s="4">
        <v>0</v>
      </c>
      <c r="L425" s="4">
        <v>0.27600000000000002</v>
      </c>
      <c r="M425" s="4">
        <v>0.27600000000000002</v>
      </c>
      <c r="N425" s="4">
        <v>0.27600000000000002</v>
      </c>
      <c r="O425" s="4">
        <v>0.27600000000000002</v>
      </c>
      <c r="P425" s="4">
        <v>0</v>
      </c>
      <c r="Q425" s="3" t="s">
        <v>26</v>
      </c>
      <c r="R425" s="3">
        <v>0</v>
      </c>
      <c r="S425" s="4">
        <v>0</v>
      </c>
      <c r="T425" s="4">
        <v>31</v>
      </c>
      <c r="U425" s="4">
        <v>71</v>
      </c>
      <c r="V425" s="4">
        <f>IF(ISERROR(VLOOKUP($S$425,'TAR FIN'!$A$1:$O$91,15,0)),0,VLOOKUP($S$425,'TAR FIN'!$A$1:$O$91,15,0))</f>
        <v>0</v>
      </c>
      <c r="W425" s="4">
        <f>IF(ISERROR(VLOOKUP($T$425,'TAR FIN'!$A$1:$O$91,15,0)),0,VLOOKUP($T$425,'TAR FIN'!$A$1:$O$91,15,0))</f>
        <v>243.73</v>
      </c>
      <c r="X425" s="4">
        <f>IF(ISERROR(VLOOKUP($U$425,'TAR FIN'!$A$1:$O$91,15,0)),0,VLOOKUP($U$425,'TAR FIN'!$A$1:$O$91,15,0))</f>
        <v>167.16</v>
      </c>
      <c r="Y425" s="4"/>
      <c r="Z425" s="4">
        <f ca="1">('TUSD BE'!$AM$35+'TUSD BF_350'!$AM$35+'TUSD CVA'!$AM$35)*(1-CUSTOS!$M$38)</f>
        <v>308.75483518149031</v>
      </c>
      <c r="AA425" s="4">
        <f ca="1">('TE BE'!$AB$26+'TE BF_350'!$AB$26+'TE CVA'!$AB$26)*(1-CUSTOS!$M$38)</f>
        <v>184.1432479319173</v>
      </c>
      <c r="AB425" s="4">
        <f>$K$425*$V$425</f>
        <v>0</v>
      </c>
      <c r="AC425" s="4">
        <f>$M$425*$W$425</f>
        <v>67.269480000000001</v>
      </c>
      <c r="AD425" s="4">
        <f>$O$425*$X$425</f>
        <v>46.136160000000004</v>
      </c>
      <c r="AE425" s="4">
        <f>$K$425*$Y$425</f>
        <v>0</v>
      </c>
      <c r="AF425" s="4">
        <f ca="1">$M$425*$Z$425</f>
        <v>85.216334510091329</v>
      </c>
      <c r="AG425" s="4">
        <f ca="1">$O$425*$AA$425</f>
        <v>50.823536429209177</v>
      </c>
    </row>
    <row r="426" spans="1:33" ht="11.25" customHeight="1" x14ac:dyDescent="0.3">
      <c r="A426" s="3" t="s">
        <v>21</v>
      </c>
      <c r="B426" s="3" t="s">
        <v>42</v>
      </c>
      <c r="C426" s="3" t="s">
        <v>33</v>
      </c>
      <c r="D426" s="3" t="s">
        <v>43</v>
      </c>
      <c r="E426" s="3" t="s">
        <v>25</v>
      </c>
      <c r="F426" s="3" t="s">
        <v>25</v>
      </c>
      <c r="G426" s="3" t="s">
        <v>25</v>
      </c>
      <c r="H426" s="3" t="s">
        <v>35</v>
      </c>
      <c r="I426" s="6">
        <v>44593</v>
      </c>
      <c r="J426" s="4">
        <v>0</v>
      </c>
      <c r="K426" s="4">
        <v>0</v>
      </c>
      <c r="L426" s="4">
        <v>0.28100000000000003</v>
      </c>
      <c r="M426" s="4">
        <v>0.28100000000000003</v>
      </c>
      <c r="N426" s="4">
        <v>0.28100000000000003</v>
      </c>
      <c r="O426" s="4">
        <v>0.28100000000000003</v>
      </c>
      <c r="P426" s="4">
        <v>0</v>
      </c>
      <c r="Q426" s="3" t="s">
        <v>26</v>
      </c>
      <c r="R426" s="3">
        <v>0</v>
      </c>
      <c r="S426" s="4">
        <v>0</v>
      </c>
      <c r="T426" s="4">
        <v>31</v>
      </c>
      <c r="U426" s="4">
        <v>71</v>
      </c>
      <c r="V426" s="4">
        <f>IF(ISERROR(VLOOKUP($S$426,'TAR FIN'!$A$1:$O$91,15,0)),0,VLOOKUP($S$426,'TAR FIN'!$A$1:$O$91,15,0))</f>
        <v>0</v>
      </c>
      <c r="W426" s="4">
        <f>IF(ISERROR(VLOOKUP($T$426,'TAR FIN'!$A$1:$O$91,15,0)),0,VLOOKUP($T$426,'TAR FIN'!$A$1:$O$91,15,0))</f>
        <v>243.73</v>
      </c>
      <c r="X426" s="4">
        <f>IF(ISERROR(VLOOKUP($U$426,'TAR FIN'!$A$1:$O$91,15,0)),0,VLOOKUP($U$426,'TAR FIN'!$A$1:$O$91,15,0))</f>
        <v>167.16</v>
      </c>
      <c r="Y426" s="4"/>
      <c r="Z426" s="4">
        <f ca="1">('TUSD BE'!$AM$35+'TUSD BF_350'!$AM$35+'TUSD CVA'!$AM$35)*(1-CUSTOS!$M$38)</f>
        <v>308.75483518149031</v>
      </c>
      <c r="AA426" s="4">
        <f ca="1">('TE BE'!$AB$26+'TE BF_350'!$AB$26+'TE CVA'!$AB$26)*(1-CUSTOS!$M$38)</f>
        <v>184.1432479319173</v>
      </c>
      <c r="AB426" s="4">
        <f>$K$426*$V$426</f>
        <v>0</v>
      </c>
      <c r="AC426" s="4">
        <f>$M$426*$W$426</f>
        <v>68.488129999999998</v>
      </c>
      <c r="AD426" s="4">
        <f>$O$426*$X$426</f>
        <v>46.971960000000003</v>
      </c>
      <c r="AE426" s="4">
        <f>$K$426*$Y$426</f>
        <v>0</v>
      </c>
      <c r="AF426" s="4">
        <f ca="1">$M$426*$Z$426</f>
        <v>86.760108685998787</v>
      </c>
      <c r="AG426" s="4">
        <f ca="1">$O$426*$AA$426</f>
        <v>51.744252668868768</v>
      </c>
    </row>
    <row r="427" spans="1:33" ht="11.25" customHeight="1" x14ac:dyDescent="0.3">
      <c r="A427" s="3" t="s">
        <v>21</v>
      </c>
      <c r="B427" s="3" t="s">
        <v>42</v>
      </c>
      <c r="C427" s="3" t="s">
        <v>33</v>
      </c>
      <c r="D427" s="3" t="s">
        <v>43</v>
      </c>
      <c r="E427" s="3" t="s">
        <v>25</v>
      </c>
      <c r="F427" s="3" t="s">
        <v>25</v>
      </c>
      <c r="G427" s="3" t="s">
        <v>25</v>
      </c>
      <c r="H427" s="3" t="s">
        <v>35</v>
      </c>
      <c r="I427" s="6">
        <v>44621</v>
      </c>
      <c r="J427" s="4">
        <v>0</v>
      </c>
      <c r="K427" s="4">
        <v>0</v>
      </c>
      <c r="L427" s="4">
        <v>0.24199999999999999</v>
      </c>
      <c r="M427" s="4">
        <v>0.24199999999999999</v>
      </c>
      <c r="N427" s="4">
        <v>0.24199999999999999</v>
      </c>
      <c r="O427" s="4">
        <v>0.24199999999999999</v>
      </c>
      <c r="P427" s="4">
        <v>0</v>
      </c>
      <c r="Q427" s="3" t="s">
        <v>26</v>
      </c>
      <c r="R427" s="3">
        <v>0</v>
      </c>
      <c r="S427" s="4">
        <v>0</v>
      </c>
      <c r="T427" s="4">
        <v>31</v>
      </c>
      <c r="U427" s="4">
        <v>71</v>
      </c>
      <c r="V427" s="4">
        <f>IF(ISERROR(VLOOKUP($S$427,'TAR FIN'!$A$1:$O$91,15,0)),0,VLOOKUP($S$427,'TAR FIN'!$A$1:$O$91,15,0))</f>
        <v>0</v>
      </c>
      <c r="W427" s="4">
        <f>IF(ISERROR(VLOOKUP($T$427,'TAR FIN'!$A$1:$O$91,15,0)),0,VLOOKUP($T$427,'TAR FIN'!$A$1:$O$91,15,0))</f>
        <v>243.73</v>
      </c>
      <c r="X427" s="4">
        <f>IF(ISERROR(VLOOKUP($U$427,'TAR FIN'!$A$1:$O$91,15,0)),0,VLOOKUP($U$427,'TAR FIN'!$A$1:$O$91,15,0))</f>
        <v>167.16</v>
      </c>
      <c r="Y427" s="4"/>
      <c r="Z427" s="4">
        <f ca="1">('TUSD BE'!$AM$35+'TUSD BF_350'!$AM$35+'TUSD CVA'!$AM$35)*(1-CUSTOS!$M$38)</f>
        <v>308.75483518149031</v>
      </c>
      <c r="AA427" s="4">
        <f ca="1">('TE BE'!$AB$26+'TE BF_350'!$AB$26+'TE CVA'!$AB$26)*(1-CUSTOS!$M$38)</f>
        <v>184.1432479319173</v>
      </c>
      <c r="AB427" s="4">
        <f>$K$427*$V$427</f>
        <v>0</v>
      </c>
      <c r="AC427" s="4">
        <f>$M$427*$W$427</f>
        <v>58.982659999999996</v>
      </c>
      <c r="AD427" s="4">
        <f>$O$427*$X$427</f>
        <v>40.452719999999999</v>
      </c>
      <c r="AE427" s="4">
        <f>$K$427*$Y$427</f>
        <v>0</v>
      </c>
      <c r="AF427" s="4">
        <f ca="1">$M$427*$Z$427</f>
        <v>74.718670113920652</v>
      </c>
      <c r="AG427" s="4">
        <f ca="1">$O$427*$AA$427</f>
        <v>44.562665999523986</v>
      </c>
    </row>
    <row r="428" spans="1:33" ht="11.25" customHeight="1" x14ac:dyDescent="0.3">
      <c r="A428" s="3" t="s">
        <v>21</v>
      </c>
      <c r="B428" s="3" t="s">
        <v>42</v>
      </c>
      <c r="C428" s="3" t="s">
        <v>33</v>
      </c>
      <c r="D428" s="3" t="s">
        <v>43</v>
      </c>
      <c r="E428" s="3" t="s">
        <v>25</v>
      </c>
      <c r="F428" s="3" t="s">
        <v>25</v>
      </c>
      <c r="G428" s="3" t="s">
        <v>25</v>
      </c>
      <c r="H428" s="3" t="s">
        <v>35</v>
      </c>
      <c r="I428" s="6">
        <v>44652</v>
      </c>
      <c r="J428" s="4">
        <v>0</v>
      </c>
      <c r="K428" s="4">
        <v>0</v>
      </c>
      <c r="L428" s="4">
        <v>0.2</v>
      </c>
      <c r="M428" s="4">
        <v>0.2</v>
      </c>
      <c r="N428" s="4">
        <v>0.2</v>
      </c>
      <c r="O428" s="4">
        <v>0.2</v>
      </c>
      <c r="P428" s="4">
        <v>0</v>
      </c>
      <c r="Q428" s="3" t="s">
        <v>26</v>
      </c>
      <c r="R428" s="3">
        <v>0</v>
      </c>
      <c r="S428" s="4">
        <v>0</v>
      </c>
      <c r="T428" s="4">
        <v>31</v>
      </c>
      <c r="U428" s="4">
        <v>71</v>
      </c>
      <c r="V428" s="4">
        <f>IF(ISERROR(VLOOKUP($S$428,'TAR FIN'!$A$1:$O$91,15,0)),0,VLOOKUP($S$428,'TAR FIN'!$A$1:$O$91,15,0))</f>
        <v>0</v>
      </c>
      <c r="W428" s="4">
        <f>IF(ISERROR(VLOOKUP($T$428,'TAR FIN'!$A$1:$O$91,15,0)),0,VLOOKUP($T$428,'TAR FIN'!$A$1:$O$91,15,0))</f>
        <v>243.73</v>
      </c>
      <c r="X428" s="4">
        <f>IF(ISERROR(VLOOKUP($U$428,'TAR FIN'!$A$1:$O$91,15,0)),0,VLOOKUP($U$428,'TAR FIN'!$A$1:$O$91,15,0))</f>
        <v>167.16</v>
      </c>
      <c r="Y428" s="4"/>
      <c r="Z428" s="4">
        <f ca="1">('TUSD BE'!$AM$35+'TUSD BF_350'!$AM$35+'TUSD CVA'!$AM$35)*(1-CUSTOS!$M$38)</f>
        <v>308.75483518149031</v>
      </c>
      <c r="AA428" s="4">
        <f ca="1">('TE BE'!$AB$26+'TE BF_350'!$AB$26+'TE CVA'!$AB$26)*(1-CUSTOS!$M$38)</f>
        <v>184.1432479319173</v>
      </c>
      <c r="AB428" s="4">
        <f>$K$428*$V$428</f>
        <v>0</v>
      </c>
      <c r="AC428" s="4">
        <f>$M$428*$W$428</f>
        <v>48.746000000000002</v>
      </c>
      <c r="AD428" s="4">
        <f>$O$428*$X$428</f>
        <v>33.432000000000002</v>
      </c>
      <c r="AE428" s="4">
        <f>$K$428*$Y$428</f>
        <v>0</v>
      </c>
      <c r="AF428" s="4">
        <f ca="1">$M$428*$Z$428</f>
        <v>61.750967036298064</v>
      </c>
      <c r="AG428" s="4">
        <f ca="1">$O$428*$AA$428</f>
        <v>36.828649586383463</v>
      </c>
    </row>
    <row r="429" spans="1:33" ht="11.25" customHeight="1" x14ac:dyDescent="0.3">
      <c r="A429" s="3" t="s">
        <v>21</v>
      </c>
      <c r="B429" s="3" t="s">
        <v>42</v>
      </c>
      <c r="C429" s="3" t="s">
        <v>33</v>
      </c>
      <c r="D429" s="3" t="s">
        <v>43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44682</v>
      </c>
      <c r="J429" s="4">
        <v>0</v>
      </c>
      <c r="K429" s="4">
        <v>0</v>
      </c>
      <c r="L429" s="4">
        <v>0.16</v>
      </c>
      <c r="M429" s="4">
        <v>0.16</v>
      </c>
      <c r="N429" s="4">
        <v>0.16</v>
      </c>
      <c r="O429" s="4">
        <v>0.16</v>
      </c>
      <c r="P429" s="4">
        <v>0</v>
      </c>
      <c r="Q429" s="3" t="s">
        <v>26</v>
      </c>
      <c r="R429" s="3">
        <v>0</v>
      </c>
      <c r="S429" s="4">
        <v>0</v>
      </c>
      <c r="T429" s="4">
        <v>31</v>
      </c>
      <c r="U429" s="4">
        <v>71</v>
      </c>
      <c r="V429" s="4">
        <f>IF(ISERROR(VLOOKUP($S$429,'TAR FIN'!$A$1:$O$91,15,0)),0,VLOOKUP($S$429,'TAR FIN'!$A$1:$O$91,15,0))</f>
        <v>0</v>
      </c>
      <c r="W429" s="4">
        <f>IF(ISERROR(VLOOKUP($T$429,'TAR FIN'!$A$1:$O$91,15,0)),0,VLOOKUP($T$429,'TAR FIN'!$A$1:$O$91,15,0))</f>
        <v>243.73</v>
      </c>
      <c r="X429" s="4">
        <f>IF(ISERROR(VLOOKUP($U$429,'TAR FIN'!$A$1:$O$91,15,0)),0,VLOOKUP($U$429,'TAR FIN'!$A$1:$O$91,15,0))</f>
        <v>167.16</v>
      </c>
      <c r="Y429" s="4"/>
      <c r="Z429" s="4">
        <f ca="1">('TUSD BE'!$AM$35+'TUSD BF_350'!$AM$35+'TUSD CVA'!$AM$35)*(1-CUSTOS!$M$38)</f>
        <v>308.75483518149031</v>
      </c>
      <c r="AA429" s="4">
        <f ca="1">('TE BE'!$AB$26+'TE BF_350'!$AB$26+'TE CVA'!$AB$26)*(1-CUSTOS!$M$38)</f>
        <v>184.1432479319173</v>
      </c>
      <c r="AB429" s="4">
        <f>$K$429*$V$429</f>
        <v>0</v>
      </c>
      <c r="AC429" s="4">
        <f>$M$429*$W$429</f>
        <v>38.9968</v>
      </c>
      <c r="AD429" s="4">
        <f>$O$429*$X$429</f>
        <v>26.7456</v>
      </c>
      <c r="AE429" s="4">
        <f>$K$429*$Y$429</f>
        <v>0</v>
      </c>
      <c r="AF429" s="4">
        <f ca="1">$M$429*$Z$429</f>
        <v>49.400773629038447</v>
      </c>
      <c r="AG429" s="4">
        <f ca="1">$O$429*$AA$429</f>
        <v>29.462919669106768</v>
      </c>
    </row>
    <row r="430" spans="1:33" ht="11.25" customHeight="1" x14ac:dyDescent="0.3">
      <c r="A430" s="3" t="s">
        <v>21</v>
      </c>
      <c r="B430" s="3" t="s">
        <v>42</v>
      </c>
      <c r="C430" s="3" t="s">
        <v>33</v>
      </c>
      <c r="D430" s="3" t="s">
        <v>43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44713</v>
      </c>
      <c r="J430" s="4">
        <v>0</v>
      </c>
      <c r="K430" s="4">
        <v>0</v>
      </c>
      <c r="L430" s="4">
        <v>0.16</v>
      </c>
      <c r="M430" s="4">
        <v>0.16</v>
      </c>
      <c r="N430" s="4">
        <v>0.16</v>
      </c>
      <c r="O430" s="4">
        <v>0.16</v>
      </c>
      <c r="P430" s="4">
        <v>0</v>
      </c>
      <c r="Q430" s="3" t="s">
        <v>26</v>
      </c>
      <c r="R430" s="3">
        <v>0</v>
      </c>
      <c r="S430" s="4">
        <v>0</v>
      </c>
      <c r="T430" s="4">
        <v>31</v>
      </c>
      <c r="U430" s="4">
        <v>71</v>
      </c>
      <c r="V430" s="4">
        <f>IF(ISERROR(VLOOKUP($S$430,'TAR FIN'!$A$1:$O$91,15,0)),0,VLOOKUP($S$430,'TAR FIN'!$A$1:$O$91,15,0))</f>
        <v>0</v>
      </c>
      <c r="W430" s="4">
        <f>IF(ISERROR(VLOOKUP($T$430,'TAR FIN'!$A$1:$O$91,15,0)),0,VLOOKUP($T$430,'TAR FIN'!$A$1:$O$91,15,0))</f>
        <v>243.73</v>
      </c>
      <c r="X430" s="4">
        <f>IF(ISERROR(VLOOKUP($U$430,'TAR FIN'!$A$1:$O$91,15,0)),0,VLOOKUP($U$430,'TAR FIN'!$A$1:$O$91,15,0))</f>
        <v>167.16</v>
      </c>
      <c r="Y430" s="4"/>
      <c r="Z430" s="4">
        <f ca="1">('TUSD BE'!$AM$35+'TUSD BF_350'!$AM$35+'TUSD CVA'!$AM$35)*(1-CUSTOS!$M$38)</f>
        <v>308.75483518149031</v>
      </c>
      <c r="AA430" s="4">
        <f ca="1">('TE BE'!$AB$26+'TE BF_350'!$AB$26+'TE CVA'!$AB$26)*(1-CUSTOS!$M$38)</f>
        <v>184.1432479319173</v>
      </c>
      <c r="AB430" s="4">
        <f>$K$430*$V$430</f>
        <v>0</v>
      </c>
      <c r="AC430" s="4">
        <f>$M$430*$W$430</f>
        <v>38.9968</v>
      </c>
      <c r="AD430" s="4">
        <f>$O$430*$X$430</f>
        <v>26.7456</v>
      </c>
      <c r="AE430" s="4">
        <f>$K$430*$Y$430</f>
        <v>0</v>
      </c>
      <c r="AF430" s="4">
        <f ca="1">$M$430*$Z$430</f>
        <v>49.400773629038447</v>
      </c>
      <c r="AG430" s="4">
        <f ca="1">$O$430*$AA$430</f>
        <v>29.462919669106768</v>
      </c>
    </row>
    <row r="431" spans="1:33" ht="11.25" customHeight="1" x14ac:dyDescent="0.3">
      <c r="A431" s="3" t="s">
        <v>21</v>
      </c>
      <c r="B431" s="3" t="s">
        <v>42</v>
      </c>
      <c r="C431" s="3" t="s">
        <v>33</v>
      </c>
      <c r="D431" s="3" t="s">
        <v>43</v>
      </c>
      <c r="E431" s="3" t="s">
        <v>25</v>
      </c>
      <c r="F431" s="3" t="s">
        <v>25</v>
      </c>
      <c r="G431" s="3" t="s">
        <v>25</v>
      </c>
      <c r="H431" s="3" t="s">
        <v>36</v>
      </c>
      <c r="I431" s="6">
        <v>44409</v>
      </c>
      <c r="J431" s="4">
        <v>0</v>
      </c>
      <c r="K431" s="4">
        <v>0</v>
      </c>
      <c r="L431" s="4">
        <v>1.7000000000000001E-2</v>
      </c>
      <c r="M431" s="4">
        <v>1.7000000000000001E-2</v>
      </c>
      <c r="N431" s="4">
        <v>1.7000000000000001E-2</v>
      </c>
      <c r="O431" s="4">
        <v>1.7000000000000001E-2</v>
      </c>
      <c r="P431" s="4">
        <v>0</v>
      </c>
      <c r="Q431" s="3" t="s">
        <v>26</v>
      </c>
      <c r="R431" s="3">
        <v>0</v>
      </c>
      <c r="S431" s="4">
        <v>0</v>
      </c>
      <c r="T431" s="4">
        <v>30</v>
      </c>
      <c r="U431" s="4">
        <v>70</v>
      </c>
      <c r="V431" s="4">
        <f>IF(ISERROR(VLOOKUP($S$431,'TAR FIN'!$A$1:$O$91,15,0)),0,VLOOKUP($S$431,'TAR FIN'!$A$1:$O$91,15,0))</f>
        <v>0</v>
      </c>
      <c r="W431" s="4">
        <f>IF(ISERROR(VLOOKUP($T$431,'TAR FIN'!$A$1:$O$91,15,0)),0,VLOOKUP($T$431,'TAR FIN'!$A$1:$O$91,15,0))</f>
        <v>533.92999999999995</v>
      </c>
      <c r="X431" s="4">
        <f>IF(ISERROR(VLOOKUP($U$431,'TAR FIN'!$A$1:$O$91,15,0)),0,VLOOKUP($U$431,'TAR FIN'!$A$1:$O$91,15,0))</f>
        <v>167.16</v>
      </c>
      <c r="Y431" s="4"/>
      <c r="Z431" s="4">
        <f ca="1">('TUSD BE'!$AM$34+'TUSD BF_350'!$AM$34+'TUSD CVA'!$AM$34)*(1-CUSTOS!$M$38)</f>
        <v>685.07427471052529</v>
      </c>
      <c r="AA431" s="4">
        <f ca="1">('TE BE'!$AB$25+'TE BF_350'!$AB$25+'TE CVA'!$AB$25)*(1-CUSTOS!$M$38)</f>
        <v>184.1432479319173</v>
      </c>
      <c r="AB431" s="4">
        <f>$K$431*$V$431</f>
        <v>0</v>
      </c>
      <c r="AC431" s="4">
        <f>$M$431*$W$431</f>
        <v>9.07681</v>
      </c>
      <c r="AD431" s="4">
        <f>$O$431*$X$431</f>
        <v>2.84172</v>
      </c>
      <c r="AE431" s="4">
        <f>$K$431*$Y$431</f>
        <v>0</v>
      </c>
      <c r="AF431" s="4">
        <f ca="1">$M$431*$Z$431</f>
        <v>11.646262670078931</v>
      </c>
      <c r="AG431" s="4">
        <f ca="1">$O$431*$AA$431</f>
        <v>3.1304352148425942</v>
      </c>
    </row>
    <row r="432" spans="1:33" ht="11.25" customHeight="1" x14ac:dyDescent="0.3">
      <c r="A432" s="3" t="s">
        <v>21</v>
      </c>
      <c r="B432" s="3" t="s">
        <v>42</v>
      </c>
      <c r="C432" s="3" t="s">
        <v>33</v>
      </c>
      <c r="D432" s="3" t="s">
        <v>43</v>
      </c>
      <c r="E432" s="3" t="s">
        <v>25</v>
      </c>
      <c r="F432" s="3" t="s">
        <v>25</v>
      </c>
      <c r="G432" s="3" t="s">
        <v>25</v>
      </c>
      <c r="H432" s="3" t="s">
        <v>36</v>
      </c>
      <c r="I432" s="6">
        <v>44470</v>
      </c>
      <c r="J432" s="4">
        <v>0</v>
      </c>
      <c r="K432" s="4">
        <v>0</v>
      </c>
      <c r="L432" s="4">
        <v>1.4999999999999999E-2</v>
      </c>
      <c r="M432" s="4">
        <v>1.4999999999999999E-2</v>
      </c>
      <c r="N432" s="4">
        <v>1.4999999999999999E-2</v>
      </c>
      <c r="O432" s="4">
        <v>1.4999999999999999E-2</v>
      </c>
      <c r="P432" s="4">
        <v>0</v>
      </c>
      <c r="Q432" s="3" t="s">
        <v>26</v>
      </c>
      <c r="R432" s="3">
        <v>0</v>
      </c>
      <c r="S432" s="4">
        <v>0</v>
      </c>
      <c r="T432" s="4">
        <v>30</v>
      </c>
      <c r="U432" s="4">
        <v>70</v>
      </c>
      <c r="V432" s="4">
        <f>IF(ISERROR(VLOOKUP($S$432,'TAR FIN'!$A$1:$O$91,15,0)),0,VLOOKUP($S$432,'TAR FIN'!$A$1:$O$91,15,0))</f>
        <v>0</v>
      </c>
      <c r="W432" s="4">
        <f>IF(ISERROR(VLOOKUP($T$432,'TAR FIN'!$A$1:$O$91,15,0)),0,VLOOKUP($T$432,'TAR FIN'!$A$1:$O$91,15,0))</f>
        <v>533.92999999999995</v>
      </c>
      <c r="X432" s="4">
        <f>IF(ISERROR(VLOOKUP($U$432,'TAR FIN'!$A$1:$O$91,15,0)),0,VLOOKUP($U$432,'TAR FIN'!$A$1:$O$91,15,0))</f>
        <v>167.16</v>
      </c>
      <c r="Y432" s="4"/>
      <c r="Z432" s="4">
        <f ca="1">('TUSD BE'!$AM$34+'TUSD BF_350'!$AM$34+'TUSD CVA'!$AM$34)*(1-CUSTOS!$M$38)</f>
        <v>685.07427471052529</v>
      </c>
      <c r="AA432" s="4">
        <f ca="1">('TE BE'!$AB$25+'TE BF_350'!$AB$25+'TE CVA'!$AB$25)*(1-CUSTOS!$M$38)</f>
        <v>184.1432479319173</v>
      </c>
      <c r="AB432" s="4">
        <f>$K$432*$V$432</f>
        <v>0</v>
      </c>
      <c r="AC432" s="4">
        <f>$M$432*$W$432</f>
        <v>8.0089499999999987</v>
      </c>
      <c r="AD432" s="4">
        <f>$O$432*$X$432</f>
        <v>2.5074000000000001</v>
      </c>
      <c r="AE432" s="4">
        <f>$K$432*$Y$432</f>
        <v>0</v>
      </c>
      <c r="AF432" s="4">
        <f ca="1">$M$432*$Z$432</f>
        <v>10.276114120657878</v>
      </c>
      <c r="AG432" s="4">
        <f ca="1">$O$432*$AA$432</f>
        <v>2.7621487189787595</v>
      </c>
    </row>
    <row r="433" spans="1:33" ht="11.25" customHeight="1" x14ac:dyDescent="0.3">
      <c r="A433" s="3" t="s">
        <v>21</v>
      </c>
      <c r="B433" s="3" t="s">
        <v>42</v>
      </c>
      <c r="C433" s="3" t="s">
        <v>33</v>
      </c>
      <c r="D433" s="3" t="s">
        <v>43</v>
      </c>
      <c r="E433" s="3" t="s">
        <v>25</v>
      </c>
      <c r="F433" s="3" t="s">
        <v>25</v>
      </c>
      <c r="G433" s="3" t="s">
        <v>25</v>
      </c>
      <c r="H433" s="3" t="s">
        <v>36</v>
      </c>
      <c r="I433" s="6">
        <v>44501</v>
      </c>
      <c r="J433" s="4">
        <v>0</v>
      </c>
      <c r="K433" s="4">
        <v>0</v>
      </c>
      <c r="L433" s="4">
        <v>2.5999999999999999E-2</v>
      </c>
      <c r="M433" s="4">
        <v>2.5999999999999999E-2</v>
      </c>
      <c r="N433" s="4">
        <v>2.5999999999999999E-2</v>
      </c>
      <c r="O433" s="4">
        <v>2.5999999999999999E-2</v>
      </c>
      <c r="P433" s="4">
        <v>0</v>
      </c>
      <c r="Q433" s="3" t="s">
        <v>26</v>
      </c>
      <c r="R433" s="3">
        <v>0</v>
      </c>
      <c r="S433" s="4">
        <v>0</v>
      </c>
      <c r="T433" s="4">
        <v>30</v>
      </c>
      <c r="U433" s="4">
        <v>70</v>
      </c>
      <c r="V433" s="4">
        <f>IF(ISERROR(VLOOKUP($S$433,'TAR FIN'!$A$1:$O$91,15,0)),0,VLOOKUP($S$433,'TAR FIN'!$A$1:$O$91,15,0))</f>
        <v>0</v>
      </c>
      <c r="W433" s="4">
        <f>IF(ISERROR(VLOOKUP($T$433,'TAR FIN'!$A$1:$O$91,15,0)),0,VLOOKUP($T$433,'TAR FIN'!$A$1:$O$91,15,0))</f>
        <v>533.92999999999995</v>
      </c>
      <c r="X433" s="4">
        <f>IF(ISERROR(VLOOKUP($U$433,'TAR FIN'!$A$1:$O$91,15,0)),0,VLOOKUP($U$433,'TAR FIN'!$A$1:$O$91,15,0))</f>
        <v>167.16</v>
      </c>
      <c r="Y433" s="4"/>
      <c r="Z433" s="4">
        <f ca="1">('TUSD BE'!$AM$34+'TUSD BF_350'!$AM$34+'TUSD CVA'!$AM$34)*(1-CUSTOS!$M$38)</f>
        <v>685.07427471052529</v>
      </c>
      <c r="AA433" s="4">
        <f ca="1">('TE BE'!$AB$25+'TE BF_350'!$AB$25+'TE CVA'!$AB$25)*(1-CUSTOS!$M$38)</f>
        <v>184.1432479319173</v>
      </c>
      <c r="AB433" s="4">
        <f>$K$433*$V$433</f>
        <v>0</v>
      </c>
      <c r="AC433" s="4">
        <f>$M$433*$W$433</f>
        <v>13.882179999999998</v>
      </c>
      <c r="AD433" s="4">
        <f>$O$433*$X$433</f>
        <v>4.3461599999999994</v>
      </c>
      <c r="AE433" s="4">
        <f>$K$433*$Y$433</f>
        <v>0</v>
      </c>
      <c r="AF433" s="4">
        <f ca="1">$M$433*$Z$433</f>
        <v>17.811931142473657</v>
      </c>
      <c r="AG433" s="4">
        <f ca="1">$O$433*$AA$433</f>
        <v>4.7877244462298494</v>
      </c>
    </row>
    <row r="434" spans="1:33" ht="11.25" customHeight="1" x14ac:dyDescent="0.3">
      <c r="A434" s="3" t="s">
        <v>21</v>
      </c>
      <c r="B434" s="3" t="s">
        <v>42</v>
      </c>
      <c r="C434" s="3" t="s">
        <v>33</v>
      </c>
      <c r="D434" s="3" t="s">
        <v>43</v>
      </c>
      <c r="E434" s="3" t="s">
        <v>25</v>
      </c>
      <c r="F434" s="3" t="s">
        <v>25</v>
      </c>
      <c r="G434" s="3" t="s">
        <v>25</v>
      </c>
      <c r="H434" s="3" t="s">
        <v>36</v>
      </c>
      <c r="I434" s="6">
        <v>44531</v>
      </c>
      <c r="J434" s="4">
        <v>0</v>
      </c>
      <c r="K434" s="4">
        <v>0</v>
      </c>
      <c r="L434" s="4">
        <v>3.3000000000000002E-2</v>
      </c>
      <c r="M434" s="4">
        <v>3.3000000000000002E-2</v>
      </c>
      <c r="N434" s="4">
        <v>3.3000000000000002E-2</v>
      </c>
      <c r="O434" s="4">
        <v>3.3000000000000002E-2</v>
      </c>
      <c r="P434" s="4">
        <v>0</v>
      </c>
      <c r="Q434" s="3" t="s">
        <v>26</v>
      </c>
      <c r="R434" s="3">
        <v>0</v>
      </c>
      <c r="S434" s="4">
        <v>0</v>
      </c>
      <c r="T434" s="4">
        <v>30</v>
      </c>
      <c r="U434" s="4">
        <v>70</v>
      </c>
      <c r="V434" s="4">
        <f>IF(ISERROR(VLOOKUP($S$434,'TAR FIN'!$A$1:$O$91,15,0)),0,VLOOKUP($S$434,'TAR FIN'!$A$1:$O$91,15,0))</f>
        <v>0</v>
      </c>
      <c r="W434" s="4">
        <f>IF(ISERROR(VLOOKUP($T$434,'TAR FIN'!$A$1:$O$91,15,0)),0,VLOOKUP($T$434,'TAR FIN'!$A$1:$O$91,15,0))</f>
        <v>533.92999999999995</v>
      </c>
      <c r="X434" s="4">
        <f>IF(ISERROR(VLOOKUP($U$434,'TAR FIN'!$A$1:$O$91,15,0)),0,VLOOKUP($U$434,'TAR FIN'!$A$1:$O$91,15,0))</f>
        <v>167.16</v>
      </c>
      <c r="Y434" s="4"/>
      <c r="Z434" s="4">
        <f ca="1">('TUSD BE'!$AM$34+'TUSD BF_350'!$AM$34+'TUSD CVA'!$AM$34)*(1-CUSTOS!$M$38)</f>
        <v>685.07427471052529</v>
      </c>
      <c r="AA434" s="4">
        <f ca="1">('TE BE'!$AB$25+'TE BF_350'!$AB$25+'TE CVA'!$AB$25)*(1-CUSTOS!$M$38)</f>
        <v>184.1432479319173</v>
      </c>
      <c r="AB434" s="4">
        <f>$K$434*$V$434</f>
        <v>0</v>
      </c>
      <c r="AC434" s="4">
        <f>$M$434*$W$434</f>
        <v>17.619689999999999</v>
      </c>
      <c r="AD434" s="4">
        <f>$O$434*$X$434</f>
        <v>5.5162800000000001</v>
      </c>
      <c r="AE434" s="4">
        <f>$K$434*$Y$434</f>
        <v>0</v>
      </c>
      <c r="AF434" s="4">
        <f ca="1">$M$434*$Z$434</f>
        <v>22.607451065447336</v>
      </c>
      <c r="AG434" s="4">
        <f ca="1">$O$434*$AA$434</f>
        <v>6.0767271817532711</v>
      </c>
    </row>
    <row r="435" spans="1:33" ht="11.25" customHeight="1" x14ac:dyDescent="0.3">
      <c r="A435" s="3" t="s">
        <v>21</v>
      </c>
      <c r="B435" s="3" t="s">
        <v>42</v>
      </c>
      <c r="C435" s="3" t="s">
        <v>33</v>
      </c>
      <c r="D435" s="3" t="s">
        <v>43</v>
      </c>
      <c r="E435" s="3" t="s">
        <v>25</v>
      </c>
      <c r="F435" s="3" t="s">
        <v>25</v>
      </c>
      <c r="G435" s="3" t="s">
        <v>25</v>
      </c>
      <c r="H435" s="3" t="s">
        <v>36</v>
      </c>
      <c r="I435" s="6">
        <v>44562</v>
      </c>
      <c r="J435" s="4">
        <v>0</v>
      </c>
      <c r="K435" s="4">
        <v>0</v>
      </c>
      <c r="L435" s="4">
        <v>2.4E-2</v>
      </c>
      <c r="M435" s="4">
        <v>2.4E-2</v>
      </c>
      <c r="N435" s="4">
        <v>2.4E-2</v>
      </c>
      <c r="O435" s="4">
        <v>2.4E-2</v>
      </c>
      <c r="P435" s="4">
        <v>0</v>
      </c>
      <c r="Q435" s="3" t="s">
        <v>26</v>
      </c>
      <c r="R435" s="3">
        <v>0</v>
      </c>
      <c r="S435" s="4">
        <v>0</v>
      </c>
      <c r="T435" s="4">
        <v>30</v>
      </c>
      <c r="U435" s="4">
        <v>70</v>
      </c>
      <c r="V435" s="4">
        <f>IF(ISERROR(VLOOKUP($S$435,'TAR FIN'!$A$1:$O$91,15,0)),0,VLOOKUP($S$435,'TAR FIN'!$A$1:$O$91,15,0))</f>
        <v>0</v>
      </c>
      <c r="W435" s="4">
        <f>IF(ISERROR(VLOOKUP($T$435,'TAR FIN'!$A$1:$O$91,15,0)),0,VLOOKUP($T$435,'TAR FIN'!$A$1:$O$91,15,0))</f>
        <v>533.92999999999995</v>
      </c>
      <c r="X435" s="4">
        <f>IF(ISERROR(VLOOKUP($U$435,'TAR FIN'!$A$1:$O$91,15,0)),0,VLOOKUP($U$435,'TAR FIN'!$A$1:$O$91,15,0))</f>
        <v>167.16</v>
      </c>
      <c r="Y435" s="4"/>
      <c r="Z435" s="4">
        <f ca="1">('TUSD BE'!$AM$34+'TUSD BF_350'!$AM$34+'TUSD CVA'!$AM$34)*(1-CUSTOS!$M$38)</f>
        <v>685.07427471052529</v>
      </c>
      <c r="AA435" s="4">
        <f ca="1">('TE BE'!$AB$25+'TE BF_350'!$AB$25+'TE CVA'!$AB$25)*(1-CUSTOS!$M$38)</f>
        <v>184.1432479319173</v>
      </c>
      <c r="AB435" s="4">
        <f>$K$435*$V$435</f>
        <v>0</v>
      </c>
      <c r="AC435" s="4">
        <f>$M$435*$W$435</f>
        <v>12.814319999999999</v>
      </c>
      <c r="AD435" s="4">
        <f>$O$435*$X$435</f>
        <v>4.0118400000000003</v>
      </c>
      <c r="AE435" s="4">
        <f>$K$435*$Y$435</f>
        <v>0</v>
      </c>
      <c r="AF435" s="4">
        <f ca="1">$M$435*$Z$435</f>
        <v>16.441782593052608</v>
      </c>
      <c r="AG435" s="4">
        <f ca="1">$O$435*$AA$435</f>
        <v>4.4194379503660155</v>
      </c>
    </row>
    <row r="436" spans="1:33" ht="11.25" customHeight="1" x14ac:dyDescent="0.3">
      <c r="A436" s="3" t="s">
        <v>21</v>
      </c>
      <c r="B436" s="3" t="s">
        <v>42</v>
      </c>
      <c r="C436" s="3" t="s">
        <v>33</v>
      </c>
      <c r="D436" s="3" t="s">
        <v>43</v>
      </c>
      <c r="E436" s="3" t="s">
        <v>25</v>
      </c>
      <c r="F436" s="3" t="s">
        <v>25</v>
      </c>
      <c r="G436" s="3" t="s">
        <v>25</v>
      </c>
      <c r="H436" s="3" t="s">
        <v>36</v>
      </c>
      <c r="I436" s="6">
        <v>44593</v>
      </c>
      <c r="J436" s="4">
        <v>0</v>
      </c>
      <c r="K436" s="4">
        <v>0</v>
      </c>
      <c r="L436" s="4">
        <v>2.1000000000000001E-2</v>
      </c>
      <c r="M436" s="4">
        <v>2.1000000000000001E-2</v>
      </c>
      <c r="N436" s="4">
        <v>2.1000000000000001E-2</v>
      </c>
      <c r="O436" s="4">
        <v>2.1000000000000001E-2</v>
      </c>
      <c r="P436" s="4">
        <v>0</v>
      </c>
      <c r="Q436" s="3" t="s">
        <v>26</v>
      </c>
      <c r="R436" s="3">
        <v>0</v>
      </c>
      <c r="S436" s="4">
        <v>0</v>
      </c>
      <c r="T436" s="4">
        <v>30</v>
      </c>
      <c r="U436" s="4">
        <v>70</v>
      </c>
      <c r="V436" s="4">
        <f>IF(ISERROR(VLOOKUP($S$436,'TAR FIN'!$A$1:$O$91,15,0)),0,VLOOKUP($S$436,'TAR FIN'!$A$1:$O$91,15,0))</f>
        <v>0</v>
      </c>
      <c r="W436" s="4">
        <f>IF(ISERROR(VLOOKUP($T$436,'TAR FIN'!$A$1:$O$91,15,0)),0,VLOOKUP($T$436,'TAR FIN'!$A$1:$O$91,15,0))</f>
        <v>533.92999999999995</v>
      </c>
      <c r="X436" s="4">
        <f>IF(ISERROR(VLOOKUP($U$436,'TAR FIN'!$A$1:$O$91,15,0)),0,VLOOKUP($U$436,'TAR FIN'!$A$1:$O$91,15,0))</f>
        <v>167.16</v>
      </c>
      <c r="Y436" s="4"/>
      <c r="Z436" s="4">
        <f ca="1">('TUSD BE'!$AM$34+'TUSD BF_350'!$AM$34+'TUSD CVA'!$AM$34)*(1-CUSTOS!$M$38)</f>
        <v>685.07427471052529</v>
      </c>
      <c r="AA436" s="4">
        <f ca="1">('TE BE'!$AB$25+'TE BF_350'!$AB$25+'TE CVA'!$AB$25)*(1-CUSTOS!$M$38)</f>
        <v>184.1432479319173</v>
      </c>
      <c r="AB436" s="4">
        <f>$K$436*$V$436</f>
        <v>0</v>
      </c>
      <c r="AC436" s="4">
        <f>$M$436*$W$436</f>
        <v>11.212529999999999</v>
      </c>
      <c r="AD436" s="4">
        <f>$O$436*$X$436</f>
        <v>3.5103599999999999</v>
      </c>
      <c r="AE436" s="4">
        <f>$K$436*$Y$436</f>
        <v>0</v>
      </c>
      <c r="AF436" s="4">
        <f ca="1">$M$436*$Z$436</f>
        <v>14.386559768921032</v>
      </c>
      <c r="AG436" s="4">
        <f ca="1">$O$436*$AA$436</f>
        <v>3.8670082065702638</v>
      </c>
    </row>
    <row r="437" spans="1:33" ht="11.25" customHeight="1" x14ac:dyDescent="0.3">
      <c r="A437" s="3" t="s">
        <v>21</v>
      </c>
      <c r="B437" s="3" t="s">
        <v>42</v>
      </c>
      <c r="C437" s="3" t="s">
        <v>33</v>
      </c>
      <c r="D437" s="3" t="s">
        <v>43</v>
      </c>
      <c r="E437" s="3" t="s">
        <v>25</v>
      </c>
      <c r="F437" s="3" t="s">
        <v>25</v>
      </c>
      <c r="G437" s="3" t="s">
        <v>25</v>
      </c>
      <c r="H437" s="3" t="s">
        <v>36</v>
      </c>
      <c r="I437" s="6">
        <v>44621</v>
      </c>
      <c r="J437" s="4">
        <v>0</v>
      </c>
      <c r="K437" s="4">
        <v>0</v>
      </c>
      <c r="L437" s="4">
        <v>1.6E-2</v>
      </c>
      <c r="M437" s="4">
        <v>1.6E-2</v>
      </c>
      <c r="N437" s="4">
        <v>1.6E-2</v>
      </c>
      <c r="O437" s="4">
        <v>1.6E-2</v>
      </c>
      <c r="P437" s="4">
        <v>0</v>
      </c>
      <c r="Q437" s="3" t="s">
        <v>26</v>
      </c>
      <c r="R437" s="3">
        <v>0</v>
      </c>
      <c r="S437" s="4">
        <v>0</v>
      </c>
      <c r="T437" s="4">
        <v>30</v>
      </c>
      <c r="U437" s="4">
        <v>70</v>
      </c>
      <c r="V437" s="4">
        <f>IF(ISERROR(VLOOKUP($S$437,'TAR FIN'!$A$1:$O$91,15,0)),0,VLOOKUP($S$437,'TAR FIN'!$A$1:$O$91,15,0))</f>
        <v>0</v>
      </c>
      <c r="W437" s="4">
        <f>IF(ISERROR(VLOOKUP($T$437,'TAR FIN'!$A$1:$O$91,15,0)),0,VLOOKUP($T$437,'TAR FIN'!$A$1:$O$91,15,0))</f>
        <v>533.92999999999995</v>
      </c>
      <c r="X437" s="4">
        <f>IF(ISERROR(VLOOKUP($U$437,'TAR FIN'!$A$1:$O$91,15,0)),0,VLOOKUP($U$437,'TAR FIN'!$A$1:$O$91,15,0))</f>
        <v>167.16</v>
      </c>
      <c r="Y437" s="4"/>
      <c r="Z437" s="4">
        <f ca="1">('TUSD BE'!$AM$34+'TUSD BF_350'!$AM$34+'TUSD CVA'!$AM$34)*(1-CUSTOS!$M$38)</f>
        <v>685.07427471052529</v>
      </c>
      <c r="AA437" s="4">
        <f ca="1">('TE BE'!$AB$25+'TE BF_350'!$AB$25+'TE CVA'!$AB$25)*(1-CUSTOS!$M$38)</f>
        <v>184.1432479319173</v>
      </c>
      <c r="AB437" s="4">
        <f>$K$437*$V$437</f>
        <v>0</v>
      </c>
      <c r="AC437" s="4">
        <f>$M$437*$W$437</f>
        <v>8.5428800000000003</v>
      </c>
      <c r="AD437" s="4">
        <f>$O$437*$X$437</f>
        <v>2.67456</v>
      </c>
      <c r="AE437" s="4">
        <f>$K$437*$Y$437</f>
        <v>0</v>
      </c>
      <c r="AF437" s="4">
        <f ca="1">$M$437*$Z$437</f>
        <v>10.961188395368405</v>
      </c>
      <c r="AG437" s="4">
        <f ca="1">$O$437*$AA$437</f>
        <v>2.9462919669106769</v>
      </c>
    </row>
    <row r="438" spans="1:33" ht="11.25" customHeight="1" x14ac:dyDescent="0.3">
      <c r="A438" s="3" t="s">
        <v>21</v>
      </c>
      <c r="B438" s="3" t="s">
        <v>42</v>
      </c>
      <c r="C438" s="3" t="s">
        <v>33</v>
      </c>
      <c r="D438" s="3" t="s">
        <v>43</v>
      </c>
      <c r="E438" s="3" t="s">
        <v>25</v>
      </c>
      <c r="F438" s="3" t="s">
        <v>25</v>
      </c>
      <c r="G438" s="3" t="s">
        <v>25</v>
      </c>
      <c r="H438" s="3" t="s">
        <v>36</v>
      </c>
      <c r="I438" s="6">
        <v>44652</v>
      </c>
      <c r="J438" s="4">
        <v>0</v>
      </c>
      <c r="K438" s="4">
        <v>0</v>
      </c>
      <c r="L438" s="4">
        <v>1.7999999999999999E-2</v>
      </c>
      <c r="M438" s="4">
        <v>1.7999999999999999E-2</v>
      </c>
      <c r="N438" s="4">
        <v>1.7999999999999999E-2</v>
      </c>
      <c r="O438" s="4">
        <v>1.7999999999999999E-2</v>
      </c>
      <c r="P438" s="4">
        <v>0</v>
      </c>
      <c r="Q438" s="3" t="s">
        <v>26</v>
      </c>
      <c r="R438" s="3">
        <v>0</v>
      </c>
      <c r="S438" s="4">
        <v>0</v>
      </c>
      <c r="T438" s="4">
        <v>30</v>
      </c>
      <c r="U438" s="4">
        <v>70</v>
      </c>
      <c r="V438" s="4">
        <f>IF(ISERROR(VLOOKUP($S$438,'TAR FIN'!$A$1:$O$91,15,0)),0,VLOOKUP($S$438,'TAR FIN'!$A$1:$O$91,15,0))</f>
        <v>0</v>
      </c>
      <c r="W438" s="4">
        <f>IF(ISERROR(VLOOKUP($T$438,'TAR FIN'!$A$1:$O$91,15,0)),0,VLOOKUP($T$438,'TAR FIN'!$A$1:$O$91,15,0))</f>
        <v>533.92999999999995</v>
      </c>
      <c r="X438" s="4">
        <f>IF(ISERROR(VLOOKUP($U$438,'TAR FIN'!$A$1:$O$91,15,0)),0,VLOOKUP($U$438,'TAR FIN'!$A$1:$O$91,15,0))</f>
        <v>167.16</v>
      </c>
      <c r="Y438" s="4"/>
      <c r="Z438" s="4">
        <f ca="1">('TUSD BE'!$AM$34+'TUSD BF_350'!$AM$34+'TUSD CVA'!$AM$34)*(1-CUSTOS!$M$38)</f>
        <v>685.07427471052529</v>
      </c>
      <c r="AA438" s="4">
        <f ca="1">('TE BE'!$AB$25+'TE BF_350'!$AB$25+'TE CVA'!$AB$25)*(1-CUSTOS!$M$38)</f>
        <v>184.1432479319173</v>
      </c>
      <c r="AB438" s="4">
        <f>$K$438*$V$438</f>
        <v>0</v>
      </c>
      <c r="AC438" s="4">
        <f>$M$438*$W$438</f>
        <v>9.6107399999999981</v>
      </c>
      <c r="AD438" s="4">
        <f>$O$438*$X$438</f>
        <v>3.0088799999999996</v>
      </c>
      <c r="AE438" s="4">
        <f>$K$438*$Y$438</f>
        <v>0</v>
      </c>
      <c r="AF438" s="4">
        <f ca="1">$M$438*$Z$438</f>
        <v>12.331336944789454</v>
      </c>
      <c r="AG438" s="4">
        <f ca="1">$O$438*$AA$438</f>
        <v>3.3145784627745112</v>
      </c>
    </row>
    <row r="439" spans="1:33" ht="11.25" customHeight="1" x14ac:dyDescent="0.3">
      <c r="A439" s="3" t="s">
        <v>21</v>
      </c>
      <c r="B439" s="3" t="s">
        <v>42</v>
      </c>
      <c r="C439" s="3" t="s">
        <v>33</v>
      </c>
      <c r="D439" s="3" t="s">
        <v>43</v>
      </c>
      <c r="E439" s="3" t="s">
        <v>25</v>
      </c>
      <c r="F439" s="3" t="s">
        <v>25</v>
      </c>
      <c r="G439" s="3" t="s">
        <v>25</v>
      </c>
      <c r="H439" s="3" t="s">
        <v>36</v>
      </c>
      <c r="I439" s="6">
        <v>44682</v>
      </c>
      <c r="J439" s="4">
        <v>0</v>
      </c>
      <c r="K439" s="4">
        <v>0</v>
      </c>
      <c r="L439" s="4">
        <v>2.1999999999999999E-2</v>
      </c>
      <c r="M439" s="4">
        <v>2.1999999999999999E-2</v>
      </c>
      <c r="N439" s="4">
        <v>2.1999999999999999E-2</v>
      </c>
      <c r="O439" s="4">
        <v>2.1999999999999999E-2</v>
      </c>
      <c r="P439" s="4">
        <v>0</v>
      </c>
      <c r="Q439" s="3" t="s">
        <v>26</v>
      </c>
      <c r="R439" s="3">
        <v>0</v>
      </c>
      <c r="S439" s="4">
        <v>0</v>
      </c>
      <c r="T439" s="4">
        <v>30</v>
      </c>
      <c r="U439" s="4">
        <v>70</v>
      </c>
      <c r="V439" s="4">
        <f>IF(ISERROR(VLOOKUP($S$439,'TAR FIN'!$A$1:$O$91,15,0)),0,VLOOKUP($S$439,'TAR FIN'!$A$1:$O$91,15,0))</f>
        <v>0</v>
      </c>
      <c r="W439" s="4">
        <f>IF(ISERROR(VLOOKUP($T$439,'TAR FIN'!$A$1:$O$91,15,0)),0,VLOOKUP($T$439,'TAR FIN'!$A$1:$O$91,15,0))</f>
        <v>533.92999999999995</v>
      </c>
      <c r="X439" s="4">
        <f>IF(ISERROR(VLOOKUP($U$439,'TAR FIN'!$A$1:$O$91,15,0)),0,VLOOKUP($U$439,'TAR FIN'!$A$1:$O$91,15,0))</f>
        <v>167.16</v>
      </c>
      <c r="Y439" s="4"/>
      <c r="Z439" s="4">
        <f ca="1">('TUSD BE'!$AM$34+'TUSD BF_350'!$AM$34+'TUSD CVA'!$AM$34)*(1-CUSTOS!$M$38)</f>
        <v>685.07427471052529</v>
      </c>
      <c r="AA439" s="4">
        <f ca="1">('TE BE'!$AB$25+'TE BF_350'!$AB$25+'TE CVA'!$AB$25)*(1-CUSTOS!$M$38)</f>
        <v>184.1432479319173</v>
      </c>
      <c r="AB439" s="4">
        <f>$K$439*$V$439</f>
        <v>0</v>
      </c>
      <c r="AC439" s="4">
        <f>$M$439*$W$439</f>
        <v>11.746459999999999</v>
      </c>
      <c r="AD439" s="4">
        <f>$O$439*$X$439</f>
        <v>3.6775199999999999</v>
      </c>
      <c r="AE439" s="4">
        <f>$K$439*$Y$439</f>
        <v>0</v>
      </c>
      <c r="AF439" s="4">
        <f ca="1">$M$439*$Z$439</f>
        <v>15.071634043631555</v>
      </c>
      <c r="AG439" s="4">
        <f ca="1">$O$439*$AA$439</f>
        <v>4.0511514545021807</v>
      </c>
    </row>
    <row r="440" spans="1:33" ht="11.25" customHeight="1" x14ac:dyDescent="0.3">
      <c r="A440" s="3" t="s">
        <v>21</v>
      </c>
      <c r="B440" s="3" t="s">
        <v>42</v>
      </c>
      <c r="C440" s="3" t="s">
        <v>33</v>
      </c>
      <c r="D440" s="3" t="s">
        <v>43</v>
      </c>
      <c r="E440" s="3" t="s">
        <v>25</v>
      </c>
      <c r="F440" s="3" t="s">
        <v>25</v>
      </c>
      <c r="G440" s="3" t="s">
        <v>25</v>
      </c>
      <c r="H440" s="3" t="s">
        <v>36</v>
      </c>
      <c r="I440" s="6">
        <v>44713</v>
      </c>
      <c r="J440" s="4">
        <v>0</v>
      </c>
      <c r="K440" s="4">
        <v>0</v>
      </c>
      <c r="L440" s="4">
        <v>2.1999999999999999E-2</v>
      </c>
      <c r="M440" s="4">
        <v>2.1999999999999999E-2</v>
      </c>
      <c r="N440" s="4">
        <v>2.1999999999999999E-2</v>
      </c>
      <c r="O440" s="4">
        <v>2.1999999999999999E-2</v>
      </c>
      <c r="P440" s="4">
        <v>0</v>
      </c>
      <c r="Q440" s="3" t="s">
        <v>26</v>
      </c>
      <c r="R440" s="3">
        <v>0</v>
      </c>
      <c r="S440" s="4">
        <v>0</v>
      </c>
      <c r="T440" s="4">
        <v>30</v>
      </c>
      <c r="U440" s="4">
        <v>70</v>
      </c>
      <c r="V440" s="4">
        <f>IF(ISERROR(VLOOKUP($S$440,'TAR FIN'!$A$1:$O$91,15,0)),0,VLOOKUP($S$440,'TAR FIN'!$A$1:$O$91,15,0))</f>
        <v>0</v>
      </c>
      <c r="W440" s="4">
        <f>IF(ISERROR(VLOOKUP($T$440,'TAR FIN'!$A$1:$O$91,15,0)),0,VLOOKUP($T$440,'TAR FIN'!$A$1:$O$91,15,0))</f>
        <v>533.92999999999995</v>
      </c>
      <c r="X440" s="4">
        <f>IF(ISERROR(VLOOKUP($U$440,'TAR FIN'!$A$1:$O$91,15,0)),0,VLOOKUP($U$440,'TAR FIN'!$A$1:$O$91,15,0))</f>
        <v>167.16</v>
      </c>
      <c r="Y440" s="4"/>
      <c r="Z440" s="4">
        <f ca="1">('TUSD BE'!$AM$34+'TUSD BF_350'!$AM$34+'TUSD CVA'!$AM$34)*(1-CUSTOS!$M$38)</f>
        <v>685.07427471052529</v>
      </c>
      <c r="AA440" s="4">
        <f ca="1">('TE BE'!$AB$25+'TE BF_350'!$AB$25+'TE CVA'!$AB$25)*(1-CUSTOS!$M$38)</f>
        <v>184.1432479319173</v>
      </c>
      <c r="AB440" s="4">
        <f>$K$440*$V$440</f>
        <v>0</v>
      </c>
      <c r="AC440" s="4">
        <f>$M$440*$W$440</f>
        <v>11.746459999999999</v>
      </c>
      <c r="AD440" s="4">
        <f>$O$440*$X$440</f>
        <v>3.6775199999999999</v>
      </c>
      <c r="AE440" s="4">
        <f>$K$440*$Y$440</f>
        <v>0</v>
      </c>
      <c r="AF440" s="4">
        <f ca="1">$M$440*$Z$440</f>
        <v>15.071634043631555</v>
      </c>
      <c r="AG440" s="4">
        <f ca="1">$O$440*$AA$440</f>
        <v>4.0511514545021807</v>
      </c>
    </row>
    <row r="441" spans="1:33" ht="11.25" customHeight="1" x14ac:dyDescent="0.3">
      <c r="A441" s="3" t="s">
        <v>21</v>
      </c>
      <c r="B441" s="3" t="s">
        <v>42</v>
      </c>
      <c r="C441" s="3" t="s">
        <v>33</v>
      </c>
      <c r="D441" s="3" t="s">
        <v>43</v>
      </c>
      <c r="E441" s="3" t="s">
        <v>25</v>
      </c>
      <c r="F441" s="3" t="s">
        <v>25</v>
      </c>
      <c r="G441" s="3" t="s">
        <v>25</v>
      </c>
      <c r="H441" s="3" t="s">
        <v>34</v>
      </c>
      <c r="I441" s="6">
        <v>44409</v>
      </c>
      <c r="J441" s="4">
        <v>0</v>
      </c>
      <c r="K441" s="4">
        <v>0</v>
      </c>
      <c r="L441" s="4">
        <v>3.2000000000000001E-2</v>
      </c>
      <c r="M441" s="4">
        <v>3.2000000000000001E-2</v>
      </c>
      <c r="N441" s="4">
        <v>3.2000000000000001E-2</v>
      </c>
      <c r="O441" s="4">
        <v>3.2000000000000001E-2</v>
      </c>
      <c r="P441" s="4">
        <v>0</v>
      </c>
      <c r="Q441" s="3" t="s">
        <v>26</v>
      </c>
      <c r="R441" s="3">
        <v>0</v>
      </c>
      <c r="S441" s="4">
        <v>0</v>
      </c>
      <c r="T441" s="4">
        <v>29</v>
      </c>
      <c r="U441" s="4">
        <v>69</v>
      </c>
      <c r="V441" s="4">
        <f>IF(ISERROR(VLOOKUP($S$441,'TAR FIN'!$A$1:$O$91,15,0)),0,VLOOKUP($S$441,'TAR FIN'!$A$1:$O$91,15,0))</f>
        <v>0</v>
      </c>
      <c r="W441" s="4">
        <f>IF(ISERROR(VLOOKUP($T$441,'TAR FIN'!$A$1:$O$91,15,0)),0,VLOOKUP($T$441,'TAR FIN'!$A$1:$O$91,15,0))</f>
        <v>824.14</v>
      </c>
      <c r="X441" s="4">
        <f>IF(ISERROR(VLOOKUP($U$441,'TAR FIN'!$A$1:$O$91,15,0)),0,VLOOKUP($U$441,'TAR FIN'!$A$1:$O$91,15,0))</f>
        <v>262.98</v>
      </c>
      <c r="Y441" s="4"/>
      <c r="Z441" s="4">
        <f ca="1">('TUSD BE'!$AM$33+'TUSD BF_350'!$AM$33+'TUSD CVA'!$AM$33)*(1-CUSTOS!$M$38)</f>
        <v>1061.3938140842067</v>
      </c>
      <c r="AA441" s="4">
        <f ca="1">('TE BE'!$AB$24+'TE BF_350'!$AB$24+'TE CVA'!$AB$24)*(1-CUSTOS!$M$38)</f>
        <v>292.72708179946335</v>
      </c>
      <c r="AB441" s="4">
        <f>$K$441*$V$441</f>
        <v>0</v>
      </c>
      <c r="AC441" s="4">
        <f>$M$441*$W$441</f>
        <v>26.372479999999999</v>
      </c>
      <c r="AD441" s="4">
        <f>$O$441*$X$441</f>
        <v>8.4153600000000015</v>
      </c>
      <c r="AE441" s="4">
        <f>$K$441*$Y$441</f>
        <v>0</v>
      </c>
      <c r="AF441" s="4">
        <f ca="1">$M$441*$Z$441</f>
        <v>33.964602050694616</v>
      </c>
      <c r="AG441" s="4">
        <f ca="1">$O$441*$AA$441</f>
        <v>9.3672666175828265</v>
      </c>
    </row>
    <row r="442" spans="1:33" ht="11.25" customHeight="1" x14ac:dyDescent="0.3">
      <c r="A442" s="3" t="s">
        <v>21</v>
      </c>
      <c r="B442" s="3" t="s">
        <v>42</v>
      </c>
      <c r="C442" s="3" t="s">
        <v>33</v>
      </c>
      <c r="D442" s="3" t="s">
        <v>43</v>
      </c>
      <c r="E442" s="3" t="s">
        <v>25</v>
      </c>
      <c r="F442" s="3" t="s">
        <v>25</v>
      </c>
      <c r="G442" s="3" t="s">
        <v>25</v>
      </c>
      <c r="H442" s="3" t="s">
        <v>34</v>
      </c>
      <c r="I442" s="6">
        <v>44470</v>
      </c>
      <c r="J442" s="4">
        <v>0</v>
      </c>
      <c r="K442" s="4">
        <v>0</v>
      </c>
      <c r="L442" s="4">
        <v>2.9000000000000001E-2</v>
      </c>
      <c r="M442" s="4">
        <v>2.9000000000000001E-2</v>
      </c>
      <c r="N442" s="4">
        <v>2.9000000000000001E-2</v>
      </c>
      <c r="O442" s="4">
        <v>2.9000000000000001E-2</v>
      </c>
      <c r="P442" s="4">
        <v>0</v>
      </c>
      <c r="Q442" s="3" t="s">
        <v>26</v>
      </c>
      <c r="R442" s="3">
        <v>0</v>
      </c>
      <c r="S442" s="4">
        <v>0</v>
      </c>
      <c r="T442" s="4">
        <v>29</v>
      </c>
      <c r="U442" s="4">
        <v>69</v>
      </c>
      <c r="V442" s="4">
        <f>IF(ISERROR(VLOOKUP($S$442,'TAR FIN'!$A$1:$O$91,15,0)),0,VLOOKUP($S$442,'TAR FIN'!$A$1:$O$91,15,0))</f>
        <v>0</v>
      </c>
      <c r="W442" s="4">
        <f>IF(ISERROR(VLOOKUP($T$442,'TAR FIN'!$A$1:$O$91,15,0)),0,VLOOKUP($T$442,'TAR FIN'!$A$1:$O$91,15,0))</f>
        <v>824.14</v>
      </c>
      <c r="X442" s="4">
        <f>IF(ISERROR(VLOOKUP($U$442,'TAR FIN'!$A$1:$O$91,15,0)),0,VLOOKUP($U$442,'TAR FIN'!$A$1:$O$91,15,0))</f>
        <v>262.98</v>
      </c>
      <c r="Y442" s="4"/>
      <c r="Z442" s="4">
        <f ca="1">('TUSD BE'!$AM$33+'TUSD BF_350'!$AM$33+'TUSD CVA'!$AM$33)*(1-CUSTOS!$M$38)</f>
        <v>1061.3938140842067</v>
      </c>
      <c r="AA442" s="4">
        <f ca="1">('TE BE'!$AB$24+'TE BF_350'!$AB$24+'TE CVA'!$AB$24)*(1-CUSTOS!$M$38)</f>
        <v>292.72708179946335</v>
      </c>
      <c r="AB442" s="4">
        <f>$K$442*$V$442</f>
        <v>0</v>
      </c>
      <c r="AC442" s="4">
        <f>$M$442*$W$442</f>
        <v>23.90006</v>
      </c>
      <c r="AD442" s="4">
        <f>$O$442*$X$442</f>
        <v>7.6264200000000013</v>
      </c>
      <c r="AE442" s="4">
        <f>$K$442*$Y$442</f>
        <v>0</v>
      </c>
      <c r="AF442" s="4">
        <f ca="1">$M$442*$Z$442</f>
        <v>30.780420608441997</v>
      </c>
      <c r="AG442" s="4">
        <f ca="1">$O$442*$AA$442</f>
        <v>8.4890853721844373</v>
      </c>
    </row>
    <row r="443" spans="1:33" ht="11.25" customHeight="1" x14ac:dyDescent="0.3">
      <c r="A443" s="3" t="s">
        <v>21</v>
      </c>
      <c r="B443" s="3" t="s">
        <v>42</v>
      </c>
      <c r="C443" s="3" t="s">
        <v>33</v>
      </c>
      <c r="D443" s="3" t="s">
        <v>43</v>
      </c>
      <c r="E443" s="3" t="s">
        <v>25</v>
      </c>
      <c r="F443" s="3" t="s">
        <v>25</v>
      </c>
      <c r="G443" s="3" t="s">
        <v>25</v>
      </c>
      <c r="H443" s="3" t="s">
        <v>34</v>
      </c>
      <c r="I443" s="6">
        <v>44501</v>
      </c>
      <c r="J443" s="4">
        <v>0</v>
      </c>
      <c r="K443" s="4">
        <v>0</v>
      </c>
      <c r="L443" s="4">
        <v>3.4000000000000002E-2</v>
      </c>
      <c r="M443" s="4">
        <v>3.4000000000000002E-2</v>
      </c>
      <c r="N443" s="4">
        <v>3.4000000000000002E-2</v>
      </c>
      <c r="O443" s="4">
        <v>3.4000000000000002E-2</v>
      </c>
      <c r="P443" s="4">
        <v>0</v>
      </c>
      <c r="Q443" s="3" t="s">
        <v>26</v>
      </c>
      <c r="R443" s="3">
        <v>0</v>
      </c>
      <c r="S443" s="4">
        <v>0</v>
      </c>
      <c r="T443" s="4">
        <v>29</v>
      </c>
      <c r="U443" s="4">
        <v>69</v>
      </c>
      <c r="V443" s="4">
        <f>IF(ISERROR(VLOOKUP($S$443,'TAR FIN'!$A$1:$O$91,15,0)),0,VLOOKUP($S$443,'TAR FIN'!$A$1:$O$91,15,0))</f>
        <v>0</v>
      </c>
      <c r="W443" s="4">
        <f>IF(ISERROR(VLOOKUP($T$443,'TAR FIN'!$A$1:$O$91,15,0)),0,VLOOKUP($T$443,'TAR FIN'!$A$1:$O$91,15,0))</f>
        <v>824.14</v>
      </c>
      <c r="X443" s="4">
        <f>IF(ISERROR(VLOOKUP($U$443,'TAR FIN'!$A$1:$O$91,15,0)),0,VLOOKUP($U$443,'TAR FIN'!$A$1:$O$91,15,0))</f>
        <v>262.98</v>
      </c>
      <c r="Y443" s="4"/>
      <c r="Z443" s="4">
        <f ca="1">('TUSD BE'!$AM$33+'TUSD BF_350'!$AM$33+'TUSD CVA'!$AM$33)*(1-CUSTOS!$M$38)</f>
        <v>1061.3938140842067</v>
      </c>
      <c r="AA443" s="4">
        <f ca="1">('TE BE'!$AB$24+'TE BF_350'!$AB$24+'TE CVA'!$AB$24)*(1-CUSTOS!$M$38)</f>
        <v>292.72708179946335</v>
      </c>
      <c r="AB443" s="4">
        <f>$K$443*$V$443</f>
        <v>0</v>
      </c>
      <c r="AC443" s="4">
        <f>$M$443*$W$443</f>
        <v>28.020760000000003</v>
      </c>
      <c r="AD443" s="4">
        <f>$O$443*$X$443</f>
        <v>8.941320000000001</v>
      </c>
      <c r="AE443" s="4">
        <f>$K$443*$Y$443</f>
        <v>0</v>
      </c>
      <c r="AF443" s="4">
        <f ca="1">$M$443*$Z$443</f>
        <v>36.087389678863033</v>
      </c>
      <c r="AG443" s="4">
        <f ca="1">$O$443*$AA$443</f>
        <v>9.9527207811817551</v>
      </c>
    </row>
    <row r="444" spans="1:33" ht="11.25" customHeight="1" x14ac:dyDescent="0.3">
      <c r="A444" s="3" t="s">
        <v>21</v>
      </c>
      <c r="B444" s="3" t="s">
        <v>42</v>
      </c>
      <c r="C444" s="3" t="s">
        <v>33</v>
      </c>
      <c r="D444" s="3" t="s">
        <v>43</v>
      </c>
      <c r="E444" s="3" t="s">
        <v>25</v>
      </c>
      <c r="F444" s="3" t="s">
        <v>25</v>
      </c>
      <c r="G444" s="3" t="s">
        <v>25</v>
      </c>
      <c r="H444" s="3" t="s">
        <v>34</v>
      </c>
      <c r="I444" s="6">
        <v>44531</v>
      </c>
      <c r="J444" s="4">
        <v>0</v>
      </c>
      <c r="K444" s="4">
        <v>0</v>
      </c>
      <c r="L444" s="4">
        <v>0.05</v>
      </c>
      <c r="M444" s="4">
        <v>0.05</v>
      </c>
      <c r="N444" s="4">
        <v>0.05</v>
      </c>
      <c r="O444" s="4">
        <v>0.05</v>
      </c>
      <c r="P444" s="4">
        <v>0</v>
      </c>
      <c r="Q444" s="3" t="s">
        <v>26</v>
      </c>
      <c r="R444" s="3">
        <v>0</v>
      </c>
      <c r="S444" s="4">
        <v>0</v>
      </c>
      <c r="T444" s="4">
        <v>29</v>
      </c>
      <c r="U444" s="4">
        <v>69</v>
      </c>
      <c r="V444" s="4">
        <f>IF(ISERROR(VLOOKUP($S$444,'TAR FIN'!$A$1:$O$91,15,0)),0,VLOOKUP($S$444,'TAR FIN'!$A$1:$O$91,15,0))</f>
        <v>0</v>
      </c>
      <c r="W444" s="4">
        <f>IF(ISERROR(VLOOKUP($T$444,'TAR FIN'!$A$1:$O$91,15,0)),0,VLOOKUP($T$444,'TAR FIN'!$A$1:$O$91,15,0))</f>
        <v>824.14</v>
      </c>
      <c r="X444" s="4">
        <f>IF(ISERROR(VLOOKUP($U$444,'TAR FIN'!$A$1:$O$91,15,0)),0,VLOOKUP($U$444,'TAR FIN'!$A$1:$O$91,15,0))</f>
        <v>262.98</v>
      </c>
      <c r="Y444" s="4"/>
      <c r="Z444" s="4">
        <f ca="1">('TUSD BE'!$AM$33+'TUSD BF_350'!$AM$33+'TUSD CVA'!$AM$33)*(1-CUSTOS!$M$38)</f>
        <v>1061.3938140842067</v>
      </c>
      <c r="AA444" s="4">
        <f ca="1">('TE BE'!$AB$24+'TE BF_350'!$AB$24+'TE CVA'!$AB$24)*(1-CUSTOS!$M$38)</f>
        <v>292.72708179946335</v>
      </c>
      <c r="AB444" s="4">
        <f>$K$444*$V$444</f>
        <v>0</v>
      </c>
      <c r="AC444" s="4">
        <f>$M$444*$W$444</f>
        <v>41.207000000000001</v>
      </c>
      <c r="AD444" s="4">
        <f>$O$444*$X$444</f>
        <v>13.149000000000001</v>
      </c>
      <c r="AE444" s="4">
        <f>$K$444*$Y$444</f>
        <v>0</v>
      </c>
      <c r="AF444" s="4">
        <f ca="1">$M$444*$Z$444</f>
        <v>53.069690704210338</v>
      </c>
      <c r="AG444" s="4">
        <f ca="1">$O$444*$AA$444</f>
        <v>14.636354089973167</v>
      </c>
    </row>
    <row r="445" spans="1:33" ht="11.25" customHeight="1" x14ac:dyDescent="0.3">
      <c r="A445" s="3" t="s">
        <v>21</v>
      </c>
      <c r="B445" s="3" t="s">
        <v>42</v>
      </c>
      <c r="C445" s="3" t="s">
        <v>33</v>
      </c>
      <c r="D445" s="3" t="s">
        <v>43</v>
      </c>
      <c r="E445" s="3" t="s">
        <v>25</v>
      </c>
      <c r="F445" s="3" t="s">
        <v>25</v>
      </c>
      <c r="G445" s="3" t="s">
        <v>25</v>
      </c>
      <c r="H445" s="3" t="s">
        <v>34</v>
      </c>
      <c r="I445" s="6">
        <v>44562</v>
      </c>
      <c r="J445" s="4">
        <v>0</v>
      </c>
      <c r="K445" s="4">
        <v>0</v>
      </c>
      <c r="L445" s="4">
        <v>3.5000000000000003E-2</v>
      </c>
      <c r="M445" s="4">
        <v>3.5000000000000003E-2</v>
      </c>
      <c r="N445" s="4">
        <v>3.5000000000000003E-2</v>
      </c>
      <c r="O445" s="4">
        <v>3.5000000000000003E-2</v>
      </c>
      <c r="P445" s="4">
        <v>0</v>
      </c>
      <c r="Q445" s="3" t="s">
        <v>26</v>
      </c>
      <c r="R445" s="3">
        <v>0</v>
      </c>
      <c r="S445" s="4">
        <v>0</v>
      </c>
      <c r="T445" s="4">
        <v>29</v>
      </c>
      <c r="U445" s="4">
        <v>69</v>
      </c>
      <c r="V445" s="4">
        <f>IF(ISERROR(VLOOKUP($S$445,'TAR FIN'!$A$1:$O$91,15,0)),0,VLOOKUP($S$445,'TAR FIN'!$A$1:$O$91,15,0))</f>
        <v>0</v>
      </c>
      <c r="W445" s="4">
        <f>IF(ISERROR(VLOOKUP($T$445,'TAR FIN'!$A$1:$O$91,15,0)),0,VLOOKUP($T$445,'TAR FIN'!$A$1:$O$91,15,0))</f>
        <v>824.14</v>
      </c>
      <c r="X445" s="4">
        <f>IF(ISERROR(VLOOKUP($U$445,'TAR FIN'!$A$1:$O$91,15,0)),0,VLOOKUP($U$445,'TAR FIN'!$A$1:$O$91,15,0))</f>
        <v>262.98</v>
      </c>
      <c r="Y445" s="4"/>
      <c r="Z445" s="4">
        <f ca="1">('TUSD BE'!$AM$33+'TUSD BF_350'!$AM$33+'TUSD CVA'!$AM$33)*(1-CUSTOS!$M$38)</f>
        <v>1061.3938140842067</v>
      </c>
      <c r="AA445" s="4">
        <f ca="1">('TE BE'!$AB$24+'TE BF_350'!$AB$24+'TE CVA'!$AB$24)*(1-CUSTOS!$M$38)</f>
        <v>292.72708179946335</v>
      </c>
      <c r="AB445" s="4">
        <f>$K$445*$V$445</f>
        <v>0</v>
      </c>
      <c r="AC445" s="4">
        <f>$M$445*$W$445</f>
        <v>28.844900000000003</v>
      </c>
      <c r="AD445" s="4">
        <f>$O$445*$X$445</f>
        <v>9.2043000000000017</v>
      </c>
      <c r="AE445" s="4">
        <f>$K$445*$Y$445</f>
        <v>0</v>
      </c>
      <c r="AF445" s="4">
        <f ca="1">$M$445*$Z$445</f>
        <v>37.148783492947238</v>
      </c>
      <c r="AG445" s="4">
        <f ca="1">$O$445*$AA$445</f>
        <v>10.245447862981218</v>
      </c>
    </row>
    <row r="446" spans="1:33" ht="11.25" customHeight="1" x14ac:dyDescent="0.3">
      <c r="A446" s="3" t="s">
        <v>21</v>
      </c>
      <c r="B446" s="3" t="s">
        <v>42</v>
      </c>
      <c r="C446" s="3" t="s">
        <v>33</v>
      </c>
      <c r="D446" s="3" t="s">
        <v>43</v>
      </c>
      <c r="E446" s="3" t="s">
        <v>25</v>
      </c>
      <c r="F446" s="3" t="s">
        <v>25</v>
      </c>
      <c r="G446" s="3" t="s">
        <v>25</v>
      </c>
      <c r="H446" s="3" t="s">
        <v>34</v>
      </c>
      <c r="I446" s="6">
        <v>44593</v>
      </c>
      <c r="J446" s="4">
        <v>0</v>
      </c>
      <c r="K446" s="4">
        <v>0</v>
      </c>
      <c r="L446" s="4">
        <v>3.5999999999999997E-2</v>
      </c>
      <c r="M446" s="4">
        <v>3.5999999999999997E-2</v>
      </c>
      <c r="N446" s="4">
        <v>3.5999999999999997E-2</v>
      </c>
      <c r="O446" s="4">
        <v>3.5999999999999997E-2</v>
      </c>
      <c r="P446" s="4">
        <v>0</v>
      </c>
      <c r="Q446" s="3" t="s">
        <v>26</v>
      </c>
      <c r="R446" s="3">
        <v>0</v>
      </c>
      <c r="S446" s="4">
        <v>0</v>
      </c>
      <c r="T446" s="4">
        <v>29</v>
      </c>
      <c r="U446" s="4">
        <v>69</v>
      </c>
      <c r="V446" s="4">
        <f>IF(ISERROR(VLOOKUP($S$446,'TAR FIN'!$A$1:$O$91,15,0)),0,VLOOKUP($S$446,'TAR FIN'!$A$1:$O$91,15,0))</f>
        <v>0</v>
      </c>
      <c r="W446" s="4">
        <f>IF(ISERROR(VLOOKUP($T$446,'TAR FIN'!$A$1:$O$91,15,0)),0,VLOOKUP($T$446,'TAR FIN'!$A$1:$O$91,15,0))</f>
        <v>824.14</v>
      </c>
      <c r="X446" s="4">
        <f>IF(ISERROR(VLOOKUP($U$446,'TAR FIN'!$A$1:$O$91,15,0)),0,VLOOKUP($U$446,'TAR FIN'!$A$1:$O$91,15,0))</f>
        <v>262.98</v>
      </c>
      <c r="Y446" s="4"/>
      <c r="Z446" s="4">
        <f ca="1">('TUSD BE'!$AM$33+'TUSD BF_350'!$AM$33+'TUSD CVA'!$AM$33)*(1-CUSTOS!$M$38)</f>
        <v>1061.3938140842067</v>
      </c>
      <c r="AA446" s="4">
        <f ca="1">('TE BE'!$AB$24+'TE BF_350'!$AB$24+'TE CVA'!$AB$24)*(1-CUSTOS!$M$38)</f>
        <v>292.72708179946335</v>
      </c>
      <c r="AB446" s="4">
        <f>$K$446*$V$446</f>
        <v>0</v>
      </c>
      <c r="AC446" s="4">
        <f>$M$446*$W$446</f>
        <v>29.669039999999999</v>
      </c>
      <c r="AD446" s="4">
        <f>$O$446*$X$446</f>
        <v>9.4672800000000006</v>
      </c>
      <c r="AE446" s="4">
        <f>$K$446*$Y$446</f>
        <v>0</v>
      </c>
      <c r="AF446" s="4">
        <f ca="1">$M$446*$Z$446</f>
        <v>38.210177307031437</v>
      </c>
      <c r="AG446" s="4">
        <f ca="1">$O$446*$AA$446</f>
        <v>10.53817494478068</v>
      </c>
    </row>
    <row r="447" spans="1:33" ht="11.25" customHeight="1" x14ac:dyDescent="0.3">
      <c r="A447" s="3" t="s">
        <v>21</v>
      </c>
      <c r="B447" s="3" t="s">
        <v>42</v>
      </c>
      <c r="C447" s="3" t="s">
        <v>33</v>
      </c>
      <c r="D447" s="3" t="s">
        <v>43</v>
      </c>
      <c r="E447" s="3" t="s">
        <v>25</v>
      </c>
      <c r="F447" s="3" t="s">
        <v>25</v>
      </c>
      <c r="G447" s="3" t="s">
        <v>25</v>
      </c>
      <c r="H447" s="3" t="s">
        <v>34</v>
      </c>
      <c r="I447" s="6">
        <v>44621</v>
      </c>
      <c r="J447" s="4">
        <v>0</v>
      </c>
      <c r="K447" s="4">
        <v>0</v>
      </c>
      <c r="L447" s="4">
        <v>0.03</v>
      </c>
      <c r="M447" s="4">
        <v>0.03</v>
      </c>
      <c r="N447" s="4">
        <v>0.03</v>
      </c>
      <c r="O447" s="4">
        <v>0.03</v>
      </c>
      <c r="P447" s="4">
        <v>0</v>
      </c>
      <c r="Q447" s="3" t="s">
        <v>26</v>
      </c>
      <c r="R447" s="3">
        <v>0</v>
      </c>
      <c r="S447" s="4">
        <v>0</v>
      </c>
      <c r="T447" s="4">
        <v>29</v>
      </c>
      <c r="U447" s="4">
        <v>69</v>
      </c>
      <c r="V447" s="4">
        <f>IF(ISERROR(VLOOKUP($S$447,'TAR FIN'!$A$1:$O$91,15,0)),0,VLOOKUP($S$447,'TAR FIN'!$A$1:$O$91,15,0))</f>
        <v>0</v>
      </c>
      <c r="W447" s="4">
        <f>IF(ISERROR(VLOOKUP($T$447,'TAR FIN'!$A$1:$O$91,15,0)),0,VLOOKUP($T$447,'TAR FIN'!$A$1:$O$91,15,0))</f>
        <v>824.14</v>
      </c>
      <c r="X447" s="4">
        <f>IF(ISERROR(VLOOKUP($U$447,'TAR FIN'!$A$1:$O$91,15,0)),0,VLOOKUP($U$447,'TAR FIN'!$A$1:$O$91,15,0))</f>
        <v>262.98</v>
      </c>
      <c r="Y447" s="4"/>
      <c r="Z447" s="4">
        <f ca="1">('TUSD BE'!$AM$33+'TUSD BF_350'!$AM$33+'TUSD CVA'!$AM$33)*(1-CUSTOS!$M$38)</f>
        <v>1061.3938140842067</v>
      </c>
      <c r="AA447" s="4">
        <f ca="1">('TE BE'!$AB$24+'TE BF_350'!$AB$24+'TE CVA'!$AB$24)*(1-CUSTOS!$M$38)</f>
        <v>292.72708179946335</v>
      </c>
      <c r="AB447" s="4">
        <f>$K$447*$V$447</f>
        <v>0</v>
      </c>
      <c r="AC447" s="4">
        <f>$M$447*$W$447</f>
        <v>24.7242</v>
      </c>
      <c r="AD447" s="4">
        <f>$O$447*$X$447</f>
        <v>7.8894000000000002</v>
      </c>
      <c r="AE447" s="4">
        <f>$K$447*$Y$447</f>
        <v>0</v>
      </c>
      <c r="AF447" s="4">
        <f ca="1">$M$447*$Z$447</f>
        <v>31.841814422526202</v>
      </c>
      <c r="AG447" s="4">
        <f ca="1">$O$447*$AA$447</f>
        <v>8.7818124539838998</v>
      </c>
    </row>
    <row r="448" spans="1:33" ht="11.25" customHeight="1" x14ac:dyDescent="0.3">
      <c r="A448" s="3" t="s">
        <v>21</v>
      </c>
      <c r="B448" s="3" t="s">
        <v>42</v>
      </c>
      <c r="C448" s="3" t="s">
        <v>33</v>
      </c>
      <c r="D448" s="3" t="s">
        <v>43</v>
      </c>
      <c r="E448" s="3" t="s">
        <v>25</v>
      </c>
      <c r="F448" s="3" t="s">
        <v>25</v>
      </c>
      <c r="G448" s="3" t="s">
        <v>25</v>
      </c>
      <c r="H448" s="3" t="s">
        <v>34</v>
      </c>
      <c r="I448" s="6">
        <v>44652</v>
      </c>
      <c r="J448" s="4">
        <v>0</v>
      </c>
      <c r="K448" s="4">
        <v>0</v>
      </c>
      <c r="L448" s="4">
        <v>3.1E-2</v>
      </c>
      <c r="M448" s="4">
        <v>3.1E-2</v>
      </c>
      <c r="N448" s="4">
        <v>3.1E-2</v>
      </c>
      <c r="O448" s="4">
        <v>3.1E-2</v>
      </c>
      <c r="P448" s="4">
        <v>0</v>
      </c>
      <c r="Q448" s="3" t="s">
        <v>26</v>
      </c>
      <c r="R448" s="3">
        <v>0</v>
      </c>
      <c r="S448" s="4">
        <v>0</v>
      </c>
      <c r="T448" s="4">
        <v>29</v>
      </c>
      <c r="U448" s="4">
        <v>69</v>
      </c>
      <c r="V448" s="4">
        <f>IF(ISERROR(VLOOKUP($S$448,'TAR FIN'!$A$1:$O$91,15,0)),0,VLOOKUP($S$448,'TAR FIN'!$A$1:$O$91,15,0))</f>
        <v>0</v>
      </c>
      <c r="W448" s="4">
        <f>IF(ISERROR(VLOOKUP($T$448,'TAR FIN'!$A$1:$O$91,15,0)),0,VLOOKUP($T$448,'TAR FIN'!$A$1:$O$91,15,0))</f>
        <v>824.14</v>
      </c>
      <c r="X448" s="4">
        <f>IF(ISERROR(VLOOKUP($U$448,'TAR FIN'!$A$1:$O$91,15,0)),0,VLOOKUP($U$448,'TAR FIN'!$A$1:$O$91,15,0))</f>
        <v>262.98</v>
      </c>
      <c r="Y448" s="4"/>
      <c r="Z448" s="4">
        <f ca="1">('TUSD BE'!$AM$33+'TUSD BF_350'!$AM$33+'TUSD CVA'!$AM$33)*(1-CUSTOS!$M$38)</f>
        <v>1061.3938140842067</v>
      </c>
      <c r="AA448" s="4">
        <f ca="1">('TE BE'!$AB$24+'TE BF_350'!$AB$24+'TE CVA'!$AB$24)*(1-CUSTOS!$M$38)</f>
        <v>292.72708179946335</v>
      </c>
      <c r="AB448" s="4">
        <f>$K$448*$V$448</f>
        <v>0</v>
      </c>
      <c r="AC448" s="4">
        <f>$M$448*$W$448</f>
        <v>25.54834</v>
      </c>
      <c r="AD448" s="4">
        <f>$O$448*$X$448</f>
        <v>8.1523800000000008</v>
      </c>
      <c r="AE448" s="4">
        <f>$K$448*$Y$448</f>
        <v>0</v>
      </c>
      <c r="AF448" s="4">
        <f ca="1">$M$448*$Z$448</f>
        <v>32.903208236610411</v>
      </c>
      <c r="AG448" s="4">
        <f ca="1">$O$448*$AA$448</f>
        <v>9.074539535783364</v>
      </c>
    </row>
    <row r="449" spans="1:33" ht="11.25" customHeight="1" x14ac:dyDescent="0.3">
      <c r="A449" s="3" t="s">
        <v>21</v>
      </c>
      <c r="B449" s="3" t="s">
        <v>42</v>
      </c>
      <c r="C449" s="3" t="s">
        <v>33</v>
      </c>
      <c r="D449" s="3" t="s">
        <v>43</v>
      </c>
      <c r="E449" s="3" t="s">
        <v>25</v>
      </c>
      <c r="F449" s="3" t="s">
        <v>25</v>
      </c>
      <c r="G449" s="3" t="s">
        <v>25</v>
      </c>
      <c r="H449" s="3" t="s">
        <v>34</v>
      </c>
      <c r="I449" s="6">
        <v>44682</v>
      </c>
      <c r="J449" s="4">
        <v>0</v>
      </c>
      <c r="K449" s="4">
        <v>0</v>
      </c>
      <c r="L449" s="4">
        <v>4.2000000000000003E-2</v>
      </c>
      <c r="M449" s="4">
        <v>4.2000000000000003E-2</v>
      </c>
      <c r="N449" s="4">
        <v>4.2000000000000003E-2</v>
      </c>
      <c r="O449" s="4">
        <v>4.2000000000000003E-2</v>
      </c>
      <c r="P449" s="4">
        <v>0</v>
      </c>
      <c r="Q449" s="3" t="s">
        <v>26</v>
      </c>
      <c r="R449" s="3">
        <v>0</v>
      </c>
      <c r="S449" s="4">
        <v>0</v>
      </c>
      <c r="T449" s="4">
        <v>29</v>
      </c>
      <c r="U449" s="4">
        <v>69</v>
      </c>
      <c r="V449" s="4">
        <f>IF(ISERROR(VLOOKUP($S$449,'TAR FIN'!$A$1:$O$91,15,0)),0,VLOOKUP($S$449,'TAR FIN'!$A$1:$O$91,15,0))</f>
        <v>0</v>
      </c>
      <c r="W449" s="4">
        <f>IF(ISERROR(VLOOKUP($T$449,'TAR FIN'!$A$1:$O$91,15,0)),0,VLOOKUP($T$449,'TAR FIN'!$A$1:$O$91,15,0))</f>
        <v>824.14</v>
      </c>
      <c r="X449" s="4">
        <f>IF(ISERROR(VLOOKUP($U$449,'TAR FIN'!$A$1:$O$91,15,0)),0,VLOOKUP($U$449,'TAR FIN'!$A$1:$O$91,15,0))</f>
        <v>262.98</v>
      </c>
      <c r="Y449" s="4"/>
      <c r="Z449" s="4">
        <f ca="1">('TUSD BE'!$AM$33+'TUSD BF_350'!$AM$33+'TUSD CVA'!$AM$33)*(1-CUSTOS!$M$38)</f>
        <v>1061.3938140842067</v>
      </c>
      <c r="AA449" s="4">
        <f ca="1">('TE BE'!$AB$24+'TE BF_350'!$AB$24+'TE CVA'!$AB$24)*(1-CUSTOS!$M$38)</f>
        <v>292.72708179946335</v>
      </c>
      <c r="AB449" s="4">
        <f>$K$449*$V$449</f>
        <v>0</v>
      </c>
      <c r="AC449" s="4">
        <f>$M$449*$W$449</f>
        <v>34.613880000000002</v>
      </c>
      <c r="AD449" s="4">
        <f>$O$449*$X$449</f>
        <v>11.045160000000001</v>
      </c>
      <c r="AE449" s="4">
        <f>$K$449*$Y$449</f>
        <v>0</v>
      </c>
      <c r="AF449" s="4">
        <f ca="1">$M$449*$Z$449</f>
        <v>44.578540191536682</v>
      </c>
      <c r="AG449" s="4">
        <f ca="1">$O$449*$AA$449</f>
        <v>12.294537435577462</v>
      </c>
    </row>
    <row r="450" spans="1:33" ht="11.25" customHeight="1" x14ac:dyDescent="0.3">
      <c r="A450" s="3" t="s">
        <v>21</v>
      </c>
      <c r="B450" s="3" t="s">
        <v>42</v>
      </c>
      <c r="C450" s="3" t="s">
        <v>33</v>
      </c>
      <c r="D450" s="3" t="s">
        <v>43</v>
      </c>
      <c r="E450" s="3" t="s">
        <v>25</v>
      </c>
      <c r="F450" s="3" t="s">
        <v>25</v>
      </c>
      <c r="G450" s="3" t="s">
        <v>25</v>
      </c>
      <c r="H450" s="3" t="s">
        <v>34</v>
      </c>
      <c r="I450" s="6">
        <v>44713</v>
      </c>
      <c r="J450" s="4">
        <v>0</v>
      </c>
      <c r="K450" s="4">
        <v>0</v>
      </c>
      <c r="L450" s="4">
        <v>4.2000000000000003E-2</v>
      </c>
      <c r="M450" s="4">
        <v>4.2000000000000003E-2</v>
      </c>
      <c r="N450" s="4">
        <v>4.2000000000000003E-2</v>
      </c>
      <c r="O450" s="4">
        <v>4.2000000000000003E-2</v>
      </c>
      <c r="P450" s="4">
        <v>0</v>
      </c>
      <c r="Q450" s="3" t="s">
        <v>26</v>
      </c>
      <c r="R450" s="3">
        <v>0</v>
      </c>
      <c r="S450" s="4">
        <v>0</v>
      </c>
      <c r="T450" s="4">
        <v>29</v>
      </c>
      <c r="U450" s="4">
        <v>69</v>
      </c>
      <c r="V450" s="4">
        <f>IF(ISERROR(VLOOKUP($S$450,'TAR FIN'!$A$1:$O$91,15,0)),0,VLOOKUP($S$450,'TAR FIN'!$A$1:$O$91,15,0))</f>
        <v>0</v>
      </c>
      <c r="W450" s="4">
        <f>IF(ISERROR(VLOOKUP($T$450,'TAR FIN'!$A$1:$O$91,15,0)),0,VLOOKUP($T$450,'TAR FIN'!$A$1:$O$91,15,0))</f>
        <v>824.14</v>
      </c>
      <c r="X450" s="4">
        <f>IF(ISERROR(VLOOKUP($U$450,'TAR FIN'!$A$1:$O$91,15,0)),0,VLOOKUP($U$450,'TAR FIN'!$A$1:$O$91,15,0))</f>
        <v>262.98</v>
      </c>
      <c r="Y450" s="4"/>
      <c r="Z450" s="4">
        <f ca="1">('TUSD BE'!$AM$33+'TUSD BF_350'!$AM$33+'TUSD CVA'!$AM$33)*(1-CUSTOS!$M$38)</f>
        <v>1061.3938140842067</v>
      </c>
      <c r="AA450" s="4">
        <f ca="1">('TE BE'!$AB$24+'TE BF_350'!$AB$24+'TE CVA'!$AB$24)*(1-CUSTOS!$M$38)</f>
        <v>292.72708179946335</v>
      </c>
      <c r="AB450" s="4">
        <f>$K$450*$V$450</f>
        <v>0</v>
      </c>
      <c r="AC450" s="4">
        <f>$M$450*$W$450</f>
        <v>34.613880000000002</v>
      </c>
      <c r="AD450" s="4">
        <f>$O$450*$X$450</f>
        <v>11.045160000000001</v>
      </c>
      <c r="AE450" s="4">
        <f>$K$450*$Y$450</f>
        <v>0</v>
      </c>
      <c r="AF450" s="4">
        <f ca="1">$M$450*$Z$450</f>
        <v>44.578540191536682</v>
      </c>
      <c r="AG450" s="4">
        <f ca="1">$O$450*$AA$450</f>
        <v>12.294537435577462</v>
      </c>
    </row>
    <row r="451" spans="1:33" ht="11.25" customHeight="1" x14ac:dyDescent="0.3">
      <c r="A451" s="3" t="s">
        <v>21</v>
      </c>
      <c r="B451" s="3" t="s">
        <v>42</v>
      </c>
      <c r="C451" s="3" t="s">
        <v>23</v>
      </c>
      <c r="D451" s="3" t="s">
        <v>43</v>
      </c>
      <c r="E451" s="3" t="s">
        <v>51</v>
      </c>
      <c r="F451" s="3" t="s">
        <v>52</v>
      </c>
      <c r="G451" s="3" t="s">
        <v>25</v>
      </c>
      <c r="H451" s="3" t="s">
        <v>25</v>
      </c>
      <c r="I451" s="6">
        <v>44378</v>
      </c>
      <c r="J451" s="4">
        <v>0</v>
      </c>
      <c r="K451" s="4">
        <v>0</v>
      </c>
      <c r="L451" s="4">
        <v>4.2359999999999998</v>
      </c>
      <c r="M451" s="4">
        <v>4.2359999999999998</v>
      </c>
      <c r="N451" s="4">
        <v>4.2359999999999998</v>
      </c>
      <c r="O451" s="4">
        <v>4.2359999999999998</v>
      </c>
      <c r="P451" s="4">
        <v>0</v>
      </c>
      <c r="Q451" s="3" t="s">
        <v>26</v>
      </c>
      <c r="R451" s="3">
        <v>0</v>
      </c>
      <c r="S451" s="4">
        <v>0</v>
      </c>
      <c r="T451" s="4">
        <v>32</v>
      </c>
      <c r="U451" s="4">
        <v>72</v>
      </c>
      <c r="V451" s="4">
        <f>IF(ISERROR(VLOOKUP($S$451,'TAR FIN'!$A$1:$O$91,15,0)),0,VLOOKUP($S$451,'TAR FIN'!$A$1:$O$91,15,0))</f>
        <v>0</v>
      </c>
      <c r="W451" s="4">
        <f>IF(ISERROR(VLOOKUP($T$451,'TAR FIN'!$A$1:$O$91,15,0)),0,VLOOKUP($T$451,'TAR FIN'!$A$1:$O$91,15,0))</f>
        <v>357.74</v>
      </c>
      <c r="X451" s="4">
        <f>IF(ISERROR(VLOOKUP($U$451,'TAR FIN'!$A$1:$O$91,15,0)),0,VLOOKUP($U$451,'TAR FIN'!$A$1:$O$91,15,0))</f>
        <v>175.15</v>
      </c>
      <c r="Y451" s="4"/>
      <c r="Z451" s="4">
        <f ca="1">('TUSD BE'!$AM$36+'TUSD BF_350'!$AM$36+'TUSD CVA'!$AM$36)*(1-CUSTOS!$M$38)</f>
        <v>419.26134561460873</v>
      </c>
      <c r="AA451" s="4">
        <f ca="1">('TE BE'!$AB$27+'TE BF_350'!$AB$27+'TE CVA'!$AB$27)*(1-CUSTOS!$M$38)</f>
        <v>193.19190075421278</v>
      </c>
      <c r="AB451" s="4">
        <f>$K$451*$V$451</f>
        <v>0</v>
      </c>
      <c r="AC451" s="4">
        <f>$M$451*$W$451</f>
        <v>1515.3866399999999</v>
      </c>
      <c r="AD451" s="4">
        <f>$O$451*$X$451</f>
        <v>741.93539999999996</v>
      </c>
      <c r="AE451" s="4">
        <f>$K$451*$Y$451</f>
        <v>0</v>
      </c>
      <c r="AF451" s="4">
        <f ca="1">$M$451*$Z$451</f>
        <v>1775.9910600234825</v>
      </c>
      <c r="AG451" s="4">
        <f ca="1">$O$451*$AA$451</f>
        <v>818.36089159484527</v>
      </c>
    </row>
    <row r="452" spans="1:33" ht="11.25" customHeight="1" x14ac:dyDescent="0.3">
      <c r="A452" s="3" t="s">
        <v>21</v>
      </c>
      <c r="B452" s="3" t="s">
        <v>42</v>
      </c>
      <c r="C452" s="3" t="s">
        <v>23</v>
      </c>
      <c r="D452" s="3" t="s">
        <v>43</v>
      </c>
      <c r="E452" s="3" t="s">
        <v>51</v>
      </c>
      <c r="F452" s="3" t="s">
        <v>52</v>
      </c>
      <c r="G452" s="3" t="s">
        <v>25</v>
      </c>
      <c r="H452" s="3" t="s">
        <v>25</v>
      </c>
      <c r="I452" s="6">
        <v>44409</v>
      </c>
      <c r="J452" s="4">
        <v>0</v>
      </c>
      <c r="K452" s="4">
        <v>0</v>
      </c>
      <c r="L452" s="4">
        <v>5.0670000000000002</v>
      </c>
      <c r="M452" s="4">
        <v>5.0670000000000002</v>
      </c>
      <c r="N452" s="4">
        <v>5.0670000000000002</v>
      </c>
      <c r="O452" s="4">
        <v>5.0670000000000002</v>
      </c>
      <c r="P452" s="4">
        <v>0</v>
      </c>
      <c r="Q452" s="3" t="s">
        <v>26</v>
      </c>
      <c r="R452" s="3">
        <v>0</v>
      </c>
      <c r="S452" s="4">
        <v>0</v>
      </c>
      <c r="T452" s="4">
        <v>32</v>
      </c>
      <c r="U452" s="4">
        <v>72</v>
      </c>
      <c r="V452" s="4">
        <f>IF(ISERROR(VLOOKUP($S$452,'TAR FIN'!$A$1:$O$91,15,0)),0,VLOOKUP($S$452,'TAR FIN'!$A$1:$O$91,15,0))</f>
        <v>0</v>
      </c>
      <c r="W452" s="4">
        <f>IF(ISERROR(VLOOKUP($T$452,'TAR FIN'!$A$1:$O$91,15,0)),0,VLOOKUP($T$452,'TAR FIN'!$A$1:$O$91,15,0))</f>
        <v>357.74</v>
      </c>
      <c r="X452" s="4">
        <f>IF(ISERROR(VLOOKUP($U$452,'TAR FIN'!$A$1:$O$91,15,0)),0,VLOOKUP($U$452,'TAR FIN'!$A$1:$O$91,15,0))</f>
        <v>175.15</v>
      </c>
      <c r="Y452" s="4"/>
      <c r="Z452" s="4">
        <f ca="1">('TUSD BE'!$AM$36+'TUSD BF_350'!$AM$36+'TUSD CVA'!$AM$36)*(1-CUSTOS!$M$38)</f>
        <v>419.26134561460873</v>
      </c>
      <c r="AA452" s="4">
        <f ca="1">('TE BE'!$AB$27+'TE BF_350'!$AB$27+'TE CVA'!$AB$27)*(1-CUSTOS!$M$38)</f>
        <v>193.19190075421278</v>
      </c>
      <c r="AB452" s="4">
        <f>$K$452*$V$452</f>
        <v>0</v>
      </c>
      <c r="AC452" s="4">
        <f>$M$452*$W$452</f>
        <v>1812.66858</v>
      </c>
      <c r="AD452" s="4">
        <f>$O$452*$X$452</f>
        <v>887.48505000000011</v>
      </c>
      <c r="AE452" s="4">
        <f>$K$452*$Y$452</f>
        <v>0</v>
      </c>
      <c r="AF452" s="4">
        <f ca="1">$M$452*$Z$452</f>
        <v>2124.3972382292227</v>
      </c>
      <c r="AG452" s="4">
        <f ca="1">$O$452*$AA$452</f>
        <v>978.90336112159616</v>
      </c>
    </row>
    <row r="453" spans="1:33" ht="11.25" customHeight="1" x14ac:dyDescent="0.3">
      <c r="A453" s="3" t="s">
        <v>21</v>
      </c>
      <c r="B453" s="3" t="s">
        <v>42</v>
      </c>
      <c r="C453" s="3" t="s">
        <v>23</v>
      </c>
      <c r="D453" s="3" t="s">
        <v>43</v>
      </c>
      <c r="E453" s="3" t="s">
        <v>51</v>
      </c>
      <c r="F453" s="3" t="s">
        <v>52</v>
      </c>
      <c r="G453" s="3" t="s">
        <v>25</v>
      </c>
      <c r="H453" s="3" t="s">
        <v>25</v>
      </c>
      <c r="I453" s="6">
        <v>44440</v>
      </c>
      <c r="J453" s="4">
        <v>0</v>
      </c>
      <c r="K453" s="4">
        <v>0</v>
      </c>
      <c r="L453" s="4">
        <v>2.8380000000000001</v>
      </c>
      <c r="M453" s="4">
        <v>2.8380000000000001</v>
      </c>
      <c r="N453" s="4">
        <v>2.8380000000000001</v>
      </c>
      <c r="O453" s="4">
        <v>2.8380000000000001</v>
      </c>
      <c r="P453" s="4">
        <v>0</v>
      </c>
      <c r="Q453" s="3" t="s">
        <v>26</v>
      </c>
      <c r="R453" s="3">
        <v>0</v>
      </c>
      <c r="S453" s="4">
        <v>0</v>
      </c>
      <c r="T453" s="4">
        <v>32</v>
      </c>
      <c r="U453" s="4">
        <v>72</v>
      </c>
      <c r="V453" s="4">
        <f>IF(ISERROR(VLOOKUP($S$453,'TAR FIN'!$A$1:$O$91,15,0)),0,VLOOKUP($S$453,'TAR FIN'!$A$1:$O$91,15,0))</f>
        <v>0</v>
      </c>
      <c r="W453" s="4">
        <f>IF(ISERROR(VLOOKUP($T$453,'TAR FIN'!$A$1:$O$91,15,0)),0,VLOOKUP($T$453,'TAR FIN'!$A$1:$O$91,15,0))</f>
        <v>357.74</v>
      </c>
      <c r="X453" s="4">
        <f>IF(ISERROR(VLOOKUP($U$453,'TAR FIN'!$A$1:$O$91,15,0)),0,VLOOKUP($U$453,'TAR FIN'!$A$1:$O$91,15,0))</f>
        <v>175.15</v>
      </c>
      <c r="Y453" s="4"/>
      <c r="Z453" s="4">
        <f ca="1">('TUSD BE'!$AM$36+'TUSD BF_350'!$AM$36+'TUSD CVA'!$AM$36)*(1-CUSTOS!$M$38)</f>
        <v>419.26134561460873</v>
      </c>
      <c r="AA453" s="4">
        <f ca="1">('TE BE'!$AB$27+'TE BF_350'!$AB$27+'TE CVA'!$AB$27)*(1-CUSTOS!$M$38)</f>
        <v>193.19190075421278</v>
      </c>
      <c r="AB453" s="4">
        <f>$K$453*$V$453</f>
        <v>0</v>
      </c>
      <c r="AC453" s="4">
        <f>$M$453*$W$453</f>
        <v>1015.26612</v>
      </c>
      <c r="AD453" s="4">
        <f>$O$453*$X$453</f>
        <v>497.07570000000004</v>
      </c>
      <c r="AE453" s="4">
        <f>$K$453*$Y$453</f>
        <v>0</v>
      </c>
      <c r="AF453" s="4">
        <f ca="1">$M$453*$Z$453</f>
        <v>1189.8636988542596</v>
      </c>
      <c r="AG453" s="4">
        <f ca="1">$O$453*$AA$453</f>
        <v>548.27861434045587</v>
      </c>
    </row>
    <row r="454" spans="1:33" ht="11.25" customHeight="1" x14ac:dyDescent="0.3">
      <c r="A454" s="3" t="s">
        <v>21</v>
      </c>
      <c r="B454" s="3" t="s">
        <v>42</v>
      </c>
      <c r="C454" s="3" t="s">
        <v>23</v>
      </c>
      <c r="D454" s="3" t="s">
        <v>43</v>
      </c>
      <c r="E454" s="3" t="s">
        <v>51</v>
      </c>
      <c r="F454" s="3" t="s">
        <v>52</v>
      </c>
      <c r="G454" s="3" t="s">
        <v>25</v>
      </c>
      <c r="H454" s="3" t="s">
        <v>25</v>
      </c>
      <c r="I454" s="6">
        <v>44470</v>
      </c>
      <c r="J454" s="4">
        <v>0</v>
      </c>
      <c r="K454" s="4">
        <v>0</v>
      </c>
      <c r="L454" s="4">
        <v>5.6070000000000002</v>
      </c>
      <c r="M454" s="4">
        <v>5.6070000000000002</v>
      </c>
      <c r="N454" s="4">
        <v>5.6070000000000002</v>
      </c>
      <c r="O454" s="4">
        <v>5.6070000000000002</v>
      </c>
      <c r="P454" s="4">
        <v>0</v>
      </c>
      <c r="Q454" s="3" t="s">
        <v>26</v>
      </c>
      <c r="R454" s="3">
        <v>0</v>
      </c>
      <c r="S454" s="4">
        <v>0</v>
      </c>
      <c r="T454" s="4">
        <v>32</v>
      </c>
      <c r="U454" s="4">
        <v>72</v>
      </c>
      <c r="V454" s="4">
        <f>IF(ISERROR(VLOOKUP($S$454,'TAR FIN'!$A$1:$O$91,15,0)),0,VLOOKUP($S$454,'TAR FIN'!$A$1:$O$91,15,0))</f>
        <v>0</v>
      </c>
      <c r="W454" s="4">
        <f>IF(ISERROR(VLOOKUP($T$454,'TAR FIN'!$A$1:$O$91,15,0)),0,VLOOKUP($T$454,'TAR FIN'!$A$1:$O$91,15,0))</f>
        <v>357.74</v>
      </c>
      <c r="X454" s="4">
        <f>IF(ISERROR(VLOOKUP($U$454,'TAR FIN'!$A$1:$O$91,15,0)),0,VLOOKUP($U$454,'TAR FIN'!$A$1:$O$91,15,0))</f>
        <v>175.15</v>
      </c>
      <c r="Y454" s="4"/>
      <c r="Z454" s="4">
        <f ca="1">('TUSD BE'!$AM$36+'TUSD BF_350'!$AM$36+'TUSD CVA'!$AM$36)*(1-CUSTOS!$M$38)</f>
        <v>419.26134561460873</v>
      </c>
      <c r="AA454" s="4">
        <f ca="1">('TE BE'!$AB$27+'TE BF_350'!$AB$27+'TE CVA'!$AB$27)*(1-CUSTOS!$M$38)</f>
        <v>193.19190075421278</v>
      </c>
      <c r="AB454" s="4">
        <f>$K$454*$V$454</f>
        <v>0</v>
      </c>
      <c r="AC454" s="4">
        <f>$M$454*$W$454</f>
        <v>2005.8481800000002</v>
      </c>
      <c r="AD454" s="4">
        <f>$O$454*$X$454</f>
        <v>982.06605000000002</v>
      </c>
      <c r="AE454" s="4">
        <f>$K$454*$Y$454</f>
        <v>0</v>
      </c>
      <c r="AF454" s="4">
        <f ca="1">$M$454*$Z$454</f>
        <v>2350.7983648611112</v>
      </c>
      <c r="AG454" s="4">
        <f ca="1">$O$454*$AA$454</f>
        <v>1083.2269875288712</v>
      </c>
    </row>
    <row r="455" spans="1:33" ht="11.25" customHeight="1" x14ac:dyDescent="0.3">
      <c r="A455" s="3" t="s">
        <v>21</v>
      </c>
      <c r="B455" s="3" t="s">
        <v>42</v>
      </c>
      <c r="C455" s="3" t="s">
        <v>23</v>
      </c>
      <c r="D455" s="3" t="s">
        <v>43</v>
      </c>
      <c r="E455" s="3" t="s">
        <v>51</v>
      </c>
      <c r="F455" s="3" t="s">
        <v>52</v>
      </c>
      <c r="G455" s="3" t="s">
        <v>25</v>
      </c>
      <c r="H455" s="3" t="s">
        <v>25</v>
      </c>
      <c r="I455" s="6">
        <v>44501</v>
      </c>
      <c r="J455" s="4">
        <v>0</v>
      </c>
      <c r="K455" s="4">
        <v>0</v>
      </c>
      <c r="L455" s="4">
        <v>29.422000000000001</v>
      </c>
      <c r="M455" s="4">
        <v>29.422000000000001</v>
      </c>
      <c r="N455" s="4">
        <v>29.422000000000001</v>
      </c>
      <c r="O455" s="4">
        <v>29.422000000000001</v>
      </c>
      <c r="P455" s="4">
        <v>0</v>
      </c>
      <c r="Q455" s="3" t="s">
        <v>26</v>
      </c>
      <c r="R455" s="3">
        <v>0</v>
      </c>
      <c r="S455" s="4">
        <v>0</v>
      </c>
      <c r="T455" s="4">
        <v>32</v>
      </c>
      <c r="U455" s="4">
        <v>72</v>
      </c>
      <c r="V455" s="4">
        <f>IF(ISERROR(VLOOKUP($S$455,'TAR FIN'!$A$1:$O$91,15,0)),0,VLOOKUP($S$455,'TAR FIN'!$A$1:$O$91,15,0))</f>
        <v>0</v>
      </c>
      <c r="W455" s="4">
        <f>IF(ISERROR(VLOOKUP($T$455,'TAR FIN'!$A$1:$O$91,15,0)),0,VLOOKUP($T$455,'TAR FIN'!$A$1:$O$91,15,0))</f>
        <v>357.74</v>
      </c>
      <c r="X455" s="4">
        <f>IF(ISERROR(VLOOKUP($U$455,'TAR FIN'!$A$1:$O$91,15,0)),0,VLOOKUP($U$455,'TAR FIN'!$A$1:$O$91,15,0))</f>
        <v>175.15</v>
      </c>
      <c r="Y455" s="4"/>
      <c r="Z455" s="4">
        <f ca="1">('TUSD BE'!$AM$36+'TUSD BF_350'!$AM$36+'TUSD CVA'!$AM$36)*(1-CUSTOS!$M$38)</f>
        <v>419.26134561460873</v>
      </c>
      <c r="AA455" s="4">
        <f ca="1">('TE BE'!$AB$27+'TE BF_350'!$AB$27+'TE CVA'!$AB$27)*(1-CUSTOS!$M$38)</f>
        <v>193.19190075421278</v>
      </c>
      <c r="AB455" s="4">
        <f>$K$455*$V$455</f>
        <v>0</v>
      </c>
      <c r="AC455" s="4">
        <f>$M$455*$W$455</f>
        <v>10525.42628</v>
      </c>
      <c r="AD455" s="4">
        <f>$O$455*$X$455</f>
        <v>5153.2633000000005</v>
      </c>
      <c r="AE455" s="4">
        <f>$K$455*$Y$455</f>
        <v>0</v>
      </c>
      <c r="AF455" s="4">
        <f ca="1">$M$455*$Z$455</f>
        <v>12335.507310673018</v>
      </c>
      <c r="AG455" s="4">
        <f ca="1">$O$455*$AA$455</f>
        <v>5684.0921039904488</v>
      </c>
    </row>
    <row r="456" spans="1:33" ht="11.25" customHeight="1" x14ac:dyDescent="0.3">
      <c r="A456" s="3" t="s">
        <v>21</v>
      </c>
      <c r="B456" s="3" t="s">
        <v>42</v>
      </c>
      <c r="C456" s="3" t="s">
        <v>23</v>
      </c>
      <c r="D456" s="3" t="s">
        <v>43</v>
      </c>
      <c r="E456" s="3" t="s">
        <v>51</v>
      </c>
      <c r="F456" s="3" t="s">
        <v>52</v>
      </c>
      <c r="G456" s="3" t="s">
        <v>25</v>
      </c>
      <c r="H456" s="3" t="s">
        <v>25</v>
      </c>
      <c r="I456" s="6">
        <v>44531</v>
      </c>
      <c r="J456" s="4">
        <v>0</v>
      </c>
      <c r="K456" s="4">
        <v>0</v>
      </c>
      <c r="L456" s="4">
        <v>40.567999999999998</v>
      </c>
      <c r="M456" s="4">
        <v>40.567999999999998</v>
      </c>
      <c r="N456" s="4">
        <v>40.567999999999998</v>
      </c>
      <c r="O456" s="4">
        <v>40.567999999999998</v>
      </c>
      <c r="P456" s="4">
        <v>0</v>
      </c>
      <c r="Q456" s="3" t="s">
        <v>26</v>
      </c>
      <c r="R456" s="3">
        <v>0</v>
      </c>
      <c r="S456" s="4">
        <v>0</v>
      </c>
      <c r="T456" s="4">
        <v>32</v>
      </c>
      <c r="U456" s="4">
        <v>72</v>
      </c>
      <c r="V456" s="4">
        <f>IF(ISERROR(VLOOKUP($S$456,'TAR FIN'!$A$1:$O$91,15,0)),0,VLOOKUP($S$456,'TAR FIN'!$A$1:$O$91,15,0))</f>
        <v>0</v>
      </c>
      <c r="W456" s="4">
        <f>IF(ISERROR(VLOOKUP($T$456,'TAR FIN'!$A$1:$O$91,15,0)),0,VLOOKUP($T$456,'TAR FIN'!$A$1:$O$91,15,0))</f>
        <v>357.74</v>
      </c>
      <c r="X456" s="4">
        <f>IF(ISERROR(VLOOKUP($U$456,'TAR FIN'!$A$1:$O$91,15,0)),0,VLOOKUP($U$456,'TAR FIN'!$A$1:$O$91,15,0))</f>
        <v>175.15</v>
      </c>
      <c r="Y456" s="4"/>
      <c r="Z456" s="4">
        <f ca="1">('TUSD BE'!$AM$36+'TUSD BF_350'!$AM$36+'TUSD CVA'!$AM$36)*(1-CUSTOS!$M$38)</f>
        <v>419.26134561460873</v>
      </c>
      <c r="AA456" s="4">
        <f ca="1">('TE BE'!$AB$27+'TE BF_350'!$AB$27+'TE CVA'!$AB$27)*(1-CUSTOS!$M$38)</f>
        <v>193.19190075421278</v>
      </c>
      <c r="AB456" s="4">
        <f>$K$456*$V$456</f>
        <v>0</v>
      </c>
      <c r="AC456" s="4">
        <f>$M$456*$W$456</f>
        <v>14512.796319999999</v>
      </c>
      <c r="AD456" s="4">
        <f>$O$456*$X$456</f>
        <v>7105.4852000000001</v>
      </c>
      <c r="AE456" s="4">
        <f>$K$456*$Y$456</f>
        <v>0</v>
      </c>
      <c r="AF456" s="4">
        <f ca="1">$M$456*$Z$456</f>
        <v>17008.594268893445</v>
      </c>
      <c r="AG456" s="4">
        <f ca="1">$O$456*$AA$456</f>
        <v>7837.4090297969033</v>
      </c>
    </row>
    <row r="457" spans="1:33" ht="11.25" customHeight="1" x14ac:dyDescent="0.3">
      <c r="A457" s="3" t="s">
        <v>21</v>
      </c>
      <c r="B457" s="3" t="s">
        <v>42</v>
      </c>
      <c r="C457" s="3" t="s">
        <v>23</v>
      </c>
      <c r="D457" s="3" t="s">
        <v>43</v>
      </c>
      <c r="E457" s="3" t="s">
        <v>51</v>
      </c>
      <c r="F457" s="3" t="s">
        <v>52</v>
      </c>
      <c r="G457" s="3" t="s">
        <v>25</v>
      </c>
      <c r="H457" s="3" t="s">
        <v>25</v>
      </c>
      <c r="I457" s="6">
        <v>44562</v>
      </c>
      <c r="J457" s="4">
        <v>0</v>
      </c>
      <c r="K457" s="4">
        <v>0</v>
      </c>
      <c r="L457" s="4">
        <v>38.094000000000001</v>
      </c>
      <c r="M457" s="4">
        <v>38.094000000000001</v>
      </c>
      <c r="N457" s="4">
        <v>38.094000000000001</v>
      </c>
      <c r="O457" s="4">
        <v>38.094000000000001</v>
      </c>
      <c r="P457" s="4">
        <v>0</v>
      </c>
      <c r="Q457" s="3" t="s">
        <v>26</v>
      </c>
      <c r="R457" s="3">
        <v>0</v>
      </c>
      <c r="S457" s="4">
        <v>0</v>
      </c>
      <c r="T457" s="4">
        <v>32</v>
      </c>
      <c r="U457" s="4">
        <v>72</v>
      </c>
      <c r="V457" s="4">
        <f>IF(ISERROR(VLOOKUP($S$457,'TAR FIN'!$A$1:$O$91,15,0)),0,VLOOKUP($S$457,'TAR FIN'!$A$1:$O$91,15,0))</f>
        <v>0</v>
      </c>
      <c r="W457" s="4">
        <f>IF(ISERROR(VLOOKUP($T$457,'TAR FIN'!$A$1:$O$91,15,0)),0,VLOOKUP($T$457,'TAR FIN'!$A$1:$O$91,15,0))</f>
        <v>357.74</v>
      </c>
      <c r="X457" s="4">
        <f>IF(ISERROR(VLOOKUP($U$457,'TAR FIN'!$A$1:$O$91,15,0)),0,VLOOKUP($U$457,'TAR FIN'!$A$1:$O$91,15,0))</f>
        <v>175.15</v>
      </c>
      <c r="Y457" s="4"/>
      <c r="Z457" s="4">
        <f ca="1">('TUSD BE'!$AM$36+'TUSD BF_350'!$AM$36+'TUSD CVA'!$AM$36)*(1-CUSTOS!$M$38)</f>
        <v>419.26134561460873</v>
      </c>
      <c r="AA457" s="4">
        <f ca="1">('TE BE'!$AB$27+'TE BF_350'!$AB$27+'TE CVA'!$AB$27)*(1-CUSTOS!$M$38)</f>
        <v>193.19190075421278</v>
      </c>
      <c r="AB457" s="4">
        <f>$K$457*$V$457</f>
        <v>0</v>
      </c>
      <c r="AC457" s="4">
        <f>$M$457*$W$457</f>
        <v>13627.747560000002</v>
      </c>
      <c r="AD457" s="4">
        <f>$O$457*$X$457</f>
        <v>6672.1641000000009</v>
      </c>
      <c r="AE457" s="4">
        <f>$K$457*$Y$457</f>
        <v>0</v>
      </c>
      <c r="AF457" s="4">
        <f ca="1">$M$457*$Z$457</f>
        <v>15971.341699842906</v>
      </c>
      <c r="AG457" s="4">
        <f ca="1">$O$457*$AA$457</f>
        <v>7359.4522673309821</v>
      </c>
    </row>
    <row r="458" spans="1:33" ht="11.25" customHeight="1" x14ac:dyDescent="0.3">
      <c r="A458" s="3" t="s">
        <v>21</v>
      </c>
      <c r="B458" s="3" t="s">
        <v>42</v>
      </c>
      <c r="C458" s="3" t="s">
        <v>23</v>
      </c>
      <c r="D458" s="3" t="s">
        <v>43</v>
      </c>
      <c r="E458" s="3" t="s">
        <v>51</v>
      </c>
      <c r="F458" s="3" t="s">
        <v>52</v>
      </c>
      <c r="G458" s="3" t="s">
        <v>25</v>
      </c>
      <c r="H458" s="3" t="s">
        <v>25</v>
      </c>
      <c r="I458" s="6">
        <v>44593</v>
      </c>
      <c r="J458" s="4">
        <v>0</v>
      </c>
      <c r="K458" s="4">
        <v>0</v>
      </c>
      <c r="L458" s="4">
        <v>27.29</v>
      </c>
      <c r="M458" s="4">
        <v>27.29</v>
      </c>
      <c r="N458" s="4">
        <v>27.29</v>
      </c>
      <c r="O458" s="4">
        <v>27.29</v>
      </c>
      <c r="P458" s="4">
        <v>0</v>
      </c>
      <c r="Q458" s="3" t="s">
        <v>26</v>
      </c>
      <c r="R458" s="3">
        <v>0</v>
      </c>
      <c r="S458" s="4">
        <v>0</v>
      </c>
      <c r="T458" s="4">
        <v>32</v>
      </c>
      <c r="U458" s="4">
        <v>72</v>
      </c>
      <c r="V458" s="4">
        <f>IF(ISERROR(VLOOKUP($S$458,'TAR FIN'!$A$1:$O$91,15,0)),0,VLOOKUP($S$458,'TAR FIN'!$A$1:$O$91,15,0))</f>
        <v>0</v>
      </c>
      <c r="W458" s="4">
        <f>IF(ISERROR(VLOOKUP($T$458,'TAR FIN'!$A$1:$O$91,15,0)),0,VLOOKUP($T$458,'TAR FIN'!$A$1:$O$91,15,0))</f>
        <v>357.74</v>
      </c>
      <c r="X458" s="4">
        <f>IF(ISERROR(VLOOKUP($U$458,'TAR FIN'!$A$1:$O$91,15,0)),0,VLOOKUP($U$458,'TAR FIN'!$A$1:$O$91,15,0))</f>
        <v>175.15</v>
      </c>
      <c r="Y458" s="4"/>
      <c r="Z458" s="4">
        <f ca="1">('TUSD BE'!$AM$36+'TUSD BF_350'!$AM$36+'TUSD CVA'!$AM$36)*(1-CUSTOS!$M$38)</f>
        <v>419.26134561460873</v>
      </c>
      <c r="AA458" s="4">
        <f ca="1">('TE BE'!$AB$27+'TE BF_350'!$AB$27+'TE CVA'!$AB$27)*(1-CUSTOS!$M$38)</f>
        <v>193.19190075421278</v>
      </c>
      <c r="AB458" s="4">
        <f>$K$458*$V$458</f>
        <v>0</v>
      </c>
      <c r="AC458" s="4">
        <f>$M$458*$W$458</f>
        <v>9762.7245999999996</v>
      </c>
      <c r="AD458" s="4">
        <f>$O$458*$X$458</f>
        <v>4779.8434999999999</v>
      </c>
      <c r="AE458" s="4">
        <f>$K$458*$Y$458</f>
        <v>0</v>
      </c>
      <c r="AF458" s="4">
        <f ca="1">$M$458*$Z$458</f>
        <v>11441.642121822671</v>
      </c>
      <c r="AG458" s="4">
        <f ca="1">$O$458*$AA$458</f>
        <v>5272.2069715824664</v>
      </c>
    </row>
    <row r="459" spans="1:33" ht="11.25" customHeight="1" x14ac:dyDescent="0.3">
      <c r="A459" s="3" t="s">
        <v>21</v>
      </c>
      <c r="B459" s="3" t="s">
        <v>42</v>
      </c>
      <c r="C459" s="3" t="s">
        <v>23</v>
      </c>
      <c r="D459" s="3" t="s">
        <v>43</v>
      </c>
      <c r="E459" s="3" t="s">
        <v>51</v>
      </c>
      <c r="F459" s="3" t="s">
        <v>52</v>
      </c>
      <c r="G459" s="3" t="s">
        <v>25</v>
      </c>
      <c r="H459" s="3" t="s">
        <v>25</v>
      </c>
      <c r="I459" s="6">
        <v>44621</v>
      </c>
      <c r="J459" s="4">
        <v>0</v>
      </c>
      <c r="K459" s="4">
        <v>0</v>
      </c>
      <c r="L459" s="4">
        <v>3.7909999999999999</v>
      </c>
      <c r="M459" s="4">
        <v>3.7909999999999999</v>
      </c>
      <c r="N459" s="4">
        <v>3.7909999999999999</v>
      </c>
      <c r="O459" s="4">
        <v>3.7909999999999999</v>
      </c>
      <c r="P459" s="4">
        <v>0</v>
      </c>
      <c r="Q459" s="3" t="s">
        <v>26</v>
      </c>
      <c r="R459" s="3">
        <v>0</v>
      </c>
      <c r="S459" s="4">
        <v>0</v>
      </c>
      <c r="T459" s="4">
        <v>32</v>
      </c>
      <c r="U459" s="4">
        <v>72</v>
      </c>
      <c r="V459" s="4">
        <f>IF(ISERROR(VLOOKUP($S$459,'TAR FIN'!$A$1:$O$91,15,0)),0,VLOOKUP($S$459,'TAR FIN'!$A$1:$O$91,15,0))</f>
        <v>0</v>
      </c>
      <c r="W459" s="4">
        <f>IF(ISERROR(VLOOKUP($T$459,'TAR FIN'!$A$1:$O$91,15,0)),0,VLOOKUP($T$459,'TAR FIN'!$A$1:$O$91,15,0))</f>
        <v>357.74</v>
      </c>
      <c r="X459" s="4">
        <f>IF(ISERROR(VLOOKUP($U$459,'TAR FIN'!$A$1:$O$91,15,0)),0,VLOOKUP($U$459,'TAR FIN'!$A$1:$O$91,15,0))</f>
        <v>175.15</v>
      </c>
      <c r="Y459" s="4"/>
      <c r="Z459" s="4">
        <f ca="1">('TUSD BE'!$AM$36+'TUSD BF_350'!$AM$36+'TUSD CVA'!$AM$36)*(1-CUSTOS!$M$38)</f>
        <v>419.26134561460873</v>
      </c>
      <c r="AA459" s="4">
        <f ca="1">('TE BE'!$AB$27+'TE BF_350'!$AB$27+'TE CVA'!$AB$27)*(1-CUSTOS!$M$38)</f>
        <v>193.19190075421278</v>
      </c>
      <c r="AB459" s="4">
        <f>$K$459*$V$459</f>
        <v>0</v>
      </c>
      <c r="AC459" s="4">
        <f>$M$459*$W$459</f>
        <v>1356.1923400000001</v>
      </c>
      <c r="AD459" s="4">
        <f>$O$459*$X$459</f>
        <v>663.99365</v>
      </c>
      <c r="AE459" s="4">
        <f>$K$459*$Y$459</f>
        <v>0</v>
      </c>
      <c r="AF459" s="4">
        <f ca="1">$M$459*$Z$459</f>
        <v>1589.4197612249816</v>
      </c>
      <c r="AG459" s="4">
        <f ca="1">$O$459*$AA$459</f>
        <v>732.39049575922058</v>
      </c>
    </row>
    <row r="460" spans="1:33" ht="11.25" customHeight="1" x14ac:dyDescent="0.3">
      <c r="A460" s="3" t="s">
        <v>21</v>
      </c>
      <c r="B460" s="3" t="s">
        <v>42</v>
      </c>
      <c r="C460" s="3" t="s">
        <v>23</v>
      </c>
      <c r="D460" s="3" t="s">
        <v>43</v>
      </c>
      <c r="E460" s="3" t="s">
        <v>51</v>
      </c>
      <c r="F460" s="3" t="s">
        <v>52</v>
      </c>
      <c r="G460" s="3" t="s">
        <v>25</v>
      </c>
      <c r="H460" s="3" t="s">
        <v>25</v>
      </c>
      <c r="I460" s="6">
        <v>44652</v>
      </c>
      <c r="J460" s="4">
        <v>0</v>
      </c>
      <c r="K460" s="4">
        <v>0</v>
      </c>
      <c r="L460" s="4">
        <v>1.879</v>
      </c>
      <c r="M460" s="4">
        <v>1.879</v>
      </c>
      <c r="N460" s="4">
        <v>1.879</v>
      </c>
      <c r="O460" s="4">
        <v>1.879</v>
      </c>
      <c r="P460" s="4">
        <v>0</v>
      </c>
      <c r="Q460" s="3" t="s">
        <v>26</v>
      </c>
      <c r="R460" s="3">
        <v>0</v>
      </c>
      <c r="S460" s="4">
        <v>0</v>
      </c>
      <c r="T460" s="4">
        <v>32</v>
      </c>
      <c r="U460" s="4">
        <v>72</v>
      </c>
      <c r="V460" s="4">
        <f>IF(ISERROR(VLOOKUP($S$460,'TAR FIN'!$A$1:$O$91,15,0)),0,VLOOKUP($S$460,'TAR FIN'!$A$1:$O$91,15,0))</f>
        <v>0</v>
      </c>
      <c r="W460" s="4">
        <f>IF(ISERROR(VLOOKUP($T$460,'TAR FIN'!$A$1:$O$91,15,0)),0,VLOOKUP($T$460,'TAR FIN'!$A$1:$O$91,15,0))</f>
        <v>357.74</v>
      </c>
      <c r="X460" s="4">
        <f>IF(ISERROR(VLOOKUP($U$460,'TAR FIN'!$A$1:$O$91,15,0)),0,VLOOKUP($U$460,'TAR FIN'!$A$1:$O$91,15,0))</f>
        <v>175.15</v>
      </c>
      <c r="Y460" s="4"/>
      <c r="Z460" s="4">
        <f ca="1">('TUSD BE'!$AM$36+'TUSD BF_350'!$AM$36+'TUSD CVA'!$AM$36)*(1-CUSTOS!$M$38)</f>
        <v>419.26134561460873</v>
      </c>
      <c r="AA460" s="4">
        <f ca="1">('TE BE'!$AB$27+'TE BF_350'!$AB$27+'TE CVA'!$AB$27)*(1-CUSTOS!$M$38)</f>
        <v>193.19190075421278</v>
      </c>
      <c r="AB460" s="4">
        <f>$K$460*$V$460</f>
        <v>0</v>
      </c>
      <c r="AC460" s="4">
        <f>$M$460*$W$460</f>
        <v>672.19346000000007</v>
      </c>
      <c r="AD460" s="4">
        <f>$O$460*$X$460</f>
        <v>329.10685000000001</v>
      </c>
      <c r="AE460" s="4">
        <f>$K$460*$Y$460</f>
        <v>0</v>
      </c>
      <c r="AF460" s="4">
        <f ca="1">$M$460*$Z$460</f>
        <v>787.79206840984978</v>
      </c>
      <c r="AG460" s="4">
        <f ca="1">$O$460*$AA$460</f>
        <v>363.00758151716582</v>
      </c>
    </row>
    <row r="461" spans="1:33" ht="11.25" customHeight="1" x14ac:dyDescent="0.3">
      <c r="A461" s="3" t="s">
        <v>21</v>
      </c>
      <c r="B461" s="3" t="s">
        <v>42</v>
      </c>
      <c r="C461" s="3" t="s">
        <v>23</v>
      </c>
      <c r="D461" s="3" t="s">
        <v>43</v>
      </c>
      <c r="E461" s="3" t="s">
        <v>51</v>
      </c>
      <c r="F461" s="3" t="s">
        <v>52</v>
      </c>
      <c r="G461" s="3" t="s">
        <v>25</v>
      </c>
      <c r="H461" s="3" t="s">
        <v>25</v>
      </c>
      <c r="I461" s="6">
        <v>44682</v>
      </c>
      <c r="J461" s="4">
        <v>0</v>
      </c>
      <c r="K461" s="4">
        <v>0</v>
      </c>
      <c r="L461" s="4">
        <v>1.1619999999999999</v>
      </c>
      <c r="M461" s="4">
        <v>1.1619999999999999</v>
      </c>
      <c r="N461" s="4">
        <v>1.1619999999999999</v>
      </c>
      <c r="O461" s="4">
        <v>1.1619999999999999</v>
      </c>
      <c r="P461" s="4">
        <v>0</v>
      </c>
      <c r="Q461" s="3" t="s">
        <v>26</v>
      </c>
      <c r="R461" s="3">
        <v>0</v>
      </c>
      <c r="S461" s="4">
        <v>0</v>
      </c>
      <c r="T461" s="4">
        <v>32</v>
      </c>
      <c r="U461" s="4">
        <v>72</v>
      </c>
      <c r="V461" s="4">
        <f>IF(ISERROR(VLOOKUP($S$461,'TAR FIN'!$A$1:$O$91,15,0)),0,VLOOKUP($S$461,'TAR FIN'!$A$1:$O$91,15,0))</f>
        <v>0</v>
      </c>
      <c r="W461" s="4">
        <f>IF(ISERROR(VLOOKUP($T$461,'TAR FIN'!$A$1:$O$91,15,0)),0,VLOOKUP($T$461,'TAR FIN'!$A$1:$O$91,15,0))</f>
        <v>357.74</v>
      </c>
      <c r="X461" s="4">
        <f>IF(ISERROR(VLOOKUP($U$461,'TAR FIN'!$A$1:$O$91,15,0)),0,VLOOKUP($U$461,'TAR FIN'!$A$1:$O$91,15,0))</f>
        <v>175.15</v>
      </c>
      <c r="Y461" s="4"/>
      <c r="Z461" s="4">
        <f ca="1">('TUSD BE'!$AM$36+'TUSD BF_350'!$AM$36+'TUSD CVA'!$AM$36)*(1-CUSTOS!$M$38)</f>
        <v>419.26134561460873</v>
      </c>
      <c r="AA461" s="4">
        <f ca="1">('TE BE'!$AB$27+'TE BF_350'!$AB$27+'TE CVA'!$AB$27)*(1-CUSTOS!$M$38)</f>
        <v>193.19190075421278</v>
      </c>
      <c r="AB461" s="4">
        <f>$K$461*$V$461</f>
        <v>0</v>
      </c>
      <c r="AC461" s="4">
        <f>$M$461*$W$461</f>
        <v>415.69387999999998</v>
      </c>
      <c r="AD461" s="4">
        <f>$O$461*$X$461</f>
        <v>203.52429999999998</v>
      </c>
      <c r="AE461" s="4">
        <f>$K$461*$Y$461</f>
        <v>0</v>
      </c>
      <c r="AF461" s="4">
        <f ca="1">$M$461*$Z$461</f>
        <v>487.1816836041753</v>
      </c>
      <c r="AG461" s="4">
        <f ca="1">$O$461*$AA$461</f>
        <v>224.48898867639522</v>
      </c>
    </row>
    <row r="462" spans="1:33" ht="11.25" customHeight="1" x14ac:dyDescent="0.3">
      <c r="A462" s="3" t="s">
        <v>21</v>
      </c>
      <c r="B462" s="3" t="s">
        <v>42</v>
      </c>
      <c r="C462" s="3" t="s">
        <v>23</v>
      </c>
      <c r="D462" s="3" t="s">
        <v>43</v>
      </c>
      <c r="E462" s="3" t="s">
        <v>51</v>
      </c>
      <c r="F462" s="3" t="s">
        <v>52</v>
      </c>
      <c r="G462" s="3" t="s">
        <v>25</v>
      </c>
      <c r="H462" s="3" t="s">
        <v>25</v>
      </c>
      <c r="I462" s="6">
        <v>44713</v>
      </c>
      <c r="J462" s="4">
        <v>0</v>
      </c>
      <c r="K462" s="4">
        <v>0</v>
      </c>
      <c r="L462" s="4">
        <v>0.8</v>
      </c>
      <c r="M462" s="4">
        <v>0.8</v>
      </c>
      <c r="N462" s="4">
        <v>0.8</v>
      </c>
      <c r="O462" s="4">
        <v>0.8</v>
      </c>
      <c r="P462" s="4">
        <v>0</v>
      </c>
      <c r="Q462" s="3" t="s">
        <v>26</v>
      </c>
      <c r="R462" s="3">
        <v>0</v>
      </c>
      <c r="S462" s="4">
        <v>0</v>
      </c>
      <c r="T462" s="4">
        <v>32</v>
      </c>
      <c r="U462" s="4">
        <v>72</v>
      </c>
      <c r="V462" s="4">
        <f>IF(ISERROR(VLOOKUP($S$462,'TAR FIN'!$A$1:$O$91,15,0)),0,VLOOKUP($S$462,'TAR FIN'!$A$1:$O$91,15,0))</f>
        <v>0</v>
      </c>
      <c r="W462" s="4">
        <f>IF(ISERROR(VLOOKUP($T$462,'TAR FIN'!$A$1:$O$91,15,0)),0,VLOOKUP($T$462,'TAR FIN'!$A$1:$O$91,15,0))</f>
        <v>357.74</v>
      </c>
      <c r="X462" s="4">
        <f>IF(ISERROR(VLOOKUP($U$462,'TAR FIN'!$A$1:$O$91,15,0)),0,VLOOKUP($U$462,'TAR FIN'!$A$1:$O$91,15,0))</f>
        <v>175.15</v>
      </c>
      <c r="Y462" s="4"/>
      <c r="Z462" s="4">
        <f ca="1">('TUSD BE'!$AM$36+'TUSD BF_350'!$AM$36+'TUSD CVA'!$AM$36)*(1-CUSTOS!$M$38)</f>
        <v>419.26134561460873</v>
      </c>
      <c r="AA462" s="4">
        <f ca="1">('TE BE'!$AB$27+'TE BF_350'!$AB$27+'TE CVA'!$AB$27)*(1-CUSTOS!$M$38)</f>
        <v>193.19190075421278</v>
      </c>
      <c r="AB462" s="4">
        <f>$K$462*$V$462</f>
        <v>0</v>
      </c>
      <c r="AC462" s="4">
        <f>$M$462*$W$462</f>
        <v>286.19200000000001</v>
      </c>
      <c r="AD462" s="4">
        <f>$O$462*$X$462</f>
        <v>140.12</v>
      </c>
      <c r="AE462" s="4">
        <f>$K$462*$Y$462</f>
        <v>0</v>
      </c>
      <c r="AF462" s="4">
        <f ca="1">$M$462*$Z$462</f>
        <v>335.40907649168702</v>
      </c>
      <c r="AG462" s="4">
        <f ca="1">$O$462*$AA$462</f>
        <v>154.55352060337023</v>
      </c>
    </row>
    <row r="463" spans="1:33" ht="11.25" customHeight="1" x14ac:dyDescent="0.3">
      <c r="A463" s="3" t="s">
        <v>21</v>
      </c>
      <c r="B463" s="3" t="s">
        <v>42</v>
      </c>
      <c r="C463" s="3" t="s">
        <v>23</v>
      </c>
      <c r="D463" s="3" t="s">
        <v>43</v>
      </c>
      <c r="E463" s="3" t="s">
        <v>51</v>
      </c>
      <c r="F463" s="3" t="s">
        <v>53</v>
      </c>
      <c r="G463" s="3" t="s">
        <v>25</v>
      </c>
      <c r="H463" s="3" t="s">
        <v>25</v>
      </c>
      <c r="I463" s="6">
        <v>44378</v>
      </c>
      <c r="J463" s="4">
        <v>0</v>
      </c>
      <c r="K463" s="4">
        <v>0</v>
      </c>
      <c r="L463" s="4">
        <v>0.82299999999999995</v>
      </c>
      <c r="M463" s="4">
        <v>0.32919999999999999</v>
      </c>
      <c r="N463" s="4">
        <v>0.82299999999999995</v>
      </c>
      <c r="O463" s="4">
        <v>0.32919999999999999</v>
      </c>
      <c r="P463" s="4">
        <v>0</v>
      </c>
      <c r="Q463" s="3" t="s">
        <v>26</v>
      </c>
      <c r="R463" s="3">
        <v>0</v>
      </c>
      <c r="S463" s="4">
        <v>0</v>
      </c>
      <c r="T463" s="4">
        <v>32</v>
      </c>
      <c r="U463" s="4">
        <v>72</v>
      </c>
      <c r="V463" s="4">
        <f>IF(ISERROR(VLOOKUP($S$463,'TAR FIN'!$A$1:$O$91,15,0)),0,VLOOKUP($S$463,'TAR FIN'!$A$1:$O$91,15,0))</f>
        <v>0</v>
      </c>
      <c r="W463" s="4">
        <f>IF(ISERROR(VLOOKUP($T$463,'TAR FIN'!$A$1:$O$91,15,0)),0,VLOOKUP($T$463,'TAR FIN'!$A$1:$O$91,15,0))</f>
        <v>357.74</v>
      </c>
      <c r="X463" s="4">
        <f>IF(ISERROR(VLOOKUP($U$463,'TAR FIN'!$A$1:$O$91,15,0)),0,VLOOKUP($U$463,'TAR FIN'!$A$1:$O$91,15,0))</f>
        <v>175.15</v>
      </c>
      <c r="Y463" s="4"/>
      <c r="Z463" s="4">
        <f ca="1">('TUSD BE'!$AM$36+'TUSD BF_350'!$AM$36+'TUSD CVA'!$AM$36)*(1-CUSTOS!$M$38)</f>
        <v>419.26134561460873</v>
      </c>
      <c r="AA463" s="4">
        <f ca="1">('TE BE'!$AB$27+'TE BF_350'!$AB$27+'TE CVA'!$AB$27)*(1-CUSTOS!$M$38)</f>
        <v>193.19190075421278</v>
      </c>
      <c r="AB463" s="4">
        <f>$K$463*$V$463</f>
        <v>0</v>
      </c>
      <c r="AC463" s="4">
        <f>$M$463*$W$463</f>
        <v>117.76800799999999</v>
      </c>
      <c r="AD463" s="4">
        <f>$O$463*$X$463</f>
        <v>57.659379999999999</v>
      </c>
      <c r="AE463" s="4">
        <f>$K$463*$Y$463</f>
        <v>0</v>
      </c>
      <c r="AF463" s="4">
        <f ca="1">$M$463*$Z$463</f>
        <v>138.02083497632918</v>
      </c>
      <c r="AG463" s="4">
        <f ca="1">$O$463*$AA$463</f>
        <v>63.598773728286844</v>
      </c>
    </row>
    <row r="464" spans="1:33" ht="11.25" customHeight="1" x14ac:dyDescent="0.3">
      <c r="A464" s="3" t="s">
        <v>21</v>
      </c>
      <c r="B464" s="3" t="s">
        <v>42</v>
      </c>
      <c r="C464" s="3" t="s">
        <v>23</v>
      </c>
      <c r="D464" s="3" t="s">
        <v>43</v>
      </c>
      <c r="E464" s="3" t="s">
        <v>51</v>
      </c>
      <c r="F464" s="3" t="s">
        <v>53</v>
      </c>
      <c r="G464" s="3" t="s">
        <v>25</v>
      </c>
      <c r="H464" s="3" t="s">
        <v>25</v>
      </c>
      <c r="I464" s="6">
        <v>44409</v>
      </c>
      <c r="J464" s="4">
        <v>0</v>
      </c>
      <c r="K464" s="4">
        <v>0</v>
      </c>
      <c r="L464" s="4">
        <v>1.702</v>
      </c>
      <c r="M464" s="4">
        <v>0.68079999999999996</v>
      </c>
      <c r="N464" s="4">
        <v>1.702</v>
      </c>
      <c r="O464" s="4">
        <v>0.68079999999999996</v>
      </c>
      <c r="P464" s="4">
        <v>0</v>
      </c>
      <c r="Q464" s="3" t="s">
        <v>26</v>
      </c>
      <c r="R464" s="3">
        <v>0</v>
      </c>
      <c r="S464" s="4">
        <v>0</v>
      </c>
      <c r="T464" s="4">
        <v>32</v>
      </c>
      <c r="U464" s="4">
        <v>72</v>
      </c>
      <c r="V464" s="4">
        <f>IF(ISERROR(VLOOKUP($S$464,'TAR FIN'!$A$1:$O$91,15,0)),0,VLOOKUP($S$464,'TAR FIN'!$A$1:$O$91,15,0))</f>
        <v>0</v>
      </c>
      <c r="W464" s="4">
        <f>IF(ISERROR(VLOOKUP($T$464,'TAR FIN'!$A$1:$O$91,15,0)),0,VLOOKUP($T$464,'TAR FIN'!$A$1:$O$91,15,0))</f>
        <v>357.74</v>
      </c>
      <c r="X464" s="4">
        <f>IF(ISERROR(VLOOKUP($U$464,'TAR FIN'!$A$1:$O$91,15,0)),0,VLOOKUP($U$464,'TAR FIN'!$A$1:$O$91,15,0))</f>
        <v>175.15</v>
      </c>
      <c r="Y464" s="4"/>
      <c r="Z464" s="4">
        <f ca="1">('TUSD BE'!$AM$36+'TUSD BF_350'!$AM$36+'TUSD CVA'!$AM$36)*(1-CUSTOS!$M$38)</f>
        <v>419.26134561460873</v>
      </c>
      <c r="AA464" s="4">
        <f ca="1">('TE BE'!$AB$27+'TE BF_350'!$AB$27+'TE CVA'!$AB$27)*(1-CUSTOS!$M$38)</f>
        <v>193.19190075421278</v>
      </c>
      <c r="AB464" s="4">
        <f>$K$464*$V$464</f>
        <v>0</v>
      </c>
      <c r="AC464" s="4">
        <f>$M$464*$W$464</f>
        <v>243.54939199999998</v>
      </c>
      <c r="AD464" s="4">
        <f>$O$464*$X$464</f>
        <v>119.24212</v>
      </c>
      <c r="AE464" s="4">
        <f>$K$464*$Y$464</f>
        <v>0</v>
      </c>
      <c r="AF464" s="4">
        <f ca="1">$M$464*$Z$464</f>
        <v>285.43312409442558</v>
      </c>
      <c r="AG464" s="4">
        <f ca="1">$O$464*$AA$464</f>
        <v>131.52504603346804</v>
      </c>
    </row>
    <row r="465" spans="1:33" ht="11.25" customHeight="1" x14ac:dyDescent="0.3">
      <c r="A465" s="3" t="s">
        <v>21</v>
      </c>
      <c r="B465" s="3" t="s">
        <v>42</v>
      </c>
      <c r="C465" s="3" t="s">
        <v>23</v>
      </c>
      <c r="D465" s="3" t="s">
        <v>43</v>
      </c>
      <c r="E465" s="3" t="s">
        <v>51</v>
      </c>
      <c r="F465" s="3" t="s">
        <v>53</v>
      </c>
      <c r="G465" s="3" t="s">
        <v>25</v>
      </c>
      <c r="H465" s="3" t="s">
        <v>25</v>
      </c>
      <c r="I465" s="6">
        <v>44440</v>
      </c>
      <c r="J465" s="4">
        <v>0</v>
      </c>
      <c r="K465" s="4">
        <v>0</v>
      </c>
      <c r="L465" s="4">
        <v>1.234</v>
      </c>
      <c r="M465" s="4">
        <v>0.49359999999999998</v>
      </c>
      <c r="N465" s="4">
        <v>1.234</v>
      </c>
      <c r="O465" s="4">
        <v>0.49359999999999998</v>
      </c>
      <c r="P465" s="4">
        <v>0</v>
      </c>
      <c r="Q465" s="3" t="s">
        <v>26</v>
      </c>
      <c r="R465" s="3">
        <v>0</v>
      </c>
      <c r="S465" s="4">
        <v>0</v>
      </c>
      <c r="T465" s="4">
        <v>32</v>
      </c>
      <c r="U465" s="4">
        <v>72</v>
      </c>
      <c r="V465" s="4">
        <f>IF(ISERROR(VLOOKUP($S$465,'TAR FIN'!$A$1:$O$91,15,0)),0,VLOOKUP($S$465,'TAR FIN'!$A$1:$O$91,15,0))</f>
        <v>0</v>
      </c>
      <c r="W465" s="4">
        <f>IF(ISERROR(VLOOKUP($T$465,'TAR FIN'!$A$1:$O$91,15,0)),0,VLOOKUP($T$465,'TAR FIN'!$A$1:$O$91,15,0))</f>
        <v>357.74</v>
      </c>
      <c r="X465" s="4">
        <f>IF(ISERROR(VLOOKUP($U$465,'TAR FIN'!$A$1:$O$91,15,0)),0,VLOOKUP($U$465,'TAR FIN'!$A$1:$O$91,15,0))</f>
        <v>175.15</v>
      </c>
      <c r="Y465" s="4"/>
      <c r="Z465" s="4">
        <f ca="1">('TUSD BE'!$AM$36+'TUSD BF_350'!$AM$36+'TUSD CVA'!$AM$36)*(1-CUSTOS!$M$38)</f>
        <v>419.26134561460873</v>
      </c>
      <c r="AA465" s="4">
        <f ca="1">('TE BE'!$AB$27+'TE BF_350'!$AB$27+'TE CVA'!$AB$27)*(1-CUSTOS!$M$38)</f>
        <v>193.19190075421278</v>
      </c>
      <c r="AB465" s="4">
        <f>$K$465*$V$465</f>
        <v>0</v>
      </c>
      <c r="AC465" s="4">
        <f>$M$465*$W$465</f>
        <v>176.58046400000001</v>
      </c>
      <c r="AD465" s="4">
        <f>$O$465*$X$465</f>
        <v>86.454040000000006</v>
      </c>
      <c r="AE465" s="4">
        <f>$K$465*$Y$465</f>
        <v>0</v>
      </c>
      <c r="AF465" s="4">
        <f ca="1">$M$465*$Z$465</f>
        <v>206.94740019537088</v>
      </c>
      <c r="AG465" s="4">
        <f ca="1">$O$465*$AA$465</f>
        <v>95.35952221227943</v>
      </c>
    </row>
    <row r="466" spans="1:33" ht="11.25" customHeight="1" x14ac:dyDescent="0.3">
      <c r="A466" s="3" t="s">
        <v>21</v>
      </c>
      <c r="B466" s="3" t="s">
        <v>42</v>
      </c>
      <c r="C466" s="3" t="s">
        <v>23</v>
      </c>
      <c r="D466" s="3" t="s">
        <v>43</v>
      </c>
      <c r="E466" s="3" t="s">
        <v>51</v>
      </c>
      <c r="F466" s="3" t="s">
        <v>53</v>
      </c>
      <c r="G466" s="3" t="s">
        <v>25</v>
      </c>
      <c r="H466" s="3" t="s">
        <v>25</v>
      </c>
      <c r="I466" s="6">
        <v>44470</v>
      </c>
      <c r="J466" s="4">
        <v>0</v>
      </c>
      <c r="K466" s="4">
        <v>0</v>
      </c>
      <c r="L466" s="4">
        <v>2.4849999999999999</v>
      </c>
      <c r="M466" s="4">
        <v>0.99399999999999999</v>
      </c>
      <c r="N466" s="4">
        <v>2.4849999999999999</v>
      </c>
      <c r="O466" s="4">
        <v>0.99399999999999999</v>
      </c>
      <c r="P466" s="4">
        <v>0</v>
      </c>
      <c r="Q466" s="3" t="s">
        <v>26</v>
      </c>
      <c r="R466" s="3">
        <v>0</v>
      </c>
      <c r="S466" s="4">
        <v>0</v>
      </c>
      <c r="T466" s="4">
        <v>32</v>
      </c>
      <c r="U466" s="4">
        <v>72</v>
      </c>
      <c r="V466" s="4">
        <f>IF(ISERROR(VLOOKUP($S$466,'TAR FIN'!$A$1:$O$91,15,0)),0,VLOOKUP($S$466,'TAR FIN'!$A$1:$O$91,15,0))</f>
        <v>0</v>
      </c>
      <c r="W466" s="4">
        <f>IF(ISERROR(VLOOKUP($T$466,'TAR FIN'!$A$1:$O$91,15,0)),0,VLOOKUP($T$466,'TAR FIN'!$A$1:$O$91,15,0))</f>
        <v>357.74</v>
      </c>
      <c r="X466" s="4">
        <f>IF(ISERROR(VLOOKUP($U$466,'TAR FIN'!$A$1:$O$91,15,0)),0,VLOOKUP($U$466,'TAR FIN'!$A$1:$O$91,15,0))</f>
        <v>175.15</v>
      </c>
      <c r="Y466" s="4"/>
      <c r="Z466" s="4">
        <f ca="1">('TUSD BE'!$AM$36+'TUSD BF_350'!$AM$36+'TUSD CVA'!$AM$36)*(1-CUSTOS!$M$38)</f>
        <v>419.26134561460873</v>
      </c>
      <c r="AA466" s="4">
        <f ca="1">('TE BE'!$AB$27+'TE BF_350'!$AB$27+'TE CVA'!$AB$27)*(1-CUSTOS!$M$38)</f>
        <v>193.19190075421278</v>
      </c>
      <c r="AB466" s="4">
        <f>$K$466*$V$466</f>
        <v>0</v>
      </c>
      <c r="AC466" s="4">
        <f>$M$466*$W$466</f>
        <v>355.59356000000002</v>
      </c>
      <c r="AD466" s="4">
        <f>$O$466*$X$466</f>
        <v>174.09909999999999</v>
      </c>
      <c r="AE466" s="4">
        <f>$K$466*$Y$466</f>
        <v>0</v>
      </c>
      <c r="AF466" s="4">
        <f ca="1">$M$466*$Z$466</f>
        <v>416.7457775409211</v>
      </c>
      <c r="AG466" s="4">
        <f ca="1">$O$466*$AA$466</f>
        <v>192.03274934968749</v>
      </c>
    </row>
    <row r="467" spans="1:33" ht="11.25" customHeight="1" x14ac:dyDescent="0.3">
      <c r="A467" s="3" t="s">
        <v>21</v>
      </c>
      <c r="B467" s="3" t="s">
        <v>42</v>
      </c>
      <c r="C467" s="3" t="s">
        <v>23</v>
      </c>
      <c r="D467" s="3" t="s">
        <v>43</v>
      </c>
      <c r="E467" s="3" t="s">
        <v>51</v>
      </c>
      <c r="F467" s="3" t="s">
        <v>53</v>
      </c>
      <c r="G467" s="3" t="s">
        <v>25</v>
      </c>
      <c r="H467" s="3" t="s">
        <v>25</v>
      </c>
      <c r="I467" s="6">
        <v>44501</v>
      </c>
      <c r="J467" s="4">
        <v>0</v>
      </c>
      <c r="K467" s="4">
        <v>0</v>
      </c>
      <c r="L467" s="4">
        <v>12.452</v>
      </c>
      <c r="M467" s="4">
        <v>4.9808000000000003</v>
      </c>
      <c r="N467" s="4">
        <v>12.452</v>
      </c>
      <c r="O467" s="4">
        <v>4.9808000000000003</v>
      </c>
      <c r="P467" s="4">
        <v>0</v>
      </c>
      <c r="Q467" s="3" t="s">
        <v>26</v>
      </c>
      <c r="R467" s="3">
        <v>0</v>
      </c>
      <c r="S467" s="4">
        <v>0</v>
      </c>
      <c r="T467" s="4">
        <v>32</v>
      </c>
      <c r="U467" s="4">
        <v>72</v>
      </c>
      <c r="V467" s="4">
        <f>IF(ISERROR(VLOOKUP($S$467,'TAR FIN'!$A$1:$O$91,15,0)),0,VLOOKUP($S$467,'TAR FIN'!$A$1:$O$91,15,0))</f>
        <v>0</v>
      </c>
      <c r="W467" s="4">
        <f>IF(ISERROR(VLOOKUP($T$467,'TAR FIN'!$A$1:$O$91,15,0)),0,VLOOKUP($T$467,'TAR FIN'!$A$1:$O$91,15,0))</f>
        <v>357.74</v>
      </c>
      <c r="X467" s="4">
        <f>IF(ISERROR(VLOOKUP($U$467,'TAR FIN'!$A$1:$O$91,15,0)),0,VLOOKUP($U$467,'TAR FIN'!$A$1:$O$91,15,0))</f>
        <v>175.15</v>
      </c>
      <c r="Y467" s="4"/>
      <c r="Z467" s="4">
        <f ca="1">('TUSD BE'!$AM$36+'TUSD BF_350'!$AM$36+'TUSD CVA'!$AM$36)*(1-CUSTOS!$M$38)</f>
        <v>419.26134561460873</v>
      </c>
      <c r="AA467" s="4">
        <f ca="1">('TE BE'!$AB$27+'TE BF_350'!$AB$27+'TE CVA'!$AB$27)*(1-CUSTOS!$M$38)</f>
        <v>193.19190075421278</v>
      </c>
      <c r="AB467" s="4">
        <f>$K$467*$V$467</f>
        <v>0</v>
      </c>
      <c r="AC467" s="4">
        <f>$M$467*$W$467</f>
        <v>1781.8313920000003</v>
      </c>
      <c r="AD467" s="4">
        <f>$O$467*$X$467</f>
        <v>872.3871200000001</v>
      </c>
      <c r="AE467" s="4">
        <f>$K$467*$Y$467</f>
        <v>0</v>
      </c>
      <c r="AF467" s="4">
        <f ca="1">$M$467*$Z$467</f>
        <v>2088.2569102372431</v>
      </c>
      <c r="AG467" s="4">
        <f ca="1">$O$467*$AA$467</f>
        <v>962.25021927658304</v>
      </c>
    </row>
    <row r="468" spans="1:33" ht="11.25" customHeight="1" x14ac:dyDescent="0.3">
      <c r="A468" s="3" t="s">
        <v>21</v>
      </c>
      <c r="B468" s="3" t="s">
        <v>42</v>
      </c>
      <c r="C468" s="3" t="s">
        <v>23</v>
      </c>
      <c r="D468" s="3" t="s">
        <v>43</v>
      </c>
      <c r="E468" s="3" t="s">
        <v>51</v>
      </c>
      <c r="F468" s="3" t="s">
        <v>53</v>
      </c>
      <c r="G468" s="3" t="s">
        <v>25</v>
      </c>
      <c r="H468" s="3" t="s">
        <v>25</v>
      </c>
      <c r="I468" s="6">
        <v>44531</v>
      </c>
      <c r="J468" s="4">
        <v>0</v>
      </c>
      <c r="K468" s="4">
        <v>0</v>
      </c>
      <c r="L468" s="4">
        <v>17.614999999999998</v>
      </c>
      <c r="M468" s="4">
        <v>7.0460000000000003</v>
      </c>
      <c r="N468" s="4">
        <v>17.614999999999998</v>
      </c>
      <c r="O468" s="4">
        <v>7.0460000000000003</v>
      </c>
      <c r="P468" s="4">
        <v>0</v>
      </c>
      <c r="Q468" s="3" t="s">
        <v>26</v>
      </c>
      <c r="R468" s="3">
        <v>0</v>
      </c>
      <c r="S468" s="4">
        <v>0</v>
      </c>
      <c r="T468" s="4">
        <v>32</v>
      </c>
      <c r="U468" s="4">
        <v>72</v>
      </c>
      <c r="V468" s="4">
        <f>IF(ISERROR(VLOOKUP($S$468,'TAR FIN'!$A$1:$O$91,15,0)),0,VLOOKUP($S$468,'TAR FIN'!$A$1:$O$91,15,0))</f>
        <v>0</v>
      </c>
      <c r="W468" s="4">
        <f>IF(ISERROR(VLOOKUP($T$468,'TAR FIN'!$A$1:$O$91,15,0)),0,VLOOKUP($T$468,'TAR FIN'!$A$1:$O$91,15,0))</f>
        <v>357.74</v>
      </c>
      <c r="X468" s="4">
        <f>IF(ISERROR(VLOOKUP($U$468,'TAR FIN'!$A$1:$O$91,15,0)),0,VLOOKUP($U$468,'TAR FIN'!$A$1:$O$91,15,0))</f>
        <v>175.15</v>
      </c>
      <c r="Y468" s="4"/>
      <c r="Z468" s="4">
        <f ca="1">('TUSD BE'!$AM$36+'TUSD BF_350'!$AM$36+'TUSD CVA'!$AM$36)*(1-CUSTOS!$M$38)</f>
        <v>419.26134561460873</v>
      </c>
      <c r="AA468" s="4">
        <f ca="1">('TE BE'!$AB$27+'TE BF_350'!$AB$27+'TE CVA'!$AB$27)*(1-CUSTOS!$M$38)</f>
        <v>193.19190075421278</v>
      </c>
      <c r="AB468" s="4">
        <f>$K$468*$V$468</f>
        <v>0</v>
      </c>
      <c r="AC468" s="4">
        <f>$M$468*$W$468</f>
        <v>2520.6360400000003</v>
      </c>
      <c r="AD468" s="4">
        <f>$O$468*$X$468</f>
        <v>1234.1069</v>
      </c>
      <c r="AE468" s="4">
        <f>$K$468*$Y$468</f>
        <v>0</v>
      </c>
      <c r="AF468" s="4">
        <f ca="1">$M$468*$Z$468</f>
        <v>2954.115441200533</v>
      </c>
      <c r="AG468" s="4">
        <f ca="1">$O$468*$AA$468</f>
        <v>1361.2301327141834</v>
      </c>
    </row>
    <row r="469" spans="1:33" ht="11.25" customHeight="1" x14ac:dyDescent="0.3">
      <c r="A469" s="3" t="s">
        <v>21</v>
      </c>
      <c r="B469" s="3" t="s">
        <v>42</v>
      </c>
      <c r="C469" s="3" t="s">
        <v>23</v>
      </c>
      <c r="D469" s="3" t="s">
        <v>43</v>
      </c>
      <c r="E469" s="3" t="s">
        <v>51</v>
      </c>
      <c r="F469" s="3" t="s">
        <v>53</v>
      </c>
      <c r="G469" s="3" t="s">
        <v>25</v>
      </c>
      <c r="H469" s="3" t="s">
        <v>25</v>
      </c>
      <c r="I469" s="6">
        <v>44562</v>
      </c>
      <c r="J469" s="4">
        <v>0</v>
      </c>
      <c r="K469" s="4">
        <v>0</v>
      </c>
      <c r="L469" s="4">
        <v>19.951000000000001</v>
      </c>
      <c r="M469" s="4">
        <v>7.9804000000000004</v>
      </c>
      <c r="N469" s="4">
        <v>19.951000000000001</v>
      </c>
      <c r="O469" s="4">
        <v>7.9804000000000004</v>
      </c>
      <c r="P469" s="4">
        <v>0</v>
      </c>
      <c r="Q469" s="3" t="s">
        <v>26</v>
      </c>
      <c r="R469" s="3">
        <v>0</v>
      </c>
      <c r="S469" s="4">
        <v>0</v>
      </c>
      <c r="T469" s="4">
        <v>32</v>
      </c>
      <c r="U469" s="4">
        <v>72</v>
      </c>
      <c r="V469" s="4">
        <f>IF(ISERROR(VLOOKUP($S$469,'TAR FIN'!$A$1:$O$91,15,0)),0,VLOOKUP($S$469,'TAR FIN'!$A$1:$O$91,15,0))</f>
        <v>0</v>
      </c>
      <c r="W469" s="4">
        <f>IF(ISERROR(VLOOKUP($T$469,'TAR FIN'!$A$1:$O$91,15,0)),0,VLOOKUP($T$469,'TAR FIN'!$A$1:$O$91,15,0))</f>
        <v>357.74</v>
      </c>
      <c r="X469" s="4">
        <f>IF(ISERROR(VLOOKUP($U$469,'TAR FIN'!$A$1:$O$91,15,0)),0,VLOOKUP($U$469,'TAR FIN'!$A$1:$O$91,15,0))</f>
        <v>175.15</v>
      </c>
      <c r="Y469" s="4"/>
      <c r="Z469" s="4">
        <f ca="1">('TUSD BE'!$AM$36+'TUSD BF_350'!$AM$36+'TUSD CVA'!$AM$36)*(1-CUSTOS!$M$38)</f>
        <v>419.26134561460873</v>
      </c>
      <c r="AA469" s="4">
        <f ca="1">('TE BE'!$AB$27+'TE BF_350'!$AB$27+'TE CVA'!$AB$27)*(1-CUSTOS!$M$38)</f>
        <v>193.19190075421278</v>
      </c>
      <c r="AB469" s="4">
        <f>$K$469*$V$469</f>
        <v>0</v>
      </c>
      <c r="AC469" s="4">
        <f>$M$469*$W$469</f>
        <v>2854.9082960000001</v>
      </c>
      <c r="AD469" s="4">
        <f>$O$469*$X$469</f>
        <v>1397.7670600000001</v>
      </c>
      <c r="AE469" s="4">
        <f>$K$469*$Y$469</f>
        <v>0</v>
      </c>
      <c r="AF469" s="4">
        <f ca="1">$M$469*$Z$469</f>
        <v>3345.8732425428238</v>
      </c>
      <c r="AG469" s="4">
        <f ca="1">$O$469*$AA$469</f>
        <v>1541.7486447789197</v>
      </c>
    </row>
    <row r="470" spans="1:33" ht="11.25" customHeight="1" x14ac:dyDescent="0.3">
      <c r="A470" s="3" t="s">
        <v>21</v>
      </c>
      <c r="B470" s="3" t="s">
        <v>42</v>
      </c>
      <c r="C470" s="3" t="s">
        <v>23</v>
      </c>
      <c r="D470" s="3" t="s">
        <v>43</v>
      </c>
      <c r="E470" s="3" t="s">
        <v>51</v>
      </c>
      <c r="F470" s="3" t="s">
        <v>53</v>
      </c>
      <c r="G470" s="3" t="s">
        <v>25</v>
      </c>
      <c r="H470" s="3" t="s">
        <v>25</v>
      </c>
      <c r="I470" s="6">
        <v>44593</v>
      </c>
      <c r="J470" s="4">
        <v>0</v>
      </c>
      <c r="K470" s="4">
        <v>0</v>
      </c>
      <c r="L470" s="4">
        <v>13.702999999999999</v>
      </c>
      <c r="M470" s="4">
        <v>5.4812000000000003</v>
      </c>
      <c r="N470" s="4">
        <v>13.702999999999999</v>
      </c>
      <c r="O470" s="4">
        <v>5.4812000000000003</v>
      </c>
      <c r="P470" s="4">
        <v>0</v>
      </c>
      <c r="Q470" s="3" t="s">
        <v>26</v>
      </c>
      <c r="R470" s="3">
        <v>0</v>
      </c>
      <c r="S470" s="4">
        <v>0</v>
      </c>
      <c r="T470" s="4">
        <v>32</v>
      </c>
      <c r="U470" s="4">
        <v>72</v>
      </c>
      <c r="V470" s="4">
        <f>IF(ISERROR(VLOOKUP($S$470,'TAR FIN'!$A$1:$O$91,15,0)),0,VLOOKUP($S$470,'TAR FIN'!$A$1:$O$91,15,0))</f>
        <v>0</v>
      </c>
      <c r="W470" s="4">
        <f>IF(ISERROR(VLOOKUP($T$470,'TAR FIN'!$A$1:$O$91,15,0)),0,VLOOKUP($T$470,'TAR FIN'!$A$1:$O$91,15,0))</f>
        <v>357.74</v>
      </c>
      <c r="X470" s="4">
        <f>IF(ISERROR(VLOOKUP($U$470,'TAR FIN'!$A$1:$O$91,15,0)),0,VLOOKUP($U$470,'TAR FIN'!$A$1:$O$91,15,0))</f>
        <v>175.15</v>
      </c>
      <c r="Y470" s="4"/>
      <c r="Z470" s="4">
        <f ca="1">('TUSD BE'!$AM$36+'TUSD BF_350'!$AM$36+'TUSD CVA'!$AM$36)*(1-CUSTOS!$M$38)</f>
        <v>419.26134561460873</v>
      </c>
      <c r="AA470" s="4">
        <f ca="1">('TE BE'!$AB$27+'TE BF_350'!$AB$27+'TE CVA'!$AB$27)*(1-CUSTOS!$M$38)</f>
        <v>193.19190075421278</v>
      </c>
      <c r="AB470" s="4">
        <f>$K$470*$V$470</f>
        <v>0</v>
      </c>
      <c r="AC470" s="4">
        <f>$M$470*$W$470</f>
        <v>1960.8444880000002</v>
      </c>
      <c r="AD470" s="4">
        <f>$O$470*$X$470</f>
        <v>960.03218000000004</v>
      </c>
      <c r="AE470" s="4">
        <f>$K$470*$Y$470</f>
        <v>0</v>
      </c>
      <c r="AF470" s="4">
        <f ca="1">$M$470*$Z$470</f>
        <v>2298.0552875827934</v>
      </c>
      <c r="AG470" s="4">
        <f ca="1">$O$470*$AA$470</f>
        <v>1058.9234464139911</v>
      </c>
    </row>
    <row r="471" spans="1:33" ht="11.25" customHeight="1" x14ac:dyDescent="0.3">
      <c r="A471" s="3" t="s">
        <v>21</v>
      </c>
      <c r="B471" s="3" t="s">
        <v>42</v>
      </c>
      <c r="C471" s="3" t="s">
        <v>23</v>
      </c>
      <c r="D471" s="3" t="s">
        <v>43</v>
      </c>
      <c r="E471" s="3" t="s">
        <v>51</v>
      </c>
      <c r="F471" s="3" t="s">
        <v>53</v>
      </c>
      <c r="G471" s="3" t="s">
        <v>25</v>
      </c>
      <c r="H471" s="3" t="s">
        <v>25</v>
      </c>
      <c r="I471" s="6">
        <v>44621</v>
      </c>
      <c r="J471" s="4">
        <v>0</v>
      </c>
      <c r="K471" s="4">
        <v>0</v>
      </c>
      <c r="L471" s="4">
        <v>1.51</v>
      </c>
      <c r="M471" s="4">
        <v>0.60399999999999998</v>
      </c>
      <c r="N471" s="4">
        <v>1.51</v>
      </c>
      <c r="O471" s="4">
        <v>0.60399999999999998</v>
      </c>
      <c r="P471" s="4">
        <v>0</v>
      </c>
      <c r="Q471" s="3" t="s">
        <v>26</v>
      </c>
      <c r="R471" s="3">
        <v>0</v>
      </c>
      <c r="S471" s="4">
        <v>0</v>
      </c>
      <c r="T471" s="4">
        <v>32</v>
      </c>
      <c r="U471" s="4">
        <v>72</v>
      </c>
      <c r="V471" s="4">
        <f>IF(ISERROR(VLOOKUP($S$471,'TAR FIN'!$A$1:$O$91,15,0)),0,VLOOKUP($S$471,'TAR FIN'!$A$1:$O$91,15,0))</f>
        <v>0</v>
      </c>
      <c r="W471" s="4">
        <f>IF(ISERROR(VLOOKUP($T$471,'TAR FIN'!$A$1:$O$91,15,0)),0,VLOOKUP($T$471,'TAR FIN'!$A$1:$O$91,15,0))</f>
        <v>357.74</v>
      </c>
      <c r="X471" s="4">
        <f>IF(ISERROR(VLOOKUP($U$471,'TAR FIN'!$A$1:$O$91,15,0)),0,VLOOKUP($U$471,'TAR FIN'!$A$1:$O$91,15,0))</f>
        <v>175.15</v>
      </c>
      <c r="Y471" s="4"/>
      <c r="Z471" s="4">
        <f ca="1">('TUSD BE'!$AM$36+'TUSD BF_350'!$AM$36+'TUSD CVA'!$AM$36)*(1-CUSTOS!$M$38)</f>
        <v>419.26134561460873</v>
      </c>
      <c r="AA471" s="4">
        <f ca="1">('TE BE'!$AB$27+'TE BF_350'!$AB$27+'TE CVA'!$AB$27)*(1-CUSTOS!$M$38)</f>
        <v>193.19190075421278</v>
      </c>
      <c r="AB471" s="4">
        <f>$K$471*$V$471</f>
        <v>0</v>
      </c>
      <c r="AC471" s="4">
        <f>$M$471*$W$471</f>
        <v>216.07496</v>
      </c>
      <c r="AD471" s="4">
        <f>$O$471*$X$471</f>
        <v>105.7906</v>
      </c>
      <c r="AE471" s="4">
        <f>$K$471*$Y$471</f>
        <v>0</v>
      </c>
      <c r="AF471" s="4">
        <f ca="1">$M$471*$Z$471</f>
        <v>253.23385275122365</v>
      </c>
      <c r="AG471" s="4">
        <f ca="1">$O$471*$AA$471</f>
        <v>116.68790805554451</v>
      </c>
    </row>
    <row r="472" spans="1:33" ht="11.25" customHeight="1" x14ac:dyDescent="0.3">
      <c r="A472" s="3" t="s">
        <v>21</v>
      </c>
      <c r="B472" s="3" t="s">
        <v>42</v>
      </c>
      <c r="C472" s="3" t="s">
        <v>23</v>
      </c>
      <c r="D472" s="3" t="s">
        <v>43</v>
      </c>
      <c r="E472" s="3" t="s">
        <v>51</v>
      </c>
      <c r="F472" s="3" t="s">
        <v>53</v>
      </c>
      <c r="G472" s="3" t="s">
        <v>25</v>
      </c>
      <c r="H472" s="3" t="s">
        <v>25</v>
      </c>
      <c r="I472" s="6">
        <v>44652</v>
      </c>
      <c r="J472" s="4">
        <v>0</v>
      </c>
      <c r="K472" s="4">
        <v>0</v>
      </c>
      <c r="L472" s="4">
        <v>0.372</v>
      </c>
      <c r="M472" s="4">
        <v>0.14879999999999999</v>
      </c>
      <c r="N472" s="4">
        <v>0.372</v>
      </c>
      <c r="O472" s="4">
        <v>0.14879999999999999</v>
      </c>
      <c r="P472" s="4">
        <v>0</v>
      </c>
      <c r="Q472" s="3" t="s">
        <v>26</v>
      </c>
      <c r="R472" s="3">
        <v>0</v>
      </c>
      <c r="S472" s="4">
        <v>0</v>
      </c>
      <c r="T472" s="4">
        <v>32</v>
      </c>
      <c r="U472" s="4">
        <v>72</v>
      </c>
      <c r="V472" s="4">
        <f>IF(ISERROR(VLOOKUP($S$472,'TAR FIN'!$A$1:$O$91,15,0)),0,VLOOKUP($S$472,'TAR FIN'!$A$1:$O$91,15,0))</f>
        <v>0</v>
      </c>
      <c r="W472" s="4">
        <f>IF(ISERROR(VLOOKUP($T$472,'TAR FIN'!$A$1:$O$91,15,0)),0,VLOOKUP($T$472,'TAR FIN'!$A$1:$O$91,15,0))</f>
        <v>357.74</v>
      </c>
      <c r="X472" s="4">
        <f>IF(ISERROR(VLOOKUP($U$472,'TAR FIN'!$A$1:$O$91,15,0)),0,VLOOKUP($U$472,'TAR FIN'!$A$1:$O$91,15,0))</f>
        <v>175.15</v>
      </c>
      <c r="Y472" s="4"/>
      <c r="Z472" s="4">
        <f ca="1">('TUSD BE'!$AM$36+'TUSD BF_350'!$AM$36+'TUSD CVA'!$AM$36)*(1-CUSTOS!$M$38)</f>
        <v>419.26134561460873</v>
      </c>
      <c r="AA472" s="4">
        <f ca="1">('TE BE'!$AB$27+'TE BF_350'!$AB$27+'TE CVA'!$AB$27)*(1-CUSTOS!$M$38)</f>
        <v>193.19190075421278</v>
      </c>
      <c r="AB472" s="4">
        <f>$K$472*$V$472</f>
        <v>0</v>
      </c>
      <c r="AC472" s="4">
        <f>$M$472*$W$472</f>
        <v>53.231711999999995</v>
      </c>
      <c r="AD472" s="4">
        <f>$O$472*$X$472</f>
        <v>26.06232</v>
      </c>
      <c r="AE472" s="4">
        <f>$K$472*$Y$472</f>
        <v>0</v>
      </c>
      <c r="AF472" s="4">
        <f ca="1">$M$472*$Z$472</f>
        <v>62.386088227453776</v>
      </c>
      <c r="AG472" s="4">
        <f ca="1">$O$472*$AA$472</f>
        <v>28.746954832226859</v>
      </c>
    </row>
    <row r="473" spans="1:33" ht="11.25" customHeight="1" x14ac:dyDescent="0.3">
      <c r="A473" s="3" t="s">
        <v>21</v>
      </c>
      <c r="B473" s="3" t="s">
        <v>42</v>
      </c>
      <c r="C473" s="3" t="s">
        <v>23</v>
      </c>
      <c r="D473" s="3" t="s">
        <v>43</v>
      </c>
      <c r="E473" s="3" t="s">
        <v>51</v>
      </c>
      <c r="F473" s="3" t="s">
        <v>53</v>
      </c>
      <c r="G473" s="3" t="s">
        <v>25</v>
      </c>
      <c r="H473" s="3" t="s">
        <v>25</v>
      </c>
      <c r="I473" s="6">
        <v>44682</v>
      </c>
      <c r="J473" s="4">
        <v>0</v>
      </c>
      <c r="K473" s="4">
        <v>0</v>
      </c>
      <c r="L473" s="4">
        <v>0.152</v>
      </c>
      <c r="M473" s="4">
        <v>6.08E-2</v>
      </c>
      <c r="N473" s="4">
        <v>0.152</v>
      </c>
      <c r="O473" s="4">
        <v>6.08E-2</v>
      </c>
      <c r="P473" s="4">
        <v>0</v>
      </c>
      <c r="Q473" s="3" t="s">
        <v>26</v>
      </c>
      <c r="R473" s="3">
        <v>0</v>
      </c>
      <c r="S473" s="4">
        <v>0</v>
      </c>
      <c r="T473" s="4">
        <v>32</v>
      </c>
      <c r="U473" s="4">
        <v>72</v>
      </c>
      <c r="V473" s="4">
        <f>IF(ISERROR(VLOOKUP($S$473,'TAR FIN'!$A$1:$O$91,15,0)),0,VLOOKUP($S$473,'TAR FIN'!$A$1:$O$91,15,0))</f>
        <v>0</v>
      </c>
      <c r="W473" s="4">
        <f>IF(ISERROR(VLOOKUP($T$473,'TAR FIN'!$A$1:$O$91,15,0)),0,VLOOKUP($T$473,'TAR FIN'!$A$1:$O$91,15,0))</f>
        <v>357.74</v>
      </c>
      <c r="X473" s="4">
        <f>IF(ISERROR(VLOOKUP($U$473,'TAR FIN'!$A$1:$O$91,15,0)),0,VLOOKUP($U$473,'TAR FIN'!$A$1:$O$91,15,0))</f>
        <v>175.15</v>
      </c>
      <c r="Y473" s="4"/>
      <c r="Z473" s="4">
        <f ca="1">('TUSD BE'!$AM$36+'TUSD BF_350'!$AM$36+'TUSD CVA'!$AM$36)*(1-CUSTOS!$M$38)</f>
        <v>419.26134561460873</v>
      </c>
      <c r="AA473" s="4">
        <f ca="1">('TE BE'!$AB$27+'TE BF_350'!$AB$27+'TE CVA'!$AB$27)*(1-CUSTOS!$M$38)</f>
        <v>193.19190075421278</v>
      </c>
      <c r="AB473" s="4">
        <f>$K$473*$V$473</f>
        <v>0</v>
      </c>
      <c r="AC473" s="4">
        <f>$M$473*$W$473</f>
        <v>21.750592000000001</v>
      </c>
      <c r="AD473" s="4">
        <f>$O$473*$X$473</f>
        <v>10.64912</v>
      </c>
      <c r="AE473" s="4">
        <f>$K$473*$Y$473</f>
        <v>0</v>
      </c>
      <c r="AF473" s="4">
        <f ca="1">$M$473*$Z$473</f>
        <v>25.491089813368209</v>
      </c>
      <c r="AG473" s="4">
        <f ca="1">$O$473*$AA$473</f>
        <v>11.746067565856137</v>
      </c>
    </row>
    <row r="474" spans="1:33" ht="11.25" customHeight="1" x14ac:dyDescent="0.3">
      <c r="A474" s="3" t="s">
        <v>21</v>
      </c>
      <c r="B474" s="3" t="s">
        <v>42</v>
      </c>
      <c r="C474" s="3" t="s">
        <v>23</v>
      </c>
      <c r="D474" s="3" t="s">
        <v>43</v>
      </c>
      <c r="E474" s="3" t="s">
        <v>25</v>
      </c>
      <c r="F474" s="3" t="s">
        <v>25</v>
      </c>
      <c r="G474" s="3" t="s">
        <v>25</v>
      </c>
      <c r="H474" s="3" t="s">
        <v>25</v>
      </c>
      <c r="I474" s="6">
        <v>44378</v>
      </c>
      <c r="J474" s="4">
        <v>0</v>
      </c>
      <c r="K474" s="4">
        <v>0</v>
      </c>
      <c r="L474" s="4">
        <v>1126.674</v>
      </c>
      <c r="M474" s="4">
        <v>1126.674</v>
      </c>
      <c r="N474" s="4">
        <v>1126.674</v>
      </c>
      <c r="O474" s="4">
        <v>1126.674</v>
      </c>
      <c r="P474" s="4">
        <v>4531</v>
      </c>
      <c r="Q474" s="3" t="s">
        <v>26</v>
      </c>
      <c r="R474" s="3">
        <v>0</v>
      </c>
      <c r="S474" s="4">
        <v>0</v>
      </c>
      <c r="T474" s="4">
        <v>32</v>
      </c>
      <c r="U474" s="4">
        <v>72</v>
      </c>
      <c r="V474" s="4">
        <f>IF(ISERROR(VLOOKUP($S$474,'TAR FIN'!$A$1:$O$91,15,0)),0,VLOOKUP($S$474,'TAR FIN'!$A$1:$O$91,15,0))</f>
        <v>0</v>
      </c>
      <c r="W474" s="4">
        <f>IF(ISERROR(VLOOKUP($T$474,'TAR FIN'!$A$1:$O$91,15,0)),0,VLOOKUP($T$474,'TAR FIN'!$A$1:$O$91,15,0))</f>
        <v>357.74</v>
      </c>
      <c r="X474" s="4">
        <f>IF(ISERROR(VLOOKUP($U$474,'TAR FIN'!$A$1:$O$91,15,0)),0,VLOOKUP($U$474,'TAR FIN'!$A$1:$O$91,15,0))</f>
        <v>175.15</v>
      </c>
      <c r="Y474" s="4"/>
      <c r="Z474" s="4">
        <f ca="1">('TUSD BE'!$AM$36+'TUSD BF_350'!$AM$36+'TUSD CVA'!$AM$36)*(1-CUSTOS!$M$38)</f>
        <v>419.26134561460873</v>
      </c>
      <c r="AA474" s="4">
        <f ca="1">('TE BE'!$AB$27+'TE BF_350'!$AB$27+'TE CVA'!$AB$27)*(1-CUSTOS!$M$38)</f>
        <v>193.19190075421278</v>
      </c>
      <c r="AB474" s="4">
        <f>$K$474*$V$474</f>
        <v>0</v>
      </c>
      <c r="AC474" s="4">
        <f>$M$474*$W$474</f>
        <v>403056.35676</v>
      </c>
      <c r="AD474" s="4">
        <f>$O$474*$X$474</f>
        <v>197336.95110000001</v>
      </c>
      <c r="AE474" s="4">
        <f>$K$474*$Y$474</f>
        <v>0</v>
      </c>
      <c r="AF474" s="4">
        <f ca="1">$M$474*$Z$474</f>
        <v>472370.85730899364</v>
      </c>
      <c r="AG474" s="4">
        <f ca="1">$O$474*$AA$474</f>
        <v>217664.29159035193</v>
      </c>
    </row>
    <row r="475" spans="1:33" ht="11.25" customHeight="1" x14ac:dyDescent="0.3">
      <c r="A475" s="3" t="s">
        <v>27</v>
      </c>
      <c r="B475" s="3" t="s">
        <v>42</v>
      </c>
      <c r="C475" s="3" t="s">
        <v>23</v>
      </c>
      <c r="D475" s="3" t="s">
        <v>43</v>
      </c>
      <c r="E475" s="3" t="s">
        <v>25</v>
      </c>
      <c r="F475" s="3" t="s">
        <v>25</v>
      </c>
      <c r="G475" s="3" t="s">
        <v>25</v>
      </c>
      <c r="H475" s="3" t="s">
        <v>25</v>
      </c>
      <c r="I475" s="6">
        <v>44378</v>
      </c>
      <c r="J475" s="4">
        <v>0</v>
      </c>
      <c r="K475" s="4">
        <v>0</v>
      </c>
      <c r="L475" s="4">
        <v>-1.522</v>
      </c>
      <c r="M475" s="4">
        <v>-1.522</v>
      </c>
      <c r="N475" s="4">
        <v>-1.522</v>
      </c>
      <c r="O475" s="4">
        <v>-1.522</v>
      </c>
      <c r="P475" s="4">
        <v>0</v>
      </c>
      <c r="Q475" s="3" t="s">
        <v>26</v>
      </c>
      <c r="R475" s="3">
        <v>0</v>
      </c>
      <c r="S475" s="4">
        <v>0</v>
      </c>
      <c r="T475" s="4">
        <v>32</v>
      </c>
      <c r="U475" s="4">
        <v>72</v>
      </c>
      <c r="V475" s="4">
        <f>IF(ISERROR(VLOOKUP($S$475,'TAR FIN'!$A$1:$O$91,15,0)),0,VLOOKUP($S$475,'TAR FIN'!$A$1:$O$91,15,0))</f>
        <v>0</v>
      </c>
      <c r="W475" s="4">
        <f>IF(ISERROR(VLOOKUP($T$475,'TAR FIN'!$A$1:$O$91,15,0)),0,VLOOKUP($T$475,'TAR FIN'!$A$1:$O$91,15,0))</f>
        <v>357.74</v>
      </c>
      <c r="X475" s="4">
        <f>IF(ISERROR(VLOOKUP($U$475,'TAR FIN'!$A$1:$O$91,15,0)),0,VLOOKUP($U$475,'TAR FIN'!$A$1:$O$91,15,0))</f>
        <v>175.15</v>
      </c>
      <c r="Y475" s="4"/>
      <c r="Z475" s="4">
        <f ca="1">('TUSD BE'!$AM$36+'TUSD BF_350'!$AM$36+'TUSD CVA'!$AM$36)*(1-CUSTOS!$M$38)</f>
        <v>419.26134561460873</v>
      </c>
      <c r="AA475" s="4">
        <f ca="1">('TE BE'!$AB$27+'TE BF_350'!$AB$27+'TE CVA'!$AB$27)*(1-CUSTOS!$M$38)</f>
        <v>193.19190075421278</v>
      </c>
      <c r="AB475" s="4">
        <f>$K$475*$V$475</f>
        <v>0</v>
      </c>
      <c r="AC475" s="4">
        <f>$M$475*$W$475</f>
        <v>-544.48027999999999</v>
      </c>
      <c r="AD475" s="4">
        <f>$O$475*$X$475</f>
        <v>-266.57830000000001</v>
      </c>
      <c r="AE475" s="4">
        <f>$K$475*$Y$475</f>
        <v>0</v>
      </c>
      <c r="AF475" s="4">
        <f ca="1">$M$475*$Z$475</f>
        <v>-638.11576802543448</v>
      </c>
      <c r="AG475" s="4">
        <f ca="1">$O$475*$AA$475</f>
        <v>-294.03807294791187</v>
      </c>
    </row>
    <row r="476" spans="1:33" ht="11.25" customHeight="1" x14ac:dyDescent="0.3">
      <c r="A476" s="3" t="s">
        <v>28</v>
      </c>
      <c r="B476" s="3" t="s">
        <v>42</v>
      </c>
      <c r="C476" s="3" t="s">
        <v>23</v>
      </c>
      <c r="D476" s="3" t="s">
        <v>43</v>
      </c>
      <c r="E476" s="3" t="s">
        <v>25</v>
      </c>
      <c r="F476" s="3" t="s">
        <v>25</v>
      </c>
      <c r="G476" s="3" t="s">
        <v>25</v>
      </c>
      <c r="H476" s="3" t="s">
        <v>25</v>
      </c>
      <c r="I476" s="6">
        <v>44378</v>
      </c>
      <c r="J476" s="4">
        <v>0</v>
      </c>
      <c r="K476" s="4">
        <v>0</v>
      </c>
      <c r="L476" s="4">
        <v>12.750999999999999</v>
      </c>
      <c r="M476" s="4">
        <v>12.750999999999999</v>
      </c>
      <c r="N476" s="4">
        <v>12.750999999999999</v>
      </c>
      <c r="O476" s="4">
        <v>12.750999999999999</v>
      </c>
      <c r="P476" s="4">
        <v>37</v>
      </c>
      <c r="Q476" s="3" t="s">
        <v>26</v>
      </c>
      <c r="R476" s="3">
        <v>0</v>
      </c>
      <c r="S476" s="4">
        <v>0</v>
      </c>
      <c r="T476" s="4">
        <v>32</v>
      </c>
      <c r="U476" s="4">
        <v>72</v>
      </c>
      <c r="V476" s="4">
        <f>IF(ISERROR(VLOOKUP($S$476,'TAR FIN'!$A$1:$O$91,15,0)),0,VLOOKUP($S$476,'TAR FIN'!$A$1:$O$91,15,0))</f>
        <v>0</v>
      </c>
      <c r="W476" s="4">
        <f>IF(ISERROR(VLOOKUP($T$476,'TAR FIN'!$A$1:$O$91,15,0)),0,VLOOKUP($T$476,'TAR FIN'!$A$1:$O$91,15,0))</f>
        <v>357.74</v>
      </c>
      <c r="X476" s="4">
        <f>IF(ISERROR(VLOOKUP($U$476,'TAR FIN'!$A$1:$O$91,15,0)),0,VLOOKUP($U$476,'TAR FIN'!$A$1:$O$91,15,0))</f>
        <v>175.15</v>
      </c>
      <c r="Y476" s="4"/>
      <c r="Z476" s="4">
        <f ca="1">('TUSD BE'!$AM$36+'TUSD BF_350'!$AM$36+'TUSD CVA'!$AM$36)*(1-CUSTOS!$M$38)</f>
        <v>419.26134561460873</v>
      </c>
      <c r="AA476" s="4">
        <f ca="1">('TE BE'!$AB$27+'TE BF_350'!$AB$27+'TE CVA'!$AB$27)*(1-CUSTOS!$M$38)</f>
        <v>193.19190075421278</v>
      </c>
      <c r="AB476" s="4">
        <f>$K$476*$V$476</f>
        <v>0</v>
      </c>
      <c r="AC476" s="4">
        <f>$M$476*$W$476</f>
        <v>4561.5427399999999</v>
      </c>
      <c r="AD476" s="4">
        <f>$O$476*$X$476</f>
        <v>2233.3376499999999</v>
      </c>
      <c r="AE476" s="4">
        <f>$K$476*$Y$476</f>
        <v>0</v>
      </c>
      <c r="AF476" s="4">
        <f ca="1">$M$476*$Z$476</f>
        <v>5346.0014179318759</v>
      </c>
      <c r="AG476" s="4">
        <f ca="1">$O$476*$AA$476</f>
        <v>2463.3899265169671</v>
      </c>
    </row>
    <row r="477" spans="1:33" ht="11.25" customHeight="1" x14ac:dyDescent="0.3">
      <c r="A477" s="3" t="s">
        <v>21</v>
      </c>
      <c r="B477" s="3" t="s">
        <v>42</v>
      </c>
      <c r="C477" s="3" t="s">
        <v>23</v>
      </c>
      <c r="D477" s="3" t="s">
        <v>43</v>
      </c>
      <c r="E477" s="3" t="s">
        <v>25</v>
      </c>
      <c r="F477" s="3" t="s">
        <v>25</v>
      </c>
      <c r="G477" s="3" t="s">
        <v>25</v>
      </c>
      <c r="H477" s="3" t="s">
        <v>25</v>
      </c>
      <c r="I477" s="6">
        <v>44409</v>
      </c>
      <c r="J477" s="4">
        <v>0</v>
      </c>
      <c r="K477" s="4">
        <v>0</v>
      </c>
      <c r="L477" s="4">
        <v>1124.0170000000001</v>
      </c>
      <c r="M477" s="4">
        <v>1124.0170000000001</v>
      </c>
      <c r="N477" s="4">
        <v>1124.0170000000001</v>
      </c>
      <c r="O477" s="4">
        <v>1124.0170000000001</v>
      </c>
      <c r="P477" s="4">
        <v>4536</v>
      </c>
      <c r="Q477" s="3" t="s">
        <v>26</v>
      </c>
      <c r="R477" s="3">
        <v>0</v>
      </c>
      <c r="S477" s="4">
        <v>0</v>
      </c>
      <c r="T477" s="4">
        <v>32</v>
      </c>
      <c r="U477" s="4">
        <v>72</v>
      </c>
      <c r="V477" s="4">
        <f>IF(ISERROR(VLOOKUP($S$477,'TAR FIN'!$A$1:$O$91,15,0)),0,VLOOKUP($S$477,'TAR FIN'!$A$1:$O$91,15,0))</f>
        <v>0</v>
      </c>
      <c r="W477" s="4">
        <f>IF(ISERROR(VLOOKUP($T$477,'TAR FIN'!$A$1:$O$91,15,0)),0,VLOOKUP($T$477,'TAR FIN'!$A$1:$O$91,15,0))</f>
        <v>357.74</v>
      </c>
      <c r="X477" s="4">
        <f>IF(ISERROR(VLOOKUP($U$477,'TAR FIN'!$A$1:$O$91,15,0)),0,VLOOKUP($U$477,'TAR FIN'!$A$1:$O$91,15,0))</f>
        <v>175.15</v>
      </c>
      <c r="Y477" s="4"/>
      <c r="Z477" s="4">
        <f ca="1">('TUSD BE'!$AM$36+'TUSD BF_350'!$AM$36+'TUSD CVA'!$AM$36)*(1-CUSTOS!$M$38)</f>
        <v>419.26134561460873</v>
      </c>
      <c r="AA477" s="4">
        <f ca="1">('TE BE'!$AB$27+'TE BF_350'!$AB$27+'TE CVA'!$AB$27)*(1-CUSTOS!$M$38)</f>
        <v>193.19190075421278</v>
      </c>
      <c r="AB477" s="4">
        <f>$K$477*$V$477</f>
        <v>0</v>
      </c>
      <c r="AC477" s="4">
        <f>$M$477*$W$477</f>
        <v>402105.84158000001</v>
      </c>
      <c r="AD477" s="4">
        <f>$O$477*$X$477</f>
        <v>196871.57755000002</v>
      </c>
      <c r="AE477" s="4">
        <f>$K$477*$Y$477</f>
        <v>0</v>
      </c>
      <c r="AF477" s="4">
        <f ca="1">$M$477*$Z$477</f>
        <v>471256.87991369568</v>
      </c>
      <c r="AG477" s="4">
        <f ca="1">$O$477*$AA$477</f>
        <v>217150.980710048</v>
      </c>
    </row>
    <row r="478" spans="1:33" ht="11.25" customHeight="1" x14ac:dyDescent="0.3">
      <c r="A478" s="3" t="s">
        <v>27</v>
      </c>
      <c r="B478" s="3" t="s">
        <v>42</v>
      </c>
      <c r="C478" s="3" t="s">
        <v>23</v>
      </c>
      <c r="D478" s="3" t="s">
        <v>43</v>
      </c>
      <c r="E478" s="3" t="s">
        <v>25</v>
      </c>
      <c r="F478" s="3" t="s">
        <v>25</v>
      </c>
      <c r="G478" s="3" t="s">
        <v>25</v>
      </c>
      <c r="H478" s="3" t="s">
        <v>25</v>
      </c>
      <c r="I478" s="6">
        <v>44409</v>
      </c>
      <c r="J478" s="4">
        <v>0</v>
      </c>
      <c r="K478" s="4">
        <v>0</v>
      </c>
      <c r="L478" s="4">
        <v>1.9E-2</v>
      </c>
      <c r="M478" s="4">
        <v>1.9E-2</v>
      </c>
      <c r="N478" s="4">
        <v>1.9E-2</v>
      </c>
      <c r="O478" s="4">
        <v>1.9E-2</v>
      </c>
      <c r="P478" s="4">
        <v>0</v>
      </c>
      <c r="Q478" s="3" t="s">
        <v>26</v>
      </c>
      <c r="R478" s="3">
        <v>0</v>
      </c>
      <c r="S478" s="4">
        <v>0</v>
      </c>
      <c r="T478" s="4">
        <v>32</v>
      </c>
      <c r="U478" s="4">
        <v>72</v>
      </c>
      <c r="V478" s="4">
        <f>IF(ISERROR(VLOOKUP($S$478,'TAR FIN'!$A$1:$O$91,15,0)),0,VLOOKUP($S$478,'TAR FIN'!$A$1:$O$91,15,0))</f>
        <v>0</v>
      </c>
      <c r="W478" s="4">
        <f>IF(ISERROR(VLOOKUP($T$478,'TAR FIN'!$A$1:$O$91,15,0)),0,VLOOKUP($T$478,'TAR FIN'!$A$1:$O$91,15,0))</f>
        <v>357.74</v>
      </c>
      <c r="X478" s="4">
        <f>IF(ISERROR(VLOOKUP($U$478,'TAR FIN'!$A$1:$O$91,15,0)),0,VLOOKUP($U$478,'TAR FIN'!$A$1:$O$91,15,0))</f>
        <v>175.15</v>
      </c>
      <c r="Y478" s="4"/>
      <c r="Z478" s="4">
        <f ca="1">('TUSD BE'!$AM$36+'TUSD BF_350'!$AM$36+'TUSD CVA'!$AM$36)*(1-CUSTOS!$M$38)</f>
        <v>419.26134561460873</v>
      </c>
      <c r="AA478" s="4">
        <f ca="1">('TE BE'!$AB$27+'TE BF_350'!$AB$27+'TE CVA'!$AB$27)*(1-CUSTOS!$M$38)</f>
        <v>193.19190075421278</v>
      </c>
      <c r="AB478" s="4">
        <f>$K$478*$V$478</f>
        <v>0</v>
      </c>
      <c r="AC478" s="4">
        <f>$M$478*$W$478</f>
        <v>6.7970600000000001</v>
      </c>
      <c r="AD478" s="4">
        <f>$O$478*$X$478</f>
        <v>3.3278500000000002</v>
      </c>
      <c r="AE478" s="4">
        <f>$K$478*$Y$478</f>
        <v>0</v>
      </c>
      <c r="AF478" s="4">
        <f ca="1">$M$478*$Z$478</f>
        <v>7.9659655666775659</v>
      </c>
      <c r="AG478" s="4">
        <f ca="1">$O$478*$AA$478</f>
        <v>3.6706461143300428</v>
      </c>
    </row>
    <row r="479" spans="1:33" ht="11.25" customHeight="1" x14ac:dyDescent="0.3">
      <c r="A479" s="3" t="s">
        <v>28</v>
      </c>
      <c r="B479" s="3" t="s">
        <v>42</v>
      </c>
      <c r="C479" s="3" t="s">
        <v>23</v>
      </c>
      <c r="D479" s="3" t="s">
        <v>43</v>
      </c>
      <c r="E479" s="3" t="s">
        <v>25</v>
      </c>
      <c r="F479" s="3" t="s">
        <v>25</v>
      </c>
      <c r="G479" s="3" t="s">
        <v>25</v>
      </c>
      <c r="H479" s="3" t="s">
        <v>25</v>
      </c>
      <c r="I479" s="6">
        <v>44409</v>
      </c>
      <c r="J479" s="4">
        <v>0</v>
      </c>
      <c r="K479" s="4">
        <v>0</v>
      </c>
      <c r="L479" s="4">
        <v>12.103999999999999</v>
      </c>
      <c r="M479" s="4">
        <v>12.103999999999999</v>
      </c>
      <c r="N479" s="4">
        <v>12.103999999999999</v>
      </c>
      <c r="O479" s="4">
        <v>12.103999999999999</v>
      </c>
      <c r="P479" s="4">
        <v>39</v>
      </c>
      <c r="Q479" s="3" t="s">
        <v>26</v>
      </c>
      <c r="R479" s="3">
        <v>0</v>
      </c>
      <c r="S479" s="4">
        <v>0</v>
      </c>
      <c r="T479" s="4">
        <v>32</v>
      </c>
      <c r="U479" s="4">
        <v>72</v>
      </c>
      <c r="V479" s="4">
        <f>IF(ISERROR(VLOOKUP($S$479,'TAR FIN'!$A$1:$O$91,15,0)),0,VLOOKUP($S$479,'TAR FIN'!$A$1:$O$91,15,0))</f>
        <v>0</v>
      </c>
      <c r="W479" s="4">
        <f>IF(ISERROR(VLOOKUP($T$479,'TAR FIN'!$A$1:$O$91,15,0)),0,VLOOKUP($T$479,'TAR FIN'!$A$1:$O$91,15,0))</f>
        <v>357.74</v>
      </c>
      <c r="X479" s="4">
        <f>IF(ISERROR(VLOOKUP($U$479,'TAR FIN'!$A$1:$O$91,15,0)),0,VLOOKUP($U$479,'TAR FIN'!$A$1:$O$91,15,0))</f>
        <v>175.15</v>
      </c>
      <c r="Y479" s="4"/>
      <c r="Z479" s="4">
        <f ca="1">('TUSD BE'!$AM$36+'TUSD BF_350'!$AM$36+'TUSD CVA'!$AM$36)*(1-CUSTOS!$M$38)</f>
        <v>419.26134561460873</v>
      </c>
      <c r="AA479" s="4">
        <f ca="1">('TE BE'!$AB$27+'TE BF_350'!$AB$27+'TE CVA'!$AB$27)*(1-CUSTOS!$M$38)</f>
        <v>193.19190075421278</v>
      </c>
      <c r="AB479" s="4">
        <f>$K$479*$V$479</f>
        <v>0</v>
      </c>
      <c r="AC479" s="4">
        <f>$M$479*$W$479</f>
        <v>4330.0849600000001</v>
      </c>
      <c r="AD479" s="4">
        <f>$O$479*$X$479</f>
        <v>2120.0155999999997</v>
      </c>
      <c r="AE479" s="4">
        <f>$K$479*$Y$479</f>
        <v>0</v>
      </c>
      <c r="AF479" s="4">
        <f ca="1">$M$479*$Z$479</f>
        <v>5074.7393273192238</v>
      </c>
      <c r="AG479" s="4">
        <f ca="1">$O$479*$AA$479</f>
        <v>2338.3947667289913</v>
      </c>
    </row>
    <row r="480" spans="1:33" ht="11.25" customHeight="1" x14ac:dyDescent="0.3">
      <c r="A480" s="3" t="s">
        <v>21</v>
      </c>
      <c r="B480" s="3" t="s">
        <v>42</v>
      </c>
      <c r="C480" s="3" t="s">
        <v>23</v>
      </c>
      <c r="D480" s="3" t="s">
        <v>43</v>
      </c>
      <c r="E480" s="3" t="s">
        <v>25</v>
      </c>
      <c r="F480" s="3" t="s">
        <v>25</v>
      </c>
      <c r="G480" s="3" t="s">
        <v>25</v>
      </c>
      <c r="H480" s="3" t="s">
        <v>25</v>
      </c>
      <c r="I480" s="6">
        <v>44440</v>
      </c>
      <c r="J480" s="4">
        <v>0</v>
      </c>
      <c r="K480" s="4">
        <v>0</v>
      </c>
      <c r="L480" s="4">
        <v>1096.153</v>
      </c>
      <c r="M480" s="4">
        <v>1096.153</v>
      </c>
      <c r="N480" s="4">
        <v>1096.153</v>
      </c>
      <c r="O480" s="4">
        <v>1096.153</v>
      </c>
      <c r="P480" s="4">
        <v>4534</v>
      </c>
      <c r="Q480" s="3" t="s">
        <v>26</v>
      </c>
      <c r="R480" s="3">
        <v>0</v>
      </c>
      <c r="S480" s="4">
        <v>0</v>
      </c>
      <c r="T480" s="4">
        <v>32</v>
      </c>
      <c r="U480" s="4">
        <v>72</v>
      </c>
      <c r="V480" s="4">
        <f>IF(ISERROR(VLOOKUP($S$480,'TAR FIN'!$A$1:$O$91,15,0)),0,VLOOKUP($S$480,'TAR FIN'!$A$1:$O$91,15,0))</f>
        <v>0</v>
      </c>
      <c r="W480" s="4">
        <f>IF(ISERROR(VLOOKUP($T$480,'TAR FIN'!$A$1:$O$91,15,0)),0,VLOOKUP($T$480,'TAR FIN'!$A$1:$O$91,15,0))</f>
        <v>357.74</v>
      </c>
      <c r="X480" s="4">
        <f>IF(ISERROR(VLOOKUP($U$480,'TAR FIN'!$A$1:$O$91,15,0)),0,VLOOKUP($U$480,'TAR FIN'!$A$1:$O$91,15,0))</f>
        <v>175.15</v>
      </c>
      <c r="Y480" s="4"/>
      <c r="Z480" s="4">
        <f ca="1">('TUSD BE'!$AM$36+'TUSD BF_350'!$AM$36+'TUSD CVA'!$AM$36)*(1-CUSTOS!$M$38)</f>
        <v>419.26134561460873</v>
      </c>
      <c r="AA480" s="4">
        <f ca="1">('TE BE'!$AB$27+'TE BF_350'!$AB$27+'TE CVA'!$AB$27)*(1-CUSTOS!$M$38)</f>
        <v>193.19190075421278</v>
      </c>
      <c r="AB480" s="4">
        <f>$K$480*$V$480</f>
        <v>0</v>
      </c>
      <c r="AC480" s="4">
        <f>$M$480*$W$480</f>
        <v>392137.77422000002</v>
      </c>
      <c r="AD480" s="4">
        <f>$O$480*$X$480</f>
        <v>191991.19795</v>
      </c>
      <c r="AE480" s="4">
        <f>$K$480*$Y$480</f>
        <v>0</v>
      </c>
      <c r="AF480" s="4">
        <f ca="1">$M$480*$Z$480</f>
        <v>459574.58177949023</v>
      </c>
      <c r="AG480" s="4">
        <f ca="1">$O$480*$AA$480</f>
        <v>211767.88158743261</v>
      </c>
    </row>
    <row r="481" spans="1:33" ht="11.25" customHeight="1" x14ac:dyDescent="0.3">
      <c r="A481" s="3" t="s">
        <v>27</v>
      </c>
      <c r="B481" s="3" t="s">
        <v>42</v>
      </c>
      <c r="C481" s="3" t="s">
        <v>23</v>
      </c>
      <c r="D481" s="3" t="s">
        <v>43</v>
      </c>
      <c r="E481" s="3" t="s">
        <v>25</v>
      </c>
      <c r="F481" s="3" t="s">
        <v>25</v>
      </c>
      <c r="G481" s="3" t="s">
        <v>25</v>
      </c>
      <c r="H481" s="3" t="s">
        <v>25</v>
      </c>
      <c r="I481" s="6">
        <v>44440</v>
      </c>
      <c r="J481" s="4">
        <v>0</v>
      </c>
      <c r="K481" s="4">
        <v>0</v>
      </c>
      <c r="L481" s="4">
        <v>-2.4340000000000002</v>
      </c>
      <c r="M481" s="4">
        <v>-2.4340000000000002</v>
      </c>
      <c r="N481" s="4">
        <v>-2.4340000000000002</v>
      </c>
      <c r="O481" s="4">
        <v>-2.4340000000000002</v>
      </c>
      <c r="P481" s="4">
        <v>0</v>
      </c>
      <c r="Q481" s="3" t="s">
        <v>26</v>
      </c>
      <c r="R481" s="3">
        <v>0</v>
      </c>
      <c r="S481" s="4">
        <v>0</v>
      </c>
      <c r="T481" s="4">
        <v>32</v>
      </c>
      <c r="U481" s="4">
        <v>72</v>
      </c>
      <c r="V481" s="4">
        <f>IF(ISERROR(VLOOKUP($S$481,'TAR FIN'!$A$1:$O$91,15,0)),0,VLOOKUP($S$481,'TAR FIN'!$A$1:$O$91,15,0))</f>
        <v>0</v>
      </c>
      <c r="W481" s="4">
        <f>IF(ISERROR(VLOOKUP($T$481,'TAR FIN'!$A$1:$O$91,15,0)),0,VLOOKUP($T$481,'TAR FIN'!$A$1:$O$91,15,0))</f>
        <v>357.74</v>
      </c>
      <c r="X481" s="4">
        <f>IF(ISERROR(VLOOKUP($U$481,'TAR FIN'!$A$1:$O$91,15,0)),0,VLOOKUP($U$481,'TAR FIN'!$A$1:$O$91,15,0))</f>
        <v>175.15</v>
      </c>
      <c r="Y481" s="4"/>
      <c r="Z481" s="4">
        <f ca="1">('TUSD BE'!$AM$36+'TUSD BF_350'!$AM$36+'TUSD CVA'!$AM$36)*(1-CUSTOS!$M$38)</f>
        <v>419.26134561460873</v>
      </c>
      <c r="AA481" s="4">
        <f ca="1">('TE BE'!$AB$27+'TE BF_350'!$AB$27+'TE CVA'!$AB$27)*(1-CUSTOS!$M$38)</f>
        <v>193.19190075421278</v>
      </c>
      <c r="AB481" s="4">
        <f>$K$481*$V$481</f>
        <v>0</v>
      </c>
      <c r="AC481" s="4">
        <f>$M$481*$W$481</f>
        <v>-870.73916000000008</v>
      </c>
      <c r="AD481" s="4">
        <f>$O$481*$X$481</f>
        <v>-426.31510000000003</v>
      </c>
      <c r="AE481" s="4">
        <f>$K$481*$Y$481</f>
        <v>0</v>
      </c>
      <c r="AF481" s="4">
        <f ca="1">$M$481*$Z$481</f>
        <v>-1020.4821152259577</v>
      </c>
      <c r="AG481" s="4">
        <f ca="1">$O$481*$AA$481</f>
        <v>-470.22908643575391</v>
      </c>
    </row>
    <row r="482" spans="1:33" ht="11.25" customHeight="1" x14ac:dyDescent="0.3">
      <c r="A482" s="3" t="s">
        <v>28</v>
      </c>
      <c r="B482" s="3" t="s">
        <v>42</v>
      </c>
      <c r="C482" s="3" t="s">
        <v>23</v>
      </c>
      <c r="D482" s="3" t="s">
        <v>43</v>
      </c>
      <c r="E482" s="3" t="s">
        <v>25</v>
      </c>
      <c r="F482" s="3" t="s">
        <v>25</v>
      </c>
      <c r="G482" s="3" t="s">
        <v>25</v>
      </c>
      <c r="H482" s="3" t="s">
        <v>25</v>
      </c>
      <c r="I482" s="6">
        <v>44440</v>
      </c>
      <c r="J482" s="4">
        <v>0</v>
      </c>
      <c r="K482" s="4">
        <v>0</v>
      </c>
      <c r="L482" s="4">
        <v>10.117000000000001</v>
      </c>
      <c r="M482" s="4">
        <v>10.117000000000001</v>
      </c>
      <c r="N482" s="4">
        <v>10.117000000000001</v>
      </c>
      <c r="O482" s="4">
        <v>10.117000000000001</v>
      </c>
      <c r="P482" s="4">
        <v>40</v>
      </c>
      <c r="Q482" s="3" t="s">
        <v>26</v>
      </c>
      <c r="R482" s="3">
        <v>0</v>
      </c>
      <c r="S482" s="4">
        <v>0</v>
      </c>
      <c r="T482" s="4">
        <v>32</v>
      </c>
      <c r="U482" s="4">
        <v>72</v>
      </c>
      <c r="V482" s="4">
        <f>IF(ISERROR(VLOOKUP($S$482,'TAR FIN'!$A$1:$O$91,15,0)),0,VLOOKUP($S$482,'TAR FIN'!$A$1:$O$91,15,0))</f>
        <v>0</v>
      </c>
      <c r="W482" s="4">
        <f>IF(ISERROR(VLOOKUP($T$482,'TAR FIN'!$A$1:$O$91,15,0)),0,VLOOKUP($T$482,'TAR FIN'!$A$1:$O$91,15,0))</f>
        <v>357.74</v>
      </c>
      <c r="X482" s="4">
        <f>IF(ISERROR(VLOOKUP($U$482,'TAR FIN'!$A$1:$O$91,15,0)),0,VLOOKUP($U$482,'TAR FIN'!$A$1:$O$91,15,0))</f>
        <v>175.15</v>
      </c>
      <c r="Y482" s="4"/>
      <c r="Z482" s="4">
        <f ca="1">('TUSD BE'!$AM$36+'TUSD BF_350'!$AM$36+'TUSD CVA'!$AM$36)*(1-CUSTOS!$M$38)</f>
        <v>419.26134561460873</v>
      </c>
      <c r="AA482" s="4">
        <f ca="1">('TE BE'!$AB$27+'TE BF_350'!$AB$27+'TE CVA'!$AB$27)*(1-CUSTOS!$M$38)</f>
        <v>193.19190075421278</v>
      </c>
      <c r="AB482" s="4">
        <f>$K$482*$V$482</f>
        <v>0</v>
      </c>
      <c r="AC482" s="4">
        <f>$M$482*$W$482</f>
        <v>3619.2555800000005</v>
      </c>
      <c r="AD482" s="4">
        <f>$O$482*$X$482</f>
        <v>1771.9925500000002</v>
      </c>
      <c r="AE482" s="4">
        <f>$K$482*$Y$482</f>
        <v>0</v>
      </c>
      <c r="AF482" s="4">
        <f ca="1">$M$482*$Z$482</f>
        <v>4241.6670335829967</v>
      </c>
      <c r="AG482" s="4">
        <f ca="1">$O$482*$AA$482</f>
        <v>1954.5224599303708</v>
      </c>
    </row>
    <row r="483" spans="1:33" ht="11.25" customHeight="1" x14ac:dyDescent="0.3">
      <c r="A483" s="3" t="s">
        <v>21</v>
      </c>
      <c r="B483" s="3" t="s">
        <v>42</v>
      </c>
      <c r="C483" s="3" t="s">
        <v>23</v>
      </c>
      <c r="D483" s="3" t="s">
        <v>43</v>
      </c>
      <c r="E483" s="3" t="s">
        <v>25</v>
      </c>
      <c r="F483" s="3" t="s">
        <v>25</v>
      </c>
      <c r="G483" s="3" t="s">
        <v>25</v>
      </c>
      <c r="H483" s="3" t="s">
        <v>25</v>
      </c>
      <c r="I483" s="6">
        <v>44470</v>
      </c>
      <c r="J483" s="4">
        <v>0</v>
      </c>
      <c r="K483" s="4">
        <v>0</v>
      </c>
      <c r="L483" s="4">
        <v>1158.865</v>
      </c>
      <c r="M483" s="4">
        <v>1158.865</v>
      </c>
      <c r="N483" s="4">
        <v>1158.865</v>
      </c>
      <c r="O483" s="4">
        <v>1158.865</v>
      </c>
      <c r="P483" s="4">
        <v>4539</v>
      </c>
      <c r="Q483" s="3" t="s">
        <v>26</v>
      </c>
      <c r="R483" s="3">
        <v>0</v>
      </c>
      <c r="S483" s="4">
        <v>0</v>
      </c>
      <c r="T483" s="4">
        <v>32</v>
      </c>
      <c r="U483" s="4">
        <v>72</v>
      </c>
      <c r="V483" s="4">
        <f>IF(ISERROR(VLOOKUP($S$483,'TAR FIN'!$A$1:$O$91,15,0)),0,VLOOKUP($S$483,'TAR FIN'!$A$1:$O$91,15,0))</f>
        <v>0</v>
      </c>
      <c r="W483" s="4">
        <f>IF(ISERROR(VLOOKUP($T$483,'TAR FIN'!$A$1:$O$91,15,0)),0,VLOOKUP($T$483,'TAR FIN'!$A$1:$O$91,15,0))</f>
        <v>357.74</v>
      </c>
      <c r="X483" s="4">
        <f>IF(ISERROR(VLOOKUP($U$483,'TAR FIN'!$A$1:$O$91,15,0)),0,VLOOKUP($U$483,'TAR FIN'!$A$1:$O$91,15,0))</f>
        <v>175.15</v>
      </c>
      <c r="Y483" s="4"/>
      <c r="Z483" s="4">
        <f ca="1">('TUSD BE'!$AM$36+'TUSD BF_350'!$AM$36+'TUSD CVA'!$AM$36)*(1-CUSTOS!$M$38)</f>
        <v>419.26134561460873</v>
      </c>
      <c r="AA483" s="4">
        <f ca="1">('TE BE'!$AB$27+'TE BF_350'!$AB$27+'TE CVA'!$AB$27)*(1-CUSTOS!$M$38)</f>
        <v>193.19190075421278</v>
      </c>
      <c r="AB483" s="4">
        <f>$K$483*$V$483</f>
        <v>0</v>
      </c>
      <c r="AC483" s="4">
        <f>$M$483*$W$483</f>
        <v>414572.3651</v>
      </c>
      <c r="AD483" s="4">
        <f>$O$483*$X$483</f>
        <v>202975.20475</v>
      </c>
      <c r="AE483" s="4">
        <f>$K$483*$Y$483</f>
        <v>0</v>
      </c>
      <c r="AF483" s="4">
        <f ca="1">$M$483*$Z$483</f>
        <v>485867.29928567354</v>
      </c>
      <c r="AG483" s="4">
        <f ca="1">$O$483*$AA$483</f>
        <v>223883.33206753081</v>
      </c>
    </row>
    <row r="484" spans="1:33" ht="11.25" customHeight="1" x14ac:dyDescent="0.3">
      <c r="A484" s="3" t="s">
        <v>27</v>
      </c>
      <c r="B484" s="3" t="s">
        <v>42</v>
      </c>
      <c r="C484" s="3" t="s">
        <v>23</v>
      </c>
      <c r="D484" s="3" t="s">
        <v>43</v>
      </c>
      <c r="E484" s="3" t="s">
        <v>25</v>
      </c>
      <c r="F484" s="3" t="s">
        <v>25</v>
      </c>
      <c r="G484" s="3" t="s">
        <v>25</v>
      </c>
      <c r="H484" s="3" t="s">
        <v>25</v>
      </c>
      <c r="I484" s="6">
        <v>44470</v>
      </c>
      <c r="J484" s="4">
        <v>0</v>
      </c>
      <c r="K484" s="4">
        <v>0</v>
      </c>
      <c r="L484" s="4">
        <v>-1.619</v>
      </c>
      <c r="M484" s="4">
        <v>-1.619</v>
      </c>
      <c r="N484" s="4">
        <v>-1.619</v>
      </c>
      <c r="O484" s="4">
        <v>-1.619</v>
      </c>
      <c r="P484" s="4">
        <v>0</v>
      </c>
      <c r="Q484" s="3" t="s">
        <v>26</v>
      </c>
      <c r="R484" s="3">
        <v>0</v>
      </c>
      <c r="S484" s="4">
        <v>0</v>
      </c>
      <c r="T484" s="4">
        <v>32</v>
      </c>
      <c r="U484" s="4">
        <v>72</v>
      </c>
      <c r="V484" s="4">
        <f>IF(ISERROR(VLOOKUP($S$484,'TAR FIN'!$A$1:$O$91,15,0)),0,VLOOKUP($S$484,'TAR FIN'!$A$1:$O$91,15,0))</f>
        <v>0</v>
      </c>
      <c r="W484" s="4">
        <f>IF(ISERROR(VLOOKUP($T$484,'TAR FIN'!$A$1:$O$91,15,0)),0,VLOOKUP($T$484,'TAR FIN'!$A$1:$O$91,15,0))</f>
        <v>357.74</v>
      </c>
      <c r="X484" s="4">
        <f>IF(ISERROR(VLOOKUP($U$484,'TAR FIN'!$A$1:$O$91,15,0)),0,VLOOKUP($U$484,'TAR FIN'!$A$1:$O$91,15,0))</f>
        <v>175.15</v>
      </c>
      <c r="Y484" s="4"/>
      <c r="Z484" s="4">
        <f ca="1">('TUSD BE'!$AM$36+'TUSD BF_350'!$AM$36+'TUSD CVA'!$AM$36)*(1-CUSTOS!$M$38)</f>
        <v>419.26134561460873</v>
      </c>
      <c r="AA484" s="4">
        <f ca="1">('TE BE'!$AB$27+'TE BF_350'!$AB$27+'TE CVA'!$AB$27)*(1-CUSTOS!$M$38)</f>
        <v>193.19190075421278</v>
      </c>
      <c r="AB484" s="4">
        <f>$K$484*$V$484</f>
        <v>0</v>
      </c>
      <c r="AC484" s="4">
        <f>$M$484*$W$484</f>
        <v>-579.18106</v>
      </c>
      <c r="AD484" s="4">
        <f>$O$484*$X$484</f>
        <v>-283.56785000000002</v>
      </c>
      <c r="AE484" s="4">
        <f>$K$484*$Y$484</f>
        <v>0</v>
      </c>
      <c r="AF484" s="4">
        <f ca="1">$M$484*$Z$484</f>
        <v>-678.78411855005152</v>
      </c>
      <c r="AG484" s="4">
        <f ca="1">$O$484*$AA$484</f>
        <v>-312.77768732107052</v>
      </c>
    </row>
    <row r="485" spans="1:33" ht="11.25" customHeight="1" x14ac:dyDescent="0.3">
      <c r="A485" s="3" t="s">
        <v>28</v>
      </c>
      <c r="B485" s="3" t="s">
        <v>42</v>
      </c>
      <c r="C485" s="3" t="s">
        <v>23</v>
      </c>
      <c r="D485" s="3" t="s">
        <v>43</v>
      </c>
      <c r="E485" s="3" t="s">
        <v>25</v>
      </c>
      <c r="F485" s="3" t="s">
        <v>25</v>
      </c>
      <c r="G485" s="3" t="s">
        <v>25</v>
      </c>
      <c r="H485" s="3" t="s">
        <v>25</v>
      </c>
      <c r="I485" s="6">
        <v>44470</v>
      </c>
      <c r="J485" s="4">
        <v>0</v>
      </c>
      <c r="K485" s="4">
        <v>0</v>
      </c>
      <c r="L485" s="4">
        <v>11.327</v>
      </c>
      <c r="M485" s="4">
        <v>11.327</v>
      </c>
      <c r="N485" s="4">
        <v>11.327</v>
      </c>
      <c r="O485" s="4">
        <v>11.327</v>
      </c>
      <c r="P485" s="4">
        <v>45</v>
      </c>
      <c r="Q485" s="3" t="s">
        <v>26</v>
      </c>
      <c r="R485" s="3">
        <v>0</v>
      </c>
      <c r="S485" s="4">
        <v>0</v>
      </c>
      <c r="T485" s="4">
        <v>32</v>
      </c>
      <c r="U485" s="4">
        <v>72</v>
      </c>
      <c r="V485" s="4">
        <f>IF(ISERROR(VLOOKUP($S$485,'TAR FIN'!$A$1:$O$91,15,0)),0,VLOOKUP($S$485,'TAR FIN'!$A$1:$O$91,15,0))</f>
        <v>0</v>
      </c>
      <c r="W485" s="4">
        <f>IF(ISERROR(VLOOKUP($T$485,'TAR FIN'!$A$1:$O$91,15,0)),0,VLOOKUP($T$485,'TAR FIN'!$A$1:$O$91,15,0))</f>
        <v>357.74</v>
      </c>
      <c r="X485" s="4">
        <f>IF(ISERROR(VLOOKUP($U$485,'TAR FIN'!$A$1:$O$91,15,0)),0,VLOOKUP($U$485,'TAR FIN'!$A$1:$O$91,15,0))</f>
        <v>175.15</v>
      </c>
      <c r="Y485" s="4"/>
      <c r="Z485" s="4">
        <f ca="1">('TUSD BE'!$AM$36+'TUSD BF_350'!$AM$36+'TUSD CVA'!$AM$36)*(1-CUSTOS!$M$38)</f>
        <v>419.26134561460873</v>
      </c>
      <c r="AA485" s="4">
        <f ca="1">('TE BE'!$AB$27+'TE BF_350'!$AB$27+'TE CVA'!$AB$27)*(1-CUSTOS!$M$38)</f>
        <v>193.19190075421278</v>
      </c>
      <c r="AB485" s="4">
        <f>$K$485*$V$485</f>
        <v>0</v>
      </c>
      <c r="AC485" s="4">
        <f>$M$485*$W$485</f>
        <v>4052.1209800000001</v>
      </c>
      <c r="AD485" s="4">
        <f>$O$485*$X$485</f>
        <v>1983.9240500000001</v>
      </c>
      <c r="AE485" s="4">
        <f>$K$485*$Y$485</f>
        <v>0</v>
      </c>
      <c r="AF485" s="4">
        <f ca="1">$M$485*$Z$485</f>
        <v>4748.9732617766731</v>
      </c>
      <c r="AG485" s="4">
        <f ca="1">$O$485*$AA$485</f>
        <v>2188.2846598429683</v>
      </c>
    </row>
    <row r="486" spans="1:33" ht="11.25" customHeight="1" x14ac:dyDescent="0.3">
      <c r="A486" s="3" t="s">
        <v>21</v>
      </c>
      <c r="B486" s="3" t="s">
        <v>42</v>
      </c>
      <c r="C486" s="3" t="s">
        <v>23</v>
      </c>
      <c r="D486" s="3" t="s">
        <v>43</v>
      </c>
      <c r="E486" s="3" t="s">
        <v>25</v>
      </c>
      <c r="F486" s="3" t="s">
        <v>25</v>
      </c>
      <c r="G486" s="3" t="s">
        <v>25</v>
      </c>
      <c r="H486" s="3" t="s">
        <v>25</v>
      </c>
      <c r="I486" s="6">
        <v>44501</v>
      </c>
      <c r="J486" s="4">
        <v>0</v>
      </c>
      <c r="K486" s="4">
        <v>0</v>
      </c>
      <c r="L486" s="4">
        <v>1383.107</v>
      </c>
      <c r="M486" s="4">
        <v>1383.107</v>
      </c>
      <c r="N486" s="4">
        <v>1383.107</v>
      </c>
      <c r="O486" s="4">
        <v>1383.107</v>
      </c>
      <c r="P486" s="4">
        <v>4514</v>
      </c>
      <c r="Q486" s="3" t="s">
        <v>26</v>
      </c>
      <c r="R486" s="3">
        <v>0</v>
      </c>
      <c r="S486" s="4">
        <v>0</v>
      </c>
      <c r="T486" s="4">
        <v>32</v>
      </c>
      <c r="U486" s="4">
        <v>72</v>
      </c>
      <c r="V486" s="4">
        <f>IF(ISERROR(VLOOKUP($S$486,'TAR FIN'!$A$1:$O$91,15,0)),0,VLOOKUP($S$486,'TAR FIN'!$A$1:$O$91,15,0))</f>
        <v>0</v>
      </c>
      <c r="W486" s="4">
        <f>IF(ISERROR(VLOOKUP($T$486,'TAR FIN'!$A$1:$O$91,15,0)),0,VLOOKUP($T$486,'TAR FIN'!$A$1:$O$91,15,0))</f>
        <v>357.74</v>
      </c>
      <c r="X486" s="4">
        <f>IF(ISERROR(VLOOKUP($U$486,'TAR FIN'!$A$1:$O$91,15,0)),0,VLOOKUP($U$486,'TAR FIN'!$A$1:$O$91,15,0))</f>
        <v>175.15</v>
      </c>
      <c r="Y486" s="4"/>
      <c r="Z486" s="4">
        <f ca="1">('TUSD BE'!$AM$36+'TUSD BF_350'!$AM$36+'TUSD CVA'!$AM$36)*(1-CUSTOS!$M$38)</f>
        <v>419.26134561460873</v>
      </c>
      <c r="AA486" s="4">
        <f ca="1">('TE BE'!$AB$27+'TE BF_350'!$AB$27+'TE CVA'!$AB$27)*(1-CUSTOS!$M$38)</f>
        <v>193.19190075421278</v>
      </c>
      <c r="AB486" s="4">
        <f>$K$486*$V$486</f>
        <v>0</v>
      </c>
      <c r="AC486" s="4">
        <f>$M$486*$W$486</f>
        <v>494792.69818000001</v>
      </c>
      <c r="AD486" s="4">
        <f>$O$486*$X$486</f>
        <v>242251.19104999999</v>
      </c>
      <c r="AE486" s="4">
        <f>$K$486*$Y$486</f>
        <v>0</v>
      </c>
      <c r="AF486" s="4">
        <f ca="1">$M$486*$Z$486</f>
        <v>579883.30194898462</v>
      </c>
      <c r="AG486" s="4">
        <f ca="1">$O$486*$AA$486</f>
        <v>267205.07027645694</v>
      </c>
    </row>
    <row r="487" spans="1:33" ht="11.25" customHeight="1" x14ac:dyDescent="0.3">
      <c r="A487" s="3" t="s">
        <v>27</v>
      </c>
      <c r="B487" s="3" t="s">
        <v>42</v>
      </c>
      <c r="C487" s="3" t="s">
        <v>23</v>
      </c>
      <c r="D487" s="3" t="s">
        <v>43</v>
      </c>
      <c r="E487" s="3" t="s">
        <v>25</v>
      </c>
      <c r="F487" s="3" t="s">
        <v>25</v>
      </c>
      <c r="G487" s="3" t="s">
        <v>25</v>
      </c>
      <c r="H487" s="3" t="s">
        <v>25</v>
      </c>
      <c r="I487" s="6">
        <v>44501</v>
      </c>
      <c r="J487" s="4">
        <v>0</v>
      </c>
      <c r="K487" s="4">
        <v>0</v>
      </c>
      <c r="L487" s="4">
        <v>-8.7420000000000009</v>
      </c>
      <c r="M487" s="4">
        <v>-8.7420000000000009</v>
      </c>
      <c r="N487" s="4">
        <v>-8.7420000000000009</v>
      </c>
      <c r="O487" s="4">
        <v>-8.7420000000000009</v>
      </c>
      <c r="P487" s="4">
        <v>0</v>
      </c>
      <c r="Q487" s="3" t="s">
        <v>26</v>
      </c>
      <c r="R487" s="3">
        <v>0</v>
      </c>
      <c r="S487" s="4">
        <v>0</v>
      </c>
      <c r="T487" s="4">
        <v>32</v>
      </c>
      <c r="U487" s="4">
        <v>72</v>
      </c>
      <c r="V487" s="4">
        <f>IF(ISERROR(VLOOKUP($S$487,'TAR FIN'!$A$1:$O$91,15,0)),0,VLOOKUP($S$487,'TAR FIN'!$A$1:$O$91,15,0))</f>
        <v>0</v>
      </c>
      <c r="W487" s="4">
        <f>IF(ISERROR(VLOOKUP($T$487,'TAR FIN'!$A$1:$O$91,15,0)),0,VLOOKUP($T$487,'TAR FIN'!$A$1:$O$91,15,0))</f>
        <v>357.74</v>
      </c>
      <c r="X487" s="4">
        <f>IF(ISERROR(VLOOKUP($U$487,'TAR FIN'!$A$1:$O$91,15,0)),0,VLOOKUP($U$487,'TAR FIN'!$A$1:$O$91,15,0))</f>
        <v>175.15</v>
      </c>
      <c r="Y487" s="4"/>
      <c r="Z487" s="4">
        <f ca="1">('TUSD BE'!$AM$36+'TUSD BF_350'!$AM$36+'TUSD CVA'!$AM$36)*(1-CUSTOS!$M$38)</f>
        <v>419.26134561460873</v>
      </c>
      <c r="AA487" s="4">
        <f ca="1">('TE BE'!$AB$27+'TE BF_350'!$AB$27+'TE CVA'!$AB$27)*(1-CUSTOS!$M$38)</f>
        <v>193.19190075421278</v>
      </c>
      <c r="AB487" s="4">
        <f>$K$487*$V$487</f>
        <v>0</v>
      </c>
      <c r="AC487" s="4">
        <f>$M$487*$W$487</f>
        <v>-3127.3630800000005</v>
      </c>
      <c r="AD487" s="4">
        <f>$O$487*$X$487</f>
        <v>-1531.1613000000002</v>
      </c>
      <c r="AE487" s="4">
        <f>$K$487*$Y$487</f>
        <v>0</v>
      </c>
      <c r="AF487" s="4">
        <f ca="1">$M$487*$Z$487</f>
        <v>-3665.1826833629098</v>
      </c>
      <c r="AG487" s="4">
        <f ca="1">$O$487*$AA$487</f>
        <v>-1688.8835963933284</v>
      </c>
    </row>
    <row r="488" spans="1:33" ht="11.25" customHeight="1" x14ac:dyDescent="0.3">
      <c r="A488" s="3" t="s">
        <v>28</v>
      </c>
      <c r="B488" s="3" t="s">
        <v>42</v>
      </c>
      <c r="C488" s="3" t="s">
        <v>23</v>
      </c>
      <c r="D488" s="3" t="s">
        <v>43</v>
      </c>
      <c r="E488" s="3" t="s">
        <v>25</v>
      </c>
      <c r="F488" s="3" t="s">
        <v>25</v>
      </c>
      <c r="G488" s="3" t="s">
        <v>25</v>
      </c>
      <c r="H488" s="3" t="s">
        <v>25</v>
      </c>
      <c r="I488" s="6">
        <v>44501</v>
      </c>
      <c r="J488" s="4">
        <v>0</v>
      </c>
      <c r="K488" s="4">
        <v>0</v>
      </c>
      <c r="L488" s="4">
        <v>16.164999999999999</v>
      </c>
      <c r="M488" s="4">
        <v>16.164999999999999</v>
      </c>
      <c r="N488" s="4">
        <v>16.164999999999999</v>
      </c>
      <c r="O488" s="4">
        <v>16.164999999999999</v>
      </c>
      <c r="P488" s="4">
        <v>47</v>
      </c>
      <c r="Q488" s="3" t="s">
        <v>26</v>
      </c>
      <c r="R488" s="3">
        <v>0</v>
      </c>
      <c r="S488" s="4">
        <v>0</v>
      </c>
      <c r="T488" s="4">
        <v>32</v>
      </c>
      <c r="U488" s="4">
        <v>72</v>
      </c>
      <c r="V488" s="4">
        <f>IF(ISERROR(VLOOKUP($S$488,'TAR FIN'!$A$1:$O$91,15,0)),0,VLOOKUP($S$488,'TAR FIN'!$A$1:$O$91,15,0))</f>
        <v>0</v>
      </c>
      <c r="W488" s="4">
        <f>IF(ISERROR(VLOOKUP($T$488,'TAR FIN'!$A$1:$O$91,15,0)),0,VLOOKUP($T$488,'TAR FIN'!$A$1:$O$91,15,0))</f>
        <v>357.74</v>
      </c>
      <c r="X488" s="4">
        <f>IF(ISERROR(VLOOKUP($U$488,'TAR FIN'!$A$1:$O$91,15,0)),0,VLOOKUP($U$488,'TAR FIN'!$A$1:$O$91,15,0))</f>
        <v>175.15</v>
      </c>
      <c r="Y488" s="4"/>
      <c r="Z488" s="4">
        <f ca="1">('TUSD BE'!$AM$36+'TUSD BF_350'!$AM$36+'TUSD CVA'!$AM$36)*(1-CUSTOS!$M$38)</f>
        <v>419.26134561460873</v>
      </c>
      <c r="AA488" s="4">
        <f ca="1">('TE BE'!$AB$27+'TE BF_350'!$AB$27+'TE CVA'!$AB$27)*(1-CUSTOS!$M$38)</f>
        <v>193.19190075421278</v>
      </c>
      <c r="AB488" s="4">
        <f>$K$488*$V$488</f>
        <v>0</v>
      </c>
      <c r="AC488" s="4">
        <f>$M$488*$W$488</f>
        <v>5782.8670999999995</v>
      </c>
      <c r="AD488" s="4">
        <f>$O$488*$X$488</f>
        <v>2831.2997500000001</v>
      </c>
      <c r="AE488" s="4">
        <f>$K$488*$Y$488</f>
        <v>0</v>
      </c>
      <c r="AF488" s="4">
        <f ca="1">$M$488*$Z$488</f>
        <v>6777.3596518601498</v>
      </c>
      <c r="AG488" s="4">
        <f ca="1">$O$488*$AA$488</f>
        <v>3122.9470756918495</v>
      </c>
    </row>
    <row r="489" spans="1:33" ht="11.25" customHeight="1" x14ac:dyDescent="0.3">
      <c r="A489" s="3" t="s">
        <v>21</v>
      </c>
      <c r="B489" s="3" t="s">
        <v>42</v>
      </c>
      <c r="C489" s="3" t="s">
        <v>23</v>
      </c>
      <c r="D489" s="3" t="s">
        <v>43</v>
      </c>
      <c r="E489" s="3" t="s">
        <v>25</v>
      </c>
      <c r="F489" s="3" t="s">
        <v>25</v>
      </c>
      <c r="G489" s="3" t="s">
        <v>25</v>
      </c>
      <c r="H489" s="3" t="s">
        <v>25</v>
      </c>
      <c r="I489" s="6">
        <v>44531</v>
      </c>
      <c r="J489" s="4">
        <v>0</v>
      </c>
      <c r="K489" s="4">
        <v>0</v>
      </c>
      <c r="L489" s="4">
        <v>1749.32</v>
      </c>
      <c r="M489" s="4">
        <v>1749.32</v>
      </c>
      <c r="N489" s="4">
        <v>1749.32</v>
      </c>
      <c r="O489" s="4">
        <v>1749.32</v>
      </c>
      <c r="P489" s="4">
        <v>4519</v>
      </c>
      <c r="Q489" s="3" t="s">
        <v>26</v>
      </c>
      <c r="R489" s="3">
        <v>0</v>
      </c>
      <c r="S489" s="4">
        <v>0</v>
      </c>
      <c r="T489" s="4">
        <v>32</v>
      </c>
      <c r="U489" s="4">
        <v>72</v>
      </c>
      <c r="V489" s="4">
        <f>IF(ISERROR(VLOOKUP($S$489,'TAR FIN'!$A$1:$O$91,15,0)),0,VLOOKUP($S$489,'TAR FIN'!$A$1:$O$91,15,0))</f>
        <v>0</v>
      </c>
      <c r="W489" s="4">
        <f>IF(ISERROR(VLOOKUP($T$489,'TAR FIN'!$A$1:$O$91,15,0)),0,VLOOKUP($T$489,'TAR FIN'!$A$1:$O$91,15,0))</f>
        <v>357.74</v>
      </c>
      <c r="X489" s="4">
        <f>IF(ISERROR(VLOOKUP($U$489,'TAR FIN'!$A$1:$O$91,15,0)),0,VLOOKUP($U$489,'TAR FIN'!$A$1:$O$91,15,0))</f>
        <v>175.15</v>
      </c>
      <c r="Y489" s="4"/>
      <c r="Z489" s="4">
        <f ca="1">('TUSD BE'!$AM$36+'TUSD BF_350'!$AM$36+'TUSD CVA'!$AM$36)*(1-CUSTOS!$M$38)</f>
        <v>419.26134561460873</v>
      </c>
      <c r="AA489" s="4">
        <f ca="1">('TE BE'!$AB$27+'TE BF_350'!$AB$27+'TE CVA'!$AB$27)*(1-CUSTOS!$M$38)</f>
        <v>193.19190075421278</v>
      </c>
      <c r="AB489" s="4">
        <f>$K$489*$V$489</f>
        <v>0</v>
      </c>
      <c r="AC489" s="4">
        <f>$M$489*$W$489</f>
        <v>625801.73679999996</v>
      </c>
      <c r="AD489" s="4">
        <f>$O$489*$X$489</f>
        <v>306393.39799999999</v>
      </c>
      <c r="AE489" s="4">
        <f>$K$489*$Y$489</f>
        <v>0</v>
      </c>
      <c r="AF489" s="4">
        <f ca="1">$M$489*$Z$489</f>
        <v>733422.25711054727</v>
      </c>
      <c r="AG489" s="4">
        <f ca="1">$O$489*$AA$489</f>
        <v>337954.45582735952</v>
      </c>
    </row>
    <row r="490" spans="1:33" ht="11.25" customHeight="1" x14ac:dyDescent="0.3">
      <c r="A490" s="3" t="s">
        <v>27</v>
      </c>
      <c r="B490" s="3" t="s">
        <v>42</v>
      </c>
      <c r="C490" s="3" t="s">
        <v>23</v>
      </c>
      <c r="D490" s="3" t="s">
        <v>43</v>
      </c>
      <c r="E490" s="3" t="s">
        <v>25</v>
      </c>
      <c r="F490" s="3" t="s">
        <v>25</v>
      </c>
      <c r="G490" s="3" t="s">
        <v>25</v>
      </c>
      <c r="H490" s="3" t="s">
        <v>25</v>
      </c>
      <c r="I490" s="6">
        <v>44531</v>
      </c>
      <c r="J490" s="4">
        <v>0</v>
      </c>
      <c r="K490" s="4">
        <v>0</v>
      </c>
      <c r="L490" s="4">
        <v>3.4449999999999998</v>
      </c>
      <c r="M490" s="4">
        <v>3.4449999999999998</v>
      </c>
      <c r="N490" s="4">
        <v>3.4449999999999998</v>
      </c>
      <c r="O490" s="4">
        <v>3.4449999999999998</v>
      </c>
      <c r="P490" s="4">
        <v>0</v>
      </c>
      <c r="Q490" s="3" t="s">
        <v>26</v>
      </c>
      <c r="R490" s="3">
        <v>0</v>
      </c>
      <c r="S490" s="4">
        <v>0</v>
      </c>
      <c r="T490" s="4">
        <v>32</v>
      </c>
      <c r="U490" s="4">
        <v>72</v>
      </c>
      <c r="V490" s="4">
        <f>IF(ISERROR(VLOOKUP($S$490,'TAR FIN'!$A$1:$O$91,15,0)),0,VLOOKUP($S$490,'TAR FIN'!$A$1:$O$91,15,0))</f>
        <v>0</v>
      </c>
      <c r="W490" s="4">
        <f>IF(ISERROR(VLOOKUP($T$490,'TAR FIN'!$A$1:$O$91,15,0)),0,VLOOKUP($T$490,'TAR FIN'!$A$1:$O$91,15,0))</f>
        <v>357.74</v>
      </c>
      <c r="X490" s="4">
        <f>IF(ISERROR(VLOOKUP($U$490,'TAR FIN'!$A$1:$O$91,15,0)),0,VLOOKUP($U$490,'TAR FIN'!$A$1:$O$91,15,0))</f>
        <v>175.15</v>
      </c>
      <c r="Y490" s="4"/>
      <c r="Z490" s="4">
        <f ca="1">('TUSD BE'!$AM$36+'TUSD BF_350'!$AM$36+'TUSD CVA'!$AM$36)*(1-CUSTOS!$M$38)</f>
        <v>419.26134561460873</v>
      </c>
      <c r="AA490" s="4">
        <f ca="1">('TE BE'!$AB$27+'TE BF_350'!$AB$27+'TE CVA'!$AB$27)*(1-CUSTOS!$M$38)</f>
        <v>193.19190075421278</v>
      </c>
      <c r="AB490" s="4">
        <f>$K$490*$V$490</f>
        <v>0</v>
      </c>
      <c r="AC490" s="4">
        <f>$M$490*$W$490</f>
        <v>1232.4142999999999</v>
      </c>
      <c r="AD490" s="4">
        <f>$O$490*$X$490</f>
        <v>603.39175</v>
      </c>
      <c r="AE490" s="4">
        <f>$K$490*$Y$490</f>
        <v>0</v>
      </c>
      <c r="AF490" s="4">
        <f ca="1">$M$490*$Z$490</f>
        <v>1444.355335642327</v>
      </c>
      <c r="AG490" s="4">
        <f ca="1">$O$490*$AA$490</f>
        <v>665.54609809826297</v>
      </c>
    </row>
    <row r="491" spans="1:33" ht="11.25" customHeight="1" x14ac:dyDescent="0.3">
      <c r="A491" s="3" t="s">
        <v>28</v>
      </c>
      <c r="B491" s="3" t="s">
        <v>42</v>
      </c>
      <c r="C491" s="3" t="s">
        <v>23</v>
      </c>
      <c r="D491" s="3" t="s">
        <v>43</v>
      </c>
      <c r="E491" s="3" t="s">
        <v>25</v>
      </c>
      <c r="F491" s="3" t="s">
        <v>25</v>
      </c>
      <c r="G491" s="3" t="s">
        <v>25</v>
      </c>
      <c r="H491" s="3" t="s">
        <v>25</v>
      </c>
      <c r="I491" s="6">
        <v>44531</v>
      </c>
      <c r="J491" s="4">
        <v>0</v>
      </c>
      <c r="K491" s="4">
        <v>0</v>
      </c>
      <c r="L491" s="4">
        <v>26.19</v>
      </c>
      <c r="M491" s="4">
        <v>26.19</v>
      </c>
      <c r="N491" s="4">
        <v>26.19</v>
      </c>
      <c r="O491" s="4">
        <v>26.19</v>
      </c>
      <c r="P491" s="4">
        <v>49</v>
      </c>
      <c r="Q491" s="3" t="s">
        <v>26</v>
      </c>
      <c r="R491" s="3">
        <v>0</v>
      </c>
      <c r="S491" s="4">
        <v>0</v>
      </c>
      <c r="T491" s="4">
        <v>32</v>
      </c>
      <c r="U491" s="4">
        <v>72</v>
      </c>
      <c r="V491" s="4">
        <f>IF(ISERROR(VLOOKUP($S$491,'TAR FIN'!$A$1:$O$91,15,0)),0,VLOOKUP($S$491,'TAR FIN'!$A$1:$O$91,15,0))</f>
        <v>0</v>
      </c>
      <c r="W491" s="4">
        <f>IF(ISERROR(VLOOKUP($T$491,'TAR FIN'!$A$1:$O$91,15,0)),0,VLOOKUP($T$491,'TAR FIN'!$A$1:$O$91,15,0))</f>
        <v>357.74</v>
      </c>
      <c r="X491" s="4">
        <f>IF(ISERROR(VLOOKUP($U$491,'TAR FIN'!$A$1:$O$91,15,0)),0,VLOOKUP($U$491,'TAR FIN'!$A$1:$O$91,15,0))</f>
        <v>175.15</v>
      </c>
      <c r="Y491" s="4"/>
      <c r="Z491" s="4">
        <f ca="1">('TUSD BE'!$AM$36+'TUSD BF_350'!$AM$36+'TUSD CVA'!$AM$36)*(1-CUSTOS!$M$38)</f>
        <v>419.26134561460873</v>
      </c>
      <c r="AA491" s="4">
        <f ca="1">('TE BE'!$AB$27+'TE BF_350'!$AB$27+'TE CVA'!$AB$27)*(1-CUSTOS!$M$38)</f>
        <v>193.19190075421278</v>
      </c>
      <c r="AB491" s="4">
        <f>$K$491*$V$491</f>
        <v>0</v>
      </c>
      <c r="AC491" s="4">
        <f>$M$491*$W$491</f>
        <v>9369.2106000000003</v>
      </c>
      <c r="AD491" s="4">
        <f>$O$491*$X$491</f>
        <v>4587.1785</v>
      </c>
      <c r="AE491" s="4">
        <f>$K$491*$Y$491</f>
        <v>0</v>
      </c>
      <c r="AF491" s="4">
        <f ca="1">$M$491*$Z$491</f>
        <v>10980.454641646604</v>
      </c>
      <c r="AG491" s="4">
        <f ca="1">$O$491*$AA$491</f>
        <v>5059.6958807528326</v>
      </c>
    </row>
    <row r="492" spans="1:33" ht="11.25" customHeight="1" x14ac:dyDescent="0.3">
      <c r="A492" s="3" t="s">
        <v>21</v>
      </c>
      <c r="B492" s="3" t="s">
        <v>42</v>
      </c>
      <c r="C492" s="3" t="s">
        <v>23</v>
      </c>
      <c r="D492" s="3" t="s">
        <v>43</v>
      </c>
      <c r="E492" s="3" t="s">
        <v>25</v>
      </c>
      <c r="F492" s="3" t="s">
        <v>25</v>
      </c>
      <c r="G492" s="3" t="s">
        <v>25</v>
      </c>
      <c r="H492" s="3" t="s">
        <v>25</v>
      </c>
      <c r="I492" s="6">
        <v>44562</v>
      </c>
      <c r="J492" s="4">
        <v>0</v>
      </c>
      <c r="K492" s="4">
        <v>0</v>
      </c>
      <c r="L492" s="4">
        <v>2106.8679999999999</v>
      </c>
      <c r="M492" s="4">
        <v>2106.8679999999999</v>
      </c>
      <c r="N492" s="4">
        <v>2106.8679999999999</v>
      </c>
      <c r="O492" s="4">
        <v>2106.8679999999999</v>
      </c>
      <c r="P492" s="4">
        <v>4514</v>
      </c>
      <c r="Q492" s="3" t="s">
        <v>26</v>
      </c>
      <c r="R492" s="3">
        <v>0</v>
      </c>
      <c r="S492" s="4">
        <v>0</v>
      </c>
      <c r="T492" s="4">
        <v>32</v>
      </c>
      <c r="U492" s="4">
        <v>72</v>
      </c>
      <c r="V492" s="4">
        <f>IF(ISERROR(VLOOKUP($S$492,'TAR FIN'!$A$1:$O$91,15,0)),0,VLOOKUP($S$492,'TAR FIN'!$A$1:$O$91,15,0))</f>
        <v>0</v>
      </c>
      <c r="W492" s="4">
        <f>IF(ISERROR(VLOOKUP($T$492,'TAR FIN'!$A$1:$O$91,15,0)),0,VLOOKUP($T$492,'TAR FIN'!$A$1:$O$91,15,0))</f>
        <v>357.74</v>
      </c>
      <c r="X492" s="4">
        <f>IF(ISERROR(VLOOKUP($U$492,'TAR FIN'!$A$1:$O$91,15,0)),0,VLOOKUP($U$492,'TAR FIN'!$A$1:$O$91,15,0))</f>
        <v>175.15</v>
      </c>
      <c r="Y492" s="4"/>
      <c r="Z492" s="4">
        <f ca="1">('TUSD BE'!$AM$36+'TUSD BF_350'!$AM$36+'TUSD CVA'!$AM$36)*(1-CUSTOS!$M$38)</f>
        <v>419.26134561460873</v>
      </c>
      <c r="AA492" s="4">
        <f ca="1">('TE BE'!$AB$27+'TE BF_350'!$AB$27+'TE CVA'!$AB$27)*(1-CUSTOS!$M$38)</f>
        <v>193.19190075421278</v>
      </c>
      <c r="AB492" s="4">
        <f>$K$492*$V$492</f>
        <v>0</v>
      </c>
      <c r="AC492" s="4">
        <f>$M$492*$W$492</f>
        <v>753710.95831999998</v>
      </c>
      <c r="AD492" s="4">
        <f>$O$492*$X$492</f>
        <v>369017.9302</v>
      </c>
      <c r="AE492" s="4">
        <f>$K$492*$Y$492</f>
        <v>0</v>
      </c>
      <c r="AF492" s="4">
        <f ca="1">$M$492*$Z$492</f>
        <v>883328.31271235947</v>
      </c>
      <c r="AG492" s="4">
        <f ca="1">$O$492*$AA$492</f>
        <v>407029.83355822676</v>
      </c>
    </row>
    <row r="493" spans="1:33" ht="11.25" customHeight="1" x14ac:dyDescent="0.3">
      <c r="A493" s="3" t="s">
        <v>27</v>
      </c>
      <c r="B493" s="3" t="s">
        <v>42</v>
      </c>
      <c r="C493" s="3" t="s">
        <v>23</v>
      </c>
      <c r="D493" s="3" t="s">
        <v>43</v>
      </c>
      <c r="E493" s="3" t="s">
        <v>25</v>
      </c>
      <c r="F493" s="3" t="s">
        <v>25</v>
      </c>
      <c r="G493" s="3" t="s">
        <v>25</v>
      </c>
      <c r="H493" s="3" t="s">
        <v>25</v>
      </c>
      <c r="I493" s="6">
        <v>44562</v>
      </c>
      <c r="J493" s="4">
        <v>0</v>
      </c>
      <c r="K493" s="4">
        <v>0</v>
      </c>
      <c r="L493" s="4">
        <v>1.38</v>
      </c>
      <c r="M493" s="4">
        <v>1.38</v>
      </c>
      <c r="N493" s="4">
        <v>1.38</v>
      </c>
      <c r="O493" s="4">
        <v>1.38</v>
      </c>
      <c r="P493" s="4">
        <v>0</v>
      </c>
      <c r="Q493" s="3" t="s">
        <v>26</v>
      </c>
      <c r="R493" s="3">
        <v>0</v>
      </c>
      <c r="S493" s="4">
        <v>0</v>
      </c>
      <c r="T493" s="4">
        <v>32</v>
      </c>
      <c r="U493" s="4">
        <v>72</v>
      </c>
      <c r="V493" s="4">
        <f>IF(ISERROR(VLOOKUP($S$493,'TAR FIN'!$A$1:$O$91,15,0)),0,VLOOKUP($S$493,'TAR FIN'!$A$1:$O$91,15,0))</f>
        <v>0</v>
      </c>
      <c r="W493" s="4">
        <f>IF(ISERROR(VLOOKUP($T$493,'TAR FIN'!$A$1:$O$91,15,0)),0,VLOOKUP($T$493,'TAR FIN'!$A$1:$O$91,15,0))</f>
        <v>357.74</v>
      </c>
      <c r="X493" s="4">
        <f>IF(ISERROR(VLOOKUP($U$493,'TAR FIN'!$A$1:$O$91,15,0)),0,VLOOKUP($U$493,'TAR FIN'!$A$1:$O$91,15,0))</f>
        <v>175.15</v>
      </c>
      <c r="Y493" s="4"/>
      <c r="Z493" s="4">
        <f ca="1">('TUSD BE'!$AM$36+'TUSD BF_350'!$AM$36+'TUSD CVA'!$AM$36)*(1-CUSTOS!$M$38)</f>
        <v>419.26134561460873</v>
      </c>
      <c r="AA493" s="4">
        <f ca="1">('TE BE'!$AB$27+'TE BF_350'!$AB$27+'TE CVA'!$AB$27)*(1-CUSTOS!$M$38)</f>
        <v>193.19190075421278</v>
      </c>
      <c r="AB493" s="4">
        <f>$K$493*$V$493</f>
        <v>0</v>
      </c>
      <c r="AC493" s="4">
        <f>$M$493*$W$493</f>
        <v>493.68119999999999</v>
      </c>
      <c r="AD493" s="4">
        <f>$O$493*$X$493</f>
        <v>241.70699999999999</v>
      </c>
      <c r="AE493" s="4">
        <f>$K$493*$Y$493</f>
        <v>0</v>
      </c>
      <c r="AF493" s="4">
        <f ca="1">$M$493*$Z$493</f>
        <v>578.58065694816003</v>
      </c>
      <c r="AG493" s="4">
        <f ca="1">$O$493*$AA$493</f>
        <v>266.60482304081364</v>
      </c>
    </row>
    <row r="494" spans="1:33" ht="11.25" customHeight="1" x14ac:dyDescent="0.3">
      <c r="A494" s="3" t="s">
        <v>28</v>
      </c>
      <c r="B494" s="3" t="s">
        <v>42</v>
      </c>
      <c r="C494" s="3" t="s">
        <v>23</v>
      </c>
      <c r="D494" s="3" t="s">
        <v>43</v>
      </c>
      <c r="E494" s="3" t="s">
        <v>25</v>
      </c>
      <c r="F494" s="3" t="s">
        <v>25</v>
      </c>
      <c r="G494" s="3" t="s">
        <v>25</v>
      </c>
      <c r="H494" s="3" t="s">
        <v>25</v>
      </c>
      <c r="I494" s="6">
        <v>44562</v>
      </c>
      <c r="J494" s="4">
        <v>0</v>
      </c>
      <c r="K494" s="4">
        <v>0</v>
      </c>
      <c r="L494" s="4">
        <v>26.847999999999999</v>
      </c>
      <c r="M494" s="4">
        <v>26.847999999999999</v>
      </c>
      <c r="N494" s="4">
        <v>26.847999999999999</v>
      </c>
      <c r="O494" s="4">
        <v>26.847999999999999</v>
      </c>
      <c r="P494" s="4">
        <v>50</v>
      </c>
      <c r="Q494" s="3" t="s">
        <v>26</v>
      </c>
      <c r="R494" s="3">
        <v>0</v>
      </c>
      <c r="S494" s="4">
        <v>0</v>
      </c>
      <c r="T494" s="4">
        <v>32</v>
      </c>
      <c r="U494" s="4">
        <v>72</v>
      </c>
      <c r="V494" s="4">
        <f>IF(ISERROR(VLOOKUP($S$494,'TAR FIN'!$A$1:$O$91,15,0)),0,VLOOKUP($S$494,'TAR FIN'!$A$1:$O$91,15,0))</f>
        <v>0</v>
      </c>
      <c r="W494" s="4">
        <f>IF(ISERROR(VLOOKUP($T$494,'TAR FIN'!$A$1:$O$91,15,0)),0,VLOOKUP($T$494,'TAR FIN'!$A$1:$O$91,15,0))</f>
        <v>357.74</v>
      </c>
      <c r="X494" s="4">
        <f>IF(ISERROR(VLOOKUP($U$494,'TAR FIN'!$A$1:$O$91,15,0)),0,VLOOKUP($U$494,'TAR FIN'!$A$1:$O$91,15,0))</f>
        <v>175.15</v>
      </c>
      <c r="Y494" s="4"/>
      <c r="Z494" s="4">
        <f ca="1">('TUSD BE'!$AM$36+'TUSD BF_350'!$AM$36+'TUSD CVA'!$AM$36)*(1-CUSTOS!$M$38)</f>
        <v>419.26134561460873</v>
      </c>
      <c r="AA494" s="4">
        <f ca="1">('TE BE'!$AB$27+'TE BF_350'!$AB$27+'TE CVA'!$AB$27)*(1-CUSTOS!$M$38)</f>
        <v>193.19190075421278</v>
      </c>
      <c r="AB494" s="4">
        <f>$K$494*$V$494</f>
        <v>0</v>
      </c>
      <c r="AC494" s="4">
        <f>$M$494*$W$494</f>
        <v>9604.6035200000006</v>
      </c>
      <c r="AD494" s="4">
        <f>$O$494*$X$494</f>
        <v>4702.4272000000001</v>
      </c>
      <c r="AE494" s="4">
        <f>$K$494*$Y$494</f>
        <v>0</v>
      </c>
      <c r="AF494" s="4">
        <f ca="1">$M$494*$Z$494</f>
        <v>11256.328607061014</v>
      </c>
      <c r="AG494" s="4">
        <f ca="1">$O$494*$AA$494</f>
        <v>5186.8161514491048</v>
      </c>
    </row>
    <row r="495" spans="1:33" ht="11.25" customHeight="1" x14ac:dyDescent="0.3">
      <c r="A495" s="3" t="s">
        <v>21</v>
      </c>
      <c r="B495" s="3" t="s">
        <v>42</v>
      </c>
      <c r="C495" s="3" t="s">
        <v>23</v>
      </c>
      <c r="D495" s="3" t="s">
        <v>43</v>
      </c>
      <c r="E495" s="3" t="s">
        <v>25</v>
      </c>
      <c r="F495" s="3" t="s">
        <v>25</v>
      </c>
      <c r="G495" s="3" t="s">
        <v>25</v>
      </c>
      <c r="H495" s="3" t="s">
        <v>25</v>
      </c>
      <c r="I495" s="6">
        <v>44593</v>
      </c>
      <c r="J495" s="4">
        <v>0</v>
      </c>
      <c r="K495" s="4">
        <v>0</v>
      </c>
      <c r="L495" s="4">
        <v>2103.116</v>
      </c>
      <c r="M495" s="4">
        <v>2103.116</v>
      </c>
      <c r="N495" s="4">
        <v>2103.116</v>
      </c>
      <c r="O495" s="4">
        <v>2103.116</v>
      </c>
      <c r="P495" s="4">
        <v>4485</v>
      </c>
      <c r="Q495" s="3" t="s">
        <v>26</v>
      </c>
      <c r="R495" s="3">
        <v>0</v>
      </c>
      <c r="S495" s="4">
        <v>0</v>
      </c>
      <c r="T495" s="4">
        <v>32</v>
      </c>
      <c r="U495" s="4">
        <v>72</v>
      </c>
      <c r="V495" s="4">
        <f>IF(ISERROR(VLOOKUP($S$495,'TAR FIN'!$A$1:$O$91,15,0)),0,VLOOKUP($S$495,'TAR FIN'!$A$1:$O$91,15,0))</f>
        <v>0</v>
      </c>
      <c r="W495" s="4">
        <f>IF(ISERROR(VLOOKUP($T$495,'TAR FIN'!$A$1:$O$91,15,0)),0,VLOOKUP($T$495,'TAR FIN'!$A$1:$O$91,15,0))</f>
        <v>357.74</v>
      </c>
      <c r="X495" s="4">
        <f>IF(ISERROR(VLOOKUP($U$495,'TAR FIN'!$A$1:$O$91,15,0)),0,VLOOKUP($U$495,'TAR FIN'!$A$1:$O$91,15,0))</f>
        <v>175.15</v>
      </c>
      <c r="Y495" s="4"/>
      <c r="Z495" s="4">
        <f ca="1">('TUSD BE'!$AM$36+'TUSD BF_350'!$AM$36+'TUSD CVA'!$AM$36)*(1-CUSTOS!$M$38)</f>
        <v>419.26134561460873</v>
      </c>
      <c r="AA495" s="4">
        <f ca="1">('TE BE'!$AB$27+'TE BF_350'!$AB$27+'TE CVA'!$AB$27)*(1-CUSTOS!$M$38)</f>
        <v>193.19190075421278</v>
      </c>
      <c r="AB495" s="4">
        <f>$K$495*$V$495</f>
        <v>0</v>
      </c>
      <c r="AC495" s="4">
        <f>$M$495*$W$495</f>
        <v>752368.71784000006</v>
      </c>
      <c r="AD495" s="4">
        <f>$O$495*$X$495</f>
        <v>368360.76740000001</v>
      </c>
      <c r="AE495" s="4">
        <f>$K$495*$Y$495</f>
        <v>0</v>
      </c>
      <c r="AF495" s="4">
        <f ca="1">$M$495*$Z$495</f>
        <v>881755.2441436135</v>
      </c>
      <c r="AG495" s="4">
        <f ca="1">$O$495*$AA$495</f>
        <v>406304.97754659696</v>
      </c>
    </row>
    <row r="496" spans="1:33" ht="11.25" customHeight="1" x14ac:dyDescent="0.3">
      <c r="A496" s="3" t="s">
        <v>27</v>
      </c>
      <c r="B496" s="3" t="s">
        <v>42</v>
      </c>
      <c r="C496" s="3" t="s">
        <v>23</v>
      </c>
      <c r="D496" s="3" t="s">
        <v>43</v>
      </c>
      <c r="E496" s="3" t="s">
        <v>25</v>
      </c>
      <c r="F496" s="3" t="s">
        <v>25</v>
      </c>
      <c r="G496" s="3" t="s">
        <v>25</v>
      </c>
      <c r="H496" s="3" t="s">
        <v>25</v>
      </c>
      <c r="I496" s="6">
        <v>44593</v>
      </c>
      <c r="J496" s="4">
        <v>0</v>
      </c>
      <c r="K496" s="4">
        <v>0</v>
      </c>
      <c r="L496" s="4">
        <v>15.670999999999999</v>
      </c>
      <c r="M496" s="4">
        <v>15.670999999999999</v>
      </c>
      <c r="N496" s="4">
        <v>15.670999999999999</v>
      </c>
      <c r="O496" s="4">
        <v>15.670999999999999</v>
      </c>
      <c r="P496" s="4">
        <v>0</v>
      </c>
      <c r="Q496" s="3" t="s">
        <v>26</v>
      </c>
      <c r="R496" s="3">
        <v>0</v>
      </c>
      <c r="S496" s="4">
        <v>0</v>
      </c>
      <c r="T496" s="4">
        <v>32</v>
      </c>
      <c r="U496" s="4">
        <v>72</v>
      </c>
      <c r="V496" s="4">
        <f>IF(ISERROR(VLOOKUP($S$496,'TAR FIN'!$A$1:$O$91,15,0)),0,VLOOKUP($S$496,'TAR FIN'!$A$1:$O$91,15,0))</f>
        <v>0</v>
      </c>
      <c r="W496" s="4">
        <f>IF(ISERROR(VLOOKUP($T$496,'TAR FIN'!$A$1:$O$91,15,0)),0,VLOOKUP($T$496,'TAR FIN'!$A$1:$O$91,15,0))</f>
        <v>357.74</v>
      </c>
      <c r="X496" s="4">
        <f>IF(ISERROR(VLOOKUP($U$496,'TAR FIN'!$A$1:$O$91,15,0)),0,VLOOKUP($U$496,'TAR FIN'!$A$1:$O$91,15,0))</f>
        <v>175.15</v>
      </c>
      <c r="Y496" s="4"/>
      <c r="Z496" s="4">
        <f ca="1">('TUSD BE'!$AM$36+'TUSD BF_350'!$AM$36+'TUSD CVA'!$AM$36)*(1-CUSTOS!$M$38)</f>
        <v>419.26134561460873</v>
      </c>
      <c r="AA496" s="4">
        <f ca="1">('TE BE'!$AB$27+'TE BF_350'!$AB$27+'TE CVA'!$AB$27)*(1-CUSTOS!$M$38)</f>
        <v>193.19190075421278</v>
      </c>
      <c r="AB496" s="4">
        <f>$K$496*$V$496</f>
        <v>0</v>
      </c>
      <c r="AC496" s="4">
        <f>$M$496*$W$496</f>
        <v>5606.14354</v>
      </c>
      <c r="AD496" s="4">
        <f>$O$496*$X$496</f>
        <v>2744.77565</v>
      </c>
      <c r="AE496" s="4">
        <f>$K$496*$Y$496</f>
        <v>0</v>
      </c>
      <c r="AF496" s="4">
        <f ca="1">$M$496*$Z$496</f>
        <v>6570.2445471265328</v>
      </c>
      <c r="AG496" s="4">
        <f ca="1">$O$496*$AA$496</f>
        <v>3027.5102767192684</v>
      </c>
    </row>
    <row r="497" spans="1:33" ht="11.25" customHeight="1" x14ac:dyDescent="0.3">
      <c r="A497" s="3" t="s">
        <v>28</v>
      </c>
      <c r="B497" s="3" t="s">
        <v>42</v>
      </c>
      <c r="C497" s="3" t="s">
        <v>23</v>
      </c>
      <c r="D497" s="3" t="s">
        <v>43</v>
      </c>
      <c r="E497" s="3" t="s">
        <v>25</v>
      </c>
      <c r="F497" s="3" t="s">
        <v>25</v>
      </c>
      <c r="G497" s="3" t="s">
        <v>25</v>
      </c>
      <c r="H497" s="3" t="s">
        <v>25</v>
      </c>
      <c r="I497" s="6">
        <v>44593</v>
      </c>
      <c r="J497" s="4">
        <v>0</v>
      </c>
      <c r="K497" s="4">
        <v>0</v>
      </c>
      <c r="L497" s="4">
        <v>17.902999999999999</v>
      </c>
      <c r="M497" s="4">
        <v>17.902999999999999</v>
      </c>
      <c r="N497" s="4">
        <v>17.902999999999999</v>
      </c>
      <c r="O497" s="4">
        <v>17.902999999999999</v>
      </c>
      <c r="P497" s="4">
        <v>50</v>
      </c>
      <c r="Q497" s="3" t="s">
        <v>26</v>
      </c>
      <c r="R497" s="3">
        <v>0</v>
      </c>
      <c r="S497" s="4">
        <v>0</v>
      </c>
      <c r="T497" s="4">
        <v>32</v>
      </c>
      <c r="U497" s="4">
        <v>72</v>
      </c>
      <c r="V497" s="4">
        <f>IF(ISERROR(VLOOKUP($S$497,'TAR FIN'!$A$1:$O$91,15,0)),0,VLOOKUP($S$497,'TAR FIN'!$A$1:$O$91,15,0))</f>
        <v>0</v>
      </c>
      <c r="W497" s="4">
        <f>IF(ISERROR(VLOOKUP($T$497,'TAR FIN'!$A$1:$O$91,15,0)),0,VLOOKUP($T$497,'TAR FIN'!$A$1:$O$91,15,0))</f>
        <v>357.74</v>
      </c>
      <c r="X497" s="4">
        <f>IF(ISERROR(VLOOKUP($U$497,'TAR FIN'!$A$1:$O$91,15,0)),0,VLOOKUP($U$497,'TAR FIN'!$A$1:$O$91,15,0))</f>
        <v>175.15</v>
      </c>
      <c r="Y497" s="4"/>
      <c r="Z497" s="4">
        <f ca="1">('TUSD BE'!$AM$36+'TUSD BF_350'!$AM$36+'TUSD CVA'!$AM$36)*(1-CUSTOS!$M$38)</f>
        <v>419.26134561460873</v>
      </c>
      <c r="AA497" s="4">
        <f ca="1">('TE BE'!$AB$27+'TE BF_350'!$AB$27+'TE CVA'!$AB$27)*(1-CUSTOS!$M$38)</f>
        <v>193.19190075421278</v>
      </c>
      <c r="AB497" s="4">
        <f>$K$497*$V$497</f>
        <v>0</v>
      </c>
      <c r="AC497" s="4">
        <f>$M$497*$W$497</f>
        <v>6404.6192199999996</v>
      </c>
      <c r="AD497" s="4">
        <f>$O$497*$X$497</f>
        <v>3135.71045</v>
      </c>
      <c r="AE497" s="4">
        <f>$K$497*$Y$497</f>
        <v>0</v>
      </c>
      <c r="AF497" s="4">
        <f ca="1">$M$497*$Z$497</f>
        <v>7506.0358705383396</v>
      </c>
      <c r="AG497" s="4">
        <f ca="1">$O$497*$AA$497</f>
        <v>3458.7145992026713</v>
      </c>
    </row>
    <row r="498" spans="1:33" ht="11.25" customHeight="1" x14ac:dyDescent="0.3">
      <c r="A498" s="3" t="s">
        <v>21</v>
      </c>
      <c r="B498" s="3" t="s">
        <v>42</v>
      </c>
      <c r="C498" s="3" t="s">
        <v>23</v>
      </c>
      <c r="D498" s="3" t="s">
        <v>43</v>
      </c>
      <c r="E498" s="3" t="s">
        <v>25</v>
      </c>
      <c r="F498" s="3" t="s">
        <v>25</v>
      </c>
      <c r="G498" s="3" t="s">
        <v>25</v>
      </c>
      <c r="H498" s="3" t="s">
        <v>25</v>
      </c>
      <c r="I498" s="6">
        <v>44621</v>
      </c>
      <c r="J498" s="4">
        <v>0</v>
      </c>
      <c r="K498" s="4">
        <v>0</v>
      </c>
      <c r="L498" s="4">
        <v>1813.027</v>
      </c>
      <c r="M498" s="4">
        <v>1813.027</v>
      </c>
      <c r="N498" s="4">
        <v>1813.027</v>
      </c>
      <c r="O498" s="4">
        <v>1813.027</v>
      </c>
      <c r="P498" s="4">
        <v>4493</v>
      </c>
      <c r="Q498" s="3" t="s">
        <v>26</v>
      </c>
      <c r="R498" s="3">
        <v>0</v>
      </c>
      <c r="S498" s="4">
        <v>0</v>
      </c>
      <c r="T498" s="4">
        <v>32</v>
      </c>
      <c r="U498" s="4">
        <v>72</v>
      </c>
      <c r="V498" s="4">
        <f>IF(ISERROR(VLOOKUP($S$498,'TAR FIN'!$A$1:$O$91,15,0)),0,VLOOKUP($S$498,'TAR FIN'!$A$1:$O$91,15,0))</f>
        <v>0</v>
      </c>
      <c r="W498" s="4">
        <f>IF(ISERROR(VLOOKUP($T$498,'TAR FIN'!$A$1:$O$91,15,0)),0,VLOOKUP($T$498,'TAR FIN'!$A$1:$O$91,15,0))</f>
        <v>357.74</v>
      </c>
      <c r="X498" s="4">
        <f>IF(ISERROR(VLOOKUP($U$498,'TAR FIN'!$A$1:$O$91,15,0)),0,VLOOKUP($U$498,'TAR FIN'!$A$1:$O$91,15,0))</f>
        <v>175.15</v>
      </c>
      <c r="Y498" s="4"/>
      <c r="Z498" s="4">
        <f ca="1">('TUSD BE'!$AM$36+'TUSD BF_350'!$AM$36+'TUSD CVA'!$AM$36)*(1-CUSTOS!$M$38)</f>
        <v>419.26134561460873</v>
      </c>
      <c r="AA498" s="4">
        <f ca="1">('TE BE'!$AB$27+'TE BF_350'!$AB$27+'TE CVA'!$AB$27)*(1-CUSTOS!$M$38)</f>
        <v>193.19190075421278</v>
      </c>
      <c r="AB498" s="4">
        <f>$K$498*$V$498</f>
        <v>0</v>
      </c>
      <c r="AC498" s="4">
        <f>$M$498*$W$498</f>
        <v>648592.27898000006</v>
      </c>
      <c r="AD498" s="4">
        <f>$O$498*$X$498</f>
        <v>317551.67905000004</v>
      </c>
      <c r="AE498" s="4">
        <f>$K$498*$Y$498</f>
        <v>0</v>
      </c>
      <c r="AF498" s="4">
        <f ca="1">$M$498*$Z$498</f>
        <v>760132.13965561718</v>
      </c>
      <c r="AG498" s="4">
        <f ca="1">$O$498*$AA$498</f>
        <v>350262.13224870816</v>
      </c>
    </row>
    <row r="499" spans="1:33" ht="11.25" customHeight="1" x14ac:dyDescent="0.3">
      <c r="A499" s="3" t="s">
        <v>27</v>
      </c>
      <c r="B499" s="3" t="s">
        <v>42</v>
      </c>
      <c r="C499" s="3" t="s">
        <v>23</v>
      </c>
      <c r="D499" s="3" t="s">
        <v>43</v>
      </c>
      <c r="E499" s="3" t="s">
        <v>25</v>
      </c>
      <c r="F499" s="3" t="s">
        <v>25</v>
      </c>
      <c r="G499" s="3" t="s">
        <v>25</v>
      </c>
      <c r="H499" s="3" t="s">
        <v>25</v>
      </c>
      <c r="I499" s="6">
        <v>44621</v>
      </c>
      <c r="J499" s="4">
        <v>0</v>
      </c>
      <c r="K499" s="4">
        <v>0</v>
      </c>
      <c r="L499" s="4">
        <v>1.29</v>
      </c>
      <c r="M499" s="4">
        <v>1.29</v>
      </c>
      <c r="N499" s="4">
        <v>1.29</v>
      </c>
      <c r="O499" s="4">
        <v>1.29</v>
      </c>
      <c r="P499" s="4">
        <v>0</v>
      </c>
      <c r="Q499" s="3" t="s">
        <v>26</v>
      </c>
      <c r="R499" s="3">
        <v>0</v>
      </c>
      <c r="S499" s="4">
        <v>0</v>
      </c>
      <c r="T499" s="4">
        <v>32</v>
      </c>
      <c r="U499" s="4">
        <v>72</v>
      </c>
      <c r="V499" s="4">
        <f>IF(ISERROR(VLOOKUP($S$499,'TAR FIN'!$A$1:$O$91,15,0)),0,VLOOKUP($S$499,'TAR FIN'!$A$1:$O$91,15,0))</f>
        <v>0</v>
      </c>
      <c r="W499" s="4">
        <f>IF(ISERROR(VLOOKUP($T$499,'TAR FIN'!$A$1:$O$91,15,0)),0,VLOOKUP($T$499,'TAR FIN'!$A$1:$O$91,15,0))</f>
        <v>357.74</v>
      </c>
      <c r="X499" s="4">
        <f>IF(ISERROR(VLOOKUP($U$499,'TAR FIN'!$A$1:$O$91,15,0)),0,VLOOKUP($U$499,'TAR FIN'!$A$1:$O$91,15,0))</f>
        <v>175.15</v>
      </c>
      <c r="Y499" s="4"/>
      <c r="Z499" s="4">
        <f ca="1">('TUSD BE'!$AM$36+'TUSD BF_350'!$AM$36+'TUSD CVA'!$AM$36)*(1-CUSTOS!$M$38)</f>
        <v>419.26134561460873</v>
      </c>
      <c r="AA499" s="4">
        <f ca="1">('TE BE'!$AB$27+'TE BF_350'!$AB$27+'TE CVA'!$AB$27)*(1-CUSTOS!$M$38)</f>
        <v>193.19190075421278</v>
      </c>
      <c r="AB499" s="4">
        <f>$K$499*$V$499</f>
        <v>0</v>
      </c>
      <c r="AC499" s="4">
        <f>$M$499*$W$499</f>
        <v>461.4846</v>
      </c>
      <c r="AD499" s="4">
        <f>$O$499*$X$499</f>
        <v>225.9435</v>
      </c>
      <c r="AE499" s="4">
        <f>$K$499*$Y$499</f>
        <v>0</v>
      </c>
      <c r="AF499" s="4">
        <f ca="1">$M$499*$Z$499</f>
        <v>540.84713584284532</v>
      </c>
      <c r="AG499" s="4">
        <f ca="1">$O$499*$AA$499</f>
        <v>249.2175519729345</v>
      </c>
    </row>
    <row r="500" spans="1:33" ht="11.25" customHeight="1" x14ac:dyDescent="0.3">
      <c r="A500" s="3" t="s">
        <v>28</v>
      </c>
      <c r="B500" s="3" t="s">
        <v>42</v>
      </c>
      <c r="C500" s="3" t="s">
        <v>23</v>
      </c>
      <c r="D500" s="3" t="s">
        <v>43</v>
      </c>
      <c r="E500" s="3" t="s">
        <v>25</v>
      </c>
      <c r="F500" s="3" t="s">
        <v>25</v>
      </c>
      <c r="G500" s="3" t="s">
        <v>25</v>
      </c>
      <c r="H500" s="3" t="s">
        <v>25</v>
      </c>
      <c r="I500" s="6">
        <v>44621</v>
      </c>
      <c r="J500" s="4">
        <v>0</v>
      </c>
      <c r="K500" s="4">
        <v>0</v>
      </c>
      <c r="L500" s="4">
        <v>34.594000000000001</v>
      </c>
      <c r="M500" s="4">
        <v>34.594000000000001</v>
      </c>
      <c r="N500" s="4">
        <v>34.594000000000001</v>
      </c>
      <c r="O500" s="4">
        <v>34.594000000000001</v>
      </c>
      <c r="P500" s="4">
        <v>45</v>
      </c>
      <c r="Q500" s="3" t="s">
        <v>26</v>
      </c>
      <c r="R500" s="3">
        <v>0</v>
      </c>
      <c r="S500" s="4">
        <v>0</v>
      </c>
      <c r="T500" s="4">
        <v>32</v>
      </c>
      <c r="U500" s="4">
        <v>72</v>
      </c>
      <c r="V500" s="4">
        <f>IF(ISERROR(VLOOKUP($S$500,'TAR FIN'!$A$1:$O$91,15,0)),0,VLOOKUP($S$500,'TAR FIN'!$A$1:$O$91,15,0))</f>
        <v>0</v>
      </c>
      <c r="W500" s="4">
        <f>IF(ISERROR(VLOOKUP($T$500,'TAR FIN'!$A$1:$O$91,15,0)),0,VLOOKUP($T$500,'TAR FIN'!$A$1:$O$91,15,0))</f>
        <v>357.74</v>
      </c>
      <c r="X500" s="4">
        <f>IF(ISERROR(VLOOKUP($U$500,'TAR FIN'!$A$1:$O$91,15,0)),0,VLOOKUP($U$500,'TAR FIN'!$A$1:$O$91,15,0))</f>
        <v>175.15</v>
      </c>
      <c r="Y500" s="4"/>
      <c r="Z500" s="4">
        <f ca="1">('TUSD BE'!$AM$36+'TUSD BF_350'!$AM$36+'TUSD CVA'!$AM$36)*(1-CUSTOS!$M$38)</f>
        <v>419.26134561460873</v>
      </c>
      <c r="AA500" s="4">
        <f ca="1">('TE BE'!$AB$27+'TE BF_350'!$AB$27+'TE CVA'!$AB$27)*(1-CUSTOS!$M$38)</f>
        <v>193.19190075421278</v>
      </c>
      <c r="AB500" s="4">
        <f>$K$500*$V$500</f>
        <v>0</v>
      </c>
      <c r="AC500" s="4">
        <f>$M$500*$W$500</f>
        <v>12375.657560000001</v>
      </c>
      <c r="AD500" s="4">
        <f>$O$500*$X$500</f>
        <v>6059.1391000000003</v>
      </c>
      <c r="AE500" s="4">
        <f>$K$500*$Y$500</f>
        <v>0</v>
      </c>
      <c r="AF500" s="4">
        <f ca="1">$M$500*$Z$500</f>
        <v>14503.926990191774</v>
      </c>
      <c r="AG500" s="4">
        <f ca="1">$O$500*$AA$500</f>
        <v>6683.2806146912371</v>
      </c>
    </row>
    <row r="501" spans="1:33" ht="11.25" customHeight="1" x14ac:dyDescent="0.3">
      <c r="A501" s="3" t="s">
        <v>21</v>
      </c>
      <c r="B501" s="3" t="s">
        <v>42</v>
      </c>
      <c r="C501" s="3" t="s">
        <v>23</v>
      </c>
      <c r="D501" s="3" t="s">
        <v>43</v>
      </c>
      <c r="E501" s="3" t="s">
        <v>25</v>
      </c>
      <c r="F501" s="3" t="s">
        <v>25</v>
      </c>
      <c r="G501" s="3" t="s">
        <v>25</v>
      </c>
      <c r="H501" s="3" t="s">
        <v>25</v>
      </c>
      <c r="I501" s="6">
        <v>44652</v>
      </c>
      <c r="J501" s="4">
        <v>0</v>
      </c>
      <c r="K501" s="4">
        <v>0</v>
      </c>
      <c r="L501" s="4">
        <v>1764.9369999999999</v>
      </c>
      <c r="M501" s="4">
        <v>1764.9369999999999</v>
      </c>
      <c r="N501" s="4">
        <v>1764.9369999999999</v>
      </c>
      <c r="O501" s="4">
        <v>1764.9369999999999</v>
      </c>
      <c r="P501" s="4">
        <v>4502</v>
      </c>
      <c r="Q501" s="3" t="s">
        <v>26</v>
      </c>
      <c r="R501" s="3">
        <v>0</v>
      </c>
      <c r="S501" s="4">
        <v>0</v>
      </c>
      <c r="T501" s="4">
        <v>32</v>
      </c>
      <c r="U501" s="4">
        <v>72</v>
      </c>
      <c r="V501" s="4">
        <f>IF(ISERROR(VLOOKUP($S$501,'TAR FIN'!$A$1:$O$91,15,0)),0,VLOOKUP($S$501,'TAR FIN'!$A$1:$O$91,15,0))</f>
        <v>0</v>
      </c>
      <c r="W501" s="4">
        <f>IF(ISERROR(VLOOKUP($T$501,'TAR FIN'!$A$1:$O$91,15,0)),0,VLOOKUP($T$501,'TAR FIN'!$A$1:$O$91,15,0))</f>
        <v>357.74</v>
      </c>
      <c r="X501" s="4">
        <f>IF(ISERROR(VLOOKUP($U$501,'TAR FIN'!$A$1:$O$91,15,0)),0,VLOOKUP($U$501,'TAR FIN'!$A$1:$O$91,15,0))</f>
        <v>175.15</v>
      </c>
      <c r="Y501" s="4"/>
      <c r="Z501" s="4">
        <f ca="1">('TUSD BE'!$AM$36+'TUSD BF_350'!$AM$36+'TUSD CVA'!$AM$36)*(1-CUSTOS!$M$38)</f>
        <v>419.26134561460873</v>
      </c>
      <c r="AA501" s="4">
        <f ca="1">('TE BE'!$AB$27+'TE BF_350'!$AB$27+'TE CVA'!$AB$27)*(1-CUSTOS!$M$38)</f>
        <v>193.19190075421278</v>
      </c>
      <c r="AB501" s="4">
        <f>$K$501*$V$501</f>
        <v>0</v>
      </c>
      <c r="AC501" s="4">
        <f>$M$501*$W$501</f>
        <v>631388.56238000002</v>
      </c>
      <c r="AD501" s="4">
        <f>$O$501*$X$501</f>
        <v>309128.71554999996</v>
      </c>
      <c r="AE501" s="4">
        <f>$K$501*$Y$501</f>
        <v>0</v>
      </c>
      <c r="AF501" s="4">
        <f ca="1">$M$501*$Z$501</f>
        <v>739969.86154501059</v>
      </c>
      <c r="AG501" s="4">
        <f ca="1">$O$501*$AA$501</f>
        <v>340971.533741438</v>
      </c>
    </row>
    <row r="502" spans="1:33" ht="11.25" customHeight="1" x14ac:dyDescent="0.3">
      <c r="A502" s="3" t="s">
        <v>27</v>
      </c>
      <c r="B502" s="3" t="s">
        <v>42</v>
      </c>
      <c r="C502" s="3" t="s">
        <v>23</v>
      </c>
      <c r="D502" s="3" t="s">
        <v>43</v>
      </c>
      <c r="E502" s="3" t="s">
        <v>25</v>
      </c>
      <c r="F502" s="3" t="s">
        <v>25</v>
      </c>
      <c r="G502" s="3" t="s">
        <v>25</v>
      </c>
      <c r="H502" s="3" t="s">
        <v>25</v>
      </c>
      <c r="I502" s="6">
        <v>44652</v>
      </c>
      <c r="J502" s="4">
        <v>0</v>
      </c>
      <c r="K502" s="4">
        <v>0</v>
      </c>
      <c r="L502" s="4">
        <v>-3.8220000000000001</v>
      </c>
      <c r="M502" s="4">
        <v>-3.8220000000000001</v>
      </c>
      <c r="N502" s="4">
        <v>-3.8220000000000001</v>
      </c>
      <c r="O502" s="4">
        <v>-3.8220000000000001</v>
      </c>
      <c r="P502" s="4">
        <v>0</v>
      </c>
      <c r="Q502" s="3" t="s">
        <v>26</v>
      </c>
      <c r="R502" s="3">
        <v>0</v>
      </c>
      <c r="S502" s="4">
        <v>0</v>
      </c>
      <c r="T502" s="4">
        <v>32</v>
      </c>
      <c r="U502" s="4">
        <v>72</v>
      </c>
      <c r="V502" s="4">
        <f>IF(ISERROR(VLOOKUP($S$502,'TAR FIN'!$A$1:$O$91,15,0)),0,VLOOKUP($S$502,'TAR FIN'!$A$1:$O$91,15,0))</f>
        <v>0</v>
      </c>
      <c r="W502" s="4">
        <f>IF(ISERROR(VLOOKUP($T$502,'TAR FIN'!$A$1:$O$91,15,0)),0,VLOOKUP($T$502,'TAR FIN'!$A$1:$O$91,15,0))</f>
        <v>357.74</v>
      </c>
      <c r="X502" s="4">
        <f>IF(ISERROR(VLOOKUP($U$502,'TAR FIN'!$A$1:$O$91,15,0)),0,VLOOKUP($U$502,'TAR FIN'!$A$1:$O$91,15,0))</f>
        <v>175.15</v>
      </c>
      <c r="Y502" s="4"/>
      <c r="Z502" s="4">
        <f ca="1">('TUSD BE'!$AM$36+'TUSD BF_350'!$AM$36+'TUSD CVA'!$AM$36)*(1-CUSTOS!$M$38)</f>
        <v>419.26134561460873</v>
      </c>
      <c r="AA502" s="4">
        <f ca="1">('TE BE'!$AB$27+'TE BF_350'!$AB$27+'TE CVA'!$AB$27)*(1-CUSTOS!$M$38)</f>
        <v>193.19190075421278</v>
      </c>
      <c r="AB502" s="4">
        <f>$K$502*$V$502</f>
        <v>0</v>
      </c>
      <c r="AC502" s="4">
        <f>$M$502*$W$502</f>
        <v>-1367.2822800000001</v>
      </c>
      <c r="AD502" s="4">
        <f>$O$502*$X$502</f>
        <v>-669.42330000000004</v>
      </c>
      <c r="AE502" s="4">
        <f>$K$502*$Y$502</f>
        <v>0</v>
      </c>
      <c r="AF502" s="4">
        <f ca="1">$M$502*$Z$502</f>
        <v>-1602.4168629390347</v>
      </c>
      <c r="AG502" s="4">
        <f ca="1">$O$502*$AA$502</f>
        <v>-738.37944468260127</v>
      </c>
    </row>
    <row r="503" spans="1:33" ht="11.25" customHeight="1" x14ac:dyDescent="0.3">
      <c r="A503" s="3" t="s">
        <v>28</v>
      </c>
      <c r="B503" s="3" t="s">
        <v>42</v>
      </c>
      <c r="C503" s="3" t="s">
        <v>23</v>
      </c>
      <c r="D503" s="3" t="s">
        <v>43</v>
      </c>
      <c r="E503" s="3" t="s">
        <v>25</v>
      </c>
      <c r="F503" s="3" t="s">
        <v>25</v>
      </c>
      <c r="G503" s="3" t="s">
        <v>25</v>
      </c>
      <c r="H503" s="3" t="s">
        <v>25</v>
      </c>
      <c r="I503" s="6">
        <v>44652</v>
      </c>
      <c r="J503" s="4">
        <v>0</v>
      </c>
      <c r="K503" s="4">
        <v>0</v>
      </c>
      <c r="L503" s="4">
        <v>25.048999999999999</v>
      </c>
      <c r="M503" s="4">
        <v>25.048999999999999</v>
      </c>
      <c r="N503" s="4">
        <v>25.048999999999999</v>
      </c>
      <c r="O503" s="4">
        <v>25.048999999999999</v>
      </c>
      <c r="P503" s="4">
        <v>40</v>
      </c>
      <c r="Q503" s="3" t="s">
        <v>26</v>
      </c>
      <c r="R503" s="3">
        <v>0</v>
      </c>
      <c r="S503" s="4">
        <v>0</v>
      </c>
      <c r="T503" s="4">
        <v>32</v>
      </c>
      <c r="U503" s="4">
        <v>72</v>
      </c>
      <c r="V503" s="4">
        <f>IF(ISERROR(VLOOKUP($S$503,'TAR FIN'!$A$1:$O$91,15,0)),0,VLOOKUP($S$503,'TAR FIN'!$A$1:$O$91,15,0))</f>
        <v>0</v>
      </c>
      <c r="W503" s="4">
        <f>IF(ISERROR(VLOOKUP($T$503,'TAR FIN'!$A$1:$O$91,15,0)),0,VLOOKUP($T$503,'TAR FIN'!$A$1:$O$91,15,0))</f>
        <v>357.74</v>
      </c>
      <c r="X503" s="4">
        <f>IF(ISERROR(VLOOKUP($U$503,'TAR FIN'!$A$1:$O$91,15,0)),0,VLOOKUP($U$503,'TAR FIN'!$A$1:$O$91,15,0))</f>
        <v>175.15</v>
      </c>
      <c r="Y503" s="4"/>
      <c r="Z503" s="4">
        <f ca="1">('TUSD BE'!$AM$36+'TUSD BF_350'!$AM$36+'TUSD CVA'!$AM$36)*(1-CUSTOS!$M$38)</f>
        <v>419.26134561460873</v>
      </c>
      <c r="AA503" s="4">
        <f ca="1">('TE BE'!$AB$27+'TE BF_350'!$AB$27+'TE CVA'!$AB$27)*(1-CUSTOS!$M$38)</f>
        <v>193.19190075421278</v>
      </c>
      <c r="AB503" s="4">
        <f>$K$503*$V$503</f>
        <v>0</v>
      </c>
      <c r="AC503" s="4">
        <f>$M$503*$W$503</f>
        <v>8961.0292599999993</v>
      </c>
      <c r="AD503" s="4">
        <f>$O$503*$X$503</f>
        <v>4387.3323499999997</v>
      </c>
      <c r="AE503" s="4">
        <f>$K$503*$Y$503</f>
        <v>0</v>
      </c>
      <c r="AF503" s="4">
        <f ca="1">$M$503*$Z$503</f>
        <v>10502.077446300334</v>
      </c>
      <c r="AG503" s="4">
        <f ca="1">$O$503*$AA$503</f>
        <v>4839.2639219922758</v>
      </c>
    </row>
    <row r="504" spans="1:33" ht="11.25" customHeight="1" x14ac:dyDescent="0.3">
      <c r="A504" s="3" t="s">
        <v>21</v>
      </c>
      <c r="B504" s="3" t="s">
        <v>42</v>
      </c>
      <c r="C504" s="3" t="s">
        <v>23</v>
      </c>
      <c r="D504" s="3" t="s">
        <v>43</v>
      </c>
      <c r="E504" s="3" t="s">
        <v>25</v>
      </c>
      <c r="F504" s="3" t="s">
        <v>25</v>
      </c>
      <c r="G504" s="3" t="s">
        <v>25</v>
      </c>
      <c r="H504" s="3" t="s">
        <v>25</v>
      </c>
      <c r="I504" s="6">
        <v>44682</v>
      </c>
      <c r="J504" s="4">
        <v>0</v>
      </c>
      <c r="K504" s="4">
        <v>0</v>
      </c>
      <c r="L504" s="4">
        <v>1466.04</v>
      </c>
      <c r="M504" s="4">
        <v>1466.04</v>
      </c>
      <c r="N504" s="4">
        <v>1466.04</v>
      </c>
      <c r="O504" s="4">
        <v>1466.04</v>
      </c>
      <c r="P504" s="4">
        <v>4505</v>
      </c>
      <c r="Q504" s="3" t="s">
        <v>26</v>
      </c>
      <c r="R504" s="3">
        <v>0</v>
      </c>
      <c r="S504" s="4">
        <v>0</v>
      </c>
      <c r="T504" s="4">
        <v>32</v>
      </c>
      <c r="U504" s="4">
        <v>72</v>
      </c>
      <c r="V504" s="4">
        <f>IF(ISERROR(VLOOKUP($S$504,'TAR FIN'!$A$1:$O$91,15,0)),0,VLOOKUP($S$504,'TAR FIN'!$A$1:$O$91,15,0))</f>
        <v>0</v>
      </c>
      <c r="W504" s="4">
        <f>IF(ISERROR(VLOOKUP($T$504,'TAR FIN'!$A$1:$O$91,15,0)),0,VLOOKUP($T$504,'TAR FIN'!$A$1:$O$91,15,0))</f>
        <v>357.74</v>
      </c>
      <c r="X504" s="4">
        <f>IF(ISERROR(VLOOKUP($U$504,'TAR FIN'!$A$1:$O$91,15,0)),0,VLOOKUP($U$504,'TAR FIN'!$A$1:$O$91,15,0))</f>
        <v>175.15</v>
      </c>
      <c r="Y504" s="4"/>
      <c r="Z504" s="4">
        <f ca="1">('TUSD BE'!$AM$36+'TUSD BF_350'!$AM$36+'TUSD CVA'!$AM$36)*(1-CUSTOS!$M$38)</f>
        <v>419.26134561460873</v>
      </c>
      <c r="AA504" s="4">
        <f ca="1">('TE BE'!$AB$27+'TE BF_350'!$AB$27+'TE CVA'!$AB$27)*(1-CUSTOS!$M$38)</f>
        <v>193.19190075421278</v>
      </c>
      <c r="AB504" s="4">
        <f>$K$504*$V$504</f>
        <v>0</v>
      </c>
      <c r="AC504" s="4">
        <f>$M$504*$W$504</f>
        <v>524461.1496</v>
      </c>
      <c r="AD504" s="4">
        <f>$O$504*$X$504</f>
        <v>256776.90599999999</v>
      </c>
      <c r="AE504" s="4">
        <f>$K$504*$Y$504</f>
        <v>0</v>
      </c>
      <c r="AF504" s="4">
        <f ca="1">$M$504*$Z$504</f>
        <v>614653.90312484093</v>
      </c>
      <c r="AG504" s="4">
        <f ca="1">$O$504*$AA$504</f>
        <v>283227.0541817061</v>
      </c>
    </row>
    <row r="505" spans="1:33" ht="11.25" customHeight="1" x14ac:dyDescent="0.3">
      <c r="A505" s="3" t="s">
        <v>27</v>
      </c>
      <c r="B505" s="3" t="s">
        <v>42</v>
      </c>
      <c r="C505" s="3" t="s">
        <v>23</v>
      </c>
      <c r="D505" s="3" t="s">
        <v>43</v>
      </c>
      <c r="E505" s="3" t="s">
        <v>25</v>
      </c>
      <c r="F505" s="3" t="s">
        <v>25</v>
      </c>
      <c r="G505" s="3" t="s">
        <v>25</v>
      </c>
      <c r="H505" s="3" t="s">
        <v>25</v>
      </c>
      <c r="I505" s="6">
        <v>44682</v>
      </c>
      <c r="J505" s="4">
        <v>0</v>
      </c>
      <c r="K505" s="4">
        <v>0</v>
      </c>
      <c r="L505" s="4">
        <v>0.58299999999999996</v>
      </c>
      <c r="M505" s="4">
        <v>0.58299999999999996</v>
      </c>
      <c r="N505" s="4">
        <v>0.58299999999999996</v>
      </c>
      <c r="O505" s="4">
        <v>0.58299999999999996</v>
      </c>
      <c r="P505" s="4">
        <v>0</v>
      </c>
      <c r="Q505" s="3" t="s">
        <v>26</v>
      </c>
      <c r="R505" s="3">
        <v>0</v>
      </c>
      <c r="S505" s="4">
        <v>0</v>
      </c>
      <c r="T505" s="4">
        <v>32</v>
      </c>
      <c r="U505" s="4">
        <v>72</v>
      </c>
      <c r="V505" s="4">
        <f>IF(ISERROR(VLOOKUP($S$505,'TAR FIN'!$A$1:$O$91,15,0)),0,VLOOKUP($S$505,'TAR FIN'!$A$1:$O$91,15,0))</f>
        <v>0</v>
      </c>
      <c r="W505" s="4">
        <f>IF(ISERROR(VLOOKUP($T$505,'TAR FIN'!$A$1:$O$91,15,0)),0,VLOOKUP($T$505,'TAR FIN'!$A$1:$O$91,15,0))</f>
        <v>357.74</v>
      </c>
      <c r="X505" s="4">
        <f>IF(ISERROR(VLOOKUP($U$505,'TAR FIN'!$A$1:$O$91,15,0)),0,VLOOKUP($U$505,'TAR FIN'!$A$1:$O$91,15,0))</f>
        <v>175.15</v>
      </c>
      <c r="Y505" s="4"/>
      <c r="Z505" s="4">
        <f ca="1">('TUSD BE'!$AM$36+'TUSD BF_350'!$AM$36+'TUSD CVA'!$AM$36)*(1-CUSTOS!$M$38)</f>
        <v>419.26134561460873</v>
      </c>
      <c r="AA505" s="4">
        <f ca="1">('TE BE'!$AB$27+'TE BF_350'!$AB$27+'TE CVA'!$AB$27)*(1-CUSTOS!$M$38)</f>
        <v>193.19190075421278</v>
      </c>
      <c r="AB505" s="4">
        <f>$K$505*$V$505</f>
        <v>0</v>
      </c>
      <c r="AC505" s="4">
        <f>$M$505*$W$505</f>
        <v>208.56242</v>
      </c>
      <c r="AD505" s="4">
        <f>$O$505*$X$505</f>
        <v>102.11245</v>
      </c>
      <c r="AE505" s="4">
        <f>$K$505*$Y$505</f>
        <v>0</v>
      </c>
      <c r="AF505" s="4">
        <f ca="1">$M$505*$Z$505</f>
        <v>244.42936449331688</v>
      </c>
      <c r="AG505" s="4">
        <f ca="1">$O$505*$AA$505</f>
        <v>112.63087813970604</v>
      </c>
    </row>
    <row r="506" spans="1:33" ht="11.25" customHeight="1" x14ac:dyDescent="0.3">
      <c r="A506" s="3" t="s">
        <v>28</v>
      </c>
      <c r="B506" s="3" t="s">
        <v>42</v>
      </c>
      <c r="C506" s="3" t="s">
        <v>23</v>
      </c>
      <c r="D506" s="3" t="s">
        <v>43</v>
      </c>
      <c r="E506" s="3" t="s">
        <v>25</v>
      </c>
      <c r="F506" s="3" t="s">
        <v>25</v>
      </c>
      <c r="G506" s="3" t="s">
        <v>25</v>
      </c>
      <c r="H506" s="3" t="s">
        <v>25</v>
      </c>
      <c r="I506" s="6">
        <v>44682</v>
      </c>
      <c r="J506" s="4">
        <v>0</v>
      </c>
      <c r="K506" s="4">
        <v>0</v>
      </c>
      <c r="L506" s="4">
        <v>14.222</v>
      </c>
      <c r="M506" s="4">
        <v>14.222</v>
      </c>
      <c r="N506" s="4">
        <v>14.222</v>
      </c>
      <c r="O506" s="4">
        <v>14.222</v>
      </c>
      <c r="P506" s="4">
        <v>48</v>
      </c>
      <c r="Q506" s="3" t="s">
        <v>26</v>
      </c>
      <c r="R506" s="3">
        <v>0</v>
      </c>
      <c r="S506" s="4">
        <v>0</v>
      </c>
      <c r="T506" s="4">
        <v>32</v>
      </c>
      <c r="U506" s="4">
        <v>72</v>
      </c>
      <c r="V506" s="4">
        <f>IF(ISERROR(VLOOKUP($S$506,'TAR FIN'!$A$1:$O$91,15,0)),0,VLOOKUP($S$506,'TAR FIN'!$A$1:$O$91,15,0))</f>
        <v>0</v>
      </c>
      <c r="W506" s="4">
        <f>IF(ISERROR(VLOOKUP($T$506,'TAR FIN'!$A$1:$O$91,15,0)),0,VLOOKUP($T$506,'TAR FIN'!$A$1:$O$91,15,0))</f>
        <v>357.74</v>
      </c>
      <c r="X506" s="4">
        <f>IF(ISERROR(VLOOKUP($U$506,'TAR FIN'!$A$1:$O$91,15,0)),0,VLOOKUP($U$506,'TAR FIN'!$A$1:$O$91,15,0))</f>
        <v>175.15</v>
      </c>
      <c r="Y506" s="4"/>
      <c r="Z506" s="4">
        <f ca="1">('TUSD BE'!$AM$36+'TUSD BF_350'!$AM$36+'TUSD CVA'!$AM$36)*(1-CUSTOS!$M$38)</f>
        <v>419.26134561460873</v>
      </c>
      <c r="AA506" s="4">
        <f ca="1">('TE BE'!$AB$27+'TE BF_350'!$AB$27+'TE CVA'!$AB$27)*(1-CUSTOS!$M$38)</f>
        <v>193.19190075421278</v>
      </c>
      <c r="AB506" s="4">
        <f>$K$506*$V$506</f>
        <v>0</v>
      </c>
      <c r="AC506" s="4">
        <f>$M$506*$W$506</f>
        <v>5087.7782799999995</v>
      </c>
      <c r="AD506" s="4">
        <f>$O$506*$X$506</f>
        <v>2490.9832999999999</v>
      </c>
      <c r="AE506" s="4">
        <f>$K$506*$Y$506</f>
        <v>0</v>
      </c>
      <c r="AF506" s="4">
        <f ca="1">$M$506*$Z$506</f>
        <v>5962.7348573309655</v>
      </c>
      <c r="AG506" s="4">
        <f ca="1">$O$506*$AA$506</f>
        <v>2747.5752125264139</v>
      </c>
    </row>
    <row r="507" spans="1:33" ht="11.25" customHeight="1" x14ac:dyDescent="0.3">
      <c r="A507" s="3" t="s">
        <v>21</v>
      </c>
      <c r="B507" s="3" t="s">
        <v>42</v>
      </c>
      <c r="C507" s="3" t="s">
        <v>23</v>
      </c>
      <c r="D507" s="3" t="s">
        <v>43</v>
      </c>
      <c r="E507" s="3" t="s">
        <v>25</v>
      </c>
      <c r="F507" s="3" t="s">
        <v>25</v>
      </c>
      <c r="G507" s="3" t="s">
        <v>25</v>
      </c>
      <c r="H507" s="3" t="s">
        <v>25</v>
      </c>
      <c r="I507" s="6">
        <v>44713</v>
      </c>
      <c r="J507" s="4">
        <v>0</v>
      </c>
      <c r="K507" s="4">
        <v>0</v>
      </c>
      <c r="L507" s="4">
        <v>1335.79</v>
      </c>
      <c r="M507" s="4">
        <v>1335.79</v>
      </c>
      <c r="N507" s="4">
        <v>1335.79</v>
      </c>
      <c r="O507" s="4">
        <v>1335.79</v>
      </c>
      <c r="P507" s="4">
        <v>4496</v>
      </c>
      <c r="Q507" s="3" t="s">
        <v>26</v>
      </c>
      <c r="R507" s="3">
        <v>0</v>
      </c>
      <c r="S507" s="4">
        <v>0</v>
      </c>
      <c r="T507" s="4">
        <v>32</v>
      </c>
      <c r="U507" s="4">
        <v>72</v>
      </c>
      <c r="V507" s="4">
        <f>IF(ISERROR(VLOOKUP($S$507,'TAR FIN'!$A$1:$O$91,15,0)),0,VLOOKUP($S$507,'TAR FIN'!$A$1:$O$91,15,0))</f>
        <v>0</v>
      </c>
      <c r="W507" s="4">
        <f>IF(ISERROR(VLOOKUP($T$507,'TAR FIN'!$A$1:$O$91,15,0)),0,VLOOKUP($T$507,'TAR FIN'!$A$1:$O$91,15,0))</f>
        <v>357.74</v>
      </c>
      <c r="X507" s="4">
        <f>IF(ISERROR(VLOOKUP($U$507,'TAR FIN'!$A$1:$O$91,15,0)),0,VLOOKUP($U$507,'TAR FIN'!$A$1:$O$91,15,0))</f>
        <v>175.15</v>
      </c>
      <c r="Y507" s="4"/>
      <c r="Z507" s="4">
        <f ca="1">('TUSD BE'!$AM$36+'TUSD BF_350'!$AM$36+'TUSD CVA'!$AM$36)*(1-CUSTOS!$M$38)</f>
        <v>419.26134561460873</v>
      </c>
      <c r="AA507" s="4">
        <f ca="1">('TE BE'!$AB$27+'TE BF_350'!$AB$27+'TE CVA'!$AB$27)*(1-CUSTOS!$M$38)</f>
        <v>193.19190075421278</v>
      </c>
      <c r="AB507" s="4">
        <f>$K$507*$V$507</f>
        <v>0</v>
      </c>
      <c r="AC507" s="4">
        <f>$M$507*$W$507</f>
        <v>477865.51459999999</v>
      </c>
      <c r="AD507" s="4">
        <f>$O$507*$X$507</f>
        <v>233963.61850000001</v>
      </c>
      <c r="AE507" s="4">
        <f>$K$507*$Y$507</f>
        <v>0</v>
      </c>
      <c r="AF507" s="4">
        <f ca="1">$M$507*$Z$507</f>
        <v>560045.11285853817</v>
      </c>
      <c r="AG507" s="4">
        <f ca="1">$O$507*$AA$507</f>
        <v>258063.8091084699</v>
      </c>
    </row>
    <row r="508" spans="1:33" ht="11.25" customHeight="1" x14ac:dyDescent="0.3">
      <c r="A508" s="3" t="s">
        <v>27</v>
      </c>
      <c r="B508" s="3" t="s">
        <v>42</v>
      </c>
      <c r="C508" s="3" t="s">
        <v>23</v>
      </c>
      <c r="D508" s="3" t="s">
        <v>43</v>
      </c>
      <c r="E508" s="3" t="s">
        <v>25</v>
      </c>
      <c r="F508" s="3" t="s">
        <v>25</v>
      </c>
      <c r="G508" s="3" t="s">
        <v>25</v>
      </c>
      <c r="H508" s="3" t="s">
        <v>25</v>
      </c>
      <c r="I508" s="6">
        <v>44713</v>
      </c>
      <c r="J508" s="4">
        <v>0</v>
      </c>
      <c r="K508" s="4">
        <v>0</v>
      </c>
      <c r="L508" s="4">
        <v>-2.8180000000000001</v>
      </c>
      <c r="M508" s="4">
        <v>-2.8180000000000001</v>
      </c>
      <c r="N508" s="4">
        <v>-2.8180000000000001</v>
      </c>
      <c r="O508" s="4">
        <v>-2.8180000000000001</v>
      </c>
      <c r="P508" s="4">
        <v>0</v>
      </c>
      <c r="Q508" s="3" t="s">
        <v>26</v>
      </c>
      <c r="R508" s="3">
        <v>0</v>
      </c>
      <c r="S508" s="4">
        <v>0</v>
      </c>
      <c r="T508" s="4">
        <v>32</v>
      </c>
      <c r="U508" s="4">
        <v>72</v>
      </c>
      <c r="V508" s="4">
        <f>IF(ISERROR(VLOOKUP($S$508,'TAR FIN'!$A$1:$O$91,15,0)),0,VLOOKUP($S$508,'TAR FIN'!$A$1:$O$91,15,0))</f>
        <v>0</v>
      </c>
      <c r="W508" s="4">
        <f>IF(ISERROR(VLOOKUP($T$508,'TAR FIN'!$A$1:$O$91,15,0)),0,VLOOKUP($T$508,'TAR FIN'!$A$1:$O$91,15,0))</f>
        <v>357.74</v>
      </c>
      <c r="X508" s="4">
        <f>IF(ISERROR(VLOOKUP($U$508,'TAR FIN'!$A$1:$O$91,15,0)),0,VLOOKUP($U$508,'TAR FIN'!$A$1:$O$91,15,0))</f>
        <v>175.15</v>
      </c>
      <c r="Y508" s="4"/>
      <c r="Z508" s="4">
        <f ca="1">('TUSD BE'!$AM$36+'TUSD BF_350'!$AM$36+'TUSD CVA'!$AM$36)*(1-CUSTOS!$M$38)</f>
        <v>419.26134561460873</v>
      </c>
      <c r="AA508" s="4">
        <f ca="1">('TE BE'!$AB$27+'TE BF_350'!$AB$27+'TE CVA'!$AB$27)*(1-CUSTOS!$M$38)</f>
        <v>193.19190075421278</v>
      </c>
      <c r="AB508" s="4">
        <f>$K$508*$V$508</f>
        <v>0</v>
      </c>
      <c r="AC508" s="4">
        <f>$M$508*$W$508</f>
        <v>-1008.1113200000001</v>
      </c>
      <c r="AD508" s="4">
        <f>$O$508*$X$508</f>
        <v>-493.57270000000005</v>
      </c>
      <c r="AE508" s="4">
        <f>$K$508*$Y$508</f>
        <v>0</v>
      </c>
      <c r="AF508" s="4">
        <f ca="1">$M$508*$Z$508</f>
        <v>-1181.4784719419674</v>
      </c>
      <c r="AG508" s="4">
        <f ca="1">$O$508*$AA$508</f>
        <v>-544.41477632537158</v>
      </c>
    </row>
    <row r="509" spans="1:33" ht="11.25" customHeight="1" x14ac:dyDescent="0.3">
      <c r="A509" s="3" t="s">
        <v>28</v>
      </c>
      <c r="B509" s="3" t="s">
        <v>42</v>
      </c>
      <c r="C509" s="3" t="s">
        <v>23</v>
      </c>
      <c r="D509" s="3" t="s">
        <v>43</v>
      </c>
      <c r="E509" s="3" t="s">
        <v>25</v>
      </c>
      <c r="F509" s="3" t="s">
        <v>25</v>
      </c>
      <c r="G509" s="3" t="s">
        <v>25</v>
      </c>
      <c r="H509" s="3" t="s">
        <v>25</v>
      </c>
      <c r="I509" s="6">
        <v>44713</v>
      </c>
      <c r="J509" s="4">
        <v>0</v>
      </c>
      <c r="K509" s="4">
        <v>0</v>
      </c>
      <c r="L509" s="4">
        <v>22.350999999999999</v>
      </c>
      <c r="M509" s="4">
        <v>22.350999999999999</v>
      </c>
      <c r="N509" s="4">
        <v>22.350999999999999</v>
      </c>
      <c r="O509" s="4">
        <v>22.350999999999999</v>
      </c>
      <c r="P509" s="4">
        <v>52</v>
      </c>
      <c r="Q509" s="3" t="s">
        <v>26</v>
      </c>
      <c r="R509" s="3">
        <v>0</v>
      </c>
      <c r="S509" s="4">
        <v>0</v>
      </c>
      <c r="T509" s="4">
        <v>32</v>
      </c>
      <c r="U509" s="4">
        <v>72</v>
      </c>
      <c r="V509" s="4">
        <f>IF(ISERROR(VLOOKUP($S$509,'TAR FIN'!$A$1:$O$91,15,0)),0,VLOOKUP($S$509,'TAR FIN'!$A$1:$O$91,15,0))</f>
        <v>0</v>
      </c>
      <c r="W509" s="4">
        <f>IF(ISERROR(VLOOKUP($T$509,'TAR FIN'!$A$1:$O$91,15,0)),0,VLOOKUP($T$509,'TAR FIN'!$A$1:$O$91,15,0))</f>
        <v>357.74</v>
      </c>
      <c r="X509" s="4">
        <f>IF(ISERROR(VLOOKUP($U$509,'TAR FIN'!$A$1:$O$91,15,0)),0,VLOOKUP($U$509,'TAR FIN'!$A$1:$O$91,15,0))</f>
        <v>175.15</v>
      </c>
      <c r="Y509" s="4"/>
      <c r="Z509" s="4">
        <f ca="1">('TUSD BE'!$AM$36+'TUSD BF_350'!$AM$36+'TUSD CVA'!$AM$36)*(1-CUSTOS!$M$38)</f>
        <v>419.26134561460873</v>
      </c>
      <c r="AA509" s="4">
        <f ca="1">('TE BE'!$AB$27+'TE BF_350'!$AB$27+'TE CVA'!$AB$27)*(1-CUSTOS!$M$38)</f>
        <v>193.19190075421278</v>
      </c>
      <c r="AB509" s="4">
        <f>$K$509*$V$509</f>
        <v>0</v>
      </c>
      <c r="AC509" s="4">
        <f>$M$509*$W$509</f>
        <v>7995.84674</v>
      </c>
      <c r="AD509" s="4">
        <f>$O$509*$X$509</f>
        <v>3914.77765</v>
      </c>
      <c r="AE509" s="4">
        <f>$K$509*$Y$509</f>
        <v>0</v>
      </c>
      <c r="AF509" s="4">
        <f ca="1">$M$509*$Z$509</f>
        <v>9370.910335832119</v>
      </c>
      <c r="AG509" s="4">
        <f ca="1">$O$509*$AA$509</f>
        <v>4318.0321737574095</v>
      </c>
    </row>
    <row r="510" spans="1:33" ht="11.25" customHeight="1" x14ac:dyDescent="0.3">
      <c r="A510" s="3" t="s">
        <v>21</v>
      </c>
      <c r="B510" s="3" t="s">
        <v>37</v>
      </c>
      <c r="C510" s="3" t="s">
        <v>33</v>
      </c>
      <c r="D510" s="3" t="s">
        <v>41</v>
      </c>
      <c r="E510" s="3" t="s">
        <v>25</v>
      </c>
      <c r="F510" s="3" t="s">
        <v>25</v>
      </c>
      <c r="G510" s="3" t="s">
        <v>25</v>
      </c>
      <c r="H510" s="3" t="s">
        <v>35</v>
      </c>
      <c r="I510" s="6">
        <v>44378</v>
      </c>
      <c r="J510" s="4">
        <v>0</v>
      </c>
      <c r="K510" s="4">
        <v>0</v>
      </c>
      <c r="L510" s="4">
        <v>0.42899999999999999</v>
      </c>
      <c r="M510" s="4">
        <v>0.42899999999999999</v>
      </c>
      <c r="N510" s="4">
        <v>0.42899999999999999</v>
      </c>
      <c r="O510" s="4">
        <v>0.42899999999999999</v>
      </c>
      <c r="P510" s="4">
        <v>0</v>
      </c>
      <c r="Q510" s="3" t="s">
        <v>26</v>
      </c>
      <c r="R510" s="3">
        <v>0</v>
      </c>
      <c r="S510" s="4">
        <v>0</v>
      </c>
      <c r="T510" s="4">
        <v>46</v>
      </c>
      <c r="U510" s="4">
        <v>86</v>
      </c>
      <c r="V510" s="4">
        <f>IF(ISERROR(VLOOKUP($S$510,'TAR FIN'!$A$1:$O$91,15,0)),0,VLOOKUP($S$510,'TAR FIN'!$A$1:$O$91,15,0))</f>
        <v>0</v>
      </c>
      <c r="W510" s="4">
        <f>IF(ISERROR(VLOOKUP($T$510,'TAR FIN'!$A$1:$O$91,15,0)),0,VLOOKUP($T$510,'TAR FIN'!$A$1:$O$91,15,0))</f>
        <v>315.24</v>
      </c>
      <c r="X510" s="4">
        <f>IF(ISERROR(VLOOKUP($U$510,'TAR FIN'!$A$1:$O$91,15,0)),0,VLOOKUP($U$510,'TAR FIN'!$A$1:$O$91,15,0))</f>
        <v>189.96</v>
      </c>
      <c r="Y510" s="4"/>
      <c r="Z510" s="4">
        <f ca="1">('TUSD BE'!$AM$50+'TUSD BF_350'!$AM$50+'TUSD CVA'!$AM$50)*1</f>
        <v>357.05828664618559</v>
      </c>
      <c r="AA510" s="4">
        <f ca="1">('TE BE'!$AB$41+'TE BF_350'!$AB$41+'TE CVA'!$AB$41)*1</f>
        <v>195.89707226799715</v>
      </c>
      <c r="AB510" s="4">
        <f>$K$510*$V$510</f>
        <v>0</v>
      </c>
      <c r="AC510" s="4">
        <f>$M$510*$W$510</f>
        <v>135.23796000000002</v>
      </c>
      <c r="AD510" s="4">
        <f>$O$510*$X$510</f>
        <v>81.492840000000001</v>
      </c>
      <c r="AE510" s="4">
        <f>$K$510*$Y$510</f>
        <v>0</v>
      </c>
      <c r="AF510" s="4">
        <f ca="1">$M$510*$Z$510</f>
        <v>153.17800497121362</v>
      </c>
      <c r="AG510" s="4">
        <f ca="1">$O$510*$AA$510</f>
        <v>84.039844002970767</v>
      </c>
    </row>
    <row r="511" spans="1:33" ht="11.25" customHeight="1" x14ac:dyDescent="0.3">
      <c r="A511" s="3" t="s">
        <v>21</v>
      </c>
      <c r="B511" s="3" t="s">
        <v>37</v>
      </c>
      <c r="C511" s="3" t="s">
        <v>33</v>
      </c>
      <c r="D511" s="3" t="s">
        <v>41</v>
      </c>
      <c r="E511" s="3" t="s">
        <v>25</v>
      </c>
      <c r="F511" s="3" t="s">
        <v>25</v>
      </c>
      <c r="G511" s="3" t="s">
        <v>25</v>
      </c>
      <c r="H511" s="3" t="s">
        <v>35</v>
      </c>
      <c r="I511" s="6">
        <v>44409</v>
      </c>
      <c r="J511" s="4">
        <v>0</v>
      </c>
      <c r="K511" s="4">
        <v>0</v>
      </c>
      <c r="L511" s="4">
        <v>0.34499999999999997</v>
      </c>
      <c r="M511" s="4">
        <v>0.34499999999999997</v>
      </c>
      <c r="N511" s="4">
        <v>0.34499999999999997</v>
      </c>
      <c r="O511" s="4">
        <v>0.34499999999999997</v>
      </c>
      <c r="P511" s="4">
        <v>0</v>
      </c>
      <c r="Q511" s="3" t="s">
        <v>26</v>
      </c>
      <c r="R511" s="3">
        <v>0</v>
      </c>
      <c r="S511" s="4">
        <v>0</v>
      </c>
      <c r="T511" s="4">
        <v>46</v>
      </c>
      <c r="U511" s="4">
        <v>86</v>
      </c>
      <c r="V511" s="4">
        <f>IF(ISERROR(VLOOKUP($S$511,'TAR FIN'!$A$1:$O$91,15,0)),0,VLOOKUP($S$511,'TAR FIN'!$A$1:$O$91,15,0))</f>
        <v>0</v>
      </c>
      <c r="W511" s="4">
        <f>IF(ISERROR(VLOOKUP($T$511,'TAR FIN'!$A$1:$O$91,15,0)),0,VLOOKUP($T$511,'TAR FIN'!$A$1:$O$91,15,0))</f>
        <v>315.24</v>
      </c>
      <c r="X511" s="4">
        <f>IF(ISERROR(VLOOKUP($U$511,'TAR FIN'!$A$1:$O$91,15,0)),0,VLOOKUP($U$511,'TAR FIN'!$A$1:$O$91,15,0))</f>
        <v>189.96</v>
      </c>
      <c r="Y511" s="4"/>
      <c r="Z511" s="4">
        <f ca="1">('TUSD BE'!$AM$50+'TUSD BF_350'!$AM$50+'TUSD CVA'!$AM$50)*1</f>
        <v>357.05828664618559</v>
      </c>
      <c r="AA511" s="4">
        <f ca="1">('TE BE'!$AB$41+'TE BF_350'!$AB$41+'TE CVA'!$AB$41)*1</f>
        <v>195.89707226799715</v>
      </c>
      <c r="AB511" s="4">
        <f>$K$511*$V$511</f>
        <v>0</v>
      </c>
      <c r="AC511" s="4">
        <f>$M$511*$W$511</f>
        <v>108.75779999999999</v>
      </c>
      <c r="AD511" s="4">
        <f>$O$511*$X$511</f>
        <v>65.536199999999994</v>
      </c>
      <c r="AE511" s="4">
        <f>$K$511*$Y$511</f>
        <v>0</v>
      </c>
      <c r="AF511" s="4">
        <f ca="1">$M$511*$Z$511</f>
        <v>123.18510889293402</v>
      </c>
      <c r="AG511" s="4">
        <f ca="1">$O$511*$AA$511</f>
        <v>67.584489932459007</v>
      </c>
    </row>
    <row r="512" spans="1:33" ht="11.25" customHeight="1" x14ac:dyDescent="0.3">
      <c r="A512" s="3" t="s">
        <v>21</v>
      </c>
      <c r="B512" s="3" t="s">
        <v>37</v>
      </c>
      <c r="C512" s="3" t="s">
        <v>33</v>
      </c>
      <c r="D512" s="3" t="s">
        <v>41</v>
      </c>
      <c r="E512" s="3" t="s">
        <v>25</v>
      </c>
      <c r="F512" s="3" t="s">
        <v>25</v>
      </c>
      <c r="G512" s="3" t="s">
        <v>25</v>
      </c>
      <c r="H512" s="3" t="s">
        <v>35</v>
      </c>
      <c r="I512" s="6">
        <v>44440</v>
      </c>
      <c r="J512" s="4">
        <v>0</v>
      </c>
      <c r="K512" s="4">
        <v>0</v>
      </c>
      <c r="L512" s="4">
        <v>0.19600000000000001</v>
      </c>
      <c r="M512" s="4">
        <v>0.19600000000000001</v>
      </c>
      <c r="N512" s="4">
        <v>0.19600000000000001</v>
      </c>
      <c r="O512" s="4">
        <v>0.19600000000000001</v>
      </c>
      <c r="P512" s="4">
        <v>0</v>
      </c>
      <c r="Q512" s="3" t="s">
        <v>26</v>
      </c>
      <c r="R512" s="3">
        <v>0</v>
      </c>
      <c r="S512" s="4">
        <v>0</v>
      </c>
      <c r="T512" s="4">
        <v>46</v>
      </c>
      <c r="U512" s="4">
        <v>86</v>
      </c>
      <c r="V512" s="4">
        <f>IF(ISERROR(VLOOKUP($S$512,'TAR FIN'!$A$1:$O$91,15,0)),0,VLOOKUP($S$512,'TAR FIN'!$A$1:$O$91,15,0))</f>
        <v>0</v>
      </c>
      <c r="W512" s="4">
        <f>IF(ISERROR(VLOOKUP($T$512,'TAR FIN'!$A$1:$O$91,15,0)),0,VLOOKUP($T$512,'TAR FIN'!$A$1:$O$91,15,0))</f>
        <v>315.24</v>
      </c>
      <c r="X512" s="4">
        <f>IF(ISERROR(VLOOKUP($U$512,'TAR FIN'!$A$1:$O$91,15,0)),0,VLOOKUP($U$512,'TAR FIN'!$A$1:$O$91,15,0))</f>
        <v>189.96</v>
      </c>
      <c r="Y512" s="4"/>
      <c r="Z512" s="4">
        <f ca="1">('TUSD BE'!$AM$50+'TUSD BF_350'!$AM$50+'TUSD CVA'!$AM$50)*1</f>
        <v>357.05828664618559</v>
      </c>
      <c r="AA512" s="4">
        <f ca="1">('TE BE'!$AB$41+'TE BF_350'!$AB$41+'TE CVA'!$AB$41)*1</f>
        <v>195.89707226799715</v>
      </c>
      <c r="AB512" s="4">
        <f>$K$512*$V$512</f>
        <v>0</v>
      </c>
      <c r="AC512" s="4">
        <f>$M$512*$W$512</f>
        <v>61.787040000000005</v>
      </c>
      <c r="AD512" s="4">
        <f>$O$512*$X$512</f>
        <v>37.23216</v>
      </c>
      <c r="AE512" s="4">
        <f>$K$512*$Y$512</f>
        <v>0</v>
      </c>
      <c r="AF512" s="4">
        <f ca="1">$M$512*$Z$512</f>
        <v>69.983424182652385</v>
      </c>
      <c r="AG512" s="4">
        <f ca="1">$O$512*$AA$512</f>
        <v>38.395826164527442</v>
      </c>
    </row>
    <row r="513" spans="1:33" ht="11.25" customHeight="1" x14ac:dyDescent="0.3">
      <c r="A513" s="3" t="s">
        <v>21</v>
      </c>
      <c r="B513" s="3" t="s">
        <v>37</v>
      </c>
      <c r="C513" s="3" t="s">
        <v>33</v>
      </c>
      <c r="D513" s="3" t="s">
        <v>41</v>
      </c>
      <c r="E513" s="3" t="s">
        <v>25</v>
      </c>
      <c r="F513" s="3" t="s">
        <v>25</v>
      </c>
      <c r="G513" s="3" t="s">
        <v>25</v>
      </c>
      <c r="H513" s="3" t="s">
        <v>35</v>
      </c>
      <c r="I513" s="6">
        <v>44470</v>
      </c>
      <c r="J513" s="4">
        <v>0</v>
      </c>
      <c r="K513" s="4">
        <v>0</v>
      </c>
      <c r="L513" s="4">
        <v>0.192</v>
      </c>
      <c r="M513" s="4">
        <v>0.192</v>
      </c>
      <c r="N513" s="4">
        <v>0.192</v>
      </c>
      <c r="O513" s="4">
        <v>0.192</v>
      </c>
      <c r="P513" s="4">
        <v>0</v>
      </c>
      <c r="Q513" s="3" t="s">
        <v>26</v>
      </c>
      <c r="R513" s="3">
        <v>0</v>
      </c>
      <c r="S513" s="4">
        <v>0</v>
      </c>
      <c r="T513" s="4">
        <v>46</v>
      </c>
      <c r="U513" s="4">
        <v>86</v>
      </c>
      <c r="V513" s="4">
        <f>IF(ISERROR(VLOOKUP($S$513,'TAR FIN'!$A$1:$O$91,15,0)),0,VLOOKUP($S$513,'TAR FIN'!$A$1:$O$91,15,0))</f>
        <v>0</v>
      </c>
      <c r="W513" s="4">
        <f>IF(ISERROR(VLOOKUP($T$513,'TAR FIN'!$A$1:$O$91,15,0)),0,VLOOKUP($T$513,'TAR FIN'!$A$1:$O$91,15,0))</f>
        <v>315.24</v>
      </c>
      <c r="X513" s="4">
        <f>IF(ISERROR(VLOOKUP($U$513,'TAR FIN'!$A$1:$O$91,15,0)),0,VLOOKUP($U$513,'TAR FIN'!$A$1:$O$91,15,0))</f>
        <v>189.96</v>
      </c>
      <c r="Y513" s="4"/>
      <c r="Z513" s="4">
        <f ca="1">('TUSD BE'!$AM$50+'TUSD BF_350'!$AM$50+'TUSD CVA'!$AM$50)*1</f>
        <v>357.05828664618559</v>
      </c>
      <c r="AA513" s="4">
        <f ca="1">('TE BE'!$AB$41+'TE BF_350'!$AB$41+'TE CVA'!$AB$41)*1</f>
        <v>195.89707226799715</v>
      </c>
      <c r="AB513" s="4">
        <f>$K$513*$V$513</f>
        <v>0</v>
      </c>
      <c r="AC513" s="4">
        <f>$M$513*$W$513</f>
        <v>60.52608</v>
      </c>
      <c r="AD513" s="4">
        <f>$O$513*$X$513</f>
        <v>36.472320000000003</v>
      </c>
      <c r="AE513" s="4">
        <f>$K$513*$Y$513</f>
        <v>0</v>
      </c>
      <c r="AF513" s="4">
        <f ca="1">$M$513*$Z$513</f>
        <v>68.55519103606764</v>
      </c>
      <c r="AG513" s="4">
        <f ca="1">$O$513*$AA$513</f>
        <v>37.612237875455456</v>
      </c>
    </row>
    <row r="514" spans="1:33" ht="11.25" customHeight="1" x14ac:dyDescent="0.3">
      <c r="A514" s="3" t="s">
        <v>21</v>
      </c>
      <c r="B514" s="3" t="s">
        <v>37</v>
      </c>
      <c r="C514" s="3" t="s">
        <v>33</v>
      </c>
      <c r="D514" s="3" t="s">
        <v>41</v>
      </c>
      <c r="E514" s="3" t="s">
        <v>25</v>
      </c>
      <c r="F514" s="3" t="s">
        <v>25</v>
      </c>
      <c r="G514" s="3" t="s">
        <v>25</v>
      </c>
      <c r="H514" s="3" t="s">
        <v>35</v>
      </c>
      <c r="I514" s="6">
        <v>44501</v>
      </c>
      <c r="J514" s="4">
        <v>0</v>
      </c>
      <c r="K514" s="4">
        <v>0</v>
      </c>
      <c r="L514" s="4">
        <v>0.28599999999999998</v>
      </c>
      <c r="M514" s="4">
        <v>0.28599999999999998</v>
      </c>
      <c r="N514" s="4">
        <v>0.28599999999999998</v>
      </c>
      <c r="O514" s="4">
        <v>0.28599999999999998</v>
      </c>
      <c r="P514" s="4">
        <v>0</v>
      </c>
      <c r="Q514" s="3" t="s">
        <v>26</v>
      </c>
      <c r="R514" s="3">
        <v>0</v>
      </c>
      <c r="S514" s="4">
        <v>0</v>
      </c>
      <c r="T514" s="4">
        <v>46</v>
      </c>
      <c r="U514" s="4">
        <v>86</v>
      </c>
      <c r="V514" s="4">
        <f>IF(ISERROR(VLOOKUP($S$514,'TAR FIN'!$A$1:$O$91,15,0)),0,VLOOKUP($S$514,'TAR FIN'!$A$1:$O$91,15,0))</f>
        <v>0</v>
      </c>
      <c r="W514" s="4">
        <f>IF(ISERROR(VLOOKUP($T$514,'TAR FIN'!$A$1:$O$91,15,0)),0,VLOOKUP($T$514,'TAR FIN'!$A$1:$O$91,15,0))</f>
        <v>315.24</v>
      </c>
      <c r="X514" s="4">
        <f>IF(ISERROR(VLOOKUP($U$514,'TAR FIN'!$A$1:$O$91,15,0)),0,VLOOKUP($U$514,'TAR FIN'!$A$1:$O$91,15,0))</f>
        <v>189.96</v>
      </c>
      <c r="Y514" s="4"/>
      <c r="Z514" s="4">
        <f ca="1">('TUSD BE'!$AM$50+'TUSD BF_350'!$AM$50+'TUSD CVA'!$AM$50)*1</f>
        <v>357.05828664618559</v>
      </c>
      <c r="AA514" s="4">
        <f ca="1">('TE BE'!$AB$41+'TE BF_350'!$AB$41+'TE CVA'!$AB$41)*1</f>
        <v>195.89707226799715</v>
      </c>
      <c r="AB514" s="4">
        <f>$K$514*$V$514</f>
        <v>0</v>
      </c>
      <c r="AC514" s="4">
        <f>$M$514*$W$514</f>
        <v>90.158639999999991</v>
      </c>
      <c r="AD514" s="4">
        <f>$O$514*$X$514</f>
        <v>54.328559999999996</v>
      </c>
      <c r="AE514" s="4">
        <f>$K$514*$Y$514</f>
        <v>0</v>
      </c>
      <c r="AF514" s="4">
        <f ca="1">$M$514*$Z$514</f>
        <v>102.11866998080907</v>
      </c>
      <c r="AG514" s="4">
        <f ca="1">$O$514*$AA$514</f>
        <v>56.02656266864718</v>
      </c>
    </row>
    <row r="515" spans="1:33" ht="11.25" customHeight="1" x14ac:dyDescent="0.3">
      <c r="A515" s="3" t="s">
        <v>21</v>
      </c>
      <c r="B515" s="3" t="s">
        <v>37</v>
      </c>
      <c r="C515" s="3" t="s">
        <v>33</v>
      </c>
      <c r="D515" s="3" t="s">
        <v>41</v>
      </c>
      <c r="E515" s="3" t="s">
        <v>25</v>
      </c>
      <c r="F515" s="3" t="s">
        <v>25</v>
      </c>
      <c r="G515" s="3" t="s">
        <v>25</v>
      </c>
      <c r="H515" s="3" t="s">
        <v>35</v>
      </c>
      <c r="I515" s="6">
        <v>44531</v>
      </c>
      <c r="J515" s="4">
        <v>0</v>
      </c>
      <c r="K515" s="4">
        <v>0</v>
      </c>
      <c r="L515" s="4">
        <v>0.39400000000000002</v>
      </c>
      <c r="M515" s="4">
        <v>0.39400000000000002</v>
      </c>
      <c r="N515" s="4">
        <v>0.39400000000000002</v>
      </c>
      <c r="O515" s="4">
        <v>0.39400000000000002</v>
      </c>
      <c r="P515" s="4">
        <v>0</v>
      </c>
      <c r="Q515" s="3" t="s">
        <v>26</v>
      </c>
      <c r="R515" s="3">
        <v>0</v>
      </c>
      <c r="S515" s="4">
        <v>0</v>
      </c>
      <c r="T515" s="4">
        <v>46</v>
      </c>
      <c r="U515" s="4">
        <v>86</v>
      </c>
      <c r="V515" s="4">
        <f>IF(ISERROR(VLOOKUP($S$515,'TAR FIN'!$A$1:$O$91,15,0)),0,VLOOKUP($S$515,'TAR FIN'!$A$1:$O$91,15,0))</f>
        <v>0</v>
      </c>
      <c r="W515" s="4">
        <f>IF(ISERROR(VLOOKUP($T$515,'TAR FIN'!$A$1:$O$91,15,0)),0,VLOOKUP($T$515,'TAR FIN'!$A$1:$O$91,15,0))</f>
        <v>315.24</v>
      </c>
      <c r="X515" s="4">
        <f>IF(ISERROR(VLOOKUP($U$515,'TAR FIN'!$A$1:$O$91,15,0)),0,VLOOKUP($U$515,'TAR FIN'!$A$1:$O$91,15,0))</f>
        <v>189.96</v>
      </c>
      <c r="Y515" s="4"/>
      <c r="Z515" s="4">
        <f ca="1">('TUSD BE'!$AM$50+'TUSD BF_350'!$AM$50+'TUSD CVA'!$AM$50)*1</f>
        <v>357.05828664618559</v>
      </c>
      <c r="AA515" s="4">
        <f ca="1">('TE BE'!$AB$41+'TE BF_350'!$AB$41+'TE CVA'!$AB$41)*1</f>
        <v>195.89707226799715</v>
      </c>
      <c r="AB515" s="4">
        <f>$K$515*$V$515</f>
        <v>0</v>
      </c>
      <c r="AC515" s="4">
        <f>$M$515*$W$515</f>
        <v>124.20456000000001</v>
      </c>
      <c r="AD515" s="4">
        <f>$O$515*$X$515</f>
        <v>74.844240000000013</v>
      </c>
      <c r="AE515" s="4">
        <f>$K$515*$Y$515</f>
        <v>0</v>
      </c>
      <c r="AF515" s="4">
        <f ca="1">$M$515*$Z$515</f>
        <v>140.68096493859713</v>
      </c>
      <c r="AG515" s="4">
        <f ca="1">$O$515*$AA$515</f>
        <v>77.183446473590877</v>
      </c>
    </row>
    <row r="516" spans="1:33" ht="11.25" customHeight="1" x14ac:dyDescent="0.3">
      <c r="A516" s="3" t="s">
        <v>21</v>
      </c>
      <c r="B516" s="3" t="s">
        <v>37</v>
      </c>
      <c r="C516" s="3" t="s">
        <v>33</v>
      </c>
      <c r="D516" s="3" t="s">
        <v>41</v>
      </c>
      <c r="E516" s="3" t="s">
        <v>25</v>
      </c>
      <c r="F516" s="3" t="s">
        <v>25</v>
      </c>
      <c r="G516" s="3" t="s">
        <v>25</v>
      </c>
      <c r="H516" s="3" t="s">
        <v>35</v>
      </c>
      <c r="I516" s="6">
        <v>44562</v>
      </c>
      <c r="J516" s="4">
        <v>0</v>
      </c>
      <c r="K516" s="4">
        <v>0</v>
      </c>
      <c r="L516" s="4">
        <v>0.47399999999999998</v>
      </c>
      <c r="M516" s="4">
        <v>0.47399999999999998</v>
      </c>
      <c r="N516" s="4">
        <v>0.47399999999999998</v>
      </c>
      <c r="O516" s="4">
        <v>0.47399999999999998</v>
      </c>
      <c r="P516" s="4">
        <v>0</v>
      </c>
      <c r="Q516" s="3" t="s">
        <v>26</v>
      </c>
      <c r="R516" s="3">
        <v>0</v>
      </c>
      <c r="S516" s="4">
        <v>0</v>
      </c>
      <c r="T516" s="4">
        <v>46</v>
      </c>
      <c r="U516" s="4">
        <v>86</v>
      </c>
      <c r="V516" s="4">
        <f>IF(ISERROR(VLOOKUP($S$516,'TAR FIN'!$A$1:$O$91,15,0)),0,VLOOKUP($S$516,'TAR FIN'!$A$1:$O$91,15,0))</f>
        <v>0</v>
      </c>
      <c r="W516" s="4">
        <f>IF(ISERROR(VLOOKUP($T$516,'TAR FIN'!$A$1:$O$91,15,0)),0,VLOOKUP($T$516,'TAR FIN'!$A$1:$O$91,15,0))</f>
        <v>315.24</v>
      </c>
      <c r="X516" s="4">
        <f>IF(ISERROR(VLOOKUP($U$516,'TAR FIN'!$A$1:$O$91,15,0)),0,VLOOKUP($U$516,'TAR FIN'!$A$1:$O$91,15,0))</f>
        <v>189.96</v>
      </c>
      <c r="Y516" s="4"/>
      <c r="Z516" s="4">
        <f ca="1">('TUSD BE'!$AM$50+'TUSD BF_350'!$AM$50+'TUSD CVA'!$AM$50)*1</f>
        <v>357.05828664618559</v>
      </c>
      <c r="AA516" s="4">
        <f ca="1">('TE BE'!$AB$41+'TE BF_350'!$AB$41+'TE CVA'!$AB$41)*1</f>
        <v>195.89707226799715</v>
      </c>
      <c r="AB516" s="4">
        <f>$K$516*$V$516</f>
        <v>0</v>
      </c>
      <c r="AC516" s="4">
        <f>$M$516*$W$516</f>
        <v>149.42375999999999</v>
      </c>
      <c r="AD516" s="4">
        <f>$O$516*$X$516</f>
        <v>90.041039999999995</v>
      </c>
      <c r="AE516" s="4">
        <f>$K$516*$Y$516</f>
        <v>0</v>
      </c>
      <c r="AF516" s="4">
        <f ca="1">$M$516*$Z$516</f>
        <v>169.24562787029197</v>
      </c>
      <c r="AG516" s="4">
        <f ca="1">$O$516*$AA$516</f>
        <v>92.855212255030636</v>
      </c>
    </row>
    <row r="517" spans="1:33" ht="11.25" customHeight="1" x14ac:dyDescent="0.3">
      <c r="A517" s="3" t="s">
        <v>21</v>
      </c>
      <c r="B517" s="3" t="s">
        <v>37</v>
      </c>
      <c r="C517" s="3" t="s">
        <v>33</v>
      </c>
      <c r="D517" s="3" t="s">
        <v>41</v>
      </c>
      <c r="E517" s="3" t="s">
        <v>25</v>
      </c>
      <c r="F517" s="3" t="s">
        <v>25</v>
      </c>
      <c r="G517" s="3" t="s">
        <v>25</v>
      </c>
      <c r="H517" s="3" t="s">
        <v>35</v>
      </c>
      <c r="I517" s="6">
        <v>44593</v>
      </c>
      <c r="J517" s="4">
        <v>0</v>
      </c>
      <c r="K517" s="4">
        <v>0</v>
      </c>
      <c r="L517" s="4">
        <v>0.59299999999999997</v>
      </c>
      <c r="M517" s="4">
        <v>0.59299999999999997</v>
      </c>
      <c r="N517" s="4">
        <v>0.59299999999999997</v>
      </c>
      <c r="O517" s="4">
        <v>0.59299999999999997</v>
      </c>
      <c r="P517" s="4">
        <v>0</v>
      </c>
      <c r="Q517" s="3" t="s">
        <v>26</v>
      </c>
      <c r="R517" s="3">
        <v>0</v>
      </c>
      <c r="S517" s="4">
        <v>0</v>
      </c>
      <c r="T517" s="4">
        <v>46</v>
      </c>
      <c r="U517" s="4">
        <v>86</v>
      </c>
      <c r="V517" s="4">
        <f>IF(ISERROR(VLOOKUP($S$517,'TAR FIN'!$A$1:$O$91,15,0)),0,VLOOKUP($S$517,'TAR FIN'!$A$1:$O$91,15,0))</f>
        <v>0</v>
      </c>
      <c r="W517" s="4">
        <f>IF(ISERROR(VLOOKUP($T$517,'TAR FIN'!$A$1:$O$91,15,0)),0,VLOOKUP($T$517,'TAR FIN'!$A$1:$O$91,15,0))</f>
        <v>315.24</v>
      </c>
      <c r="X517" s="4">
        <f>IF(ISERROR(VLOOKUP($U$517,'TAR FIN'!$A$1:$O$91,15,0)),0,VLOOKUP($U$517,'TAR FIN'!$A$1:$O$91,15,0))</f>
        <v>189.96</v>
      </c>
      <c r="Y517" s="4"/>
      <c r="Z517" s="4">
        <f ca="1">('TUSD BE'!$AM$50+'TUSD BF_350'!$AM$50+'TUSD CVA'!$AM$50)*1</f>
        <v>357.05828664618559</v>
      </c>
      <c r="AA517" s="4">
        <f ca="1">('TE BE'!$AB$41+'TE BF_350'!$AB$41+'TE CVA'!$AB$41)*1</f>
        <v>195.89707226799715</v>
      </c>
      <c r="AB517" s="4">
        <f>$K$517*$V$517</f>
        <v>0</v>
      </c>
      <c r="AC517" s="4">
        <f>$M$517*$W$517</f>
        <v>186.93732</v>
      </c>
      <c r="AD517" s="4">
        <f>$O$517*$X$517</f>
        <v>112.64628</v>
      </c>
      <c r="AE517" s="4">
        <f>$K$517*$Y$517</f>
        <v>0</v>
      </c>
      <c r="AF517" s="4">
        <f ca="1">$M$517*$Z$517</f>
        <v>211.73556398118805</v>
      </c>
      <c r="AG517" s="4">
        <f ca="1">$O$517*$AA$517</f>
        <v>116.1669638549223</v>
      </c>
    </row>
    <row r="518" spans="1:33" ht="11.25" customHeight="1" x14ac:dyDescent="0.3">
      <c r="A518" s="3" t="s">
        <v>21</v>
      </c>
      <c r="B518" s="3" t="s">
        <v>37</v>
      </c>
      <c r="C518" s="3" t="s">
        <v>33</v>
      </c>
      <c r="D518" s="3" t="s">
        <v>41</v>
      </c>
      <c r="E518" s="3" t="s">
        <v>25</v>
      </c>
      <c r="F518" s="3" t="s">
        <v>25</v>
      </c>
      <c r="G518" s="3" t="s">
        <v>25</v>
      </c>
      <c r="H518" s="3" t="s">
        <v>35</v>
      </c>
      <c r="I518" s="6">
        <v>44621</v>
      </c>
      <c r="J518" s="4">
        <v>0</v>
      </c>
      <c r="K518" s="4">
        <v>0</v>
      </c>
      <c r="L518" s="4">
        <v>0.46</v>
      </c>
      <c r="M518" s="4">
        <v>0.46</v>
      </c>
      <c r="N518" s="4">
        <v>0.46</v>
      </c>
      <c r="O518" s="4">
        <v>0.46</v>
      </c>
      <c r="P518" s="4">
        <v>0</v>
      </c>
      <c r="Q518" s="3" t="s">
        <v>26</v>
      </c>
      <c r="R518" s="3">
        <v>0</v>
      </c>
      <c r="S518" s="4">
        <v>0</v>
      </c>
      <c r="T518" s="4">
        <v>46</v>
      </c>
      <c r="U518" s="4">
        <v>86</v>
      </c>
      <c r="V518" s="4">
        <f>IF(ISERROR(VLOOKUP($S$518,'TAR FIN'!$A$1:$O$91,15,0)),0,VLOOKUP($S$518,'TAR FIN'!$A$1:$O$91,15,0))</f>
        <v>0</v>
      </c>
      <c r="W518" s="4">
        <f>IF(ISERROR(VLOOKUP($T$518,'TAR FIN'!$A$1:$O$91,15,0)),0,VLOOKUP($T$518,'TAR FIN'!$A$1:$O$91,15,0))</f>
        <v>315.24</v>
      </c>
      <c r="X518" s="4">
        <f>IF(ISERROR(VLOOKUP($U$518,'TAR FIN'!$A$1:$O$91,15,0)),0,VLOOKUP($U$518,'TAR FIN'!$A$1:$O$91,15,0))</f>
        <v>189.96</v>
      </c>
      <c r="Y518" s="4"/>
      <c r="Z518" s="4">
        <f ca="1">('TUSD BE'!$AM$50+'TUSD BF_350'!$AM$50+'TUSD CVA'!$AM$50)*1</f>
        <v>357.05828664618559</v>
      </c>
      <c r="AA518" s="4">
        <f ca="1">('TE BE'!$AB$41+'TE BF_350'!$AB$41+'TE CVA'!$AB$41)*1</f>
        <v>195.89707226799715</v>
      </c>
      <c r="AB518" s="4">
        <f>$K$518*$V$518</f>
        <v>0</v>
      </c>
      <c r="AC518" s="4">
        <f>$M$518*$W$518</f>
        <v>145.0104</v>
      </c>
      <c r="AD518" s="4">
        <f>$O$518*$X$518</f>
        <v>87.381600000000006</v>
      </c>
      <c r="AE518" s="4">
        <f>$K$518*$Y$518</f>
        <v>0</v>
      </c>
      <c r="AF518" s="4">
        <f ca="1">$M$518*$Z$518</f>
        <v>164.24681185724538</v>
      </c>
      <c r="AG518" s="4">
        <f ca="1">$O$518*$AA$518</f>
        <v>90.112653243278686</v>
      </c>
    </row>
    <row r="519" spans="1:33" ht="11.25" customHeight="1" x14ac:dyDescent="0.3">
      <c r="A519" s="3" t="s">
        <v>21</v>
      </c>
      <c r="B519" s="3" t="s">
        <v>37</v>
      </c>
      <c r="C519" s="3" t="s">
        <v>33</v>
      </c>
      <c r="D519" s="3" t="s">
        <v>41</v>
      </c>
      <c r="E519" s="3" t="s">
        <v>25</v>
      </c>
      <c r="F519" s="3" t="s">
        <v>25</v>
      </c>
      <c r="G519" s="3" t="s">
        <v>25</v>
      </c>
      <c r="H519" s="3" t="s">
        <v>35</v>
      </c>
      <c r="I519" s="6">
        <v>44652</v>
      </c>
      <c r="J519" s="4">
        <v>0</v>
      </c>
      <c r="K519" s="4">
        <v>0</v>
      </c>
      <c r="L519" s="4">
        <v>0.18099999999999999</v>
      </c>
      <c r="M519" s="4">
        <v>0.18099999999999999</v>
      </c>
      <c r="N519" s="4">
        <v>0.18099999999999999</v>
      </c>
      <c r="O519" s="4">
        <v>0.18099999999999999</v>
      </c>
      <c r="P519" s="4">
        <v>0</v>
      </c>
      <c r="Q519" s="3" t="s">
        <v>26</v>
      </c>
      <c r="R519" s="3">
        <v>0</v>
      </c>
      <c r="S519" s="4">
        <v>0</v>
      </c>
      <c r="T519" s="4">
        <v>46</v>
      </c>
      <c r="U519" s="4">
        <v>86</v>
      </c>
      <c r="V519" s="4">
        <f>IF(ISERROR(VLOOKUP($S$519,'TAR FIN'!$A$1:$O$91,15,0)),0,VLOOKUP($S$519,'TAR FIN'!$A$1:$O$91,15,0))</f>
        <v>0</v>
      </c>
      <c r="W519" s="4">
        <f>IF(ISERROR(VLOOKUP($T$519,'TAR FIN'!$A$1:$O$91,15,0)),0,VLOOKUP($T$519,'TAR FIN'!$A$1:$O$91,15,0))</f>
        <v>315.24</v>
      </c>
      <c r="X519" s="4">
        <f>IF(ISERROR(VLOOKUP($U$519,'TAR FIN'!$A$1:$O$91,15,0)),0,VLOOKUP($U$519,'TAR FIN'!$A$1:$O$91,15,0))</f>
        <v>189.96</v>
      </c>
      <c r="Y519" s="4"/>
      <c r="Z519" s="4">
        <f ca="1">('TUSD BE'!$AM$50+'TUSD BF_350'!$AM$50+'TUSD CVA'!$AM$50)*1</f>
        <v>357.05828664618559</v>
      </c>
      <c r="AA519" s="4">
        <f ca="1">('TE BE'!$AB$41+'TE BF_350'!$AB$41+'TE CVA'!$AB$41)*1</f>
        <v>195.89707226799715</v>
      </c>
      <c r="AB519" s="4">
        <f>$K$519*$V$519</f>
        <v>0</v>
      </c>
      <c r="AC519" s="4">
        <f>$M$519*$W$519</f>
        <v>57.058439999999997</v>
      </c>
      <c r="AD519" s="4">
        <f>$O$519*$X$519</f>
        <v>34.382759999999998</v>
      </c>
      <c r="AE519" s="4">
        <f>$K$519*$Y$519</f>
        <v>0</v>
      </c>
      <c r="AF519" s="4">
        <f ca="1">$M$519*$Z$519</f>
        <v>64.627549882959585</v>
      </c>
      <c r="AG519" s="4">
        <f ca="1">$O$519*$AA$519</f>
        <v>35.457370080507481</v>
      </c>
    </row>
    <row r="520" spans="1:33" ht="11.25" customHeight="1" x14ac:dyDescent="0.3">
      <c r="A520" s="3" t="s">
        <v>21</v>
      </c>
      <c r="B520" s="3" t="s">
        <v>37</v>
      </c>
      <c r="C520" s="3" t="s">
        <v>33</v>
      </c>
      <c r="D520" s="3" t="s">
        <v>41</v>
      </c>
      <c r="E520" s="3" t="s">
        <v>25</v>
      </c>
      <c r="F520" s="3" t="s">
        <v>25</v>
      </c>
      <c r="G520" s="3" t="s">
        <v>25</v>
      </c>
      <c r="H520" s="3" t="s">
        <v>35</v>
      </c>
      <c r="I520" s="6">
        <v>44682</v>
      </c>
      <c r="J520" s="4">
        <v>0</v>
      </c>
      <c r="K520" s="4">
        <v>0</v>
      </c>
      <c r="L520" s="4">
        <v>0.14000000000000001</v>
      </c>
      <c r="M520" s="4">
        <v>0.14000000000000001</v>
      </c>
      <c r="N520" s="4">
        <v>0.14000000000000001</v>
      </c>
      <c r="O520" s="4">
        <v>0.14000000000000001</v>
      </c>
      <c r="P520" s="4">
        <v>0</v>
      </c>
      <c r="Q520" s="3" t="s">
        <v>26</v>
      </c>
      <c r="R520" s="3">
        <v>0</v>
      </c>
      <c r="S520" s="4">
        <v>0</v>
      </c>
      <c r="T520" s="4">
        <v>46</v>
      </c>
      <c r="U520" s="4">
        <v>86</v>
      </c>
      <c r="V520" s="4">
        <f>IF(ISERROR(VLOOKUP($S$520,'TAR FIN'!$A$1:$O$91,15,0)),0,VLOOKUP($S$520,'TAR FIN'!$A$1:$O$91,15,0))</f>
        <v>0</v>
      </c>
      <c r="W520" s="4">
        <f>IF(ISERROR(VLOOKUP($T$520,'TAR FIN'!$A$1:$O$91,15,0)),0,VLOOKUP($T$520,'TAR FIN'!$A$1:$O$91,15,0))</f>
        <v>315.24</v>
      </c>
      <c r="X520" s="4">
        <f>IF(ISERROR(VLOOKUP($U$520,'TAR FIN'!$A$1:$O$91,15,0)),0,VLOOKUP($U$520,'TAR FIN'!$A$1:$O$91,15,0))</f>
        <v>189.96</v>
      </c>
      <c r="Y520" s="4"/>
      <c r="Z520" s="4">
        <f ca="1">('TUSD BE'!$AM$50+'TUSD BF_350'!$AM$50+'TUSD CVA'!$AM$50)*1</f>
        <v>357.05828664618559</v>
      </c>
      <c r="AA520" s="4">
        <f ca="1">('TE BE'!$AB$41+'TE BF_350'!$AB$41+'TE CVA'!$AB$41)*1</f>
        <v>195.89707226799715</v>
      </c>
      <c r="AB520" s="4">
        <f>$K$520*$V$520</f>
        <v>0</v>
      </c>
      <c r="AC520" s="4">
        <f>$M$520*$W$520</f>
        <v>44.133600000000008</v>
      </c>
      <c r="AD520" s="4">
        <f>$O$520*$X$520</f>
        <v>26.594400000000004</v>
      </c>
      <c r="AE520" s="4">
        <f>$K$520*$Y$520</f>
        <v>0</v>
      </c>
      <c r="AF520" s="4">
        <f ca="1">$M$520*$Z$520</f>
        <v>49.988160130465985</v>
      </c>
      <c r="AG520" s="4">
        <f ca="1">$O$520*$AA$520</f>
        <v>27.425590117519604</v>
      </c>
    </row>
    <row r="521" spans="1:33" ht="11.25" customHeight="1" x14ac:dyDescent="0.3">
      <c r="A521" s="3" t="s">
        <v>21</v>
      </c>
      <c r="B521" s="3" t="s">
        <v>37</v>
      </c>
      <c r="C521" s="3" t="s">
        <v>33</v>
      </c>
      <c r="D521" s="3" t="s">
        <v>41</v>
      </c>
      <c r="E521" s="3" t="s">
        <v>25</v>
      </c>
      <c r="F521" s="3" t="s">
        <v>25</v>
      </c>
      <c r="G521" s="3" t="s">
        <v>25</v>
      </c>
      <c r="H521" s="3" t="s">
        <v>35</v>
      </c>
      <c r="I521" s="6">
        <v>44713</v>
      </c>
      <c r="J521" s="4">
        <v>0</v>
      </c>
      <c r="K521" s="4">
        <v>0</v>
      </c>
      <c r="L521" s="4">
        <v>0.34399999999999997</v>
      </c>
      <c r="M521" s="4">
        <v>0.34399999999999997</v>
      </c>
      <c r="N521" s="4">
        <v>0.34399999999999997</v>
      </c>
      <c r="O521" s="4">
        <v>0.34399999999999997</v>
      </c>
      <c r="P521" s="4">
        <v>0</v>
      </c>
      <c r="Q521" s="3" t="s">
        <v>26</v>
      </c>
      <c r="R521" s="3">
        <v>0</v>
      </c>
      <c r="S521" s="4">
        <v>0</v>
      </c>
      <c r="T521" s="4">
        <v>46</v>
      </c>
      <c r="U521" s="4">
        <v>86</v>
      </c>
      <c r="V521" s="4">
        <f>IF(ISERROR(VLOOKUP($S$521,'TAR FIN'!$A$1:$O$91,15,0)),0,VLOOKUP($S$521,'TAR FIN'!$A$1:$O$91,15,0))</f>
        <v>0</v>
      </c>
      <c r="W521" s="4">
        <f>IF(ISERROR(VLOOKUP($T$521,'TAR FIN'!$A$1:$O$91,15,0)),0,VLOOKUP($T$521,'TAR FIN'!$A$1:$O$91,15,0))</f>
        <v>315.24</v>
      </c>
      <c r="X521" s="4">
        <f>IF(ISERROR(VLOOKUP($U$521,'TAR FIN'!$A$1:$O$91,15,0)),0,VLOOKUP($U$521,'TAR FIN'!$A$1:$O$91,15,0))</f>
        <v>189.96</v>
      </c>
      <c r="Y521" s="4"/>
      <c r="Z521" s="4">
        <f ca="1">('TUSD BE'!$AM$50+'TUSD BF_350'!$AM$50+'TUSD CVA'!$AM$50)*1</f>
        <v>357.05828664618559</v>
      </c>
      <c r="AA521" s="4">
        <f ca="1">('TE BE'!$AB$41+'TE BF_350'!$AB$41+'TE CVA'!$AB$41)*1</f>
        <v>195.89707226799715</v>
      </c>
      <c r="AB521" s="4">
        <f>$K$521*$V$521</f>
        <v>0</v>
      </c>
      <c r="AC521" s="4">
        <f>$M$521*$W$521</f>
        <v>108.44256</v>
      </c>
      <c r="AD521" s="4">
        <f>$O$521*$X$521</f>
        <v>65.346239999999995</v>
      </c>
      <c r="AE521" s="4">
        <f>$K$521*$Y$521</f>
        <v>0</v>
      </c>
      <c r="AF521" s="4">
        <f ca="1">$M$521*$Z$521</f>
        <v>122.82805060628783</v>
      </c>
      <c r="AG521" s="4">
        <f ca="1">$O$521*$AA$521</f>
        <v>67.388592860191011</v>
      </c>
    </row>
    <row r="522" spans="1:33" ht="11.25" customHeight="1" x14ac:dyDescent="0.3">
      <c r="A522" s="3" t="s">
        <v>21</v>
      </c>
      <c r="B522" s="3" t="s">
        <v>37</v>
      </c>
      <c r="C522" s="3" t="s">
        <v>33</v>
      </c>
      <c r="D522" s="3" t="s">
        <v>41</v>
      </c>
      <c r="E522" s="3" t="s">
        <v>25</v>
      </c>
      <c r="F522" s="3" t="s">
        <v>25</v>
      </c>
      <c r="G522" s="3" t="s">
        <v>25</v>
      </c>
      <c r="H522" s="3" t="s">
        <v>36</v>
      </c>
      <c r="I522" s="6">
        <v>44378</v>
      </c>
      <c r="J522" s="4">
        <v>0</v>
      </c>
      <c r="K522" s="4">
        <v>0</v>
      </c>
      <c r="L522" s="4">
        <v>3.2000000000000001E-2</v>
      </c>
      <c r="M522" s="4">
        <v>3.2000000000000001E-2</v>
      </c>
      <c r="N522" s="4">
        <v>3.2000000000000001E-2</v>
      </c>
      <c r="O522" s="4">
        <v>3.2000000000000001E-2</v>
      </c>
      <c r="P522" s="4">
        <v>0</v>
      </c>
      <c r="Q522" s="3" t="s">
        <v>26</v>
      </c>
      <c r="R522" s="3">
        <v>0</v>
      </c>
      <c r="S522" s="4">
        <v>0</v>
      </c>
      <c r="T522" s="4">
        <v>45</v>
      </c>
      <c r="U522" s="4">
        <v>85</v>
      </c>
      <c r="V522" s="4">
        <f>IF(ISERROR(VLOOKUP($S$522,'TAR FIN'!$A$1:$O$91,15,0)),0,VLOOKUP($S$522,'TAR FIN'!$A$1:$O$91,15,0))</f>
        <v>0</v>
      </c>
      <c r="W522" s="4">
        <f>IF(ISERROR(VLOOKUP($T$522,'TAR FIN'!$A$1:$O$91,15,0)),0,VLOOKUP($T$522,'TAR FIN'!$A$1:$O$91,15,0))</f>
        <v>721.58</v>
      </c>
      <c r="X522" s="4">
        <f>IF(ISERROR(VLOOKUP($U$522,'TAR FIN'!$A$1:$O$91,15,0)),0,VLOOKUP($U$522,'TAR FIN'!$A$1:$O$91,15,0))</f>
        <v>189.96</v>
      </c>
      <c r="Y522" s="4"/>
      <c r="Z522" s="4">
        <f ca="1">('TUSD BE'!$AM$49+'TUSD BF_350'!$AM$49+'TUSD CVA'!$AM$49)*1</f>
        <v>814.58961420525986</v>
      </c>
      <c r="AA522" s="4">
        <f ca="1">('TE BE'!$AB$40+'TE BF_350'!$AB$40+'TE CVA'!$AB$40)*1</f>
        <v>195.89707226799715</v>
      </c>
      <c r="AB522" s="4">
        <f>$K$522*$V$522</f>
        <v>0</v>
      </c>
      <c r="AC522" s="4">
        <f>$M$522*$W$522</f>
        <v>23.090560000000004</v>
      </c>
      <c r="AD522" s="4">
        <f>$O$522*$X$522</f>
        <v>6.0787200000000006</v>
      </c>
      <c r="AE522" s="4">
        <f>$K$522*$Y$522</f>
        <v>0</v>
      </c>
      <c r="AF522" s="4">
        <f ca="1">$M$522*$Z$522</f>
        <v>26.066867654568316</v>
      </c>
      <c r="AG522" s="4">
        <f ca="1">$O$522*$AA$522</f>
        <v>6.268706312575909</v>
      </c>
    </row>
    <row r="523" spans="1:33" ht="11.25" customHeight="1" x14ac:dyDescent="0.3">
      <c r="A523" s="3" t="s">
        <v>21</v>
      </c>
      <c r="B523" s="3" t="s">
        <v>37</v>
      </c>
      <c r="C523" s="3" t="s">
        <v>33</v>
      </c>
      <c r="D523" s="3" t="s">
        <v>41</v>
      </c>
      <c r="E523" s="3" t="s">
        <v>25</v>
      </c>
      <c r="F523" s="3" t="s">
        <v>25</v>
      </c>
      <c r="G523" s="3" t="s">
        <v>25</v>
      </c>
      <c r="H523" s="3" t="s">
        <v>36</v>
      </c>
      <c r="I523" s="6">
        <v>44409</v>
      </c>
      <c r="J523" s="4">
        <v>0</v>
      </c>
      <c r="K523" s="4">
        <v>0</v>
      </c>
      <c r="L523" s="4">
        <v>2.4E-2</v>
      </c>
      <c r="M523" s="4">
        <v>2.4E-2</v>
      </c>
      <c r="N523" s="4">
        <v>2.4E-2</v>
      </c>
      <c r="O523" s="4">
        <v>2.4E-2</v>
      </c>
      <c r="P523" s="4">
        <v>0</v>
      </c>
      <c r="Q523" s="3" t="s">
        <v>26</v>
      </c>
      <c r="R523" s="3">
        <v>0</v>
      </c>
      <c r="S523" s="4">
        <v>0</v>
      </c>
      <c r="T523" s="4">
        <v>45</v>
      </c>
      <c r="U523" s="4">
        <v>85</v>
      </c>
      <c r="V523" s="4">
        <f>IF(ISERROR(VLOOKUP($S$523,'TAR FIN'!$A$1:$O$91,15,0)),0,VLOOKUP($S$523,'TAR FIN'!$A$1:$O$91,15,0))</f>
        <v>0</v>
      </c>
      <c r="W523" s="4">
        <f>IF(ISERROR(VLOOKUP($T$523,'TAR FIN'!$A$1:$O$91,15,0)),0,VLOOKUP($T$523,'TAR FIN'!$A$1:$O$91,15,0))</f>
        <v>721.58</v>
      </c>
      <c r="X523" s="4">
        <f>IF(ISERROR(VLOOKUP($U$523,'TAR FIN'!$A$1:$O$91,15,0)),0,VLOOKUP($U$523,'TAR FIN'!$A$1:$O$91,15,0))</f>
        <v>189.96</v>
      </c>
      <c r="Y523" s="4"/>
      <c r="Z523" s="4">
        <f ca="1">('TUSD BE'!$AM$49+'TUSD BF_350'!$AM$49+'TUSD CVA'!$AM$49)*1</f>
        <v>814.58961420525986</v>
      </c>
      <c r="AA523" s="4">
        <f ca="1">('TE BE'!$AB$40+'TE BF_350'!$AB$40+'TE CVA'!$AB$40)*1</f>
        <v>195.89707226799715</v>
      </c>
      <c r="AB523" s="4">
        <f>$K$523*$V$523</f>
        <v>0</v>
      </c>
      <c r="AC523" s="4">
        <f>$M$523*$W$523</f>
        <v>17.317920000000001</v>
      </c>
      <c r="AD523" s="4">
        <f>$O$523*$X$523</f>
        <v>4.5590400000000004</v>
      </c>
      <c r="AE523" s="4">
        <f>$K$523*$Y$523</f>
        <v>0</v>
      </c>
      <c r="AF523" s="4">
        <f ca="1">$M$523*$Z$523</f>
        <v>19.550150740926238</v>
      </c>
      <c r="AG523" s="4">
        <f ca="1">$O$523*$AA$523</f>
        <v>4.701529734431932</v>
      </c>
    </row>
    <row r="524" spans="1:33" ht="11.25" customHeight="1" x14ac:dyDescent="0.3">
      <c r="A524" s="3" t="s">
        <v>21</v>
      </c>
      <c r="B524" s="3" t="s">
        <v>37</v>
      </c>
      <c r="C524" s="3" t="s">
        <v>33</v>
      </c>
      <c r="D524" s="3" t="s">
        <v>41</v>
      </c>
      <c r="E524" s="3" t="s">
        <v>25</v>
      </c>
      <c r="F524" s="3" t="s">
        <v>25</v>
      </c>
      <c r="G524" s="3" t="s">
        <v>25</v>
      </c>
      <c r="H524" s="3" t="s">
        <v>36</v>
      </c>
      <c r="I524" s="6">
        <v>44440</v>
      </c>
      <c r="J524" s="4">
        <v>0</v>
      </c>
      <c r="K524" s="4">
        <v>0</v>
      </c>
      <c r="L524" s="4">
        <v>1.2999999999999999E-2</v>
      </c>
      <c r="M524" s="4">
        <v>1.2999999999999999E-2</v>
      </c>
      <c r="N524" s="4">
        <v>1.2999999999999999E-2</v>
      </c>
      <c r="O524" s="4">
        <v>1.2999999999999999E-2</v>
      </c>
      <c r="P524" s="4">
        <v>0</v>
      </c>
      <c r="Q524" s="3" t="s">
        <v>26</v>
      </c>
      <c r="R524" s="3">
        <v>0</v>
      </c>
      <c r="S524" s="4">
        <v>0</v>
      </c>
      <c r="T524" s="4">
        <v>45</v>
      </c>
      <c r="U524" s="4">
        <v>85</v>
      </c>
      <c r="V524" s="4">
        <f>IF(ISERROR(VLOOKUP($S$524,'TAR FIN'!$A$1:$O$91,15,0)),0,VLOOKUP($S$524,'TAR FIN'!$A$1:$O$91,15,0))</f>
        <v>0</v>
      </c>
      <c r="W524" s="4">
        <f>IF(ISERROR(VLOOKUP($T$524,'TAR FIN'!$A$1:$O$91,15,0)),0,VLOOKUP($T$524,'TAR FIN'!$A$1:$O$91,15,0))</f>
        <v>721.58</v>
      </c>
      <c r="X524" s="4">
        <f>IF(ISERROR(VLOOKUP($U$524,'TAR FIN'!$A$1:$O$91,15,0)),0,VLOOKUP($U$524,'TAR FIN'!$A$1:$O$91,15,0))</f>
        <v>189.96</v>
      </c>
      <c r="Y524" s="4"/>
      <c r="Z524" s="4">
        <f ca="1">('TUSD BE'!$AM$49+'TUSD BF_350'!$AM$49+'TUSD CVA'!$AM$49)*1</f>
        <v>814.58961420525986</v>
      </c>
      <c r="AA524" s="4">
        <f ca="1">('TE BE'!$AB$40+'TE BF_350'!$AB$40+'TE CVA'!$AB$40)*1</f>
        <v>195.89707226799715</v>
      </c>
      <c r="AB524" s="4">
        <f>$K$524*$V$524</f>
        <v>0</v>
      </c>
      <c r="AC524" s="4">
        <f>$M$524*$W$524</f>
        <v>9.3805399999999999</v>
      </c>
      <c r="AD524" s="4">
        <f>$O$524*$X$524</f>
        <v>2.4694799999999999</v>
      </c>
      <c r="AE524" s="4">
        <f>$K$524*$Y$524</f>
        <v>0</v>
      </c>
      <c r="AF524" s="4">
        <f ca="1">$M$524*$Z$524</f>
        <v>10.589664984668378</v>
      </c>
      <c r="AG524" s="4">
        <f ca="1">$O$524*$AA$524</f>
        <v>2.5466619394839629</v>
      </c>
    </row>
    <row r="525" spans="1:33" ht="11.25" customHeight="1" x14ac:dyDescent="0.3">
      <c r="A525" s="3" t="s">
        <v>21</v>
      </c>
      <c r="B525" s="3" t="s">
        <v>37</v>
      </c>
      <c r="C525" s="3" t="s">
        <v>33</v>
      </c>
      <c r="D525" s="3" t="s">
        <v>41</v>
      </c>
      <c r="E525" s="3" t="s">
        <v>25</v>
      </c>
      <c r="F525" s="3" t="s">
        <v>25</v>
      </c>
      <c r="G525" s="3" t="s">
        <v>25</v>
      </c>
      <c r="H525" s="3" t="s">
        <v>36</v>
      </c>
      <c r="I525" s="6">
        <v>44470</v>
      </c>
      <c r="J525" s="4">
        <v>0</v>
      </c>
      <c r="K525" s="4">
        <v>0</v>
      </c>
      <c r="L525" s="4">
        <v>1.7000000000000001E-2</v>
      </c>
      <c r="M525" s="4">
        <v>1.7000000000000001E-2</v>
      </c>
      <c r="N525" s="4">
        <v>1.7000000000000001E-2</v>
      </c>
      <c r="O525" s="4">
        <v>1.7000000000000001E-2</v>
      </c>
      <c r="P525" s="4">
        <v>0</v>
      </c>
      <c r="Q525" s="3" t="s">
        <v>26</v>
      </c>
      <c r="R525" s="3">
        <v>0</v>
      </c>
      <c r="S525" s="4">
        <v>0</v>
      </c>
      <c r="T525" s="4">
        <v>45</v>
      </c>
      <c r="U525" s="4">
        <v>85</v>
      </c>
      <c r="V525" s="4">
        <f>IF(ISERROR(VLOOKUP($S$525,'TAR FIN'!$A$1:$O$91,15,0)),0,VLOOKUP($S$525,'TAR FIN'!$A$1:$O$91,15,0))</f>
        <v>0</v>
      </c>
      <c r="W525" s="4">
        <f>IF(ISERROR(VLOOKUP($T$525,'TAR FIN'!$A$1:$O$91,15,0)),0,VLOOKUP($T$525,'TAR FIN'!$A$1:$O$91,15,0))</f>
        <v>721.58</v>
      </c>
      <c r="X525" s="4">
        <f>IF(ISERROR(VLOOKUP($U$525,'TAR FIN'!$A$1:$O$91,15,0)),0,VLOOKUP($U$525,'TAR FIN'!$A$1:$O$91,15,0))</f>
        <v>189.96</v>
      </c>
      <c r="Y525" s="4"/>
      <c r="Z525" s="4">
        <f ca="1">('TUSD BE'!$AM$49+'TUSD BF_350'!$AM$49+'TUSD CVA'!$AM$49)*1</f>
        <v>814.58961420525986</v>
      </c>
      <c r="AA525" s="4">
        <f ca="1">('TE BE'!$AB$40+'TE BF_350'!$AB$40+'TE CVA'!$AB$40)*1</f>
        <v>195.89707226799715</v>
      </c>
      <c r="AB525" s="4">
        <f>$K$525*$V$525</f>
        <v>0</v>
      </c>
      <c r="AC525" s="4">
        <f>$M$525*$W$525</f>
        <v>12.266860000000001</v>
      </c>
      <c r="AD525" s="4">
        <f>$O$525*$X$525</f>
        <v>3.2293200000000004</v>
      </c>
      <c r="AE525" s="4">
        <f>$K$525*$Y$525</f>
        <v>0</v>
      </c>
      <c r="AF525" s="4">
        <f ca="1">$M$525*$Z$525</f>
        <v>13.848023441489419</v>
      </c>
      <c r="AG525" s="4">
        <f ca="1">$O$525*$AA$525</f>
        <v>3.3302502285559519</v>
      </c>
    </row>
    <row r="526" spans="1:33" ht="11.25" customHeight="1" x14ac:dyDescent="0.3">
      <c r="A526" s="3" t="s">
        <v>21</v>
      </c>
      <c r="B526" s="3" t="s">
        <v>37</v>
      </c>
      <c r="C526" s="3" t="s">
        <v>33</v>
      </c>
      <c r="D526" s="3" t="s">
        <v>41</v>
      </c>
      <c r="E526" s="3" t="s">
        <v>25</v>
      </c>
      <c r="F526" s="3" t="s">
        <v>25</v>
      </c>
      <c r="G526" s="3" t="s">
        <v>25</v>
      </c>
      <c r="H526" s="3" t="s">
        <v>36</v>
      </c>
      <c r="I526" s="6">
        <v>44501</v>
      </c>
      <c r="J526" s="4">
        <v>0</v>
      </c>
      <c r="K526" s="4">
        <v>0</v>
      </c>
      <c r="L526" s="4">
        <v>0.04</v>
      </c>
      <c r="M526" s="4">
        <v>0.04</v>
      </c>
      <c r="N526" s="4">
        <v>0.04</v>
      </c>
      <c r="O526" s="4">
        <v>0.04</v>
      </c>
      <c r="P526" s="4">
        <v>0</v>
      </c>
      <c r="Q526" s="3" t="s">
        <v>26</v>
      </c>
      <c r="R526" s="3">
        <v>0</v>
      </c>
      <c r="S526" s="4">
        <v>0</v>
      </c>
      <c r="T526" s="4">
        <v>45</v>
      </c>
      <c r="U526" s="4">
        <v>85</v>
      </c>
      <c r="V526" s="4">
        <f>IF(ISERROR(VLOOKUP($S$526,'TAR FIN'!$A$1:$O$91,15,0)),0,VLOOKUP($S$526,'TAR FIN'!$A$1:$O$91,15,0))</f>
        <v>0</v>
      </c>
      <c r="W526" s="4">
        <f>IF(ISERROR(VLOOKUP($T$526,'TAR FIN'!$A$1:$O$91,15,0)),0,VLOOKUP($T$526,'TAR FIN'!$A$1:$O$91,15,0))</f>
        <v>721.58</v>
      </c>
      <c r="X526" s="4">
        <f>IF(ISERROR(VLOOKUP($U$526,'TAR FIN'!$A$1:$O$91,15,0)),0,VLOOKUP($U$526,'TAR FIN'!$A$1:$O$91,15,0))</f>
        <v>189.96</v>
      </c>
      <c r="Y526" s="4"/>
      <c r="Z526" s="4">
        <f ca="1">('TUSD BE'!$AM$49+'TUSD BF_350'!$AM$49+'TUSD CVA'!$AM$49)*1</f>
        <v>814.58961420525986</v>
      </c>
      <c r="AA526" s="4">
        <f ca="1">('TE BE'!$AB$40+'TE BF_350'!$AB$40+'TE CVA'!$AB$40)*1</f>
        <v>195.89707226799715</v>
      </c>
      <c r="AB526" s="4">
        <f>$K$526*$V$526</f>
        <v>0</v>
      </c>
      <c r="AC526" s="4">
        <f>$M$526*$W$526</f>
        <v>28.863200000000003</v>
      </c>
      <c r="AD526" s="4">
        <f>$O$526*$X$526</f>
        <v>7.5984000000000007</v>
      </c>
      <c r="AE526" s="4">
        <f>$K$526*$Y$526</f>
        <v>0</v>
      </c>
      <c r="AF526" s="4">
        <f ca="1">$M$526*$Z$526</f>
        <v>32.583584568210398</v>
      </c>
      <c r="AG526" s="4">
        <f ca="1">$O$526*$AA$526</f>
        <v>7.8358828907198861</v>
      </c>
    </row>
    <row r="527" spans="1:33" ht="11.25" customHeight="1" x14ac:dyDescent="0.3">
      <c r="A527" s="3" t="s">
        <v>21</v>
      </c>
      <c r="B527" s="3" t="s">
        <v>37</v>
      </c>
      <c r="C527" s="3" t="s">
        <v>33</v>
      </c>
      <c r="D527" s="3" t="s">
        <v>41</v>
      </c>
      <c r="E527" s="3" t="s">
        <v>25</v>
      </c>
      <c r="F527" s="3" t="s">
        <v>25</v>
      </c>
      <c r="G527" s="3" t="s">
        <v>25</v>
      </c>
      <c r="H527" s="3" t="s">
        <v>36</v>
      </c>
      <c r="I527" s="6">
        <v>44531</v>
      </c>
      <c r="J527" s="4">
        <v>0</v>
      </c>
      <c r="K527" s="4">
        <v>0</v>
      </c>
      <c r="L527" s="4">
        <v>5.1999999999999998E-2</v>
      </c>
      <c r="M527" s="4">
        <v>5.1999999999999998E-2</v>
      </c>
      <c r="N527" s="4">
        <v>5.1999999999999998E-2</v>
      </c>
      <c r="O527" s="4">
        <v>5.1999999999999998E-2</v>
      </c>
      <c r="P527" s="4">
        <v>0</v>
      </c>
      <c r="Q527" s="3" t="s">
        <v>26</v>
      </c>
      <c r="R527" s="3">
        <v>0</v>
      </c>
      <c r="S527" s="4">
        <v>0</v>
      </c>
      <c r="T527" s="4">
        <v>45</v>
      </c>
      <c r="U527" s="4">
        <v>85</v>
      </c>
      <c r="V527" s="4">
        <f>IF(ISERROR(VLOOKUP($S$527,'TAR FIN'!$A$1:$O$91,15,0)),0,VLOOKUP($S$527,'TAR FIN'!$A$1:$O$91,15,0))</f>
        <v>0</v>
      </c>
      <c r="W527" s="4">
        <f>IF(ISERROR(VLOOKUP($T$527,'TAR FIN'!$A$1:$O$91,15,0)),0,VLOOKUP($T$527,'TAR FIN'!$A$1:$O$91,15,0))</f>
        <v>721.58</v>
      </c>
      <c r="X527" s="4">
        <f>IF(ISERROR(VLOOKUP($U$527,'TAR FIN'!$A$1:$O$91,15,0)),0,VLOOKUP($U$527,'TAR FIN'!$A$1:$O$91,15,0))</f>
        <v>189.96</v>
      </c>
      <c r="Y527" s="4"/>
      <c r="Z527" s="4">
        <f ca="1">('TUSD BE'!$AM$49+'TUSD BF_350'!$AM$49+'TUSD CVA'!$AM$49)*1</f>
        <v>814.58961420525986</v>
      </c>
      <c r="AA527" s="4">
        <f ca="1">('TE BE'!$AB$40+'TE BF_350'!$AB$40+'TE CVA'!$AB$40)*1</f>
        <v>195.89707226799715</v>
      </c>
      <c r="AB527" s="4">
        <f>$K$527*$V$527</f>
        <v>0</v>
      </c>
      <c r="AC527" s="4">
        <f>$M$527*$W$527</f>
        <v>37.52216</v>
      </c>
      <c r="AD527" s="4">
        <f>$O$527*$X$527</f>
        <v>9.8779199999999996</v>
      </c>
      <c r="AE527" s="4">
        <f>$K$527*$Y$527</f>
        <v>0</v>
      </c>
      <c r="AF527" s="4">
        <f ca="1">$M$527*$Z$527</f>
        <v>42.358659938673512</v>
      </c>
      <c r="AG527" s="4">
        <f ca="1">$O$527*$AA$527</f>
        <v>10.186647757935852</v>
      </c>
    </row>
    <row r="528" spans="1:33" ht="11.25" customHeight="1" x14ac:dyDescent="0.3">
      <c r="A528" s="3" t="s">
        <v>21</v>
      </c>
      <c r="B528" s="3" t="s">
        <v>37</v>
      </c>
      <c r="C528" s="3" t="s">
        <v>33</v>
      </c>
      <c r="D528" s="3" t="s">
        <v>41</v>
      </c>
      <c r="E528" s="3" t="s">
        <v>25</v>
      </c>
      <c r="F528" s="3" t="s">
        <v>25</v>
      </c>
      <c r="G528" s="3" t="s">
        <v>25</v>
      </c>
      <c r="H528" s="3" t="s">
        <v>36</v>
      </c>
      <c r="I528" s="6">
        <v>44562</v>
      </c>
      <c r="J528" s="4">
        <v>0</v>
      </c>
      <c r="K528" s="4">
        <v>0</v>
      </c>
      <c r="L528" s="4">
        <v>6.0999999999999999E-2</v>
      </c>
      <c r="M528" s="4">
        <v>6.0999999999999999E-2</v>
      </c>
      <c r="N528" s="4">
        <v>6.0999999999999999E-2</v>
      </c>
      <c r="O528" s="4">
        <v>6.0999999999999999E-2</v>
      </c>
      <c r="P528" s="4">
        <v>0</v>
      </c>
      <c r="Q528" s="3" t="s">
        <v>26</v>
      </c>
      <c r="R528" s="3">
        <v>0</v>
      </c>
      <c r="S528" s="4">
        <v>0</v>
      </c>
      <c r="T528" s="4">
        <v>45</v>
      </c>
      <c r="U528" s="4">
        <v>85</v>
      </c>
      <c r="V528" s="4">
        <f>IF(ISERROR(VLOOKUP($S$528,'TAR FIN'!$A$1:$O$91,15,0)),0,VLOOKUP($S$528,'TAR FIN'!$A$1:$O$91,15,0))</f>
        <v>0</v>
      </c>
      <c r="W528" s="4">
        <f>IF(ISERROR(VLOOKUP($T$528,'TAR FIN'!$A$1:$O$91,15,0)),0,VLOOKUP($T$528,'TAR FIN'!$A$1:$O$91,15,0))</f>
        <v>721.58</v>
      </c>
      <c r="X528" s="4">
        <f>IF(ISERROR(VLOOKUP($U$528,'TAR FIN'!$A$1:$O$91,15,0)),0,VLOOKUP($U$528,'TAR FIN'!$A$1:$O$91,15,0))</f>
        <v>189.96</v>
      </c>
      <c r="Y528" s="4"/>
      <c r="Z528" s="4">
        <f ca="1">('TUSD BE'!$AM$49+'TUSD BF_350'!$AM$49+'TUSD CVA'!$AM$49)*1</f>
        <v>814.58961420525986</v>
      </c>
      <c r="AA528" s="4">
        <f ca="1">('TE BE'!$AB$40+'TE BF_350'!$AB$40+'TE CVA'!$AB$40)*1</f>
        <v>195.89707226799715</v>
      </c>
      <c r="AB528" s="4">
        <f>$K$528*$V$528</f>
        <v>0</v>
      </c>
      <c r="AC528" s="4">
        <f>$M$528*$W$528</f>
        <v>44.016379999999998</v>
      </c>
      <c r="AD528" s="4">
        <f>$O$528*$X$528</f>
        <v>11.58756</v>
      </c>
      <c r="AE528" s="4">
        <f>$K$528*$Y$528</f>
        <v>0</v>
      </c>
      <c r="AF528" s="4">
        <f ca="1">$M$528*$Z$528</f>
        <v>49.68996646652085</v>
      </c>
      <c r="AG528" s="4">
        <f ca="1">$O$528*$AA$528</f>
        <v>11.949721408347825</v>
      </c>
    </row>
    <row r="529" spans="1:33" ht="11.25" customHeight="1" x14ac:dyDescent="0.3">
      <c r="A529" s="3" t="s">
        <v>21</v>
      </c>
      <c r="B529" s="3" t="s">
        <v>37</v>
      </c>
      <c r="C529" s="3" t="s">
        <v>33</v>
      </c>
      <c r="D529" s="3" t="s">
        <v>41</v>
      </c>
      <c r="E529" s="3" t="s">
        <v>25</v>
      </c>
      <c r="F529" s="3" t="s">
        <v>25</v>
      </c>
      <c r="G529" s="3" t="s">
        <v>25</v>
      </c>
      <c r="H529" s="3" t="s">
        <v>36</v>
      </c>
      <c r="I529" s="6">
        <v>44593</v>
      </c>
      <c r="J529" s="4">
        <v>0</v>
      </c>
      <c r="K529" s="4">
        <v>0</v>
      </c>
      <c r="L529" s="4">
        <v>6.9000000000000006E-2</v>
      </c>
      <c r="M529" s="4">
        <v>6.9000000000000006E-2</v>
      </c>
      <c r="N529" s="4">
        <v>6.9000000000000006E-2</v>
      </c>
      <c r="O529" s="4">
        <v>6.9000000000000006E-2</v>
      </c>
      <c r="P529" s="4">
        <v>0</v>
      </c>
      <c r="Q529" s="3" t="s">
        <v>26</v>
      </c>
      <c r="R529" s="3">
        <v>0</v>
      </c>
      <c r="S529" s="4">
        <v>0</v>
      </c>
      <c r="T529" s="4">
        <v>45</v>
      </c>
      <c r="U529" s="4">
        <v>85</v>
      </c>
      <c r="V529" s="4">
        <f>IF(ISERROR(VLOOKUP($S$529,'TAR FIN'!$A$1:$O$91,15,0)),0,VLOOKUP($S$529,'TAR FIN'!$A$1:$O$91,15,0))</f>
        <v>0</v>
      </c>
      <c r="W529" s="4">
        <f>IF(ISERROR(VLOOKUP($T$529,'TAR FIN'!$A$1:$O$91,15,0)),0,VLOOKUP($T$529,'TAR FIN'!$A$1:$O$91,15,0))</f>
        <v>721.58</v>
      </c>
      <c r="X529" s="4">
        <f>IF(ISERROR(VLOOKUP($U$529,'TAR FIN'!$A$1:$O$91,15,0)),0,VLOOKUP($U$529,'TAR FIN'!$A$1:$O$91,15,0))</f>
        <v>189.96</v>
      </c>
      <c r="Y529" s="4"/>
      <c r="Z529" s="4">
        <f ca="1">('TUSD BE'!$AM$49+'TUSD BF_350'!$AM$49+'TUSD CVA'!$AM$49)*1</f>
        <v>814.58961420525986</v>
      </c>
      <c r="AA529" s="4">
        <f ca="1">('TE BE'!$AB$40+'TE BF_350'!$AB$40+'TE CVA'!$AB$40)*1</f>
        <v>195.89707226799715</v>
      </c>
      <c r="AB529" s="4">
        <f>$K$529*$V$529</f>
        <v>0</v>
      </c>
      <c r="AC529" s="4">
        <f>$M$529*$W$529</f>
        <v>49.789020000000008</v>
      </c>
      <c r="AD529" s="4">
        <f>$O$529*$X$529</f>
        <v>13.107240000000001</v>
      </c>
      <c r="AE529" s="4">
        <f>$K$529*$Y$529</f>
        <v>0</v>
      </c>
      <c r="AF529" s="4">
        <f ca="1">$M$529*$Z$529</f>
        <v>56.206683380162936</v>
      </c>
      <c r="AG529" s="4">
        <f ca="1">$O$529*$AA$529</f>
        <v>13.516897986491804</v>
      </c>
    </row>
    <row r="530" spans="1:33" ht="11.25" customHeight="1" x14ac:dyDescent="0.3">
      <c r="A530" s="3" t="s">
        <v>21</v>
      </c>
      <c r="B530" s="3" t="s">
        <v>37</v>
      </c>
      <c r="C530" s="3" t="s">
        <v>33</v>
      </c>
      <c r="D530" s="3" t="s">
        <v>41</v>
      </c>
      <c r="E530" s="3" t="s">
        <v>25</v>
      </c>
      <c r="F530" s="3" t="s">
        <v>25</v>
      </c>
      <c r="G530" s="3" t="s">
        <v>25</v>
      </c>
      <c r="H530" s="3" t="s">
        <v>36</v>
      </c>
      <c r="I530" s="6">
        <v>44621</v>
      </c>
      <c r="J530" s="4">
        <v>0</v>
      </c>
      <c r="K530" s="4">
        <v>0</v>
      </c>
      <c r="L530" s="4">
        <v>5.2999999999999999E-2</v>
      </c>
      <c r="M530" s="4">
        <v>5.2999999999999999E-2</v>
      </c>
      <c r="N530" s="4">
        <v>5.2999999999999999E-2</v>
      </c>
      <c r="O530" s="4">
        <v>5.2999999999999999E-2</v>
      </c>
      <c r="P530" s="4">
        <v>0</v>
      </c>
      <c r="Q530" s="3" t="s">
        <v>26</v>
      </c>
      <c r="R530" s="3">
        <v>0</v>
      </c>
      <c r="S530" s="4">
        <v>0</v>
      </c>
      <c r="T530" s="4">
        <v>45</v>
      </c>
      <c r="U530" s="4">
        <v>85</v>
      </c>
      <c r="V530" s="4">
        <f>IF(ISERROR(VLOOKUP($S$530,'TAR FIN'!$A$1:$O$91,15,0)),0,VLOOKUP($S$530,'TAR FIN'!$A$1:$O$91,15,0))</f>
        <v>0</v>
      </c>
      <c r="W530" s="4">
        <f>IF(ISERROR(VLOOKUP($T$530,'TAR FIN'!$A$1:$O$91,15,0)),0,VLOOKUP($T$530,'TAR FIN'!$A$1:$O$91,15,0))</f>
        <v>721.58</v>
      </c>
      <c r="X530" s="4">
        <f>IF(ISERROR(VLOOKUP($U$530,'TAR FIN'!$A$1:$O$91,15,0)),0,VLOOKUP($U$530,'TAR FIN'!$A$1:$O$91,15,0))</f>
        <v>189.96</v>
      </c>
      <c r="Y530" s="4"/>
      <c r="Z530" s="4">
        <f ca="1">('TUSD BE'!$AM$49+'TUSD BF_350'!$AM$49+'TUSD CVA'!$AM$49)*1</f>
        <v>814.58961420525986</v>
      </c>
      <c r="AA530" s="4">
        <f ca="1">('TE BE'!$AB$40+'TE BF_350'!$AB$40+'TE CVA'!$AB$40)*1</f>
        <v>195.89707226799715</v>
      </c>
      <c r="AB530" s="4">
        <f>$K$530*$V$530</f>
        <v>0</v>
      </c>
      <c r="AC530" s="4">
        <f>$M$530*$W$530</f>
        <v>38.243740000000003</v>
      </c>
      <c r="AD530" s="4">
        <f>$O$530*$X$530</f>
        <v>10.067880000000001</v>
      </c>
      <c r="AE530" s="4">
        <f>$K$530*$Y$530</f>
        <v>0</v>
      </c>
      <c r="AF530" s="4">
        <f ca="1">$M$530*$Z$530</f>
        <v>43.173249552878772</v>
      </c>
      <c r="AG530" s="4">
        <f ca="1">$O$530*$AA$530</f>
        <v>10.382544830203848</v>
      </c>
    </row>
    <row r="531" spans="1:33" ht="11.25" customHeight="1" x14ac:dyDescent="0.3">
      <c r="A531" s="3" t="s">
        <v>21</v>
      </c>
      <c r="B531" s="3" t="s">
        <v>37</v>
      </c>
      <c r="C531" s="3" t="s">
        <v>33</v>
      </c>
      <c r="D531" s="3" t="s">
        <v>41</v>
      </c>
      <c r="E531" s="3" t="s">
        <v>25</v>
      </c>
      <c r="F531" s="3" t="s">
        <v>25</v>
      </c>
      <c r="G531" s="3" t="s">
        <v>25</v>
      </c>
      <c r="H531" s="3" t="s">
        <v>36</v>
      </c>
      <c r="I531" s="6">
        <v>44652</v>
      </c>
      <c r="J531" s="4">
        <v>0</v>
      </c>
      <c r="K531" s="4">
        <v>0</v>
      </c>
      <c r="L531" s="4">
        <v>2.4E-2</v>
      </c>
      <c r="M531" s="4">
        <v>2.4E-2</v>
      </c>
      <c r="N531" s="4">
        <v>2.4E-2</v>
      </c>
      <c r="O531" s="4">
        <v>2.4E-2</v>
      </c>
      <c r="P531" s="4">
        <v>0</v>
      </c>
      <c r="Q531" s="3" t="s">
        <v>26</v>
      </c>
      <c r="R531" s="3">
        <v>0</v>
      </c>
      <c r="S531" s="4">
        <v>0</v>
      </c>
      <c r="T531" s="4">
        <v>45</v>
      </c>
      <c r="U531" s="4">
        <v>85</v>
      </c>
      <c r="V531" s="4">
        <f>IF(ISERROR(VLOOKUP($S$531,'TAR FIN'!$A$1:$O$91,15,0)),0,VLOOKUP($S$531,'TAR FIN'!$A$1:$O$91,15,0))</f>
        <v>0</v>
      </c>
      <c r="W531" s="4">
        <f>IF(ISERROR(VLOOKUP($T$531,'TAR FIN'!$A$1:$O$91,15,0)),0,VLOOKUP($T$531,'TAR FIN'!$A$1:$O$91,15,0))</f>
        <v>721.58</v>
      </c>
      <c r="X531" s="4">
        <f>IF(ISERROR(VLOOKUP($U$531,'TAR FIN'!$A$1:$O$91,15,0)),0,VLOOKUP($U$531,'TAR FIN'!$A$1:$O$91,15,0))</f>
        <v>189.96</v>
      </c>
      <c r="Y531" s="4"/>
      <c r="Z531" s="4">
        <f ca="1">('TUSD BE'!$AM$49+'TUSD BF_350'!$AM$49+'TUSD CVA'!$AM$49)*1</f>
        <v>814.58961420525986</v>
      </c>
      <c r="AA531" s="4">
        <f ca="1">('TE BE'!$AB$40+'TE BF_350'!$AB$40+'TE CVA'!$AB$40)*1</f>
        <v>195.89707226799715</v>
      </c>
      <c r="AB531" s="4">
        <f>$K$531*$V$531</f>
        <v>0</v>
      </c>
      <c r="AC531" s="4">
        <f>$M$531*$W$531</f>
        <v>17.317920000000001</v>
      </c>
      <c r="AD531" s="4">
        <f>$O$531*$X$531</f>
        <v>4.5590400000000004</v>
      </c>
      <c r="AE531" s="4">
        <f>$K$531*$Y$531</f>
        <v>0</v>
      </c>
      <c r="AF531" s="4">
        <f ca="1">$M$531*$Z$531</f>
        <v>19.550150740926238</v>
      </c>
      <c r="AG531" s="4">
        <f ca="1">$O$531*$AA$531</f>
        <v>4.701529734431932</v>
      </c>
    </row>
    <row r="532" spans="1:33" ht="11.25" customHeight="1" x14ac:dyDescent="0.3">
      <c r="A532" s="3" t="s">
        <v>21</v>
      </c>
      <c r="B532" s="3" t="s">
        <v>37</v>
      </c>
      <c r="C532" s="3" t="s">
        <v>33</v>
      </c>
      <c r="D532" s="3" t="s">
        <v>41</v>
      </c>
      <c r="E532" s="3" t="s">
        <v>25</v>
      </c>
      <c r="F532" s="3" t="s">
        <v>25</v>
      </c>
      <c r="G532" s="3" t="s">
        <v>25</v>
      </c>
      <c r="H532" s="3" t="s">
        <v>36</v>
      </c>
      <c r="I532" s="6">
        <v>44682</v>
      </c>
      <c r="J532" s="4">
        <v>0</v>
      </c>
      <c r="K532" s="4">
        <v>0</v>
      </c>
      <c r="L532" s="4">
        <v>1.2999999999999999E-2</v>
      </c>
      <c r="M532" s="4">
        <v>1.2999999999999999E-2</v>
      </c>
      <c r="N532" s="4">
        <v>1.2999999999999999E-2</v>
      </c>
      <c r="O532" s="4">
        <v>1.2999999999999999E-2</v>
      </c>
      <c r="P532" s="4">
        <v>0</v>
      </c>
      <c r="Q532" s="3" t="s">
        <v>26</v>
      </c>
      <c r="R532" s="3">
        <v>0</v>
      </c>
      <c r="S532" s="4">
        <v>0</v>
      </c>
      <c r="T532" s="4">
        <v>45</v>
      </c>
      <c r="U532" s="4">
        <v>85</v>
      </c>
      <c r="V532" s="4">
        <f>IF(ISERROR(VLOOKUP($S$532,'TAR FIN'!$A$1:$O$91,15,0)),0,VLOOKUP($S$532,'TAR FIN'!$A$1:$O$91,15,0))</f>
        <v>0</v>
      </c>
      <c r="W532" s="4">
        <f>IF(ISERROR(VLOOKUP($T$532,'TAR FIN'!$A$1:$O$91,15,0)),0,VLOOKUP($T$532,'TAR FIN'!$A$1:$O$91,15,0))</f>
        <v>721.58</v>
      </c>
      <c r="X532" s="4">
        <f>IF(ISERROR(VLOOKUP($U$532,'TAR FIN'!$A$1:$O$91,15,0)),0,VLOOKUP($U$532,'TAR FIN'!$A$1:$O$91,15,0))</f>
        <v>189.96</v>
      </c>
      <c r="Y532" s="4"/>
      <c r="Z532" s="4">
        <f ca="1">('TUSD BE'!$AM$49+'TUSD BF_350'!$AM$49+'TUSD CVA'!$AM$49)*1</f>
        <v>814.58961420525986</v>
      </c>
      <c r="AA532" s="4">
        <f ca="1">('TE BE'!$AB$40+'TE BF_350'!$AB$40+'TE CVA'!$AB$40)*1</f>
        <v>195.89707226799715</v>
      </c>
      <c r="AB532" s="4">
        <f>$K$532*$V$532</f>
        <v>0</v>
      </c>
      <c r="AC532" s="4">
        <f>$M$532*$W$532</f>
        <v>9.3805399999999999</v>
      </c>
      <c r="AD532" s="4">
        <f>$O$532*$X$532</f>
        <v>2.4694799999999999</v>
      </c>
      <c r="AE532" s="4">
        <f>$K$532*$Y$532</f>
        <v>0</v>
      </c>
      <c r="AF532" s="4">
        <f ca="1">$M$532*$Z$532</f>
        <v>10.589664984668378</v>
      </c>
      <c r="AG532" s="4">
        <f ca="1">$O$532*$AA$532</f>
        <v>2.5466619394839629</v>
      </c>
    </row>
    <row r="533" spans="1:33" ht="11.25" customHeight="1" x14ac:dyDescent="0.3">
      <c r="A533" s="3" t="s">
        <v>21</v>
      </c>
      <c r="B533" s="3" t="s">
        <v>37</v>
      </c>
      <c r="C533" s="3" t="s">
        <v>33</v>
      </c>
      <c r="D533" s="3" t="s">
        <v>41</v>
      </c>
      <c r="E533" s="3" t="s">
        <v>25</v>
      </c>
      <c r="F533" s="3" t="s">
        <v>25</v>
      </c>
      <c r="G533" s="3" t="s">
        <v>25</v>
      </c>
      <c r="H533" s="3" t="s">
        <v>36</v>
      </c>
      <c r="I533" s="6">
        <v>44713</v>
      </c>
      <c r="J533" s="4">
        <v>0</v>
      </c>
      <c r="K533" s="4">
        <v>0</v>
      </c>
      <c r="L533" s="4">
        <v>2.9000000000000001E-2</v>
      </c>
      <c r="M533" s="4">
        <v>2.9000000000000001E-2</v>
      </c>
      <c r="N533" s="4">
        <v>2.9000000000000001E-2</v>
      </c>
      <c r="O533" s="4">
        <v>2.9000000000000001E-2</v>
      </c>
      <c r="P533" s="4">
        <v>0</v>
      </c>
      <c r="Q533" s="3" t="s">
        <v>26</v>
      </c>
      <c r="R533" s="3">
        <v>0</v>
      </c>
      <c r="S533" s="4">
        <v>0</v>
      </c>
      <c r="T533" s="4">
        <v>45</v>
      </c>
      <c r="U533" s="4">
        <v>85</v>
      </c>
      <c r="V533" s="4">
        <f>IF(ISERROR(VLOOKUP($S$533,'TAR FIN'!$A$1:$O$91,15,0)),0,VLOOKUP($S$533,'TAR FIN'!$A$1:$O$91,15,0))</f>
        <v>0</v>
      </c>
      <c r="W533" s="4">
        <f>IF(ISERROR(VLOOKUP($T$533,'TAR FIN'!$A$1:$O$91,15,0)),0,VLOOKUP($T$533,'TAR FIN'!$A$1:$O$91,15,0))</f>
        <v>721.58</v>
      </c>
      <c r="X533" s="4">
        <f>IF(ISERROR(VLOOKUP($U$533,'TAR FIN'!$A$1:$O$91,15,0)),0,VLOOKUP($U$533,'TAR FIN'!$A$1:$O$91,15,0))</f>
        <v>189.96</v>
      </c>
      <c r="Y533" s="4"/>
      <c r="Z533" s="4">
        <f ca="1">('TUSD BE'!$AM$49+'TUSD BF_350'!$AM$49+'TUSD CVA'!$AM$49)*1</f>
        <v>814.58961420525986</v>
      </c>
      <c r="AA533" s="4">
        <f ca="1">('TE BE'!$AB$40+'TE BF_350'!$AB$40+'TE CVA'!$AB$40)*1</f>
        <v>195.89707226799715</v>
      </c>
      <c r="AB533" s="4">
        <f>$K$533*$V$533</f>
        <v>0</v>
      </c>
      <c r="AC533" s="4">
        <f>$M$533*$W$533</f>
        <v>20.925820000000002</v>
      </c>
      <c r="AD533" s="4">
        <f>$O$533*$X$533</f>
        <v>5.5088400000000002</v>
      </c>
      <c r="AE533" s="4">
        <f>$K$533*$Y$533</f>
        <v>0</v>
      </c>
      <c r="AF533" s="4">
        <f ca="1">$M$533*$Z$533</f>
        <v>23.623098811952538</v>
      </c>
      <c r="AG533" s="4">
        <f ca="1">$O$533*$AA$533</f>
        <v>5.6810150957719179</v>
      </c>
    </row>
    <row r="534" spans="1:33" ht="11.25" customHeight="1" x14ac:dyDescent="0.3">
      <c r="A534" s="3" t="s">
        <v>21</v>
      </c>
      <c r="B534" s="3" t="s">
        <v>37</v>
      </c>
      <c r="C534" s="3" t="s">
        <v>33</v>
      </c>
      <c r="D534" s="3" t="s">
        <v>41</v>
      </c>
      <c r="E534" s="3" t="s">
        <v>25</v>
      </c>
      <c r="F534" s="3" t="s">
        <v>25</v>
      </c>
      <c r="G534" s="3" t="s">
        <v>25</v>
      </c>
      <c r="H534" s="3" t="s">
        <v>34</v>
      </c>
      <c r="I534" s="6">
        <v>44378</v>
      </c>
      <c r="J534" s="4">
        <v>0</v>
      </c>
      <c r="K534" s="4">
        <v>0</v>
      </c>
      <c r="L534" s="4">
        <v>1.9E-2</v>
      </c>
      <c r="M534" s="4">
        <v>1.9E-2</v>
      </c>
      <c r="N534" s="4">
        <v>1.9E-2</v>
      </c>
      <c r="O534" s="4">
        <v>1.9E-2</v>
      </c>
      <c r="P534" s="4">
        <v>0</v>
      </c>
      <c r="Q534" s="3" t="s">
        <v>26</v>
      </c>
      <c r="R534" s="3">
        <v>0</v>
      </c>
      <c r="S534" s="4">
        <v>0</v>
      </c>
      <c r="T534" s="4">
        <v>44</v>
      </c>
      <c r="U534" s="4">
        <v>84</v>
      </c>
      <c r="V534" s="4">
        <f>IF(ISERROR(VLOOKUP($S$534,'TAR FIN'!$A$1:$O$91,15,0)),0,VLOOKUP($S$534,'TAR FIN'!$A$1:$O$91,15,0))</f>
        <v>0</v>
      </c>
      <c r="W534" s="4">
        <f>IF(ISERROR(VLOOKUP($T$534,'TAR FIN'!$A$1:$O$91,15,0)),0,VLOOKUP($T$534,'TAR FIN'!$A$1:$O$91,15,0))</f>
        <v>1127.9100000000001</v>
      </c>
      <c r="X534" s="4">
        <f>IF(ISERROR(VLOOKUP($U$534,'TAR FIN'!$A$1:$O$91,15,0)),0,VLOOKUP($U$534,'TAR FIN'!$A$1:$O$91,15,0))</f>
        <v>298.83999999999997</v>
      </c>
      <c r="Y534" s="4"/>
      <c r="Z534" s="4">
        <f ca="1">('TUSD BE'!$AM$48+'TUSD BF_350'!$AM$48+'TUSD CVA'!$AM$48)*1</f>
        <v>1272.1208638466596</v>
      </c>
      <c r="AA534" s="4">
        <f ca="1">('TE BE'!$AB$39+'TE BF_350'!$AB$39+'TE CVA'!$AB$39)*1</f>
        <v>311.4117891483653</v>
      </c>
      <c r="AB534" s="4">
        <f>$K$534*$V$534</f>
        <v>0</v>
      </c>
      <c r="AC534" s="4">
        <f>$M$534*$W$534</f>
        <v>21.430289999999999</v>
      </c>
      <c r="AD534" s="4">
        <f>$O$534*$X$534</f>
        <v>5.6779599999999997</v>
      </c>
      <c r="AE534" s="4">
        <f>$K$534*$Y$534</f>
        <v>0</v>
      </c>
      <c r="AF534" s="4">
        <f ca="1">$M$534*$Z$534</f>
        <v>24.170296413086533</v>
      </c>
      <c r="AG534" s="4">
        <f ca="1">$O$534*$AA$534</f>
        <v>5.9168239938189409</v>
      </c>
    </row>
    <row r="535" spans="1:33" ht="11.25" customHeight="1" x14ac:dyDescent="0.3">
      <c r="A535" s="3" t="s">
        <v>21</v>
      </c>
      <c r="B535" s="3" t="s">
        <v>37</v>
      </c>
      <c r="C535" s="3" t="s">
        <v>33</v>
      </c>
      <c r="D535" s="3" t="s">
        <v>41</v>
      </c>
      <c r="E535" s="3" t="s">
        <v>25</v>
      </c>
      <c r="F535" s="3" t="s">
        <v>25</v>
      </c>
      <c r="G535" s="3" t="s">
        <v>25</v>
      </c>
      <c r="H535" s="3" t="s">
        <v>34</v>
      </c>
      <c r="I535" s="6">
        <v>44409</v>
      </c>
      <c r="J535" s="4">
        <v>0</v>
      </c>
      <c r="K535" s="4">
        <v>0</v>
      </c>
      <c r="L535" s="4">
        <v>0.02</v>
      </c>
      <c r="M535" s="4">
        <v>0.02</v>
      </c>
      <c r="N535" s="4">
        <v>0.02</v>
      </c>
      <c r="O535" s="4">
        <v>0.02</v>
      </c>
      <c r="P535" s="4">
        <v>0</v>
      </c>
      <c r="Q535" s="3" t="s">
        <v>26</v>
      </c>
      <c r="R535" s="3">
        <v>0</v>
      </c>
      <c r="S535" s="4">
        <v>0</v>
      </c>
      <c r="T535" s="4">
        <v>44</v>
      </c>
      <c r="U535" s="4">
        <v>84</v>
      </c>
      <c r="V535" s="4">
        <f>IF(ISERROR(VLOOKUP($S$535,'TAR FIN'!$A$1:$O$91,15,0)),0,VLOOKUP($S$535,'TAR FIN'!$A$1:$O$91,15,0))</f>
        <v>0</v>
      </c>
      <c r="W535" s="4">
        <f>IF(ISERROR(VLOOKUP($T$535,'TAR FIN'!$A$1:$O$91,15,0)),0,VLOOKUP($T$535,'TAR FIN'!$A$1:$O$91,15,0))</f>
        <v>1127.9100000000001</v>
      </c>
      <c r="X535" s="4">
        <f>IF(ISERROR(VLOOKUP($U$535,'TAR FIN'!$A$1:$O$91,15,0)),0,VLOOKUP($U$535,'TAR FIN'!$A$1:$O$91,15,0))</f>
        <v>298.83999999999997</v>
      </c>
      <c r="Y535" s="4"/>
      <c r="Z535" s="4">
        <f ca="1">('TUSD BE'!$AM$48+'TUSD BF_350'!$AM$48+'TUSD CVA'!$AM$48)*1</f>
        <v>1272.1208638466596</v>
      </c>
      <c r="AA535" s="4">
        <f ca="1">('TE BE'!$AB$39+'TE BF_350'!$AB$39+'TE CVA'!$AB$39)*1</f>
        <v>311.4117891483653</v>
      </c>
      <c r="AB535" s="4">
        <f>$K$535*$V$535</f>
        <v>0</v>
      </c>
      <c r="AC535" s="4">
        <f>$M$535*$W$535</f>
        <v>22.558200000000003</v>
      </c>
      <c r="AD535" s="4">
        <f>$O$535*$X$535</f>
        <v>5.9767999999999999</v>
      </c>
      <c r="AE535" s="4">
        <f>$K$535*$Y$535</f>
        <v>0</v>
      </c>
      <c r="AF535" s="4">
        <f ca="1">$M$535*$Z$535</f>
        <v>25.442417276933192</v>
      </c>
      <c r="AG535" s="4">
        <f ca="1">$O$535*$AA$535</f>
        <v>6.2282357829673058</v>
      </c>
    </row>
    <row r="536" spans="1:33" ht="11.25" customHeight="1" x14ac:dyDescent="0.3">
      <c r="A536" s="3" t="s">
        <v>21</v>
      </c>
      <c r="B536" s="3" t="s">
        <v>37</v>
      </c>
      <c r="C536" s="3" t="s">
        <v>33</v>
      </c>
      <c r="D536" s="3" t="s">
        <v>41</v>
      </c>
      <c r="E536" s="3" t="s">
        <v>25</v>
      </c>
      <c r="F536" s="3" t="s">
        <v>25</v>
      </c>
      <c r="G536" s="3" t="s">
        <v>25</v>
      </c>
      <c r="H536" s="3" t="s">
        <v>34</v>
      </c>
      <c r="I536" s="6">
        <v>44440</v>
      </c>
      <c r="J536" s="4">
        <v>0</v>
      </c>
      <c r="K536" s="4">
        <v>0</v>
      </c>
      <c r="L536" s="4">
        <v>1.4E-2</v>
      </c>
      <c r="M536" s="4">
        <v>1.4E-2</v>
      </c>
      <c r="N536" s="4">
        <v>1.4E-2</v>
      </c>
      <c r="O536" s="4">
        <v>1.4E-2</v>
      </c>
      <c r="P536" s="4">
        <v>0</v>
      </c>
      <c r="Q536" s="3" t="s">
        <v>26</v>
      </c>
      <c r="R536" s="3">
        <v>0</v>
      </c>
      <c r="S536" s="4">
        <v>0</v>
      </c>
      <c r="T536" s="4">
        <v>44</v>
      </c>
      <c r="U536" s="4">
        <v>84</v>
      </c>
      <c r="V536" s="4">
        <f>IF(ISERROR(VLOOKUP($S$536,'TAR FIN'!$A$1:$O$91,15,0)),0,VLOOKUP($S$536,'TAR FIN'!$A$1:$O$91,15,0))</f>
        <v>0</v>
      </c>
      <c r="W536" s="4">
        <f>IF(ISERROR(VLOOKUP($T$536,'TAR FIN'!$A$1:$O$91,15,0)),0,VLOOKUP($T$536,'TAR FIN'!$A$1:$O$91,15,0))</f>
        <v>1127.9100000000001</v>
      </c>
      <c r="X536" s="4">
        <f>IF(ISERROR(VLOOKUP($U$536,'TAR FIN'!$A$1:$O$91,15,0)),0,VLOOKUP($U$536,'TAR FIN'!$A$1:$O$91,15,0))</f>
        <v>298.83999999999997</v>
      </c>
      <c r="Y536" s="4"/>
      <c r="Z536" s="4">
        <f ca="1">('TUSD BE'!$AM$48+'TUSD BF_350'!$AM$48+'TUSD CVA'!$AM$48)*1</f>
        <v>1272.1208638466596</v>
      </c>
      <c r="AA536" s="4">
        <f ca="1">('TE BE'!$AB$39+'TE BF_350'!$AB$39+'TE CVA'!$AB$39)*1</f>
        <v>311.4117891483653</v>
      </c>
      <c r="AB536" s="4">
        <f>$K$536*$V$536</f>
        <v>0</v>
      </c>
      <c r="AC536" s="4">
        <f>$M$536*$W$536</f>
        <v>15.790740000000001</v>
      </c>
      <c r="AD536" s="4">
        <f>$O$536*$X$536</f>
        <v>4.1837599999999995</v>
      </c>
      <c r="AE536" s="4">
        <f>$K$536*$Y$536</f>
        <v>0</v>
      </c>
      <c r="AF536" s="4">
        <f ca="1">$M$536*$Z$536</f>
        <v>17.809692093853236</v>
      </c>
      <c r="AG536" s="4">
        <f ca="1">$O$536*$AA$536</f>
        <v>4.3597650480771142</v>
      </c>
    </row>
    <row r="537" spans="1:33" ht="11.25" customHeight="1" x14ac:dyDescent="0.3">
      <c r="A537" s="3" t="s">
        <v>21</v>
      </c>
      <c r="B537" s="3" t="s">
        <v>37</v>
      </c>
      <c r="C537" s="3" t="s">
        <v>33</v>
      </c>
      <c r="D537" s="3" t="s">
        <v>41</v>
      </c>
      <c r="E537" s="3" t="s">
        <v>25</v>
      </c>
      <c r="F537" s="3" t="s">
        <v>25</v>
      </c>
      <c r="G537" s="3" t="s">
        <v>25</v>
      </c>
      <c r="H537" s="3" t="s">
        <v>34</v>
      </c>
      <c r="I537" s="6">
        <v>44470</v>
      </c>
      <c r="J537" s="4">
        <v>0</v>
      </c>
      <c r="K537" s="4">
        <v>0</v>
      </c>
      <c r="L537" s="4">
        <v>1.4999999999999999E-2</v>
      </c>
      <c r="M537" s="4">
        <v>1.4999999999999999E-2</v>
      </c>
      <c r="N537" s="4">
        <v>1.4999999999999999E-2</v>
      </c>
      <c r="O537" s="4">
        <v>1.4999999999999999E-2</v>
      </c>
      <c r="P537" s="4">
        <v>0</v>
      </c>
      <c r="Q537" s="3" t="s">
        <v>26</v>
      </c>
      <c r="R537" s="3">
        <v>0</v>
      </c>
      <c r="S537" s="4">
        <v>0</v>
      </c>
      <c r="T537" s="4">
        <v>44</v>
      </c>
      <c r="U537" s="4">
        <v>84</v>
      </c>
      <c r="V537" s="4">
        <f>IF(ISERROR(VLOOKUP($S$537,'TAR FIN'!$A$1:$O$91,15,0)),0,VLOOKUP($S$537,'TAR FIN'!$A$1:$O$91,15,0))</f>
        <v>0</v>
      </c>
      <c r="W537" s="4">
        <f>IF(ISERROR(VLOOKUP($T$537,'TAR FIN'!$A$1:$O$91,15,0)),0,VLOOKUP($T$537,'TAR FIN'!$A$1:$O$91,15,0))</f>
        <v>1127.9100000000001</v>
      </c>
      <c r="X537" s="4">
        <f>IF(ISERROR(VLOOKUP($U$537,'TAR FIN'!$A$1:$O$91,15,0)),0,VLOOKUP($U$537,'TAR FIN'!$A$1:$O$91,15,0))</f>
        <v>298.83999999999997</v>
      </c>
      <c r="Y537" s="4"/>
      <c r="Z537" s="4">
        <f ca="1">('TUSD BE'!$AM$48+'TUSD BF_350'!$AM$48+'TUSD CVA'!$AM$48)*1</f>
        <v>1272.1208638466596</v>
      </c>
      <c r="AA537" s="4">
        <f ca="1">('TE BE'!$AB$39+'TE BF_350'!$AB$39+'TE CVA'!$AB$39)*1</f>
        <v>311.4117891483653</v>
      </c>
      <c r="AB537" s="4">
        <f>$K$537*$V$537</f>
        <v>0</v>
      </c>
      <c r="AC537" s="4">
        <f>$M$537*$W$537</f>
        <v>16.91865</v>
      </c>
      <c r="AD537" s="4">
        <f>$O$537*$X$537</f>
        <v>4.4825999999999997</v>
      </c>
      <c r="AE537" s="4">
        <f>$K$537*$Y$537</f>
        <v>0</v>
      </c>
      <c r="AF537" s="4">
        <f ca="1">$M$537*$Z$537</f>
        <v>19.081812957699892</v>
      </c>
      <c r="AG537" s="4">
        <f ca="1">$O$537*$AA$537</f>
        <v>4.6711768372254792</v>
      </c>
    </row>
    <row r="538" spans="1:33" ht="11.25" customHeight="1" x14ac:dyDescent="0.3">
      <c r="A538" s="3" t="s">
        <v>21</v>
      </c>
      <c r="B538" s="3" t="s">
        <v>37</v>
      </c>
      <c r="C538" s="3" t="s">
        <v>33</v>
      </c>
      <c r="D538" s="3" t="s">
        <v>41</v>
      </c>
      <c r="E538" s="3" t="s">
        <v>25</v>
      </c>
      <c r="F538" s="3" t="s">
        <v>25</v>
      </c>
      <c r="G538" s="3" t="s">
        <v>25</v>
      </c>
      <c r="H538" s="3" t="s">
        <v>34</v>
      </c>
      <c r="I538" s="6">
        <v>44501</v>
      </c>
      <c r="J538" s="4">
        <v>0</v>
      </c>
      <c r="K538" s="4">
        <v>0</v>
      </c>
      <c r="L538" s="4">
        <v>1.4E-2</v>
      </c>
      <c r="M538" s="4">
        <v>1.4E-2</v>
      </c>
      <c r="N538" s="4">
        <v>1.4E-2</v>
      </c>
      <c r="O538" s="4">
        <v>1.4E-2</v>
      </c>
      <c r="P538" s="4">
        <v>0</v>
      </c>
      <c r="Q538" s="3" t="s">
        <v>26</v>
      </c>
      <c r="R538" s="3">
        <v>0</v>
      </c>
      <c r="S538" s="4">
        <v>0</v>
      </c>
      <c r="T538" s="4">
        <v>44</v>
      </c>
      <c r="U538" s="4">
        <v>84</v>
      </c>
      <c r="V538" s="4">
        <f>IF(ISERROR(VLOOKUP($S$538,'TAR FIN'!$A$1:$O$91,15,0)),0,VLOOKUP($S$538,'TAR FIN'!$A$1:$O$91,15,0))</f>
        <v>0</v>
      </c>
      <c r="W538" s="4">
        <f>IF(ISERROR(VLOOKUP($T$538,'TAR FIN'!$A$1:$O$91,15,0)),0,VLOOKUP($T$538,'TAR FIN'!$A$1:$O$91,15,0))</f>
        <v>1127.9100000000001</v>
      </c>
      <c r="X538" s="4">
        <f>IF(ISERROR(VLOOKUP($U$538,'TAR FIN'!$A$1:$O$91,15,0)),0,VLOOKUP($U$538,'TAR FIN'!$A$1:$O$91,15,0))</f>
        <v>298.83999999999997</v>
      </c>
      <c r="Y538" s="4"/>
      <c r="Z538" s="4">
        <f ca="1">('TUSD BE'!$AM$48+'TUSD BF_350'!$AM$48+'TUSD CVA'!$AM$48)*1</f>
        <v>1272.1208638466596</v>
      </c>
      <c r="AA538" s="4">
        <f ca="1">('TE BE'!$AB$39+'TE BF_350'!$AB$39+'TE CVA'!$AB$39)*1</f>
        <v>311.4117891483653</v>
      </c>
      <c r="AB538" s="4">
        <f>$K$538*$V$538</f>
        <v>0</v>
      </c>
      <c r="AC538" s="4">
        <f>$M$538*$W$538</f>
        <v>15.790740000000001</v>
      </c>
      <c r="AD538" s="4">
        <f>$O$538*$X$538</f>
        <v>4.1837599999999995</v>
      </c>
      <c r="AE538" s="4">
        <f>$K$538*$Y$538</f>
        <v>0</v>
      </c>
      <c r="AF538" s="4">
        <f ca="1">$M$538*$Z$538</f>
        <v>17.809692093853236</v>
      </c>
      <c r="AG538" s="4">
        <f ca="1">$O$538*$AA$538</f>
        <v>4.3597650480771142</v>
      </c>
    </row>
    <row r="539" spans="1:33" ht="11.25" customHeight="1" x14ac:dyDescent="0.3">
      <c r="A539" s="3" t="s">
        <v>21</v>
      </c>
      <c r="B539" s="3" t="s">
        <v>37</v>
      </c>
      <c r="C539" s="3" t="s">
        <v>33</v>
      </c>
      <c r="D539" s="3" t="s">
        <v>41</v>
      </c>
      <c r="E539" s="3" t="s">
        <v>25</v>
      </c>
      <c r="F539" s="3" t="s">
        <v>25</v>
      </c>
      <c r="G539" s="3" t="s">
        <v>25</v>
      </c>
      <c r="H539" s="3" t="s">
        <v>34</v>
      </c>
      <c r="I539" s="6">
        <v>44531</v>
      </c>
      <c r="J539" s="4">
        <v>0</v>
      </c>
      <c r="K539" s="4">
        <v>0</v>
      </c>
      <c r="L539" s="4">
        <v>0.02</v>
      </c>
      <c r="M539" s="4">
        <v>0.02</v>
      </c>
      <c r="N539" s="4">
        <v>0.02</v>
      </c>
      <c r="O539" s="4">
        <v>0.02</v>
      </c>
      <c r="P539" s="4">
        <v>0</v>
      </c>
      <c r="Q539" s="3" t="s">
        <v>26</v>
      </c>
      <c r="R539" s="3">
        <v>0</v>
      </c>
      <c r="S539" s="4">
        <v>0</v>
      </c>
      <c r="T539" s="4">
        <v>44</v>
      </c>
      <c r="U539" s="4">
        <v>84</v>
      </c>
      <c r="V539" s="4">
        <f>IF(ISERROR(VLOOKUP($S$539,'TAR FIN'!$A$1:$O$91,15,0)),0,VLOOKUP($S$539,'TAR FIN'!$A$1:$O$91,15,0))</f>
        <v>0</v>
      </c>
      <c r="W539" s="4">
        <f>IF(ISERROR(VLOOKUP($T$539,'TAR FIN'!$A$1:$O$91,15,0)),0,VLOOKUP($T$539,'TAR FIN'!$A$1:$O$91,15,0))</f>
        <v>1127.9100000000001</v>
      </c>
      <c r="X539" s="4">
        <f>IF(ISERROR(VLOOKUP($U$539,'TAR FIN'!$A$1:$O$91,15,0)),0,VLOOKUP($U$539,'TAR FIN'!$A$1:$O$91,15,0))</f>
        <v>298.83999999999997</v>
      </c>
      <c r="Y539" s="4"/>
      <c r="Z539" s="4">
        <f ca="1">('TUSD BE'!$AM$48+'TUSD BF_350'!$AM$48+'TUSD CVA'!$AM$48)*1</f>
        <v>1272.1208638466596</v>
      </c>
      <c r="AA539" s="4">
        <f ca="1">('TE BE'!$AB$39+'TE BF_350'!$AB$39+'TE CVA'!$AB$39)*1</f>
        <v>311.4117891483653</v>
      </c>
      <c r="AB539" s="4">
        <f>$K$539*$V$539</f>
        <v>0</v>
      </c>
      <c r="AC539" s="4">
        <f>$M$539*$W$539</f>
        <v>22.558200000000003</v>
      </c>
      <c r="AD539" s="4">
        <f>$O$539*$X$539</f>
        <v>5.9767999999999999</v>
      </c>
      <c r="AE539" s="4">
        <f>$K$539*$Y$539</f>
        <v>0</v>
      </c>
      <c r="AF539" s="4">
        <f ca="1">$M$539*$Z$539</f>
        <v>25.442417276933192</v>
      </c>
      <c r="AG539" s="4">
        <f ca="1">$O$539*$AA$539</f>
        <v>6.2282357829673058</v>
      </c>
    </row>
    <row r="540" spans="1:33" ht="11.25" customHeight="1" x14ac:dyDescent="0.3">
      <c r="A540" s="3" t="s">
        <v>21</v>
      </c>
      <c r="B540" s="3" t="s">
        <v>37</v>
      </c>
      <c r="C540" s="3" t="s">
        <v>33</v>
      </c>
      <c r="D540" s="3" t="s">
        <v>41</v>
      </c>
      <c r="E540" s="3" t="s">
        <v>25</v>
      </c>
      <c r="F540" s="3" t="s">
        <v>25</v>
      </c>
      <c r="G540" s="3" t="s">
        <v>25</v>
      </c>
      <c r="H540" s="3" t="s">
        <v>34</v>
      </c>
      <c r="I540" s="6">
        <v>44562</v>
      </c>
      <c r="J540" s="4">
        <v>0</v>
      </c>
      <c r="K540" s="4">
        <v>0</v>
      </c>
      <c r="L540" s="4">
        <v>0.02</v>
      </c>
      <c r="M540" s="4">
        <v>0.02</v>
      </c>
      <c r="N540" s="4">
        <v>0.02</v>
      </c>
      <c r="O540" s="4">
        <v>0.02</v>
      </c>
      <c r="P540" s="4">
        <v>0</v>
      </c>
      <c r="Q540" s="3" t="s">
        <v>26</v>
      </c>
      <c r="R540" s="3">
        <v>0</v>
      </c>
      <c r="S540" s="4">
        <v>0</v>
      </c>
      <c r="T540" s="4">
        <v>44</v>
      </c>
      <c r="U540" s="4">
        <v>84</v>
      </c>
      <c r="V540" s="4">
        <f>IF(ISERROR(VLOOKUP($S$540,'TAR FIN'!$A$1:$O$91,15,0)),0,VLOOKUP($S$540,'TAR FIN'!$A$1:$O$91,15,0))</f>
        <v>0</v>
      </c>
      <c r="W540" s="4">
        <f>IF(ISERROR(VLOOKUP($T$540,'TAR FIN'!$A$1:$O$91,15,0)),0,VLOOKUP($T$540,'TAR FIN'!$A$1:$O$91,15,0))</f>
        <v>1127.9100000000001</v>
      </c>
      <c r="X540" s="4">
        <f>IF(ISERROR(VLOOKUP($U$540,'TAR FIN'!$A$1:$O$91,15,0)),0,VLOOKUP($U$540,'TAR FIN'!$A$1:$O$91,15,0))</f>
        <v>298.83999999999997</v>
      </c>
      <c r="Y540" s="4"/>
      <c r="Z540" s="4">
        <f ca="1">('TUSD BE'!$AM$48+'TUSD BF_350'!$AM$48+'TUSD CVA'!$AM$48)*1</f>
        <v>1272.1208638466596</v>
      </c>
      <c r="AA540" s="4">
        <f ca="1">('TE BE'!$AB$39+'TE BF_350'!$AB$39+'TE CVA'!$AB$39)*1</f>
        <v>311.4117891483653</v>
      </c>
      <c r="AB540" s="4">
        <f>$K$540*$V$540</f>
        <v>0</v>
      </c>
      <c r="AC540" s="4">
        <f>$M$540*$W$540</f>
        <v>22.558200000000003</v>
      </c>
      <c r="AD540" s="4">
        <f>$O$540*$X$540</f>
        <v>5.9767999999999999</v>
      </c>
      <c r="AE540" s="4">
        <f>$K$540*$Y$540</f>
        <v>0</v>
      </c>
      <c r="AF540" s="4">
        <f ca="1">$M$540*$Z$540</f>
        <v>25.442417276933192</v>
      </c>
      <c r="AG540" s="4">
        <f ca="1">$O$540*$AA$540</f>
        <v>6.2282357829673058</v>
      </c>
    </row>
    <row r="541" spans="1:33" ht="11.25" customHeight="1" x14ac:dyDescent="0.3">
      <c r="A541" s="3" t="s">
        <v>21</v>
      </c>
      <c r="B541" s="3" t="s">
        <v>37</v>
      </c>
      <c r="C541" s="3" t="s">
        <v>33</v>
      </c>
      <c r="D541" s="3" t="s">
        <v>41</v>
      </c>
      <c r="E541" s="3" t="s">
        <v>25</v>
      </c>
      <c r="F541" s="3" t="s">
        <v>25</v>
      </c>
      <c r="G541" s="3" t="s">
        <v>25</v>
      </c>
      <c r="H541" s="3" t="s">
        <v>34</v>
      </c>
      <c r="I541" s="6">
        <v>44593</v>
      </c>
      <c r="J541" s="4">
        <v>0</v>
      </c>
      <c r="K541" s="4">
        <v>0</v>
      </c>
      <c r="L541" s="4">
        <v>2.7E-2</v>
      </c>
      <c r="M541" s="4">
        <v>2.7E-2</v>
      </c>
      <c r="N541" s="4">
        <v>2.7E-2</v>
      </c>
      <c r="O541" s="4">
        <v>2.7E-2</v>
      </c>
      <c r="P541" s="4">
        <v>0</v>
      </c>
      <c r="Q541" s="3" t="s">
        <v>26</v>
      </c>
      <c r="R541" s="3">
        <v>0</v>
      </c>
      <c r="S541" s="4">
        <v>0</v>
      </c>
      <c r="T541" s="4">
        <v>44</v>
      </c>
      <c r="U541" s="4">
        <v>84</v>
      </c>
      <c r="V541" s="4">
        <f>IF(ISERROR(VLOOKUP($S$541,'TAR FIN'!$A$1:$O$91,15,0)),0,VLOOKUP($S$541,'TAR FIN'!$A$1:$O$91,15,0))</f>
        <v>0</v>
      </c>
      <c r="W541" s="4">
        <f>IF(ISERROR(VLOOKUP($T$541,'TAR FIN'!$A$1:$O$91,15,0)),0,VLOOKUP($T$541,'TAR FIN'!$A$1:$O$91,15,0))</f>
        <v>1127.9100000000001</v>
      </c>
      <c r="X541" s="4">
        <f>IF(ISERROR(VLOOKUP($U$541,'TAR FIN'!$A$1:$O$91,15,0)),0,VLOOKUP($U$541,'TAR FIN'!$A$1:$O$91,15,0))</f>
        <v>298.83999999999997</v>
      </c>
      <c r="Y541" s="4"/>
      <c r="Z541" s="4">
        <f ca="1">('TUSD BE'!$AM$48+'TUSD BF_350'!$AM$48+'TUSD CVA'!$AM$48)*1</f>
        <v>1272.1208638466596</v>
      </c>
      <c r="AA541" s="4">
        <f ca="1">('TE BE'!$AB$39+'TE BF_350'!$AB$39+'TE CVA'!$AB$39)*1</f>
        <v>311.4117891483653</v>
      </c>
      <c r="AB541" s="4">
        <f>$K$541*$V$541</f>
        <v>0</v>
      </c>
      <c r="AC541" s="4">
        <f>$M$541*$W$541</f>
        <v>30.453570000000003</v>
      </c>
      <c r="AD541" s="4">
        <f>$O$541*$X$541</f>
        <v>8.0686799999999987</v>
      </c>
      <c r="AE541" s="4">
        <f>$K$541*$Y$541</f>
        <v>0</v>
      </c>
      <c r="AF541" s="4">
        <f ca="1">$M$541*$Z$541</f>
        <v>34.347263323859806</v>
      </c>
      <c r="AG541" s="4">
        <f ca="1">$O$541*$AA$541</f>
        <v>8.4081183070058625</v>
      </c>
    </row>
    <row r="542" spans="1:33" ht="11.25" customHeight="1" x14ac:dyDescent="0.3">
      <c r="A542" s="3" t="s">
        <v>21</v>
      </c>
      <c r="B542" s="3" t="s">
        <v>37</v>
      </c>
      <c r="C542" s="3" t="s">
        <v>33</v>
      </c>
      <c r="D542" s="3" t="s">
        <v>41</v>
      </c>
      <c r="E542" s="3" t="s">
        <v>25</v>
      </c>
      <c r="F542" s="3" t="s">
        <v>25</v>
      </c>
      <c r="G542" s="3" t="s">
        <v>25</v>
      </c>
      <c r="H542" s="3" t="s">
        <v>34</v>
      </c>
      <c r="I542" s="6">
        <v>44621</v>
      </c>
      <c r="J542" s="4">
        <v>0</v>
      </c>
      <c r="K542" s="4">
        <v>0</v>
      </c>
      <c r="L542" s="4">
        <v>0.03</v>
      </c>
      <c r="M542" s="4">
        <v>0.03</v>
      </c>
      <c r="N542" s="4">
        <v>0.03</v>
      </c>
      <c r="O542" s="4">
        <v>0.03</v>
      </c>
      <c r="P542" s="4">
        <v>0</v>
      </c>
      <c r="Q542" s="3" t="s">
        <v>26</v>
      </c>
      <c r="R542" s="3">
        <v>0</v>
      </c>
      <c r="S542" s="4">
        <v>0</v>
      </c>
      <c r="T542" s="4">
        <v>44</v>
      </c>
      <c r="U542" s="4">
        <v>84</v>
      </c>
      <c r="V542" s="4">
        <f>IF(ISERROR(VLOOKUP($S$542,'TAR FIN'!$A$1:$O$91,15,0)),0,VLOOKUP($S$542,'TAR FIN'!$A$1:$O$91,15,0))</f>
        <v>0</v>
      </c>
      <c r="W542" s="4">
        <f>IF(ISERROR(VLOOKUP($T$542,'TAR FIN'!$A$1:$O$91,15,0)),0,VLOOKUP($T$542,'TAR FIN'!$A$1:$O$91,15,0))</f>
        <v>1127.9100000000001</v>
      </c>
      <c r="X542" s="4">
        <f>IF(ISERROR(VLOOKUP($U$542,'TAR FIN'!$A$1:$O$91,15,0)),0,VLOOKUP($U$542,'TAR FIN'!$A$1:$O$91,15,0))</f>
        <v>298.83999999999997</v>
      </c>
      <c r="Y542" s="4"/>
      <c r="Z542" s="4">
        <f ca="1">('TUSD BE'!$AM$48+'TUSD BF_350'!$AM$48+'TUSD CVA'!$AM$48)*1</f>
        <v>1272.1208638466596</v>
      </c>
      <c r="AA542" s="4">
        <f ca="1">('TE BE'!$AB$39+'TE BF_350'!$AB$39+'TE CVA'!$AB$39)*1</f>
        <v>311.4117891483653</v>
      </c>
      <c r="AB542" s="4">
        <f>$K$542*$V$542</f>
        <v>0</v>
      </c>
      <c r="AC542" s="4">
        <f>$M$542*$W$542</f>
        <v>33.837299999999999</v>
      </c>
      <c r="AD542" s="4">
        <f>$O$542*$X$542</f>
        <v>8.9651999999999994</v>
      </c>
      <c r="AE542" s="4">
        <f>$K$542*$Y$542</f>
        <v>0</v>
      </c>
      <c r="AF542" s="4">
        <f ca="1">$M$542*$Z$542</f>
        <v>38.163625915399784</v>
      </c>
      <c r="AG542" s="4">
        <f ca="1">$O$542*$AA$542</f>
        <v>9.3423536744509583</v>
      </c>
    </row>
    <row r="543" spans="1:33" ht="11.25" customHeight="1" x14ac:dyDescent="0.3">
      <c r="A543" s="3" t="s">
        <v>21</v>
      </c>
      <c r="B543" s="3" t="s">
        <v>37</v>
      </c>
      <c r="C543" s="3" t="s">
        <v>33</v>
      </c>
      <c r="D543" s="3" t="s">
        <v>41</v>
      </c>
      <c r="E543" s="3" t="s">
        <v>25</v>
      </c>
      <c r="F543" s="3" t="s">
        <v>25</v>
      </c>
      <c r="G543" s="3" t="s">
        <v>25</v>
      </c>
      <c r="H543" s="3" t="s">
        <v>34</v>
      </c>
      <c r="I543" s="6">
        <v>44652</v>
      </c>
      <c r="J543" s="4">
        <v>0</v>
      </c>
      <c r="K543" s="4">
        <v>0</v>
      </c>
      <c r="L543" s="4">
        <v>2.3E-2</v>
      </c>
      <c r="M543" s="4">
        <v>2.3E-2</v>
      </c>
      <c r="N543" s="4">
        <v>2.3E-2</v>
      </c>
      <c r="O543" s="4">
        <v>2.3E-2</v>
      </c>
      <c r="P543" s="4">
        <v>0</v>
      </c>
      <c r="Q543" s="3" t="s">
        <v>26</v>
      </c>
      <c r="R543" s="3">
        <v>0</v>
      </c>
      <c r="S543" s="4">
        <v>0</v>
      </c>
      <c r="T543" s="4">
        <v>44</v>
      </c>
      <c r="U543" s="4">
        <v>84</v>
      </c>
      <c r="V543" s="4">
        <f>IF(ISERROR(VLOOKUP($S$543,'TAR FIN'!$A$1:$O$91,15,0)),0,VLOOKUP($S$543,'TAR FIN'!$A$1:$O$91,15,0))</f>
        <v>0</v>
      </c>
      <c r="W543" s="4">
        <f>IF(ISERROR(VLOOKUP($T$543,'TAR FIN'!$A$1:$O$91,15,0)),0,VLOOKUP($T$543,'TAR FIN'!$A$1:$O$91,15,0))</f>
        <v>1127.9100000000001</v>
      </c>
      <c r="X543" s="4">
        <f>IF(ISERROR(VLOOKUP($U$543,'TAR FIN'!$A$1:$O$91,15,0)),0,VLOOKUP($U$543,'TAR FIN'!$A$1:$O$91,15,0))</f>
        <v>298.83999999999997</v>
      </c>
      <c r="Y543" s="4"/>
      <c r="Z543" s="4">
        <f ca="1">('TUSD BE'!$AM$48+'TUSD BF_350'!$AM$48+'TUSD CVA'!$AM$48)*1</f>
        <v>1272.1208638466596</v>
      </c>
      <c r="AA543" s="4">
        <f ca="1">('TE BE'!$AB$39+'TE BF_350'!$AB$39+'TE CVA'!$AB$39)*1</f>
        <v>311.4117891483653</v>
      </c>
      <c r="AB543" s="4">
        <f>$K$543*$V$543</f>
        <v>0</v>
      </c>
      <c r="AC543" s="4">
        <f>$M$543*$W$543</f>
        <v>25.941930000000003</v>
      </c>
      <c r="AD543" s="4">
        <f>$O$543*$X$543</f>
        <v>6.8733199999999997</v>
      </c>
      <c r="AE543" s="4">
        <f>$K$543*$Y$543</f>
        <v>0</v>
      </c>
      <c r="AF543" s="4">
        <f ca="1">$M$543*$Z$543</f>
        <v>29.258779868473169</v>
      </c>
      <c r="AG543" s="4">
        <f ca="1">$O$543*$AA$543</f>
        <v>7.1624711504124017</v>
      </c>
    </row>
    <row r="544" spans="1:33" ht="11.25" customHeight="1" x14ac:dyDescent="0.3">
      <c r="A544" s="3" t="s">
        <v>21</v>
      </c>
      <c r="B544" s="3" t="s">
        <v>37</v>
      </c>
      <c r="C544" s="3" t="s">
        <v>33</v>
      </c>
      <c r="D544" s="3" t="s">
        <v>41</v>
      </c>
      <c r="E544" s="3" t="s">
        <v>25</v>
      </c>
      <c r="F544" s="3" t="s">
        <v>25</v>
      </c>
      <c r="G544" s="3" t="s">
        <v>25</v>
      </c>
      <c r="H544" s="3" t="s">
        <v>34</v>
      </c>
      <c r="I544" s="6">
        <v>44682</v>
      </c>
      <c r="J544" s="4">
        <v>0</v>
      </c>
      <c r="K544" s="4">
        <v>0</v>
      </c>
      <c r="L544" s="4">
        <v>1.2999999999999999E-2</v>
      </c>
      <c r="M544" s="4">
        <v>1.2999999999999999E-2</v>
      </c>
      <c r="N544" s="4">
        <v>1.2999999999999999E-2</v>
      </c>
      <c r="O544" s="4">
        <v>1.2999999999999999E-2</v>
      </c>
      <c r="P544" s="4">
        <v>0</v>
      </c>
      <c r="Q544" s="3" t="s">
        <v>26</v>
      </c>
      <c r="R544" s="3">
        <v>0</v>
      </c>
      <c r="S544" s="4">
        <v>0</v>
      </c>
      <c r="T544" s="4">
        <v>44</v>
      </c>
      <c r="U544" s="4">
        <v>84</v>
      </c>
      <c r="V544" s="4">
        <f>IF(ISERROR(VLOOKUP($S$544,'TAR FIN'!$A$1:$O$91,15,0)),0,VLOOKUP($S$544,'TAR FIN'!$A$1:$O$91,15,0))</f>
        <v>0</v>
      </c>
      <c r="W544" s="4">
        <f>IF(ISERROR(VLOOKUP($T$544,'TAR FIN'!$A$1:$O$91,15,0)),0,VLOOKUP($T$544,'TAR FIN'!$A$1:$O$91,15,0))</f>
        <v>1127.9100000000001</v>
      </c>
      <c r="X544" s="4">
        <f>IF(ISERROR(VLOOKUP($U$544,'TAR FIN'!$A$1:$O$91,15,0)),0,VLOOKUP($U$544,'TAR FIN'!$A$1:$O$91,15,0))</f>
        <v>298.83999999999997</v>
      </c>
      <c r="Y544" s="4"/>
      <c r="Z544" s="4">
        <f ca="1">('TUSD BE'!$AM$48+'TUSD BF_350'!$AM$48+'TUSD CVA'!$AM$48)*1</f>
        <v>1272.1208638466596</v>
      </c>
      <c r="AA544" s="4">
        <f ca="1">('TE BE'!$AB$39+'TE BF_350'!$AB$39+'TE CVA'!$AB$39)*1</f>
        <v>311.4117891483653</v>
      </c>
      <c r="AB544" s="4">
        <f>$K$544*$V$544</f>
        <v>0</v>
      </c>
      <c r="AC544" s="4">
        <f>$M$544*$W$544</f>
        <v>14.66283</v>
      </c>
      <c r="AD544" s="4">
        <f>$O$544*$X$544</f>
        <v>3.8849199999999997</v>
      </c>
      <c r="AE544" s="4">
        <f>$K$544*$Y$544</f>
        <v>0</v>
      </c>
      <c r="AF544" s="4">
        <f ca="1">$M$544*$Z$544</f>
        <v>16.537571230006574</v>
      </c>
      <c r="AG544" s="4">
        <f ca="1">$O$544*$AA$544</f>
        <v>4.0483532589287483</v>
      </c>
    </row>
    <row r="545" spans="1:33" ht="11.25" customHeight="1" x14ac:dyDescent="0.3">
      <c r="A545" s="3" t="s">
        <v>21</v>
      </c>
      <c r="B545" s="3" t="s">
        <v>37</v>
      </c>
      <c r="C545" s="3" t="s">
        <v>33</v>
      </c>
      <c r="D545" s="3" t="s">
        <v>41</v>
      </c>
      <c r="E545" s="3" t="s">
        <v>25</v>
      </c>
      <c r="F545" s="3" t="s">
        <v>25</v>
      </c>
      <c r="G545" s="3" t="s">
        <v>25</v>
      </c>
      <c r="H545" s="3" t="s">
        <v>34</v>
      </c>
      <c r="I545" s="6">
        <v>44713</v>
      </c>
      <c r="J545" s="4">
        <v>0</v>
      </c>
      <c r="K545" s="4">
        <v>0</v>
      </c>
      <c r="L545" s="4">
        <v>1.2E-2</v>
      </c>
      <c r="M545" s="4">
        <v>1.2E-2</v>
      </c>
      <c r="N545" s="4">
        <v>1.2E-2</v>
      </c>
      <c r="O545" s="4">
        <v>1.2E-2</v>
      </c>
      <c r="P545" s="4">
        <v>0</v>
      </c>
      <c r="Q545" s="3" t="s">
        <v>26</v>
      </c>
      <c r="R545" s="3">
        <v>0</v>
      </c>
      <c r="S545" s="4">
        <v>0</v>
      </c>
      <c r="T545" s="4">
        <v>44</v>
      </c>
      <c r="U545" s="4">
        <v>84</v>
      </c>
      <c r="V545" s="4">
        <f>IF(ISERROR(VLOOKUP($S$545,'TAR FIN'!$A$1:$O$91,15,0)),0,VLOOKUP($S$545,'TAR FIN'!$A$1:$O$91,15,0))</f>
        <v>0</v>
      </c>
      <c r="W545" s="4">
        <f>IF(ISERROR(VLOOKUP($T$545,'TAR FIN'!$A$1:$O$91,15,0)),0,VLOOKUP($T$545,'TAR FIN'!$A$1:$O$91,15,0))</f>
        <v>1127.9100000000001</v>
      </c>
      <c r="X545" s="4">
        <f>IF(ISERROR(VLOOKUP($U$545,'TAR FIN'!$A$1:$O$91,15,0)),0,VLOOKUP($U$545,'TAR FIN'!$A$1:$O$91,15,0))</f>
        <v>298.83999999999997</v>
      </c>
      <c r="Y545" s="4"/>
      <c r="Z545" s="4">
        <f ca="1">('TUSD BE'!$AM$48+'TUSD BF_350'!$AM$48+'TUSD CVA'!$AM$48)*1</f>
        <v>1272.1208638466596</v>
      </c>
      <c r="AA545" s="4">
        <f ca="1">('TE BE'!$AB$39+'TE BF_350'!$AB$39+'TE CVA'!$AB$39)*1</f>
        <v>311.4117891483653</v>
      </c>
      <c r="AB545" s="4">
        <f>$K$545*$V$545</f>
        <v>0</v>
      </c>
      <c r="AC545" s="4">
        <f>$M$545*$W$545</f>
        <v>13.534920000000001</v>
      </c>
      <c r="AD545" s="4">
        <f>$O$545*$X$545</f>
        <v>3.5860799999999999</v>
      </c>
      <c r="AE545" s="4">
        <f>$K$545*$Y$545</f>
        <v>0</v>
      </c>
      <c r="AF545" s="4">
        <f ca="1">$M$545*$Z$545</f>
        <v>15.265450366159916</v>
      </c>
      <c r="AG545" s="4">
        <f ca="1">$O$545*$AA$545</f>
        <v>3.7369414697803838</v>
      </c>
    </row>
    <row r="546" spans="1:33" ht="11.25" customHeight="1" x14ac:dyDescent="0.3">
      <c r="A546" s="3" t="s">
        <v>21</v>
      </c>
      <c r="B546" s="3" t="s">
        <v>37</v>
      </c>
      <c r="C546" s="3" t="s">
        <v>33</v>
      </c>
      <c r="D546" s="3" t="s">
        <v>38</v>
      </c>
      <c r="E546" s="3" t="s">
        <v>25</v>
      </c>
      <c r="F546" s="3" t="s">
        <v>25</v>
      </c>
      <c r="G546" s="3" t="s">
        <v>25</v>
      </c>
      <c r="H546" s="3" t="s">
        <v>34</v>
      </c>
      <c r="I546" s="6">
        <v>44562</v>
      </c>
      <c r="J546" s="4">
        <v>0</v>
      </c>
      <c r="K546" s="4">
        <v>0</v>
      </c>
      <c r="L546" s="4">
        <v>5.3410000000000002</v>
      </c>
      <c r="M546" s="4">
        <v>5.3410000000000002</v>
      </c>
      <c r="N546" s="4">
        <v>5.3410000000000002</v>
      </c>
      <c r="O546" s="4">
        <v>5.3410000000000002</v>
      </c>
      <c r="P546" s="4">
        <v>0</v>
      </c>
      <c r="Q546" s="3" t="s">
        <v>26</v>
      </c>
      <c r="R546" s="3">
        <v>0</v>
      </c>
      <c r="S546" s="4">
        <v>0</v>
      </c>
      <c r="T546" s="4">
        <v>44</v>
      </c>
      <c r="U546" s="4">
        <v>84</v>
      </c>
      <c r="V546" s="4">
        <f>IF(ISERROR(VLOOKUP($S$546,'TAR FIN'!$A$1:$O$91,15,0)),0,VLOOKUP($S$546,'TAR FIN'!$A$1:$O$91,15,0))</f>
        <v>0</v>
      </c>
      <c r="W546" s="4">
        <f>IF(ISERROR(VLOOKUP($T$546,'TAR FIN'!$A$1:$O$91,15,0)),0,VLOOKUP($T$546,'TAR FIN'!$A$1:$O$91,15,0))</f>
        <v>1127.9100000000001</v>
      </c>
      <c r="X546" s="4">
        <f>IF(ISERROR(VLOOKUP($U$546,'TAR FIN'!$A$1:$O$91,15,0)),0,VLOOKUP($U$546,'TAR FIN'!$A$1:$O$91,15,0))</f>
        <v>298.83999999999997</v>
      </c>
      <c r="Y546" s="4"/>
      <c r="Z546" s="4">
        <f ca="1">('TUSD BE'!$AM$48+'TUSD BF_350'!$AM$48+'TUSD CVA'!$AM$48)*1</f>
        <v>1272.1208638466596</v>
      </c>
      <c r="AA546" s="4">
        <f ca="1">('TE BE'!$AB$39+'TE BF_350'!$AB$39+'TE CVA'!$AB$39)*1</f>
        <v>311.4117891483653</v>
      </c>
      <c r="AB546" s="4">
        <f>$K$546*$V$546</f>
        <v>0</v>
      </c>
      <c r="AC546" s="4">
        <f>$M$546*$W$546</f>
        <v>6024.1673100000007</v>
      </c>
      <c r="AD546" s="4">
        <f>$O$546*$X$546</f>
        <v>1596.1044399999998</v>
      </c>
      <c r="AE546" s="4">
        <f>$K$546*$Y$546</f>
        <v>0</v>
      </c>
      <c r="AF546" s="4">
        <f ca="1">$M$546*$Z$546</f>
        <v>6794.3975338050095</v>
      </c>
      <c r="AG546" s="4">
        <f ca="1">$O$546*$AA$546</f>
        <v>1663.2503658414191</v>
      </c>
    </row>
    <row r="547" spans="1:33" ht="11.25" customHeight="1" x14ac:dyDescent="0.3">
      <c r="A547" s="3" t="s">
        <v>21</v>
      </c>
      <c r="B547" s="3" t="s">
        <v>37</v>
      </c>
      <c r="C547" s="3" t="s">
        <v>33</v>
      </c>
      <c r="D547" s="3" t="s">
        <v>44</v>
      </c>
      <c r="E547" s="3" t="s">
        <v>25</v>
      </c>
      <c r="F547" s="3" t="s">
        <v>25</v>
      </c>
      <c r="G547" s="3" t="s">
        <v>25</v>
      </c>
      <c r="H547" s="3" t="s">
        <v>35</v>
      </c>
      <c r="I547" s="6">
        <v>44652</v>
      </c>
      <c r="J547" s="4">
        <v>0</v>
      </c>
      <c r="K547" s="4">
        <v>0</v>
      </c>
      <c r="L547" s="4">
        <v>0.433</v>
      </c>
      <c r="M547" s="4">
        <v>0.433</v>
      </c>
      <c r="N547" s="4">
        <v>0.433</v>
      </c>
      <c r="O547" s="4">
        <v>0.433</v>
      </c>
      <c r="P547" s="4">
        <v>0</v>
      </c>
      <c r="Q547" s="3" t="s">
        <v>26</v>
      </c>
      <c r="R547" s="3">
        <v>0</v>
      </c>
      <c r="S547" s="4">
        <v>0</v>
      </c>
      <c r="T547" s="4">
        <v>46</v>
      </c>
      <c r="U547" s="4">
        <v>86</v>
      </c>
      <c r="V547" s="4">
        <f>IF(ISERROR(VLOOKUP($S$547,'TAR FIN'!$A$1:$O$91,15,0)),0,VLOOKUP($S$547,'TAR FIN'!$A$1:$O$91,15,0))</f>
        <v>0</v>
      </c>
      <c r="W547" s="4">
        <f>IF(ISERROR(VLOOKUP($T$547,'TAR FIN'!$A$1:$O$91,15,0)),0,VLOOKUP($T$547,'TAR FIN'!$A$1:$O$91,15,0))</f>
        <v>315.24</v>
      </c>
      <c r="X547" s="4">
        <f>IF(ISERROR(VLOOKUP($U$547,'TAR FIN'!$A$1:$O$91,15,0)),0,VLOOKUP($U$547,'TAR FIN'!$A$1:$O$91,15,0))</f>
        <v>189.96</v>
      </c>
      <c r="Y547" s="4"/>
      <c r="Z547" s="4">
        <f ca="1">('TUSD BE'!$AM$50+'TUSD BF_350'!$AM$50+'TUSD CVA'!$AM$50)*1</f>
        <v>357.05828664618559</v>
      </c>
      <c r="AA547" s="4">
        <f ca="1">('TE BE'!$AB$41+'TE BF_350'!$AB$41+'TE CVA'!$AB$41)*1</f>
        <v>195.89707226799715</v>
      </c>
      <c r="AB547" s="4">
        <f>$K$547*$V$547</f>
        <v>0</v>
      </c>
      <c r="AC547" s="4">
        <f>$M$547*$W$547</f>
        <v>136.49892</v>
      </c>
      <c r="AD547" s="4">
        <f>$O$547*$X$547</f>
        <v>82.252679999999998</v>
      </c>
      <c r="AE547" s="4">
        <f>$K$547*$Y$547</f>
        <v>0</v>
      </c>
      <c r="AF547" s="4">
        <f ca="1">$M$547*$Z$547</f>
        <v>154.60623811779837</v>
      </c>
      <c r="AG547" s="4">
        <f ca="1">$O$547*$AA$547</f>
        <v>84.823432292042767</v>
      </c>
    </row>
    <row r="548" spans="1:33" ht="11.25" customHeight="1" x14ac:dyDescent="0.3">
      <c r="A548" s="3" t="s">
        <v>21</v>
      </c>
      <c r="B548" s="3" t="s">
        <v>37</v>
      </c>
      <c r="C548" s="3" t="s">
        <v>33</v>
      </c>
      <c r="D548" s="3" t="s">
        <v>44</v>
      </c>
      <c r="E548" s="3" t="s">
        <v>25</v>
      </c>
      <c r="F548" s="3" t="s">
        <v>25</v>
      </c>
      <c r="G548" s="3" t="s">
        <v>25</v>
      </c>
      <c r="H548" s="3" t="s">
        <v>35</v>
      </c>
      <c r="I548" s="6">
        <v>44682</v>
      </c>
      <c r="J548" s="4">
        <v>0</v>
      </c>
      <c r="K548" s="4">
        <v>0</v>
      </c>
      <c r="L548" s="4">
        <v>1.272</v>
      </c>
      <c r="M548" s="4">
        <v>1.272</v>
      </c>
      <c r="N548" s="4">
        <v>1.272</v>
      </c>
      <c r="O548" s="4">
        <v>1.272</v>
      </c>
      <c r="P548" s="4">
        <v>0</v>
      </c>
      <c r="Q548" s="3" t="s">
        <v>26</v>
      </c>
      <c r="R548" s="3">
        <v>0</v>
      </c>
      <c r="S548" s="4">
        <v>0</v>
      </c>
      <c r="T548" s="4">
        <v>46</v>
      </c>
      <c r="U548" s="4">
        <v>86</v>
      </c>
      <c r="V548" s="4">
        <f>IF(ISERROR(VLOOKUP($S$548,'TAR FIN'!$A$1:$O$91,15,0)),0,VLOOKUP($S$548,'TAR FIN'!$A$1:$O$91,15,0))</f>
        <v>0</v>
      </c>
      <c r="W548" s="4">
        <f>IF(ISERROR(VLOOKUP($T$548,'TAR FIN'!$A$1:$O$91,15,0)),0,VLOOKUP($T$548,'TAR FIN'!$A$1:$O$91,15,0))</f>
        <v>315.24</v>
      </c>
      <c r="X548" s="4">
        <f>IF(ISERROR(VLOOKUP($U$548,'TAR FIN'!$A$1:$O$91,15,0)),0,VLOOKUP($U$548,'TAR FIN'!$A$1:$O$91,15,0))</f>
        <v>189.96</v>
      </c>
      <c r="Y548" s="4"/>
      <c r="Z548" s="4">
        <f ca="1">('TUSD BE'!$AM$50+'TUSD BF_350'!$AM$50+'TUSD CVA'!$AM$50)*1</f>
        <v>357.05828664618559</v>
      </c>
      <c r="AA548" s="4">
        <f ca="1">('TE BE'!$AB$41+'TE BF_350'!$AB$41+'TE CVA'!$AB$41)*1</f>
        <v>195.89707226799715</v>
      </c>
      <c r="AB548" s="4">
        <f>$K$548*$V$548</f>
        <v>0</v>
      </c>
      <c r="AC548" s="4">
        <f>$M$548*$W$548</f>
        <v>400.98528000000005</v>
      </c>
      <c r="AD548" s="4">
        <f>$O$548*$X$548</f>
        <v>241.62912</v>
      </c>
      <c r="AE548" s="4">
        <f>$K$548*$Y$548</f>
        <v>0</v>
      </c>
      <c r="AF548" s="4">
        <f ca="1">$M$548*$Z$548</f>
        <v>454.17814061394807</v>
      </c>
      <c r="AG548" s="4">
        <f ca="1">$O$548*$AA$548</f>
        <v>249.18107592489238</v>
      </c>
    </row>
    <row r="549" spans="1:33" ht="11.25" customHeight="1" x14ac:dyDescent="0.3">
      <c r="A549" s="3" t="s">
        <v>21</v>
      </c>
      <c r="B549" s="3" t="s">
        <v>37</v>
      </c>
      <c r="C549" s="3" t="s">
        <v>33</v>
      </c>
      <c r="D549" s="3" t="s">
        <v>44</v>
      </c>
      <c r="E549" s="3" t="s">
        <v>25</v>
      </c>
      <c r="F549" s="3" t="s">
        <v>25</v>
      </c>
      <c r="G549" s="3" t="s">
        <v>25</v>
      </c>
      <c r="H549" s="3" t="s">
        <v>35</v>
      </c>
      <c r="I549" s="6">
        <v>44713</v>
      </c>
      <c r="J549" s="4">
        <v>0</v>
      </c>
      <c r="K549" s="4">
        <v>0</v>
      </c>
      <c r="L549" s="4">
        <v>1.7450000000000001</v>
      </c>
      <c r="M549" s="4">
        <v>1.7450000000000001</v>
      </c>
      <c r="N549" s="4">
        <v>1.7450000000000001</v>
      </c>
      <c r="O549" s="4">
        <v>1.7450000000000001</v>
      </c>
      <c r="P549" s="4">
        <v>0</v>
      </c>
      <c r="Q549" s="3" t="s">
        <v>26</v>
      </c>
      <c r="R549" s="3">
        <v>0</v>
      </c>
      <c r="S549" s="4">
        <v>0</v>
      </c>
      <c r="T549" s="4">
        <v>46</v>
      </c>
      <c r="U549" s="4">
        <v>86</v>
      </c>
      <c r="V549" s="4">
        <f>IF(ISERROR(VLOOKUP($S$549,'TAR FIN'!$A$1:$O$91,15,0)),0,VLOOKUP($S$549,'TAR FIN'!$A$1:$O$91,15,0))</f>
        <v>0</v>
      </c>
      <c r="W549" s="4">
        <f>IF(ISERROR(VLOOKUP($T$549,'TAR FIN'!$A$1:$O$91,15,0)),0,VLOOKUP($T$549,'TAR FIN'!$A$1:$O$91,15,0))</f>
        <v>315.24</v>
      </c>
      <c r="X549" s="4">
        <f>IF(ISERROR(VLOOKUP($U$549,'TAR FIN'!$A$1:$O$91,15,0)),0,VLOOKUP($U$549,'TAR FIN'!$A$1:$O$91,15,0))</f>
        <v>189.96</v>
      </c>
      <c r="Y549" s="4"/>
      <c r="Z549" s="4">
        <f ca="1">('TUSD BE'!$AM$50+'TUSD BF_350'!$AM$50+'TUSD CVA'!$AM$50)*1</f>
        <v>357.05828664618559</v>
      </c>
      <c r="AA549" s="4">
        <f ca="1">('TE BE'!$AB$41+'TE BF_350'!$AB$41+'TE CVA'!$AB$41)*1</f>
        <v>195.89707226799715</v>
      </c>
      <c r="AB549" s="4">
        <f>$K$549*$V$549</f>
        <v>0</v>
      </c>
      <c r="AC549" s="4">
        <f>$M$549*$W$549</f>
        <v>550.0938000000001</v>
      </c>
      <c r="AD549" s="4">
        <f>$O$549*$X$549</f>
        <v>331.48020000000002</v>
      </c>
      <c r="AE549" s="4">
        <f>$K$549*$Y$549</f>
        <v>0</v>
      </c>
      <c r="AF549" s="4">
        <f ca="1">$M$549*$Z$549</f>
        <v>623.06671019759392</v>
      </c>
      <c r="AG549" s="4">
        <f ca="1">$O$549*$AA$549</f>
        <v>341.84039110765502</v>
      </c>
    </row>
    <row r="550" spans="1:33" ht="11.25" customHeight="1" x14ac:dyDescent="0.3">
      <c r="A550" s="3" t="s">
        <v>21</v>
      </c>
      <c r="B550" s="3" t="s">
        <v>37</v>
      </c>
      <c r="C550" s="3" t="s">
        <v>33</v>
      </c>
      <c r="D550" s="3" t="s">
        <v>44</v>
      </c>
      <c r="E550" s="3" t="s">
        <v>25</v>
      </c>
      <c r="F550" s="3" t="s">
        <v>25</v>
      </c>
      <c r="G550" s="3" t="s">
        <v>25</v>
      </c>
      <c r="H550" s="3" t="s">
        <v>36</v>
      </c>
      <c r="I550" s="6">
        <v>44652</v>
      </c>
      <c r="J550" s="4">
        <v>0</v>
      </c>
      <c r="K550" s="4">
        <v>0</v>
      </c>
      <c r="L550" s="4">
        <v>1.0999999999999999E-2</v>
      </c>
      <c r="M550" s="4">
        <v>1.0999999999999999E-2</v>
      </c>
      <c r="N550" s="4">
        <v>1.0999999999999999E-2</v>
      </c>
      <c r="O550" s="4">
        <v>1.0999999999999999E-2</v>
      </c>
      <c r="P550" s="4">
        <v>0</v>
      </c>
      <c r="Q550" s="3" t="s">
        <v>26</v>
      </c>
      <c r="R550" s="3">
        <v>0</v>
      </c>
      <c r="S550" s="4">
        <v>0</v>
      </c>
      <c r="T550" s="4">
        <v>45</v>
      </c>
      <c r="U550" s="4">
        <v>85</v>
      </c>
      <c r="V550" s="4">
        <f>IF(ISERROR(VLOOKUP($S$550,'TAR FIN'!$A$1:$O$91,15,0)),0,VLOOKUP($S$550,'TAR FIN'!$A$1:$O$91,15,0))</f>
        <v>0</v>
      </c>
      <c r="W550" s="4">
        <f>IF(ISERROR(VLOOKUP($T$550,'TAR FIN'!$A$1:$O$91,15,0)),0,VLOOKUP($T$550,'TAR FIN'!$A$1:$O$91,15,0))</f>
        <v>721.58</v>
      </c>
      <c r="X550" s="4">
        <f>IF(ISERROR(VLOOKUP($U$550,'TAR FIN'!$A$1:$O$91,15,0)),0,VLOOKUP($U$550,'TAR FIN'!$A$1:$O$91,15,0))</f>
        <v>189.96</v>
      </c>
      <c r="Y550" s="4"/>
      <c r="Z550" s="4">
        <f ca="1">('TUSD BE'!$AM$49+'TUSD BF_350'!$AM$49+'TUSD CVA'!$AM$49)*1</f>
        <v>814.58961420525986</v>
      </c>
      <c r="AA550" s="4">
        <f ca="1">('TE BE'!$AB$40+'TE BF_350'!$AB$40+'TE CVA'!$AB$40)*1</f>
        <v>195.89707226799715</v>
      </c>
      <c r="AB550" s="4">
        <f>$K$550*$V$550</f>
        <v>0</v>
      </c>
      <c r="AC550" s="4">
        <f>$M$550*$W$550</f>
        <v>7.9373800000000001</v>
      </c>
      <c r="AD550" s="4">
        <f>$O$550*$X$550</f>
        <v>2.0895600000000001</v>
      </c>
      <c r="AE550" s="4">
        <f>$K$550*$Y$550</f>
        <v>0</v>
      </c>
      <c r="AF550" s="4">
        <f ca="1">$M$550*$Z$550</f>
        <v>8.9604857562578584</v>
      </c>
      <c r="AG550" s="4">
        <f ca="1">$O$550*$AA$550</f>
        <v>2.1548677949479687</v>
      </c>
    </row>
    <row r="551" spans="1:33" ht="11.25" customHeight="1" x14ac:dyDescent="0.3">
      <c r="A551" s="3" t="s">
        <v>21</v>
      </c>
      <c r="B551" s="3" t="s">
        <v>37</v>
      </c>
      <c r="C551" s="3" t="s">
        <v>33</v>
      </c>
      <c r="D551" s="3" t="s">
        <v>44</v>
      </c>
      <c r="E551" s="3" t="s">
        <v>25</v>
      </c>
      <c r="F551" s="3" t="s">
        <v>25</v>
      </c>
      <c r="G551" s="3" t="s">
        <v>25</v>
      </c>
      <c r="H551" s="3" t="s">
        <v>36</v>
      </c>
      <c r="I551" s="6">
        <v>44682</v>
      </c>
      <c r="J551" s="4">
        <v>0</v>
      </c>
      <c r="K551" s="4">
        <v>0</v>
      </c>
      <c r="L551" s="4">
        <v>7.5999999999999998E-2</v>
      </c>
      <c r="M551" s="4">
        <v>7.5999999999999998E-2</v>
      </c>
      <c r="N551" s="4">
        <v>7.5999999999999998E-2</v>
      </c>
      <c r="O551" s="4">
        <v>7.5999999999999998E-2</v>
      </c>
      <c r="P551" s="4">
        <v>0</v>
      </c>
      <c r="Q551" s="3" t="s">
        <v>26</v>
      </c>
      <c r="R551" s="3">
        <v>0</v>
      </c>
      <c r="S551" s="4">
        <v>0</v>
      </c>
      <c r="T551" s="4">
        <v>45</v>
      </c>
      <c r="U551" s="4">
        <v>85</v>
      </c>
      <c r="V551" s="4">
        <f>IF(ISERROR(VLOOKUP($S$551,'TAR FIN'!$A$1:$O$91,15,0)),0,VLOOKUP($S$551,'TAR FIN'!$A$1:$O$91,15,0))</f>
        <v>0</v>
      </c>
      <c r="W551" s="4">
        <f>IF(ISERROR(VLOOKUP($T$551,'TAR FIN'!$A$1:$O$91,15,0)),0,VLOOKUP($T$551,'TAR FIN'!$A$1:$O$91,15,0))</f>
        <v>721.58</v>
      </c>
      <c r="X551" s="4">
        <f>IF(ISERROR(VLOOKUP($U$551,'TAR FIN'!$A$1:$O$91,15,0)),0,VLOOKUP($U$551,'TAR FIN'!$A$1:$O$91,15,0))</f>
        <v>189.96</v>
      </c>
      <c r="Y551" s="4"/>
      <c r="Z551" s="4">
        <f ca="1">('TUSD BE'!$AM$49+'TUSD BF_350'!$AM$49+'TUSD CVA'!$AM$49)*1</f>
        <v>814.58961420525986</v>
      </c>
      <c r="AA551" s="4">
        <f ca="1">('TE BE'!$AB$40+'TE BF_350'!$AB$40+'TE CVA'!$AB$40)*1</f>
        <v>195.89707226799715</v>
      </c>
      <c r="AB551" s="4">
        <f>$K$551*$V$551</f>
        <v>0</v>
      </c>
      <c r="AC551" s="4">
        <f>$M$551*$W$551</f>
        <v>54.84008</v>
      </c>
      <c r="AD551" s="4">
        <f>$O$551*$X$551</f>
        <v>14.436960000000001</v>
      </c>
      <c r="AE551" s="4">
        <f>$K$551*$Y$551</f>
        <v>0</v>
      </c>
      <c r="AF551" s="4">
        <f ca="1">$M$551*$Z$551</f>
        <v>61.908810679599746</v>
      </c>
      <c r="AG551" s="4">
        <f ca="1">$O$551*$AA$551</f>
        <v>14.888177492367783</v>
      </c>
    </row>
    <row r="552" spans="1:33" ht="11.25" customHeight="1" x14ac:dyDescent="0.3">
      <c r="A552" s="3" t="s">
        <v>21</v>
      </c>
      <c r="B552" s="3" t="s">
        <v>37</v>
      </c>
      <c r="C552" s="3" t="s">
        <v>33</v>
      </c>
      <c r="D552" s="3" t="s">
        <v>44</v>
      </c>
      <c r="E552" s="3" t="s">
        <v>25</v>
      </c>
      <c r="F552" s="3" t="s">
        <v>25</v>
      </c>
      <c r="G552" s="3" t="s">
        <v>25</v>
      </c>
      <c r="H552" s="3" t="s">
        <v>36</v>
      </c>
      <c r="I552" s="6">
        <v>44713</v>
      </c>
      <c r="J552" s="4">
        <v>0</v>
      </c>
      <c r="K552" s="4">
        <v>0</v>
      </c>
      <c r="L552" s="4">
        <v>0.113</v>
      </c>
      <c r="M552" s="4">
        <v>0.113</v>
      </c>
      <c r="N552" s="4">
        <v>0.113</v>
      </c>
      <c r="O552" s="4">
        <v>0.113</v>
      </c>
      <c r="P552" s="4">
        <v>0</v>
      </c>
      <c r="Q552" s="3" t="s">
        <v>26</v>
      </c>
      <c r="R552" s="3">
        <v>0</v>
      </c>
      <c r="S552" s="4">
        <v>0</v>
      </c>
      <c r="T552" s="4">
        <v>45</v>
      </c>
      <c r="U552" s="4">
        <v>85</v>
      </c>
      <c r="V552" s="4">
        <f>IF(ISERROR(VLOOKUP($S$552,'TAR FIN'!$A$1:$O$91,15,0)),0,VLOOKUP($S$552,'TAR FIN'!$A$1:$O$91,15,0))</f>
        <v>0</v>
      </c>
      <c r="W552" s="4">
        <f>IF(ISERROR(VLOOKUP($T$552,'TAR FIN'!$A$1:$O$91,15,0)),0,VLOOKUP($T$552,'TAR FIN'!$A$1:$O$91,15,0))</f>
        <v>721.58</v>
      </c>
      <c r="X552" s="4">
        <f>IF(ISERROR(VLOOKUP($U$552,'TAR FIN'!$A$1:$O$91,15,0)),0,VLOOKUP($U$552,'TAR FIN'!$A$1:$O$91,15,0))</f>
        <v>189.96</v>
      </c>
      <c r="Y552" s="4"/>
      <c r="Z552" s="4">
        <f ca="1">('TUSD BE'!$AM$49+'TUSD BF_350'!$AM$49+'TUSD CVA'!$AM$49)*1</f>
        <v>814.58961420525986</v>
      </c>
      <c r="AA552" s="4">
        <f ca="1">('TE BE'!$AB$40+'TE BF_350'!$AB$40+'TE CVA'!$AB$40)*1</f>
        <v>195.89707226799715</v>
      </c>
      <c r="AB552" s="4">
        <f>$K$552*$V$552</f>
        <v>0</v>
      </c>
      <c r="AC552" s="4">
        <f>$M$552*$W$552</f>
        <v>81.538540000000012</v>
      </c>
      <c r="AD552" s="4">
        <f>$O$552*$X$552</f>
        <v>21.465480000000003</v>
      </c>
      <c r="AE552" s="4">
        <f>$K$552*$Y$552</f>
        <v>0</v>
      </c>
      <c r="AF552" s="4">
        <f ca="1">$M$552*$Z$552</f>
        <v>92.048626405194369</v>
      </c>
      <c r="AG552" s="4">
        <f ca="1">$O$552*$AA$552</f>
        <v>22.136369166283679</v>
      </c>
    </row>
    <row r="553" spans="1:33" ht="11.25" customHeight="1" x14ac:dyDescent="0.3">
      <c r="A553" s="3" t="s">
        <v>21</v>
      </c>
      <c r="B553" s="3" t="s">
        <v>37</v>
      </c>
      <c r="C553" s="3" t="s">
        <v>33</v>
      </c>
      <c r="D553" s="3" t="s">
        <v>44</v>
      </c>
      <c r="E553" s="3" t="s">
        <v>25</v>
      </c>
      <c r="F553" s="3" t="s">
        <v>25</v>
      </c>
      <c r="G553" s="3" t="s">
        <v>25</v>
      </c>
      <c r="H553" s="3" t="s">
        <v>34</v>
      </c>
      <c r="I553" s="6">
        <v>44562</v>
      </c>
      <c r="J553" s="4">
        <v>0</v>
      </c>
      <c r="K553" s="4">
        <v>0</v>
      </c>
      <c r="L553" s="4">
        <v>2.669</v>
      </c>
      <c r="M553" s="4">
        <v>2.669</v>
      </c>
      <c r="N553" s="4">
        <v>2.669</v>
      </c>
      <c r="O553" s="4">
        <v>2.669</v>
      </c>
      <c r="P553" s="4">
        <v>0</v>
      </c>
      <c r="Q553" s="3" t="s">
        <v>26</v>
      </c>
      <c r="R553" s="3">
        <v>0</v>
      </c>
      <c r="S553" s="4">
        <v>0</v>
      </c>
      <c r="T553" s="4">
        <v>44</v>
      </c>
      <c r="U553" s="4">
        <v>84</v>
      </c>
      <c r="V553" s="4">
        <f>IF(ISERROR(VLOOKUP($S$553,'TAR FIN'!$A$1:$O$91,15,0)),0,VLOOKUP($S$553,'TAR FIN'!$A$1:$O$91,15,0))</f>
        <v>0</v>
      </c>
      <c r="W553" s="4">
        <f>IF(ISERROR(VLOOKUP($T$553,'TAR FIN'!$A$1:$O$91,15,0)),0,VLOOKUP($T$553,'TAR FIN'!$A$1:$O$91,15,0))</f>
        <v>1127.9100000000001</v>
      </c>
      <c r="X553" s="4">
        <f>IF(ISERROR(VLOOKUP($U$553,'TAR FIN'!$A$1:$O$91,15,0)),0,VLOOKUP($U$553,'TAR FIN'!$A$1:$O$91,15,0))</f>
        <v>298.83999999999997</v>
      </c>
      <c r="Y553" s="4"/>
      <c r="Z553" s="4">
        <f ca="1">('TUSD BE'!$AM$48+'TUSD BF_350'!$AM$48+'TUSD CVA'!$AM$48)*1</f>
        <v>1272.1208638466596</v>
      </c>
      <c r="AA553" s="4">
        <f ca="1">('TE BE'!$AB$39+'TE BF_350'!$AB$39+'TE CVA'!$AB$39)*1</f>
        <v>311.4117891483653</v>
      </c>
      <c r="AB553" s="4">
        <f>$K$553*$V$553</f>
        <v>0</v>
      </c>
      <c r="AC553" s="4">
        <f>$M$553*$W$553</f>
        <v>3010.3917900000001</v>
      </c>
      <c r="AD553" s="4">
        <f>$O$553*$X$553</f>
        <v>797.60395999999992</v>
      </c>
      <c r="AE553" s="4">
        <f>$K$553*$Y$553</f>
        <v>0</v>
      </c>
      <c r="AF553" s="4">
        <f ca="1">$M$553*$Z$553</f>
        <v>3395.2905856067346</v>
      </c>
      <c r="AG553" s="4">
        <f ca="1">$O$553*$AA$553</f>
        <v>831.158065236987</v>
      </c>
    </row>
    <row r="554" spans="1:33" ht="11.25" customHeight="1" x14ac:dyDescent="0.3">
      <c r="A554" s="3" t="s">
        <v>21</v>
      </c>
      <c r="B554" s="3" t="s">
        <v>37</v>
      </c>
      <c r="C554" s="3" t="s">
        <v>33</v>
      </c>
      <c r="D554" s="3" t="s">
        <v>44</v>
      </c>
      <c r="E554" s="3" t="s">
        <v>25</v>
      </c>
      <c r="F554" s="3" t="s">
        <v>25</v>
      </c>
      <c r="G554" s="3" t="s">
        <v>25</v>
      </c>
      <c r="H554" s="3" t="s">
        <v>34</v>
      </c>
      <c r="I554" s="6">
        <v>44652</v>
      </c>
      <c r="J554" s="4">
        <v>0</v>
      </c>
      <c r="K554" s="4">
        <v>0</v>
      </c>
      <c r="L554" s="4">
        <v>1.4E-2</v>
      </c>
      <c r="M554" s="4">
        <v>1.4E-2</v>
      </c>
      <c r="N554" s="4">
        <v>1.4E-2</v>
      </c>
      <c r="O554" s="4">
        <v>1.4E-2</v>
      </c>
      <c r="P554" s="4">
        <v>0</v>
      </c>
      <c r="Q554" s="3" t="s">
        <v>26</v>
      </c>
      <c r="R554" s="3">
        <v>0</v>
      </c>
      <c r="S554" s="4">
        <v>0</v>
      </c>
      <c r="T554" s="4">
        <v>44</v>
      </c>
      <c r="U554" s="4">
        <v>84</v>
      </c>
      <c r="V554" s="4">
        <f>IF(ISERROR(VLOOKUP($S$554,'TAR FIN'!$A$1:$O$91,15,0)),0,VLOOKUP($S$554,'TAR FIN'!$A$1:$O$91,15,0))</f>
        <v>0</v>
      </c>
      <c r="W554" s="4">
        <f>IF(ISERROR(VLOOKUP($T$554,'TAR FIN'!$A$1:$O$91,15,0)),0,VLOOKUP($T$554,'TAR FIN'!$A$1:$O$91,15,0))</f>
        <v>1127.9100000000001</v>
      </c>
      <c r="X554" s="4">
        <f>IF(ISERROR(VLOOKUP($U$554,'TAR FIN'!$A$1:$O$91,15,0)),0,VLOOKUP($U$554,'TAR FIN'!$A$1:$O$91,15,0))</f>
        <v>298.83999999999997</v>
      </c>
      <c r="Y554" s="4"/>
      <c r="Z554" s="4">
        <f ca="1">('TUSD BE'!$AM$48+'TUSD BF_350'!$AM$48+'TUSD CVA'!$AM$48)*1</f>
        <v>1272.1208638466596</v>
      </c>
      <c r="AA554" s="4">
        <f ca="1">('TE BE'!$AB$39+'TE BF_350'!$AB$39+'TE CVA'!$AB$39)*1</f>
        <v>311.4117891483653</v>
      </c>
      <c r="AB554" s="4">
        <f>$K$554*$V$554</f>
        <v>0</v>
      </c>
      <c r="AC554" s="4">
        <f>$M$554*$W$554</f>
        <v>15.790740000000001</v>
      </c>
      <c r="AD554" s="4">
        <f>$O$554*$X$554</f>
        <v>4.1837599999999995</v>
      </c>
      <c r="AE554" s="4">
        <f>$K$554*$Y$554</f>
        <v>0</v>
      </c>
      <c r="AF554" s="4">
        <f ca="1">$M$554*$Z$554</f>
        <v>17.809692093853236</v>
      </c>
      <c r="AG554" s="4">
        <f ca="1">$O$554*$AA$554</f>
        <v>4.3597650480771142</v>
      </c>
    </row>
    <row r="555" spans="1:33" ht="11.25" customHeight="1" x14ac:dyDescent="0.3">
      <c r="A555" s="3" t="s">
        <v>21</v>
      </c>
      <c r="B555" s="3" t="s">
        <v>37</v>
      </c>
      <c r="C555" s="3" t="s">
        <v>33</v>
      </c>
      <c r="D555" s="3" t="s">
        <v>44</v>
      </c>
      <c r="E555" s="3" t="s">
        <v>25</v>
      </c>
      <c r="F555" s="3" t="s">
        <v>25</v>
      </c>
      <c r="G555" s="3" t="s">
        <v>25</v>
      </c>
      <c r="H555" s="3" t="s">
        <v>34</v>
      </c>
      <c r="I555" s="6">
        <v>44682</v>
      </c>
      <c r="J555" s="4">
        <v>0</v>
      </c>
      <c r="K555" s="4">
        <v>0</v>
      </c>
      <c r="L555" s="4">
        <v>6.7000000000000004E-2</v>
      </c>
      <c r="M555" s="4">
        <v>6.7000000000000004E-2</v>
      </c>
      <c r="N555" s="4">
        <v>6.7000000000000004E-2</v>
      </c>
      <c r="O555" s="4">
        <v>6.7000000000000004E-2</v>
      </c>
      <c r="P555" s="4">
        <v>0</v>
      </c>
      <c r="Q555" s="3" t="s">
        <v>26</v>
      </c>
      <c r="R555" s="3">
        <v>0</v>
      </c>
      <c r="S555" s="4">
        <v>0</v>
      </c>
      <c r="T555" s="4">
        <v>44</v>
      </c>
      <c r="U555" s="4">
        <v>84</v>
      </c>
      <c r="V555" s="4">
        <f>IF(ISERROR(VLOOKUP($S$555,'TAR FIN'!$A$1:$O$91,15,0)),0,VLOOKUP($S$555,'TAR FIN'!$A$1:$O$91,15,0))</f>
        <v>0</v>
      </c>
      <c r="W555" s="4">
        <f>IF(ISERROR(VLOOKUP($T$555,'TAR FIN'!$A$1:$O$91,15,0)),0,VLOOKUP($T$555,'TAR FIN'!$A$1:$O$91,15,0))</f>
        <v>1127.9100000000001</v>
      </c>
      <c r="X555" s="4">
        <f>IF(ISERROR(VLOOKUP($U$555,'TAR FIN'!$A$1:$O$91,15,0)),0,VLOOKUP($U$555,'TAR FIN'!$A$1:$O$91,15,0))</f>
        <v>298.83999999999997</v>
      </c>
      <c r="Y555" s="4"/>
      <c r="Z555" s="4">
        <f ca="1">('TUSD BE'!$AM$48+'TUSD BF_350'!$AM$48+'TUSD CVA'!$AM$48)*1</f>
        <v>1272.1208638466596</v>
      </c>
      <c r="AA555" s="4">
        <f ca="1">('TE BE'!$AB$39+'TE BF_350'!$AB$39+'TE CVA'!$AB$39)*1</f>
        <v>311.4117891483653</v>
      </c>
      <c r="AB555" s="4">
        <f>$K$555*$V$555</f>
        <v>0</v>
      </c>
      <c r="AC555" s="4">
        <f>$M$555*$W$555</f>
        <v>75.569970000000012</v>
      </c>
      <c r="AD555" s="4">
        <f>$O$555*$X$555</f>
        <v>20.022279999999999</v>
      </c>
      <c r="AE555" s="4">
        <f>$K$555*$Y$555</f>
        <v>0</v>
      </c>
      <c r="AF555" s="4">
        <f ca="1">$M$555*$Z$555</f>
        <v>85.232097877726204</v>
      </c>
      <c r="AG555" s="4">
        <f ca="1">$O$555*$AA$555</f>
        <v>20.864589872940478</v>
      </c>
    </row>
    <row r="556" spans="1:33" ht="11.25" customHeight="1" x14ac:dyDescent="0.3">
      <c r="A556" s="3" t="s">
        <v>21</v>
      </c>
      <c r="B556" s="3" t="s">
        <v>37</v>
      </c>
      <c r="C556" s="3" t="s">
        <v>33</v>
      </c>
      <c r="D556" s="3" t="s">
        <v>44</v>
      </c>
      <c r="E556" s="3" t="s">
        <v>25</v>
      </c>
      <c r="F556" s="3" t="s">
        <v>25</v>
      </c>
      <c r="G556" s="3" t="s">
        <v>25</v>
      </c>
      <c r="H556" s="3" t="s">
        <v>34</v>
      </c>
      <c r="I556" s="6">
        <v>44713</v>
      </c>
      <c r="J556" s="4">
        <v>0</v>
      </c>
      <c r="K556" s="4">
        <v>0</v>
      </c>
      <c r="L556" s="4">
        <v>9.6000000000000002E-2</v>
      </c>
      <c r="M556" s="4">
        <v>9.6000000000000002E-2</v>
      </c>
      <c r="N556" s="4">
        <v>9.6000000000000002E-2</v>
      </c>
      <c r="O556" s="4">
        <v>9.6000000000000002E-2</v>
      </c>
      <c r="P556" s="4">
        <v>0</v>
      </c>
      <c r="Q556" s="3" t="s">
        <v>26</v>
      </c>
      <c r="R556" s="3">
        <v>0</v>
      </c>
      <c r="S556" s="4">
        <v>0</v>
      </c>
      <c r="T556" s="4">
        <v>44</v>
      </c>
      <c r="U556" s="4">
        <v>84</v>
      </c>
      <c r="V556" s="4">
        <f>IF(ISERROR(VLOOKUP($S$556,'TAR FIN'!$A$1:$O$91,15,0)),0,VLOOKUP($S$556,'TAR FIN'!$A$1:$O$91,15,0))</f>
        <v>0</v>
      </c>
      <c r="W556" s="4">
        <f>IF(ISERROR(VLOOKUP($T$556,'TAR FIN'!$A$1:$O$91,15,0)),0,VLOOKUP($T$556,'TAR FIN'!$A$1:$O$91,15,0))</f>
        <v>1127.9100000000001</v>
      </c>
      <c r="X556" s="4">
        <f>IF(ISERROR(VLOOKUP($U$556,'TAR FIN'!$A$1:$O$91,15,0)),0,VLOOKUP($U$556,'TAR FIN'!$A$1:$O$91,15,0))</f>
        <v>298.83999999999997</v>
      </c>
      <c r="Y556" s="4"/>
      <c r="Z556" s="4">
        <f ca="1">('TUSD BE'!$AM$48+'TUSD BF_350'!$AM$48+'TUSD CVA'!$AM$48)*1</f>
        <v>1272.1208638466596</v>
      </c>
      <c r="AA556" s="4">
        <f ca="1">('TE BE'!$AB$39+'TE BF_350'!$AB$39+'TE CVA'!$AB$39)*1</f>
        <v>311.4117891483653</v>
      </c>
      <c r="AB556" s="4">
        <f>$K$556*$V$556</f>
        <v>0</v>
      </c>
      <c r="AC556" s="4">
        <f>$M$556*$W$556</f>
        <v>108.27936000000001</v>
      </c>
      <c r="AD556" s="4">
        <f>$O$556*$X$556</f>
        <v>28.688639999999999</v>
      </c>
      <c r="AE556" s="4">
        <f>$K$556*$Y$556</f>
        <v>0</v>
      </c>
      <c r="AF556" s="4">
        <f ca="1">$M$556*$Z$556</f>
        <v>122.12360292927933</v>
      </c>
      <c r="AG556" s="4">
        <f ca="1">$O$556*$AA$556</f>
        <v>29.89553175824307</v>
      </c>
    </row>
    <row r="557" spans="1:33" ht="11.25" customHeight="1" x14ac:dyDescent="0.3">
      <c r="A557" s="3" t="s">
        <v>21</v>
      </c>
      <c r="B557" s="3" t="s">
        <v>37</v>
      </c>
      <c r="C557" s="3" t="s">
        <v>33</v>
      </c>
      <c r="D557" s="3" t="s">
        <v>48</v>
      </c>
      <c r="E557" s="3" t="s">
        <v>49</v>
      </c>
      <c r="F557" s="3" t="s">
        <v>25</v>
      </c>
      <c r="G557" s="3" t="s">
        <v>25</v>
      </c>
      <c r="H557" s="3" t="s">
        <v>34</v>
      </c>
      <c r="I557" s="6">
        <v>44562</v>
      </c>
      <c r="J557" s="4">
        <v>0</v>
      </c>
      <c r="K557" s="88">
        <v>0</v>
      </c>
      <c r="L557" s="4">
        <v>0.69399999999999995</v>
      </c>
      <c r="M557" s="88">
        <v>0.69399999999999995</v>
      </c>
      <c r="N557" s="4">
        <v>0.69399999999999995</v>
      </c>
      <c r="O557" s="88">
        <v>0.69399999999999995</v>
      </c>
      <c r="P557" s="4">
        <v>0</v>
      </c>
      <c r="Q557" s="3" t="s">
        <v>26</v>
      </c>
      <c r="R557" s="3">
        <v>0</v>
      </c>
      <c r="S557" s="4">
        <v>0</v>
      </c>
      <c r="T557" s="4">
        <v>44</v>
      </c>
      <c r="U557" s="4">
        <v>84</v>
      </c>
      <c r="V557" s="88">
        <f>IF(ISERROR(VLOOKUP($S$557,'TAR FIN'!$A$1:$O$91,15,0)),0,VLOOKUP($S$557,'TAR FIN'!$A$1:$O$91,15,0))</f>
        <v>0</v>
      </c>
      <c r="W557" s="88">
        <f>IF(ISERROR(VLOOKUP($T$557,'TAR FIN'!$A$1:$O$91,15,0)),0,VLOOKUP($T$557,'TAR FIN'!$A$1:$O$91,15,0))*(1-0.06)</f>
        <v>1060.2354</v>
      </c>
      <c r="X557" s="88">
        <f>IF(ISERROR(VLOOKUP($U$557,'TAR FIN'!$A$1:$O$91,15,0)),0,VLOOKUP($U$557,'TAR FIN'!$A$1:$O$91,15,0))*(1-0.06)</f>
        <v>280.90959999999995</v>
      </c>
      <c r="Y557" s="88"/>
      <c r="Z557" s="88">
        <f ca="1">('TUSD BE'!$AM$48+'TUSD BF_350'!$AM$48+'TUSD CVA'!$AM$48)*1*(1-0.03)</f>
        <v>1233.9572379312599</v>
      </c>
      <c r="AA557" s="88">
        <f ca="1">('TE BE'!$AB$39+'TE BF_350'!$AB$39+'TE CVA'!$AB$39)*1*(1-0.03)</f>
        <v>302.06943547391433</v>
      </c>
      <c r="AB557" s="4">
        <f>$K$557*$V$557</f>
        <v>0</v>
      </c>
      <c r="AC557" s="4">
        <f>$M$557*$W$557</f>
        <v>735.8033676</v>
      </c>
      <c r="AD557" s="4">
        <f>$O$557*$X$557</f>
        <v>194.95126239999996</v>
      </c>
      <c r="AE557" s="4">
        <f>$K$557*$Y$557</f>
        <v>0</v>
      </c>
      <c r="AF557" s="4">
        <f ca="1">$M$557*$Z$557</f>
        <v>856.36632312429435</v>
      </c>
      <c r="AG557" s="4">
        <f ca="1">$O$557*$AA$557</f>
        <v>209.63618821889654</v>
      </c>
    </row>
    <row r="558" spans="1:33" ht="11.25" customHeight="1" x14ac:dyDescent="0.3">
      <c r="A558" s="3" t="s">
        <v>21</v>
      </c>
      <c r="B558" s="3" t="s">
        <v>37</v>
      </c>
      <c r="C558" s="3" t="s">
        <v>23</v>
      </c>
      <c r="D558" s="3" t="s">
        <v>41</v>
      </c>
      <c r="E558" s="3" t="s">
        <v>25</v>
      </c>
      <c r="F558" s="3" t="s">
        <v>25</v>
      </c>
      <c r="G558" s="3" t="s">
        <v>25</v>
      </c>
      <c r="H558" s="3" t="s">
        <v>25</v>
      </c>
      <c r="I558" s="6">
        <v>44378</v>
      </c>
      <c r="J558" s="4">
        <v>0</v>
      </c>
      <c r="K558" s="4">
        <v>0</v>
      </c>
      <c r="L558" s="4">
        <v>511.387</v>
      </c>
      <c r="M558" s="4">
        <v>511.387</v>
      </c>
      <c r="N558" s="4">
        <v>511.387</v>
      </c>
      <c r="O558" s="4">
        <v>511.387</v>
      </c>
      <c r="P558" s="4">
        <v>1166</v>
      </c>
      <c r="Q558" s="3" t="s">
        <v>26</v>
      </c>
      <c r="R558" s="3">
        <v>0</v>
      </c>
      <c r="S558" s="4">
        <v>0</v>
      </c>
      <c r="T558" s="4">
        <v>47</v>
      </c>
      <c r="U558" s="4">
        <v>87</v>
      </c>
      <c r="V558" s="4">
        <f>IF(ISERROR(VLOOKUP($S$558,'TAR FIN'!$A$1:$O$91,15,0)),0,VLOOKUP($S$558,'TAR FIN'!$A$1:$O$91,15,0))</f>
        <v>0</v>
      </c>
      <c r="W558" s="4">
        <f>IF(ISERROR(VLOOKUP($T$558,'TAR FIN'!$A$1:$O$91,15,0)),0,VLOOKUP($T$558,'TAR FIN'!$A$1:$O$91,15,0))</f>
        <v>406.52</v>
      </c>
      <c r="X558" s="4">
        <f>IF(ISERROR(VLOOKUP($U$558,'TAR FIN'!$A$1:$O$91,15,0)),0,VLOOKUP($U$558,'TAR FIN'!$A$1:$O$91,15,0))</f>
        <v>199.03</v>
      </c>
      <c r="Y558" s="4"/>
      <c r="Z558" s="4">
        <f ca="1">('TUSD BE'!$AM$51+'TUSD BF_350'!$AM$51+'TUSD CVA'!$AM$51)*1</f>
        <v>446.02270810064761</v>
      </c>
      <c r="AA558" s="4">
        <f ca="1">('TE BE'!$AB$42+'TE BF_350'!$AB$42+'TE CVA'!$AB$42)*1</f>
        <v>205.52329867469447</v>
      </c>
      <c r="AB558" s="4">
        <f>$K$558*$V$558</f>
        <v>0</v>
      </c>
      <c r="AC558" s="4">
        <f>$M$558*$W$558</f>
        <v>207889.04324</v>
      </c>
      <c r="AD558" s="4">
        <f>$O$558*$X$558</f>
        <v>101781.35460999999</v>
      </c>
      <c r="AE558" s="4">
        <f>$K$558*$Y$558</f>
        <v>0</v>
      </c>
      <c r="AF558" s="4">
        <f ca="1">$M$558*$Z$558</f>
        <v>228090.21462746587</v>
      </c>
      <c r="AG558" s="4">
        <f ca="1">$O$558*$AA$558</f>
        <v>105101.94313935598</v>
      </c>
    </row>
    <row r="559" spans="1:33" ht="11.25" customHeight="1" x14ac:dyDescent="0.3">
      <c r="A559" s="3" t="s">
        <v>27</v>
      </c>
      <c r="B559" s="3" t="s">
        <v>37</v>
      </c>
      <c r="C559" s="3" t="s">
        <v>23</v>
      </c>
      <c r="D559" s="3" t="s">
        <v>41</v>
      </c>
      <c r="E559" s="3" t="s">
        <v>25</v>
      </c>
      <c r="F559" s="3" t="s">
        <v>25</v>
      </c>
      <c r="G559" s="3" t="s">
        <v>25</v>
      </c>
      <c r="H559" s="3" t="s">
        <v>25</v>
      </c>
      <c r="I559" s="6">
        <v>44378</v>
      </c>
      <c r="J559" s="4">
        <v>0</v>
      </c>
      <c r="K559" s="4">
        <v>0</v>
      </c>
      <c r="L559" s="4">
        <v>-10.084</v>
      </c>
      <c r="M559" s="4">
        <v>-10.084</v>
      </c>
      <c r="N559" s="4">
        <v>-10.084</v>
      </c>
      <c r="O559" s="4">
        <v>-10.084</v>
      </c>
      <c r="P559" s="4">
        <v>0</v>
      </c>
      <c r="Q559" s="3" t="s">
        <v>26</v>
      </c>
      <c r="R559" s="3">
        <v>0</v>
      </c>
      <c r="S559" s="4">
        <v>0</v>
      </c>
      <c r="T559" s="4">
        <v>47</v>
      </c>
      <c r="U559" s="4">
        <v>87</v>
      </c>
      <c r="V559" s="4">
        <f>IF(ISERROR(VLOOKUP($S$559,'TAR FIN'!$A$1:$O$91,15,0)),0,VLOOKUP($S$559,'TAR FIN'!$A$1:$O$91,15,0))</f>
        <v>0</v>
      </c>
      <c r="W559" s="4">
        <f>IF(ISERROR(VLOOKUP($T$559,'TAR FIN'!$A$1:$O$91,15,0)),0,VLOOKUP($T$559,'TAR FIN'!$A$1:$O$91,15,0))</f>
        <v>406.52</v>
      </c>
      <c r="X559" s="4">
        <f>IF(ISERROR(VLOOKUP($U$559,'TAR FIN'!$A$1:$O$91,15,0)),0,VLOOKUP($U$559,'TAR FIN'!$A$1:$O$91,15,0))</f>
        <v>199.03</v>
      </c>
      <c r="Y559" s="4"/>
      <c r="Z559" s="4">
        <f ca="1">('TUSD BE'!$AM$51+'TUSD BF_350'!$AM$51+'TUSD CVA'!$AM$51)*1</f>
        <v>446.02270810064761</v>
      </c>
      <c r="AA559" s="4">
        <f ca="1">('TE BE'!$AB$42+'TE BF_350'!$AB$42+'TE CVA'!$AB$42)*1</f>
        <v>205.52329867469447</v>
      </c>
      <c r="AB559" s="4">
        <f>$K$559*$V$559</f>
        <v>0</v>
      </c>
      <c r="AC559" s="4">
        <f>$M$559*$W$559</f>
        <v>-4099.3476799999999</v>
      </c>
      <c r="AD559" s="4">
        <f>$O$559*$X$559</f>
        <v>-2007.0185199999999</v>
      </c>
      <c r="AE559" s="4">
        <f>$K$559*$Y$559</f>
        <v>0</v>
      </c>
      <c r="AF559" s="4">
        <f ca="1">$M$559*$Z$559</f>
        <v>-4497.6929884869305</v>
      </c>
      <c r="AG559" s="4">
        <f ca="1">$O$559*$AA$559</f>
        <v>-2072.4969438356188</v>
      </c>
    </row>
    <row r="560" spans="1:33" ht="11.25" customHeight="1" x14ac:dyDescent="0.3">
      <c r="A560" s="3" t="s">
        <v>28</v>
      </c>
      <c r="B560" s="3" t="s">
        <v>37</v>
      </c>
      <c r="C560" s="3" t="s">
        <v>23</v>
      </c>
      <c r="D560" s="3" t="s">
        <v>41</v>
      </c>
      <c r="E560" s="3" t="s">
        <v>25</v>
      </c>
      <c r="F560" s="3" t="s">
        <v>25</v>
      </c>
      <c r="G560" s="3" t="s">
        <v>25</v>
      </c>
      <c r="H560" s="3" t="s">
        <v>25</v>
      </c>
      <c r="I560" s="6">
        <v>44378</v>
      </c>
      <c r="J560" s="4">
        <v>0</v>
      </c>
      <c r="K560" s="4">
        <v>0</v>
      </c>
      <c r="L560" s="4">
        <v>50.249000000000002</v>
      </c>
      <c r="M560" s="4">
        <v>50.249000000000002</v>
      </c>
      <c r="N560" s="4">
        <v>50.249000000000002</v>
      </c>
      <c r="O560" s="4">
        <v>50.249000000000002</v>
      </c>
      <c r="P560" s="4">
        <v>38</v>
      </c>
      <c r="Q560" s="3" t="s">
        <v>26</v>
      </c>
      <c r="R560" s="3">
        <v>0</v>
      </c>
      <c r="S560" s="4">
        <v>0</v>
      </c>
      <c r="T560" s="4">
        <v>47</v>
      </c>
      <c r="U560" s="4">
        <v>87</v>
      </c>
      <c r="V560" s="4">
        <f>IF(ISERROR(VLOOKUP($S$560,'TAR FIN'!$A$1:$O$91,15,0)),0,VLOOKUP($S$560,'TAR FIN'!$A$1:$O$91,15,0))</f>
        <v>0</v>
      </c>
      <c r="W560" s="4">
        <f>IF(ISERROR(VLOOKUP($T$560,'TAR FIN'!$A$1:$O$91,15,0)),0,VLOOKUP($T$560,'TAR FIN'!$A$1:$O$91,15,0))</f>
        <v>406.52</v>
      </c>
      <c r="X560" s="4">
        <f>IF(ISERROR(VLOOKUP($U$560,'TAR FIN'!$A$1:$O$91,15,0)),0,VLOOKUP($U$560,'TAR FIN'!$A$1:$O$91,15,0))</f>
        <v>199.03</v>
      </c>
      <c r="Y560" s="4"/>
      <c r="Z560" s="4">
        <f ca="1">('TUSD BE'!$AM$51+'TUSD BF_350'!$AM$51+'TUSD CVA'!$AM$51)*1</f>
        <v>446.02270810064761</v>
      </c>
      <c r="AA560" s="4">
        <f ca="1">('TE BE'!$AB$42+'TE BF_350'!$AB$42+'TE CVA'!$AB$42)*1</f>
        <v>205.52329867469447</v>
      </c>
      <c r="AB560" s="4">
        <f>$K$560*$V$560</f>
        <v>0</v>
      </c>
      <c r="AC560" s="4">
        <f>$M$560*$W$560</f>
        <v>20427.223480000001</v>
      </c>
      <c r="AD560" s="4">
        <f>$O$560*$X$560</f>
        <v>10001.05847</v>
      </c>
      <c r="AE560" s="4">
        <f>$K$560*$Y$560</f>
        <v>0</v>
      </c>
      <c r="AF560" s="4">
        <f ca="1">$M$560*$Z$560</f>
        <v>22412.195059349444</v>
      </c>
      <c r="AG560" s="4">
        <f ca="1">$O$560*$AA$560</f>
        <v>10327.340235104723</v>
      </c>
    </row>
    <row r="561" spans="1:33" ht="11.25" customHeight="1" x14ac:dyDescent="0.3">
      <c r="A561" s="3" t="s">
        <v>21</v>
      </c>
      <c r="B561" s="3" t="s">
        <v>37</v>
      </c>
      <c r="C561" s="3" t="s">
        <v>23</v>
      </c>
      <c r="D561" s="3" t="s">
        <v>41</v>
      </c>
      <c r="E561" s="3" t="s">
        <v>25</v>
      </c>
      <c r="F561" s="3" t="s">
        <v>25</v>
      </c>
      <c r="G561" s="3" t="s">
        <v>25</v>
      </c>
      <c r="H561" s="3" t="s">
        <v>25</v>
      </c>
      <c r="I561" s="6">
        <v>44409</v>
      </c>
      <c r="J561" s="4">
        <v>0</v>
      </c>
      <c r="K561" s="4">
        <v>0</v>
      </c>
      <c r="L561" s="4">
        <v>549.75400000000002</v>
      </c>
      <c r="M561" s="4">
        <v>549.75400000000002</v>
      </c>
      <c r="N561" s="4">
        <v>549.75400000000002</v>
      </c>
      <c r="O561" s="4">
        <v>549.75400000000002</v>
      </c>
      <c r="P561" s="4">
        <v>1164</v>
      </c>
      <c r="Q561" s="3" t="s">
        <v>26</v>
      </c>
      <c r="R561" s="3">
        <v>0</v>
      </c>
      <c r="S561" s="4">
        <v>0</v>
      </c>
      <c r="T561" s="4">
        <v>47</v>
      </c>
      <c r="U561" s="4">
        <v>87</v>
      </c>
      <c r="V561" s="4">
        <f>IF(ISERROR(VLOOKUP($S$561,'TAR FIN'!$A$1:$O$91,15,0)),0,VLOOKUP($S$561,'TAR FIN'!$A$1:$O$91,15,0))</f>
        <v>0</v>
      </c>
      <c r="W561" s="4">
        <f>IF(ISERROR(VLOOKUP($T$561,'TAR FIN'!$A$1:$O$91,15,0)),0,VLOOKUP($T$561,'TAR FIN'!$A$1:$O$91,15,0))</f>
        <v>406.52</v>
      </c>
      <c r="X561" s="4">
        <f>IF(ISERROR(VLOOKUP($U$561,'TAR FIN'!$A$1:$O$91,15,0)),0,VLOOKUP($U$561,'TAR FIN'!$A$1:$O$91,15,0))</f>
        <v>199.03</v>
      </c>
      <c r="Y561" s="4"/>
      <c r="Z561" s="4">
        <f ca="1">('TUSD BE'!$AM$51+'TUSD BF_350'!$AM$51+'TUSD CVA'!$AM$51)*1</f>
        <v>446.02270810064761</v>
      </c>
      <c r="AA561" s="4">
        <f ca="1">('TE BE'!$AB$42+'TE BF_350'!$AB$42+'TE CVA'!$AB$42)*1</f>
        <v>205.52329867469447</v>
      </c>
      <c r="AB561" s="4">
        <f>$K$561*$V$561</f>
        <v>0</v>
      </c>
      <c r="AC561" s="4">
        <f>$M$561*$W$561</f>
        <v>223485.99608000001</v>
      </c>
      <c r="AD561" s="4">
        <f>$O$561*$X$561</f>
        <v>109417.53862000001</v>
      </c>
      <c r="AE561" s="4">
        <f>$K$561*$Y$561</f>
        <v>0</v>
      </c>
      <c r="AF561" s="4">
        <f ca="1">$M$561*$Z$561</f>
        <v>245202.76786916342</v>
      </c>
      <c r="AG561" s="4">
        <f ca="1">$O$561*$AA$561</f>
        <v>112987.25553960798</v>
      </c>
    </row>
    <row r="562" spans="1:33" ht="11.25" customHeight="1" x14ac:dyDescent="0.3">
      <c r="A562" s="3" t="s">
        <v>27</v>
      </c>
      <c r="B562" s="3" t="s">
        <v>37</v>
      </c>
      <c r="C562" s="3" t="s">
        <v>23</v>
      </c>
      <c r="D562" s="3" t="s">
        <v>41</v>
      </c>
      <c r="E562" s="3" t="s">
        <v>25</v>
      </c>
      <c r="F562" s="3" t="s">
        <v>25</v>
      </c>
      <c r="G562" s="3" t="s">
        <v>25</v>
      </c>
      <c r="H562" s="3" t="s">
        <v>25</v>
      </c>
      <c r="I562" s="6">
        <v>44409</v>
      </c>
      <c r="J562" s="4">
        <v>0</v>
      </c>
      <c r="K562" s="4">
        <v>0</v>
      </c>
      <c r="L562" s="4">
        <v>-6.5000000000000002E-2</v>
      </c>
      <c r="M562" s="4">
        <v>-6.5000000000000002E-2</v>
      </c>
      <c r="N562" s="4">
        <v>-6.5000000000000002E-2</v>
      </c>
      <c r="O562" s="4">
        <v>-6.5000000000000002E-2</v>
      </c>
      <c r="P562" s="4">
        <v>0</v>
      </c>
      <c r="Q562" s="3" t="s">
        <v>26</v>
      </c>
      <c r="R562" s="3">
        <v>0</v>
      </c>
      <c r="S562" s="4">
        <v>0</v>
      </c>
      <c r="T562" s="4">
        <v>47</v>
      </c>
      <c r="U562" s="4">
        <v>87</v>
      </c>
      <c r="V562" s="4">
        <f>IF(ISERROR(VLOOKUP($S$562,'TAR FIN'!$A$1:$O$91,15,0)),0,VLOOKUP($S$562,'TAR FIN'!$A$1:$O$91,15,0))</f>
        <v>0</v>
      </c>
      <c r="W562" s="4">
        <f>IF(ISERROR(VLOOKUP($T$562,'TAR FIN'!$A$1:$O$91,15,0)),0,VLOOKUP($T$562,'TAR FIN'!$A$1:$O$91,15,0))</f>
        <v>406.52</v>
      </c>
      <c r="X562" s="4">
        <f>IF(ISERROR(VLOOKUP($U$562,'TAR FIN'!$A$1:$O$91,15,0)),0,VLOOKUP($U$562,'TAR FIN'!$A$1:$O$91,15,0))</f>
        <v>199.03</v>
      </c>
      <c r="Y562" s="4"/>
      <c r="Z562" s="4">
        <f ca="1">('TUSD BE'!$AM$51+'TUSD BF_350'!$AM$51+'TUSD CVA'!$AM$51)*1</f>
        <v>446.02270810064761</v>
      </c>
      <c r="AA562" s="4">
        <f ca="1">('TE BE'!$AB$42+'TE BF_350'!$AB$42+'TE CVA'!$AB$42)*1</f>
        <v>205.52329867469447</v>
      </c>
      <c r="AB562" s="4">
        <f>$K$562*$V$562</f>
        <v>0</v>
      </c>
      <c r="AC562" s="4">
        <f>$M$562*$W$562</f>
        <v>-26.4238</v>
      </c>
      <c r="AD562" s="4">
        <f>$O$562*$X$562</f>
        <v>-12.936950000000001</v>
      </c>
      <c r="AE562" s="4">
        <f>$K$562*$Y$562</f>
        <v>0</v>
      </c>
      <c r="AF562" s="4">
        <f ca="1">$M$562*$Z$562</f>
        <v>-28.991476026542095</v>
      </c>
      <c r="AG562" s="4">
        <f ca="1">$O$562*$AA$562</f>
        <v>-13.359014413855141</v>
      </c>
    </row>
    <row r="563" spans="1:33" ht="11.25" customHeight="1" x14ac:dyDescent="0.3">
      <c r="A563" s="3" t="s">
        <v>28</v>
      </c>
      <c r="B563" s="3" t="s">
        <v>37</v>
      </c>
      <c r="C563" s="3" t="s">
        <v>23</v>
      </c>
      <c r="D563" s="3" t="s">
        <v>41</v>
      </c>
      <c r="E563" s="3" t="s">
        <v>25</v>
      </c>
      <c r="F563" s="3" t="s">
        <v>25</v>
      </c>
      <c r="G563" s="3" t="s">
        <v>25</v>
      </c>
      <c r="H563" s="3" t="s">
        <v>25</v>
      </c>
      <c r="I563" s="6">
        <v>44409</v>
      </c>
      <c r="J563" s="4">
        <v>0</v>
      </c>
      <c r="K563" s="4">
        <v>0</v>
      </c>
      <c r="L563" s="4">
        <v>43.874000000000002</v>
      </c>
      <c r="M563" s="4">
        <v>43.874000000000002</v>
      </c>
      <c r="N563" s="4">
        <v>43.874000000000002</v>
      </c>
      <c r="O563" s="4">
        <v>43.874000000000002</v>
      </c>
      <c r="P563" s="4">
        <v>42</v>
      </c>
      <c r="Q563" s="3" t="s">
        <v>26</v>
      </c>
      <c r="R563" s="3">
        <v>0</v>
      </c>
      <c r="S563" s="4">
        <v>0</v>
      </c>
      <c r="T563" s="4">
        <v>47</v>
      </c>
      <c r="U563" s="4">
        <v>87</v>
      </c>
      <c r="V563" s="4">
        <f>IF(ISERROR(VLOOKUP($S$563,'TAR FIN'!$A$1:$O$91,15,0)),0,VLOOKUP($S$563,'TAR FIN'!$A$1:$O$91,15,0))</f>
        <v>0</v>
      </c>
      <c r="W563" s="4">
        <f>IF(ISERROR(VLOOKUP($T$563,'TAR FIN'!$A$1:$O$91,15,0)),0,VLOOKUP($T$563,'TAR FIN'!$A$1:$O$91,15,0))</f>
        <v>406.52</v>
      </c>
      <c r="X563" s="4">
        <f>IF(ISERROR(VLOOKUP($U$563,'TAR FIN'!$A$1:$O$91,15,0)),0,VLOOKUP($U$563,'TAR FIN'!$A$1:$O$91,15,0))</f>
        <v>199.03</v>
      </c>
      <c r="Y563" s="4"/>
      <c r="Z563" s="4">
        <f ca="1">('TUSD BE'!$AM$51+'TUSD BF_350'!$AM$51+'TUSD CVA'!$AM$51)*1</f>
        <v>446.02270810064761</v>
      </c>
      <c r="AA563" s="4">
        <f ca="1">('TE BE'!$AB$42+'TE BF_350'!$AB$42+'TE CVA'!$AB$42)*1</f>
        <v>205.52329867469447</v>
      </c>
      <c r="AB563" s="4">
        <f>$K$563*$V$563</f>
        <v>0</v>
      </c>
      <c r="AC563" s="4">
        <f>$M$563*$W$563</f>
        <v>17835.658480000002</v>
      </c>
      <c r="AD563" s="4">
        <f>$O$563*$X$563</f>
        <v>8732.2422200000001</v>
      </c>
      <c r="AE563" s="4">
        <f>$K$563*$Y$563</f>
        <v>0</v>
      </c>
      <c r="AF563" s="4">
        <f ca="1">$M$563*$Z$563</f>
        <v>19568.800295207813</v>
      </c>
      <c r="AG563" s="4">
        <f ca="1">$O$563*$AA$563</f>
        <v>9017.1292060535452</v>
      </c>
    </row>
    <row r="564" spans="1:33" ht="11.25" customHeight="1" x14ac:dyDescent="0.3">
      <c r="A564" s="3" t="s">
        <v>21</v>
      </c>
      <c r="B564" s="3" t="s">
        <v>37</v>
      </c>
      <c r="C564" s="3" t="s">
        <v>23</v>
      </c>
      <c r="D564" s="3" t="s">
        <v>41</v>
      </c>
      <c r="E564" s="3" t="s">
        <v>25</v>
      </c>
      <c r="F564" s="3" t="s">
        <v>25</v>
      </c>
      <c r="G564" s="3" t="s">
        <v>25</v>
      </c>
      <c r="H564" s="3" t="s">
        <v>25</v>
      </c>
      <c r="I564" s="6">
        <v>44440</v>
      </c>
      <c r="J564" s="4">
        <v>0</v>
      </c>
      <c r="K564" s="4">
        <v>0</v>
      </c>
      <c r="L564" s="4">
        <v>507.43700000000001</v>
      </c>
      <c r="M564" s="4">
        <v>507.43700000000001</v>
      </c>
      <c r="N564" s="4">
        <v>507.43700000000001</v>
      </c>
      <c r="O564" s="4">
        <v>507.43700000000001</v>
      </c>
      <c r="P564" s="4">
        <v>1174</v>
      </c>
      <c r="Q564" s="3" t="s">
        <v>26</v>
      </c>
      <c r="R564" s="3">
        <v>0</v>
      </c>
      <c r="S564" s="4">
        <v>0</v>
      </c>
      <c r="T564" s="4">
        <v>47</v>
      </c>
      <c r="U564" s="4">
        <v>87</v>
      </c>
      <c r="V564" s="4">
        <f>IF(ISERROR(VLOOKUP($S$564,'TAR FIN'!$A$1:$O$91,15,0)),0,VLOOKUP($S$564,'TAR FIN'!$A$1:$O$91,15,0))</f>
        <v>0</v>
      </c>
      <c r="W564" s="4">
        <f>IF(ISERROR(VLOOKUP($T$564,'TAR FIN'!$A$1:$O$91,15,0)),0,VLOOKUP($T$564,'TAR FIN'!$A$1:$O$91,15,0))</f>
        <v>406.52</v>
      </c>
      <c r="X564" s="4">
        <f>IF(ISERROR(VLOOKUP($U$564,'TAR FIN'!$A$1:$O$91,15,0)),0,VLOOKUP($U$564,'TAR FIN'!$A$1:$O$91,15,0))</f>
        <v>199.03</v>
      </c>
      <c r="Y564" s="4"/>
      <c r="Z564" s="4">
        <f ca="1">('TUSD BE'!$AM$51+'TUSD BF_350'!$AM$51+'TUSD CVA'!$AM$51)*1</f>
        <v>446.02270810064761</v>
      </c>
      <c r="AA564" s="4">
        <f ca="1">('TE BE'!$AB$42+'TE BF_350'!$AB$42+'TE CVA'!$AB$42)*1</f>
        <v>205.52329867469447</v>
      </c>
      <c r="AB564" s="4">
        <f>$K$564*$V$564</f>
        <v>0</v>
      </c>
      <c r="AC564" s="4">
        <f>$M$564*$W$564</f>
        <v>206283.28923999998</v>
      </c>
      <c r="AD564" s="4">
        <f>$O$564*$X$564</f>
        <v>100995.18611000001</v>
      </c>
      <c r="AE564" s="4">
        <f>$K$564*$Y$564</f>
        <v>0</v>
      </c>
      <c r="AF564" s="4">
        <f ca="1">$M$564*$Z$564</f>
        <v>226328.42493046832</v>
      </c>
      <c r="AG564" s="4">
        <f ca="1">$O$564*$AA$564</f>
        <v>104290.12610959094</v>
      </c>
    </row>
    <row r="565" spans="1:33" ht="11.25" customHeight="1" x14ac:dyDescent="0.3">
      <c r="A565" s="3" t="s">
        <v>28</v>
      </c>
      <c r="B565" s="3" t="s">
        <v>37</v>
      </c>
      <c r="C565" s="3" t="s">
        <v>23</v>
      </c>
      <c r="D565" s="3" t="s">
        <v>41</v>
      </c>
      <c r="E565" s="3" t="s">
        <v>25</v>
      </c>
      <c r="F565" s="3" t="s">
        <v>25</v>
      </c>
      <c r="G565" s="3" t="s">
        <v>25</v>
      </c>
      <c r="H565" s="3" t="s">
        <v>25</v>
      </c>
      <c r="I565" s="6">
        <v>44440</v>
      </c>
      <c r="J565" s="4">
        <v>0</v>
      </c>
      <c r="K565" s="4">
        <v>0</v>
      </c>
      <c r="L565" s="4">
        <v>46.741999999999997</v>
      </c>
      <c r="M565" s="4">
        <v>46.741999999999997</v>
      </c>
      <c r="N565" s="4">
        <v>46.741999999999997</v>
      </c>
      <c r="O565" s="4">
        <v>46.741999999999997</v>
      </c>
      <c r="P565" s="4">
        <v>42</v>
      </c>
      <c r="Q565" s="3" t="s">
        <v>26</v>
      </c>
      <c r="R565" s="3">
        <v>0</v>
      </c>
      <c r="S565" s="4">
        <v>0</v>
      </c>
      <c r="T565" s="4">
        <v>47</v>
      </c>
      <c r="U565" s="4">
        <v>87</v>
      </c>
      <c r="V565" s="4">
        <f>IF(ISERROR(VLOOKUP($S$565,'TAR FIN'!$A$1:$O$91,15,0)),0,VLOOKUP($S$565,'TAR FIN'!$A$1:$O$91,15,0))</f>
        <v>0</v>
      </c>
      <c r="W565" s="4">
        <f>IF(ISERROR(VLOOKUP($T$565,'TAR FIN'!$A$1:$O$91,15,0)),0,VLOOKUP($T$565,'TAR FIN'!$A$1:$O$91,15,0))</f>
        <v>406.52</v>
      </c>
      <c r="X565" s="4">
        <f>IF(ISERROR(VLOOKUP($U$565,'TAR FIN'!$A$1:$O$91,15,0)),0,VLOOKUP($U$565,'TAR FIN'!$A$1:$O$91,15,0))</f>
        <v>199.03</v>
      </c>
      <c r="Y565" s="4"/>
      <c r="Z565" s="4">
        <f ca="1">('TUSD BE'!$AM$51+'TUSD BF_350'!$AM$51+'TUSD CVA'!$AM$51)*1</f>
        <v>446.02270810064761</v>
      </c>
      <c r="AA565" s="4">
        <f ca="1">('TE BE'!$AB$42+'TE BF_350'!$AB$42+'TE CVA'!$AB$42)*1</f>
        <v>205.52329867469447</v>
      </c>
      <c r="AB565" s="4">
        <f>$K$565*$V$565</f>
        <v>0</v>
      </c>
      <c r="AC565" s="4">
        <f>$M$565*$W$565</f>
        <v>19001.557839999998</v>
      </c>
      <c r="AD565" s="4">
        <f>$O$565*$X$565</f>
        <v>9303.0602600000002</v>
      </c>
      <c r="AE565" s="4">
        <f>$K$565*$Y$565</f>
        <v>0</v>
      </c>
      <c r="AF565" s="4">
        <f ca="1">$M$565*$Z$565</f>
        <v>20847.993422040468</v>
      </c>
      <c r="AG565" s="4">
        <f ca="1">$O$565*$AA$565</f>
        <v>9606.5700266525691</v>
      </c>
    </row>
    <row r="566" spans="1:33" ht="11.25" customHeight="1" x14ac:dyDescent="0.3">
      <c r="A566" s="3" t="s">
        <v>21</v>
      </c>
      <c r="B566" s="3" t="s">
        <v>37</v>
      </c>
      <c r="C566" s="3" t="s">
        <v>23</v>
      </c>
      <c r="D566" s="3" t="s">
        <v>41</v>
      </c>
      <c r="E566" s="3" t="s">
        <v>25</v>
      </c>
      <c r="F566" s="3" t="s">
        <v>25</v>
      </c>
      <c r="G566" s="3" t="s">
        <v>25</v>
      </c>
      <c r="H566" s="3" t="s">
        <v>25</v>
      </c>
      <c r="I566" s="6">
        <v>44470</v>
      </c>
      <c r="J566" s="4">
        <v>0</v>
      </c>
      <c r="K566" s="4">
        <v>0</v>
      </c>
      <c r="L566" s="4">
        <v>545.47500000000002</v>
      </c>
      <c r="M566" s="4">
        <v>545.47500000000002</v>
      </c>
      <c r="N566" s="4">
        <v>545.47500000000002</v>
      </c>
      <c r="O566" s="4">
        <v>545.47500000000002</v>
      </c>
      <c r="P566" s="4">
        <v>1180</v>
      </c>
      <c r="Q566" s="3" t="s">
        <v>26</v>
      </c>
      <c r="R566" s="3">
        <v>0</v>
      </c>
      <c r="S566" s="4">
        <v>0</v>
      </c>
      <c r="T566" s="4">
        <v>47</v>
      </c>
      <c r="U566" s="4">
        <v>87</v>
      </c>
      <c r="V566" s="4">
        <f>IF(ISERROR(VLOOKUP($S$566,'TAR FIN'!$A$1:$O$91,15,0)),0,VLOOKUP($S$566,'TAR FIN'!$A$1:$O$91,15,0))</f>
        <v>0</v>
      </c>
      <c r="W566" s="4">
        <f>IF(ISERROR(VLOOKUP($T$566,'TAR FIN'!$A$1:$O$91,15,0)),0,VLOOKUP($T$566,'TAR FIN'!$A$1:$O$91,15,0))</f>
        <v>406.52</v>
      </c>
      <c r="X566" s="4">
        <f>IF(ISERROR(VLOOKUP($U$566,'TAR FIN'!$A$1:$O$91,15,0)),0,VLOOKUP($U$566,'TAR FIN'!$A$1:$O$91,15,0))</f>
        <v>199.03</v>
      </c>
      <c r="Y566" s="4"/>
      <c r="Z566" s="4">
        <f ca="1">('TUSD BE'!$AM$51+'TUSD BF_350'!$AM$51+'TUSD CVA'!$AM$51)*1</f>
        <v>446.02270810064761</v>
      </c>
      <c r="AA566" s="4">
        <f ca="1">('TE BE'!$AB$42+'TE BF_350'!$AB$42+'TE CVA'!$AB$42)*1</f>
        <v>205.52329867469447</v>
      </c>
      <c r="AB566" s="4">
        <f>$K$566*$V$566</f>
        <v>0</v>
      </c>
      <c r="AC566" s="4">
        <f>$M$566*$W$566</f>
        <v>221746.497</v>
      </c>
      <c r="AD566" s="4">
        <f>$O$566*$X$566</f>
        <v>108565.88925000001</v>
      </c>
      <c r="AE566" s="4">
        <f>$K$566*$Y$566</f>
        <v>0</v>
      </c>
      <c r="AF566" s="4">
        <f ca="1">$M$566*$Z$566</f>
        <v>243294.23670120077</v>
      </c>
      <c r="AG566" s="4">
        <f ca="1">$O$566*$AA$566</f>
        <v>112107.82134457897</v>
      </c>
    </row>
    <row r="567" spans="1:33" ht="11.25" customHeight="1" x14ac:dyDescent="0.3">
      <c r="A567" s="3" t="s">
        <v>28</v>
      </c>
      <c r="B567" s="3" t="s">
        <v>37</v>
      </c>
      <c r="C567" s="3" t="s">
        <v>23</v>
      </c>
      <c r="D567" s="3" t="s">
        <v>41</v>
      </c>
      <c r="E567" s="3" t="s">
        <v>25</v>
      </c>
      <c r="F567" s="3" t="s">
        <v>25</v>
      </c>
      <c r="G567" s="3" t="s">
        <v>25</v>
      </c>
      <c r="H567" s="3" t="s">
        <v>25</v>
      </c>
      <c r="I567" s="6">
        <v>44470</v>
      </c>
      <c r="J567" s="4">
        <v>0</v>
      </c>
      <c r="K567" s="4">
        <v>0</v>
      </c>
      <c r="L567" s="4">
        <v>43.554000000000002</v>
      </c>
      <c r="M567" s="4">
        <v>43.554000000000002</v>
      </c>
      <c r="N567" s="4">
        <v>43.554000000000002</v>
      </c>
      <c r="O567" s="4">
        <v>43.554000000000002</v>
      </c>
      <c r="P567" s="4">
        <v>45</v>
      </c>
      <c r="Q567" s="3" t="s">
        <v>26</v>
      </c>
      <c r="R567" s="3">
        <v>0</v>
      </c>
      <c r="S567" s="4">
        <v>0</v>
      </c>
      <c r="T567" s="4">
        <v>47</v>
      </c>
      <c r="U567" s="4">
        <v>87</v>
      </c>
      <c r="V567" s="4">
        <f>IF(ISERROR(VLOOKUP($S$567,'TAR FIN'!$A$1:$O$91,15,0)),0,VLOOKUP($S$567,'TAR FIN'!$A$1:$O$91,15,0))</f>
        <v>0</v>
      </c>
      <c r="W567" s="4">
        <f>IF(ISERROR(VLOOKUP($T$567,'TAR FIN'!$A$1:$O$91,15,0)),0,VLOOKUP($T$567,'TAR FIN'!$A$1:$O$91,15,0))</f>
        <v>406.52</v>
      </c>
      <c r="X567" s="4">
        <f>IF(ISERROR(VLOOKUP($U$567,'TAR FIN'!$A$1:$O$91,15,0)),0,VLOOKUP($U$567,'TAR FIN'!$A$1:$O$91,15,0))</f>
        <v>199.03</v>
      </c>
      <c r="Y567" s="4"/>
      <c r="Z567" s="4">
        <f ca="1">('TUSD BE'!$AM$51+'TUSD BF_350'!$AM$51+'TUSD CVA'!$AM$51)*1</f>
        <v>446.02270810064761</v>
      </c>
      <c r="AA567" s="4">
        <f ca="1">('TE BE'!$AB$42+'TE BF_350'!$AB$42+'TE CVA'!$AB$42)*1</f>
        <v>205.52329867469447</v>
      </c>
      <c r="AB567" s="4">
        <f>$K$567*$V$567</f>
        <v>0</v>
      </c>
      <c r="AC567" s="4">
        <f>$M$567*$W$567</f>
        <v>17705.572080000002</v>
      </c>
      <c r="AD567" s="4">
        <f>$O$567*$X$567</f>
        <v>8668.5526200000004</v>
      </c>
      <c r="AE567" s="4">
        <f>$K$567*$Y$567</f>
        <v>0</v>
      </c>
      <c r="AF567" s="4">
        <f ca="1">$M$567*$Z$567</f>
        <v>19426.073028615607</v>
      </c>
      <c r="AG567" s="4">
        <f ca="1">$O$567*$AA$567</f>
        <v>8951.361750477643</v>
      </c>
    </row>
    <row r="568" spans="1:33" ht="11.25" customHeight="1" x14ac:dyDescent="0.3">
      <c r="A568" s="3" t="s">
        <v>21</v>
      </c>
      <c r="B568" s="3" t="s">
        <v>37</v>
      </c>
      <c r="C568" s="3" t="s">
        <v>23</v>
      </c>
      <c r="D568" s="3" t="s">
        <v>41</v>
      </c>
      <c r="E568" s="3" t="s">
        <v>25</v>
      </c>
      <c r="F568" s="3" t="s">
        <v>25</v>
      </c>
      <c r="G568" s="3" t="s">
        <v>25</v>
      </c>
      <c r="H568" s="3" t="s">
        <v>25</v>
      </c>
      <c r="I568" s="6">
        <v>44501</v>
      </c>
      <c r="J568" s="4">
        <v>0</v>
      </c>
      <c r="K568" s="4">
        <v>0</v>
      </c>
      <c r="L568" s="4">
        <v>601.43600000000004</v>
      </c>
      <c r="M568" s="4">
        <v>601.43600000000004</v>
      </c>
      <c r="N568" s="4">
        <v>601.43600000000004</v>
      </c>
      <c r="O568" s="4">
        <v>601.43600000000004</v>
      </c>
      <c r="P568" s="4">
        <v>1177</v>
      </c>
      <c r="Q568" s="3" t="s">
        <v>26</v>
      </c>
      <c r="R568" s="3">
        <v>0</v>
      </c>
      <c r="S568" s="4">
        <v>0</v>
      </c>
      <c r="T568" s="4">
        <v>47</v>
      </c>
      <c r="U568" s="4">
        <v>87</v>
      </c>
      <c r="V568" s="4">
        <f>IF(ISERROR(VLOOKUP($S$568,'TAR FIN'!$A$1:$O$91,15,0)),0,VLOOKUP($S$568,'TAR FIN'!$A$1:$O$91,15,0))</f>
        <v>0</v>
      </c>
      <c r="W568" s="4">
        <f>IF(ISERROR(VLOOKUP($T$568,'TAR FIN'!$A$1:$O$91,15,0)),0,VLOOKUP($T$568,'TAR FIN'!$A$1:$O$91,15,0))</f>
        <v>406.52</v>
      </c>
      <c r="X568" s="4">
        <f>IF(ISERROR(VLOOKUP($U$568,'TAR FIN'!$A$1:$O$91,15,0)),0,VLOOKUP($U$568,'TAR FIN'!$A$1:$O$91,15,0))</f>
        <v>199.03</v>
      </c>
      <c r="Y568" s="4"/>
      <c r="Z568" s="4">
        <f ca="1">('TUSD BE'!$AM$51+'TUSD BF_350'!$AM$51+'TUSD CVA'!$AM$51)*1</f>
        <v>446.02270810064761</v>
      </c>
      <c r="AA568" s="4">
        <f ca="1">('TE BE'!$AB$42+'TE BF_350'!$AB$42+'TE CVA'!$AB$42)*1</f>
        <v>205.52329867469447</v>
      </c>
      <c r="AB568" s="4">
        <f>$K$568*$V$568</f>
        <v>0</v>
      </c>
      <c r="AC568" s="4">
        <f>$M$568*$W$568</f>
        <v>244495.76272</v>
      </c>
      <c r="AD568" s="4">
        <f>$O$568*$X$568</f>
        <v>119703.80708000001</v>
      </c>
      <c r="AE568" s="4">
        <f>$K$568*$Y$568</f>
        <v>0</v>
      </c>
      <c r="AF568" s="4">
        <f ca="1">$M$568*$Z$568</f>
        <v>268254.11346922111</v>
      </c>
      <c r="AG568" s="4">
        <f ca="1">$O$568*$AA$568</f>
        <v>123609.11066171355</v>
      </c>
    </row>
    <row r="569" spans="1:33" ht="11.25" customHeight="1" x14ac:dyDescent="0.3">
      <c r="A569" s="3" t="s">
        <v>27</v>
      </c>
      <c r="B569" s="3" t="s">
        <v>37</v>
      </c>
      <c r="C569" s="3" t="s">
        <v>23</v>
      </c>
      <c r="D569" s="3" t="s">
        <v>41</v>
      </c>
      <c r="E569" s="3" t="s">
        <v>25</v>
      </c>
      <c r="F569" s="3" t="s">
        <v>25</v>
      </c>
      <c r="G569" s="3" t="s">
        <v>25</v>
      </c>
      <c r="H569" s="3" t="s">
        <v>25</v>
      </c>
      <c r="I569" s="6">
        <v>44501</v>
      </c>
      <c r="J569" s="4">
        <v>0</v>
      </c>
      <c r="K569" s="4">
        <v>0</v>
      </c>
      <c r="L569" s="4">
        <v>-0.159</v>
      </c>
      <c r="M569" s="4">
        <v>-0.159</v>
      </c>
      <c r="N569" s="4">
        <v>-0.159</v>
      </c>
      <c r="O569" s="4">
        <v>-0.159</v>
      </c>
      <c r="P569" s="4">
        <v>0</v>
      </c>
      <c r="Q569" s="3" t="s">
        <v>26</v>
      </c>
      <c r="R569" s="3">
        <v>0</v>
      </c>
      <c r="S569" s="4">
        <v>0</v>
      </c>
      <c r="T569" s="4">
        <v>47</v>
      </c>
      <c r="U569" s="4">
        <v>87</v>
      </c>
      <c r="V569" s="4">
        <f>IF(ISERROR(VLOOKUP($S$569,'TAR FIN'!$A$1:$O$91,15,0)),0,VLOOKUP($S$569,'TAR FIN'!$A$1:$O$91,15,0))</f>
        <v>0</v>
      </c>
      <c r="W569" s="4">
        <f>IF(ISERROR(VLOOKUP($T$569,'TAR FIN'!$A$1:$O$91,15,0)),0,VLOOKUP($T$569,'TAR FIN'!$A$1:$O$91,15,0))</f>
        <v>406.52</v>
      </c>
      <c r="X569" s="4">
        <f>IF(ISERROR(VLOOKUP($U$569,'TAR FIN'!$A$1:$O$91,15,0)),0,VLOOKUP($U$569,'TAR FIN'!$A$1:$O$91,15,0))</f>
        <v>199.03</v>
      </c>
      <c r="Y569" s="4"/>
      <c r="Z569" s="4">
        <f ca="1">('TUSD BE'!$AM$51+'TUSD BF_350'!$AM$51+'TUSD CVA'!$AM$51)*1</f>
        <v>446.02270810064761</v>
      </c>
      <c r="AA569" s="4">
        <f ca="1">('TE BE'!$AB$42+'TE BF_350'!$AB$42+'TE CVA'!$AB$42)*1</f>
        <v>205.52329867469447</v>
      </c>
      <c r="AB569" s="4">
        <f>$K$569*$V$569</f>
        <v>0</v>
      </c>
      <c r="AC569" s="4">
        <f>$M$569*$W$569</f>
        <v>-64.636679999999998</v>
      </c>
      <c r="AD569" s="4">
        <f>$O$569*$X$569</f>
        <v>-31.645770000000002</v>
      </c>
      <c r="AE569" s="4">
        <f>$K$569*$Y$569</f>
        <v>0</v>
      </c>
      <c r="AF569" s="4">
        <f ca="1">$M$569*$Z$569</f>
        <v>-70.917610588002972</v>
      </c>
      <c r="AG569" s="4">
        <f ca="1">$O$569*$AA$569</f>
        <v>-32.678204489276425</v>
      </c>
    </row>
    <row r="570" spans="1:33" ht="11.25" customHeight="1" x14ac:dyDescent="0.3">
      <c r="A570" s="3" t="s">
        <v>28</v>
      </c>
      <c r="B570" s="3" t="s">
        <v>37</v>
      </c>
      <c r="C570" s="3" t="s">
        <v>23</v>
      </c>
      <c r="D570" s="3" t="s">
        <v>41</v>
      </c>
      <c r="E570" s="3" t="s">
        <v>25</v>
      </c>
      <c r="F570" s="3" t="s">
        <v>25</v>
      </c>
      <c r="G570" s="3" t="s">
        <v>25</v>
      </c>
      <c r="H570" s="3" t="s">
        <v>25</v>
      </c>
      <c r="I570" s="6">
        <v>44501</v>
      </c>
      <c r="J570" s="4">
        <v>0</v>
      </c>
      <c r="K570" s="4">
        <v>0</v>
      </c>
      <c r="L570" s="4">
        <v>34.328000000000003</v>
      </c>
      <c r="M570" s="4">
        <v>34.328000000000003</v>
      </c>
      <c r="N570" s="4">
        <v>34.328000000000003</v>
      </c>
      <c r="O570" s="4">
        <v>34.328000000000003</v>
      </c>
      <c r="P570" s="4">
        <v>48</v>
      </c>
      <c r="Q570" s="3" t="s">
        <v>26</v>
      </c>
      <c r="R570" s="3">
        <v>0</v>
      </c>
      <c r="S570" s="4">
        <v>0</v>
      </c>
      <c r="T570" s="4">
        <v>47</v>
      </c>
      <c r="U570" s="4">
        <v>87</v>
      </c>
      <c r="V570" s="4">
        <f>IF(ISERROR(VLOOKUP($S$570,'TAR FIN'!$A$1:$O$91,15,0)),0,VLOOKUP($S$570,'TAR FIN'!$A$1:$O$91,15,0))</f>
        <v>0</v>
      </c>
      <c r="W570" s="4">
        <f>IF(ISERROR(VLOOKUP($T$570,'TAR FIN'!$A$1:$O$91,15,0)),0,VLOOKUP($T$570,'TAR FIN'!$A$1:$O$91,15,0))</f>
        <v>406.52</v>
      </c>
      <c r="X570" s="4">
        <f>IF(ISERROR(VLOOKUP($U$570,'TAR FIN'!$A$1:$O$91,15,0)),0,VLOOKUP($U$570,'TAR FIN'!$A$1:$O$91,15,0))</f>
        <v>199.03</v>
      </c>
      <c r="Y570" s="4"/>
      <c r="Z570" s="4">
        <f ca="1">('TUSD BE'!$AM$51+'TUSD BF_350'!$AM$51+'TUSD CVA'!$AM$51)*1</f>
        <v>446.02270810064761</v>
      </c>
      <c r="AA570" s="4">
        <f ca="1">('TE BE'!$AB$42+'TE BF_350'!$AB$42+'TE CVA'!$AB$42)*1</f>
        <v>205.52329867469447</v>
      </c>
      <c r="AB570" s="4">
        <f>$K$570*$V$570</f>
        <v>0</v>
      </c>
      <c r="AC570" s="4">
        <f>$M$570*$W$570</f>
        <v>13955.01856</v>
      </c>
      <c r="AD570" s="4">
        <f>$O$570*$X$570</f>
        <v>6832.301840000001</v>
      </c>
      <c r="AE570" s="4">
        <f>$K$570*$Y$570</f>
        <v>0</v>
      </c>
      <c r="AF570" s="4">
        <f ca="1">$M$570*$Z$570</f>
        <v>15311.067523679032</v>
      </c>
      <c r="AG570" s="4">
        <f ca="1">$O$570*$AA$570</f>
        <v>7055.2037969049125</v>
      </c>
    </row>
    <row r="571" spans="1:33" ht="11.25" customHeight="1" x14ac:dyDescent="0.3">
      <c r="A571" s="3" t="s">
        <v>28</v>
      </c>
      <c r="B571" s="3" t="s">
        <v>37</v>
      </c>
      <c r="C571" s="3" t="s">
        <v>23</v>
      </c>
      <c r="D571" s="3" t="s">
        <v>41</v>
      </c>
      <c r="E571" s="3" t="s">
        <v>25</v>
      </c>
      <c r="F571" s="3" t="s">
        <v>25</v>
      </c>
      <c r="G571" s="3" t="s">
        <v>25</v>
      </c>
      <c r="H571" s="3" t="s">
        <v>25</v>
      </c>
      <c r="I571" s="6">
        <v>44501</v>
      </c>
      <c r="J571" s="4">
        <v>0</v>
      </c>
      <c r="K571" s="4">
        <v>0</v>
      </c>
      <c r="L571" s="4">
        <v>0.377</v>
      </c>
      <c r="M571" s="4">
        <v>0.377</v>
      </c>
      <c r="N571" s="4">
        <v>0.377</v>
      </c>
      <c r="O571" s="4">
        <v>0.377</v>
      </c>
      <c r="P571" s="4">
        <v>1</v>
      </c>
      <c r="Q571" s="3" t="s">
        <v>26</v>
      </c>
      <c r="R571" s="3">
        <v>0</v>
      </c>
      <c r="S571" s="4">
        <v>0</v>
      </c>
      <c r="T571" s="4">
        <v>47</v>
      </c>
      <c r="U571" s="4">
        <v>87</v>
      </c>
      <c r="V571" s="4">
        <f>IF(ISERROR(VLOOKUP($S$571,'TAR FIN'!$A$1:$O$91,15,0)),0,VLOOKUP($S$571,'TAR FIN'!$A$1:$O$91,15,0))</f>
        <v>0</v>
      </c>
      <c r="W571" s="4">
        <f>IF(ISERROR(VLOOKUP($T$571,'TAR FIN'!$A$1:$O$91,15,0)),0,VLOOKUP($T$571,'TAR FIN'!$A$1:$O$91,15,0))</f>
        <v>406.52</v>
      </c>
      <c r="X571" s="4">
        <f>IF(ISERROR(VLOOKUP($U$571,'TAR FIN'!$A$1:$O$91,15,0)),0,VLOOKUP($U$571,'TAR FIN'!$A$1:$O$91,15,0))</f>
        <v>199.03</v>
      </c>
      <c r="Y571" s="4"/>
      <c r="Z571" s="4">
        <f ca="1">('TUSD BE'!$AM$51+'TUSD BF_350'!$AM$51+'TUSD CVA'!$AM$51)*1</f>
        <v>446.02270810064761</v>
      </c>
      <c r="AA571" s="4">
        <f ca="1">('TE BE'!$AB$42+'TE BF_350'!$AB$42+'TE CVA'!$AB$42)*1</f>
        <v>205.52329867469447</v>
      </c>
      <c r="AB571" s="4">
        <f>$K$571*$V$571</f>
        <v>0</v>
      </c>
      <c r="AC571" s="4">
        <f>$M$571*$W$571</f>
        <v>153.25803999999999</v>
      </c>
      <c r="AD571" s="4">
        <f>$O$571*$X$571</f>
        <v>75.034310000000005</v>
      </c>
      <c r="AE571" s="4">
        <f>$K$571*$Y$571</f>
        <v>0</v>
      </c>
      <c r="AF571" s="4">
        <f ca="1">$M$571*$Z$571</f>
        <v>168.15056095394414</v>
      </c>
      <c r="AG571" s="4">
        <f ca="1">$O$571*$AA$571</f>
        <v>77.482283600359821</v>
      </c>
    </row>
    <row r="572" spans="1:33" ht="11.25" customHeight="1" x14ac:dyDescent="0.3">
      <c r="A572" s="3" t="s">
        <v>21</v>
      </c>
      <c r="B572" s="3" t="s">
        <v>37</v>
      </c>
      <c r="C572" s="3" t="s">
        <v>23</v>
      </c>
      <c r="D572" s="3" t="s">
        <v>41</v>
      </c>
      <c r="E572" s="3" t="s">
        <v>25</v>
      </c>
      <c r="F572" s="3" t="s">
        <v>25</v>
      </c>
      <c r="G572" s="3" t="s">
        <v>25</v>
      </c>
      <c r="H572" s="3" t="s">
        <v>25</v>
      </c>
      <c r="I572" s="6">
        <v>44531</v>
      </c>
      <c r="J572" s="4">
        <v>0</v>
      </c>
      <c r="K572" s="4">
        <v>0</v>
      </c>
      <c r="L572" s="4">
        <v>657.19600000000003</v>
      </c>
      <c r="M572" s="4">
        <v>657.19600000000003</v>
      </c>
      <c r="N572" s="4">
        <v>657.19600000000003</v>
      </c>
      <c r="O572" s="4">
        <v>657.19600000000003</v>
      </c>
      <c r="P572" s="4">
        <v>1183</v>
      </c>
      <c r="Q572" s="3" t="s">
        <v>26</v>
      </c>
      <c r="R572" s="3">
        <v>0</v>
      </c>
      <c r="S572" s="4">
        <v>0</v>
      </c>
      <c r="T572" s="4">
        <v>47</v>
      </c>
      <c r="U572" s="4">
        <v>87</v>
      </c>
      <c r="V572" s="4">
        <f>IF(ISERROR(VLOOKUP($S$572,'TAR FIN'!$A$1:$O$91,15,0)),0,VLOOKUP($S$572,'TAR FIN'!$A$1:$O$91,15,0))</f>
        <v>0</v>
      </c>
      <c r="W572" s="4">
        <f>IF(ISERROR(VLOOKUP($T$572,'TAR FIN'!$A$1:$O$91,15,0)),0,VLOOKUP($T$572,'TAR FIN'!$A$1:$O$91,15,0))</f>
        <v>406.52</v>
      </c>
      <c r="X572" s="4">
        <f>IF(ISERROR(VLOOKUP($U$572,'TAR FIN'!$A$1:$O$91,15,0)),0,VLOOKUP($U$572,'TAR FIN'!$A$1:$O$91,15,0))</f>
        <v>199.03</v>
      </c>
      <c r="Y572" s="4"/>
      <c r="Z572" s="4">
        <f ca="1">('TUSD BE'!$AM$51+'TUSD BF_350'!$AM$51+'TUSD CVA'!$AM$51)*1</f>
        <v>446.02270810064761</v>
      </c>
      <c r="AA572" s="4">
        <f ca="1">('TE BE'!$AB$42+'TE BF_350'!$AB$42+'TE CVA'!$AB$42)*1</f>
        <v>205.52329867469447</v>
      </c>
      <c r="AB572" s="4">
        <f>$K$572*$V$572</f>
        <v>0</v>
      </c>
      <c r="AC572" s="4">
        <f>$M$572*$W$572</f>
        <v>267163.31792</v>
      </c>
      <c r="AD572" s="4">
        <f>$O$572*$X$572</f>
        <v>130801.71988</v>
      </c>
      <c r="AE572" s="4">
        <f>$K$572*$Y$572</f>
        <v>0</v>
      </c>
      <c r="AF572" s="4">
        <f ca="1">$M$572*$Z$572</f>
        <v>293124.33967291319</v>
      </c>
      <c r="AG572" s="4">
        <f ca="1">$O$572*$AA$572</f>
        <v>135069.08979581451</v>
      </c>
    </row>
    <row r="573" spans="1:33" ht="11.25" customHeight="1" x14ac:dyDescent="0.3">
      <c r="A573" s="3" t="s">
        <v>28</v>
      </c>
      <c r="B573" s="3" t="s">
        <v>37</v>
      </c>
      <c r="C573" s="3" t="s">
        <v>23</v>
      </c>
      <c r="D573" s="3" t="s">
        <v>41</v>
      </c>
      <c r="E573" s="3" t="s">
        <v>25</v>
      </c>
      <c r="F573" s="3" t="s">
        <v>25</v>
      </c>
      <c r="G573" s="3" t="s">
        <v>25</v>
      </c>
      <c r="H573" s="3" t="s">
        <v>25</v>
      </c>
      <c r="I573" s="6">
        <v>44531</v>
      </c>
      <c r="J573" s="4">
        <v>0</v>
      </c>
      <c r="K573" s="4">
        <v>0</v>
      </c>
      <c r="L573" s="4">
        <v>36.639000000000003</v>
      </c>
      <c r="M573" s="4">
        <v>36.639000000000003</v>
      </c>
      <c r="N573" s="4">
        <v>36.639000000000003</v>
      </c>
      <c r="O573" s="4">
        <v>36.639000000000003</v>
      </c>
      <c r="P573" s="4">
        <v>48</v>
      </c>
      <c r="Q573" s="3" t="s">
        <v>26</v>
      </c>
      <c r="R573" s="3">
        <v>0</v>
      </c>
      <c r="S573" s="4">
        <v>0</v>
      </c>
      <c r="T573" s="4">
        <v>47</v>
      </c>
      <c r="U573" s="4">
        <v>87</v>
      </c>
      <c r="V573" s="4">
        <f>IF(ISERROR(VLOOKUP($S$573,'TAR FIN'!$A$1:$O$91,15,0)),0,VLOOKUP($S$573,'TAR FIN'!$A$1:$O$91,15,0))</f>
        <v>0</v>
      </c>
      <c r="W573" s="4">
        <f>IF(ISERROR(VLOOKUP($T$573,'TAR FIN'!$A$1:$O$91,15,0)),0,VLOOKUP($T$573,'TAR FIN'!$A$1:$O$91,15,0))</f>
        <v>406.52</v>
      </c>
      <c r="X573" s="4">
        <f>IF(ISERROR(VLOOKUP($U$573,'TAR FIN'!$A$1:$O$91,15,0)),0,VLOOKUP($U$573,'TAR FIN'!$A$1:$O$91,15,0))</f>
        <v>199.03</v>
      </c>
      <c r="Y573" s="4"/>
      <c r="Z573" s="4">
        <f ca="1">('TUSD BE'!$AM$51+'TUSD BF_350'!$AM$51+'TUSD CVA'!$AM$51)*1</f>
        <v>446.02270810064761</v>
      </c>
      <c r="AA573" s="4">
        <f ca="1">('TE BE'!$AB$42+'TE BF_350'!$AB$42+'TE CVA'!$AB$42)*1</f>
        <v>205.52329867469447</v>
      </c>
      <c r="AB573" s="4">
        <f>$K$573*$V$573</f>
        <v>0</v>
      </c>
      <c r="AC573" s="4">
        <f>$M$573*$W$573</f>
        <v>14894.486280000001</v>
      </c>
      <c r="AD573" s="4">
        <f>$O$573*$X$573</f>
        <v>7292.2601700000005</v>
      </c>
      <c r="AE573" s="4">
        <f>$K$573*$Y$573</f>
        <v>0</v>
      </c>
      <c r="AF573" s="4">
        <f ca="1">$M$573*$Z$573</f>
        <v>16341.826002099629</v>
      </c>
      <c r="AG573" s="4">
        <f ca="1">$O$573*$AA$573</f>
        <v>7530.1681401421311</v>
      </c>
    </row>
    <row r="574" spans="1:33" ht="11.25" customHeight="1" x14ac:dyDescent="0.3">
      <c r="A574" s="3" t="s">
        <v>21</v>
      </c>
      <c r="B574" s="3" t="s">
        <v>37</v>
      </c>
      <c r="C574" s="3" t="s">
        <v>23</v>
      </c>
      <c r="D574" s="3" t="s">
        <v>41</v>
      </c>
      <c r="E574" s="3" t="s">
        <v>25</v>
      </c>
      <c r="F574" s="3" t="s">
        <v>25</v>
      </c>
      <c r="G574" s="3" t="s">
        <v>25</v>
      </c>
      <c r="H574" s="3" t="s">
        <v>25</v>
      </c>
      <c r="I574" s="6">
        <v>44562</v>
      </c>
      <c r="J574" s="4">
        <v>0</v>
      </c>
      <c r="K574" s="4">
        <v>0</v>
      </c>
      <c r="L574" s="4">
        <v>719.601</v>
      </c>
      <c r="M574" s="4">
        <v>719.601</v>
      </c>
      <c r="N574" s="4">
        <v>719.601</v>
      </c>
      <c r="O574" s="4">
        <v>719.601</v>
      </c>
      <c r="P574" s="4">
        <v>1195</v>
      </c>
      <c r="Q574" s="3" t="s">
        <v>26</v>
      </c>
      <c r="R574" s="3">
        <v>0</v>
      </c>
      <c r="S574" s="4">
        <v>0</v>
      </c>
      <c r="T574" s="4">
        <v>47</v>
      </c>
      <c r="U574" s="4">
        <v>87</v>
      </c>
      <c r="V574" s="4">
        <f>IF(ISERROR(VLOOKUP($S$574,'TAR FIN'!$A$1:$O$91,15,0)),0,VLOOKUP($S$574,'TAR FIN'!$A$1:$O$91,15,0))</f>
        <v>0</v>
      </c>
      <c r="W574" s="4">
        <f>IF(ISERROR(VLOOKUP($T$574,'TAR FIN'!$A$1:$O$91,15,0)),0,VLOOKUP($T$574,'TAR FIN'!$A$1:$O$91,15,0))</f>
        <v>406.52</v>
      </c>
      <c r="X574" s="4">
        <f>IF(ISERROR(VLOOKUP($U$574,'TAR FIN'!$A$1:$O$91,15,0)),0,VLOOKUP($U$574,'TAR FIN'!$A$1:$O$91,15,0))</f>
        <v>199.03</v>
      </c>
      <c r="Y574" s="4"/>
      <c r="Z574" s="4">
        <f ca="1">('TUSD BE'!$AM$51+'TUSD BF_350'!$AM$51+'TUSD CVA'!$AM$51)*1</f>
        <v>446.02270810064761</v>
      </c>
      <c r="AA574" s="4">
        <f ca="1">('TE BE'!$AB$42+'TE BF_350'!$AB$42+'TE CVA'!$AB$42)*1</f>
        <v>205.52329867469447</v>
      </c>
      <c r="AB574" s="4">
        <f>$K$574*$V$574</f>
        <v>0</v>
      </c>
      <c r="AC574" s="4">
        <f>$M$574*$W$574</f>
        <v>292532.19851999998</v>
      </c>
      <c r="AD574" s="4">
        <f>$O$574*$X$574</f>
        <v>143222.18703</v>
      </c>
      <c r="AE574" s="4">
        <f>$K$574*$Y$574</f>
        <v>0</v>
      </c>
      <c r="AF574" s="4">
        <f ca="1">$M$574*$Z$574</f>
        <v>320958.38677193411</v>
      </c>
      <c r="AG574" s="4">
        <f ca="1">$O$574*$AA$574</f>
        <v>147894.77124960881</v>
      </c>
    </row>
    <row r="575" spans="1:33" ht="11.25" customHeight="1" x14ac:dyDescent="0.3">
      <c r="A575" s="3" t="s">
        <v>27</v>
      </c>
      <c r="B575" s="3" t="s">
        <v>37</v>
      </c>
      <c r="C575" s="3" t="s">
        <v>23</v>
      </c>
      <c r="D575" s="3" t="s">
        <v>41</v>
      </c>
      <c r="E575" s="3" t="s">
        <v>25</v>
      </c>
      <c r="F575" s="3" t="s">
        <v>25</v>
      </c>
      <c r="G575" s="3" t="s">
        <v>25</v>
      </c>
      <c r="H575" s="3" t="s">
        <v>25</v>
      </c>
      <c r="I575" s="6">
        <v>44562</v>
      </c>
      <c r="J575" s="4">
        <v>0</v>
      </c>
      <c r="K575" s="4">
        <v>0</v>
      </c>
      <c r="L575" s="4">
        <v>3.2050000000000001</v>
      </c>
      <c r="M575" s="4">
        <v>3.2050000000000001</v>
      </c>
      <c r="N575" s="4">
        <v>3.2050000000000001</v>
      </c>
      <c r="O575" s="4">
        <v>3.2050000000000001</v>
      </c>
      <c r="P575" s="4">
        <v>0</v>
      </c>
      <c r="Q575" s="3" t="s">
        <v>26</v>
      </c>
      <c r="R575" s="3">
        <v>0</v>
      </c>
      <c r="S575" s="4">
        <v>0</v>
      </c>
      <c r="T575" s="4">
        <v>47</v>
      </c>
      <c r="U575" s="4">
        <v>87</v>
      </c>
      <c r="V575" s="4">
        <f>IF(ISERROR(VLOOKUP($S$575,'TAR FIN'!$A$1:$O$91,15,0)),0,VLOOKUP($S$575,'TAR FIN'!$A$1:$O$91,15,0))</f>
        <v>0</v>
      </c>
      <c r="W575" s="4">
        <f>IF(ISERROR(VLOOKUP($T$575,'TAR FIN'!$A$1:$O$91,15,0)),0,VLOOKUP($T$575,'TAR FIN'!$A$1:$O$91,15,0))</f>
        <v>406.52</v>
      </c>
      <c r="X575" s="4">
        <f>IF(ISERROR(VLOOKUP($U$575,'TAR FIN'!$A$1:$O$91,15,0)),0,VLOOKUP($U$575,'TAR FIN'!$A$1:$O$91,15,0))</f>
        <v>199.03</v>
      </c>
      <c r="Y575" s="4"/>
      <c r="Z575" s="4">
        <f ca="1">('TUSD BE'!$AM$51+'TUSD BF_350'!$AM$51+'TUSD CVA'!$AM$51)*1</f>
        <v>446.02270810064761</v>
      </c>
      <c r="AA575" s="4">
        <f ca="1">('TE BE'!$AB$42+'TE BF_350'!$AB$42+'TE CVA'!$AB$42)*1</f>
        <v>205.52329867469447</v>
      </c>
      <c r="AB575" s="4">
        <f>$K$575*$V$575</f>
        <v>0</v>
      </c>
      <c r="AC575" s="4">
        <f>$M$575*$W$575</f>
        <v>1302.8966</v>
      </c>
      <c r="AD575" s="4">
        <f>$O$575*$X$575</f>
        <v>637.89115000000004</v>
      </c>
      <c r="AE575" s="4">
        <f>$K$575*$Y$575</f>
        <v>0</v>
      </c>
      <c r="AF575" s="4">
        <f ca="1">$M$575*$Z$575</f>
        <v>1429.5027794625755</v>
      </c>
      <c r="AG575" s="4">
        <f ca="1">$O$575*$AA$575</f>
        <v>658.70217225239583</v>
      </c>
    </row>
    <row r="576" spans="1:33" ht="11.25" customHeight="1" x14ac:dyDescent="0.3">
      <c r="A576" s="3" t="s">
        <v>28</v>
      </c>
      <c r="B576" s="3" t="s">
        <v>37</v>
      </c>
      <c r="C576" s="3" t="s">
        <v>23</v>
      </c>
      <c r="D576" s="3" t="s">
        <v>41</v>
      </c>
      <c r="E576" s="3" t="s">
        <v>25</v>
      </c>
      <c r="F576" s="3" t="s">
        <v>25</v>
      </c>
      <c r="G576" s="3" t="s">
        <v>25</v>
      </c>
      <c r="H576" s="3" t="s">
        <v>25</v>
      </c>
      <c r="I576" s="6">
        <v>44562</v>
      </c>
      <c r="J576" s="4">
        <v>0</v>
      </c>
      <c r="K576" s="4">
        <v>0</v>
      </c>
      <c r="L576" s="4">
        <v>43.732999999999997</v>
      </c>
      <c r="M576" s="4">
        <v>43.732999999999997</v>
      </c>
      <c r="N576" s="4">
        <v>43.732999999999997</v>
      </c>
      <c r="O576" s="4">
        <v>43.732999999999997</v>
      </c>
      <c r="P576" s="4">
        <v>47</v>
      </c>
      <c r="Q576" s="3" t="s">
        <v>26</v>
      </c>
      <c r="R576" s="3">
        <v>0</v>
      </c>
      <c r="S576" s="4">
        <v>0</v>
      </c>
      <c r="T576" s="4">
        <v>47</v>
      </c>
      <c r="U576" s="4">
        <v>87</v>
      </c>
      <c r="V576" s="4">
        <f>IF(ISERROR(VLOOKUP($S$576,'TAR FIN'!$A$1:$O$91,15,0)),0,VLOOKUP($S$576,'TAR FIN'!$A$1:$O$91,15,0))</f>
        <v>0</v>
      </c>
      <c r="W576" s="4">
        <f>IF(ISERROR(VLOOKUP($T$576,'TAR FIN'!$A$1:$O$91,15,0)),0,VLOOKUP($T$576,'TAR FIN'!$A$1:$O$91,15,0))</f>
        <v>406.52</v>
      </c>
      <c r="X576" s="4">
        <f>IF(ISERROR(VLOOKUP($U$576,'TAR FIN'!$A$1:$O$91,15,0)),0,VLOOKUP($U$576,'TAR FIN'!$A$1:$O$91,15,0))</f>
        <v>199.03</v>
      </c>
      <c r="Y576" s="4"/>
      <c r="Z576" s="4">
        <f ca="1">('TUSD BE'!$AM$51+'TUSD BF_350'!$AM$51+'TUSD CVA'!$AM$51)*1</f>
        <v>446.02270810064761</v>
      </c>
      <c r="AA576" s="4">
        <f ca="1">('TE BE'!$AB$42+'TE BF_350'!$AB$42+'TE CVA'!$AB$42)*1</f>
        <v>205.52329867469447</v>
      </c>
      <c r="AB576" s="4">
        <f>$K$576*$V$576</f>
        <v>0</v>
      </c>
      <c r="AC576" s="4">
        <f>$M$576*$W$576</f>
        <v>17778.33916</v>
      </c>
      <c r="AD576" s="4">
        <f>$O$576*$X$576</f>
        <v>8704.1789900000003</v>
      </c>
      <c r="AE576" s="4">
        <f>$K$576*$Y$576</f>
        <v>0</v>
      </c>
      <c r="AF576" s="4">
        <f ca="1">$M$576*$Z$576</f>
        <v>19505.911093365619</v>
      </c>
      <c r="AG576" s="4">
        <f ca="1">$O$576*$AA$576</f>
        <v>8988.150420940412</v>
      </c>
    </row>
    <row r="577" spans="1:33" ht="11.25" customHeight="1" x14ac:dyDescent="0.3">
      <c r="A577" s="3" t="s">
        <v>21</v>
      </c>
      <c r="B577" s="3" t="s">
        <v>37</v>
      </c>
      <c r="C577" s="3" t="s">
        <v>23</v>
      </c>
      <c r="D577" s="3" t="s">
        <v>41</v>
      </c>
      <c r="E577" s="3" t="s">
        <v>25</v>
      </c>
      <c r="F577" s="3" t="s">
        <v>25</v>
      </c>
      <c r="G577" s="3" t="s">
        <v>25</v>
      </c>
      <c r="H577" s="3" t="s">
        <v>25</v>
      </c>
      <c r="I577" s="6">
        <v>44593</v>
      </c>
      <c r="J577" s="4">
        <v>0</v>
      </c>
      <c r="K577" s="4">
        <v>0</v>
      </c>
      <c r="L577" s="4">
        <v>849.50099999999998</v>
      </c>
      <c r="M577" s="4">
        <v>849.50099999999998</v>
      </c>
      <c r="N577" s="4">
        <v>849.50099999999998</v>
      </c>
      <c r="O577" s="4">
        <v>849.50099999999998</v>
      </c>
      <c r="P577" s="4">
        <v>1197</v>
      </c>
      <c r="Q577" s="3" t="s">
        <v>26</v>
      </c>
      <c r="R577" s="3">
        <v>0</v>
      </c>
      <c r="S577" s="4">
        <v>0</v>
      </c>
      <c r="T577" s="4">
        <v>47</v>
      </c>
      <c r="U577" s="4">
        <v>87</v>
      </c>
      <c r="V577" s="4">
        <f>IF(ISERROR(VLOOKUP($S$577,'TAR FIN'!$A$1:$O$91,15,0)),0,VLOOKUP($S$577,'TAR FIN'!$A$1:$O$91,15,0))</f>
        <v>0</v>
      </c>
      <c r="W577" s="4">
        <f>IF(ISERROR(VLOOKUP($T$577,'TAR FIN'!$A$1:$O$91,15,0)),0,VLOOKUP($T$577,'TAR FIN'!$A$1:$O$91,15,0))</f>
        <v>406.52</v>
      </c>
      <c r="X577" s="4">
        <f>IF(ISERROR(VLOOKUP($U$577,'TAR FIN'!$A$1:$O$91,15,0)),0,VLOOKUP($U$577,'TAR FIN'!$A$1:$O$91,15,0))</f>
        <v>199.03</v>
      </c>
      <c r="Y577" s="4"/>
      <c r="Z577" s="4">
        <f ca="1">('TUSD BE'!$AM$51+'TUSD BF_350'!$AM$51+'TUSD CVA'!$AM$51)*1</f>
        <v>446.02270810064761</v>
      </c>
      <c r="AA577" s="4">
        <f ca="1">('TE BE'!$AB$42+'TE BF_350'!$AB$42+'TE CVA'!$AB$42)*1</f>
        <v>205.52329867469447</v>
      </c>
      <c r="AB577" s="4">
        <f>$K$577*$V$577</f>
        <v>0</v>
      </c>
      <c r="AC577" s="4">
        <f>$M$577*$W$577</f>
        <v>345339.14651999995</v>
      </c>
      <c r="AD577" s="4">
        <f>$O$577*$X$577</f>
        <v>169076.18403</v>
      </c>
      <c r="AE577" s="4">
        <f>$K$577*$Y$577</f>
        <v>0</v>
      </c>
      <c r="AF577" s="4">
        <f ca="1">$M$577*$Z$577</f>
        <v>378896.73655420821</v>
      </c>
      <c r="AG577" s="4">
        <f ca="1">$O$577*$AA$577</f>
        <v>174592.24774745162</v>
      </c>
    </row>
    <row r="578" spans="1:33" ht="11.25" customHeight="1" x14ac:dyDescent="0.3">
      <c r="A578" s="3" t="s">
        <v>27</v>
      </c>
      <c r="B578" s="3" t="s">
        <v>37</v>
      </c>
      <c r="C578" s="3" t="s">
        <v>23</v>
      </c>
      <c r="D578" s="3" t="s">
        <v>41</v>
      </c>
      <c r="E578" s="3" t="s">
        <v>25</v>
      </c>
      <c r="F578" s="3" t="s">
        <v>25</v>
      </c>
      <c r="G578" s="3" t="s">
        <v>25</v>
      </c>
      <c r="H578" s="3" t="s">
        <v>25</v>
      </c>
      <c r="I578" s="6">
        <v>44593</v>
      </c>
      <c r="J578" s="4">
        <v>0</v>
      </c>
      <c r="K578" s="4">
        <v>0</v>
      </c>
      <c r="L578" s="4">
        <v>46.793999999999997</v>
      </c>
      <c r="M578" s="4">
        <v>46.793999999999997</v>
      </c>
      <c r="N578" s="4">
        <v>46.793999999999997</v>
      </c>
      <c r="O578" s="4">
        <v>46.793999999999997</v>
      </c>
      <c r="P578" s="4">
        <v>0</v>
      </c>
      <c r="Q578" s="3" t="s">
        <v>26</v>
      </c>
      <c r="R578" s="3">
        <v>0</v>
      </c>
      <c r="S578" s="4">
        <v>0</v>
      </c>
      <c r="T578" s="4">
        <v>47</v>
      </c>
      <c r="U578" s="4">
        <v>87</v>
      </c>
      <c r="V578" s="4">
        <f>IF(ISERROR(VLOOKUP($S$578,'TAR FIN'!$A$1:$O$91,15,0)),0,VLOOKUP($S$578,'TAR FIN'!$A$1:$O$91,15,0))</f>
        <v>0</v>
      </c>
      <c r="W578" s="4">
        <f>IF(ISERROR(VLOOKUP($T$578,'TAR FIN'!$A$1:$O$91,15,0)),0,VLOOKUP($T$578,'TAR FIN'!$A$1:$O$91,15,0))</f>
        <v>406.52</v>
      </c>
      <c r="X578" s="4">
        <f>IF(ISERROR(VLOOKUP($U$578,'TAR FIN'!$A$1:$O$91,15,0)),0,VLOOKUP($U$578,'TAR FIN'!$A$1:$O$91,15,0))</f>
        <v>199.03</v>
      </c>
      <c r="Y578" s="4"/>
      <c r="Z578" s="4">
        <f ca="1">('TUSD BE'!$AM$51+'TUSD BF_350'!$AM$51+'TUSD CVA'!$AM$51)*1</f>
        <v>446.02270810064761</v>
      </c>
      <c r="AA578" s="4">
        <f ca="1">('TE BE'!$AB$42+'TE BF_350'!$AB$42+'TE CVA'!$AB$42)*1</f>
        <v>205.52329867469447</v>
      </c>
      <c r="AB578" s="4">
        <f>$K$578*$V$578</f>
        <v>0</v>
      </c>
      <c r="AC578" s="4">
        <f>$M$578*$W$578</f>
        <v>19022.69688</v>
      </c>
      <c r="AD578" s="4">
        <f>$O$578*$X$578</f>
        <v>9313.4098199999989</v>
      </c>
      <c r="AE578" s="4">
        <f>$K$578*$Y$578</f>
        <v>0</v>
      </c>
      <c r="AF578" s="4">
        <f ca="1">$M$578*$Z$578</f>
        <v>20871.186602861704</v>
      </c>
      <c r="AG578" s="4">
        <f ca="1">$O$578*$AA$578</f>
        <v>9617.2572381836526</v>
      </c>
    </row>
    <row r="579" spans="1:33" ht="11.25" customHeight="1" x14ac:dyDescent="0.3">
      <c r="A579" s="3" t="s">
        <v>28</v>
      </c>
      <c r="B579" s="3" t="s">
        <v>37</v>
      </c>
      <c r="C579" s="3" t="s">
        <v>23</v>
      </c>
      <c r="D579" s="3" t="s">
        <v>41</v>
      </c>
      <c r="E579" s="3" t="s">
        <v>25</v>
      </c>
      <c r="F579" s="3" t="s">
        <v>25</v>
      </c>
      <c r="G579" s="3" t="s">
        <v>25</v>
      </c>
      <c r="H579" s="3" t="s">
        <v>25</v>
      </c>
      <c r="I579" s="6">
        <v>44593</v>
      </c>
      <c r="J579" s="4">
        <v>0</v>
      </c>
      <c r="K579" s="4">
        <v>0</v>
      </c>
      <c r="L579" s="4">
        <v>60.008000000000003</v>
      </c>
      <c r="M579" s="4">
        <v>60.008000000000003</v>
      </c>
      <c r="N579" s="4">
        <v>60.008000000000003</v>
      </c>
      <c r="O579" s="4">
        <v>60.008000000000003</v>
      </c>
      <c r="P579" s="4">
        <v>47</v>
      </c>
      <c r="Q579" s="3" t="s">
        <v>26</v>
      </c>
      <c r="R579" s="3">
        <v>0</v>
      </c>
      <c r="S579" s="4">
        <v>0</v>
      </c>
      <c r="T579" s="4">
        <v>47</v>
      </c>
      <c r="U579" s="4">
        <v>87</v>
      </c>
      <c r="V579" s="4">
        <f>IF(ISERROR(VLOOKUP($S$579,'TAR FIN'!$A$1:$O$91,15,0)),0,VLOOKUP($S$579,'TAR FIN'!$A$1:$O$91,15,0))</f>
        <v>0</v>
      </c>
      <c r="W579" s="4">
        <f>IF(ISERROR(VLOOKUP($T$579,'TAR FIN'!$A$1:$O$91,15,0)),0,VLOOKUP($T$579,'TAR FIN'!$A$1:$O$91,15,0))</f>
        <v>406.52</v>
      </c>
      <c r="X579" s="4">
        <f>IF(ISERROR(VLOOKUP($U$579,'TAR FIN'!$A$1:$O$91,15,0)),0,VLOOKUP($U$579,'TAR FIN'!$A$1:$O$91,15,0))</f>
        <v>199.03</v>
      </c>
      <c r="Y579" s="4"/>
      <c r="Z579" s="4">
        <f ca="1">('TUSD BE'!$AM$51+'TUSD BF_350'!$AM$51+'TUSD CVA'!$AM$51)*1</f>
        <v>446.02270810064761</v>
      </c>
      <c r="AA579" s="4">
        <f ca="1">('TE BE'!$AB$42+'TE BF_350'!$AB$42+'TE CVA'!$AB$42)*1</f>
        <v>205.52329867469447</v>
      </c>
      <c r="AB579" s="4">
        <f>$K$579*$V$579</f>
        <v>0</v>
      </c>
      <c r="AC579" s="4">
        <f>$M$579*$W$579</f>
        <v>24394.452160000001</v>
      </c>
      <c r="AD579" s="4">
        <f>$O$579*$X$579</f>
        <v>11943.392240000001</v>
      </c>
      <c r="AE579" s="4">
        <f>$K$579*$Y$579</f>
        <v>0</v>
      </c>
      <c r="AF579" s="4">
        <f ca="1">$M$579*$Z$579</f>
        <v>26764.930667703662</v>
      </c>
      <c r="AG579" s="4">
        <f ca="1">$O$579*$AA$579</f>
        <v>12333.042106871066</v>
      </c>
    </row>
    <row r="580" spans="1:33" ht="11.25" customHeight="1" x14ac:dyDescent="0.3">
      <c r="A580" s="3" t="s">
        <v>21</v>
      </c>
      <c r="B580" s="3" t="s">
        <v>37</v>
      </c>
      <c r="C580" s="3" t="s">
        <v>23</v>
      </c>
      <c r="D580" s="3" t="s">
        <v>41</v>
      </c>
      <c r="E580" s="3" t="s">
        <v>25</v>
      </c>
      <c r="F580" s="3" t="s">
        <v>25</v>
      </c>
      <c r="G580" s="3" t="s">
        <v>25</v>
      </c>
      <c r="H580" s="3" t="s">
        <v>25</v>
      </c>
      <c r="I580" s="6">
        <v>44621</v>
      </c>
      <c r="J580" s="4">
        <v>0</v>
      </c>
      <c r="K580" s="4">
        <v>0</v>
      </c>
      <c r="L580" s="4">
        <v>730.76400000000001</v>
      </c>
      <c r="M580" s="4">
        <v>730.76400000000001</v>
      </c>
      <c r="N580" s="4">
        <v>730.76400000000001</v>
      </c>
      <c r="O580" s="4">
        <v>730.76400000000001</v>
      </c>
      <c r="P580" s="4">
        <v>1240</v>
      </c>
      <c r="Q580" s="3" t="s">
        <v>26</v>
      </c>
      <c r="R580" s="3">
        <v>0</v>
      </c>
      <c r="S580" s="4">
        <v>0</v>
      </c>
      <c r="T580" s="4">
        <v>47</v>
      </c>
      <c r="U580" s="4">
        <v>87</v>
      </c>
      <c r="V580" s="4">
        <f>IF(ISERROR(VLOOKUP($S$580,'TAR FIN'!$A$1:$O$91,15,0)),0,VLOOKUP($S$580,'TAR FIN'!$A$1:$O$91,15,0))</f>
        <v>0</v>
      </c>
      <c r="W580" s="4">
        <f>IF(ISERROR(VLOOKUP($T$580,'TAR FIN'!$A$1:$O$91,15,0)),0,VLOOKUP($T$580,'TAR FIN'!$A$1:$O$91,15,0))</f>
        <v>406.52</v>
      </c>
      <c r="X580" s="4">
        <f>IF(ISERROR(VLOOKUP($U$580,'TAR FIN'!$A$1:$O$91,15,0)),0,VLOOKUP($U$580,'TAR FIN'!$A$1:$O$91,15,0))</f>
        <v>199.03</v>
      </c>
      <c r="Y580" s="4"/>
      <c r="Z580" s="4">
        <f ca="1">('TUSD BE'!$AM$51+'TUSD BF_350'!$AM$51+'TUSD CVA'!$AM$51)*1</f>
        <v>446.02270810064761</v>
      </c>
      <c r="AA580" s="4">
        <f ca="1">('TE BE'!$AB$42+'TE BF_350'!$AB$42+'TE CVA'!$AB$42)*1</f>
        <v>205.52329867469447</v>
      </c>
      <c r="AB580" s="4">
        <f>$K$580*$V$580</f>
        <v>0</v>
      </c>
      <c r="AC580" s="4">
        <f>$M$580*$W$580</f>
        <v>297070.18128000002</v>
      </c>
      <c r="AD580" s="4">
        <f>$O$580*$X$580</f>
        <v>145443.95892</v>
      </c>
      <c r="AE580" s="4">
        <f>$K$580*$Y$580</f>
        <v>0</v>
      </c>
      <c r="AF580" s="4">
        <f ca="1">$M$580*$Z$580</f>
        <v>325937.33826246165</v>
      </c>
      <c r="AG580" s="4">
        <f ca="1">$O$580*$AA$580</f>
        <v>150189.02783271443</v>
      </c>
    </row>
    <row r="581" spans="1:33" ht="11.25" customHeight="1" x14ac:dyDescent="0.3">
      <c r="A581" s="3" t="s">
        <v>28</v>
      </c>
      <c r="B581" s="3" t="s">
        <v>37</v>
      </c>
      <c r="C581" s="3" t="s">
        <v>23</v>
      </c>
      <c r="D581" s="3" t="s">
        <v>41</v>
      </c>
      <c r="E581" s="3" t="s">
        <v>25</v>
      </c>
      <c r="F581" s="3" t="s">
        <v>25</v>
      </c>
      <c r="G581" s="3" t="s">
        <v>25</v>
      </c>
      <c r="H581" s="3" t="s">
        <v>25</v>
      </c>
      <c r="I581" s="6">
        <v>44621</v>
      </c>
      <c r="J581" s="4">
        <v>0</v>
      </c>
      <c r="K581" s="4">
        <v>0</v>
      </c>
      <c r="L581" s="4">
        <v>68.831999999999994</v>
      </c>
      <c r="M581" s="4">
        <v>68.831999999999994</v>
      </c>
      <c r="N581" s="4">
        <v>68.831999999999994</v>
      </c>
      <c r="O581" s="4">
        <v>68.831999999999994</v>
      </c>
      <c r="P581" s="4">
        <v>51</v>
      </c>
      <c r="Q581" s="3" t="s">
        <v>26</v>
      </c>
      <c r="R581" s="3">
        <v>0</v>
      </c>
      <c r="S581" s="4">
        <v>0</v>
      </c>
      <c r="T581" s="4">
        <v>47</v>
      </c>
      <c r="U581" s="4">
        <v>87</v>
      </c>
      <c r="V581" s="4">
        <f>IF(ISERROR(VLOOKUP($S$581,'TAR FIN'!$A$1:$O$91,15,0)),0,VLOOKUP($S$581,'TAR FIN'!$A$1:$O$91,15,0))</f>
        <v>0</v>
      </c>
      <c r="W581" s="4">
        <f>IF(ISERROR(VLOOKUP($T$581,'TAR FIN'!$A$1:$O$91,15,0)),0,VLOOKUP($T$581,'TAR FIN'!$A$1:$O$91,15,0))</f>
        <v>406.52</v>
      </c>
      <c r="X581" s="4">
        <f>IF(ISERROR(VLOOKUP($U$581,'TAR FIN'!$A$1:$O$91,15,0)),0,VLOOKUP($U$581,'TAR FIN'!$A$1:$O$91,15,0))</f>
        <v>199.03</v>
      </c>
      <c r="Y581" s="4"/>
      <c r="Z581" s="4">
        <f ca="1">('TUSD BE'!$AM$51+'TUSD BF_350'!$AM$51+'TUSD CVA'!$AM$51)*1</f>
        <v>446.02270810064761</v>
      </c>
      <c r="AA581" s="4">
        <f ca="1">('TE BE'!$AB$42+'TE BF_350'!$AB$42+'TE CVA'!$AB$42)*1</f>
        <v>205.52329867469447</v>
      </c>
      <c r="AB581" s="4">
        <f>$K$581*$V$581</f>
        <v>0</v>
      </c>
      <c r="AC581" s="4">
        <f>$M$581*$W$581</f>
        <v>27981.584639999997</v>
      </c>
      <c r="AD581" s="4">
        <f>$O$581*$X$581</f>
        <v>13699.632959999999</v>
      </c>
      <c r="AE581" s="4">
        <f>$K$581*$Y$581</f>
        <v>0</v>
      </c>
      <c r="AF581" s="4">
        <f ca="1">$M$581*$Z$581</f>
        <v>30700.635043983773</v>
      </c>
      <c r="AG581" s="4">
        <f ca="1">$O$581*$AA$581</f>
        <v>14146.579694376569</v>
      </c>
    </row>
    <row r="582" spans="1:33" ht="11.25" customHeight="1" x14ac:dyDescent="0.3">
      <c r="A582" s="3" t="s">
        <v>21</v>
      </c>
      <c r="B582" s="3" t="s">
        <v>37</v>
      </c>
      <c r="C582" s="3" t="s">
        <v>23</v>
      </c>
      <c r="D582" s="3" t="s">
        <v>41</v>
      </c>
      <c r="E582" s="3" t="s">
        <v>25</v>
      </c>
      <c r="F582" s="3" t="s">
        <v>25</v>
      </c>
      <c r="G582" s="3" t="s">
        <v>25</v>
      </c>
      <c r="H582" s="3" t="s">
        <v>25</v>
      </c>
      <c r="I582" s="6">
        <v>44652</v>
      </c>
      <c r="J582" s="4">
        <v>0</v>
      </c>
      <c r="K582" s="4">
        <v>0</v>
      </c>
      <c r="L582" s="4">
        <v>547.755</v>
      </c>
      <c r="M582" s="4">
        <v>547.755</v>
      </c>
      <c r="N582" s="4">
        <v>547.755</v>
      </c>
      <c r="O582" s="4">
        <v>547.755</v>
      </c>
      <c r="P582" s="4">
        <v>1211</v>
      </c>
      <c r="Q582" s="3" t="s">
        <v>26</v>
      </c>
      <c r="R582" s="3">
        <v>0</v>
      </c>
      <c r="S582" s="4">
        <v>0</v>
      </c>
      <c r="T582" s="4">
        <v>47</v>
      </c>
      <c r="U582" s="4">
        <v>87</v>
      </c>
      <c r="V582" s="4">
        <f>IF(ISERROR(VLOOKUP($S$582,'TAR FIN'!$A$1:$O$91,15,0)),0,VLOOKUP($S$582,'TAR FIN'!$A$1:$O$91,15,0))</f>
        <v>0</v>
      </c>
      <c r="W582" s="4">
        <f>IF(ISERROR(VLOOKUP($T$582,'TAR FIN'!$A$1:$O$91,15,0)),0,VLOOKUP($T$582,'TAR FIN'!$A$1:$O$91,15,0))</f>
        <v>406.52</v>
      </c>
      <c r="X582" s="4">
        <f>IF(ISERROR(VLOOKUP($U$582,'TAR FIN'!$A$1:$O$91,15,0)),0,VLOOKUP($U$582,'TAR FIN'!$A$1:$O$91,15,0))</f>
        <v>199.03</v>
      </c>
      <c r="Y582" s="4"/>
      <c r="Z582" s="4">
        <f ca="1">('TUSD BE'!$AM$51+'TUSD BF_350'!$AM$51+'TUSD CVA'!$AM$51)*1</f>
        <v>446.02270810064761</v>
      </c>
      <c r="AA582" s="4">
        <f ca="1">('TE BE'!$AB$42+'TE BF_350'!$AB$42+'TE CVA'!$AB$42)*1</f>
        <v>205.52329867469447</v>
      </c>
      <c r="AB582" s="4">
        <f>$K$582*$V$582</f>
        <v>0</v>
      </c>
      <c r="AC582" s="4">
        <f>$M$582*$W$582</f>
        <v>222673.36259999999</v>
      </c>
      <c r="AD582" s="4">
        <f>$O$582*$X$582</f>
        <v>109019.67765</v>
      </c>
      <c r="AE582" s="4">
        <f>$K$582*$Y$582</f>
        <v>0</v>
      </c>
      <c r="AF582" s="4">
        <f ca="1">$M$582*$Z$582</f>
        <v>244311.16847567022</v>
      </c>
      <c r="AG582" s="4">
        <f ca="1">$O$582*$AA$582</f>
        <v>112576.41446555727</v>
      </c>
    </row>
    <row r="583" spans="1:33" ht="11.25" customHeight="1" x14ac:dyDescent="0.3">
      <c r="A583" s="3" t="s">
        <v>27</v>
      </c>
      <c r="B583" s="3" t="s">
        <v>37</v>
      </c>
      <c r="C583" s="3" t="s">
        <v>23</v>
      </c>
      <c r="D583" s="3" t="s">
        <v>41</v>
      </c>
      <c r="E583" s="3" t="s">
        <v>25</v>
      </c>
      <c r="F583" s="3" t="s">
        <v>25</v>
      </c>
      <c r="G583" s="3" t="s">
        <v>25</v>
      </c>
      <c r="H583" s="3" t="s">
        <v>25</v>
      </c>
      <c r="I583" s="6">
        <v>44652</v>
      </c>
      <c r="J583" s="4">
        <v>0</v>
      </c>
      <c r="K583" s="4">
        <v>0</v>
      </c>
      <c r="L583" s="4">
        <v>0.83199999999999996</v>
      </c>
      <c r="M583" s="4">
        <v>0.83199999999999996</v>
      </c>
      <c r="N583" s="4">
        <v>0.83199999999999996</v>
      </c>
      <c r="O583" s="4">
        <v>0.83199999999999996</v>
      </c>
      <c r="P583" s="4">
        <v>0</v>
      </c>
      <c r="Q583" s="3" t="s">
        <v>26</v>
      </c>
      <c r="R583" s="3">
        <v>0</v>
      </c>
      <c r="S583" s="4">
        <v>0</v>
      </c>
      <c r="T583" s="4">
        <v>47</v>
      </c>
      <c r="U583" s="4">
        <v>87</v>
      </c>
      <c r="V583" s="4">
        <f>IF(ISERROR(VLOOKUP($S$583,'TAR FIN'!$A$1:$O$91,15,0)),0,VLOOKUP($S$583,'TAR FIN'!$A$1:$O$91,15,0))</f>
        <v>0</v>
      </c>
      <c r="W583" s="4">
        <f>IF(ISERROR(VLOOKUP($T$583,'TAR FIN'!$A$1:$O$91,15,0)),0,VLOOKUP($T$583,'TAR FIN'!$A$1:$O$91,15,0))</f>
        <v>406.52</v>
      </c>
      <c r="X583" s="4">
        <f>IF(ISERROR(VLOOKUP($U$583,'TAR FIN'!$A$1:$O$91,15,0)),0,VLOOKUP($U$583,'TAR FIN'!$A$1:$O$91,15,0))</f>
        <v>199.03</v>
      </c>
      <c r="Y583" s="4"/>
      <c r="Z583" s="4">
        <f ca="1">('TUSD BE'!$AM$51+'TUSD BF_350'!$AM$51+'TUSD CVA'!$AM$51)*1</f>
        <v>446.02270810064761</v>
      </c>
      <c r="AA583" s="4">
        <f ca="1">('TE BE'!$AB$42+'TE BF_350'!$AB$42+'TE CVA'!$AB$42)*1</f>
        <v>205.52329867469447</v>
      </c>
      <c r="AB583" s="4">
        <f>$K$583*$V$583</f>
        <v>0</v>
      </c>
      <c r="AC583" s="4">
        <f>$M$583*$W$583</f>
        <v>338.22463999999997</v>
      </c>
      <c r="AD583" s="4">
        <f>$O$583*$X$583</f>
        <v>165.59296000000001</v>
      </c>
      <c r="AE583" s="4">
        <f>$K$583*$Y$583</f>
        <v>0</v>
      </c>
      <c r="AF583" s="4">
        <f ca="1">$M$583*$Z$583</f>
        <v>371.0908931397388</v>
      </c>
      <c r="AG583" s="4">
        <f ca="1">$O$583*$AA$583</f>
        <v>170.99538449734578</v>
      </c>
    </row>
    <row r="584" spans="1:33" ht="11.25" customHeight="1" x14ac:dyDescent="0.3">
      <c r="A584" s="3" t="s">
        <v>28</v>
      </c>
      <c r="B584" s="3" t="s">
        <v>37</v>
      </c>
      <c r="C584" s="3" t="s">
        <v>23</v>
      </c>
      <c r="D584" s="3" t="s">
        <v>41</v>
      </c>
      <c r="E584" s="3" t="s">
        <v>25</v>
      </c>
      <c r="F584" s="3" t="s">
        <v>25</v>
      </c>
      <c r="G584" s="3" t="s">
        <v>25</v>
      </c>
      <c r="H584" s="3" t="s">
        <v>25</v>
      </c>
      <c r="I584" s="6">
        <v>44652</v>
      </c>
      <c r="J584" s="4">
        <v>0</v>
      </c>
      <c r="K584" s="4">
        <v>0</v>
      </c>
      <c r="L584" s="4">
        <v>44.404000000000003</v>
      </c>
      <c r="M584" s="4">
        <v>44.404000000000003</v>
      </c>
      <c r="N584" s="4">
        <v>44.404000000000003</v>
      </c>
      <c r="O584" s="4">
        <v>44.404000000000003</v>
      </c>
      <c r="P584" s="4">
        <v>54</v>
      </c>
      <c r="Q584" s="3" t="s">
        <v>26</v>
      </c>
      <c r="R584" s="3">
        <v>0</v>
      </c>
      <c r="S584" s="4">
        <v>0</v>
      </c>
      <c r="T584" s="4">
        <v>47</v>
      </c>
      <c r="U584" s="4">
        <v>87</v>
      </c>
      <c r="V584" s="4">
        <f>IF(ISERROR(VLOOKUP($S$584,'TAR FIN'!$A$1:$O$91,15,0)),0,VLOOKUP($S$584,'TAR FIN'!$A$1:$O$91,15,0))</f>
        <v>0</v>
      </c>
      <c r="W584" s="4">
        <f>IF(ISERROR(VLOOKUP($T$584,'TAR FIN'!$A$1:$O$91,15,0)),0,VLOOKUP($T$584,'TAR FIN'!$A$1:$O$91,15,0))</f>
        <v>406.52</v>
      </c>
      <c r="X584" s="4">
        <f>IF(ISERROR(VLOOKUP($U$584,'TAR FIN'!$A$1:$O$91,15,0)),0,VLOOKUP($U$584,'TAR FIN'!$A$1:$O$91,15,0))</f>
        <v>199.03</v>
      </c>
      <c r="Y584" s="4"/>
      <c r="Z584" s="4">
        <f ca="1">('TUSD BE'!$AM$51+'TUSD BF_350'!$AM$51+'TUSD CVA'!$AM$51)*1</f>
        <v>446.02270810064761</v>
      </c>
      <c r="AA584" s="4">
        <f ca="1">('TE BE'!$AB$42+'TE BF_350'!$AB$42+'TE CVA'!$AB$42)*1</f>
        <v>205.52329867469447</v>
      </c>
      <c r="AB584" s="4">
        <f>$K$584*$V$584</f>
        <v>0</v>
      </c>
      <c r="AC584" s="4">
        <f>$M$584*$W$584</f>
        <v>18051.114079999999</v>
      </c>
      <c r="AD584" s="4">
        <f>$O$584*$X$584</f>
        <v>8837.7281200000016</v>
      </c>
      <c r="AE584" s="4">
        <f>$K$584*$Y$584</f>
        <v>0</v>
      </c>
      <c r="AF584" s="4">
        <f ca="1">$M$584*$Z$584</f>
        <v>19805.192330501159</v>
      </c>
      <c r="AG584" s="4">
        <f ca="1">$O$584*$AA$584</f>
        <v>9126.0565543511348</v>
      </c>
    </row>
    <row r="585" spans="1:33" ht="11.25" customHeight="1" x14ac:dyDescent="0.3">
      <c r="A585" s="3" t="s">
        <v>21</v>
      </c>
      <c r="B585" s="3" t="s">
        <v>37</v>
      </c>
      <c r="C585" s="3" t="s">
        <v>23</v>
      </c>
      <c r="D585" s="3" t="s">
        <v>41</v>
      </c>
      <c r="E585" s="3" t="s">
        <v>25</v>
      </c>
      <c r="F585" s="3" t="s">
        <v>25</v>
      </c>
      <c r="G585" s="3" t="s">
        <v>25</v>
      </c>
      <c r="H585" s="3" t="s">
        <v>25</v>
      </c>
      <c r="I585" s="6">
        <v>44682</v>
      </c>
      <c r="J585" s="4">
        <v>0</v>
      </c>
      <c r="K585" s="4">
        <v>0</v>
      </c>
      <c r="L585" s="4">
        <v>541.12</v>
      </c>
      <c r="M585" s="4">
        <v>541.12</v>
      </c>
      <c r="N585" s="4">
        <v>541.12</v>
      </c>
      <c r="O585" s="4">
        <v>541.12</v>
      </c>
      <c r="P585" s="4">
        <v>1205</v>
      </c>
      <c r="Q585" s="3" t="s">
        <v>26</v>
      </c>
      <c r="R585" s="3">
        <v>0</v>
      </c>
      <c r="S585" s="4">
        <v>0</v>
      </c>
      <c r="T585" s="4">
        <v>47</v>
      </c>
      <c r="U585" s="4">
        <v>87</v>
      </c>
      <c r="V585" s="4">
        <f>IF(ISERROR(VLOOKUP($S$585,'TAR FIN'!$A$1:$O$91,15,0)),0,VLOOKUP($S$585,'TAR FIN'!$A$1:$O$91,15,0))</f>
        <v>0</v>
      </c>
      <c r="W585" s="4">
        <f>IF(ISERROR(VLOOKUP($T$585,'TAR FIN'!$A$1:$O$91,15,0)),0,VLOOKUP($T$585,'TAR FIN'!$A$1:$O$91,15,0))</f>
        <v>406.52</v>
      </c>
      <c r="X585" s="4">
        <f>IF(ISERROR(VLOOKUP($U$585,'TAR FIN'!$A$1:$O$91,15,0)),0,VLOOKUP($U$585,'TAR FIN'!$A$1:$O$91,15,0))</f>
        <v>199.03</v>
      </c>
      <c r="Y585" s="4"/>
      <c r="Z585" s="4">
        <f ca="1">('TUSD BE'!$AM$51+'TUSD BF_350'!$AM$51+'TUSD CVA'!$AM$51)*1</f>
        <v>446.02270810064761</v>
      </c>
      <c r="AA585" s="4">
        <f ca="1">('TE BE'!$AB$42+'TE BF_350'!$AB$42+'TE CVA'!$AB$42)*1</f>
        <v>205.52329867469447</v>
      </c>
      <c r="AB585" s="4">
        <f>$K$585*$V$585</f>
        <v>0</v>
      </c>
      <c r="AC585" s="4">
        <f>$M$585*$W$585</f>
        <v>219976.1024</v>
      </c>
      <c r="AD585" s="4">
        <f>$O$585*$X$585</f>
        <v>107699.1136</v>
      </c>
      <c r="AE585" s="4">
        <f>$K$585*$Y$585</f>
        <v>0</v>
      </c>
      <c r="AF585" s="4">
        <f ca="1">$M$585*$Z$585</f>
        <v>241351.80780742245</v>
      </c>
      <c r="AG585" s="4">
        <f ca="1">$O$585*$AA$585</f>
        <v>111212.76737885068</v>
      </c>
    </row>
    <row r="586" spans="1:33" ht="11.25" customHeight="1" x14ac:dyDescent="0.3">
      <c r="A586" s="3" t="s">
        <v>28</v>
      </c>
      <c r="B586" s="3" t="s">
        <v>37</v>
      </c>
      <c r="C586" s="3" t="s">
        <v>23</v>
      </c>
      <c r="D586" s="3" t="s">
        <v>41</v>
      </c>
      <c r="E586" s="3" t="s">
        <v>25</v>
      </c>
      <c r="F586" s="3" t="s">
        <v>25</v>
      </c>
      <c r="G586" s="3" t="s">
        <v>25</v>
      </c>
      <c r="H586" s="3" t="s">
        <v>25</v>
      </c>
      <c r="I586" s="6">
        <v>44682</v>
      </c>
      <c r="J586" s="4">
        <v>0</v>
      </c>
      <c r="K586" s="4">
        <v>0</v>
      </c>
      <c r="L586" s="4">
        <v>65.277000000000001</v>
      </c>
      <c r="M586" s="4">
        <v>65.277000000000001</v>
      </c>
      <c r="N586" s="4">
        <v>65.277000000000001</v>
      </c>
      <c r="O586" s="4">
        <v>65.277000000000001</v>
      </c>
      <c r="P586" s="4">
        <v>57</v>
      </c>
      <c r="Q586" s="3" t="s">
        <v>26</v>
      </c>
      <c r="R586" s="3">
        <v>0</v>
      </c>
      <c r="S586" s="4">
        <v>0</v>
      </c>
      <c r="T586" s="4">
        <v>47</v>
      </c>
      <c r="U586" s="4">
        <v>87</v>
      </c>
      <c r="V586" s="4">
        <f>IF(ISERROR(VLOOKUP($S$586,'TAR FIN'!$A$1:$O$91,15,0)),0,VLOOKUP($S$586,'TAR FIN'!$A$1:$O$91,15,0))</f>
        <v>0</v>
      </c>
      <c r="W586" s="4">
        <f>IF(ISERROR(VLOOKUP($T$586,'TAR FIN'!$A$1:$O$91,15,0)),0,VLOOKUP($T$586,'TAR FIN'!$A$1:$O$91,15,0))</f>
        <v>406.52</v>
      </c>
      <c r="X586" s="4">
        <f>IF(ISERROR(VLOOKUP($U$586,'TAR FIN'!$A$1:$O$91,15,0)),0,VLOOKUP($U$586,'TAR FIN'!$A$1:$O$91,15,0))</f>
        <v>199.03</v>
      </c>
      <c r="Y586" s="4"/>
      <c r="Z586" s="4">
        <f ca="1">('TUSD BE'!$AM$51+'TUSD BF_350'!$AM$51+'TUSD CVA'!$AM$51)*1</f>
        <v>446.02270810064761</v>
      </c>
      <c r="AA586" s="4">
        <f ca="1">('TE BE'!$AB$42+'TE BF_350'!$AB$42+'TE CVA'!$AB$42)*1</f>
        <v>205.52329867469447</v>
      </c>
      <c r="AB586" s="4">
        <f>$K$586*$V$586</f>
        <v>0</v>
      </c>
      <c r="AC586" s="4">
        <f>$M$586*$W$586</f>
        <v>26536.406039999998</v>
      </c>
      <c r="AD586" s="4">
        <f>$O$586*$X$586</f>
        <v>12992.08131</v>
      </c>
      <c r="AE586" s="4">
        <f>$K$586*$Y$586</f>
        <v>0</v>
      </c>
      <c r="AF586" s="4">
        <f ca="1">$M$586*$Z$586</f>
        <v>29115.024316685973</v>
      </c>
      <c r="AG586" s="4">
        <f ca="1">$O$586*$AA$586</f>
        <v>13415.944367588032</v>
      </c>
    </row>
    <row r="587" spans="1:33" ht="11.25" customHeight="1" x14ac:dyDescent="0.3">
      <c r="A587" s="3" t="s">
        <v>21</v>
      </c>
      <c r="B587" s="3" t="s">
        <v>37</v>
      </c>
      <c r="C587" s="3" t="s">
        <v>23</v>
      </c>
      <c r="D587" s="3" t="s">
        <v>41</v>
      </c>
      <c r="E587" s="3" t="s">
        <v>25</v>
      </c>
      <c r="F587" s="3" t="s">
        <v>25</v>
      </c>
      <c r="G587" s="3" t="s">
        <v>25</v>
      </c>
      <c r="H587" s="3" t="s">
        <v>25</v>
      </c>
      <c r="I587" s="6">
        <v>44713</v>
      </c>
      <c r="J587" s="4">
        <v>0</v>
      </c>
      <c r="K587" s="4">
        <v>0</v>
      </c>
      <c r="L587" s="4">
        <v>562.08100000000002</v>
      </c>
      <c r="M587" s="4">
        <v>562.08100000000002</v>
      </c>
      <c r="N587" s="4">
        <v>562.08100000000002</v>
      </c>
      <c r="O587" s="4">
        <v>562.08100000000002</v>
      </c>
      <c r="P587" s="4">
        <v>1203</v>
      </c>
      <c r="Q587" s="3" t="s">
        <v>26</v>
      </c>
      <c r="R587" s="3">
        <v>0</v>
      </c>
      <c r="S587" s="4">
        <v>0</v>
      </c>
      <c r="T587" s="4">
        <v>47</v>
      </c>
      <c r="U587" s="4">
        <v>87</v>
      </c>
      <c r="V587" s="4">
        <f>IF(ISERROR(VLOOKUP($S$587,'TAR FIN'!$A$1:$O$91,15,0)),0,VLOOKUP($S$587,'TAR FIN'!$A$1:$O$91,15,0))</f>
        <v>0</v>
      </c>
      <c r="W587" s="4">
        <f>IF(ISERROR(VLOOKUP($T$587,'TAR FIN'!$A$1:$O$91,15,0)),0,VLOOKUP($T$587,'TAR FIN'!$A$1:$O$91,15,0))</f>
        <v>406.52</v>
      </c>
      <c r="X587" s="4">
        <f>IF(ISERROR(VLOOKUP($U$587,'TAR FIN'!$A$1:$O$91,15,0)),0,VLOOKUP($U$587,'TAR FIN'!$A$1:$O$91,15,0))</f>
        <v>199.03</v>
      </c>
      <c r="Y587" s="4"/>
      <c r="Z587" s="4">
        <f ca="1">('TUSD BE'!$AM$51+'TUSD BF_350'!$AM$51+'TUSD CVA'!$AM$51)*1</f>
        <v>446.02270810064761</v>
      </c>
      <c r="AA587" s="4">
        <f ca="1">('TE BE'!$AB$42+'TE BF_350'!$AB$42+'TE CVA'!$AB$42)*1</f>
        <v>205.52329867469447</v>
      </c>
      <c r="AB587" s="4">
        <f>$K$587*$V$587</f>
        <v>0</v>
      </c>
      <c r="AC587" s="4">
        <f>$M$587*$W$587</f>
        <v>228497.16811999999</v>
      </c>
      <c r="AD587" s="4">
        <f>$O$587*$X$587</f>
        <v>111870.98143</v>
      </c>
      <c r="AE587" s="4">
        <f>$K$587*$Y$587</f>
        <v>0</v>
      </c>
      <c r="AF587" s="4">
        <f ca="1">$M$587*$Z$587</f>
        <v>250700.88979192011</v>
      </c>
      <c r="AG587" s="4">
        <f ca="1">$O$587*$AA$587</f>
        <v>115520.74124237095</v>
      </c>
    </row>
    <row r="588" spans="1:33" ht="11.25" customHeight="1" x14ac:dyDescent="0.3">
      <c r="A588" s="3" t="s">
        <v>27</v>
      </c>
      <c r="B588" s="3" t="s">
        <v>37</v>
      </c>
      <c r="C588" s="3" t="s">
        <v>23</v>
      </c>
      <c r="D588" s="3" t="s">
        <v>41</v>
      </c>
      <c r="E588" s="3" t="s">
        <v>25</v>
      </c>
      <c r="F588" s="3" t="s">
        <v>25</v>
      </c>
      <c r="G588" s="3" t="s">
        <v>25</v>
      </c>
      <c r="H588" s="3" t="s">
        <v>25</v>
      </c>
      <c r="I588" s="6">
        <v>44713</v>
      </c>
      <c r="J588" s="4">
        <v>0</v>
      </c>
      <c r="K588" s="4">
        <v>0</v>
      </c>
      <c r="L588" s="4">
        <v>0.309</v>
      </c>
      <c r="M588" s="4">
        <v>0.309</v>
      </c>
      <c r="N588" s="4">
        <v>0.309</v>
      </c>
      <c r="O588" s="4">
        <v>0.309</v>
      </c>
      <c r="P588" s="4">
        <v>0</v>
      </c>
      <c r="Q588" s="3" t="s">
        <v>26</v>
      </c>
      <c r="R588" s="3">
        <v>0</v>
      </c>
      <c r="S588" s="4">
        <v>0</v>
      </c>
      <c r="T588" s="4">
        <v>47</v>
      </c>
      <c r="U588" s="4">
        <v>87</v>
      </c>
      <c r="V588" s="4">
        <f>IF(ISERROR(VLOOKUP($S$588,'TAR FIN'!$A$1:$O$91,15,0)),0,VLOOKUP($S$588,'TAR FIN'!$A$1:$O$91,15,0))</f>
        <v>0</v>
      </c>
      <c r="W588" s="4">
        <f>IF(ISERROR(VLOOKUP($T$588,'TAR FIN'!$A$1:$O$91,15,0)),0,VLOOKUP($T$588,'TAR FIN'!$A$1:$O$91,15,0))</f>
        <v>406.52</v>
      </c>
      <c r="X588" s="4">
        <f>IF(ISERROR(VLOOKUP($U$588,'TAR FIN'!$A$1:$O$91,15,0)),0,VLOOKUP($U$588,'TAR FIN'!$A$1:$O$91,15,0))</f>
        <v>199.03</v>
      </c>
      <c r="Y588" s="4"/>
      <c r="Z588" s="4">
        <f ca="1">('TUSD BE'!$AM$51+'TUSD BF_350'!$AM$51+'TUSD CVA'!$AM$51)*1</f>
        <v>446.02270810064761</v>
      </c>
      <c r="AA588" s="4">
        <f ca="1">('TE BE'!$AB$42+'TE BF_350'!$AB$42+'TE CVA'!$AB$42)*1</f>
        <v>205.52329867469447</v>
      </c>
      <c r="AB588" s="4">
        <f>$K$588*$V$588</f>
        <v>0</v>
      </c>
      <c r="AC588" s="4">
        <f>$M$588*$W$588</f>
        <v>125.61467999999999</v>
      </c>
      <c r="AD588" s="4">
        <f>$O$588*$X$588</f>
        <v>61.50027</v>
      </c>
      <c r="AE588" s="4">
        <f>$K$588*$Y$588</f>
        <v>0</v>
      </c>
      <c r="AF588" s="4">
        <f ca="1">$M$588*$Z$588</f>
        <v>137.82101680310012</v>
      </c>
      <c r="AG588" s="4">
        <f ca="1">$O$588*$AA$588</f>
        <v>63.50669929048059</v>
      </c>
    </row>
    <row r="589" spans="1:33" ht="11.25" customHeight="1" x14ac:dyDescent="0.3">
      <c r="A589" s="3" t="s">
        <v>28</v>
      </c>
      <c r="B589" s="3" t="s">
        <v>37</v>
      </c>
      <c r="C589" s="3" t="s">
        <v>23</v>
      </c>
      <c r="D589" s="3" t="s">
        <v>41</v>
      </c>
      <c r="E589" s="3" t="s">
        <v>25</v>
      </c>
      <c r="F589" s="3" t="s">
        <v>25</v>
      </c>
      <c r="G589" s="3" t="s">
        <v>25</v>
      </c>
      <c r="H589" s="3" t="s">
        <v>25</v>
      </c>
      <c r="I589" s="6">
        <v>44713</v>
      </c>
      <c r="J589" s="4">
        <v>0</v>
      </c>
      <c r="K589" s="4">
        <v>0</v>
      </c>
      <c r="L589" s="4">
        <v>78.087000000000003</v>
      </c>
      <c r="M589" s="4">
        <v>78.087000000000003</v>
      </c>
      <c r="N589" s="4">
        <v>78.087000000000003</v>
      </c>
      <c r="O589" s="4">
        <v>78.087000000000003</v>
      </c>
      <c r="P589" s="4">
        <v>60</v>
      </c>
      <c r="Q589" s="3" t="s">
        <v>26</v>
      </c>
      <c r="R589" s="3">
        <v>0</v>
      </c>
      <c r="S589" s="4">
        <v>0</v>
      </c>
      <c r="T589" s="4">
        <v>47</v>
      </c>
      <c r="U589" s="4">
        <v>87</v>
      </c>
      <c r="V589" s="4">
        <f>IF(ISERROR(VLOOKUP($S$589,'TAR FIN'!$A$1:$O$91,15,0)),0,VLOOKUP($S$589,'TAR FIN'!$A$1:$O$91,15,0))</f>
        <v>0</v>
      </c>
      <c r="W589" s="4">
        <f>IF(ISERROR(VLOOKUP($T$589,'TAR FIN'!$A$1:$O$91,15,0)),0,VLOOKUP($T$589,'TAR FIN'!$A$1:$O$91,15,0))</f>
        <v>406.52</v>
      </c>
      <c r="X589" s="4">
        <f>IF(ISERROR(VLOOKUP($U$589,'TAR FIN'!$A$1:$O$91,15,0)),0,VLOOKUP($U$589,'TAR FIN'!$A$1:$O$91,15,0))</f>
        <v>199.03</v>
      </c>
      <c r="Y589" s="4"/>
      <c r="Z589" s="4">
        <f ca="1">('TUSD BE'!$AM$51+'TUSD BF_350'!$AM$51+'TUSD CVA'!$AM$51)*1</f>
        <v>446.02270810064761</v>
      </c>
      <c r="AA589" s="4">
        <f ca="1">('TE BE'!$AB$42+'TE BF_350'!$AB$42+'TE CVA'!$AB$42)*1</f>
        <v>205.52329867469447</v>
      </c>
      <c r="AB589" s="4">
        <f>$K$589*$V$589</f>
        <v>0</v>
      </c>
      <c r="AC589" s="4">
        <f>$M$589*$W$589</f>
        <v>31743.927240000001</v>
      </c>
      <c r="AD589" s="4">
        <f>$O$589*$X$589</f>
        <v>15541.655610000002</v>
      </c>
      <c r="AE589" s="4">
        <f>$K$589*$Y$589</f>
        <v>0</v>
      </c>
      <c r="AF589" s="4">
        <f ca="1">$M$589*$Z$589</f>
        <v>34828.575207455273</v>
      </c>
      <c r="AG589" s="4">
        <f ca="1">$O$589*$AA$589</f>
        <v>16048.697823610868</v>
      </c>
    </row>
    <row r="590" spans="1:33" ht="11.25" customHeight="1" x14ac:dyDescent="0.3">
      <c r="A590" s="3" t="s">
        <v>21</v>
      </c>
      <c r="B590" s="3" t="s">
        <v>37</v>
      </c>
      <c r="C590" s="3" t="s">
        <v>23</v>
      </c>
      <c r="D590" s="3" t="s">
        <v>50</v>
      </c>
      <c r="E590" s="3" t="s">
        <v>25</v>
      </c>
      <c r="F590" s="3" t="s">
        <v>25</v>
      </c>
      <c r="G590" s="3" t="s">
        <v>25</v>
      </c>
      <c r="H590" s="3" t="s">
        <v>25</v>
      </c>
      <c r="I590" s="6">
        <v>44378</v>
      </c>
      <c r="J590" s="4">
        <v>0</v>
      </c>
      <c r="K590" s="4">
        <v>0</v>
      </c>
      <c r="L590" s="4">
        <v>6.4450000000000003</v>
      </c>
      <c r="M590" s="4">
        <v>6.4450000000000003</v>
      </c>
      <c r="N590" s="4">
        <v>6.4450000000000003</v>
      </c>
      <c r="O590" s="4">
        <v>6.4450000000000003</v>
      </c>
      <c r="P590" s="4">
        <v>17</v>
      </c>
      <c r="Q590" s="3" t="s">
        <v>26</v>
      </c>
      <c r="R590" s="3">
        <v>0</v>
      </c>
      <c r="S590" s="4">
        <v>0</v>
      </c>
      <c r="T590" s="4">
        <v>47</v>
      </c>
      <c r="U590" s="4">
        <v>87</v>
      </c>
      <c r="V590" s="4">
        <f>IF(ISERROR(VLOOKUP($S$590,'TAR FIN'!$A$1:$O$91,15,0)),0,VLOOKUP($S$590,'TAR FIN'!$A$1:$O$91,15,0))</f>
        <v>0</v>
      </c>
      <c r="W590" s="4">
        <f>IF(ISERROR(VLOOKUP($T$590,'TAR FIN'!$A$1:$O$91,15,0)),0,VLOOKUP($T$590,'TAR FIN'!$A$1:$O$91,15,0))</f>
        <v>406.52</v>
      </c>
      <c r="X590" s="4">
        <f>IF(ISERROR(VLOOKUP($U$590,'TAR FIN'!$A$1:$O$91,15,0)),0,VLOOKUP($U$590,'TAR FIN'!$A$1:$O$91,15,0))</f>
        <v>199.03</v>
      </c>
      <c r="Y590" s="4"/>
      <c r="Z590" s="4">
        <f ca="1">('TUSD BE'!$AM$51+'TUSD BF_350'!$AM$51+'TUSD CVA'!$AM$51)*1</f>
        <v>446.02270810064761</v>
      </c>
      <c r="AA590" s="4">
        <f ca="1">('TE BE'!$AB$42+'TE BF_350'!$AB$42+'TE CVA'!$AB$42)*1</f>
        <v>205.52329867469447</v>
      </c>
      <c r="AB590" s="4">
        <f>$K$590*$V$590</f>
        <v>0</v>
      </c>
      <c r="AC590" s="4">
        <f>$M$590*$W$590</f>
        <v>2620.0214000000001</v>
      </c>
      <c r="AD590" s="4">
        <f>$O$590*$X$590</f>
        <v>1282.7483500000001</v>
      </c>
      <c r="AE590" s="4">
        <f>$K$590*$Y$590</f>
        <v>0</v>
      </c>
      <c r="AF590" s="4">
        <f ca="1">$M$590*$Z$590</f>
        <v>2874.6163537086741</v>
      </c>
      <c r="AG590" s="4">
        <f ca="1">$O$590*$AA$590</f>
        <v>1324.597659958406</v>
      </c>
    </row>
    <row r="591" spans="1:33" ht="11.25" customHeight="1" x14ac:dyDescent="0.3">
      <c r="A591" s="3" t="s">
        <v>21</v>
      </c>
      <c r="B591" s="3" t="s">
        <v>37</v>
      </c>
      <c r="C591" s="3" t="s">
        <v>23</v>
      </c>
      <c r="D591" s="3" t="s">
        <v>50</v>
      </c>
      <c r="E591" s="3" t="s">
        <v>25</v>
      </c>
      <c r="F591" s="3" t="s">
        <v>25</v>
      </c>
      <c r="G591" s="3" t="s">
        <v>25</v>
      </c>
      <c r="H591" s="3" t="s">
        <v>25</v>
      </c>
      <c r="I591" s="6">
        <v>44409</v>
      </c>
      <c r="J591" s="4">
        <v>0</v>
      </c>
      <c r="K591" s="4">
        <v>0</v>
      </c>
      <c r="L591" s="4">
        <v>6.4909999999999997</v>
      </c>
      <c r="M591" s="4">
        <v>6.4909999999999997</v>
      </c>
      <c r="N591" s="4">
        <v>6.4909999999999997</v>
      </c>
      <c r="O591" s="4">
        <v>6.4909999999999997</v>
      </c>
      <c r="P591" s="4">
        <v>17</v>
      </c>
      <c r="Q591" s="3" t="s">
        <v>26</v>
      </c>
      <c r="R591" s="3">
        <v>0</v>
      </c>
      <c r="S591" s="4">
        <v>0</v>
      </c>
      <c r="T591" s="4">
        <v>47</v>
      </c>
      <c r="U591" s="4">
        <v>87</v>
      </c>
      <c r="V591" s="4">
        <f>IF(ISERROR(VLOOKUP($S$591,'TAR FIN'!$A$1:$O$91,15,0)),0,VLOOKUP($S$591,'TAR FIN'!$A$1:$O$91,15,0))</f>
        <v>0</v>
      </c>
      <c r="W591" s="4">
        <f>IF(ISERROR(VLOOKUP($T$591,'TAR FIN'!$A$1:$O$91,15,0)),0,VLOOKUP($T$591,'TAR FIN'!$A$1:$O$91,15,0))</f>
        <v>406.52</v>
      </c>
      <c r="X591" s="4">
        <f>IF(ISERROR(VLOOKUP($U$591,'TAR FIN'!$A$1:$O$91,15,0)),0,VLOOKUP($U$591,'TAR FIN'!$A$1:$O$91,15,0))</f>
        <v>199.03</v>
      </c>
      <c r="Y591" s="4"/>
      <c r="Z591" s="4">
        <f ca="1">('TUSD BE'!$AM$51+'TUSD BF_350'!$AM$51+'TUSD CVA'!$AM$51)*1</f>
        <v>446.02270810064761</v>
      </c>
      <c r="AA591" s="4">
        <f ca="1">('TE BE'!$AB$42+'TE BF_350'!$AB$42+'TE CVA'!$AB$42)*1</f>
        <v>205.52329867469447</v>
      </c>
      <c r="AB591" s="4">
        <f>$K$591*$V$591</f>
        <v>0</v>
      </c>
      <c r="AC591" s="4">
        <f>$M$591*$W$591</f>
        <v>2638.7213199999997</v>
      </c>
      <c r="AD591" s="4">
        <f>$O$591*$X$591</f>
        <v>1291.90373</v>
      </c>
      <c r="AE591" s="4">
        <f>$K$591*$Y$591</f>
        <v>0</v>
      </c>
      <c r="AF591" s="4">
        <f ca="1">$M$591*$Z$591</f>
        <v>2895.1333982813035</v>
      </c>
      <c r="AG591" s="4">
        <f ca="1">$O$591*$AA$591</f>
        <v>1334.0517316974417</v>
      </c>
    </row>
    <row r="592" spans="1:33" ht="11.25" customHeight="1" x14ac:dyDescent="0.3">
      <c r="A592" s="3" t="s">
        <v>21</v>
      </c>
      <c r="B592" s="3" t="s">
        <v>37</v>
      </c>
      <c r="C592" s="3" t="s">
        <v>23</v>
      </c>
      <c r="D592" s="3" t="s">
        <v>50</v>
      </c>
      <c r="E592" s="3" t="s">
        <v>25</v>
      </c>
      <c r="F592" s="3" t="s">
        <v>25</v>
      </c>
      <c r="G592" s="3" t="s">
        <v>25</v>
      </c>
      <c r="H592" s="3" t="s">
        <v>25</v>
      </c>
      <c r="I592" s="6">
        <v>44440</v>
      </c>
      <c r="J592" s="4">
        <v>0</v>
      </c>
      <c r="K592" s="4">
        <v>0</v>
      </c>
      <c r="L592" s="4">
        <v>5.141</v>
      </c>
      <c r="M592" s="4">
        <v>5.141</v>
      </c>
      <c r="N592" s="4">
        <v>5.141</v>
      </c>
      <c r="O592" s="4">
        <v>5.141</v>
      </c>
      <c r="P592" s="4">
        <v>17</v>
      </c>
      <c r="Q592" s="3" t="s">
        <v>26</v>
      </c>
      <c r="R592" s="3">
        <v>0</v>
      </c>
      <c r="S592" s="4">
        <v>0</v>
      </c>
      <c r="T592" s="4">
        <v>47</v>
      </c>
      <c r="U592" s="4">
        <v>87</v>
      </c>
      <c r="V592" s="4">
        <f>IF(ISERROR(VLOOKUP($S$592,'TAR FIN'!$A$1:$O$91,15,0)),0,VLOOKUP($S$592,'TAR FIN'!$A$1:$O$91,15,0))</f>
        <v>0</v>
      </c>
      <c r="W592" s="4">
        <f>IF(ISERROR(VLOOKUP($T$592,'TAR FIN'!$A$1:$O$91,15,0)),0,VLOOKUP($T$592,'TAR FIN'!$A$1:$O$91,15,0))</f>
        <v>406.52</v>
      </c>
      <c r="X592" s="4">
        <f>IF(ISERROR(VLOOKUP($U$592,'TAR FIN'!$A$1:$O$91,15,0)),0,VLOOKUP($U$592,'TAR FIN'!$A$1:$O$91,15,0))</f>
        <v>199.03</v>
      </c>
      <c r="Y592" s="4"/>
      <c r="Z592" s="4">
        <f ca="1">('TUSD BE'!$AM$51+'TUSD BF_350'!$AM$51+'TUSD CVA'!$AM$51)*1</f>
        <v>446.02270810064761</v>
      </c>
      <c r="AA592" s="4">
        <f ca="1">('TE BE'!$AB$42+'TE BF_350'!$AB$42+'TE CVA'!$AB$42)*1</f>
        <v>205.52329867469447</v>
      </c>
      <c r="AB592" s="4">
        <f>$K$592*$V$592</f>
        <v>0</v>
      </c>
      <c r="AC592" s="4">
        <f>$M$592*$W$592</f>
        <v>2089.91932</v>
      </c>
      <c r="AD592" s="4">
        <f>$O$592*$X$592</f>
        <v>1023.21323</v>
      </c>
      <c r="AE592" s="4">
        <f>$K$592*$Y$592</f>
        <v>0</v>
      </c>
      <c r="AF592" s="4">
        <f ca="1">$M$592*$Z$592</f>
        <v>2293.0027423454294</v>
      </c>
      <c r="AG592" s="4">
        <f ca="1">$O$592*$AA$592</f>
        <v>1056.5952784866042</v>
      </c>
    </row>
    <row r="593" spans="1:33" ht="11.25" customHeight="1" x14ac:dyDescent="0.3">
      <c r="A593" s="3" t="s">
        <v>21</v>
      </c>
      <c r="B593" s="3" t="s">
        <v>37</v>
      </c>
      <c r="C593" s="3" t="s">
        <v>23</v>
      </c>
      <c r="D593" s="3" t="s">
        <v>50</v>
      </c>
      <c r="E593" s="3" t="s">
        <v>25</v>
      </c>
      <c r="F593" s="3" t="s">
        <v>25</v>
      </c>
      <c r="G593" s="3" t="s">
        <v>25</v>
      </c>
      <c r="H593" s="3" t="s">
        <v>25</v>
      </c>
      <c r="I593" s="6">
        <v>44470</v>
      </c>
      <c r="J593" s="4">
        <v>0</v>
      </c>
      <c r="K593" s="4">
        <v>0</v>
      </c>
      <c r="L593" s="4">
        <v>5.4859999999999998</v>
      </c>
      <c r="M593" s="4">
        <v>5.4859999999999998</v>
      </c>
      <c r="N593" s="4">
        <v>5.4859999999999998</v>
      </c>
      <c r="O593" s="4">
        <v>5.4859999999999998</v>
      </c>
      <c r="P593" s="4">
        <v>17</v>
      </c>
      <c r="Q593" s="3" t="s">
        <v>26</v>
      </c>
      <c r="R593" s="3">
        <v>0</v>
      </c>
      <c r="S593" s="4">
        <v>0</v>
      </c>
      <c r="T593" s="4">
        <v>47</v>
      </c>
      <c r="U593" s="4">
        <v>87</v>
      </c>
      <c r="V593" s="4">
        <f>IF(ISERROR(VLOOKUP($S$593,'TAR FIN'!$A$1:$O$91,15,0)),0,VLOOKUP($S$593,'TAR FIN'!$A$1:$O$91,15,0))</f>
        <v>0</v>
      </c>
      <c r="W593" s="4">
        <f>IF(ISERROR(VLOOKUP($T$593,'TAR FIN'!$A$1:$O$91,15,0)),0,VLOOKUP($T$593,'TAR FIN'!$A$1:$O$91,15,0))</f>
        <v>406.52</v>
      </c>
      <c r="X593" s="4">
        <f>IF(ISERROR(VLOOKUP($U$593,'TAR FIN'!$A$1:$O$91,15,0)),0,VLOOKUP($U$593,'TAR FIN'!$A$1:$O$91,15,0))</f>
        <v>199.03</v>
      </c>
      <c r="Y593" s="4"/>
      <c r="Z593" s="4">
        <f ca="1">('TUSD BE'!$AM$51+'TUSD BF_350'!$AM$51+'TUSD CVA'!$AM$51)*1</f>
        <v>446.02270810064761</v>
      </c>
      <c r="AA593" s="4">
        <f ca="1">('TE BE'!$AB$42+'TE BF_350'!$AB$42+'TE CVA'!$AB$42)*1</f>
        <v>205.52329867469447</v>
      </c>
      <c r="AB593" s="4">
        <f>$K$593*$V$593</f>
        <v>0</v>
      </c>
      <c r="AC593" s="4">
        <f>$M$593*$W$593</f>
        <v>2230.1687199999997</v>
      </c>
      <c r="AD593" s="4">
        <f>$O$593*$X$593</f>
        <v>1091.8785800000001</v>
      </c>
      <c r="AE593" s="4">
        <f>$K$593*$Y$593</f>
        <v>0</v>
      </c>
      <c r="AF593" s="4">
        <f ca="1">$M$593*$Z$593</f>
        <v>2446.8805766401529</v>
      </c>
      <c r="AG593" s="4">
        <f ca="1">$O$593*$AA$593</f>
        <v>1127.5008165293739</v>
      </c>
    </row>
    <row r="594" spans="1:33" ht="11.25" customHeight="1" x14ac:dyDescent="0.3">
      <c r="A594" s="3" t="s">
        <v>21</v>
      </c>
      <c r="B594" s="3" t="s">
        <v>37</v>
      </c>
      <c r="C594" s="3" t="s">
        <v>23</v>
      </c>
      <c r="D594" s="3" t="s">
        <v>50</v>
      </c>
      <c r="E594" s="3" t="s">
        <v>25</v>
      </c>
      <c r="F594" s="3" t="s">
        <v>25</v>
      </c>
      <c r="G594" s="3" t="s">
        <v>25</v>
      </c>
      <c r="H594" s="3" t="s">
        <v>25</v>
      </c>
      <c r="I594" s="6">
        <v>44501</v>
      </c>
      <c r="J594" s="4">
        <v>0</v>
      </c>
      <c r="K594" s="4">
        <v>0</v>
      </c>
      <c r="L594" s="4">
        <v>5.7949999999999999</v>
      </c>
      <c r="M594" s="4">
        <v>5.7949999999999999</v>
      </c>
      <c r="N594" s="4">
        <v>5.7949999999999999</v>
      </c>
      <c r="O594" s="4">
        <v>5.7949999999999999</v>
      </c>
      <c r="P594" s="4">
        <v>17</v>
      </c>
      <c r="Q594" s="3" t="s">
        <v>26</v>
      </c>
      <c r="R594" s="3">
        <v>0</v>
      </c>
      <c r="S594" s="4">
        <v>0</v>
      </c>
      <c r="T594" s="4">
        <v>47</v>
      </c>
      <c r="U594" s="4">
        <v>87</v>
      </c>
      <c r="V594" s="4">
        <f>IF(ISERROR(VLOOKUP($S$594,'TAR FIN'!$A$1:$O$91,15,0)),0,VLOOKUP($S$594,'TAR FIN'!$A$1:$O$91,15,0))</f>
        <v>0</v>
      </c>
      <c r="W594" s="4">
        <f>IF(ISERROR(VLOOKUP($T$594,'TAR FIN'!$A$1:$O$91,15,0)),0,VLOOKUP($T$594,'TAR FIN'!$A$1:$O$91,15,0))</f>
        <v>406.52</v>
      </c>
      <c r="X594" s="4">
        <f>IF(ISERROR(VLOOKUP($U$594,'TAR FIN'!$A$1:$O$91,15,0)),0,VLOOKUP($U$594,'TAR FIN'!$A$1:$O$91,15,0))</f>
        <v>199.03</v>
      </c>
      <c r="Y594" s="4"/>
      <c r="Z594" s="4">
        <f ca="1">('TUSD BE'!$AM$51+'TUSD BF_350'!$AM$51+'TUSD CVA'!$AM$51)*1</f>
        <v>446.02270810064761</v>
      </c>
      <c r="AA594" s="4">
        <f ca="1">('TE BE'!$AB$42+'TE BF_350'!$AB$42+'TE CVA'!$AB$42)*1</f>
        <v>205.52329867469447</v>
      </c>
      <c r="AB594" s="4">
        <f>$K$594*$V$594</f>
        <v>0</v>
      </c>
      <c r="AC594" s="4">
        <f>$M$594*$W$594</f>
        <v>2355.7833999999998</v>
      </c>
      <c r="AD594" s="4">
        <f>$O$594*$X$594</f>
        <v>1153.3788500000001</v>
      </c>
      <c r="AE594" s="4">
        <f>$K$594*$Y$594</f>
        <v>0</v>
      </c>
      <c r="AF594" s="4">
        <f ca="1">$M$594*$Z$594</f>
        <v>2584.7015934432529</v>
      </c>
      <c r="AG594" s="4">
        <f ca="1">$O$594*$AA$594</f>
        <v>1191.0075158198545</v>
      </c>
    </row>
    <row r="595" spans="1:33" ht="11.25" customHeight="1" x14ac:dyDescent="0.3">
      <c r="A595" s="3" t="s">
        <v>21</v>
      </c>
      <c r="B595" s="3" t="s">
        <v>37</v>
      </c>
      <c r="C595" s="3" t="s">
        <v>23</v>
      </c>
      <c r="D595" s="3" t="s">
        <v>50</v>
      </c>
      <c r="E595" s="3" t="s">
        <v>25</v>
      </c>
      <c r="F595" s="3" t="s">
        <v>25</v>
      </c>
      <c r="G595" s="3" t="s">
        <v>25</v>
      </c>
      <c r="H595" s="3" t="s">
        <v>25</v>
      </c>
      <c r="I595" s="6">
        <v>44531</v>
      </c>
      <c r="J595" s="4">
        <v>0</v>
      </c>
      <c r="K595" s="4">
        <v>0</v>
      </c>
      <c r="L595" s="4">
        <v>7.4290000000000003</v>
      </c>
      <c r="M595" s="4">
        <v>7.4290000000000003</v>
      </c>
      <c r="N595" s="4">
        <v>7.4290000000000003</v>
      </c>
      <c r="O595" s="4">
        <v>7.4290000000000003</v>
      </c>
      <c r="P595" s="4">
        <v>17</v>
      </c>
      <c r="Q595" s="3" t="s">
        <v>26</v>
      </c>
      <c r="R595" s="3">
        <v>0</v>
      </c>
      <c r="S595" s="4">
        <v>0</v>
      </c>
      <c r="T595" s="4">
        <v>47</v>
      </c>
      <c r="U595" s="4">
        <v>87</v>
      </c>
      <c r="V595" s="4">
        <f>IF(ISERROR(VLOOKUP($S$595,'TAR FIN'!$A$1:$O$91,15,0)),0,VLOOKUP($S$595,'TAR FIN'!$A$1:$O$91,15,0))</f>
        <v>0</v>
      </c>
      <c r="W595" s="4">
        <f>IF(ISERROR(VLOOKUP($T$595,'TAR FIN'!$A$1:$O$91,15,0)),0,VLOOKUP($T$595,'TAR FIN'!$A$1:$O$91,15,0))</f>
        <v>406.52</v>
      </c>
      <c r="X595" s="4">
        <f>IF(ISERROR(VLOOKUP($U$595,'TAR FIN'!$A$1:$O$91,15,0)),0,VLOOKUP($U$595,'TAR FIN'!$A$1:$O$91,15,0))</f>
        <v>199.03</v>
      </c>
      <c r="Y595" s="4"/>
      <c r="Z595" s="4">
        <f ca="1">('TUSD BE'!$AM$51+'TUSD BF_350'!$AM$51+'TUSD CVA'!$AM$51)*1</f>
        <v>446.02270810064761</v>
      </c>
      <c r="AA595" s="4">
        <f ca="1">('TE BE'!$AB$42+'TE BF_350'!$AB$42+'TE CVA'!$AB$42)*1</f>
        <v>205.52329867469447</v>
      </c>
      <c r="AB595" s="4">
        <f>$K$595*$V$595</f>
        <v>0</v>
      </c>
      <c r="AC595" s="4">
        <f>$M$595*$W$595</f>
        <v>3020.0370800000001</v>
      </c>
      <c r="AD595" s="4">
        <f>$O$595*$X$595</f>
        <v>1478.5938700000002</v>
      </c>
      <c r="AE595" s="4">
        <f>$K$595*$Y$595</f>
        <v>0</v>
      </c>
      <c r="AF595" s="4">
        <f ca="1">$M$595*$Z$595</f>
        <v>3313.5026984797114</v>
      </c>
      <c r="AG595" s="4">
        <f ca="1">$O$595*$AA$595</f>
        <v>1526.8325858543053</v>
      </c>
    </row>
    <row r="596" spans="1:33" ht="11.25" customHeight="1" x14ac:dyDescent="0.3">
      <c r="A596" s="3" t="s">
        <v>21</v>
      </c>
      <c r="B596" s="3" t="s">
        <v>37</v>
      </c>
      <c r="C596" s="3" t="s">
        <v>23</v>
      </c>
      <c r="D596" s="3" t="s">
        <v>50</v>
      </c>
      <c r="E596" s="3" t="s">
        <v>25</v>
      </c>
      <c r="F596" s="3" t="s">
        <v>25</v>
      </c>
      <c r="G596" s="3" t="s">
        <v>25</v>
      </c>
      <c r="H596" s="3" t="s">
        <v>25</v>
      </c>
      <c r="I596" s="6">
        <v>44562</v>
      </c>
      <c r="J596" s="4">
        <v>0</v>
      </c>
      <c r="K596" s="4">
        <v>0</v>
      </c>
      <c r="L596" s="4">
        <v>8.8239999999999998</v>
      </c>
      <c r="M596" s="4">
        <v>8.8239999999999998</v>
      </c>
      <c r="N596" s="4">
        <v>8.8239999999999998</v>
      </c>
      <c r="O596" s="4">
        <v>8.8239999999999998</v>
      </c>
      <c r="P596" s="4">
        <v>16</v>
      </c>
      <c r="Q596" s="3" t="s">
        <v>26</v>
      </c>
      <c r="R596" s="3">
        <v>0</v>
      </c>
      <c r="S596" s="4">
        <v>0</v>
      </c>
      <c r="T596" s="4">
        <v>47</v>
      </c>
      <c r="U596" s="4">
        <v>87</v>
      </c>
      <c r="V596" s="4">
        <f>IF(ISERROR(VLOOKUP($S$596,'TAR FIN'!$A$1:$O$91,15,0)),0,VLOOKUP($S$596,'TAR FIN'!$A$1:$O$91,15,0))</f>
        <v>0</v>
      </c>
      <c r="W596" s="4">
        <f>IF(ISERROR(VLOOKUP($T$596,'TAR FIN'!$A$1:$O$91,15,0)),0,VLOOKUP($T$596,'TAR FIN'!$A$1:$O$91,15,0))</f>
        <v>406.52</v>
      </c>
      <c r="X596" s="4">
        <f>IF(ISERROR(VLOOKUP($U$596,'TAR FIN'!$A$1:$O$91,15,0)),0,VLOOKUP($U$596,'TAR FIN'!$A$1:$O$91,15,0))</f>
        <v>199.03</v>
      </c>
      <c r="Y596" s="4"/>
      <c r="Z596" s="4">
        <f ca="1">('TUSD BE'!$AM$51+'TUSD BF_350'!$AM$51+'TUSD CVA'!$AM$51)*1</f>
        <v>446.02270810064761</v>
      </c>
      <c r="AA596" s="4">
        <f ca="1">('TE BE'!$AB$42+'TE BF_350'!$AB$42+'TE CVA'!$AB$42)*1</f>
        <v>205.52329867469447</v>
      </c>
      <c r="AB596" s="4">
        <f>$K$596*$V$596</f>
        <v>0</v>
      </c>
      <c r="AC596" s="4">
        <f>$M$596*$W$596</f>
        <v>3587.1324799999998</v>
      </c>
      <c r="AD596" s="4">
        <f>$O$596*$X$596</f>
        <v>1756.24072</v>
      </c>
      <c r="AE596" s="4">
        <f>$K$596*$Y$596</f>
        <v>0</v>
      </c>
      <c r="AF596" s="4">
        <f ca="1">$M$596*$Z$596</f>
        <v>3935.7043762801145</v>
      </c>
      <c r="AG596" s="4">
        <f ca="1">$O$596*$AA$596</f>
        <v>1813.537587505504</v>
      </c>
    </row>
    <row r="597" spans="1:33" ht="11.25" customHeight="1" x14ac:dyDescent="0.3">
      <c r="A597" s="3" t="s">
        <v>21</v>
      </c>
      <c r="B597" s="3" t="s">
        <v>37</v>
      </c>
      <c r="C597" s="3" t="s">
        <v>23</v>
      </c>
      <c r="D597" s="3" t="s">
        <v>50</v>
      </c>
      <c r="E597" s="3" t="s">
        <v>25</v>
      </c>
      <c r="F597" s="3" t="s">
        <v>25</v>
      </c>
      <c r="G597" s="3" t="s">
        <v>25</v>
      </c>
      <c r="H597" s="3" t="s">
        <v>25</v>
      </c>
      <c r="I597" s="6">
        <v>44593</v>
      </c>
      <c r="J597" s="4">
        <v>0</v>
      </c>
      <c r="K597" s="4">
        <v>0</v>
      </c>
      <c r="L597" s="4">
        <v>9.2780000000000005</v>
      </c>
      <c r="M597" s="4">
        <v>9.2780000000000005</v>
      </c>
      <c r="N597" s="4">
        <v>9.2780000000000005</v>
      </c>
      <c r="O597" s="4">
        <v>9.2780000000000005</v>
      </c>
      <c r="P597" s="4">
        <v>16</v>
      </c>
      <c r="Q597" s="3" t="s">
        <v>26</v>
      </c>
      <c r="R597" s="3">
        <v>0</v>
      </c>
      <c r="S597" s="4">
        <v>0</v>
      </c>
      <c r="T597" s="4">
        <v>47</v>
      </c>
      <c r="U597" s="4">
        <v>87</v>
      </c>
      <c r="V597" s="4">
        <f>IF(ISERROR(VLOOKUP($S$597,'TAR FIN'!$A$1:$O$91,15,0)),0,VLOOKUP($S$597,'TAR FIN'!$A$1:$O$91,15,0))</f>
        <v>0</v>
      </c>
      <c r="W597" s="4">
        <f>IF(ISERROR(VLOOKUP($T$597,'TAR FIN'!$A$1:$O$91,15,0)),0,VLOOKUP($T$597,'TAR FIN'!$A$1:$O$91,15,0))</f>
        <v>406.52</v>
      </c>
      <c r="X597" s="4">
        <f>IF(ISERROR(VLOOKUP($U$597,'TAR FIN'!$A$1:$O$91,15,0)),0,VLOOKUP($U$597,'TAR FIN'!$A$1:$O$91,15,0))</f>
        <v>199.03</v>
      </c>
      <c r="Y597" s="4"/>
      <c r="Z597" s="4">
        <f ca="1">('TUSD BE'!$AM$51+'TUSD BF_350'!$AM$51+'TUSD CVA'!$AM$51)*1</f>
        <v>446.02270810064761</v>
      </c>
      <c r="AA597" s="4">
        <f ca="1">('TE BE'!$AB$42+'TE BF_350'!$AB$42+'TE CVA'!$AB$42)*1</f>
        <v>205.52329867469447</v>
      </c>
      <c r="AB597" s="4">
        <f>$K$597*$V$597</f>
        <v>0</v>
      </c>
      <c r="AC597" s="4">
        <f>$M$597*$W$597</f>
        <v>3771.69256</v>
      </c>
      <c r="AD597" s="4">
        <f>$O$597*$X$597</f>
        <v>1846.6003400000002</v>
      </c>
      <c r="AE597" s="4">
        <f>$K$597*$Y$597</f>
        <v>0</v>
      </c>
      <c r="AF597" s="4">
        <f ca="1">$M$597*$Z$597</f>
        <v>4138.1986857578086</v>
      </c>
      <c r="AG597" s="4">
        <f ca="1">$O$597*$AA$597</f>
        <v>1906.8451651038154</v>
      </c>
    </row>
    <row r="598" spans="1:33" ht="11.25" customHeight="1" x14ac:dyDescent="0.3">
      <c r="A598" s="3" t="s">
        <v>21</v>
      </c>
      <c r="B598" s="3" t="s">
        <v>37</v>
      </c>
      <c r="C598" s="3" t="s">
        <v>23</v>
      </c>
      <c r="D598" s="3" t="s">
        <v>50</v>
      </c>
      <c r="E598" s="3" t="s">
        <v>25</v>
      </c>
      <c r="F598" s="3" t="s">
        <v>25</v>
      </c>
      <c r="G598" s="3" t="s">
        <v>25</v>
      </c>
      <c r="H598" s="3" t="s">
        <v>25</v>
      </c>
      <c r="I598" s="6">
        <v>44621</v>
      </c>
      <c r="J598" s="4">
        <v>0</v>
      </c>
      <c r="K598" s="4">
        <v>0</v>
      </c>
      <c r="L598" s="4">
        <v>7.883</v>
      </c>
      <c r="M598" s="4">
        <v>7.883</v>
      </c>
      <c r="N598" s="4">
        <v>7.883</v>
      </c>
      <c r="O598" s="4">
        <v>7.883</v>
      </c>
      <c r="P598" s="4">
        <v>16</v>
      </c>
      <c r="Q598" s="3" t="s">
        <v>26</v>
      </c>
      <c r="R598" s="3">
        <v>0</v>
      </c>
      <c r="S598" s="4">
        <v>0</v>
      </c>
      <c r="T598" s="4">
        <v>47</v>
      </c>
      <c r="U598" s="4">
        <v>87</v>
      </c>
      <c r="V598" s="4">
        <f>IF(ISERROR(VLOOKUP($S$598,'TAR FIN'!$A$1:$O$91,15,0)),0,VLOOKUP($S$598,'TAR FIN'!$A$1:$O$91,15,0))</f>
        <v>0</v>
      </c>
      <c r="W598" s="4">
        <f>IF(ISERROR(VLOOKUP($T$598,'TAR FIN'!$A$1:$O$91,15,0)),0,VLOOKUP($T$598,'TAR FIN'!$A$1:$O$91,15,0))</f>
        <v>406.52</v>
      </c>
      <c r="X598" s="4">
        <f>IF(ISERROR(VLOOKUP($U$598,'TAR FIN'!$A$1:$O$91,15,0)),0,VLOOKUP($U$598,'TAR FIN'!$A$1:$O$91,15,0))</f>
        <v>199.03</v>
      </c>
      <c r="Y598" s="4"/>
      <c r="Z598" s="4">
        <f ca="1">('TUSD BE'!$AM$51+'TUSD BF_350'!$AM$51+'TUSD CVA'!$AM$51)*1</f>
        <v>446.02270810064761</v>
      </c>
      <c r="AA598" s="4">
        <f ca="1">('TE BE'!$AB$42+'TE BF_350'!$AB$42+'TE CVA'!$AB$42)*1</f>
        <v>205.52329867469447</v>
      </c>
      <c r="AB598" s="4">
        <f>$K$598*$V$598</f>
        <v>0</v>
      </c>
      <c r="AC598" s="4">
        <f>$M$598*$W$598</f>
        <v>3204.5971599999998</v>
      </c>
      <c r="AD598" s="4">
        <f>$O$598*$X$598</f>
        <v>1568.9534900000001</v>
      </c>
      <c r="AE598" s="4">
        <f>$K$598*$Y$598</f>
        <v>0</v>
      </c>
      <c r="AF598" s="4">
        <f ca="1">$M$598*$Z$598</f>
        <v>3515.997007957405</v>
      </c>
      <c r="AG598" s="4">
        <f ca="1">$O$598*$AA$598</f>
        <v>1620.1401634526164</v>
      </c>
    </row>
    <row r="599" spans="1:33" ht="11.25" customHeight="1" x14ac:dyDescent="0.3">
      <c r="A599" s="3" t="s">
        <v>21</v>
      </c>
      <c r="B599" s="3" t="s">
        <v>37</v>
      </c>
      <c r="C599" s="3" t="s">
        <v>23</v>
      </c>
      <c r="D599" s="3" t="s">
        <v>50</v>
      </c>
      <c r="E599" s="3" t="s">
        <v>25</v>
      </c>
      <c r="F599" s="3" t="s">
        <v>25</v>
      </c>
      <c r="G599" s="3" t="s">
        <v>25</v>
      </c>
      <c r="H599" s="3" t="s">
        <v>25</v>
      </c>
      <c r="I599" s="6">
        <v>44652</v>
      </c>
      <c r="J599" s="4">
        <v>0</v>
      </c>
      <c r="K599" s="4">
        <v>0</v>
      </c>
      <c r="L599" s="4">
        <v>5.2270000000000003</v>
      </c>
      <c r="M599" s="4">
        <v>5.2270000000000003</v>
      </c>
      <c r="N599" s="4">
        <v>5.2270000000000003</v>
      </c>
      <c r="O599" s="4">
        <v>5.2270000000000003</v>
      </c>
      <c r="P599" s="4">
        <v>16</v>
      </c>
      <c r="Q599" s="3" t="s">
        <v>26</v>
      </c>
      <c r="R599" s="3">
        <v>0</v>
      </c>
      <c r="S599" s="4">
        <v>0</v>
      </c>
      <c r="T599" s="4">
        <v>47</v>
      </c>
      <c r="U599" s="4">
        <v>87</v>
      </c>
      <c r="V599" s="4">
        <f>IF(ISERROR(VLOOKUP($S$599,'TAR FIN'!$A$1:$O$91,15,0)),0,VLOOKUP($S$599,'TAR FIN'!$A$1:$O$91,15,0))</f>
        <v>0</v>
      </c>
      <c r="W599" s="4">
        <f>IF(ISERROR(VLOOKUP($T$599,'TAR FIN'!$A$1:$O$91,15,0)),0,VLOOKUP($T$599,'TAR FIN'!$A$1:$O$91,15,0))</f>
        <v>406.52</v>
      </c>
      <c r="X599" s="4">
        <f>IF(ISERROR(VLOOKUP($U$599,'TAR FIN'!$A$1:$O$91,15,0)),0,VLOOKUP($U$599,'TAR FIN'!$A$1:$O$91,15,0))</f>
        <v>199.03</v>
      </c>
      <c r="Y599" s="4"/>
      <c r="Z599" s="4">
        <f ca="1">('TUSD BE'!$AM$51+'TUSD BF_350'!$AM$51+'TUSD CVA'!$AM$51)*1</f>
        <v>446.02270810064761</v>
      </c>
      <c r="AA599" s="4">
        <f ca="1">('TE BE'!$AB$42+'TE BF_350'!$AB$42+'TE CVA'!$AB$42)*1</f>
        <v>205.52329867469447</v>
      </c>
      <c r="AB599" s="4">
        <f>$K$599*$V$599</f>
        <v>0</v>
      </c>
      <c r="AC599" s="4">
        <f>$M$599*$W$599</f>
        <v>2124.88004</v>
      </c>
      <c r="AD599" s="4">
        <f>$O$599*$X$599</f>
        <v>1040.3298100000002</v>
      </c>
      <c r="AE599" s="4">
        <f>$K$599*$Y$599</f>
        <v>0</v>
      </c>
      <c r="AF599" s="4">
        <f ca="1">$M$599*$Z$599</f>
        <v>2331.3606952420851</v>
      </c>
      <c r="AG599" s="4">
        <f ca="1">$O$599*$AA$599</f>
        <v>1074.2702821726282</v>
      </c>
    </row>
    <row r="600" spans="1:33" ht="11.25" customHeight="1" x14ac:dyDescent="0.3">
      <c r="A600" s="3" t="s">
        <v>21</v>
      </c>
      <c r="B600" s="3" t="s">
        <v>37</v>
      </c>
      <c r="C600" s="3" t="s">
        <v>23</v>
      </c>
      <c r="D600" s="3" t="s">
        <v>50</v>
      </c>
      <c r="E600" s="3" t="s">
        <v>25</v>
      </c>
      <c r="F600" s="3" t="s">
        <v>25</v>
      </c>
      <c r="G600" s="3" t="s">
        <v>25</v>
      </c>
      <c r="H600" s="3" t="s">
        <v>25</v>
      </c>
      <c r="I600" s="6">
        <v>44682</v>
      </c>
      <c r="J600" s="4">
        <v>0</v>
      </c>
      <c r="K600" s="4">
        <v>0</v>
      </c>
      <c r="L600" s="4">
        <v>5.6920000000000002</v>
      </c>
      <c r="M600" s="4">
        <v>5.6920000000000002</v>
      </c>
      <c r="N600" s="4">
        <v>5.6920000000000002</v>
      </c>
      <c r="O600" s="4">
        <v>5.6920000000000002</v>
      </c>
      <c r="P600" s="4">
        <v>17</v>
      </c>
      <c r="Q600" s="3" t="s">
        <v>26</v>
      </c>
      <c r="R600" s="3">
        <v>0</v>
      </c>
      <c r="S600" s="4">
        <v>0</v>
      </c>
      <c r="T600" s="4">
        <v>47</v>
      </c>
      <c r="U600" s="4">
        <v>87</v>
      </c>
      <c r="V600" s="4">
        <f>IF(ISERROR(VLOOKUP($S$600,'TAR FIN'!$A$1:$O$91,15,0)),0,VLOOKUP($S$600,'TAR FIN'!$A$1:$O$91,15,0))</f>
        <v>0</v>
      </c>
      <c r="W600" s="4">
        <f>IF(ISERROR(VLOOKUP($T$600,'TAR FIN'!$A$1:$O$91,15,0)),0,VLOOKUP($T$600,'TAR FIN'!$A$1:$O$91,15,0))</f>
        <v>406.52</v>
      </c>
      <c r="X600" s="4">
        <f>IF(ISERROR(VLOOKUP($U$600,'TAR FIN'!$A$1:$O$91,15,0)),0,VLOOKUP($U$600,'TAR FIN'!$A$1:$O$91,15,0))</f>
        <v>199.03</v>
      </c>
      <c r="Y600" s="4"/>
      <c r="Z600" s="4">
        <f ca="1">('TUSD BE'!$AM$51+'TUSD BF_350'!$AM$51+'TUSD CVA'!$AM$51)*1</f>
        <v>446.02270810064761</v>
      </c>
      <c r="AA600" s="4">
        <f ca="1">('TE BE'!$AB$42+'TE BF_350'!$AB$42+'TE CVA'!$AB$42)*1</f>
        <v>205.52329867469447</v>
      </c>
      <c r="AB600" s="4">
        <f>$K$600*$V$600</f>
        <v>0</v>
      </c>
      <c r="AC600" s="4">
        <f>$M$600*$W$600</f>
        <v>2313.9118399999998</v>
      </c>
      <c r="AD600" s="4">
        <f>$O$600*$X$600</f>
        <v>1132.8787600000001</v>
      </c>
      <c r="AE600" s="4">
        <f>$K$600*$Y$600</f>
        <v>0</v>
      </c>
      <c r="AF600" s="4">
        <f ca="1">$M$600*$Z$600</f>
        <v>2538.7612545088864</v>
      </c>
      <c r="AG600" s="4">
        <f ca="1">$O$600*$AA$600</f>
        <v>1169.8386160563609</v>
      </c>
    </row>
    <row r="601" spans="1:33" ht="11.25" customHeight="1" x14ac:dyDescent="0.3">
      <c r="A601" s="3" t="s">
        <v>21</v>
      </c>
      <c r="B601" s="3" t="s">
        <v>37</v>
      </c>
      <c r="C601" s="3" t="s">
        <v>23</v>
      </c>
      <c r="D601" s="3" t="s">
        <v>50</v>
      </c>
      <c r="E601" s="3" t="s">
        <v>25</v>
      </c>
      <c r="F601" s="3" t="s">
        <v>25</v>
      </c>
      <c r="G601" s="3" t="s">
        <v>25</v>
      </c>
      <c r="H601" s="3" t="s">
        <v>25</v>
      </c>
      <c r="I601" s="6">
        <v>44713</v>
      </c>
      <c r="J601" s="4">
        <v>0</v>
      </c>
      <c r="K601" s="4">
        <v>0</v>
      </c>
      <c r="L601" s="4">
        <v>6.0880000000000001</v>
      </c>
      <c r="M601" s="4">
        <v>6.0880000000000001</v>
      </c>
      <c r="N601" s="4">
        <v>6.0880000000000001</v>
      </c>
      <c r="O601" s="4">
        <v>6.0880000000000001</v>
      </c>
      <c r="P601" s="4">
        <v>17</v>
      </c>
      <c r="Q601" s="3" t="s">
        <v>26</v>
      </c>
      <c r="R601" s="3">
        <v>0</v>
      </c>
      <c r="S601" s="4">
        <v>0</v>
      </c>
      <c r="T601" s="4">
        <v>47</v>
      </c>
      <c r="U601" s="4">
        <v>87</v>
      </c>
      <c r="V601" s="4">
        <f>IF(ISERROR(VLOOKUP($S$601,'TAR FIN'!$A$1:$O$91,15,0)),0,VLOOKUP($S$601,'TAR FIN'!$A$1:$O$91,15,0))</f>
        <v>0</v>
      </c>
      <c r="W601" s="4">
        <f>IF(ISERROR(VLOOKUP($T$601,'TAR FIN'!$A$1:$O$91,15,0)),0,VLOOKUP($T$601,'TAR FIN'!$A$1:$O$91,15,0))</f>
        <v>406.52</v>
      </c>
      <c r="X601" s="4">
        <f>IF(ISERROR(VLOOKUP($U$601,'TAR FIN'!$A$1:$O$91,15,0)),0,VLOOKUP($U$601,'TAR FIN'!$A$1:$O$91,15,0))</f>
        <v>199.03</v>
      </c>
      <c r="Y601" s="4"/>
      <c r="Z601" s="4">
        <f ca="1">('TUSD BE'!$AM$51+'TUSD BF_350'!$AM$51+'TUSD CVA'!$AM$51)*1</f>
        <v>446.02270810064761</v>
      </c>
      <c r="AA601" s="4">
        <f ca="1">('TE BE'!$AB$42+'TE BF_350'!$AB$42+'TE CVA'!$AB$42)*1</f>
        <v>205.52329867469447</v>
      </c>
      <c r="AB601" s="4">
        <f>$K$601*$V$601</f>
        <v>0</v>
      </c>
      <c r="AC601" s="4">
        <f>$M$601*$W$601</f>
        <v>2474.8937599999999</v>
      </c>
      <c r="AD601" s="4">
        <f>$O$601*$X$601</f>
        <v>1211.6946399999999</v>
      </c>
      <c r="AE601" s="4">
        <f>$K$601*$Y$601</f>
        <v>0</v>
      </c>
      <c r="AF601" s="4">
        <f ca="1">$M$601*$Z$601</f>
        <v>2715.3862469167425</v>
      </c>
      <c r="AG601" s="4">
        <f ca="1">$O$601*$AA$601</f>
        <v>1251.22584233154</v>
      </c>
    </row>
    <row r="602" spans="1:33" ht="11.25" customHeight="1" x14ac:dyDescent="0.3">
      <c r="A602" s="3" t="s">
        <v>21</v>
      </c>
      <c r="B602" s="3" t="s">
        <v>37</v>
      </c>
      <c r="C602" s="3" t="s">
        <v>23</v>
      </c>
      <c r="D602" s="3" t="s">
        <v>38</v>
      </c>
      <c r="E602" s="3" t="s">
        <v>25</v>
      </c>
      <c r="F602" s="3" t="s">
        <v>25</v>
      </c>
      <c r="G602" s="3" t="s">
        <v>25</v>
      </c>
      <c r="H602" s="3" t="s">
        <v>25</v>
      </c>
      <c r="I602" s="6">
        <v>44378</v>
      </c>
      <c r="J602" s="4">
        <v>0</v>
      </c>
      <c r="K602" s="4">
        <v>0</v>
      </c>
      <c r="L602" s="4">
        <v>59.738</v>
      </c>
      <c r="M602" s="4">
        <v>59.738</v>
      </c>
      <c r="N602" s="4">
        <v>59.738</v>
      </c>
      <c r="O602" s="4">
        <v>59.738</v>
      </c>
      <c r="P602" s="4">
        <v>49</v>
      </c>
      <c r="Q602" s="3" t="s">
        <v>26</v>
      </c>
      <c r="R602" s="3">
        <v>0</v>
      </c>
      <c r="S602" s="4">
        <v>0</v>
      </c>
      <c r="T602" s="4">
        <v>47</v>
      </c>
      <c r="U602" s="4">
        <v>87</v>
      </c>
      <c r="V602" s="4">
        <f>IF(ISERROR(VLOOKUP($S$602,'TAR FIN'!$A$1:$O$91,15,0)),0,VLOOKUP($S$602,'TAR FIN'!$A$1:$O$91,15,0))</f>
        <v>0</v>
      </c>
      <c r="W602" s="4">
        <f>IF(ISERROR(VLOOKUP($T$602,'TAR FIN'!$A$1:$O$91,15,0)),0,VLOOKUP($T$602,'TAR FIN'!$A$1:$O$91,15,0))</f>
        <v>406.52</v>
      </c>
      <c r="X602" s="4">
        <f>IF(ISERROR(VLOOKUP($U$602,'TAR FIN'!$A$1:$O$91,15,0)),0,VLOOKUP($U$602,'TAR FIN'!$A$1:$O$91,15,0))</f>
        <v>199.03</v>
      </c>
      <c r="Y602" s="4"/>
      <c r="Z602" s="4">
        <f ca="1">('TUSD BE'!$AM$51+'TUSD BF_350'!$AM$51+'TUSD CVA'!$AM$51)*1</f>
        <v>446.02270810064761</v>
      </c>
      <c r="AA602" s="4">
        <f ca="1">('TE BE'!$AB$42+'TE BF_350'!$AB$42+'TE CVA'!$AB$42)*1</f>
        <v>205.52329867469447</v>
      </c>
      <c r="AB602" s="4">
        <f>$K$602*$V$602</f>
        <v>0</v>
      </c>
      <c r="AC602" s="4">
        <f>$M$602*$W$602</f>
        <v>24284.691759999998</v>
      </c>
      <c r="AD602" s="4">
        <f>$O$602*$X$602</f>
        <v>11889.654140000001</v>
      </c>
      <c r="AE602" s="4">
        <f>$K$602*$Y$602</f>
        <v>0</v>
      </c>
      <c r="AF602" s="4">
        <f ca="1">$M$602*$Z$602</f>
        <v>26644.504536516488</v>
      </c>
      <c r="AG602" s="4">
        <f ca="1">$O$602*$AA$602</f>
        <v>12277.550816228899</v>
      </c>
    </row>
    <row r="603" spans="1:33" ht="11.25" customHeight="1" x14ac:dyDescent="0.3">
      <c r="A603" s="3" t="s">
        <v>27</v>
      </c>
      <c r="B603" s="3" t="s">
        <v>37</v>
      </c>
      <c r="C603" s="3" t="s">
        <v>23</v>
      </c>
      <c r="D603" s="3" t="s">
        <v>38</v>
      </c>
      <c r="E603" s="3" t="s">
        <v>25</v>
      </c>
      <c r="F603" s="3" t="s">
        <v>25</v>
      </c>
      <c r="G603" s="3" t="s">
        <v>25</v>
      </c>
      <c r="H603" s="3" t="s">
        <v>25</v>
      </c>
      <c r="I603" s="6">
        <v>44378</v>
      </c>
      <c r="J603" s="4">
        <v>0</v>
      </c>
      <c r="K603" s="4">
        <v>0</v>
      </c>
      <c r="L603" s="4">
        <v>0.64900000000000002</v>
      </c>
      <c r="M603" s="4">
        <v>0.64900000000000002</v>
      </c>
      <c r="N603" s="4">
        <v>0.64900000000000002</v>
      </c>
      <c r="O603" s="4">
        <v>0.64900000000000002</v>
      </c>
      <c r="P603" s="4">
        <v>0</v>
      </c>
      <c r="Q603" s="3" t="s">
        <v>26</v>
      </c>
      <c r="R603" s="3">
        <v>0</v>
      </c>
      <c r="S603" s="4">
        <v>0</v>
      </c>
      <c r="T603" s="4">
        <v>47</v>
      </c>
      <c r="U603" s="4">
        <v>87</v>
      </c>
      <c r="V603" s="4">
        <f>IF(ISERROR(VLOOKUP($S$603,'TAR FIN'!$A$1:$O$91,15,0)),0,VLOOKUP($S$603,'TAR FIN'!$A$1:$O$91,15,0))</f>
        <v>0</v>
      </c>
      <c r="W603" s="4">
        <f>IF(ISERROR(VLOOKUP($T$603,'TAR FIN'!$A$1:$O$91,15,0)),0,VLOOKUP($T$603,'TAR FIN'!$A$1:$O$91,15,0))</f>
        <v>406.52</v>
      </c>
      <c r="X603" s="4">
        <f>IF(ISERROR(VLOOKUP($U$603,'TAR FIN'!$A$1:$O$91,15,0)),0,VLOOKUP($U$603,'TAR FIN'!$A$1:$O$91,15,0))</f>
        <v>199.03</v>
      </c>
      <c r="Y603" s="4"/>
      <c r="Z603" s="4">
        <f ca="1">('TUSD BE'!$AM$51+'TUSD BF_350'!$AM$51+'TUSD CVA'!$AM$51)*1</f>
        <v>446.02270810064761</v>
      </c>
      <c r="AA603" s="4">
        <f ca="1">('TE BE'!$AB$42+'TE BF_350'!$AB$42+'TE CVA'!$AB$42)*1</f>
        <v>205.52329867469447</v>
      </c>
      <c r="AB603" s="4">
        <f>$K$603*$V$603</f>
        <v>0</v>
      </c>
      <c r="AC603" s="4">
        <f>$M$603*$W$603</f>
        <v>263.83148</v>
      </c>
      <c r="AD603" s="4">
        <f>$O$603*$X$603</f>
        <v>129.17046999999999</v>
      </c>
      <c r="AE603" s="4">
        <f>$K$603*$Y$603</f>
        <v>0</v>
      </c>
      <c r="AF603" s="4">
        <f ca="1">$M$603*$Z$603</f>
        <v>289.46873755732031</v>
      </c>
      <c r="AG603" s="4">
        <f ca="1">$O$603*$AA$603</f>
        <v>133.38462083987673</v>
      </c>
    </row>
    <row r="604" spans="1:33" ht="11.25" customHeight="1" x14ac:dyDescent="0.3">
      <c r="A604" s="3" t="s">
        <v>28</v>
      </c>
      <c r="B604" s="3" t="s">
        <v>37</v>
      </c>
      <c r="C604" s="3" t="s">
        <v>23</v>
      </c>
      <c r="D604" s="3" t="s">
        <v>38</v>
      </c>
      <c r="E604" s="3" t="s">
        <v>25</v>
      </c>
      <c r="F604" s="3" t="s">
        <v>25</v>
      </c>
      <c r="G604" s="3" t="s">
        <v>25</v>
      </c>
      <c r="H604" s="3" t="s">
        <v>25</v>
      </c>
      <c r="I604" s="6">
        <v>44378</v>
      </c>
      <c r="J604" s="4">
        <v>0</v>
      </c>
      <c r="K604" s="4">
        <v>0</v>
      </c>
      <c r="L604" s="4">
        <v>6.319</v>
      </c>
      <c r="M604" s="4">
        <v>6.319</v>
      </c>
      <c r="N604" s="4">
        <v>6.319</v>
      </c>
      <c r="O604" s="4">
        <v>6.319</v>
      </c>
      <c r="P604" s="4">
        <v>5</v>
      </c>
      <c r="Q604" s="3" t="s">
        <v>26</v>
      </c>
      <c r="R604" s="3">
        <v>0</v>
      </c>
      <c r="S604" s="4">
        <v>0</v>
      </c>
      <c r="T604" s="4">
        <v>47</v>
      </c>
      <c r="U604" s="4">
        <v>87</v>
      </c>
      <c r="V604" s="4">
        <f>IF(ISERROR(VLOOKUP($S$604,'TAR FIN'!$A$1:$O$91,15,0)),0,VLOOKUP($S$604,'TAR FIN'!$A$1:$O$91,15,0))</f>
        <v>0</v>
      </c>
      <c r="W604" s="4">
        <f>IF(ISERROR(VLOOKUP($T$604,'TAR FIN'!$A$1:$O$91,15,0)),0,VLOOKUP($T$604,'TAR FIN'!$A$1:$O$91,15,0))</f>
        <v>406.52</v>
      </c>
      <c r="X604" s="4">
        <f>IF(ISERROR(VLOOKUP($U$604,'TAR FIN'!$A$1:$O$91,15,0)),0,VLOOKUP($U$604,'TAR FIN'!$A$1:$O$91,15,0))</f>
        <v>199.03</v>
      </c>
      <c r="Y604" s="4"/>
      <c r="Z604" s="4">
        <f ca="1">('TUSD BE'!$AM$51+'TUSD BF_350'!$AM$51+'TUSD CVA'!$AM$51)*1</f>
        <v>446.02270810064761</v>
      </c>
      <c r="AA604" s="4">
        <f ca="1">('TE BE'!$AB$42+'TE BF_350'!$AB$42+'TE CVA'!$AB$42)*1</f>
        <v>205.52329867469447</v>
      </c>
      <c r="AB604" s="4">
        <f>$K$604*$V$604</f>
        <v>0</v>
      </c>
      <c r="AC604" s="4">
        <f>$M$604*$W$604</f>
        <v>2568.79988</v>
      </c>
      <c r="AD604" s="4">
        <f>$O$604*$X$604</f>
        <v>1257.67057</v>
      </c>
      <c r="AE604" s="4">
        <f>$K$604*$Y$604</f>
        <v>0</v>
      </c>
      <c r="AF604" s="4">
        <f ca="1">$M$604*$Z$604</f>
        <v>2818.4174924879921</v>
      </c>
      <c r="AG604" s="4">
        <f ca="1">$O$604*$AA$604</f>
        <v>1298.7017243253943</v>
      </c>
    </row>
    <row r="605" spans="1:33" ht="11.25" customHeight="1" x14ac:dyDescent="0.3">
      <c r="A605" s="3" t="s">
        <v>21</v>
      </c>
      <c r="B605" s="3" t="s">
        <v>37</v>
      </c>
      <c r="C605" s="3" t="s">
        <v>23</v>
      </c>
      <c r="D605" s="3" t="s">
        <v>38</v>
      </c>
      <c r="E605" s="3" t="s">
        <v>25</v>
      </c>
      <c r="F605" s="3" t="s">
        <v>25</v>
      </c>
      <c r="G605" s="3" t="s">
        <v>25</v>
      </c>
      <c r="H605" s="3" t="s">
        <v>25</v>
      </c>
      <c r="I605" s="6">
        <v>44409</v>
      </c>
      <c r="J605" s="4">
        <v>0</v>
      </c>
      <c r="K605" s="4">
        <v>0</v>
      </c>
      <c r="L605" s="4">
        <v>68.061999999999998</v>
      </c>
      <c r="M605" s="4">
        <v>68.061999999999998</v>
      </c>
      <c r="N605" s="4">
        <v>68.061999999999998</v>
      </c>
      <c r="O605" s="4">
        <v>68.061999999999998</v>
      </c>
      <c r="P605" s="4">
        <v>49</v>
      </c>
      <c r="Q605" s="3" t="s">
        <v>26</v>
      </c>
      <c r="R605" s="3">
        <v>0</v>
      </c>
      <c r="S605" s="4">
        <v>0</v>
      </c>
      <c r="T605" s="4">
        <v>47</v>
      </c>
      <c r="U605" s="4">
        <v>87</v>
      </c>
      <c r="V605" s="4">
        <f>IF(ISERROR(VLOOKUP($S$605,'TAR FIN'!$A$1:$O$91,15,0)),0,VLOOKUP($S$605,'TAR FIN'!$A$1:$O$91,15,0))</f>
        <v>0</v>
      </c>
      <c r="W605" s="4">
        <f>IF(ISERROR(VLOOKUP($T$605,'TAR FIN'!$A$1:$O$91,15,0)),0,VLOOKUP($T$605,'TAR FIN'!$A$1:$O$91,15,0))</f>
        <v>406.52</v>
      </c>
      <c r="X605" s="4">
        <f>IF(ISERROR(VLOOKUP($U$605,'TAR FIN'!$A$1:$O$91,15,0)),0,VLOOKUP($U$605,'TAR FIN'!$A$1:$O$91,15,0))</f>
        <v>199.03</v>
      </c>
      <c r="Y605" s="4"/>
      <c r="Z605" s="4">
        <f ca="1">('TUSD BE'!$AM$51+'TUSD BF_350'!$AM$51+'TUSD CVA'!$AM$51)*1</f>
        <v>446.02270810064761</v>
      </c>
      <c r="AA605" s="4">
        <f ca="1">('TE BE'!$AB$42+'TE BF_350'!$AB$42+'TE CVA'!$AB$42)*1</f>
        <v>205.52329867469447</v>
      </c>
      <c r="AB605" s="4">
        <f>$K$605*$V$605</f>
        <v>0</v>
      </c>
      <c r="AC605" s="4">
        <f>$M$605*$W$605</f>
        <v>27668.564239999996</v>
      </c>
      <c r="AD605" s="4">
        <f>$O$605*$X$605</f>
        <v>13546.379859999999</v>
      </c>
      <c r="AE605" s="4">
        <f>$K$605*$Y$605</f>
        <v>0</v>
      </c>
      <c r="AF605" s="4">
        <f ca="1">$M$605*$Z$605</f>
        <v>30357.197558746277</v>
      </c>
      <c r="AG605" s="4">
        <f ca="1">$O$605*$AA$605</f>
        <v>13988.326754397054</v>
      </c>
    </row>
    <row r="606" spans="1:33" ht="11.25" customHeight="1" x14ac:dyDescent="0.3">
      <c r="A606" s="3" t="s">
        <v>28</v>
      </c>
      <c r="B606" s="3" t="s">
        <v>37</v>
      </c>
      <c r="C606" s="3" t="s">
        <v>23</v>
      </c>
      <c r="D606" s="3" t="s">
        <v>38</v>
      </c>
      <c r="E606" s="3" t="s">
        <v>25</v>
      </c>
      <c r="F606" s="3" t="s">
        <v>25</v>
      </c>
      <c r="G606" s="3" t="s">
        <v>25</v>
      </c>
      <c r="H606" s="3" t="s">
        <v>25</v>
      </c>
      <c r="I606" s="6">
        <v>44409</v>
      </c>
      <c r="J606" s="4">
        <v>0</v>
      </c>
      <c r="K606" s="4">
        <v>0</v>
      </c>
      <c r="L606" s="4">
        <v>3.5510000000000002</v>
      </c>
      <c r="M606" s="4">
        <v>3.5510000000000002</v>
      </c>
      <c r="N606" s="4">
        <v>3.5510000000000002</v>
      </c>
      <c r="O606" s="4">
        <v>3.5510000000000002</v>
      </c>
      <c r="P606" s="4">
        <v>5</v>
      </c>
      <c r="Q606" s="3" t="s">
        <v>26</v>
      </c>
      <c r="R606" s="3">
        <v>0</v>
      </c>
      <c r="S606" s="4">
        <v>0</v>
      </c>
      <c r="T606" s="4">
        <v>47</v>
      </c>
      <c r="U606" s="4">
        <v>87</v>
      </c>
      <c r="V606" s="4">
        <f>IF(ISERROR(VLOOKUP($S$606,'TAR FIN'!$A$1:$O$91,15,0)),0,VLOOKUP($S$606,'TAR FIN'!$A$1:$O$91,15,0))</f>
        <v>0</v>
      </c>
      <c r="W606" s="4">
        <f>IF(ISERROR(VLOOKUP($T$606,'TAR FIN'!$A$1:$O$91,15,0)),0,VLOOKUP($T$606,'TAR FIN'!$A$1:$O$91,15,0))</f>
        <v>406.52</v>
      </c>
      <c r="X606" s="4">
        <f>IF(ISERROR(VLOOKUP($U$606,'TAR FIN'!$A$1:$O$91,15,0)),0,VLOOKUP($U$606,'TAR FIN'!$A$1:$O$91,15,0))</f>
        <v>199.03</v>
      </c>
      <c r="Y606" s="4"/>
      <c r="Z606" s="4">
        <f ca="1">('TUSD BE'!$AM$51+'TUSD BF_350'!$AM$51+'TUSD CVA'!$AM$51)*1</f>
        <v>446.02270810064761</v>
      </c>
      <c r="AA606" s="4">
        <f ca="1">('TE BE'!$AB$42+'TE BF_350'!$AB$42+'TE CVA'!$AB$42)*1</f>
        <v>205.52329867469447</v>
      </c>
      <c r="AB606" s="4">
        <f>$K$606*$V$606</f>
        <v>0</v>
      </c>
      <c r="AC606" s="4">
        <f>$M$606*$W$606</f>
        <v>1443.55252</v>
      </c>
      <c r="AD606" s="4">
        <f>$O$606*$X$606</f>
        <v>706.75553000000002</v>
      </c>
      <c r="AE606" s="4">
        <f>$K$606*$Y$606</f>
        <v>0</v>
      </c>
      <c r="AF606" s="4">
        <f ca="1">$M$606*$Z$606</f>
        <v>1583.8266364653998</v>
      </c>
      <c r="AG606" s="4">
        <f ca="1">$O$606*$AA$606</f>
        <v>729.8132335938401</v>
      </c>
    </row>
    <row r="607" spans="1:33" ht="11.25" customHeight="1" x14ac:dyDescent="0.3">
      <c r="A607" s="3" t="s">
        <v>21</v>
      </c>
      <c r="B607" s="3" t="s">
        <v>37</v>
      </c>
      <c r="C607" s="3" t="s">
        <v>23</v>
      </c>
      <c r="D607" s="3" t="s">
        <v>38</v>
      </c>
      <c r="E607" s="3" t="s">
        <v>25</v>
      </c>
      <c r="F607" s="3" t="s">
        <v>25</v>
      </c>
      <c r="G607" s="3" t="s">
        <v>25</v>
      </c>
      <c r="H607" s="3" t="s">
        <v>25</v>
      </c>
      <c r="I607" s="6">
        <v>44440</v>
      </c>
      <c r="J607" s="4">
        <v>0</v>
      </c>
      <c r="K607" s="4">
        <v>0</v>
      </c>
      <c r="L607" s="4">
        <v>71.777000000000001</v>
      </c>
      <c r="M607" s="4">
        <v>71.777000000000001</v>
      </c>
      <c r="N607" s="4">
        <v>71.777000000000001</v>
      </c>
      <c r="O607" s="4">
        <v>71.777000000000001</v>
      </c>
      <c r="P607" s="4">
        <v>51</v>
      </c>
      <c r="Q607" s="3" t="s">
        <v>26</v>
      </c>
      <c r="R607" s="3">
        <v>0</v>
      </c>
      <c r="S607" s="4">
        <v>0</v>
      </c>
      <c r="T607" s="4">
        <v>47</v>
      </c>
      <c r="U607" s="4">
        <v>87</v>
      </c>
      <c r="V607" s="4">
        <f>IF(ISERROR(VLOOKUP($S$607,'TAR FIN'!$A$1:$O$91,15,0)),0,VLOOKUP($S$607,'TAR FIN'!$A$1:$O$91,15,0))</f>
        <v>0</v>
      </c>
      <c r="W607" s="4">
        <f>IF(ISERROR(VLOOKUP($T$607,'TAR FIN'!$A$1:$O$91,15,0)),0,VLOOKUP($T$607,'TAR FIN'!$A$1:$O$91,15,0))</f>
        <v>406.52</v>
      </c>
      <c r="X607" s="4">
        <f>IF(ISERROR(VLOOKUP($U$607,'TAR FIN'!$A$1:$O$91,15,0)),0,VLOOKUP($U$607,'TAR FIN'!$A$1:$O$91,15,0))</f>
        <v>199.03</v>
      </c>
      <c r="Y607" s="4"/>
      <c r="Z607" s="4">
        <f ca="1">('TUSD BE'!$AM$51+'TUSD BF_350'!$AM$51+'TUSD CVA'!$AM$51)*1</f>
        <v>446.02270810064761</v>
      </c>
      <c r="AA607" s="4">
        <f ca="1">('TE BE'!$AB$42+'TE BF_350'!$AB$42+'TE CVA'!$AB$42)*1</f>
        <v>205.52329867469447</v>
      </c>
      <c r="AB607" s="4">
        <f>$K$607*$V$607</f>
        <v>0</v>
      </c>
      <c r="AC607" s="4">
        <f>$M$607*$W$607</f>
        <v>29178.786039999999</v>
      </c>
      <c r="AD607" s="4">
        <f>$O$607*$X$607</f>
        <v>14285.776310000001</v>
      </c>
      <c r="AE607" s="4">
        <f>$K$607*$Y$607</f>
        <v>0</v>
      </c>
      <c r="AF607" s="4">
        <f ca="1">$M$607*$Z$607</f>
        <v>32014.171919340184</v>
      </c>
      <c r="AG607" s="4">
        <f ca="1">$O$607*$AA$607</f>
        <v>14751.845808973545</v>
      </c>
    </row>
    <row r="608" spans="1:33" ht="11.25" customHeight="1" x14ac:dyDescent="0.3">
      <c r="A608" s="3" t="s">
        <v>28</v>
      </c>
      <c r="B608" s="3" t="s">
        <v>37</v>
      </c>
      <c r="C608" s="3" t="s">
        <v>23</v>
      </c>
      <c r="D608" s="3" t="s">
        <v>38</v>
      </c>
      <c r="E608" s="3" t="s">
        <v>25</v>
      </c>
      <c r="F608" s="3" t="s">
        <v>25</v>
      </c>
      <c r="G608" s="3" t="s">
        <v>25</v>
      </c>
      <c r="H608" s="3" t="s">
        <v>25</v>
      </c>
      <c r="I608" s="6">
        <v>44440</v>
      </c>
      <c r="J608" s="4">
        <v>0</v>
      </c>
      <c r="K608" s="4">
        <v>0</v>
      </c>
      <c r="L608" s="4">
        <v>2.2349999999999999</v>
      </c>
      <c r="M608" s="4">
        <v>2.2349999999999999</v>
      </c>
      <c r="N608" s="4">
        <v>2.2349999999999999</v>
      </c>
      <c r="O608" s="4">
        <v>2.2349999999999999</v>
      </c>
      <c r="P608" s="4">
        <v>5</v>
      </c>
      <c r="Q608" s="3" t="s">
        <v>26</v>
      </c>
      <c r="R608" s="3">
        <v>0</v>
      </c>
      <c r="S608" s="4">
        <v>0</v>
      </c>
      <c r="T608" s="4">
        <v>47</v>
      </c>
      <c r="U608" s="4">
        <v>87</v>
      </c>
      <c r="V608" s="4">
        <f>IF(ISERROR(VLOOKUP($S$608,'TAR FIN'!$A$1:$O$91,15,0)),0,VLOOKUP($S$608,'TAR FIN'!$A$1:$O$91,15,0))</f>
        <v>0</v>
      </c>
      <c r="W608" s="4">
        <f>IF(ISERROR(VLOOKUP($T$608,'TAR FIN'!$A$1:$O$91,15,0)),0,VLOOKUP($T$608,'TAR FIN'!$A$1:$O$91,15,0))</f>
        <v>406.52</v>
      </c>
      <c r="X608" s="4">
        <f>IF(ISERROR(VLOOKUP($U$608,'TAR FIN'!$A$1:$O$91,15,0)),0,VLOOKUP($U$608,'TAR FIN'!$A$1:$O$91,15,0))</f>
        <v>199.03</v>
      </c>
      <c r="Y608" s="4"/>
      <c r="Z608" s="4">
        <f ca="1">('TUSD BE'!$AM$51+'TUSD BF_350'!$AM$51+'TUSD CVA'!$AM$51)*1</f>
        <v>446.02270810064761</v>
      </c>
      <c r="AA608" s="4">
        <f ca="1">('TE BE'!$AB$42+'TE BF_350'!$AB$42+'TE CVA'!$AB$42)*1</f>
        <v>205.52329867469447</v>
      </c>
      <c r="AB608" s="4">
        <f>$K$608*$V$608</f>
        <v>0</v>
      </c>
      <c r="AC608" s="4">
        <f>$M$608*$W$608</f>
        <v>908.57219999999995</v>
      </c>
      <c r="AD608" s="4">
        <f>$O$608*$X$608</f>
        <v>444.83204999999998</v>
      </c>
      <c r="AE608" s="4">
        <f>$K$608*$Y$608</f>
        <v>0</v>
      </c>
      <c r="AF608" s="4">
        <f ca="1">$M$608*$Z$608</f>
        <v>996.86075260494738</v>
      </c>
      <c r="AG608" s="4">
        <f ca="1">$O$608*$AA$608</f>
        <v>459.3445725379421</v>
      </c>
    </row>
    <row r="609" spans="1:33" ht="11.25" customHeight="1" x14ac:dyDescent="0.3">
      <c r="A609" s="3" t="s">
        <v>21</v>
      </c>
      <c r="B609" s="3" t="s">
        <v>37</v>
      </c>
      <c r="C609" s="3" t="s">
        <v>23</v>
      </c>
      <c r="D609" s="3" t="s">
        <v>38</v>
      </c>
      <c r="E609" s="3" t="s">
        <v>25</v>
      </c>
      <c r="F609" s="3" t="s">
        <v>25</v>
      </c>
      <c r="G609" s="3" t="s">
        <v>25</v>
      </c>
      <c r="H609" s="3" t="s">
        <v>25</v>
      </c>
      <c r="I609" s="6">
        <v>44470</v>
      </c>
      <c r="J609" s="4">
        <v>0</v>
      </c>
      <c r="K609" s="4">
        <v>0</v>
      </c>
      <c r="L609" s="4">
        <v>64.519000000000005</v>
      </c>
      <c r="M609" s="4">
        <v>64.519000000000005</v>
      </c>
      <c r="N609" s="4">
        <v>64.519000000000005</v>
      </c>
      <c r="O609" s="4">
        <v>64.519000000000005</v>
      </c>
      <c r="P609" s="4">
        <v>49</v>
      </c>
      <c r="Q609" s="3" t="s">
        <v>26</v>
      </c>
      <c r="R609" s="3">
        <v>0</v>
      </c>
      <c r="S609" s="4">
        <v>0</v>
      </c>
      <c r="T609" s="4">
        <v>47</v>
      </c>
      <c r="U609" s="4">
        <v>87</v>
      </c>
      <c r="V609" s="4">
        <f>IF(ISERROR(VLOOKUP($S$609,'TAR FIN'!$A$1:$O$91,15,0)),0,VLOOKUP($S$609,'TAR FIN'!$A$1:$O$91,15,0))</f>
        <v>0</v>
      </c>
      <c r="W609" s="4">
        <f>IF(ISERROR(VLOOKUP($T$609,'TAR FIN'!$A$1:$O$91,15,0)),0,VLOOKUP($T$609,'TAR FIN'!$A$1:$O$91,15,0))</f>
        <v>406.52</v>
      </c>
      <c r="X609" s="4">
        <f>IF(ISERROR(VLOOKUP($U$609,'TAR FIN'!$A$1:$O$91,15,0)),0,VLOOKUP($U$609,'TAR FIN'!$A$1:$O$91,15,0))</f>
        <v>199.03</v>
      </c>
      <c r="Y609" s="4"/>
      <c r="Z609" s="4">
        <f ca="1">('TUSD BE'!$AM$51+'TUSD BF_350'!$AM$51+'TUSD CVA'!$AM$51)*1</f>
        <v>446.02270810064761</v>
      </c>
      <c r="AA609" s="4">
        <f ca="1">('TE BE'!$AB$42+'TE BF_350'!$AB$42+'TE CVA'!$AB$42)*1</f>
        <v>205.52329867469447</v>
      </c>
      <c r="AB609" s="4">
        <f>$K$609*$V$609</f>
        <v>0</v>
      </c>
      <c r="AC609" s="4">
        <f>$M$609*$W$609</f>
        <v>26228.263880000002</v>
      </c>
      <c r="AD609" s="4">
        <f>$O$609*$X$609</f>
        <v>12841.216570000001</v>
      </c>
      <c r="AE609" s="4">
        <f>$K$609*$Y$609</f>
        <v>0</v>
      </c>
      <c r="AF609" s="4">
        <f ca="1">$M$609*$Z$609</f>
        <v>28776.939103945686</v>
      </c>
      <c r="AG609" s="4">
        <f ca="1">$O$609*$AA$609</f>
        <v>13260.157707192613</v>
      </c>
    </row>
    <row r="610" spans="1:33" ht="11.25" customHeight="1" x14ac:dyDescent="0.3">
      <c r="A610" s="3" t="s">
        <v>28</v>
      </c>
      <c r="B610" s="3" t="s">
        <v>37</v>
      </c>
      <c r="C610" s="3" t="s">
        <v>23</v>
      </c>
      <c r="D610" s="3" t="s">
        <v>38</v>
      </c>
      <c r="E610" s="3" t="s">
        <v>25</v>
      </c>
      <c r="F610" s="3" t="s">
        <v>25</v>
      </c>
      <c r="G610" s="3" t="s">
        <v>25</v>
      </c>
      <c r="H610" s="3" t="s">
        <v>25</v>
      </c>
      <c r="I610" s="6">
        <v>44470</v>
      </c>
      <c r="J610" s="4">
        <v>0</v>
      </c>
      <c r="K610" s="4">
        <v>0</v>
      </c>
      <c r="L610" s="4">
        <v>1.17</v>
      </c>
      <c r="M610" s="4">
        <v>1.17</v>
      </c>
      <c r="N610" s="4">
        <v>1.17</v>
      </c>
      <c r="O610" s="4">
        <v>1.17</v>
      </c>
      <c r="P610" s="4">
        <v>5</v>
      </c>
      <c r="Q610" s="3" t="s">
        <v>26</v>
      </c>
      <c r="R610" s="3">
        <v>0</v>
      </c>
      <c r="S610" s="4">
        <v>0</v>
      </c>
      <c r="T610" s="4">
        <v>47</v>
      </c>
      <c r="U610" s="4">
        <v>87</v>
      </c>
      <c r="V610" s="4">
        <f>IF(ISERROR(VLOOKUP($S$610,'TAR FIN'!$A$1:$O$91,15,0)),0,VLOOKUP($S$610,'TAR FIN'!$A$1:$O$91,15,0))</f>
        <v>0</v>
      </c>
      <c r="W610" s="4">
        <f>IF(ISERROR(VLOOKUP($T$610,'TAR FIN'!$A$1:$O$91,15,0)),0,VLOOKUP($T$610,'TAR FIN'!$A$1:$O$91,15,0))</f>
        <v>406.52</v>
      </c>
      <c r="X610" s="4">
        <f>IF(ISERROR(VLOOKUP($U$610,'TAR FIN'!$A$1:$O$91,15,0)),0,VLOOKUP($U$610,'TAR FIN'!$A$1:$O$91,15,0))</f>
        <v>199.03</v>
      </c>
      <c r="Y610" s="4"/>
      <c r="Z610" s="4">
        <f ca="1">('TUSD BE'!$AM$51+'TUSD BF_350'!$AM$51+'TUSD CVA'!$AM$51)*1</f>
        <v>446.02270810064761</v>
      </c>
      <c r="AA610" s="4">
        <f ca="1">('TE BE'!$AB$42+'TE BF_350'!$AB$42+'TE CVA'!$AB$42)*1</f>
        <v>205.52329867469447</v>
      </c>
      <c r="AB610" s="4">
        <f>$K$610*$V$610</f>
        <v>0</v>
      </c>
      <c r="AC610" s="4">
        <f>$M$610*$W$610</f>
        <v>475.62839999999994</v>
      </c>
      <c r="AD610" s="4">
        <f>$O$610*$X$610</f>
        <v>232.86509999999998</v>
      </c>
      <c r="AE610" s="4">
        <f>$K$610*$Y$610</f>
        <v>0</v>
      </c>
      <c r="AF610" s="4">
        <f ca="1">$M$610*$Z$610</f>
        <v>521.84656847775761</v>
      </c>
      <c r="AG610" s="4">
        <f ca="1">$O$610*$AA$610</f>
        <v>240.46225944939252</v>
      </c>
    </row>
    <row r="611" spans="1:33" ht="11.25" customHeight="1" x14ac:dyDescent="0.3">
      <c r="A611" s="3" t="s">
        <v>21</v>
      </c>
      <c r="B611" s="3" t="s">
        <v>37</v>
      </c>
      <c r="C611" s="3" t="s">
        <v>23</v>
      </c>
      <c r="D611" s="3" t="s">
        <v>38</v>
      </c>
      <c r="E611" s="3" t="s">
        <v>25</v>
      </c>
      <c r="F611" s="3" t="s">
        <v>25</v>
      </c>
      <c r="G611" s="3" t="s">
        <v>25</v>
      </c>
      <c r="H611" s="3" t="s">
        <v>25</v>
      </c>
      <c r="I611" s="6">
        <v>44501</v>
      </c>
      <c r="J611" s="4">
        <v>0</v>
      </c>
      <c r="K611" s="4">
        <v>0</v>
      </c>
      <c r="L611" s="4">
        <v>65.290999999999997</v>
      </c>
      <c r="M611" s="4">
        <v>65.290999999999997</v>
      </c>
      <c r="N611" s="4">
        <v>65.290999999999997</v>
      </c>
      <c r="O611" s="4">
        <v>65.290999999999997</v>
      </c>
      <c r="P611" s="4">
        <v>50</v>
      </c>
      <c r="Q611" s="3" t="s">
        <v>26</v>
      </c>
      <c r="R611" s="3">
        <v>0</v>
      </c>
      <c r="S611" s="4">
        <v>0</v>
      </c>
      <c r="T611" s="4">
        <v>47</v>
      </c>
      <c r="U611" s="4">
        <v>87</v>
      </c>
      <c r="V611" s="4">
        <f>IF(ISERROR(VLOOKUP($S$611,'TAR FIN'!$A$1:$O$91,15,0)),0,VLOOKUP($S$611,'TAR FIN'!$A$1:$O$91,15,0))</f>
        <v>0</v>
      </c>
      <c r="W611" s="4">
        <f>IF(ISERROR(VLOOKUP($T$611,'TAR FIN'!$A$1:$O$91,15,0)),0,VLOOKUP($T$611,'TAR FIN'!$A$1:$O$91,15,0))</f>
        <v>406.52</v>
      </c>
      <c r="X611" s="4">
        <f>IF(ISERROR(VLOOKUP($U$611,'TAR FIN'!$A$1:$O$91,15,0)),0,VLOOKUP($U$611,'TAR FIN'!$A$1:$O$91,15,0))</f>
        <v>199.03</v>
      </c>
      <c r="Y611" s="4"/>
      <c r="Z611" s="4">
        <f ca="1">('TUSD BE'!$AM$51+'TUSD BF_350'!$AM$51+'TUSD CVA'!$AM$51)*1</f>
        <v>446.02270810064761</v>
      </c>
      <c r="AA611" s="4">
        <f ca="1">('TE BE'!$AB$42+'TE BF_350'!$AB$42+'TE CVA'!$AB$42)*1</f>
        <v>205.52329867469447</v>
      </c>
      <c r="AB611" s="4">
        <f>$K$611*$V$611</f>
        <v>0</v>
      </c>
      <c r="AC611" s="4">
        <f>$M$611*$W$611</f>
        <v>26542.097319999997</v>
      </c>
      <c r="AD611" s="4">
        <f>$O$611*$X$611</f>
        <v>12994.86773</v>
      </c>
      <c r="AE611" s="4">
        <f>$K$611*$Y$611</f>
        <v>0</v>
      </c>
      <c r="AF611" s="4">
        <f ca="1">$M$611*$Z$611</f>
        <v>29121.268634599382</v>
      </c>
      <c r="AG611" s="4">
        <f ca="1">$O$611*$AA$611</f>
        <v>13418.821693769476</v>
      </c>
    </row>
    <row r="612" spans="1:33" ht="11.25" customHeight="1" x14ac:dyDescent="0.3">
      <c r="A612" s="3" t="s">
        <v>28</v>
      </c>
      <c r="B612" s="3" t="s">
        <v>37</v>
      </c>
      <c r="C612" s="3" t="s">
        <v>23</v>
      </c>
      <c r="D612" s="3" t="s">
        <v>38</v>
      </c>
      <c r="E612" s="3" t="s">
        <v>25</v>
      </c>
      <c r="F612" s="3" t="s">
        <v>25</v>
      </c>
      <c r="G612" s="3" t="s">
        <v>25</v>
      </c>
      <c r="H612" s="3" t="s">
        <v>25</v>
      </c>
      <c r="I612" s="6">
        <v>44501</v>
      </c>
      <c r="J612" s="4">
        <v>0</v>
      </c>
      <c r="K612" s="4">
        <v>0</v>
      </c>
      <c r="L612" s="4">
        <v>0.5</v>
      </c>
      <c r="M612" s="4">
        <v>0.5</v>
      </c>
      <c r="N612" s="4">
        <v>0.5</v>
      </c>
      <c r="O612" s="4">
        <v>0.5</v>
      </c>
      <c r="P612" s="4">
        <v>5</v>
      </c>
      <c r="Q612" s="3" t="s">
        <v>26</v>
      </c>
      <c r="R612" s="3">
        <v>0</v>
      </c>
      <c r="S612" s="4">
        <v>0</v>
      </c>
      <c r="T612" s="4">
        <v>47</v>
      </c>
      <c r="U612" s="4">
        <v>87</v>
      </c>
      <c r="V612" s="4">
        <f>IF(ISERROR(VLOOKUP($S$612,'TAR FIN'!$A$1:$O$91,15,0)),0,VLOOKUP($S$612,'TAR FIN'!$A$1:$O$91,15,0))</f>
        <v>0</v>
      </c>
      <c r="W612" s="4">
        <f>IF(ISERROR(VLOOKUP($T$612,'TAR FIN'!$A$1:$O$91,15,0)),0,VLOOKUP($T$612,'TAR FIN'!$A$1:$O$91,15,0))</f>
        <v>406.52</v>
      </c>
      <c r="X612" s="4">
        <f>IF(ISERROR(VLOOKUP($U$612,'TAR FIN'!$A$1:$O$91,15,0)),0,VLOOKUP($U$612,'TAR FIN'!$A$1:$O$91,15,0))</f>
        <v>199.03</v>
      </c>
      <c r="Y612" s="4"/>
      <c r="Z612" s="4">
        <f ca="1">('TUSD BE'!$AM$51+'TUSD BF_350'!$AM$51+'TUSD CVA'!$AM$51)*1</f>
        <v>446.02270810064761</v>
      </c>
      <c r="AA612" s="4">
        <f ca="1">('TE BE'!$AB$42+'TE BF_350'!$AB$42+'TE CVA'!$AB$42)*1</f>
        <v>205.52329867469447</v>
      </c>
      <c r="AB612" s="4">
        <f>$K$612*$V$612</f>
        <v>0</v>
      </c>
      <c r="AC612" s="4">
        <f>$M$612*$W$612</f>
        <v>203.26</v>
      </c>
      <c r="AD612" s="4">
        <f>$O$612*$X$612</f>
        <v>99.515000000000001</v>
      </c>
      <c r="AE612" s="4">
        <f>$K$612*$Y$612</f>
        <v>0</v>
      </c>
      <c r="AF612" s="4">
        <f ca="1">$M$612*$Z$612</f>
        <v>223.0113540503238</v>
      </c>
      <c r="AG612" s="4">
        <f ca="1">$O$612*$AA$612</f>
        <v>102.76164933734724</v>
      </c>
    </row>
    <row r="613" spans="1:33" ht="11.25" customHeight="1" x14ac:dyDescent="0.3">
      <c r="A613" s="3" t="s">
        <v>21</v>
      </c>
      <c r="B613" s="3" t="s">
        <v>37</v>
      </c>
      <c r="C613" s="3" t="s">
        <v>23</v>
      </c>
      <c r="D613" s="3" t="s">
        <v>38</v>
      </c>
      <c r="E613" s="3" t="s">
        <v>25</v>
      </c>
      <c r="F613" s="3" t="s">
        <v>25</v>
      </c>
      <c r="G613" s="3" t="s">
        <v>25</v>
      </c>
      <c r="H613" s="3" t="s">
        <v>25</v>
      </c>
      <c r="I613" s="6">
        <v>44531</v>
      </c>
      <c r="J613" s="4">
        <v>0</v>
      </c>
      <c r="K613" s="4">
        <v>0</v>
      </c>
      <c r="L613" s="4">
        <v>69.347999999999999</v>
      </c>
      <c r="M613" s="4">
        <v>69.347999999999999</v>
      </c>
      <c r="N613" s="4">
        <v>69.347999999999999</v>
      </c>
      <c r="O613" s="4">
        <v>69.347999999999999</v>
      </c>
      <c r="P613" s="4">
        <v>50</v>
      </c>
      <c r="Q613" s="3" t="s">
        <v>26</v>
      </c>
      <c r="R613" s="3">
        <v>0</v>
      </c>
      <c r="S613" s="4">
        <v>0</v>
      </c>
      <c r="T613" s="4">
        <v>47</v>
      </c>
      <c r="U613" s="4">
        <v>87</v>
      </c>
      <c r="V613" s="4">
        <f>IF(ISERROR(VLOOKUP($S$613,'TAR FIN'!$A$1:$O$91,15,0)),0,VLOOKUP($S$613,'TAR FIN'!$A$1:$O$91,15,0))</f>
        <v>0</v>
      </c>
      <c r="W613" s="4">
        <f>IF(ISERROR(VLOOKUP($T$613,'TAR FIN'!$A$1:$O$91,15,0)),0,VLOOKUP($T$613,'TAR FIN'!$A$1:$O$91,15,0))</f>
        <v>406.52</v>
      </c>
      <c r="X613" s="4">
        <f>IF(ISERROR(VLOOKUP($U$613,'TAR FIN'!$A$1:$O$91,15,0)),0,VLOOKUP($U$613,'TAR FIN'!$A$1:$O$91,15,0))</f>
        <v>199.03</v>
      </c>
      <c r="Y613" s="4"/>
      <c r="Z613" s="4">
        <f ca="1">('TUSD BE'!$AM$51+'TUSD BF_350'!$AM$51+'TUSD CVA'!$AM$51)*1</f>
        <v>446.02270810064761</v>
      </c>
      <c r="AA613" s="4">
        <f ca="1">('TE BE'!$AB$42+'TE BF_350'!$AB$42+'TE CVA'!$AB$42)*1</f>
        <v>205.52329867469447</v>
      </c>
      <c r="AB613" s="4">
        <f>$K$613*$V$613</f>
        <v>0</v>
      </c>
      <c r="AC613" s="4">
        <f>$M$613*$W$613</f>
        <v>28191.348959999999</v>
      </c>
      <c r="AD613" s="4">
        <f>$O$613*$X$613</f>
        <v>13802.33244</v>
      </c>
      <c r="AE613" s="4">
        <f>$K$613*$Y$613</f>
        <v>0</v>
      </c>
      <c r="AF613" s="4">
        <f ca="1">$M$613*$Z$613</f>
        <v>30930.782761363709</v>
      </c>
      <c r="AG613" s="4">
        <f ca="1">$O$613*$AA$613</f>
        <v>14252.629716492713</v>
      </c>
    </row>
    <row r="614" spans="1:33" ht="11.25" customHeight="1" x14ac:dyDescent="0.3">
      <c r="A614" s="3" t="s">
        <v>28</v>
      </c>
      <c r="B614" s="3" t="s">
        <v>37</v>
      </c>
      <c r="C614" s="3" t="s">
        <v>23</v>
      </c>
      <c r="D614" s="3" t="s">
        <v>38</v>
      </c>
      <c r="E614" s="3" t="s">
        <v>25</v>
      </c>
      <c r="F614" s="3" t="s">
        <v>25</v>
      </c>
      <c r="G614" s="3" t="s">
        <v>25</v>
      </c>
      <c r="H614" s="3" t="s">
        <v>25</v>
      </c>
      <c r="I614" s="6">
        <v>44531</v>
      </c>
      <c r="J614" s="4">
        <v>0</v>
      </c>
      <c r="K614" s="4">
        <v>0</v>
      </c>
      <c r="L614" s="4">
        <v>0.60899999999999999</v>
      </c>
      <c r="M614" s="4">
        <v>0.60899999999999999</v>
      </c>
      <c r="N614" s="4">
        <v>0.60899999999999999</v>
      </c>
      <c r="O614" s="4">
        <v>0.60899999999999999</v>
      </c>
      <c r="P614" s="4">
        <v>5</v>
      </c>
      <c r="Q614" s="3" t="s">
        <v>26</v>
      </c>
      <c r="R614" s="3">
        <v>0</v>
      </c>
      <c r="S614" s="4">
        <v>0</v>
      </c>
      <c r="T614" s="4">
        <v>47</v>
      </c>
      <c r="U614" s="4">
        <v>87</v>
      </c>
      <c r="V614" s="4">
        <f>IF(ISERROR(VLOOKUP($S$614,'TAR FIN'!$A$1:$O$91,15,0)),0,VLOOKUP($S$614,'TAR FIN'!$A$1:$O$91,15,0))</f>
        <v>0</v>
      </c>
      <c r="W614" s="4">
        <f>IF(ISERROR(VLOOKUP($T$614,'TAR FIN'!$A$1:$O$91,15,0)),0,VLOOKUP($T$614,'TAR FIN'!$A$1:$O$91,15,0))</f>
        <v>406.52</v>
      </c>
      <c r="X614" s="4">
        <f>IF(ISERROR(VLOOKUP($U$614,'TAR FIN'!$A$1:$O$91,15,0)),0,VLOOKUP($U$614,'TAR FIN'!$A$1:$O$91,15,0))</f>
        <v>199.03</v>
      </c>
      <c r="Y614" s="4"/>
      <c r="Z614" s="4">
        <f ca="1">('TUSD BE'!$AM$51+'TUSD BF_350'!$AM$51+'TUSD CVA'!$AM$51)*1</f>
        <v>446.02270810064761</v>
      </c>
      <c r="AA614" s="4">
        <f ca="1">('TE BE'!$AB$42+'TE BF_350'!$AB$42+'TE CVA'!$AB$42)*1</f>
        <v>205.52329867469447</v>
      </c>
      <c r="AB614" s="4">
        <f>$K$614*$V$614</f>
        <v>0</v>
      </c>
      <c r="AC614" s="4">
        <f>$M$614*$W$614</f>
        <v>247.57067999999998</v>
      </c>
      <c r="AD614" s="4">
        <f>$O$614*$X$614</f>
        <v>121.20927</v>
      </c>
      <c r="AE614" s="4">
        <f>$K$614*$Y$614</f>
        <v>0</v>
      </c>
      <c r="AF614" s="4">
        <f ca="1">$M$614*$Z$614</f>
        <v>271.62782923329439</v>
      </c>
      <c r="AG614" s="4">
        <f ca="1">$O$614*$AA$614</f>
        <v>125.16368889288893</v>
      </c>
    </row>
    <row r="615" spans="1:33" ht="11.25" customHeight="1" x14ac:dyDescent="0.3">
      <c r="A615" s="3" t="s">
        <v>21</v>
      </c>
      <c r="B615" s="3" t="s">
        <v>37</v>
      </c>
      <c r="C615" s="3" t="s">
        <v>23</v>
      </c>
      <c r="D615" s="3" t="s">
        <v>38</v>
      </c>
      <c r="E615" s="3" t="s">
        <v>25</v>
      </c>
      <c r="F615" s="3" t="s">
        <v>25</v>
      </c>
      <c r="G615" s="3" t="s">
        <v>25</v>
      </c>
      <c r="H615" s="3" t="s">
        <v>25</v>
      </c>
      <c r="I615" s="6">
        <v>44562</v>
      </c>
      <c r="J615" s="4">
        <v>0</v>
      </c>
      <c r="K615" s="4">
        <v>0</v>
      </c>
      <c r="L615" s="4">
        <v>52.695</v>
      </c>
      <c r="M615" s="4">
        <v>52.695</v>
      </c>
      <c r="N615" s="4">
        <v>52.695</v>
      </c>
      <c r="O615" s="4">
        <v>52.695</v>
      </c>
      <c r="P615" s="4">
        <v>49</v>
      </c>
      <c r="Q615" s="3" t="s">
        <v>26</v>
      </c>
      <c r="R615" s="3">
        <v>0</v>
      </c>
      <c r="S615" s="4">
        <v>0</v>
      </c>
      <c r="T615" s="4">
        <v>47</v>
      </c>
      <c r="U615" s="4">
        <v>87</v>
      </c>
      <c r="V615" s="4">
        <f>IF(ISERROR(VLOOKUP($S$615,'TAR FIN'!$A$1:$O$91,15,0)),0,VLOOKUP($S$615,'TAR FIN'!$A$1:$O$91,15,0))</f>
        <v>0</v>
      </c>
      <c r="W615" s="4">
        <f>IF(ISERROR(VLOOKUP($T$615,'TAR FIN'!$A$1:$O$91,15,0)),0,VLOOKUP($T$615,'TAR FIN'!$A$1:$O$91,15,0))</f>
        <v>406.52</v>
      </c>
      <c r="X615" s="4">
        <f>IF(ISERROR(VLOOKUP($U$615,'TAR FIN'!$A$1:$O$91,15,0)),0,VLOOKUP($U$615,'TAR FIN'!$A$1:$O$91,15,0))</f>
        <v>199.03</v>
      </c>
      <c r="Y615" s="4"/>
      <c r="Z615" s="4">
        <f ca="1">('TUSD BE'!$AM$51+'TUSD BF_350'!$AM$51+'TUSD CVA'!$AM$51)*1</f>
        <v>446.02270810064761</v>
      </c>
      <c r="AA615" s="4">
        <f ca="1">('TE BE'!$AB$42+'TE BF_350'!$AB$42+'TE CVA'!$AB$42)*1</f>
        <v>205.52329867469447</v>
      </c>
      <c r="AB615" s="4">
        <f>$K$615*$V$615</f>
        <v>0</v>
      </c>
      <c r="AC615" s="4">
        <f>$M$615*$W$615</f>
        <v>21421.571400000001</v>
      </c>
      <c r="AD615" s="4">
        <f>$O$615*$X$615</f>
        <v>10487.885850000001</v>
      </c>
      <c r="AE615" s="4">
        <f>$K$615*$Y$615</f>
        <v>0</v>
      </c>
      <c r="AF615" s="4">
        <f ca="1">$M$615*$Z$615</f>
        <v>23503.166603363625</v>
      </c>
      <c r="AG615" s="4">
        <f ca="1">$O$615*$AA$615</f>
        <v>10830.050223663025</v>
      </c>
    </row>
    <row r="616" spans="1:33" ht="11.25" customHeight="1" x14ac:dyDescent="0.3">
      <c r="A616" s="3" t="s">
        <v>28</v>
      </c>
      <c r="B616" s="3" t="s">
        <v>37</v>
      </c>
      <c r="C616" s="3" t="s">
        <v>23</v>
      </c>
      <c r="D616" s="3" t="s">
        <v>38</v>
      </c>
      <c r="E616" s="3" t="s">
        <v>25</v>
      </c>
      <c r="F616" s="3" t="s">
        <v>25</v>
      </c>
      <c r="G616" s="3" t="s">
        <v>25</v>
      </c>
      <c r="H616" s="3" t="s">
        <v>25</v>
      </c>
      <c r="I616" s="6">
        <v>44562</v>
      </c>
      <c r="J616" s="4">
        <v>0</v>
      </c>
      <c r="K616" s="4">
        <v>0</v>
      </c>
      <c r="L616" s="4">
        <v>2.3839999999999999</v>
      </c>
      <c r="M616" s="4">
        <v>2.3839999999999999</v>
      </c>
      <c r="N616" s="4">
        <v>2.3839999999999999</v>
      </c>
      <c r="O616" s="4">
        <v>2.3839999999999999</v>
      </c>
      <c r="P616" s="4">
        <v>6</v>
      </c>
      <c r="Q616" s="3" t="s">
        <v>26</v>
      </c>
      <c r="R616" s="3">
        <v>0</v>
      </c>
      <c r="S616" s="4">
        <v>0</v>
      </c>
      <c r="T616" s="4">
        <v>47</v>
      </c>
      <c r="U616" s="4">
        <v>87</v>
      </c>
      <c r="V616" s="4">
        <f>IF(ISERROR(VLOOKUP($S$616,'TAR FIN'!$A$1:$O$91,15,0)),0,VLOOKUP($S$616,'TAR FIN'!$A$1:$O$91,15,0))</f>
        <v>0</v>
      </c>
      <c r="W616" s="4">
        <f>IF(ISERROR(VLOOKUP($T$616,'TAR FIN'!$A$1:$O$91,15,0)),0,VLOOKUP($T$616,'TAR FIN'!$A$1:$O$91,15,0))</f>
        <v>406.52</v>
      </c>
      <c r="X616" s="4">
        <f>IF(ISERROR(VLOOKUP($U$616,'TAR FIN'!$A$1:$O$91,15,0)),0,VLOOKUP($U$616,'TAR FIN'!$A$1:$O$91,15,0))</f>
        <v>199.03</v>
      </c>
      <c r="Y616" s="4"/>
      <c r="Z616" s="4">
        <f ca="1">('TUSD BE'!$AM$51+'TUSD BF_350'!$AM$51+'TUSD CVA'!$AM$51)*1</f>
        <v>446.02270810064761</v>
      </c>
      <c r="AA616" s="4">
        <f ca="1">('TE BE'!$AB$42+'TE BF_350'!$AB$42+'TE CVA'!$AB$42)*1</f>
        <v>205.52329867469447</v>
      </c>
      <c r="AB616" s="4">
        <f>$K$616*$V$616</f>
        <v>0</v>
      </c>
      <c r="AC616" s="4">
        <f>$M$616*$W$616</f>
        <v>969.1436799999999</v>
      </c>
      <c r="AD616" s="4">
        <f>$O$616*$X$616</f>
        <v>474.48751999999996</v>
      </c>
      <c r="AE616" s="4">
        <f>$K$616*$Y$616</f>
        <v>0</v>
      </c>
      <c r="AF616" s="4">
        <f ca="1">$M$616*$Z$616</f>
        <v>1063.3181361119439</v>
      </c>
      <c r="AG616" s="4">
        <f ca="1">$O$616*$AA$616</f>
        <v>489.96754404047158</v>
      </c>
    </row>
    <row r="617" spans="1:33" ht="11.25" customHeight="1" x14ac:dyDescent="0.3">
      <c r="A617" s="3" t="s">
        <v>21</v>
      </c>
      <c r="B617" s="3" t="s">
        <v>37</v>
      </c>
      <c r="C617" s="3" t="s">
        <v>23</v>
      </c>
      <c r="D617" s="3" t="s">
        <v>38</v>
      </c>
      <c r="E617" s="3" t="s">
        <v>25</v>
      </c>
      <c r="F617" s="3" t="s">
        <v>25</v>
      </c>
      <c r="G617" s="3" t="s">
        <v>25</v>
      </c>
      <c r="H617" s="3" t="s">
        <v>25</v>
      </c>
      <c r="I617" s="6">
        <v>44593</v>
      </c>
      <c r="J617" s="4">
        <v>0</v>
      </c>
      <c r="K617" s="4">
        <v>0</v>
      </c>
      <c r="L617" s="4">
        <v>72.120999999999995</v>
      </c>
      <c r="M617" s="4">
        <v>72.120999999999995</v>
      </c>
      <c r="N617" s="4">
        <v>72.120999999999995</v>
      </c>
      <c r="O617" s="4">
        <v>72.120999999999995</v>
      </c>
      <c r="P617" s="4">
        <v>49</v>
      </c>
      <c r="Q617" s="3" t="s">
        <v>26</v>
      </c>
      <c r="R617" s="3">
        <v>0</v>
      </c>
      <c r="S617" s="4">
        <v>0</v>
      </c>
      <c r="T617" s="4">
        <v>47</v>
      </c>
      <c r="U617" s="4">
        <v>87</v>
      </c>
      <c r="V617" s="4">
        <f>IF(ISERROR(VLOOKUP($S$617,'TAR FIN'!$A$1:$O$91,15,0)),0,VLOOKUP($S$617,'TAR FIN'!$A$1:$O$91,15,0))</f>
        <v>0</v>
      </c>
      <c r="W617" s="4">
        <f>IF(ISERROR(VLOOKUP($T$617,'TAR FIN'!$A$1:$O$91,15,0)),0,VLOOKUP($T$617,'TAR FIN'!$A$1:$O$91,15,0))</f>
        <v>406.52</v>
      </c>
      <c r="X617" s="4">
        <f>IF(ISERROR(VLOOKUP($U$617,'TAR FIN'!$A$1:$O$91,15,0)),0,VLOOKUP($U$617,'TAR FIN'!$A$1:$O$91,15,0))</f>
        <v>199.03</v>
      </c>
      <c r="Y617" s="4"/>
      <c r="Z617" s="4">
        <f ca="1">('TUSD BE'!$AM$51+'TUSD BF_350'!$AM$51+'TUSD CVA'!$AM$51)*1</f>
        <v>446.02270810064761</v>
      </c>
      <c r="AA617" s="4">
        <f ca="1">('TE BE'!$AB$42+'TE BF_350'!$AB$42+'TE CVA'!$AB$42)*1</f>
        <v>205.52329867469447</v>
      </c>
      <c r="AB617" s="4">
        <f>$K$617*$V$617</f>
        <v>0</v>
      </c>
      <c r="AC617" s="4">
        <f>$M$617*$W$617</f>
        <v>29318.628919999996</v>
      </c>
      <c r="AD617" s="4">
        <f>$O$617*$X$617</f>
        <v>14354.242629999999</v>
      </c>
      <c r="AE617" s="4">
        <f>$K$617*$Y$617</f>
        <v>0</v>
      </c>
      <c r="AF617" s="4">
        <f ca="1">$M$617*$Z$617</f>
        <v>32167.603730926803</v>
      </c>
      <c r="AG617" s="4">
        <f ca="1">$O$617*$AA$617</f>
        <v>14822.545823717639</v>
      </c>
    </row>
    <row r="618" spans="1:33" ht="11.25" customHeight="1" x14ac:dyDescent="0.3">
      <c r="A618" s="3" t="s">
        <v>27</v>
      </c>
      <c r="B618" s="3" t="s">
        <v>37</v>
      </c>
      <c r="C618" s="3" t="s">
        <v>23</v>
      </c>
      <c r="D618" s="3" t="s">
        <v>38</v>
      </c>
      <c r="E618" s="3" t="s">
        <v>25</v>
      </c>
      <c r="F618" s="3" t="s">
        <v>25</v>
      </c>
      <c r="G618" s="3" t="s">
        <v>25</v>
      </c>
      <c r="H618" s="3" t="s">
        <v>25</v>
      </c>
      <c r="I618" s="6">
        <v>44593</v>
      </c>
      <c r="J618" s="4">
        <v>0</v>
      </c>
      <c r="K618" s="4">
        <v>0</v>
      </c>
      <c r="L618" s="4">
        <v>5.3410000000000002</v>
      </c>
      <c r="M618" s="4">
        <v>5.3410000000000002</v>
      </c>
      <c r="N618" s="4">
        <v>5.3410000000000002</v>
      </c>
      <c r="O618" s="4">
        <v>5.3410000000000002</v>
      </c>
      <c r="P618" s="4">
        <v>0</v>
      </c>
      <c r="Q618" s="3" t="s">
        <v>26</v>
      </c>
      <c r="R618" s="3">
        <v>0</v>
      </c>
      <c r="S618" s="4">
        <v>0</v>
      </c>
      <c r="T618" s="4">
        <v>47</v>
      </c>
      <c r="U618" s="4">
        <v>87</v>
      </c>
      <c r="V618" s="4">
        <f>IF(ISERROR(VLOOKUP($S$618,'TAR FIN'!$A$1:$O$91,15,0)),0,VLOOKUP($S$618,'TAR FIN'!$A$1:$O$91,15,0))</f>
        <v>0</v>
      </c>
      <c r="W618" s="4">
        <f>IF(ISERROR(VLOOKUP($T$618,'TAR FIN'!$A$1:$O$91,15,0)),0,VLOOKUP($T$618,'TAR FIN'!$A$1:$O$91,15,0))</f>
        <v>406.52</v>
      </c>
      <c r="X618" s="4">
        <f>IF(ISERROR(VLOOKUP($U$618,'TAR FIN'!$A$1:$O$91,15,0)),0,VLOOKUP($U$618,'TAR FIN'!$A$1:$O$91,15,0))</f>
        <v>199.03</v>
      </c>
      <c r="Y618" s="4"/>
      <c r="Z618" s="4">
        <f ca="1">('TUSD BE'!$AM$51+'TUSD BF_350'!$AM$51+'TUSD CVA'!$AM$51)*1</f>
        <v>446.02270810064761</v>
      </c>
      <c r="AA618" s="4">
        <f ca="1">('TE BE'!$AB$42+'TE BF_350'!$AB$42+'TE CVA'!$AB$42)*1</f>
        <v>205.52329867469447</v>
      </c>
      <c r="AB618" s="4">
        <f>$K$618*$V$618</f>
        <v>0</v>
      </c>
      <c r="AC618" s="4">
        <f>$M$618*$W$618</f>
        <v>2171.2233200000001</v>
      </c>
      <c r="AD618" s="4">
        <f>$O$618*$X$618</f>
        <v>1063.0192300000001</v>
      </c>
      <c r="AE618" s="4">
        <f>$K$618*$Y$618</f>
        <v>0</v>
      </c>
      <c r="AF618" s="4">
        <f ca="1">$M$618*$Z$618</f>
        <v>2382.2072839655589</v>
      </c>
      <c r="AG618" s="4">
        <f ca="1">$O$618*$AA$618</f>
        <v>1097.6999382215433</v>
      </c>
    </row>
    <row r="619" spans="1:33" ht="11.25" customHeight="1" x14ac:dyDescent="0.3">
      <c r="A619" s="3" t="s">
        <v>28</v>
      </c>
      <c r="B619" s="3" t="s">
        <v>37</v>
      </c>
      <c r="C619" s="3" t="s">
        <v>23</v>
      </c>
      <c r="D619" s="3" t="s">
        <v>38</v>
      </c>
      <c r="E619" s="3" t="s">
        <v>25</v>
      </c>
      <c r="F619" s="3" t="s">
        <v>25</v>
      </c>
      <c r="G619" s="3" t="s">
        <v>25</v>
      </c>
      <c r="H619" s="3" t="s">
        <v>25</v>
      </c>
      <c r="I619" s="6">
        <v>44593</v>
      </c>
      <c r="J619" s="4">
        <v>0</v>
      </c>
      <c r="K619" s="4">
        <v>0</v>
      </c>
      <c r="L619" s="4">
        <v>4.0590000000000002</v>
      </c>
      <c r="M619" s="4">
        <v>4.0590000000000002</v>
      </c>
      <c r="N619" s="4">
        <v>4.0590000000000002</v>
      </c>
      <c r="O619" s="4">
        <v>4.0590000000000002</v>
      </c>
      <c r="P619" s="4">
        <v>6</v>
      </c>
      <c r="Q619" s="3" t="s">
        <v>26</v>
      </c>
      <c r="R619" s="3">
        <v>0</v>
      </c>
      <c r="S619" s="4">
        <v>0</v>
      </c>
      <c r="T619" s="4">
        <v>47</v>
      </c>
      <c r="U619" s="4">
        <v>87</v>
      </c>
      <c r="V619" s="4">
        <f>IF(ISERROR(VLOOKUP($S$619,'TAR FIN'!$A$1:$O$91,15,0)),0,VLOOKUP($S$619,'TAR FIN'!$A$1:$O$91,15,0))</f>
        <v>0</v>
      </c>
      <c r="W619" s="4">
        <f>IF(ISERROR(VLOOKUP($T$619,'TAR FIN'!$A$1:$O$91,15,0)),0,VLOOKUP($T$619,'TAR FIN'!$A$1:$O$91,15,0))</f>
        <v>406.52</v>
      </c>
      <c r="X619" s="4">
        <f>IF(ISERROR(VLOOKUP($U$619,'TAR FIN'!$A$1:$O$91,15,0)),0,VLOOKUP($U$619,'TAR FIN'!$A$1:$O$91,15,0))</f>
        <v>199.03</v>
      </c>
      <c r="Y619" s="4"/>
      <c r="Z619" s="4">
        <f ca="1">('TUSD BE'!$AM$51+'TUSD BF_350'!$AM$51+'TUSD CVA'!$AM$51)*1</f>
        <v>446.02270810064761</v>
      </c>
      <c r="AA619" s="4">
        <f ca="1">('TE BE'!$AB$42+'TE BF_350'!$AB$42+'TE CVA'!$AB$42)*1</f>
        <v>205.52329867469447</v>
      </c>
      <c r="AB619" s="4">
        <f>$K$619*$V$619</f>
        <v>0</v>
      </c>
      <c r="AC619" s="4">
        <f>$M$619*$W$619</f>
        <v>1650.06468</v>
      </c>
      <c r="AD619" s="4">
        <f>$O$619*$X$619</f>
        <v>807.86277000000007</v>
      </c>
      <c r="AE619" s="4">
        <f>$K$619*$Y$619</f>
        <v>0</v>
      </c>
      <c r="AF619" s="4">
        <f ca="1">$M$619*$Z$619</f>
        <v>1810.4061721805288</v>
      </c>
      <c r="AG619" s="4">
        <f ca="1">$O$619*$AA$619</f>
        <v>834.21906932058494</v>
      </c>
    </row>
    <row r="620" spans="1:33" ht="11.25" customHeight="1" x14ac:dyDescent="0.3">
      <c r="A620" s="3" t="s">
        <v>21</v>
      </c>
      <c r="B620" s="3" t="s">
        <v>37</v>
      </c>
      <c r="C620" s="3" t="s">
        <v>23</v>
      </c>
      <c r="D620" s="3" t="s">
        <v>38</v>
      </c>
      <c r="E620" s="3" t="s">
        <v>25</v>
      </c>
      <c r="F620" s="3" t="s">
        <v>25</v>
      </c>
      <c r="G620" s="3" t="s">
        <v>25</v>
      </c>
      <c r="H620" s="3" t="s">
        <v>25</v>
      </c>
      <c r="I620" s="6">
        <v>44621</v>
      </c>
      <c r="J620" s="4">
        <v>0</v>
      </c>
      <c r="K620" s="4">
        <v>0</v>
      </c>
      <c r="L620" s="4">
        <v>57.255000000000003</v>
      </c>
      <c r="M620" s="4">
        <v>57.255000000000003</v>
      </c>
      <c r="N620" s="4">
        <v>57.255000000000003</v>
      </c>
      <c r="O620" s="4">
        <v>57.255000000000003</v>
      </c>
      <c r="P620" s="4">
        <v>50</v>
      </c>
      <c r="Q620" s="3" t="s">
        <v>26</v>
      </c>
      <c r="R620" s="3">
        <v>0</v>
      </c>
      <c r="S620" s="4">
        <v>0</v>
      </c>
      <c r="T620" s="4">
        <v>47</v>
      </c>
      <c r="U620" s="4">
        <v>87</v>
      </c>
      <c r="V620" s="4">
        <f>IF(ISERROR(VLOOKUP($S$620,'TAR FIN'!$A$1:$O$91,15,0)),0,VLOOKUP($S$620,'TAR FIN'!$A$1:$O$91,15,0))</f>
        <v>0</v>
      </c>
      <c r="W620" s="4">
        <f>IF(ISERROR(VLOOKUP($T$620,'TAR FIN'!$A$1:$O$91,15,0)),0,VLOOKUP($T$620,'TAR FIN'!$A$1:$O$91,15,0))</f>
        <v>406.52</v>
      </c>
      <c r="X620" s="4">
        <f>IF(ISERROR(VLOOKUP($U$620,'TAR FIN'!$A$1:$O$91,15,0)),0,VLOOKUP($U$620,'TAR FIN'!$A$1:$O$91,15,0))</f>
        <v>199.03</v>
      </c>
      <c r="Y620" s="4"/>
      <c r="Z620" s="4">
        <f ca="1">('TUSD BE'!$AM$51+'TUSD BF_350'!$AM$51+'TUSD CVA'!$AM$51)*1</f>
        <v>446.02270810064761</v>
      </c>
      <c r="AA620" s="4">
        <f ca="1">('TE BE'!$AB$42+'TE BF_350'!$AB$42+'TE CVA'!$AB$42)*1</f>
        <v>205.52329867469447</v>
      </c>
      <c r="AB620" s="4">
        <f>$K$620*$V$620</f>
        <v>0</v>
      </c>
      <c r="AC620" s="4">
        <f>$M$620*$W$620</f>
        <v>23275.302599999999</v>
      </c>
      <c r="AD620" s="4">
        <f>$O$620*$X$620</f>
        <v>11395.462650000001</v>
      </c>
      <c r="AE620" s="4">
        <f>$K$620*$Y$620</f>
        <v>0</v>
      </c>
      <c r="AF620" s="4">
        <f ca="1">$M$620*$Z$620</f>
        <v>25537.030152302581</v>
      </c>
      <c r="AG620" s="4">
        <f ca="1">$O$620*$AA$620</f>
        <v>11767.236465619633</v>
      </c>
    </row>
    <row r="621" spans="1:33" ht="11.25" customHeight="1" x14ac:dyDescent="0.3">
      <c r="A621" s="3" t="s">
        <v>28</v>
      </c>
      <c r="B621" s="3" t="s">
        <v>37</v>
      </c>
      <c r="C621" s="3" t="s">
        <v>23</v>
      </c>
      <c r="D621" s="3" t="s">
        <v>38</v>
      </c>
      <c r="E621" s="3" t="s">
        <v>25</v>
      </c>
      <c r="F621" s="3" t="s">
        <v>25</v>
      </c>
      <c r="G621" s="3" t="s">
        <v>25</v>
      </c>
      <c r="H621" s="3" t="s">
        <v>25</v>
      </c>
      <c r="I621" s="6">
        <v>44621</v>
      </c>
      <c r="J621" s="4">
        <v>0</v>
      </c>
      <c r="K621" s="4">
        <v>0</v>
      </c>
      <c r="L621" s="4">
        <v>4.6589999999999998</v>
      </c>
      <c r="M621" s="4">
        <v>4.6589999999999998</v>
      </c>
      <c r="N621" s="4">
        <v>4.6589999999999998</v>
      </c>
      <c r="O621" s="4">
        <v>4.6589999999999998</v>
      </c>
      <c r="P621" s="4">
        <v>6</v>
      </c>
      <c r="Q621" s="3" t="s">
        <v>26</v>
      </c>
      <c r="R621" s="3">
        <v>0</v>
      </c>
      <c r="S621" s="4">
        <v>0</v>
      </c>
      <c r="T621" s="4">
        <v>47</v>
      </c>
      <c r="U621" s="4">
        <v>87</v>
      </c>
      <c r="V621" s="4">
        <f>IF(ISERROR(VLOOKUP($S$621,'TAR FIN'!$A$1:$O$91,15,0)),0,VLOOKUP($S$621,'TAR FIN'!$A$1:$O$91,15,0))</f>
        <v>0</v>
      </c>
      <c r="W621" s="4">
        <f>IF(ISERROR(VLOOKUP($T$621,'TAR FIN'!$A$1:$O$91,15,0)),0,VLOOKUP($T$621,'TAR FIN'!$A$1:$O$91,15,0))</f>
        <v>406.52</v>
      </c>
      <c r="X621" s="4">
        <f>IF(ISERROR(VLOOKUP($U$621,'TAR FIN'!$A$1:$O$91,15,0)),0,VLOOKUP($U$621,'TAR FIN'!$A$1:$O$91,15,0))</f>
        <v>199.03</v>
      </c>
      <c r="Y621" s="4"/>
      <c r="Z621" s="4">
        <f ca="1">('TUSD BE'!$AM$51+'TUSD BF_350'!$AM$51+'TUSD CVA'!$AM$51)*1</f>
        <v>446.02270810064761</v>
      </c>
      <c r="AA621" s="4">
        <f ca="1">('TE BE'!$AB$42+'TE BF_350'!$AB$42+'TE CVA'!$AB$42)*1</f>
        <v>205.52329867469447</v>
      </c>
      <c r="AB621" s="4">
        <f>$K$621*$V$621</f>
        <v>0</v>
      </c>
      <c r="AC621" s="4">
        <f>$M$621*$W$621</f>
        <v>1893.9766799999998</v>
      </c>
      <c r="AD621" s="4">
        <f>$O$621*$X$621</f>
        <v>927.28076999999996</v>
      </c>
      <c r="AE621" s="4">
        <f>$K$621*$Y$621</f>
        <v>0</v>
      </c>
      <c r="AF621" s="4">
        <f ca="1">$M$621*$Z$621</f>
        <v>2078.0197970409172</v>
      </c>
      <c r="AG621" s="4">
        <f ca="1">$O$621*$AA$621</f>
        <v>957.53304852540145</v>
      </c>
    </row>
    <row r="622" spans="1:33" ht="11.25" customHeight="1" x14ac:dyDescent="0.3">
      <c r="A622" s="3" t="s">
        <v>21</v>
      </c>
      <c r="B622" s="3" t="s">
        <v>37</v>
      </c>
      <c r="C622" s="3" t="s">
        <v>23</v>
      </c>
      <c r="D622" s="3" t="s">
        <v>38</v>
      </c>
      <c r="E622" s="3" t="s">
        <v>25</v>
      </c>
      <c r="F622" s="3" t="s">
        <v>25</v>
      </c>
      <c r="G622" s="3" t="s">
        <v>25</v>
      </c>
      <c r="H622" s="3" t="s">
        <v>25</v>
      </c>
      <c r="I622" s="6">
        <v>44652</v>
      </c>
      <c r="J622" s="4">
        <v>0</v>
      </c>
      <c r="K622" s="4">
        <v>0</v>
      </c>
      <c r="L622" s="4">
        <v>66.563000000000002</v>
      </c>
      <c r="M622" s="4">
        <v>66.563000000000002</v>
      </c>
      <c r="N622" s="4">
        <v>66.563000000000002</v>
      </c>
      <c r="O622" s="4">
        <v>66.563000000000002</v>
      </c>
      <c r="P622" s="4">
        <v>50</v>
      </c>
      <c r="Q622" s="3" t="s">
        <v>26</v>
      </c>
      <c r="R622" s="3">
        <v>0</v>
      </c>
      <c r="S622" s="4">
        <v>0</v>
      </c>
      <c r="T622" s="4">
        <v>47</v>
      </c>
      <c r="U622" s="4">
        <v>87</v>
      </c>
      <c r="V622" s="4">
        <f>IF(ISERROR(VLOOKUP($S$622,'TAR FIN'!$A$1:$O$91,15,0)),0,VLOOKUP($S$622,'TAR FIN'!$A$1:$O$91,15,0))</f>
        <v>0</v>
      </c>
      <c r="W622" s="4">
        <f>IF(ISERROR(VLOOKUP($T$622,'TAR FIN'!$A$1:$O$91,15,0)),0,VLOOKUP($T$622,'TAR FIN'!$A$1:$O$91,15,0))</f>
        <v>406.52</v>
      </c>
      <c r="X622" s="4">
        <f>IF(ISERROR(VLOOKUP($U$622,'TAR FIN'!$A$1:$O$91,15,0)),0,VLOOKUP($U$622,'TAR FIN'!$A$1:$O$91,15,0))</f>
        <v>199.03</v>
      </c>
      <c r="Y622" s="4"/>
      <c r="Z622" s="4">
        <f ca="1">('TUSD BE'!$AM$51+'TUSD BF_350'!$AM$51+'TUSD CVA'!$AM$51)*1</f>
        <v>446.02270810064761</v>
      </c>
      <c r="AA622" s="4">
        <f ca="1">('TE BE'!$AB$42+'TE BF_350'!$AB$42+'TE CVA'!$AB$42)*1</f>
        <v>205.52329867469447</v>
      </c>
      <c r="AB622" s="4">
        <f>$K$622*$V$622</f>
        <v>0</v>
      </c>
      <c r="AC622" s="4">
        <f>$M$622*$W$622</f>
        <v>27059.190760000001</v>
      </c>
      <c r="AD622" s="4">
        <f>$O$622*$X$622</f>
        <v>13248.033890000001</v>
      </c>
      <c r="AE622" s="4">
        <f>$K$622*$Y$622</f>
        <v>0</v>
      </c>
      <c r="AF622" s="4">
        <f ca="1">$M$622*$Z$622</f>
        <v>29688.609519303409</v>
      </c>
      <c r="AG622" s="4">
        <f ca="1">$O$622*$AA$622</f>
        <v>13680.247329683689</v>
      </c>
    </row>
    <row r="623" spans="1:33" ht="11.25" customHeight="1" x14ac:dyDescent="0.3">
      <c r="A623" s="3" t="s">
        <v>28</v>
      </c>
      <c r="B623" s="3" t="s">
        <v>37</v>
      </c>
      <c r="C623" s="3" t="s">
        <v>23</v>
      </c>
      <c r="D623" s="3" t="s">
        <v>38</v>
      </c>
      <c r="E623" s="3" t="s">
        <v>25</v>
      </c>
      <c r="F623" s="3" t="s">
        <v>25</v>
      </c>
      <c r="G623" s="3" t="s">
        <v>25</v>
      </c>
      <c r="H623" s="3" t="s">
        <v>25</v>
      </c>
      <c r="I623" s="6">
        <v>44652</v>
      </c>
      <c r="J623" s="4">
        <v>0</v>
      </c>
      <c r="K623" s="4">
        <v>0</v>
      </c>
      <c r="L623" s="4">
        <v>1.9670000000000001</v>
      </c>
      <c r="M623" s="4">
        <v>1.9670000000000001</v>
      </c>
      <c r="N623" s="4">
        <v>1.9670000000000001</v>
      </c>
      <c r="O623" s="4">
        <v>1.9670000000000001</v>
      </c>
      <c r="P623" s="4">
        <v>6</v>
      </c>
      <c r="Q623" s="3" t="s">
        <v>26</v>
      </c>
      <c r="R623" s="3">
        <v>0</v>
      </c>
      <c r="S623" s="4">
        <v>0</v>
      </c>
      <c r="T623" s="4">
        <v>47</v>
      </c>
      <c r="U623" s="4">
        <v>87</v>
      </c>
      <c r="V623" s="4">
        <f>IF(ISERROR(VLOOKUP($S$623,'TAR FIN'!$A$1:$O$91,15,0)),0,VLOOKUP($S$623,'TAR FIN'!$A$1:$O$91,15,0))</f>
        <v>0</v>
      </c>
      <c r="W623" s="4">
        <f>IF(ISERROR(VLOOKUP($T$623,'TAR FIN'!$A$1:$O$91,15,0)),0,VLOOKUP($T$623,'TAR FIN'!$A$1:$O$91,15,0))</f>
        <v>406.52</v>
      </c>
      <c r="X623" s="4">
        <f>IF(ISERROR(VLOOKUP($U$623,'TAR FIN'!$A$1:$O$91,15,0)),0,VLOOKUP($U$623,'TAR FIN'!$A$1:$O$91,15,0))</f>
        <v>199.03</v>
      </c>
      <c r="Y623" s="4"/>
      <c r="Z623" s="4">
        <f ca="1">('TUSD BE'!$AM$51+'TUSD BF_350'!$AM$51+'TUSD CVA'!$AM$51)*1</f>
        <v>446.02270810064761</v>
      </c>
      <c r="AA623" s="4">
        <f ca="1">('TE BE'!$AB$42+'TE BF_350'!$AB$42+'TE CVA'!$AB$42)*1</f>
        <v>205.52329867469447</v>
      </c>
      <c r="AB623" s="4">
        <f>$K$623*$V$623</f>
        <v>0</v>
      </c>
      <c r="AC623" s="4">
        <f>$M$623*$W$623</f>
        <v>799.62483999999995</v>
      </c>
      <c r="AD623" s="4">
        <f>$O$623*$X$623</f>
        <v>391.49200999999999</v>
      </c>
      <c r="AE623" s="4">
        <f>$K$623*$Y$623</f>
        <v>0</v>
      </c>
      <c r="AF623" s="4">
        <f ca="1">$M$623*$Z$623</f>
        <v>877.32666683397383</v>
      </c>
      <c r="AG623" s="4">
        <f ca="1">$O$623*$AA$623</f>
        <v>404.26432849312403</v>
      </c>
    </row>
    <row r="624" spans="1:33" ht="11.25" customHeight="1" x14ac:dyDescent="0.3">
      <c r="A624" s="3" t="s">
        <v>21</v>
      </c>
      <c r="B624" s="3" t="s">
        <v>37</v>
      </c>
      <c r="C624" s="3" t="s">
        <v>23</v>
      </c>
      <c r="D624" s="3" t="s">
        <v>38</v>
      </c>
      <c r="E624" s="3" t="s">
        <v>25</v>
      </c>
      <c r="F624" s="3" t="s">
        <v>25</v>
      </c>
      <c r="G624" s="3" t="s">
        <v>25</v>
      </c>
      <c r="H624" s="3" t="s">
        <v>25</v>
      </c>
      <c r="I624" s="6">
        <v>44682</v>
      </c>
      <c r="J624" s="4">
        <v>0</v>
      </c>
      <c r="K624" s="4">
        <v>0</v>
      </c>
      <c r="L624" s="4">
        <v>56.606999999999999</v>
      </c>
      <c r="M624" s="4">
        <v>56.606999999999999</v>
      </c>
      <c r="N624" s="4">
        <v>56.606999999999999</v>
      </c>
      <c r="O624" s="4">
        <v>56.606999999999999</v>
      </c>
      <c r="P624" s="4">
        <v>49</v>
      </c>
      <c r="Q624" s="3" t="s">
        <v>26</v>
      </c>
      <c r="R624" s="3">
        <v>0</v>
      </c>
      <c r="S624" s="4">
        <v>0</v>
      </c>
      <c r="T624" s="4">
        <v>47</v>
      </c>
      <c r="U624" s="4">
        <v>87</v>
      </c>
      <c r="V624" s="4">
        <f>IF(ISERROR(VLOOKUP($S$624,'TAR FIN'!$A$1:$O$91,15,0)),0,VLOOKUP($S$624,'TAR FIN'!$A$1:$O$91,15,0))</f>
        <v>0</v>
      </c>
      <c r="W624" s="4">
        <f>IF(ISERROR(VLOOKUP($T$624,'TAR FIN'!$A$1:$O$91,15,0)),0,VLOOKUP($T$624,'TAR FIN'!$A$1:$O$91,15,0))</f>
        <v>406.52</v>
      </c>
      <c r="X624" s="4">
        <f>IF(ISERROR(VLOOKUP($U$624,'TAR FIN'!$A$1:$O$91,15,0)),0,VLOOKUP($U$624,'TAR FIN'!$A$1:$O$91,15,0))</f>
        <v>199.03</v>
      </c>
      <c r="Y624" s="4"/>
      <c r="Z624" s="4">
        <f ca="1">('TUSD BE'!$AM$51+'TUSD BF_350'!$AM$51+'TUSD CVA'!$AM$51)*1</f>
        <v>446.02270810064761</v>
      </c>
      <c r="AA624" s="4">
        <f ca="1">('TE BE'!$AB$42+'TE BF_350'!$AB$42+'TE CVA'!$AB$42)*1</f>
        <v>205.52329867469447</v>
      </c>
      <c r="AB624" s="4">
        <f>$K$624*$V$624</f>
        <v>0</v>
      </c>
      <c r="AC624" s="4">
        <f>$M$624*$W$624</f>
        <v>23011.877639999999</v>
      </c>
      <c r="AD624" s="4">
        <f>$O$624*$X$624</f>
        <v>11266.49121</v>
      </c>
      <c r="AE624" s="4">
        <f>$K$624*$Y$624</f>
        <v>0</v>
      </c>
      <c r="AF624" s="4">
        <f ca="1">$M$624*$Z$624</f>
        <v>25248.007437453358</v>
      </c>
      <c r="AG624" s="4">
        <f ca="1">$O$624*$AA$624</f>
        <v>11634.057368078429</v>
      </c>
    </row>
    <row r="625" spans="1:33" ht="11.25" customHeight="1" x14ac:dyDescent="0.3">
      <c r="A625" s="3" t="s">
        <v>28</v>
      </c>
      <c r="B625" s="3" t="s">
        <v>37</v>
      </c>
      <c r="C625" s="3" t="s">
        <v>23</v>
      </c>
      <c r="D625" s="3" t="s">
        <v>38</v>
      </c>
      <c r="E625" s="3" t="s">
        <v>25</v>
      </c>
      <c r="F625" s="3" t="s">
        <v>25</v>
      </c>
      <c r="G625" s="3" t="s">
        <v>25</v>
      </c>
      <c r="H625" s="3" t="s">
        <v>25</v>
      </c>
      <c r="I625" s="6">
        <v>44682</v>
      </c>
      <c r="J625" s="4">
        <v>0</v>
      </c>
      <c r="K625" s="4">
        <v>0</v>
      </c>
      <c r="L625" s="4">
        <v>2.5289999999999999</v>
      </c>
      <c r="M625" s="4">
        <v>2.5289999999999999</v>
      </c>
      <c r="N625" s="4">
        <v>2.5289999999999999</v>
      </c>
      <c r="O625" s="4">
        <v>2.5289999999999999</v>
      </c>
      <c r="P625" s="4">
        <v>6</v>
      </c>
      <c r="Q625" s="3" t="s">
        <v>26</v>
      </c>
      <c r="R625" s="3">
        <v>0</v>
      </c>
      <c r="S625" s="4">
        <v>0</v>
      </c>
      <c r="T625" s="4">
        <v>47</v>
      </c>
      <c r="U625" s="4">
        <v>87</v>
      </c>
      <c r="V625" s="4">
        <f>IF(ISERROR(VLOOKUP($S$625,'TAR FIN'!$A$1:$O$91,15,0)),0,VLOOKUP($S$625,'TAR FIN'!$A$1:$O$91,15,0))</f>
        <v>0</v>
      </c>
      <c r="W625" s="4">
        <f>IF(ISERROR(VLOOKUP($T$625,'TAR FIN'!$A$1:$O$91,15,0)),0,VLOOKUP($T$625,'TAR FIN'!$A$1:$O$91,15,0))</f>
        <v>406.52</v>
      </c>
      <c r="X625" s="4">
        <f>IF(ISERROR(VLOOKUP($U$625,'TAR FIN'!$A$1:$O$91,15,0)),0,VLOOKUP($U$625,'TAR FIN'!$A$1:$O$91,15,0))</f>
        <v>199.03</v>
      </c>
      <c r="Y625" s="4"/>
      <c r="Z625" s="4">
        <f ca="1">('TUSD BE'!$AM$51+'TUSD BF_350'!$AM$51+'TUSD CVA'!$AM$51)*1</f>
        <v>446.02270810064761</v>
      </c>
      <c r="AA625" s="4">
        <f ca="1">('TE BE'!$AB$42+'TE BF_350'!$AB$42+'TE CVA'!$AB$42)*1</f>
        <v>205.52329867469447</v>
      </c>
      <c r="AB625" s="4">
        <f>$K$625*$V$625</f>
        <v>0</v>
      </c>
      <c r="AC625" s="4">
        <f>$M$625*$W$625</f>
        <v>1028.08908</v>
      </c>
      <c r="AD625" s="4">
        <f>$O$625*$X$625</f>
        <v>503.34686999999997</v>
      </c>
      <c r="AE625" s="4">
        <f>$K$625*$Y$625</f>
        <v>0</v>
      </c>
      <c r="AF625" s="4">
        <f ca="1">$M$625*$Z$625</f>
        <v>1127.9914287865377</v>
      </c>
      <c r="AG625" s="4">
        <f ca="1">$O$625*$AA$625</f>
        <v>519.76842234830235</v>
      </c>
    </row>
    <row r="626" spans="1:33" ht="11.25" customHeight="1" x14ac:dyDescent="0.3">
      <c r="A626" s="3" t="s">
        <v>21</v>
      </c>
      <c r="B626" s="3" t="s">
        <v>37</v>
      </c>
      <c r="C626" s="3" t="s">
        <v>23</v>
      </c>
      <c r="D626" s="3" t="s">
        <v>38</v>
      </c>
      <c r="E626" s="3" t="s">
        <v>25</v>
      </c>
      <c r="F626" s="3" t="s">
        <v>25</v>
      </c>
      <c r="G626" s="3" t="s">
        <v>25</v>
      </c>
      <c r="H626" s="3" t="s">
        <v>25</v>
      </c>
      <c r="I626" s="6">
        <v>44713</v>
      </c>
      <c r="J626" s="4">
        <v>0</v>
      </c>
      <c r="K626" s="4">
        <v>0</v>
      </c>
      <c r="L626" s="4">
        <v>62.561</v>
      </c>
      <c r="M626" s="4">
        <v>62.561</v>
      </c>
      <c r="N626" s="4">
        <v>62.561</v>
      </c>
      <c r="O626" s="4">
        <v>62.561</v>
      </c>
      <c r="P626" s="4">
        <v>48</v>
      </c>
      <c r="Q626" s="3" t="s">
        <v>26</v>
      </c>
      <c r="R626" s="3">
        <v>0</v>
      </c>
      <c r="S626" s="4">
        <v>0</v>
      </c>
      <c r="T626" s="4">
        <v>47</v>
      </c>
      <c r="U626" s="4">
        <v>87</v>
      </c>
      <c r="V626" s="4">
        <f>IF(ISERROR(VLOOKUP($S$626,'TAR FIN'!$A$1:$O$91,15,0)),0,VLOOKUP($S$626,'TAR FIN'!$A$1:$O$91,15,0))</f>
        <v>0</v>
      </c>
      <c r="W626" s="4">
        <f>IF(ISERROR(VLOOKUP($T$626,'TAR FIN'!$A$1:$O$91,15,0)),0,VLOOKUP($T$626,'TAR FIN'!$A$1:$O$91,15,0))</f>
        <v>406.52</v>
      </c>
      <c r="X626" s="4">
        <f>IF(ISERROR(VLOOKUP($U$626,'TAR FIN'!$A$1:$O$91,15,0)),0,VLOOKUP($U$626,'TAR FIN'!$A$1:$O$91,15,0))</f>
        <v>199.03</v>
      </c>
      <c r="Y626" s="4"/>
      <c r="Z626" s="4">
        <f ca="1">('TUSD BE'!$AM$51+'TUSD BF_350'!$AM$51+'TUSD CVA'!$AM$51)*1</f>
        <v>446.02270810064761</v>
      </c>
      <c r="AA626" s="4">
        <f ca="1">('TE BE'!$AB$42+'TE BF_350'!$AB$42+'TE CVA'!$AB$42)*1</f>
        <v>205.52329867469447</v>
      </c>
      <c r="AB626" s="4">
        <f>$K$626*$V$626</f>
        <v>0</v>
      </c>
      <c r="AC626" s="4">
        <f>$M$626*$W$626</f>
        <v>25432.297719999999</v>
      </c>
      <c r="AD626" s="4">
        <f>$O$626*$X$626</f>
        <v>12451.51583</v>
      </c>
      <c r="AE626" s="4">
        <f>$K$626*$Y$626</f>
        <v>0</v>
      </c>
      <c r="AF626" s="4">
        <f ca="1">$M$626*$Z$626</f>
        <v>27903.626641484614</v>
      </c>
      <c r="AG626" s="4">
        <f ca="1">$O$626*$AA$626</f>
        <v>12857.74308838756</v>
      </c>
    </row>
    <row r="627" spans="1:33" ht="11.25" customHeight="1" x14ac:dyDescent="0.3">
      <c r="A627" s="3" t="s">
        <v>28</v>
      </c>
      <c r="B627" s="3" t="s">
        <v>37</v>
      </c>
      <c r="C627" s="3" t="s">
        <v>23</v>
      </c>
      <c r="D627" s="3" t="s">
        <v>38</v>
      </c>
      <c r="E627" s="3" t="s">
        <v>25</v>
      </c>
      <c r="F627" s="3" t="s">
        <v>25</v>
      </c>
      <c r="G627" s="3" t="s">
        <v>25</v>
      </c>
      <c r="H627" s="3" t="s">
        <v>25</v>
      </c>
      <c r="I627" s="6">
        <v>44713</v>
      </c>
      <c r="J627" s="4">
        <v>0</v>
      </c>
      <c r="K627" s="4">
        <v>0</v>
      </c>
      <c r="L627" s="4">
        <v>3.5859999999999999</v>
      </c>
      <c r="M627" s="4">
        <v>3.5859999999999999</v>
      </c>
      <c r="N627" s="4">
        <v>3.5859999999999999</v>
      </c>
      <c r="O627" s="4">
        <v>3.5859999999999999</v>
      </c>
      <c r="P627" s="4">
        <v>6</v>
      </c>
      <c r="Q627" s="3" t="s">
        <v>26</v>
      </c>
      <c r="R627" s="3">
        <v>0</v>
      </c>
      <c r="S627" s="4">
        <v>0</v>
      </c>
      <c r="T627" s="4">
        <v>47</v>
      </c>
      <c r="U627" s="4">
        <v>87</v>
      </c>
      <c r="V627" s="4">
        <f>IF(ISERROR(VLOOKUP($S$627,'TAR FIN'!$A$1:$O$91,15,0)),0,VLOOKUP($S$627,'TAR FIN'!$A$1:$O$91,15,0))</f>
        <v>0</v>
      </c>
      <c r="W627" s="4">
        <f>IF(ISERROR(VLOOKUP($T$627,'TAR FIN'!$A$1:$O$91,15,0)),0,VLOOKUP($T$627,'TAR FIN'!$A$1:$O$91,15,0))</f>
        <v>406.52</v>
      </c>
      <c r="X627" s="4">
        <f>IF(ISERROR(VLOOKUP($U$627,'TAR FIN'!$A$1:$O$91,15,0)),0,VLOOKUP($U$627,'TAR FIN'!$A$1:$O$91,15,0))</f>
        <v>199.03</v>
      </c>
      <c r="Y627" s="4"/>
      <c r="Z627" s="4">
        <f ca="1">('TUSD BE'!$AM$51+'TUSD BF_350'!$AM$51+'TUSD CVA'!$AM$51)*1</f>
        <v>446.02270810064761</v>
      </c>
      <c r="AA627" s="4">
        <f ca="1">('TE BE'!$AB$42+'TE BF_350'!$AB$42+'TE CVA'!$AB$42)*1</f>
        <v>205.52329867469447</v>
      </c>
      <c r="AB627" s="4">
        <f>$K$627*$V$627</f>
        <v>0</v>
      </c>
      <c r="AC627" s="4">
        <f>$M$627*$W$627</f>
        <v>1457.78072</v>
      </c>
      <c r="AD627" s="4">
        <f>$O$627*$X$627</f>
        <v>713.72158000000002</v>
      </c>
      <c r="AE627" s="4">
        <f>$K$627*$Y$627</f>
        <v>0</v>
      </c>
      <c r="AF627" s="4">
        <f ca="1">$M$627*$Z$627</f>
        <v>1599.4374312489222</v>
      </c>
      <c r="AG627" s="4">
        <f ca="1">$O$627*$AA$627</f>
        <v>737.00654904745431</v>
      </c>
    </row>
    <row r="628" spans="1:33" ht="11.25" customHeight="1" x14ac:dyDescent="0.3">
      <c r="A628" s="3" t="s">
        <v>21</v>
      </c>
      <c r="B628" s="3" t="s">
        <v>37</v>
      </c>
      <c r="C628" s="3" t="s">
        <v>23</v>
      </c>
      <c r="D628" s="3" t="s">
        <v>44</v>
      </c>
      <c r="E628" s="3" t="s">
        <v>25</v>
      </c>
      <c r="F628" s="3" t="s">
        <v>25</v>
      </c>
      <c r="G628" s="3" t="s">
        <v>25</v>
      </c>
      <c r="H628" s="3" t="s">
        <v>25</v>
      </c>
      <c r="I628" s="6">
        <v>44378</v>
      </c>
      <c r="J628" s="4">
        <v>0</v>
      </c>
      <c r="K628" s="4">
        <v>0</v>
      </c>
      <c r="L628" s="4">
        <v>143.16200000000001</v>
      </c>
      <c r="M628" s="4">
        <v>143.16200000000001</v>
      </c>
      <c r="N628" s="4">
        <v>143.16200000000001</v>
      </c>
      <c r="O628" s="4">
        <v>143.16200000000001</v>
      </c>
      <c r="P628" s="4">
        <v>344</v>
      </c>
      <c r="Q628" s="3" t="s">
        <v>26</v>
      </c>
      <c r="R628" s="3">
        <v>0</v>
      </c>
      <c r="S628" s="4">
        <v>0</v>
      </c>
      <c r="T628" s="4">
        <v>47</v>
      </c>
      <c r="U628" s="4">
        <v>87</v>
      </c>
      <c r="V628" s="4">
        <f>IF(ISERROR(VLOOKUP($S$628,'TAR FIN'!$A$1:$O$91,15,0)),0,VLOOKUP($S$628,'TAR FIN'!$A$1:$O$91,15,0))</f>
        <v>0</v>
      </c>
      <c r="W628" s="4">
        <f>IF(ISERROR(VLOOKUP($T$628,'TAR FIN'!$A$1:$O$91,15,0)),0,VLOOKUP($T$628,'TAR FIN'!$A$1:$O$91,15,0))</f>
        <v>406.52</v>
      </c>
      <c r="X628" s="4">
        <f>IF(ISERROR(VLOOKUP($U$628,'TAR FIN'!$A$1:$O$91,15,0)),0,VLOOKUP($U$628,'TAR FIN'!$A$1:$O$91,15,0))</f>
        <v>199.03</v>
      </c>
      <c r="Y628" s="4"/>
      <c r="Z628" s="4">
        <f ca="1">('TUSD BE'!$AM$51+'TUSD BF_350'!$AM$51+'TUSD CVA'!$AM$51)*1</f>
        <v>446.02270810064761</v>
      </c>
      <c r="AA628" s="4">
        <f ca="1">('TE BE'!$AB$42+'TE BF_350'!$AB$42+'TE CVA'!$AB$42)*1</f>
        <v>205.52329867469447</v>
      </c>
      <c r="AB628" s="4">
        <f>$K$628*$V$628</f>
        <v>0</v>
      </c>
      <c r="AC628" s="4">
        <f>$M$628*$W$628</f>
        <v>58198.216240000002</v>
      </c>
      <c r="AD628" s="4">
        <f>$O$628*$X$628</f>
        <v>28493.532860000003</v>
      </c>
      <c r="AE628" s="4">
        <f>$K$628*$Y$628</f>
        <v>0</v>
      </c>
      <c r="AF628" s="4">
        <f ca="1">$M$628*$Z$628</f>
        <v>63853.502937104917</v>
      </c>
      <c r="AG628" s="4">
        <f ca="1">$O$628*$AA$628</f>
        <v>29423.126484866611</v>
      </c>
    </row>
    <row r="629" spans="1:33" ht="11.25" customHeight="1" x14ac:dyDescent="0.3">
      <c r="A629" s="3" t="s">
        <v>21</v>
      </c>
      <c r="B629" s="3" t="s">
        <v>37</v>
      </c>
      <c r="C629" s="3" t="s">
        <v>23</v>
      </c>
      <c r="D629" s="3" t="s">
        <v>44</v>
      </c>
      <c r="E629" s="3" t="s">
        <v>25</v>
      </c>
      <c r="F629" s="3" t="s">
        <v>25</v>
      </c>
      <c r="G629" s="3" t="s">
        <v>25</v>
      </c>
      <c r="H629" s="3" t="s">
        <v>25</v>
      </c>
      <c r="I629" s="6">
        <v>44409</v>
      </c>
      <c r="J629" s="4">
        <v>0</v>
      </c>
      <c r="K629" s="4">
        <v>0</v>
      </c>
      <c r="L629" s="4">
        <v>154.30500000000001</v>
      </c>
      <c r="M629" s="4">
        <v>154.30500000000001</v>
      </c>
      <c r="N629" s="4">
        <v>154.30500000000001</v>
      </c>
      <c r="O629" s="4">
        <v>154.30500000000001</v>
      </c>
      <c r="P629" s="4">
        <v>346</v>
      </c>
      <c r="Q629" s="3" t="s">
        <v>26</v>
      </c>
      <c r="R629" s="3">
        <v>0</v>
      </c>
      <c r="S629" s="4">
        <v>0</v>
      </c>
      <c r="T629" s="4">
        <v>47</v>
      </c>
      <c r="U629" s="4">
        <v>87</v>
      </c>
      <c r="V629" s="4">
        <f>IF(ISERROR(VLOOKUP($S$629,'TAR FIN'!$A$1:$O$91,15,0)),0,VLOOKUP($S$629,'TAR FIN'!$A$1:$O$91,15,0))</f>
        <v>0</v>
      </c>
      <c r="W629" s="4">
        <f>IF(ISERROR(VLOOKUP($T$629,'TAR FIN'!$A$1:$O$91,15,0)),0,VLOOKUP($T$629,'TAR FIN'!$A$1:$O$91,15,0))</f>
        <v>406.52</v>
      </c>
      <c r="X629" s="4">
        <f>IF(ISERROR(VLOOKUP($U$629,'TAR FIN'!$A$1:$O$91,15,0)),0,VLOOKUP($U$629,'TAR FIN'!$A$1:$O$91,15,0))</f>
        <v>199.03</v>
      </c>
      <c r="Y629" s="4"/>
      <c r="Z629" s="4">
        <f ca="1">('TUSD BE'!$AM$51+'TUSD BF_350'!$AM$51+'TUSD CVA'!$AM$51)*1</f>
        <v>446.02270810064761</v>
      </c>
      <c r="AA629" s="4">
        <f ca="1">('TE BE'!$AB$42+'TE BF_350'!$AB$42+'TE CVA'!$AB$42)*1</f>
        <v>205.52329867469447</v>
      </c>
      <c r="AB629" s="4">
        <f>$K$629*$V$629</f>
        <v>0</v>
      </c>
      <c r="AC629" s="4">
        <f>$M$629*$W$629</f>
        <v>62728.068599999999</v>
      </c>
      <c r="AD629" s="4">
        <f>$O$629*$X$629</f>
        <v>30711.32415</v>
      </c>
      <c r="AE629" s="4">
        <f>$K$629*$Y$629</f>
        <v>0</v>
      </c>
      <c r="AF629" s="4">
        <f ca="1">$M$629*$Z$629</f>
        <v>68823.533973470432</v>
      </c>
      <c r="AG629" s="4">
        <f ca="1">$O$629*$AA$629</f>
        <v>31713.272601998731</v>
      </c>
    </row>
    <row r="630" spans="1:33" ht="11.25" customHeight="1" x14ac:dyDescent="0.3">
      <c r="A630" s="3" t="s">
        <v>21</v>
      </c>
      <c r="B630" s="3" t="s">
        <v>37</v>
      </c>
      <c r="C630" s="3" t="s">
        <v>23</v>
      </c>
      <c r="D630" s="3" t="s">
        <v>44</v>
      </c>
      <c r="E630" s="3" t="s">
        <v>25</v>
      </c>
      <c r="F630" s="3" t="s">
        <v>25</v>
      </c>
      <c r="G630" s="3" t="s">
        <v>25</v>
      </c>
      <c r="H630" s="3" t="s">
        <v>25</v>
      </c>
      <c r="I630" s="6">
        <v>44440</v>
      </c>
      <c r="J630" s="4">
        <v>0</v>
      </c>
      <c r="K630" s="4">
        <v>0</v>
      </c>
      <c r="L630" s="4">
        <v>131.02699999999999</v>
      </c>
      <c r="M630" s="4">
        <v>131.02699999999999</v>
      </c>
      <c r="N630" s="4">
        <v>131.02699999999999</v>
      </c>
      <c r="O630" s="4">
        <v>131.02699999999999</v>
      </c>
      <c r="P630" s="4">
        <v>349</v>
      </c>
      <c r="Q630" s="3" t="s">
        <v>26</v>
      </c>
      <c r="R630" s="3">
        <v>0</v>
      </c>
      <c r="S630" s="4">
        <v>0</v>
      </c>
      <c r="T630" s="4">
        <v>47</v>
      </c>
      <c r="U630" s="4">
        <v>87</v>
      </c>
      <c r="V630" s="4">
        <f>IF(ISERROR(VLOOKUP($S$630,'TAR FIN'!$A$1:$O$91,15,0)),0,VLOOKUP($S$630,'TAR FIN'!$A$1:$O$91,15,0))</f>
        <v>0</v>
      </c>
      <c r="W630" s="4">
        <f>IF(ISERROR(VLOOKUP($T$630,'TAR FIN'!$A$1:$O$91,15,0)),0,VLOOKUP($T$630,'TAR FIN'!$A$1:$O$91,15,0))</f>
        <v>406.52</v>
      </c>
      <c r="X630" s="4">
        <f>IF(ISERROR(VLOOKUP($U$630,'TAR FIN'!$A$1:$O$91,15,0)),0,VLOOKUP($U$630,'TAR FIN'!$A$1:$O$91,15,0))</f>
        <v>199.03</v>
      </c>
      <c r="Y630" s="4"/>
      <c r="Z630" s="4">
        <f ca="1">('TUSD BE'!$AM$51+'TUSD BF_350'!$AM$51+'TUSD CVA'!$AM$51)*1</f>
        <v>446.02270810064761</v>
      </c>
      <c r="AA630" s="4">
        <f ca="1">('TE BE'!$AB$42+'TE BF_350'!$AB$42+'TE CVA'!$AB$42)*1</f>
        <v>205.52329867469447</v>
      </c>
      <c r="AB630" s="4">
        <f>$K$630*$V$630</f>
        <v>0</v>
      </c>
      <c r="AC630" s="4">
        <f>$M$630*$W$630</f>
        <v>53265.096039999989</v>
      </c>
      <c r="AD630" s="4">
        <f>$O$630*$X$630</f>
        <v>26078.303809999998</v>
      </c>
      <c r="AE630" s="4">
        <f>$K$630*$Y$630</f>
        <v>0</v>
      </c>
      <c r="AF630" s="4">
        <f ca="1">$M$630*$Z$630</f>
        <v>58441.017374303548</v>
      </c>
      <c r="AG630" s="4">
        <f ca="1">$O$630*$AA$630</f>
        <v>26929.10125544919</v>
      </c>
    </row>
    <row r="631" spans="1:33" ht="11.25" customHeight="1" x14ac:dyDescent="0.3">
      <c r="A631" s="3" t="s">
        <v>21</v>
      </c>
      <c r="B631" s="3" t="s">
        <v>37</v>
      </c>
      <c r="C631" s="3" t="s">
        <v>23</v>
      </c>
      <c r="D631" s="3" t="s">
        <v>44</v>
      </c>
      <c r="E631" s="3" t="s">
        <v>25</v>
      </c>
      <c r="F631" s="3" t="s">
        <v>25</v>
      </c>
      <c r="G631" s="3" t="s">
        <v>25</v>
      </c>
      <c r="H631" s="3" t="s">
        <v>25</v>
      </c>
      <c r="I631" s="6">
        <v>44470</v>
      </c>
      <c r="J631" s="4">
        <v>0</v>
      </c>
      <c r="K631" s="4">
        <v>0</v>
      </c>
      <c r="L631" s="4">
        <v>128.584</v>
      </c>
      <c r="M631" s="4">
        <v>128.584</v>
      </c>
      <c r="N631" s="4">
        <v>128.584</v>
      </c>
      <c r="O631" s="4">
        <v>128.584</v>
      </c>
      <c r="P631" s="4">
        <v>348</v>
      </c>
      <c r="Q631" s="3" t="s">
        <v>26</v>
      </c>
      <c r="R631" s="3">
        <v>0</v>
      </c>
      <c r="S631" s="4">
        <v>0</v>
      </c>
      <c r="T631" s="4">
        <v>47</v>
      </c>
      <c r="U631" s="4">
        <v>87</v>
      </c>
      <c r="V631" s="4">
        <f>IF(ISERROR(VLOOKUP($S$631,'TAR FIN'!$A$1:$O$91,15,0)),0,VLOOKUP($S$631,'TAR FIN'!$A$1:$O$91,15,0))</f>
        <v>0</v>
      </c>
      <c r="W631" s="4">
        <f>IF(ISERROR(VLOOKUP($T$631,'TAR FIN'!$A$1:$O$91,15,0)),0,VLOOKUP($T$631,'TAR FIN'!$A$1:$O$91,15,0))</f>
        <v>406.52</v>
      </c>
      <c r="X631" s="4">
        <f>IF(ISERROR(VLOOKUP($U$631,'TAR FIN'!$A$1:$O$91,15,0)),0,VLOOKUP($U$631,'TAR FIN'!$A$1:$O$91,15,0))</f>
        <v>199.03</v>
      </c>
      <c r="Y631" s="4"/>
      <c r="Z631" s="4">
        <f ca="1">('TUSD BE'!$AM$51+'TUSD BF_350'!$AM$51+'TUSD CVA'!$AM$51)*1</f>
        <v>446.02270810064761</v>
      </c>
      <c r="AA631" s="4">
        <f ca="1">('TE BE'!$AB$42+'TE BF_350'!$AB$42+'TE CVA'!$AB$42)*1</f>
        <v>205.52329867469447</v>
      </c>
      <c r="AB631" s="4">
        <f>$K$631*$V$631</f>
        <v>0</v>
      </c>
      <c r="AC631" s="4">
        <f>$M$631*$W$631</f>
        <v>52271.967680000002</v>
      </c>
      <c r="AD631" s="4">
        <f>$O$631*$X$631</f>
        <v>25592.073520000002</v>
      </c>
      <c r="AE631" s="4">
        <f>$K$631*$Y$631</f>
        <v>0</v>
      </c>
      <c r="AF631" s="4">
        <f ca="1">$M$631*$Z$631</f>
        <v>57351.383898413675</v>
      </c>
      <c r="AG631" s="4">
        <f ca="1">$O$631*$AA$631</f>
        <v>26427.007836786914</v>
      </c>
    </row>
    <row r="632" spans="1:33" ht="11.25" customHeight="1" x14ac:dyDescent="0.3">
      <c r="A632" s="3" t="s">
        <v>21</v>
      </c>
      <c r="B632" s="3" t="s">
        <v>37</v>
      </c>
      <c r="C632" s="3" t="s">
        <v>23</v>
      </c>
      <c r="D632" s="3" t="s">
        <v>44</v>
      </c>
      <c r="E632" s="3" t="s">
        <v>25</v>
      </c>
      <c r="F632" s="3" t="s">
        <v>25</v>
      </c>
      <c r="G632" s="3" t="s">
        <v>25</v>
      </c>
      <c r="H632" s="3" t="s">
        <v>25</v>
      </c>
      <c r="I632" s="6">
        <v>44501</v>
      </c>
      <c r="J632" s="4">
        <v>0</v>
      </c>
      <c r="K632" s="4">
        <v>0</v>
      </c>
      <c r="L632" s="4">
        <v>155.291</v>
      </c>
      <c r="M632" s="4">
        <v>155.291</v>
      </c>
      <c r="N632" s="4">
        <v>155.291</v>
      </c>
      <c r="O632" s="4">
        <v>155.291</v>
      </c>
      <c r="P632" s="4">
        <v>349</v>
      </c>
      <c r="Q632" s="3" t="s">
        <v>26</v>
      </c>
      <c r="R632" s="3">
        <v>0</v>
      </c>
      <c r="S632" s="4">
        <v>0</v>
      </c>
      <c r="T632" s="4">
        <v>47</v>
      </c>
      <c r="U632" s="4">
        <v>87</v>
      </c>
      <c r="V632" s="4">
        <f>IF(ISERROR(VLOOKUP($S$632,'TAR FIN'!$A$1:$O$91,15,0)),0,VLOOKUP($S$632,'TAR FIN'!$A$1:$O$91,15,0))</f>
        <v>0</v>
      </c>
      <c r="W632" s="4">
        <f>IF(ISERROR(VLOOKUP($T$632,'TAR FIN'!$A$1:$O$91,15,0)),0,VLOOKUP($T$632,'TAR FIN'!$A$1:$O$91,15,0))</f>
        <v>406.52</v>
      </c>
      <c r="X632" s="4">
        <f>IF(ISERROR(VLOOKUP($U$632,'TAR FIN'!$A$1:$O$91,15,0)),0,VLOOKUP($U$632,'TAR FIN'!$A$1:$O$91,15,0))</f>
        <v>199.03</v>
      </c>
      <c r="Y632" s="4"/>
      <c r="Z632" s="4">
        <f ca="1">('TUSD BE'!$AM$51+'TUSD BF_350'!$AM$51+'TUSD CVA'!$AM$51)*1</f>
        <v>446.02270810064761</v>
      </c>
      <c r="AA632" s="4">
        <f ca="1">('TE BE'!$AB$42+'TE BF_350'!$AB$42+'TE CVA'!$AB$42)*1</f>
        <v>205.52329867469447</v>
      </c>
      <c r="AB632" s="4">
        <f>$K$632*$V$632</f>
        <v>0</v>
      </c>
      <c r="AC632" s="4">
        <f>$M$632*$W$632</f>
        <v>63128.897319999996</v>
      </c>
      <c r="AD632" s="4">
        <f>$O$632*$X$632</f>
        <v>30907.567729999999</v>
      </c>
      <c r="AE632" s="4">
        <f>$K$632*$Y$632</f>
        <v>0</v>
      </c>
      <c r="AF632" s="4">
        <f ca="1">$M$632*$Z$632</f>
        <v>69263.312363657664</v>
      </c>
      <c r="AG632" s="4">
        <f ca="1">$O$632*$AA$632</f>
        <v>31915.918574491978</v>
      </c>
    </row>
    <row r="633" spans="1:33" ht="11.25" customHeight="1" x14ac:dyDescent="0.3">
      <c r="A633" s="3" t="s">
        <v>21</v>
      </c>
      <c r="B633" s="3" t="s">
        <v>37</v>
      </c>
      <c r="C633" s="3" t="s">
        <v>23</v>
      </c>
      <c r="D633" s="3" t="s">
        <v>44</v>
      </c>
      <c r="E633" s="3" t="s">
        <v>25</v>
      </c>
      <c r="F633" s="3" t="s">
        <v>25</v>
      </c>
      <c r="G633" s="3" t="s">
        <v>25</v>
      </c>
      <c r="H633" s="3" t="s">
        <v>25</v>
      </c>
      <c r="I633" s="6">
        <v>44531</v>
      </c>
      <c r="J633" s="4">
        <v>0</v>
      </c>
      <c r="K633" s="4">
        <v>0</v>
      </c>
      <c r="L633" s="4">
        <v>171.53299999999999</v>
      </c>
      <c r="M633" s="4">
        <v>171.53299999999999</v>
      </c>
      <c r="N633" s="4">
        <v>171.53299999999999</v>
      </c>
      <c r="O633" s="4">
        <v>171.53299999999999</v>
      </c>
      <c r="P633" s="4">
        <v>350</v>
      </c>
      <c r="Q633" s="3" t="s">
        <v>26</v>
      </c>
      <c r="R633" s="3">
        <v>0</v>
      </c>
      <c r="S633" s="4">
        <v>0</v>
      </c>
      <c r="T633" s="4">
        <v>47</v>
      </c>
      <c r="U633" s="4">
        <v>87</v>
      </c>
      <c r="V633" s="4">
        <f>IF(ISERROR(VLOOKUP($S$633,'TAR FIN'!$A$1:$O$91,15,0)),0,VLOOKUP($S$633,'TAR FIN'!$A$1:$O$91,15,0))</f>
        <v>0</v>
      </c>
      <c r="W633" s="4">
        <f>IF(ISERROR(VLOOKUP($T$633,'TAR FIN'!$A$1:$O$91,15,0)),0,VLOOKUP($T$633,'TAR FIN'!$A$1:$O$91,15,0))</f>
        <v>406.52</v>
      </c>
      <c r="X633" s="4">
        <f>IF(ISERROR(VLOOKUP($U$633,'TAR FIN'!$A$1:$O$91,15,0)),0,VLOOKUP($U$633,'TAR FIN'!$A$1:$O$91,15,0))</f>
        <v>199.03</v>
      </c>
      <c r="Y633" s="4"/>
      <c r="Z633" s="4">
        <f ca="1">('TUSD BE'!$AM$51+'TUSD BF_350'!$AM$51+'TUSD CVA'!$AM$51)*1</f>
        <v>446.02270810064761</v>
      </c>
      <c r="AA633" s="4">
        <f ca="1">('TE BE'!$AB$42+'TE BF_350'!$AB$42+'TE CVA'!$AB$42)*1</f>
        <v>205.52329867469447</v>
      </c>
      <c r="AB633" s="4">
        <f>$K$633*$V$633</f>
        <v>0</v>
      </c>
      <c r="AC633" s="4">
        <f>$M$633*$W$633</f>
        <v>69731.595159999997</v>
      </c>
      <c r="AD633" s="4">
        <f>$O$633*$X$633</f>
        <v>34140.21299</v>
      </c>
      <c r="AE633" s="4">
        <f>$K$633*$Y$633</f>
        <v>0</v>
      </c>
      <c r="AF633" s="4">
        <f ca="1">$M$633*$Z$633</f>
        <v>76507.613188628384</v>
      </c>
      <c r="AG633" s="4">
        <f ca="1">$O$633*$AA$633</f>
        <v>35254.027991566363</v>
      </c>
    </row>
    <row r="634" spans="1:33" ht="11.25" customHeight="1" x14ac:dyDescent="0.3">
      <c r="A634" s="3" t="s">
        <v>21</v>
      </c>
      <c r="B634" s="3" t="s">
        <v>37</v>
      </c>
      <c r="C634" s="3" t="s">
        <v>23</v>
      </c>
      <c r="D634" s="3" t="s">
        <v>44</v>
      </c>
      <c r="E634" s="3" t="s">
        <v>25</v>
      </c>
      <c r="F634" s="3" t="s">
        <v>25</v>
      </c>
      <c r="G634" s="3" t="s">
        <v>25</v>
      </c>
      <c r="H634" s="3" t="s">
        <v>25</v>
      </c>
      <c r="I634" s="6">
        <v>44562</v>
      </c>
      <c r="J634" s="4">
        <v>0</v>
      </c>
      <c r="K634" s="4">
        <v>0</v>
      </c>
      <c r="L634" s="4">
        <v>195.52199999999999</v>
      </c>
      <c r="M634" s="4">
        <v>195.52199999999999</v>
      </c>
      <c r="N634" s="4">
        <v>195.52199999999999</v>
      </c>
      <c r="O634" s="4">
        <v>195.52199999999999</v>
      </c>
      <c r="P634" s="4">
        <v>359</v>
      </c>
      <c r="Q634" s="3" t="s">
        <v>26</v>
      </c>
      <c r="R634" s="3">
        <v>0</v>
      </c>
      <c r="S634" s="4">
        <v>0</v>
      </c>
      <c r="T634" s="4">
        <v>47</v>
      </c>
      <c r="U634" s="4">
        <v>87</v>
      </c>
      <c r="V634" s="4">
        <f>IF(ISERROR(VLOOKUP($S$634,'TAR FIN'!$A$1:$O$91,15,0)),0,VLOOKUP($S$634,'TAR FIN'!$A$1:$O$91,15,0))</f>
        <v>0</v>
      </c>
      <c r="W634" s="4">
        <f>IF(ISERROR(VLOOKUP($T$634,'TAR FIN'!$A$1:$O$91,15,0)),0,VLOOKUP($T$634,'TAR FIN'!$A$1:$O$91,15,0))</f>
        <v>406.52</v>
      </c>
      <c r="X634" s="4">
        <f>IF(ISERROR(VLOOKUP($U$634,'TAR FIN'!$A$1:$O$91,15,0)),0,VLOOKUP($U$634,'TAR FIN'!$A$1:$O$91,15,0))</f>
        <v>199.03</v>
      </c>
      <c r="Y634" s="4"/>
      <c r="Z634" s="4">
        <f ca="1">('TUSD BE'!$AM$51+'TUSD BF_350'!$AM$51+'TUSD CVA'!$AM$51)*1</f>
        <v>446.02270810064761</v>
      </c>
      <c r="AA634" s="4">
        <f ca="1">('TE BE'!$AB$42+'TE BF_350'!$AB$42+'TE CVA'!$AB$42)*1</f>
        <v>205.52329867469447</v>
      </c>
      <c r="AB634" s="4">
        <f>$K$634*$V$634</f>
        <v>0</v>
      </c>
      <c r="AC634" s="4">
        <f>$M$634*$W$634</f>
        <v>79483.603439999992</v>
      </c>
      <c r="AD634" s="4">
        <f>$O$634*$X$634</f>
        <v>38914.74366</v>
      </c>
      <c r="AE634" s="4">
        <f>$K$634*$Y$634</f>
        <v>0</v>
      </c>
      <c r="AF634" s="4">
        <f ca="1">$M$634*$Z$634</f>
        <v>87207.251933254811</v>
      </c>
      <c r="AG634" s="4">
        <f ca="1">$O$634*$AA$634</f>
        <v>40184.326403473613</v>
      </c>
    </row>
    <row r="635" spans="1:33" ht="11.25" customHeight="1" x14ac:dyDescent="0.3">
      <c r="A635" s="3" t="s">
        <v>27</v>
      </c>
      <c r="B635" s="3" t="s">
        <v>37</v>
      </c>
      <c r="C635" s="3" t="s">
        <v>23</v>
      </c>
      <c r="D635" s="3" t="s">
        <v>44</v>
      </c>
      <c r="E635" s="3" t="s">
        <v>25</v>
      </c>
      <c r="F635" s="3" t="s">
        <v>25</v>
      </c>
      <c r="G635" s="3" t="s">
        <v>25</v>
      </c>
      <c r="H635" s="3" t="s">
        <v>25</v>
      </c>
      <c r="I635" s="6">
        <v>44562</v>
      </c>
      <c r="J635" s="4">
        <v>0</v>
      </c>
      <c r="K635" s="4">
        <v>0</v>
      </c>
      <c r="L635" s="4">
        <v>-0.85699999999999998</v>
      </c>
      <c r="M635" s="4">
        <v>-0.85699999999999998</v>
      </c>
      <c r="N635" s="4">
        <v>-0.85699999999999998</v>
      </c>
      <c r="O635" s="4">
        <v>-0.85699999999999998</v>
      </c>
      <c r="P635" s="4">
        <v>0</v>
      </c>
      <c r="Q635" s="3" t="s">
        <v>26</v>
      </c>
      <c r="R635" s="3">
        <v>0</v>
      </c>
      <c r="S635" s="4">
        <v>0</v>
      </c>
      <c r="T635" s="4">
        <v>47</v>
      </c>
      <c r="U635" s="4">
        <v>87</v>
      </c>
      <c r="V635" s="4">
        <f>IF(ISERROR(VLOOKUP($S$635,'TAR FIN'!$A$1:$O$91,15,0)),0,VLOOKUP($S$635,'TAR FIN'!$A$1:$O$91,15,0))</f>
        <v>0</v>
      </c>
      <c r="W635" s="4">
        <f>IF(ISERROR(VLOOKUP($T$635,'TAR FIN'!$A$1:$O$91,15,0)),0,VLOOKUP($T$635,'TAR FIN'!$A$1:$O$91,15,0))</f>
        <v>406.52</v>
      </c>
      <c r="X635" s="4">
        <f>IF(ISERROR(VLOOKUP($U$635,'TAR FIN'!$A$1:$O$91,15,0)),0,VLOOKUP($U$635,'TAR FIN'!$A$1:$O$91,15,0))</f>
        <v>199.03</v>
      </c>
      <c r="Y635" s="4"/>
      <c r="Z635" s="4">
        <f ca="1">('TUSD BE'!$AM$51+'TUSD BF_350'!$AM$51+'TUSD CVA'!$AM$51)*1</f>
        <v>446.02270810064761</v>
      </c>
      <c r="AA635" s="4">
        <f ca="1">('TE BE'!$AB$42+'TE BF_350'!$AB$42+'TE CVA'!$AB$42)*1</f>
        <v>205.52329867469447</v>
      </c>
      <c r="AB635" s="4">
        <f>$K$635*$V$635</f>
        <v>0</v>
      </c>
      <c r="AC635" s="4">
        <f>$M$635*$W$635</f>
        <v>-348.38763999999998</v>
      </c>
      <c r="AD635" s="4">
        <f>$O$635*$X$635</f>
        <v>-170.56871000000001</v>
      </c>
      <c r="AE635" s="4">
        <f>$K$635*$Y$635</f>
        <v>0</v>
      </c>
      <c r="AF635" s="4">
        <f ca="1">$M$635*$Z$635</f>
        <v>-382.24146084225498</v>
      </c>
      <c r="AG635" s="4">
        <f ca="1">$O$635*$AA$635</f>
        <v>-176.13346696421317</v>
      </c>
    </row>
    <row r="636" spans="1:33" ht="11.25" customHeight="1" x14ac:dyDescent="0.3">
      <c r="A636" s="3" t="s">
        <v>21</v>
      </c>
      <c r="B636" s="3" t="s">
        <v>37</v>
      </c>
      <c r="C636" s="3" t="s">
        <v>23</v>
      </c>
      <c r="D636" s="3" t="s">
        <v>44</v>
      </c>
      <c r="E636" s="3" t="s">
        <v>25</v>
      </c>
      <c r="F636" s="3" t="s">
        <v>25</v>
      </c>
      <c r="G636" s="3" t="s">
        <v>25</v>
      </c>
      <c r="H636" s="3" t="s">
        <v>25</v>
      </c>
      <c r="I636" s="6">
        <v>44593</v>
      </c>
      <c r="J636" s="4">
        <v>0</v>
      </c>
      <c r="K636" s="4">
        <v>0</v>
      </c>
      <c r="L636" s="4">
        <v>232.274</v>
      </c>
      <c r="M636" s="4">
        <v>232.274</v>
      </c>
      <c r="N636" s="4">
        <v>232.274</v>
      </c>
      <c r="O636" s="4">
        <v>232.274</v>
      </c>
      <c r="P636" s="4">
        <v>361</v>
      </c>
      <c r="Q636" s="3" t="s">
        <v>26</v>
      </c>
      <c r="R636" s="3">
        <v>0</v>
      </c>
      <c r="S636" s="4">
        <v>0</v>
      </c>
      <c r="T636" s="4">
        <v>47</v>
      </c>
      <c r="U636" s="4">
        <v>87</v>
      </c>
      <c r="V636" s="4">
        <f>IF(ISERROR(VLOOKUP($S$636,'TAR FIN'!$A$1:$O$91,15,0)),0,VLOOKUP($S$636,'TAR FIN'!$A$1:$O$91,15,0))</f>
        <v>0</v>
      </c>
      <c r="W636" s="4">
        <f>IF(ISERROR(VLOOKUP($T$636,'TAR FIN'!$A$1:$O$91,15,0)),0,VLOOKUP($T$636,'TAR FIN'!$A$1:$O$91,15,0))</f>
        <v>406.52</v>
      </c>
      <c r="X636" s="4">
        <f>IF(ISERROR(VLOOKUP($U$636,'TAR FIN'!$A$1:$O$91,15,0)),0,VLOOKUP($U$636,'TAR FIN'!$A$1:$O$91,15,0))</f>
        <v>199.03</v>
      </c>
      <c r="Y636" s="4"/>
      <c r="Z636" s="4">
        <f ca="1">('TUSD BE'!$AM$51+'TUSD BF_350'!$AM$51+'TUSD CVA'!$AM$51)*1</f>
        <v>446.02270810064761</v>
      </c>
      <c r="AA636" s="4">
        <f ca="1">('TE BE'!$AB$42+'TE BF_350'!$AB$42+'TE CVA'!$AB$42)*1</f>
        <v>205.52329867469447</v>
      </c>
      <c r="AB636" s="4">
        <f>$K$636*$V$636</f>
        <v>0</v>
      </c>
      <c r="AC636" s="4">
        <f>$M$636*$W$636</f>
        <v>94424.02648</v>
      </c>
      <c r="AD636" s="4">
        <f>$O$636*$X$636</f>
        <v>46229.49422</v>
      </c>
      <c r="AE636" s="4">
        <f>$K$636*$Y$636</f>
        <v>0</v>
      </c>
      <c r="AF636" s="4">
        <f ca="1">$M$636*$Z$636</f>
        <v>103599.47850136983</v>
      </c>
      <c r="AG636" s="4">
        <f ca="1">$O$636*$AA$636</f>
        <v>47737.718676365985</v>
      </c>
    </row>
    <row r="637" spans="1:33" ht="11.25" customHeight="1" x14ac:dyDescent="0.3">
      <c r="A637" s="3" t="s">
        <v>27</v>
      </c>
      <c r="B637" s="3" t="s">
        <v>37</v>
      </c>
      <c r="C637" s="3" t="s">
        <v>23</v>
      </c>
      <c r="D637" s="3" t="s">
        <v>44</v>
      </c>
      <c r="E637" s="3" t="s">
        <v>25</v>
      </c>
      <c r="F637" s="3" t="s">
        <v>25</v>
      </c>
      <c r="G637" s="3" t="s">
        <v>25</v>
      </c>
      <c r="H637" s="3" t="s">
        <v>25</v>
      </c>
      <c r="I637" s="6">
        <v>44593</v>
      </c>
      <c r="J637" s="4">
        <v>0</v>
      </c>
      <c r="K637" s="4">
        <v>0</v>
      </c>
      <c r="L637" s="4">
        <v>1.075</v>
      </c>
      <c r="M637" s="4">
        <v>1.075</v>
      </c>
      <c r="N637" s="4">
        <v>1.075</v>
      </c>
      <c r="O637" s="4">
        <v>1.075</v>
      </c>
      <c r="P637" s="4">
        <v>0</v>
      </c>
      <c r="Q637" s="3" t="s">
        <v>26</v>
      </c>
      <c r="R637" s="3">
        <v>0</v>
      </c>
      <c r="S637" s="4">
        <v>0</v>
      </c>
      <c r="T637" s="4">
        <v>47</v>
      </c>
      <c r="U637" s="4">
        <v>87</v>
      </c>
      <c r="V637" s="4">
        <f>IF(ISERROR(VLOOKUP($S$637,'TAR FIN'!$A$1:$O$91,15,0)),0,VLOOKUP($S$637,'TAR FIN'!$A$1:$O$91,15,0))</f>
        <v>0</v>
      </c>
      <c r="W637" s="4">
        <f>IF(ISERROR(VLOOKUP($T$637,'TAR FIN'!$A$1:$O$91,15,0)),0,VLOOKUP($T$637,'TAR FIN'!$A$1:$O$91,15,0))</f>
        <v>406.52</v>
      </c>
      <c r="X637" s="4">
        <f>IF(ISERROR(VLOOKUP($U$637,'TAR FIN'!$A$1:$O$91,15,0)),0,VLOOKUP($U$637,'TAR FIN'!$A$1:$O$91,15,0))</f>
        <v>199.03</v>
      </c>
      <c r="Y637" s="4"/>
      <c r="Z637" s="4">
        <f ca="1">('TUSD BE'!$AM$51+'TUSD BF_350'!$AM$51+'TUSD CVA'!$AM$51)*1</f>
        <v>446.02270810064761</v>
      </c>
      <c r="AA637" s="4">
        <f ca="1">('TE BE'!$AB$42+'TE BF_350'!$AB$42+'TE CVA'!$AB$42)*1</f>
        <v>205.52329867469447</v>
      </c>
      <c r="AB637" s="4">
        <f>$K$637*$V$637</f>
        <v>0</v>
      </c>
      <c r="AC637" s="4">
        <f>$M$637*$W$637</f>
        <v>437.00899999999996</v>
      </c>
      <c r="AD637" s="4">
        <f>$O$637*$X$637</f>
        <v>213.95724999999999</v>
      </c>
      <c r="AE637" s="4">
        <f>$K$637*$Y$637</f>
        <v>0</v>
      </c>
      <c r="AF637" s="4">
        <f ca="1">$M$637*$Z$637</f>
        <v>479.47441120819616</v>
      </c>
      <c r="AG637" s="4">
        <f ca="1">$O$637*$AA$637</f>
        <v>220.93754607529655</v>
      </c>
    </row>
    <row r="638" spans="1:33" ht="11.25" customHeight="1" x14ac:dyDescent="0.3">
      <c r="A638" s="3" t="s">
        <v>21</v>
      </c>
      <c r="B638" s="3" t="s">
        <v>37</v>
      </c>
      <c r="C638" s="3" t="s">
        <v>23</v>
      </c>
      <c r="D638" s="3" t="s">
        <v>44</v>
      </c>
      <c r="E638" s="3" t="s">
        <v>25</v>
      </c>
      <c r="F638" s="3" t="s">
        <v>25</v>
      </c>
      <c r="G638" s="3" t="s">
        <v>25</v>
      </c>
      <c r="H638" s="3" t="s">
        <v>25</v>
      </c>
      <c r="I638" s="6">
        <v>44621</v>
      </c>
      <c r="J638" s="4">
        <v>0</v>
      </c>
      <c r="K638" s="4">
        <v>0</v>
      </c>
      <c r="L638" s="4">
        <v>213.52600000000001</v>
      </c>
      <c r="M638" s="4">
        <v>213.52600000000001</v>
      </c>
      <c r="N638" s="4">
        <v>213.52600000000001</v>
      </c>
      <c r="O638" s="4">
        <v>213.52600000000001</v>
      </c>
      <c r="P638" s="4">
        <v>360</v>
      </c>
      <c r="Q638" s="3" t="s">
        <v>26</v>
      </c>
      <c r="R638" s="3">
        <v>0</v>
      </c>
      <c r="S638" s="4">
        <v>0</v>
      </c>
      <c r="T638" s="4">
        <v>47</v>
      </c>
      <c r="U638" s="4">
        <v>87</v>
      </c>
      <c r="V638" s="4">
        <f>IF(ISERROR(VLOOKUP($S$638,'TAR FIN'!$A$1:$O$91,15,0)),0,VLOOKUP($S$638,'TAR FIN'!$A$1:$O$91,15,0))</f>
        <v>0</v>
      </c>
      <c r="W638" s="4">
        <f>IF(ISERROR(VLOOKUP($T$638,'TAR FIN'!$A$1:$O$91,15,0)),0,VLOOKUP($T$638,'TAR FIN'!$A$1:$O$91,15,0))</f>
        <v>406.52</v>
      </c>
      <c r="X638" s="4">
        <f>IF(ISERROR(VLOOKUP($U$638,'TAR FIN'!$A$1:$O$91,15,0)),0,VLOOKUP($U$638,'TAR FIN'!$A$1:$O$91,15,0))</f>
        <v>199.03</v>
      </c>
      <c r="Y638" s="4"/>
      <c r="Z638" s="4">
        <f ca="1">('TUSD BE'!$AM$51+'TUSD BF_350'!$AM$51+'TUSD CVA'!$AM$51)*1</f>
        <v>446.02270810064761</v>
      </c>
      <c r="AA638" s="4">
        <f ca="1">('TE BE'!$AB$42+'TE BF_350'!$AB$42+'TE CVA'!$AB$42)*1</f>
        <v>205.52329867469447</v>
      </c>
      <c r="AB638" s="4">
        <f>$K$638*$V$638</f>
        <v>0</v>
      </c>
      <c r="AC638" s="4">
        <f>$M$638*$W$638</f>
        <v>86802.589519999994</v>
      </c>
      <c r="AD638" s="4">
        <f>$O$638*$X$638</f>
        <v>42498.07978</v>
      </c>
      <c r="AE638" s="4">
        <f>$K$638*$Y$638</f>
        <v>0</v>
      </c>
      <c r="AF638" s="4">
        <f ca="1">$M$638*$Z$638</f>
        <v>95237.444769898881</v>
      </c>
      <c r="AG638" s="4">
        <f ca="1">$O$638*$AA$638</f>
        <v>43884.567872812811</v>
      </c>
    </row>
    <row r="639" spans="1:33" ht="11.25" customHeight="1" x14ac:dyDescent="0.3">
      <c r="A639" s="3" t="s">
        <v>21</v>
      </c>
      <c r="B639" s="3" t="s">
        <v>37</v>
      </c>
      <c r="C639" s="3" t="s">
        <v>23</v>
      </c>
      <c r="D639" s="3" t="s">
        <v>44</v>
      </c>
      <c r="E639" s="3" t="s">
        <v>25</v>
      </c>
      <c r="F639" s="3" t="s">
        <v>25</v>
      </c>
      <c r="G639" s="3" t="s">
        <v>25</v>
      </c>
      <c r="H639" s="3" t="s">
        <v>25</v>
      </c>
      <c r="I639" s="6">
        <v>44652</v>
      </c>
      <c r="J639" s="4">
        <v>0</v>
      </c>
      <c r="K639" s="4">
        <v>0</v>
      </c>
      <c r="L639" s="4">
        <v>144.05799999999999</v>
      </c>
      <c r="M639" s="4">
        <v>144.05799999999999</v>
      </c>
      <c r="N639" s="4">
        <v>144.05799999999999</v>
      </c>
      <c r="O639" s="4">
        <v>144.05799999999999</v>
      </c>
      <c r="P639" s="4">
        <v>358</v>
      </c>
      <c r="Q639" s="3" t="s">
        <v>26</v>
      </c>
      <c r="R639" s="3">
        <v>0</v>
      </c>
      <c r="S639" s="4">
        <v>0</v>
      </c>
      <c r="T639" s="4">
        <v>47</v>
      </c>
      <c r="U639" s="4">
        <v>87</v>
      </c>
      <c r="V639" s="4">
        <f>IF(ISERROR(VLOOKUP($S$639,'TAR FIN'!$A$1:$O$91,15,0)),0,VLOOKUP($S$639,'TAR FIN'!$A$1:$O$91,15,0))</f>
        <v>0</v>
      </c>
      <c r="W639" s="4">
        <f>IF(ISERROR(VLOOKUP($T$639,'TAR FIN'!$A$1:$O$91,15,0)),0,VLOOKUP($T$639,'TAR FIN'!$A$1:$O$91,15,0))</f>
        <v>406.52</v>
      </c>
      <c r="X639" s="4">
        <f>IF(ISERROR(VLOOKUP($U$639,'TAR FIN'!$A$1:$O$91,15,0)),0,VLOOKUP($U$639,'TAR FIN'!$A$1:$O$91,15,0))</f>
        <v>199.03</v>
      </c>
      <c r="Y639" s="4"/>
      <c r="Z639" s="4">
        <f ca="1">('TUSD BE'!$AM$51+'TUSD BF_350'!$AM$51+'TUSD CVA'!$AM$51)*1</f>
        <v>446.02270810064761</v>
      </c>
      <c r="AA639" s="4">
        <f ca="1">('TE BE'!$AB$42+'TE BF_350'!$AB$42+'TE CVA'!$AB$42)*1</f>
        <v>205.52329867469447</v>
      </c>
      <c r="AB639" s="4">
        <f>$K$639*$V$639</f>
        <v>0</v>
      </c>
      <c r="AC639" s="4">
        <f>$M$639*$W$639</f>
        <v>58562.458159999995</v>
      </c>
      <c r="AD639" s="4">
        <f>$O$639*$X$639</f>
        <v>28671.863739999997</v>
      </c>
      <c r="AE639" s="4">
        <f>$K$639*$Y$639</f>
        <v>0</v>
      </c>
      <c r="AF639" s="4">
        <f ca="1">$M$639*$Z$639</f>
        <v>64253.13928356309</v>
      </c>
      <c r="AG639" s="4">
        <f ca="1">$O$639*$AA$639</f>
        <v>29607.275360479136</v>
      </c>
    </row>
    <row r="640" spans="1:33" ht="11.25" customHeight="1" x14ac:dyDescent="0.3">
      <c r="A640" s="3" t="s">
        <v>21</v>
      </c>
      <c r="B640" s="3" t="s">
        <v>37</v>
      </c>
      <c r="C640" s="3" t="s">
        <v>23</v>
      </c>
      <c r="D640" s="3" t="s">
        <v>44</v>
      </c>
      <c r="E640" s="3" t="s">
        <v>25</v>
      </c>
      <c r="F640" s="3" t="s">
        <v>25</v>
      </c>
      <c r="G640" s="3" t="s">
        <v>25</v>
      </c>
      <c r="H640" s="3" t="s">
        <v>25</v>
      </c>
      <c r="I640" s="6">
        <v>44682</v>
      </c>
      <c r="J640" s="4">
        <v>0</v>
      </c>
      <c r="K640" s="4">
        <v>0</v>
      </c>
      <c r="L640" s="4">
        <v>138.90100000000001</v>
      </c>
      <c r="M640" s="4">
        <v>138.90100000000001</v>
      </c>
      <c r="N640" s="4">
        <v>138.90100000000001</v>
      </c>
      <c r="O640" s="4">
        <v>138.90100000000001</v>
      </c>
      <c r="P640" s="4">
        <v>356</v>
      </c>
      <c r="Q640" s="3" t="s">
        <v>26</v>
      </c>
      <c r="R640" s="3">
        <v>0</v>
      </c>
      <c r="S640" s="4">
        <v>0</v>
      </c>
      <c r="T640" s="4">
        <v>47</v>
      </c>
      <c r="U640" s="4">
        <v>87</v>
      </c>
      <c r="V640" s="4">
        <f>IF(ISERROR(VLOOKUP($S$640,'TAR FIN'!$A$1:$O$91,15,0)),0,VLOOKUP($S$640,'TAR FIN'!$A$1:$O$91,15,0))</f>
        <v>0</v>
      </c>
      <c r="W640" s="4">
        <f>IF(ISERROR(VLOOKUP($T$640,'TAR FIN'!$A$1:$O$91,15,0)),0,VLOOKUP($T$640,'TAR FIN'!$A$1:$O$91,15,0))</f>
        <v>406.52</v>
      </c>
      <c r="X640" s="4">
        <f>IF(ISERROR(VLOOKUP($U$640,'TAR FIN'!$A$1:$O$91,15,0)),0,VLOOKUP($U$640,'TAR FIN'!$A$1:$O$91,15,0))</f>
        <v>199.03</v>
      </c>
      <c r="Y640" s="4"/>
      <c r="Z640" s="4">
        <f ca="1">('TUSD BE'!$AM$51+'TUSD BF_350'!$AM$51+'TUSD CVA'!$AM$51)*1</f>
        <v>446.02270810064761</v>
      </c>
      <c r="AA640" s="4">
        <f ca="1">('TE BE'!$AB$42+'TE BF_350'!$AB$42+'TE CVA'!$AB$42)*1</f>
        <v>205.52329867469447</v>
      </c>
      <c r="AB640" s="4">
        <f>$K$640*$V$640</f>
        <v>0</v>
      </c>
      <c r="AC640" s="4">
        <f>$M$640*$W$640</f>
        <v>56466.034520000001</v>
      </c>
      <c r="AD640" s="4">
        <f>$O$640*$X$640</f>
        <v>27645.466030000003</v>
      </c>
      <c r="AE640" s="4">
        <f>$K$640*$Y$640</f>
        <v>0</v>
      </c>
      <c r="AF640" s="4">
        <f ca="1">$M$640*$Z$640</f>
        <v>61953.000177888054</v>
      </c>
      <c r="AG640" s="4">
        <f ca="1">$O$640*$AA$640</f>
        <v>28547.391709213738</v>
      </c>
    </row>
    <row r="641" spans="1:33" ht="11.25" customHeight="1" x14ac:dyDescent="0.3">
      <c r="A641" s="3" t="s">
        <v>21</v>
      </c>
      <c r="B641" s="3" t="s">
        <v>37</v>
      </c>
      <c r="C641" s="3" t="s">
        <v>23</v>
      </c>
      <c r="D641" s="3" t="s">
        <v>44</v>
      </c>
      <c r="E641" s="3" t="s">
        <v>25</v>
      </c>
      <c r="F641" s="3" t="s">
        <v>25</v>
      </c>
      <c r="G641" s="3" t="s">
        <v>25</v>
      </c>
      <c r="H641" s="3" t="s">
        <v>25</v>
      </c>
      <c r="I641" s="6">
        <v>44713</v>
      </c>
      <c r="J641" s="4">
        <v>0</v>
      </c>
      <c r="K641" s="4">
        <v>0</v>
      </c>
      <c r="L641" s="4">
        <v>168.69499999999999</v>
      </c>
      <c r="M641" s="4">
        <v>168.69499999999999</v>
      </c>
      <c r="N641" s="4">
        <v>168.69499999999999</v>
      </c>
      <c r="O641" s="4">
        <v>168.69499999999999</v>
      </c>
      <c r="P641" s="4">
        <v>356</v>
      </c>
      <c r="Q641" s="3" t="s">
        <v>26</v>
      </c>
      <c r="R641" s="3">
        <v>0</v>
      </c>
      <c r="S641" s="4">
        <v>0</v>
      </c>
      <c r="T641" s="4">
        <v>47</v>
      </c>
      <c r="U641" s="4">
        <v>87</v>
      </c>
      <c r="V641" s="4">
        <f>IF(ISERROR(VLOOKUP($S$641,'TAR FIN'!$A$1:$O$91,15,0)),0,VLOOKUP($S$641,'TAR FIN'!$A$1:$O$91,15,0))</f>
        <v>0</v>
      </c>
      <c r="W641" s="4">
        <f>IF(ISERROR(VLOOKUP($T$641,'TAR FIN'!$A$1:$O$91,15,0)),0,VLOOKUP($T$641,'TAR FIN'!$A$1:$O$91,15,0))</f>
        <v>406.52</v>
      </c>
      <c r="X641" s="4">
        <f>IF(ISERROR(VLOOKUP($U$641,'TAR FIN'!$A$1:$O$91,15,0)),0,VLOOKUP($U$641,'TAR FIN'!$A$1:$O$91,15,0))</f>
        <v>199.03</v>
      </c>
      <c r="Y641" s="4"/>
      <c r="Z641" s="4">
        <f ca="1">('TUSD BE'!$AM$51+'TUSD BF_350'!$AM$51+'TUSD CVA'!$AM$51)*1</f>
        <v>446.02270810064761</v>
      </c>
      <c r="AA641" s="4">
        <f ca="1">('TE BE'!$AB$42+'TE BF_350'!$AB$42+'TE CVA'!$AB$42)*1</f>
        <v>205.52329867469447</v>
      </c>
      <c r="AB641" s="4">
        <f>$K$641*$V$641</f>
        <v>0</v>
      </c>
      <c r="AC641" s="4">
        <f>$M$641*$W$641</f>
        <v>68577.891399999993</v>
      </c>
      <c r="AD641" s="4">
        <f>$O$641*$X$641</f>
        <v>33575.365850000002</v>
      </c>
      <c r="AE641" s="4">
        <f>$K$641*$Y$641</f>
        <v>0</v>
      </c>
      <c r="AF641" s="4">
        <f ca="1">$M$641*$Z$641</f>
        <v>75241.800743038752</v>
      </c>
      <c r="AG641" s="4">
        <f ca="1">$O$641*$AA$641</f>
        <v>34670.752869927586</v>
      </c>
    </row>
    <row r="642" spans="1:33" ht="11.25" customHeight="1" x14ac:dyDescent="0.3">
      <c r="A642" s="3" t="s">
        <v>21</v>
      </c>
      <c r="B642" s="3" t="s">
        <v>37</v>
      </c>
      <c r="C642" s="3" t="s">
        <v>23</v>
      </c>
      <c r="D642" s="3" t="s">
        <v>48</v>
      </c>
      <c r="E642" s="3" t="s">
        <v>49</v>
      </c>
      <c r="F642" s="3" t="s">
        <v>25</v>
      </c>
      <c r="G642" s="3" t="s">
        <v>25</v>
      </c>
      <c r="H642" s="3" t="s">
        <v>25</v>
      </c>
      <c r="I642" s="6">
        <v>44378</v>
      </c>
      <c r="J642" s="4">
        <v>0</v>
      </c>
      <c r="K642" s="88">
        <v>0</v>
      </c>
      <c r="L642" s="4">
        <v>74.566999999999993</v>
      </c>
      <c r="M642" s="88">
        <v>74.566999999999993</v>
      </c>
      <c r="N642" s="4">
        <v>74.566999999999993</v>
      </c>
      <c r="O642" s="88">
        <v>74.566999999999993</v>
      </c>
      <c r="P642" s="4">
        <v>29</v>
      </c>
      <c r="Q642" s="3" t="s">
        <v>26</v>
      </c>
      <c r="R642" s="3">
        <v>0</v>
      </c>
      <c r="S642" s="4">
        <v>0</v>
      </c>
      <c r="T642" s="4">
        <v>47</v>
      </c>
      <c r="U642" s="4">
        <v>87</v>
      </c>
      <c r="V642" s="88">
        <f>IF(ISERROR(VLOOKUP($S$642,'TAR FIN'!$A$1:$O$91,15,0)),0,VLOOKUP($S$642,'TAR FIN'!$A$1:$O$91,15,0))</f>
        <v>0</v>
      </c>
      <c r="W642" s="88">
        <f>IF(ISERROR(VLOOKUP($T$642,'TAR FIN'!$A$1:$O$91,15,0)),0,VLOOKUP($T$642,'TAR FIN'!$A$1:$O$91,15,0))*(1-0.06)</f>
        <v>382.12879999999996</v>
      </c>
      <c r="X642" s="88">
        <f>IF(ISERROR(VLOOKUP($U$642,'TAR FIN'!$A$1:$O$91,15,0)),0,VLOOKUP($U$642,'TAR FIN'!$A$1:$O$91,15,0))*(1-0.06)</f>
        <v>187.0882</v>
      </c>
      <c r="Y642" s="88"/>
      <c r="Z642" s="88">
        <f ca="1">('TUSD BE'!$AM$51+'TUSD BF_350'!$AM$51+'TUSD CVA'!$AM$51)*1*(1-0.03)</f>
        <v>432.64202685762814</v>
      </c>
      <c r="AA642" s="88">
        <f ca="1">('TE BE'!$AB$42+'TE BF_350'!$AB$42+'TE CVA'!$AB$42)*1*(1-0.03)</f>
        <v>199.35759971445364</v>
      </c>
      <c r="AB642" s="4">
        <f>$K$642*$V$642</f>
        <v>0</v>
      </c>
      <c r="AC642" s="4">
        <f>$M$642*$W$642</f>
        <v>28494.198229599995</v>
      </c>
      <c r="AD642" s="4">
        <f>$O$642*$X$642</f>
        <v>13950.605809399998</v>
      </c>
      <c r="AE642" s="4">
        <f>$K$642*$Y$642</f>
        <v>0</v>
      </c>
      <c r="AF642" s="4">
        <f ca="1">$M$642*$Z$642</f>
        <v>32260.818016692756</v>
      </c>
      <c r="AG642" s="4">
        <f ca="1">$O$642*$AA$642</f>
        <v>14865.498137907663</v>
      </c>
    </row>
    <row r="643" spans="1:33" ht="11.25" customHeight="1" x14ac:dyDescent="0.3">
      <c r="A643" s="3" t="s">
        <v>21</v>
      </c>
      <c r="B643" s="3" t="s">
        <v>37</v>
      </c>
      <c r="C643" s="3" t="s">
        <v>23</v>
      </c>
      <c r="D643" s="3" t="s">
        <v>48</v>
      </c>
      <c r="E643" s="3" t="s">
        <v>49</v>
      </c>
      <c r="F643" s="3" t="s">
        <v>25</v>
      </c>
      <c r="G643" s="3" t="s">
        <v>25</v>
      </c>
      <c r="H643" s="3" t="s">
        <v>25</v>
      </c>
      <c r="I643" s="6">
        <v>44409</v>
      </c>
      <c r="J643" s="4">
        <v>0</v>
      </c>
      <c r="K643" s="88">
        <v>0</v>
      </c>
      <c r="L643" s="4">
        <v>72.856999999999999</v>
      </c>
      <c r="M643" s="88">
        <v>72.856999999999999</v>
      </c>
      <c r="N643" s="4">
        <v>72.856999999999999</v>
      </c>
      <c r="O643" s="88">
        <v>72.856999999999999</v>
      </c>
      <c r="P643" s="4">
        <v>29</v>
      </c>
      <c r="Q643" s="3" t="s">
        <v>26</v>
      </c>
      <c r="R643" s="3">
        <v>0</v>
      </c>
      <c r="S643" s="4">
        <v>0</v>
      </c>
      <c r="T643" s="4">
        <v>47</v>
      </c>
      <c r="U643" s="4">
        <v>87</v>
      </c>
      <c r="V643" s="88">
        <f>IF(ISERROR(VLOOKUP($S$643,'TAR FIN'!$A$1:$O$91,15,0)),0,VLOOKUP($S$643,'TAR FIN'!$A$1:$O$91,15,0))</f>
        <v>0</v>
      </c>
      <c r="W643" s="88">
        <f>IF(ISERROR(VLOOKUP($T$643,'TAR FIN'!$A$1:$O$91,15,0)),0,VLOOKUP($T$643,'TAR FIN'!$A$1:$O$91,15,0))*(1-0.06)</f>
        <v>382.12879999999996</v>
      </c>
      <c r="X643" s="88">
        <f>IF(ISERROR(VLOOKUP($U$643,'TAR FIN'!$A$1:$O$91,15,0)),0,VLOOKUP($U$643,'TAR FIN'!$A$1:$O$91,15,0))*(1-0.06)</f>
        <v>187.0882</v>
      </c>
      <c r="Y643" s="88"/>
      <c r="Z643" s="88">
        <f ca="1">('TUSD BE'!$AM$51+'TUSD BF_350'!$AM$51+'TUSD CVA'!$AM$51)*1*(1-0.03)</f>
        <v>432.64202685762814</v>
      </c>
      <c r="AA643" s="88">
        <f ca="1">('TE BE'!$AB$42+'TE BF_350'!$AB$42+'TE CVA'!$AB$42)*1*(1-0.03)</f>
        <v>199.35759971445364</v>
      </c>
      <c r="AB643" s="4">
        <f>$K$643*$V$643</f>
        <v>0</v>
      </c>
      <c r="AC643" s="4">
        <f>$M$643*$W$643</f>
        <v>27840.757981599996</v>
      </c>
      <c r="AD643" s="4">
        <f>$O$643*$X$643</f>
        <v>13630.6849874</v>
      </c>
      <c r="AE643" s="4">
        <f>$K$643*$Y$643</f>
        <v>0</v>
      </c>
      <c r="AF643" s="4">
        <f ca="1">$M$643*$Z$643</f>
        <v>31521.000150766213</v>
      </c>
      <c r="AG643" s="4">
        <f ca="1">$O$643*$AA$643</f>
        <v>14524.596642395949</v>
      </c>
    </row>
    <row r="644" spans="1:33" ht="11.25" customHeight="1" x14ac:dyDescent="0.3">
      <c r="A644" s="3" t="s">
        <v>21</v>
      </c>
      <c r="B644" s="3" t="s">
        <v>37</v>
      </c>
      <c r="C644" s="3" t="s">
        <v>23</v>
      </c>
      <c r="D644" s="3" t="s">
        <v>48</v>
      </c>
      <c r="E644" s="3" t="s">
        <v>49</v>
      </c>
      <c r="F644" s="3" t="s">
        <v>25</v>
      </c>
      <c r="G644" s="3" t="s">
        <v>25</v>
      </c>
      <c r="H644" s="3" t="s">
        <v>25</v>
      </c>
      <c r="I644" s="6">
        <v>44440</v>
      </c>
      <c r="J644" s="4">
        <v>0</v>
      </c>
      <c r="K644" s="88">
        <v>0</v>
      </c>
      <c r="L644" s="4">
        <v>73.664000000000001</v>
      </c>
      <c r="M644" s="88">
        <v>73.664000000000001</v>
      </c>
      <c r="N644" s="4">
        <v>73.664000000000001</v>
      </c>
      <c r="O644" s="88">
        <v>73.664000000000001</v>
      </c>
      <c r="P644" s="4">
        <v>29</v>
      </c>
      <c r="Q644" s="3" t="s">
        <v>26</v>
      </c>
      <c r="R644" s="3">
        <v>0</v>
      </c>
      <c r="S644" s="4">
        <v>0</v>
      </c>
      <c r="T644" s="4">
        <v>47</v>
      </c>
      <c r="U644" s="4">
        <v>87</v>
      </c>
      <c r="V644" s="88">
        <f>IF(ISERROR(VLOOKUP($S$644,'TAR FIN'!$A$1:$O$91,15,0)),0,VLOOKUP($S$644,'TAR FIN'!$A$1:$O$91,15,0))</f>
        <v>0</v>
      </c>
      <c r="W644" s="88">
        <f>IF(ISERROR(VLOOKUP($T$644,'TAR FIN'!$A$1:$O$91,15,0)),0,VLOOKUP($T$644,'TAR FIN'!$A$1:$O$91,15,0))*(1-0.06)</f>
        <v>382.12879999999996</v>
      </c>
      <c r="X644" s="88">
        <f>IF(ISERROR(VLOOKUP($U$644,'TAR FIN'!$A$1:$O$91,15,0)),0,VLOOKUP($U$644,'TAR FIN'!$A$1:$O$91,15,0))*(1-0.06)</f>
        <v>187.0882</v>
      </c>
      <c r="Y644" s="88"/>
      <c r="Z644" s="88">
        <f ca="1">('TUSD BE'!$AM$51+'TUSD BF_350'!$AM$51+'TUSD CVA'!$AM$51)*1*(1-0.03)</f>
        <v>432.64202685762814</v>
      </c>
      <c r="AA644" s="88">
        <f ca="1">('TE BE'!$AB$42+'TE BF_350'!$AB$42+'TE CVA'!$AB$42)*1*(1-0.03)</f>
        <v>199.35759971445364</v>
      </c>
      <c r="AB644" s="4">
        <f>$K$644*$V$644</f>
        <v>0</v>
      </c>
      <c r="AC644" s="4">
        <f>$M$644*$W$644</f>
        <v>28149.135923199996</v>
      </c>
      <c r="AD644" s="4">
        <f>$O$644*$X$644</f>
        <v>13781.665164800001</v>
      </c>
      <c r="AE644" s="4">
        <f>$K$644*$Y$644</f>
        <v>0</v>
      </c>
      <c r="AF644" s="4">
        <f ca="1">$M$644*$Z$644</f>
        <v>31870.142266440318</v>
      </c>
      <c r="AG644" s="4">
        <f ca="1">$O$644*$AA$644</f>
        <v>14685.478225365514</v>
      </c>
    </row>
    <row r="645" spans="1:33" ht="11.25" customHeight="1" x14ac:dyDescent="0.3">
      <c r="A645" s="3" t="s">
        <v>21</v>
      </c>
      <c r="B645" s="3" t="s">
        <v>37</v>
      </c>
      <c r="C645" s="3" t="s">
        <v>23</v>
      </c>
      <c r="D645" s="3" t="s">
        <v>48</v>
      </c>
      <c r="E645" s="3" t="s">
        <v>49</v>
      </c>
      <c r="F645" s="3" t="s">
        <v>25</v>
      </c>
      <c r="G645" s="3" t="s">
        <v>25</v>
      </c>
      <c r="H645" s="3" t="s">
        <v>25</v>
      </c>
      <c r="I645" s="6">
        <v>44470</v>
      </c>
      <c r="J645" s="4">
        <v>0</v>
      </c>
      <c r="K645" s="88">
        <v>0</v>
      </c>
      <c r="L645" s="4">
        <v>76.557000000000002</v>
      </c>
      <c r="M645" s="88">
        <v>76.557000000000002</v>
      </c>
      <c r="N645" s="4">
        <v>76.557000000000002</v>
      </c>
      <c r="O645" s="88">
        <v>76.557000000000002</v>
      </c>
      <c r="P645" s="4">
        <v>29</v>
      </c>
      <c r="Q645" s="3" t="s">
        <v>26</v>
      </c>
      <c r="R645" s="3">
        <v>0</v>
      </c>
      <c r="S645" s="4">
        <v>0</v>
      </c>
      <c r="T645" s="4">
        <v>47</v>
      </c>
      <c r="U645" s="4">
        <v>87</v>
      </c>
      <c r="V645" s="88">
        <f>IF(ISERROR(VLOOKUP($S$645,'TAR FIN'!$A$1:$O$91,15,0)),0,VLOOKUP($S$645,'TAR FIN'!$A$1:$O$91,15,0))</f>
        <v>0</v>
      </c>
      <c r="W645" s="88">
        <f>IF(ISERROR(VLOOKUP($T$645,'TAR FIN'!$A$1:$O$91,15,0)),0,VLOOKUP($T$645,'TAR FIN'!$A$1:$O$91,15,0))*(1-0.06)</f>
        <v>382.12879999999996</v>
      </c>
      <c r="X645" s="88">
        <f>IF(ISERROR(VLOOKUP($U$645,'TAR FIN'!$A$1:$O$91,15,0)),0,VLOOKUP($U$645,'TAR FIN'!$A$1:$O$91,15,0))*(1-0.06)</f>
        <v>187.0882</v>
      </c>
      <c r="Y645" s="88"/>
      <c r="Z645" s="88">
        <f ca="1">('TUSD BE'!$AM$51+'TUSD BF_350'!$AM$51+'TUSD CVA'!$AM$51)*1*(1-0.03)</f>
        <v>432.64202685762814</v>
      </c>
      <c r="AA645" s="88">
        <f ca="1">('TE BE'!$AB$42+'TE BF_350'!$AB$42+'TE CVA'!$AB$42)*1*(1-0.03)</f>
        <v>199.35759971445364</v>
      </c>
      <c r="AB645" s="4">
        <f>$K$645*$V$645</f>
        <v>0</v>
      </c>
      <c r="AC645" s="4">
        <f>$M$645*$W$645</f>
        <v>29254.634541599997</v>
      </c>
      <c r="AD645" s="4">
        <f>$O$645*$X$645</f>
        <v>14322.911327400001</v>
      </c>
      <c r="AE645" s="4">
        <f>$K$645*$Y$645</f>
        <v>0</v>
      </c>
      <c r="AF645" s="4">
        <f ca="1">$M$645*$Z$645</f>
        <v>33121.77565013944</v>
      </c>
      <c r="AG645" s="4">
        <f ca="1">$O$645*$AA$645</f>
        <v>15262.219761339427</v>
      </c>
    </row>
    <row r="646" spans="1:33" ht="11.25" customHeight="1" x14ac:dyDescent="0.3">
      <c r="A646" s="3" t="s">
        <v>21</v>
      </c>
      <c r="B646" s="3" t="s">
        <v>37</v>
      </c>
      <c r="C646" s="3" t="s">
        <v>23</v>
      </c>
      <c r="D646" s="3" t="s">
        <v>48</v>
      </c>
      <c r="E646" s="3" t="s">
        <v>49</v>
      </c>
      <c r="F646" s="3" t="s">
        <v>25</v>
      </c>
      <c r="G646" s="3" t="s">
        <v>25</v>
      </c>
      <c r="H646" s="3" t="s">
        <v>25</v>
      </c>
      <c r="I646" s="6">
        <v>44501</v>
      </c>
      <c r="J646" s="4">
        <v>0</v>
      </c>
      <c r="K646" s="88">
        <v>0</v>
      </c>
      <c r="L646" s="4">
        <v>71.665999999999997</v>
      </c>
      <c r="M646" s="88">
        <v>71.665999999999997</v>
      </c>
      <c r="N646" s="4">
        <v>71.665999999999997</v>
      </c>
      <c r="O646" s="88">
        <v>71.665999999999997</v>
      </c>
      <c r="P646" s="4">
        <v>30</v>
      </c>
      <c r="Q646" s="3" t="s">
        <v>26</v>
      </c>
      <c r="R646" s="3">
        <v>0</v>
      </c>
      <c r="S646" s="4">
        <v>0</v>
      </c>
      <c r="T646" s="4">
        <v>47</v>
      </c>
      <c r="U646" s="4">
        <v>87</v>
      </c>
      <c r="V646" s="88">
        <f>IF(ISERROR(VLOOKUP($S$646,'TAR FIN'!$A$1:$O$91,15,0)),0,VLOOKUP($S$646,'TAR FIN'!$A$1:$O$91,15,0))</f>
        <v>0</v>
      </c>
      <c r="W646" s="88">
        <f>IF(ISERROR(VLOOKUP($T$646,'TAR FIN'!$A$1:$O$91,15,0)),0,VLOOKUP($T$646,'TAR FIN'!$A$1:$O$91,15,0))*(1-0.06)</f>
        <v>382.12879999999996</v>
      </c>
      <c r="X646" s="88">
        <f>IF(ISERROR(VLOOKUP($U$646,'TAR FIN'!$A$1:$O$91,15,0)),0,VLOOKUP($U$646,'TAR FIN'!$A$1:$O$91,15,0))*(1-0.06)</f>
        <v>187.0882</v>
      </c>
      <c r="Y646" s="88"/>
      <c r="Z646" s="88">
        <f ca="1">('TUSD BE'!$AM$51+'TUSD BF_350'!$AM$51+'TUSD CVA'!$AM$51)*1*(1-0.03)</f>
        <v>432.64202685762814</v>
      </c>
      <c r="AA646" s="88">
        <f ca="1">('TE BE'!$AB$42+'TE BF_350'!$AB$42+'TE CVA'!$AB$42)*1*(1-0.03)</f>
        <v>199.35759971445364</v>
      </c>
      <c r="AB646" s="4">
        <f>$K$646*$V$646</f>
        <v>0</v>
      </c>
      <c r="AC646" s="4">
        <f>$M$646*$W$646</f>
        <v>27385.642580799995</v>
      </c>
      <c r="AD646" s="4">
        <f>$O$646*$X$646</f>
        <v>13407.862941199999</v>
      </c>
      <c r="AE646" s="4">
        <f>$K$646*$Y$646</f>
        <v>0</v>
      </c>
      <c r="AF646" s="4">
        <f ca="1">$M$646*$Z$646</f>
        <v>31005.723496778777</v>
      </c>
      <c r="AG646" s="4">
        <f ca="1">$O$646*$AA$646</f>
        <v>14287.161741136035</v>
      </c>
    </row>
    <row r="647" spans="1:33" ht="11.25" customHeight="1" x14ac:dyDescent="0.3">
      <c r="A647" s="3" t="s">
        <v>21</v>
      </c>
      <c r="B647" s="3" t="s">
        <v>37</v>
      </c>
      <c r="C647" s="3" t="s">
        <v>23</v>
      </c>
      <c r="D647" s="3" t="s">
        <v>48</v>
      </c>
      <c r="E647" s="3" t="s">
        <v>49</v>
      </c>
      <c r="F647" s="3" t="s">
        <v>25</v>
      </c>
      <c r="G647" s="3" t="s">
        <v>25</v>
      </c>
      <c r="H647" s="3" t="s">
        <v>25</v>
      </c>
      <c r="I647" s="6">
        <v>44531</v>
      </c>
      <c r="J647" s="4">
        <v>0</v>
      </c>
      <c r="K647" s="88">
        <v>0</v>
      </c>
      <c r="L647" s="4">
        <v>79.037000000000006</v>
      </c>
      <c r="M647" s="88">
        <v>79.037000000000006</v>
      </c>
      <c r="N647" s="4">
        <v>79.037000000000006</v>
      </c>
      <c r="O647" s="88">
        <v>79.037000000000006</v>
      </c>
      <c r="P647" s="4">
        <v>30</v>
      </c>
      <c r="Q647" s="3" t="s">
        <v>26</v>
      </c>
      <c r="R647" s="3">
        <v>0</v>
      </c>
      <c r="S647" s="4">
        <v>0</v>
      </c>
      <c r="T647" s="4">
        <v>47</v>
      </c>
      <c r="U647" s="4">
        <v>87</v>
      </c>
      <c r="V647" s="88">
        <f>IF(ISERROR(VLOOKUP($S$647,'TAR FIN'!$A$1:$O$91,15,0)),0,VLOOKUP($S$647,'TAR FIN'!$A$1:$O$91,15,0))</f>
        <v>0</v>
      </c>
      <c r="W647" s="88">
        <f>IF(ISERROR(VLOOKUP($T$647,'TAR FIN'!$A$1:$O$91,15,0)),0,VLOOKUP($T$647,'TAR FIN'!$A$1:$O$91,15,0))*(1-0.06)</f>
        <v>382.12879999999996</v>
      </c>
      <c r="X647" s="88">
        <f>IF(ISERROR(VLOOKUP($U$647,'TAR FIN'!$A$1:$O$91,15,0)),0,VLOOKUP($U$647,'TAR FIN'!$A$1:$O$91,15,0))*(1-0.06)</f>
        <v>187.0882</v>
      </c>
      <c r="Y647" s="88"/>
      <c r="Z647" s="88">
        <f ca="1">('TUSD BE'!$AM$51+'TUSD BF_350'!$AM$51+'TUSD CVA'!$AM$51)*1*(1-0.03)</f>
        <v>432.64202685762814</v>
      </c>
      <c r="AA647" s="88">
        <f ca="1">('TE BE'!$AB$42+'TE BF_350'!$AB$42+'TE CVA'!$AB$42)*1*(1-0.03)</f>
        <v>199.35759971445364</v>
      </c>
      <c r="AB647" s="4">
        <f>$K$647*$V$647</f>
        <v>0</v>
      </c>
      <c r="AC647" s="4">
        <f>$M$647*$W$647</f>
        <v>30202.313965599998</v>
      </c>
      <c r="AD647" s="4">
        <f>$O$647*$X$647</f>
        <v>14786.890063400002</v>
      </c>
      <c r="AE647" s="4">
        <f>$K$647*$Y$647</f>
        <v>0</v>
      </c>
      <c r="AF647" s="4">
        <f ca="1">$M$647*$Z$647</f>
        <v>34194.727876746358</v>
      </c>
      <c r="AG647" s="4">
        <f ca="1">$O$647*$AA$647</f>
        <v>15756.626608631273</v>
      </c>
    </row>
    <row r="648" spans="1:33" ht="11.25" customHeight="1" x14ac:dyDescent="0.3">
      <c r="A648" s="3" t="s">
        <v>21</v>
      </c>
      <c r="B648" s="3" t="s">
        <v>37</v>
      </c>
      <c r="C648" s="3" t="s">
        <v>23</v>
      </c>
      <c r="D648" s="3" t="s">
        <v>48</v>
      </c>
      <c r="E648" s="3" t="s">
        <v>49</v>
      </c>
      <c r="F648" s="3" t="s">
        <v>25</v>
      </c>
      <c r="G648" s="3" t="s">
        <v>25</v>
      </c>
      <c r="H648" s="3" t="s">
        <v>25</v>
      </c>
      <c r="I648" s="6">
        <v>44562</v>
      </c>
      <c r="J648" s="4">
        <v>0</v>
      </c>
      <c r="K648" s="88">
        <v>0</v>
      </c>
      <c r="L648" s="4">
        <v>82.933000000000007</v>
      </c>
      <c r="M648" s="88">
        <v>82.933000000000007</v>
      </c>
      <c r="N648" s="4">
        <v>82.933000000000007</v>
      </c>
      <c r="O648" s="88">
        <v>82.933000000000007</v>
      </c>
      <c r="P648" s="4">
        <v>31</v>
      </c>
      <c r="Q648" s="3" t="s">
        <v>26</v>
      </c>
      <c r="R648" s="3">
        <v>0</v>
      </c>
      <c r="S648" s="4">
        <v>0</v>
      </c>
      <c r="T648" s="4">
        <v>47</v>
      </c>
      <c r="U648" s="4">
        <v>87</v>
      </c>
      <c r="V648" s="88">
        <f>IF(ISERROR(VLOOKUP($S$648,'TAR FIN'!$A$1:$O$91,15,0)),0,VLOOKUP($S$648,'TAR FIN'!$A$1:$O$91,15,0))</f>
        <v>0</v>
      </c>
      <c r="W648" s="88">
        <f>IF(ISERROR(VLOOKUP($T$648,'TAR FIN'!$A$1:$O$91,15,0)),0,VLOOKUP($T$648,'TAR FIN'!$A$1:$O$91,15,0))*(1-0.06)</f>
        <v>382.12879999999996</v>
      </c>
      <c r="X648" s="88">
        <f>IF(ISERROR(VLOOKUP($U$648,'TAR FIN'!$A$1:$O$91,15,0)),0,VLOOKUP($U$648,'TAR FIN'!$A$1:$O$91,15,0))*(1-0.06)</f>
        <v>187.0882</v>
      </c>
      <c r="Y648" s="88"/>
      <c r="Z648" s="88">
        <f ca="1">('TUSD BE'!$AM$51+'TUSD BF_350'!$AM$51+'TUSD CVA'!$AM$51)*1*(1-0.03)</f>
        <v>432.64202685762814</v>
      </c>
      <c r="AA648" s="88">
        <f ca="1">('TE BE'!$AB$42+'TE BF_350'!$AB$42+'TE CVA'!$AB$42)*1*(1-0.03)</f>
        <v>199.35759971445364</v>
      </c>
      <c r="AB648" s="4">
        <f>$K$648*$V$648</f>
        <v>0</v>
      </c>
      <c r="AC648" s="4">
        <f>$M$648*$W$648</f>
        <v>31691.087770399998</v>
      </c>
      <c r="AD648" s="4">
        <f>$O$648*$X$648</f>
        <v>15515.785690600002</v>
      </c>
      <c r="AE648" s="4">
        <f>$K$648*$Y$648</f>
        <v>0</v>
      </c>
      <c r="AF648" s="4">
        <f ca="1">$M$648*$Z$648</f>
        <v>35880.301213383675</v>
      </c>
      <c r="AG648" s="4">
        <f ca="1">$O$648*$AA$648</f>
        <v>16533.323817118784</v>
      </c>
    </row>
    <row r="649" spans="1:33" ht="11.25" customHeight="1" x14ac:dyDescent="0.3">
      <c r="A649" s="3" t="s">
        <v>21</v>
      </c>
      <c r="B649" s="3" t="s">
        <v>37</v>
      </c>
      <c r="C649" s="3" t="s">
        <v>23</v>
      </c>
      <c r="D649" s="3" t="s">
        <v>48</v>
      </c>
      <c r="E649" s="3" t="s">
        <v>49</v>
      </c>
      <c r="F649" s="3" t="s">
        <v>25</v>
      </c>
      <c r="G649" s="3" t="s">
        <v>25</v>
      </c>
      <c r="H649" s="3" t="s">
        <v>25</v>
      </c>
      <c r="I649" s="6">
        <v>44593</v>
      </c>
      <c r="J649" s="4">
        <v>0</v>
      </c>
      <c r="K649" s="88">
        <v>0</v>
      </c>
      <c r="L649" s="4">
        <v>102.13200000000001</v>
      </c>
      <c r="M649" s="88">
        <v>102.13200000000001</v>
      </c>
      <c r="N649" s="4">
        <v>102.13200000000001</v>
      </c>
      <c r="O649" s="88">
        <v>102.13200000000001</v>
      </c>
      <c r="P649" s="4">
        <v>31</v>
      </c>
      <c r="Q649" s="3" t="s">
        <v>26</v>
      </c>
      <c r="R649" s="3">
        <v>0</v>
      </c>
      <c r="S649" s="4">
        <v>0</v>
      </c>
      <c r="T649" s="4">
        <v>47</v>
      </c>
      <c r="U649" s="4">
        <v>87</v>
      </c>
      <c r="V649" s="88">
        <f>IF(ISERROR(VLOOKUP($S$649,'TAR FIN'!$A$1:$O$91,15,0)),0,VLOOKUP($S$649,'TAR FIN'!$A$1:$O$91,15,0))</f>
        <v>0</v>
      </c>
      <c r="W649" s="88">
        <f>IF(ISERROR(VLOOKUP($T$649,'TAR FIN'!$A$1:$O$91,15,0)),0,VLOOKUP($T$649,'TAR FIN'!$A$1:$O$91,15,0))*(1-0.06)</f>
        <v>382.12879999999996</v>
      </c>
      <c r="X649" s="88">
        <f>IF(ISERROR(VLOOKUP($U$649,'TAR FIN'!$A$1:$O$91,15,0)),0,VLOOKUP($U$649,'TAR FIN'!$A$1:$O$91,15,0))*(1-0.06)</f>
        <v>187.0882</v>
      </c>
      <c r="Y649" s="88"/>
      <c r="Z649" s="88">
        <f ca="1">('TUSD BE'!$AM$51+'TUSD BF_350'!$AM$51+'TUSD CVA'!$AM$51)*1*(1-0.03)</f>
        <v>432.64202685762814</v>
      </c>
      <c r="AA649" s="88">
        <f ca="1">('TE BE'!$AB$42+'TE BF_350'!$AB$42+'TE CVA'!$AB$42)*1*(1-0.03)</f>
        <v>199.35759971445364</v>
      </c>
      <c r="AB649" s="4">
        <f>$K$649*$V$649</f>
        <v>0</v>
      </c>
      <c r="AC649" s="4">
        <f>$M$649*$W$649</f>
        <v>39027.578601599998</v>
      </c>
      <c r="AD649" s="4">
        <f>$O$649*$X$649</f>
        <v>19107.692042400002</v>
      </c>
      <c r="AE649" s="4">
        <f>$K$649*$Y$649</f>
        <v>0</v>
      </c>
      <c r="AF649" s="4">
        <f ca="1">$M$649*$Z$649</f>
        <v>44186.595487023282</v>
      </c>
      <c r="AG649" s="4">
        <f ca="1">$O$649*$AA$649</f>
        <v>20360.79037403658</v>
      </c>
    </row>
    <row r="650" spans="1:33" ht="11.25" customHeight="1" x14ac:dyDescent="0.3">
      <c r="A650" s="3" t="s">
        <v>27</v>
      </c>
      <c r="B650" s="3" t="s">
        <v>37</v>
      </c>
      <c r="C650" s="3" t="s">
        <v>23</v>
      </c>
      <c r="D650" s="3" t="s">
        <v>48</v>
      </c>
      <c r="E650" s="3" t="s">
        <v>49</v>
      </c>
      <c r="F650" s="3" t="s">
        <v>25</v>
      </c>
      <c r="G650" s="3" t="s">
        <v>25</v>
      </c>
      <c r="H650" s="3" t="s">
        <v>25</v>
      </c>
      <c r="I650" s="6">
        <v>44593</v>
      </c>
      <c r="J650" s="4">
        <v>0</v>
      </c>
      <c r="K650" s="88">
        <v>0</v>
      </c>
      <c r="L650" s="4">
        <v>0.69399999999999995</v>
      </c>
      <c r="M650" s="88">
        <v>0.69399999999999995</v>
      </c>
      <c r="N650" s="4">
        <v>0.69399999999999995</v>
      </c>
      <c r="O650" s="88">
        <v>0.69399999999999995</v>
      </c>
      <c r="P650" s="4">
        <v>0</v>
      </c>
      <c r="Q650" s="3" t="s">
        <v>26</v>
      </c>
      <c r="R650" s="3">
        <v>0</v>
      </c>
      <c r="S650" s="4">
        <v>0</v>
      </c>
      <c r="T650" s="4">
        <v>47</v>
      </c>
      <c r="U650" s="4">
        <v>87</v>
      </c>
      <c r="V650" s="88">
        <f>IF(ISERROR(VLOOKUP($S$650,'TAR FIN'!$A$1:$O$91,15,0)),0,VLOOKUP($S$650,'TAR FIN'!$A$1:$O$91,15,0))</f>
        <v>0</v>
      </c>
      <c r="W650" s="88">
        <f>IF(ISERROR(VLOOKUP($T$650,'TAR FIN'!$A$1:$O$91,15,0)),0,VLOOKUP($T$650,'TAR FIN'!$A$1:$O$91,15,0))*(1-0.06)</f>
        <v>382.12879999999996</v>
      </c>
      <c r="X650" s="88">
        <f>IF(ISERROR(VLOOKUP($U$650,'TAR FIN'!$A$1:$O$91,15,0)),0,VLOOKUP($U$650,'TAR FIN'!$A$1:$O$91,15,0))*(1-0.06)</f>
        <v>187.0882</v>
      </c>
      <c r="Y650" s="88"/>
      <c r="Z650" s="88">
        <f ca="1">('TUSD BE'!$AM$51+'TUSD BF_350'!$AM$51+'TUSD CVA'!$AM$51)*1*(1-0.03)</f>
        <v>432.64202685762814</v>
      </c>
      <c r="AA650" s="88">
        <f ca="1">('TE BE'!$AB$42+'TE BF_350'!$AB$42+'TE CVA'!$AB$42)*1*(1-0.03)</f>
        <v>199.35759971445364</v>
      </c>
      <c r="AB650" s="4">
        <f>$K$650*$V$650</f>
        <v>0</v>
      </c>
      <c r="AC650" s="4">
        <f>$M$650*$W$650</f>
        <v>265.19738719999992</v>
      </c>
      <c r="AD650" s="4">
        <f>$O$650*$X$650</f>
        <v>129.83921079999999</v>
      </c>
      <c r="AE650" s="4">
        <f>$K$650*$Y$650</f>
        <v>0</v>
      </c>
      <c r="AF650" s="4">
        <f ca="1">$M$650*$Z$650</f>
        <v>300.25356663919393</v>
      </c>
      <c r="AG650" s="4">
        <f ca="1">$O$650*$AA$650</f>
        <v>138.35417420183083</v>
      </c>
    </row>
    <row r="651" spans="1:33" ht="11.25" customHeight="1" x14ac:dyDescent="0.3">
      <c r="A651" s="3" t="s">
        <v>21</v>
      </c>
      <c r="B651" s="3" t="s">
        <v>37</v>
      </c>
      <c r="C651" s="3" t="s">
        <v>23</v>
      </c>
      <c r="D651" s="3" t="s">
        <v>48</v>
      </c>
      <c r="E651" s="3" t="s">
        <v>49</v>
      </c>
      <c r="F651" s="3" t="s">
        <v>25</v>
      </c>
      <c r="G651" s="3" t="s">
        <v>25</v>
      </c>
      <c r="H651" s="3" t="s">
        <v>25</v>
      </c>
      <c r="I651" s="6">
        <v>44621</v>
      </c>
      <c r="J651" s="4">
        <v>0</v>
      </c>
      <c r="K651" s="88">
        <v>0</v>
      </c>
      <c r="L651" s="4">
        <v>94.444000000000003</v>
      </c>
      <c r="M651" s="88">
        <v>94.444000000000003</v>
      </c>
      <c r="N651" s="4">
        <v>94.444000000000003</v>
      </c>
      <c r="O651" s="88">
        <v>94.444000000000003</v>
      </c>
      <c r="P651" s="4">
        <v>31</v>
      </c>
      <c r="Q651" s="3" t="s">
        <v>26</v>
      </c>
      <c r="R651" s="3">
        <v>0</v>
      </c>
      <c r="S651" s="4">
        <v>0</v>
      </c>
      <c r="T651" s="4">
        <v>47</v>
      </c>
      <c r="U651" s="4">
        <v>87</v>
      </c>
      <c r="V651" s="88">
        <f>IF(ISERROR(VLOOKUP($S$651,'TAR FIN'!$A$1:$O$91,15,0)),0,VLOOKUP($S$651,'TAR FIN'!$A$1:$O$91,15,0))</f>
        <v>0</v>
      </c>
      <c r="W651" s="88">
        <f>IF(ISERROR(VLOOKUP($T$651,'TAR FIN'!$A$1:$O$91,15,0)),0,VLOOKUP($T$651,'TAR FIN'!$A$1:$O$91,15,0))*(1-0.06)</f>
        <v>382.12879999999996</v>
      </c>
      <c r="X651" s="88">
        <f>IF(ISERROR(VLOOKUP($U$651,'TAR FIN'!$A$1:$O$91,15,0)),0,VLOOKUP($U$651,'TAR FIN'!$A$1:$O$91,15,0))*(1-0.06)</f>
        <v>187.0882</v>
      </c>
      <c r="Y651" s="88"/>
      <c r="Z651" s="88">
        <f ca="1">('TUSD BE'!$AM$51+'TUSD BF_350'!$AM$51+'TUSD CVA'!$AM$51)*1*(1-0.03)</f>
        <v>432.64202685762814</v>
      </c>
      <c r="AA651" s="88">
        <f ca="1">('TE BE'!$AB$42+'TE BF_350'!$AB$42+'TE CVA'!$AB$42)*1*(1-0.03)</f>
        <v>199.35759971445364</v>
      </c>
      <c r="AB651" s="4">
        <f>$K$651*$V$651</f>
        <v>0</v>
      </c>
      <c r="AC651" s="4">
        <f>$M$651*$W$651</f>
        <v>36089.772387199999</v>
      </c>
      <c r="AD651" s="4">
        <f>$O$651*$X$651</f>
        <v>17669.3579608</v>
      </c>
      <c r="AE651" s="4">
        <f>$K$651*$Y$651</f>
        <v>0</v>
      </c>
      <c r="AF651" s="4">
        <f ca="1">$M$651*$Z$651</f>
        <v>40860.443584541834</v>
      </c>
      <c r="AG651" s="4">
        <f ca="1">$O$651*$AA$651</f>
        <v>18828.12914743186</v>
      </c>
    </row>
    <row r="652" spans="1:33" ht="11.25" customHeight="1" x14ac:dyDescent="0.3">
      <c r="A652" s="3" t="s">
        <v>21</v>
      </c>
      <c r="B652" s="3" t="s">
        <v>37</v>
      </c>
      <c r="C652" s="3" t="s">
        <v>23</v>
      </c>
      <c r="D652" s="3" t="s">
        <v>48</v>
      </c>
      <c r="E652" s="3" t="s">
        <v>49</v>
      </c>
      <c r="F652" s="3" t="s">
        <v>25</v>
      </c>
      <c r="G652" s="3" t="s">
        <v>25</v>
      </c>
      <c r="H652" s="3" t="s">
        <v>25</v>
      </c>
      <c r="I652" s="6">
        <v>44652</v>
      </c>
      <c r="J652" s="4">
        <v>0</v>
      </c>
      <c r="K652" s="88">
        <v>0</v>
      </c>
      <c r="L652" s="4">
        <v>81.756</v>
      </c>
      <c r="M652" s="88">
        <v>81.756</v>
      </c>
      <c r="N652" s="4">
        <v>81.756</v>
      </c>
      <c r="O652" s="88">
        <v>81.756</v>
      </c>
      <c r="P652" s="4">
        <v>31</v>
      </c>
      <c r="Q652" s="3" t="s">
        <v>26</v>
      </c>
      <c r="R652" s="3">
        <v>0</v>
      </c>
      <c r="S652" s="4">
        <v>0</v>
      </c>
      <c r="T652" s="4">
        <v>47</v>
      </c>
      <c r="U652" s="4">
        <v>87</v>
      </c>
      <c r="V652" s="88">
        <f>IF(ISERROR(VLOOKUP($S$652,'TAR FIN'!$A$1:$O$91,15,0)),0,VLOOKUP($S$652,'TAR FIN'!$A$1:$O$91,15,0))</f>
        <v>0</v>
      </c>
      <c r="W652" s="88">
        <f>IF(ISERROR(VLOOKUP($T$652,'TAR FIN'!$A$1:$O$91,15,0)),0,VLOOKUP($T$652,'TAR FIN'!$A$1:$O$91,15,0))*(1-0.06)</f>
        <v>382.12879999999996</v>
      </c>
      <c r="X652" s="88">
        <f>IF(ISERROR(VLOOKUP($U$652,'TAR FIN'!$A$1:$O$91,15,0)),0,VLOOKUP($U$652,'TAR FIN'!$A$1:$O$91,15,0))*(1-0.06)</f>
        <v>187.0882</v>
      </c>
      <c r="Y652" s="88"/>
      <c r="Z652" s="88">
        <f ca="1">('TUSD BE'!$AM$51+'TUSD BF_350'!$AM$51+'TUSD CVA'!$AM$51)*1*(1-0.03)</f>
        <v>432.64202685762814</v>
      </c>
      <c r="AA652" s="88">
        <f ca="1">('TE BE'!$AB$42+'TE BF_350'!$AB$42+'TE CVA'!$AB$42)*1*(1-0.03)</f>
        <v>199.35759971445364</v>
      </c>
      <c r="AB652" s="4">
        <f>$K$652*$V$652</f>
        <v>0</v>
      </c>
      <c r="AC652" s="4">
        <f>$M$652*$W$652</f>
        <v>31241.322172799995</v>
      </c>
      <c r="AD652" s="4">
        <f>$O$652*$X$652</f>
        <v>15295.582879199999</v>
      </c>
      <c r="AE652" s="4">
        <f>$K$652*$Y$652</f>
        <v>0</v>
      </c>
      <c r="AF652" s="4">
        <f ca="1">$M$652*$Z$652</f>
        <v>35371.081547772243</v>
      </c>
      <c r="AG652" s="4">
        <f ca="1">$O$652*$AA$652</f>
        <v>16298.679922254873</v>
      </c>
    </row>
    <row r="653" spans="1:33" ht="11.25" customHeight="1" x14ac:dyDescent="0.3">
      <c r="A653" s="3" t="s">
        <v>21</v>
      </c>
      <c r="B653" s="3" t="s">
        <v>37</v>
      </c>
      <c r="C653" s="3" t="s">
        <v>23</v>
      </c>
      <c r="D653" s="3" t="s">
        <v>48</v>
      </c>
      <c r="E653" s="3" t="s">
        <v>49</v>
      </c>
      <c r="F653" s="3" t="s">
        <v>25</v>
      </c>
      <c r="G653" s="3" t="s">
        <v>25</v>
      </c>
      <c r="H653" s="3" t="s">
        <v>25</v>
      </c>
      <c r="I653" s="6">
        <v>44682</v>
      </c>
      <c r="J653" s="4">
        <v>0</v>
      </c>
      <c r="K653" s="88">
        <v>0</v>
      </c>
      <c r="L653" s="4">
        <v>80.668999999999997</v>
      </c>
      <c r="M653" s="88">
        <v>80.668999999999997</v>
      </c>
      <c r="N653" s="4">
        <v>80.668999999999997</v>
      </c>
      <c r="O653" s="88">
        <v>80.668999999999997</v>
      </c>
      <c r="P653" s="4">
        <v>32</v>
      </c>
      <c r="Q653" s="3" t="s">
        <v>26</v>
      </c>
      <c r="R653" s="3">
        <v>0</v>
      </c>
      <c r="S653" s="4">
        <v>0</v>
      </c>
      <c r="T653" s="4">
        <v>47</v>
      </c>
      <c r="U653" s="4">
        <v>87</v>
      </c>
      <c r="V653" s="88">
        <f>IF(ISERROR(VLOOKUP($S$653,'TAR FIN'!$A$1:$O$91,15,0)),0,VLOOKUP($S$653,'TAR FIN'!$A$1:$O$91,15,0))</f>
        <v>0</v>
      </c>
      <c r="W653" s="88">
        <f>IF(ISERROR(VLOOKUP($T$653,'TAR FIN'!$A$1:$O$91,15,0)),0,VLOOKUP($T$653,'TAR FIN'!$A$1:$O$91,15,0))*(1-0.06)</f>
        <v>382.12879999999996</v>
      </c>
      <c r="X653" s="88">
        <f>IF(ISERROR(VLOOKUP($U$653,'TAR FIN'!$A$1:$O$91,15,0)),0,VLOOKUP($U$653,'TAR FIN'!$A$1:$O$91,15,0))*(1-0.06)</f>
        <v>187.0882</v>
      </c>
      <c r="Y653" s="88"/>
      <c r="Z653" s="88">
        <f ca="1">('TUSD BE'!$AM$51+'TUSD BF_350'!$AM$51+'TUSD CVA'!$AM$51)*1*(1-0.03)</f>
        <v>432.64202685762814</v>
      </c>
      <c r="AA653" s="88">
        <f ca="1">('TE BE'!$AB$42+'TE BF_350'!$AB$42+'TE CVA'!$AB$42)*1*(1-0.03)</f>
        <v>199.35759971445364</v>
      </c>
      <c r="AB653" s="4">
        <f>$K$653*$V$653</f>
        <v>0</v>
      </c>
      <c r="AC653" s="4">
        <f>$M$653*$W$653</f>
        <v>30825.948167199997</v>
      </c>
      <c r="AD653" s="4">
        <f>$O$653*$X$653</f>
        <v>15092.218005799999</v>
      </c>
      <c r="AE653" s="4">
        <f>$K$653*$Y$653</f>
        <v>0</v>
      </c>
      <c r="AF653" s="4">
        <f ca="1">$M$653*$Z$653</f>
        <v>34900.799664578</v>
      </c>
      <c r="AG653" s="4">
        <f ca="1">$O$653*$AA$653</f>
        <v>16081.97821136526</v>
      </c>
    </row>
    <row r="654" spans="1:33" ht="11.25" customHeight="1" x14ac:dyDescent="0.3">
      <c r="A654" s="3" t="s">
        <v>21</v>
      </c>
      <c r="B654" s="3" t="s">
        <v>37</v>
      </c>
      <c r="C654" s="3" t="s">
        <v>23</v>
      </c>
      <c r="D654" s="3" t="s">
        <v>48</v>
      </c>
      <c r="E654" s="3" t="s">
        <v>49</v>
      </c>
      <c r="F654" s="3" t="s">
        <v>25</v>
      </c>
      <c r="G654" s="3" t="s">
        <v>25</v>
      </c>
      <c r="H654" s="3" t="s">
        <v>25</v>
      </c>
      <c r="I654" s="6">
        <v>44713</v>
      </c>
      <c r="J654" s="4">
        <v>0</v>
      </c>
      <c r="K654" s="88">
        <v>0</v>
      </c>
      <c r="L654" s="4">
        <v>77.650999999999996</v>
      </c>
      <c r="M654" s="88">
        <v>77.650999999999996</v>
      </c>
      <c r="N654" s="4">
        <v>77.650999999999996</v>
      </c>
      <c r="O654" s="88">
        <v>77.650999999999996</v>
      </c>
      <c r="P654" s="4">
        <v>32</v>
      </c>
      <c r="Q654" s="3" t="s">
        <v>26</v>
      </c>
      <c r="R654" s="3">
        <v>0</v>
      </c>
      <c r="S654" s="4">
        <v>0</v>
      </c>
      <c r="T654" s="4">
        <v>47</v>
      </c>
      <c r="U654" s="4">
        <v>87</v>
      </c>
      <c r="V654" s="88">
        <f>IF(ISERROR(VLOOKUP($S$654,'TAR FIN'!$A$1:$O$91,15,0)),0,VLOOKUP($S$654,'TAR FIN'!$A$1:$O$91,15,0))</f>
        <v>0</v>
      </c>
      <c r="W654" s="88">
        <f>IF(ISERROR(VLOOKUP($T$654,'TAR FIN'!$A$1:$O$91,15,0)),0,VLOOKUP($T$654,'TAR FIN'!$A$1:$O$91,15,0))*(1-0.06)</f>
        <v>382.12879999999996</v>
      </c>
      <c r="X654" s="88">
        <f>IF(ISERROR(VLOOKUP($U$654,'TAR FIN'!$A$1:$O$91,15,0)),0,VLOOKUP($U$654,'TAR FIN'!$A$1:$O$91,15,0))*(1-0.06)</f>
        <v>187.0882</v>
      </c>
      <c r="Y654" s="88"/>
      <c r="Z654" s="88">
        <f ca="1">('TUSD BE'!$AM$51+'TUSD BF_350'!$AM$51+'TUSD CVA'!$AM$51)*1*(1-0.03)</f>
        <v>432.64202685762814</v>
      </c>
      <c r="AA654" s="88">
        <f ca="1">('TE BE'!$AB$42+'TE BF_350'!$AB$42+'TE CVA'!$AB$42)*1*(1-0.03)</f>
        <v>199.35759971445364</v>
      </c>
      <c r="AB654" s="4">
        <f>$K$654*$V$654</f>
        <v>0</v>
      </c>
      <c r="AC654" s="4">
        <f>$M$654*$W$654</f>
        <v>29672.683448799995</v>
      </c>
      <c r="AD654" s="4">
        <f>$O$654*$X$654</f>
        <v>14527.585818199999</v>
      </c>
      <c r="AE654" s="4">
        <f>$K$654*$Y$654</f>
        <v>0</v>
      </c>
      <c r="AF654" s="4">
        <f ca="1">$M$654*$Z$654</f>
        <v>33595.086027521684</v>
      </c>
      <c r="AG654" s="4">
        <f ca="1">$O$654*$AA$654</f>
        <v>15480.316975427038</v>
      </c>
    </row>
    <row r="655" spans="1:33" ht="11.25" customHeight="1" x14ac:dyDescent="0.3">
      <c r="A655" s="3" t="s">
        <v>21</v>
      </c>
      <c r="B655" s="3" t="s">
        <v>45</v>
      </c>
      <c r="C655" s="3" t="s">
        <v>23</v>
      </c>
      <c r="D655" s="3" t="s">
        <v>46</v>
      </c>
      <c r="E655" s="3" t="s">
        <v>47</v>
      </c>
      <c r="F655" s="3" t="s">
        <v>25</v>
      </c>
      <c r="G655" s="3" t="s">
        <v>25</v>
      </c>
      <c r="H655" s="3" t="s">
        <v>25</v>
      </c>
      <c r="I655" s="6">
        <v>44378</v>
      </c>
      <c r="J655" s="4">
        <v>0</v>
      </c>
      <c r="K655" s="4">
        <v>0</v>
      </c>
      <c r="L655" s="4">
        <v>364.88</v>
      </c>
      <c r="M655" s="4">
        <v>364.88</v>
      </c>
      <c r="N655" s="4">
        <v>364.88</v>
      </c>
      <c r="O655" s="4">
        <v>364.88</v>
      </c>
      <c r="P655" s="4">
        <v>24</v>
      </c>
      <c r="Q655" s="3" t="s">
        <v>26</v>
      </c>
      <c r="R655" s="3">
        <v>0</v>
      </c>
      <c r="S655" s="4">
        <v>0</v>
      </c>
      <c r="T655" s="4">
        <v>49</v>
      </c>
      <c r="U655" s="4">
        <v>89</v>
      </c>
      <c r="V655" s="4">
        <f>IF(ISERROR(VLOOKUP($S$655,'TAR FIN'!$A$1:$O$91,15,0)),0,VLOOKUP($S$655,'TAR FIN'!$A$1:$O$91,15,0))</f>
        <v>0</v>
      </c>
      <c r="W655" s="4">
        <f>IF(ISERROR(VLOOKUP($T$655,'TAR FIN'!$A$1:$O$91,15,0)),0,VLOOKUP($T$655,'TAR FIN'!$A$1:$O$91,15,0))</f>
        <v>223.59</v>
      </c>
      <c r="X655" s="4">
        <f>IF(ISERROR(VLOOKUP($U$655,'TAR FIN'!$A$1:$O$91,15,0)),0,VLOOKUP($U$655,'TAR FIN'!$A$1:$O$91,15,0))</f>
        <v>109.47</v>
      </c>
      <c r="Y655" s="4"/>
      <c r="Z655" s="4">
        <f ca="1">('TUSD BE'!$AM$53+'TUSD BF_350'!$AM$53+'TUSD CVA'!$AM$53)*1</f>
        <v>245.31248945535623</v>
      </c>
      <c r="AA655" s="4">
        <f ca="1">('TE BE'!$AB$44+'TE BF_350'!$AB$44+'TE CVA'!$AB$44)*1</f>
        <v>113.03781427108197</v>
      </c>
      <c r="AB655" s="4">
        <f>$K$655*$V$655</f>
        <v>0</v>
      </c>
      <c r="AC655" s="4">
        <f>$M$655*$W$655</f>
        <v>81583.519199999995</v>
      </c>
      <c r="AD655" s="4">
        <f>$O$655*$X$655</f>
        <v>39943.4136</v>
      </c>
      <c r="AE655" s="4">
        <f>$K$655*$Y$655</f>
        <v>0</v>
      </c>
      <c r="AF655" s="4">
        <f ca="1">$M$655*$Z$655</f>
        <v>89509.621152470383</v>
      </c>
      <c r="AG655" s="4">
        <f ca="1">$O$655*$AA$655</f>
        <v>41245.237671232389</v>
      </c>
    </row>
    <row r="656" spans="1:33" ht="11.25" customHeight="1" x14ac:dyDescent="0.3">
      <c r="A656" s="3" t="s">
        <v>21</v>
      </c>
      <c r="B656" s="3" t="s">
        <v>45</v>
      </c>
      <c r="C656" s="3" t="s">
        <v>23</v>
      </c>
      <c r="D656" s="3" t="s">
        <v>46</v>
      </c>
      <c r="E656" s="3" t="s">
        <v>47</v>
      </c>
      <c r="F656" s="3" t="s">
        <v>25</v>
      </c>
      <c r="G656" s="3" t="s">
        <v>25</v>
      </c>
      <c r="H656" s="3" t="s">
        <v>25</v>
      </c>
      <c r="I656" s="6">
        <v>44409</v>
      </c>
      <c r="J656" s="4">
        <v>0</v>
      </c>
      <c r="K656" s="4">
        <v>0</v>
      </c>
      <c r="L656" s="4">
        <v>368.59399999999999</v>
      </c>
      <c r="M656" s="4">
        <v>368.59399999999999</v>
      </c>
      <c r="N656" s="4">
        <v>368.59399999999999</v>
      </c>
      <c r="O656" s="4">
        <v>368.59399999999999</v>
      </c>
      <c r="P656" s="4">
        <v>24</v>
      </c>
      <c r="Q656" s="3" t="s">
        <v>26</v>
      </c>
      <c r="R656" s="3">
        <v>0</v>
      </c>
      <c r="S656" s="4">
        <v>0</v>
      </c>
      <c r="T656" s="4">
        <v>49</v>
      </c>
      <c r="U656" s="4">
        <v>89</v>
      </c>
      <c r="V656" s="4">
        <f>IF(ISERROR(VLOOKUP($S$656,'TAR FIN'!$A$1:$O$91,15,0)),0,VLOOKUP($S$656,'TAR FIN'!$A$1:$O$91,15,0))</f>
        <v>0</v>
      </c>
      <c r="W656" s="4">
        <f>IF(ISERROR(VLOOKUP($T$656,'TAR FIN'!$A$1:$O$91,15,0)),0,VLOOKUP($T$656,'TAR FIN'!$A$1:$O$91,15,0))</f>
        <v>223.59</v>
      </c>
      <c r="X656" s="4">
        <f>IF(ISERROR(VLOOKUP($U$656,'TAR FIN'!$A$1:$O$91,15,0)),0,VLOOKUP($U$656,'TAR FIN'!$A$1:$O$91,15,0))</f>
        <v>109.47</v>
      </c>
      <c r="Y656" s="4"/>
      <c r="Z656" s="4">
        <f ca="1">('TUSD BE'!$AM$53+'TUSD BF_350'!$AM$53+'TUSD CVA'!$AM$53)*1</f>
        <v>245.31248945535623</v>
      </c>
      <c r="AA656" s="4">
        <f ca="1">('TE BE'!$AB$44+'TE BF_350'!$AB$44+'TE CVA'!$AB$44)*1</f>
        <v>113.03781427108197</v>
      </c>
      <c r="AB656" s="4">
        <f>$K$656*$V$656</f>
        <v>0</v>
      </c>
      <c r="AC656" s="4">
        <f>$M$656*$W$656</f>
        <v>82413.932459999996</v>
      </c>
      <c r="AD656" s="4">
        <f>$O$656*$X$656</f>
        <v>40349.985179999996</v>
      </c>
      <c r="AE656" s="4">
        <f>$K$656*$Y$656</f>
        <v>0</v>
      </c>
      <c r="AF656" s="4">
        <f ca="1">$M$656*$Z$656</f>
        <v>90420.711738307567</v>
      </c>
      <c r="AG656" s="4">
        <f ca="1">$O$656*$AA$656</f>
        <v>41665.060113435189</v>
      </c>
    </row>
    <row r="657" spans="1:33" ht="11.25" customHeight="1" x14ac:dyDescent="0.3">
      <c r="A657" s="3" t="s">
        <v>21</v>
      </c>
      <c r="B657" s="3" t="s">
        <v>45</v>
      </c>
      <c r="C657" s="3" t="s">
        <v>23</v>
      </c>
      <c r="D657" s="3" t="s">
        <v>46</v>
      </c>
      <c r="E657" s="3" t="s">
        <v>47</v>
      </c>
      <c r="F657" s="3" t="s">
        <v>25</v>
      </c>
      <c r="G657" s="3" t="s">
        <v>25</v>
      </c>
      <c r="H657" s="3" t="s">
        <v>25</v>
      </c>
      <c r="I657" s="6">
        <v>44440</v>
      </c>
      <c r="J657" s="4">
        <v>0</v>
      </c>
      <c r="K657" s="4">
        <v>0</v>
      </c>
      <c r="L657" s="4">
        <v>356.62299999999999</v>
      </c>
      <c r="M657" s="4">
        <v>356.62299999999999</v>
      </c>
      <c r="N657" s="4">
        <v>356.62299999999999</v>
      </c>
      <c r="O657" s="4">
        <v>356.62299999999999</v>
      </c>
      <c r="P657" s="4">
        <v>24</v>
      </c>
      <c r="Q657" s="3" t="s">
        <v>26</v>
      </c>
      <c r="R657" s="3">
        <v>0</v>
      </c>
      <c r="S657" s="4">
        <v>0</v>
      </c>
      <c r="T657" s="4">
        <v>49</v>
      </c>
      <c r="U657" s="4">
        <v>89</v>
      </c>
      <c r="V657" s="4">
        <f>IF(ISERROR(VLOOKUP($S$657,'TAR FIN'!$A$1:$O$91,15,0)),0,VLOOKUP($S$657,'TAR FIN'!$A$1:$O$91,15,0))</f>
        <v>0</v>
      </c>
      <c r="W657" s="4">
        <f>IF(ISERROR(VLOOKUP($T$657,'TAR FIN'!$A$1:$O$91,15,0)),0,VLOOKUP($T$657,'TAR FIN'!$A$1:$O$91,15,0))</f>
        <v>223.59</v>
      </c>
      <c r="X657" s="4">
        <f>IF(ISERROR(VLOOKUP($U$657,'TAR FIN'!$A$1:$O$91,15,0)),0,VLOOKUP($U$657,'TAR FIN'!$A$1:$O$91,15,0))</f>
        <v>109.47</v>
      </c>
      <c r="Y657" s="4"/>
      <c r="Z657" s="4">
        <f ca="1">('TUSD BE'!$AM$53+'TUSD BF_350'!$AM$53+'TUSD CVA'!$AM$53)*1</f>
        <v>245.31248945535623</v>
      </c>
      <c r="AA657" s="4">
        <f ca="1">('TE BE'!$AB$44+'TE BF_350'!$AB$44+'TE CVA'!$AB$44)*1</f>
        <v>113.03781427108197</v>
      </c>
      <c r="AB657" s="4">
        <f>$K$657*$V$657</f>
        <v>0</v>
      </c>
      <c r="AC657" s="4">
        <f>$M$657*$W$657</f>
        <v>79737.336569999999</v>
      </c>
      <c r="AD657" s="4">
        <f>$O$657*$X$657</f>
        <v>39039.519809999998</v>
      </c>
      <c r="AE657" s="4">
        <f>$K$657*$Y$657</f>
        <v>0</v>
      </c>
      <c r="AF657" s="4">
        <f ca="1">$M$657*$Z$657</f>
        <v>87484.075927037498</v>
      </c>
      <c r="AG657" s="4">
        <f ca="1">$O$657*$AA$657</f>
        <v>40311.884438796063</v>
      </c>
    </row>
    <row r="658" spans="1:33" ht="11.25" customHeight="1" x14ac:dyDescent="0.3">
      <c r="A658" s="3" t="s">
        <v>21</v>
      </c>
      <c r="B658" s="3" t="s">
        <v>45</v>
      </c>
      <c r="C658" s="3" t="s">
        <v>23</v>
      </c>
      <c r="D658" s="3" t="s">
        <v>46</v>
      </c>
      <c r="E658" s="3" t="s">
        <v>47</v>
      </c>
      <c r="F658" s="3" t="s">
        <v>25</v>
      </c>
      <c r="G658" s="3" t="s">
        <v>25</v>
      </c>
      <c r="H658" s="3" t="s">
        <v>25</v>
      </c>
      <c r="I658" s="6">
        <v>44470</v>
      </c>
      <c r="J658" s="4">
        <v>0</v>
      </c>
      <c r="K658" s="4">
        <v>0</v>
      </c>
      <c r="L658" s="4">
        <v>364.07400000000001</v>
      </c>
      <c r="M658" s="4">
        <v>364.07400000000001</v>
      </c>
      <c r="N658" s="4">
        <v>364.07400000000001</v>
      </c>
      <c r="O658" s="4">
        <v>364.07400000000001</v>
      </c>
      <c r="P658" s="4">
        <v>24</v>
      </c>
      <c r="Q658" s="3" t="s">
        <v>26</v>
      </c>
      <c r="R658" s="3">
        <v>0</v>
      </c>
      <c r="S658" s="4">
        <v>0</v>
      </c>
      <c r="T658" s="4">
        <v>49</v>
      </c>
      <c r="U658" s="4">
        <v>89</v>
      </c>
      <c r="V658" s="4">
        <f>IF(ISERROR(VLOOKUP($S$658,'TAR FIN'!$A$1:$O$91,15,0)),0,VLOOKUP($S$658,'TAR FIN'!$A$1:$O$91,15,0))</f>
        <v>0</v>
      </c>
      <c r="W658" s="4">
        <f>IF(ISERROR(VLOOKUP($T$658,'TAR FIN'!$A$1:$O$91,15,0)),0,VLOOKUP($T$658,'TAR FIN'!$A$1:$O$91,15,0))</f>
        <v>223.59</v>
      </c>
      <c r="X658" s="4">
        <f>IF(ISERROR(VLOOKUP($U$658,'TAR FIN'!$A$1:$O$91,15,0)),0,VLOOKUP($U$658,'TAR FIN'!$A$1:$O$91,15,0))</f>
        <v>109.47</v>
      </c>
      <c r="Y658" s="4"/>
      <c r="Z658" s="4">
        <f ca="1">('TUSD BE'!$AM$53+'TUSD BF_350'!$AM$53+'TUSD CVA'!$AM$53)*1</f>
        <v>245.31248945535623</v>
      </c>
      <c r="AA658" s="4">
        <f ca="1">('TE BE'!$AB$44+'TE BF_350'!$AB$44+'TE CVA'!$AB$44)*1</f>
        <v>113.03781427108197</v>
      </c>
      <c r="AB658" s="4">
        <f>$K$658*$V$658</f>
        <v>0</v>
      </c>
      <c r="AC658" s="4">
        <f>$M$658*$W$658</f>
        <v>81403.305659999998</v>
      </c>
      <c r="AD658" s="4">
        <f>$O$658*$X$658</f>
        <v>39855.180780000002</v>
      </c>
      <c r="AE658" s="4">
        <f>$K$658*$Y$658</f>
        <v>0</v>
      </c>
      <c r="AF658" s="4">
        <f ca="1">$M$658*$Z$658</f>
        <v>89311.899285969368</v>
      </c>
      <c r="AG658" s="4">
        <f ca="1">$O$658*$AA$658</f>
        <v>41154.129192929897</v>
      </c>
    </row>
    <row r="659" spans="1:33" ht="11.25" customHeight="1" x14ac:dyDescent="0.3">
      <c r="A659" s="3" t="s">
        <v>21</v>
      </c>
      <c r="B659" s="3" t="s">
        <v>45</v>
      </c>
      <c r="C659" s="3" t="s">
        <v>23</v>
      </c>
      <c r="D659" s="3" t="s">
        <v>46</v>
      </c>
      <c r="E659" s="3" t="s">
        <v>47</v>
      </c>
      <c r="F659" s="3" t="s">
        <v>25</v>
      </c>
      <c r="G659" s="3" t="s">
        <v>25</v>
      </c>
      <c r="H659" s="3" t="s">
        <v>25</v>
      </c>
      <c r="I659" s="6">
        <v>44501</v>
      </c>
      <c r="J659" s="4">
        <v>0</v>
      </c>
      <c r="K659" s="4">
        <v>0</v>
      </c>
      <c r="L659" s="4">
        <v>351.61599999999999</v>
      </c>
      <c r="M659" s="4">
        <v>351.61599999999999</v>
      </c>
      <c r="N659" s="4">
        <v>351.61599999999999</v>
      </c>
      <c r="O659" s="4">
        <v>351.61599999999999</v>
      </c>
      <c r="P659" s="4">
        <v>24</v>
      </c>
      <c r="Q659" s="3" t="s">
        <v>26</v>
      </c>
      <c r="R659" s="3">
        <v>0</v>
      </c>
      <c r="S659" s="4">
        <v>0</v>
      </c>
      <c r="T659" s="4">
        <v>49</v>
      </c>
      <c r="U659" s="4">
        <v>89</v>
      </c>
      <c r="V659" s="4">
        <f>IF(ISERROR(VLOOKUP($S$659,'TAR FIN'!$A$1:$O$91,15,0)),0,VLOOKUP($S$659,'TAR FIN'!$A$1:$O$91,15,0))</f>
        <v>0</v>
      </c>
      <c r="W659" s="4">
        <f>IF(ISERROR(VLOOKUP($T$659,'TAR FIN'!$A$1:$O$91,15,0)),0,VLOOKUP($T$659,'TAR FIN'!$A$1:$O$91,15,0))</f>
        <v>223.59</v>
      </c>
      <c r="X659" s="4">
        <f>IF(ISERROR(VLOOKUP($U$659,'TAR FIN'!$A$1:$O$91,15,0)),0,VLOOKUP($U$659,'TAR FIN'!$A$1:$O$91,15,0))</f>
        <v>109.47</v>
      </c>
      <c r="Y659" s="4"/>
      <c r="Z659" s="4">
        <f ca="1">('TUSD BE'!$AM$53+'TUSD BF_350'!$AM$53+'TUSD CVA'!$AM$53)*1</f>
        <v>245.31248945535623</v>
      </c>
      <c r="AA659" s="4">
        <f ca="1">('TE BE'!$AB$44+'TE BF_350'!$AB$44+'TE CVA'!$AB$44)*1</f>
        <v>113.03781427108197</v>
      </c>
      <c r="AB659" s="4">
        <f>$K$659*$V$659</f>
        <v>0</v>
      </c>
      <c r="AC659" s="4">
        <f>$M$659*$W$659</f>
        <v>78617.82144</v>
      </c>
      <c r="AD659" s="4">
        <f>$O$659*$X$659</f>
        <v>38491.40352</v>
      </c>
      <c r="AE659" s="4">
        <f>$K$659*$Y$659</f>
        <v>0</v>
      </c>
      <c r="AF659" s="4">
        <f ca="1">$M$659*$Z$659</f>
        <v>86255.796292334533</v>
      </c>
      <c r="AG659" s="4">
        <f ca="1">$O$659*$AA$659</f>
        <v>39745.904102740758</v>
      </c>
    </row>
    <row r="660" spans="1:33" ht="11.25" customHeight="1" x14ac:dyDescent="0.3">
      <c r="A660" s="3" t="s">
        <v>21</v>
      </c>
      <c r="B660" s="3" t="s">
        <v>45</v>
      </c>
      <c r="C660" s="3" t="s">
        <v>23</v>
      </c>
      <c r="D660" s="3" t="s">
        <v>46</v>
      </c>
      <c r="E660" s="3" t="s">
        <v>47</v>
      </c>
      <c r="F660" s="3" t="s">
        <v>25</v>
      </c>
      <c r="G660" s="3" t="s">
        <v>25</v>
      </c>
      <c r="H660" s="3" t="s">
        <v>25</v>
      </c>
      <c r="I660" s="6">
        <v>44531</v>
      </c>
      <c r="J660" s="4">
        <v>0</v>
      </c>
      <c r="K660" s="4">
        <v>0</v>
      </c>
      <c r="L660" s="4">
        <v>362.399</v>
      </c>
      <c r="M660" s="4">
        <v>362.399</v>
      </c>
      <c r="N660" s="4">
        <v>362.399</v>
      </c>
      <c r="O660" s="4">
        <v>362.399</v>
      </c>
      <c r="P660" s="4">
        <v>24</v>
      </c>
      <c r="Q660" s="3" t="s">
        <v>26</v>
      </c>
      <c r="R660" s="3">
        <v>0</v>
      </c>
      <c r="S660" s="4">
        <v>0</v>
      </c>
      <c r="T660" s="4">
        <v>49</v>
      </c>
      <c r="U660" s="4">
        <v>89</v>
      </c>
      <c r="V660" s="4">
        <f>IF(ISERROR(VLOOKUP($S$660,'TAR FIN'!$A$1:$O$91,15,0)),0,VLOOKUP($S$660,'TAR FIN'!$A$1:$O$91,15,0))</f>
        <v>0</v>
      </c>
      <c r="W660" s="4">
        <f>IF(ISERROR(VLOOKUP($T$660,'TAR FIN'!$A$1:$O$91,15,0)),0,VLOOKUP($T$660,'TAR FIN'!$A$1:$O$91,15,0))</f>
        <v>223.59</v>
      </c>
      <c r="X660" s="4">
        <f>IF(ISERROR(VLOOKUP($U$660,'TAR FIN'!$A$1:$O$91,15,0)),0,VLOOKUP($U$660,'TAR FIN'!$A$1:$O$91,15,0))</f>
        <v>109.47</v>
      </c>
      <c r="Y660" s="4"/>
      <c r="Z660" s="4">
        <f ca="1">('TUSD BE'!$AM$53+'TUSD BF_350'!$AM$53+'TUSD CVA'!$AM$53)*1</f>
        <v>245.31248945535623</v>
      </c>
      <c r="AA660" s="4">
        <f ca="1">('TE BE'!$AB$44+'TE BF_350'!$AB$44+'TE CVA'!$AB$44)*1</f>
        <v>113.03781427108197</v>
      </c>
      <c r="AB660" s="4">
        <f>$K$660*$V$660</f>
        <v>0</v>
      </c>
      <c r="AC660" s="4">
        <f>$M$660*$W$660</f>
        <v>81028.792409999995</v>
      </c>
      <c r="AD660" s="4">
        <f>$O$660*$X$660</f>
        <v>39671.818529999997</v>
      </c>
      <c r="AE660" s="4">
        <f>$K$660*$Y$660</f>
        <v>0</v>
      </c>
      <c r="AF660" s="4">
        <f ca="1">$M$660*$Z$660</f>
        <v>88901.000866131639</v>
      </c>
      <c r="AG660" s="4">
        <f ca="1">$O$660*$AA$660</f>
        <v>40964.790854025836</v>
      </c>
    </row>
    <row r="661" spans="1:33" ht="11.25" customHeight="1" x14ac:dyDescent="0.3">
      <c r="A661" s="3" t="s">
        <v>21</v>
      </c>
      <c r="B661" s="3" t="s">
        <v>45</v>
      </c>
      <c r="C661" s="3" t="s">
        <v>23</v>
      </c>
      <c r="D661" s="3" t="s">
        <v>46</v>
      </c>
      <c r="E661" s="3" t="s">
        <v>47</v>
      </c>
      <c r="F661" s="3" t="s">
        <v>25</v>
      </c>
      <c r="G661" s="3" t="s">
        <v>25</v>
      </c>
      <c r="H661" s="3" t="s">
        <v>25</v>
      </c>
      <c r="I661" s="6">
        <v>44562</v>
      </c>
      <c r="J661" s="4">
        <v>0</v>
      </c>
      <c r="K661" s="4">
        <v>0</v>
      </c>
      <c r="L661" s="4">
        <v>362.43400000000003</v>
      </c>
      <c r="M661" s="4">
        <v>362.43400000000003</v>
      </c>
      <c r="N661" s="4">
        <v>362.43400000000003</v>
      </c>
      <c r="O661" s="4">
        <v>362.43400000000003</v>
      </c>
      <c r="P661" s="4">
        <v>24</v>
      </c>
      <c r="Q661" s="3" t="s">
        <v>26</v>
      </c>
      <c r="R661" s="3">
        <v>0</v>
      </c>
      <c r="S661" s="4">
        <v>0</v>
      </c>
      <c r="T661" s="4">
        <v>49</v>
      </c>
      <c r="U661" s="4">
        <v>89</v>
      </c>
      <c r="V661" s="4">
        <f>IF(ISERROR(VLOOKUP($S$661,'TAR FIN'!$A$1:$O$91,15,0)),0,VLOOKUP($S$661,'TAR FIN'!$A$1:$O$91,15,0))</f>
        <v>0</v>
      </c>
      <c r="W661" s="4">
        <f>IF(ISERROR(VLOOKUP($T$661,'TAR FIN'!$A$1:$O$91,15,0)),0,VLOOKUP($T$661,'TAR FIN'!$A$1:$O$91,15,0))</f>
        <v>223.59</v>
      </c>
      <c r="X661" s="4">
        <f>IF(ISERROR(VLOOKUP($U$661,'TAR FIN'!$A$1:$O$91,15,0)),0,VLOOKUP($U$661,'TAR FIN'!$A$1:$O$91,15,0))</f>
        <v>109.47</v>
      </c>
      <c r="Y661" s="4"/>
      <c r="Z661" s="4">
        <f ca="1">('TUSD BE'!$AM$53+'TUSD BF_350'!$AM$53+'TUSD CVA'!$AM$53)*1</f>
        <v>245.31248945535623</v>
      </c>
      <c r="AA661" s="4">
        <f ca="1">('TE BE'!$AB$44+'TE BF_350'!$AB$44+'TE CVA'!$AB$44)*1</f>
        <v>113.03781427108197</v>
      </c>
      <c r="AB661" s="4">
        <f>$K$661*$V$661</f>
        <v>0</v>
      </c>
      <c r="AC661" s="4">
        <f>$M$661*$W$661</f>
        <v>81036.618060000008</v>
      </c>
      <c r="AD661" s="4">
        <f>$O$661*$X$661</f>
        <v>39675.649980000002</v>
      </c>
      <c r="AE661" s="4">
        <f>$K$661*$Y$661</f>
        <v>0</v>
      </c>
      <c r="AF661" s="4">
        <f ca="1">$M$661*$Z$661</f>
        <v>88909.586803262588</v>
      </c>
      <c r="AG661" s="4">
        <f ca="1">$O$661*$AA$661</f>
        <v>40968.747177525329</v>
      </c>
    </row>
    <row r="662" spans="1:33" ht="11.25" customHeight="1" x14ac:dyDescent="0.3">
      <c r="A662" s="3" t="s">
        <v>21</v>
      </c>
      <c r="B662" s="3" t="s">
        <v>45</v>
      </c>
      <c r="C662" s="3" t="s">
        <v>23</v>
      </c>
      <c r="D662" s="3" t="s">
        <v>46</v>
      </c>
      <c r="E662" s="3" t="s">
        <v>47</v>
      </c>
      <c r="F662" s="3" t="s">
        <v>25</v>
      </c>
      <c r="G662" s="3" t="s">
        <v>25</v>
      </c>
      <c r="H662" s="3" t="s">
        <v>25</v>
      </c>
      <c r="I662" s="6">
        <v>44593</v>
      </c>
      <c r="J662" s="4">
        <v>0</v>
      </c>
      <c r="K662" s="4">
        <v>0</v>
      </c>
      <c r="L662" s="4">
        <v>329.58800000000002</v>
      </c>
      <c r="M662" s="4">
        <v>329.58800000000002</v>
      </c>
      <c r="N662" s="4">
        <v>329.58800000000002</v>
      </c>
      <c r="O662" s="4">
        <v>329.58800000000002</v>
      </c>
      <c r="P662" s="4">
        <v>24</v>
      </c>
      <c r="Q662" s="3" t="s">
        <v>26</v>
      </c>
      <c r="R662" s="3">
        <v>0</v>
      </c>
      <c r="S662" s="4">
        <v>0</v>
      </c>
      <c r="T662" s="4">
        <v>49</v>
      </c>
      <c r="U662" s="4">
        <v>89</v>
      </c>
      <c r="V662" s="4">
        <f>IF(ISERROR(VLOOKUP($S$662,'TAR FIN'!$A$1:$O$91,15,0)),0,VLOOKUP($S$662,'TAR FIN'!$A$1:$O$91,15,0))</f>
        <v>0</v>
      </c>
      <c r="W662" s="4">
        <f>IF(ISERROR(VLOOKUP($T$662,'TAR FIN'!$A$1:$O$91,15,0)),0,VLOOKUP($T$662,'TAR FIN'!$A$1:$O$91,15,0))</f>
        <v>223.59</v>
      </c>
      <c r="X662" s="4">
        <f>IF(ISERROR(VLOOKUP($U$662,'TAR FIN'!$A$1:$O$91,15,0)),0,VLOOKUP($U$662,'TAR FIN'!$A$1:$O$91,15,0))</f>
        <v>109.47</v>
      </c>
      <c r="Y662" s="4"/>
      <c r="Z662" s="4">
        <f ca="1">('TUSD BE'!$AM$53+'TUSD BF_350'!$AM$53+'TUSD CVA'!$AM$53)*1</f>
        <v>245.31248945535623</v>
      </c>
      <c r="AA662" s="4">
        <f ca="1">('TE BE'!$AB$44+'TE BF_350'!$AB$44+'TE CVA'!$AB$44)*1</f>
        <v>113.03781427108197</v>
      </c>
      <c r="AB662" s="4">
        <f>$K$662*$V$662</f>
        <v>0</v>
      </c>
      <c r="AC662" s="4">
        <f>$M$662*$W$662</f>
        <v>73692.580920000008</v>
      </c>
      <c r="AD662" s="4">
        <f>$O$662*$X$662</f>
        <v>36079.998360000005</v>
      </c>
      <c r="AE662" s="4">
        <f>$K$662*$Y$662</f>
        <v>0</v>
      </c>
      <c r="AF662" s="4">
        <f ca="1">$M$662*$Z$662</f>
        <v>80852.052774611948</v>
      </c>
      <c r="AG662" s="4">
        <f ca="1">$O$662*$AA$662</f>
        <v>37255.907129977364</v>
      </c>
    </row>
    <row r="663" spans="1:33" ht="11.25" customHeight="1" x14ac:dyDescent="0.3">
      <c r="A663" s="3" t="s">
        <v>21</v>
      </c>
      <c r="B663" s="3" t="s">
        <v>45</v>
      </c>
      <c r="C663" s="3" t="s">
        <v>23</v>
      </c>
      <c r="D663" s="3" t="s">
        <v>46</v>
      </c>
      <c r="E663" s="3" t="s">
        <v>47</v>
      </c>
      <c r="F663" s="3" t="s">
        <v>25</v>
      </c>
      <c r="G663" s="3" t="s">
        <v>25</v>
      </c>
      <c r="H663" s="3" t="s">
        <v>25</v>
      </c>
      <c r="I663" s="6">
        <v>44621</v>
      </c>
      <c r="J663" s="4">
        <v>0</v>
      </c>
      <c r="K663" s="4">
        <v>0</v>
      </c>
      <c r="L663" s="4">
        <v>379.38499999999999</v>
      </c>
      <c r="M663" s="4">
        <v>379.38499999999999</v>
      </c>
      <c r="N663" s="4">
        <v>379.38499999999999</v>
      </c>
      <c r="O663" s="4">
        <v>379.38499999999999</v>
      </c>
      <c r="P663" s="4">
        <v>24</v>
      </c>
      <c r="Q663" s="3" t="s">
        <v>26</v>
      </c>
      <c r="R663" s="3">
        <v>0</v>
      </c>
      <c r="S663" s="4">
        <v>0</v>
      </c>
      <c r="T663" s="4">
        <v>49</v>
      </c>
      <c r="U663" s="4">
        <v>89</v>
      </c>
      <c r="V663" s="4">
        <f>IF(ISERROR(VLOOKUP($S$663,'TAR FIN'!$A$1:$O$91,15,0)),0,VLOOKUP($S$663,'TAR FIN'!$A$1:$O$91,15,0))</f>
        <v>0</v>
      </c>
      <c r="W663" s="4">
        <f>IF(ISERROR(VLOOKUP($T$663,'TAR FIN'!$A$1:$O$91,15,0)),0,VLOOKUP($T$663,'TAR FIN'!$A$1:$O$91,15,0))</f>
        <v>223.59</v>
      </c>
      <c r="X663" s="4">
        <f>IF(ISERROR(VLOOKUP($U$663,'TAR FIN'!$A$1:$O$91,15,0)),0,VLOOKUP($U$663,'TAR FIN'!$A$1:$O$91,15,0))</f>
        <v>109.47</v>
      </c>
      <c r="Y663" s="4"/>
      <c r="Z663" s="4">
        <f ca="1">('TUSD BE'!$AM$53+'TUSD BF_350'!$AM$53+'TUSD CVA'!$AM$53)*1</f>
        <v>245.31248945535623</v>
      </c>
      <c r="AA663" s="4">
        <f ca="1">('TE BE'!$AB$44+'TE BF_350'!$AB$44+'TE CVA'!$AB$44)*1</f>
        <v>113.03781427108197</v>
      </c>
      <c r="AB663" s="4">
        <f>$K$663*$V$663</f>
        <v>0</v>
      </c>
      <c r="AC663" s="4">
        <f>$M$663*$W$663</f>
        <v>84826.692150000003</v>
      </c>
      <c r="AD663" s="4">
        <f>$O$663*$X$663</f>
        <v>41531.275949999996</v>
      </c>
      <c r="AE663" s="4">
        <f>$K$663*$Y$663</f>
        <v>0</v>
      </c>
      <c r="AF663" s="4">
        <f ca="1">$M$663*$Z$663</f>
        <v>93067.878812020324</v>
      </c>
      <c r="AG663" s="4">
        <f ca="1">$O$663*$AA$663</f>
        <v>42884.851167234432</v>
      </c>
    </row>
    <row r="664" spans="1:33" ht="11.25" customHeight="1" x14ac:dyDescent="0.3">
      <c r="A664" s="3" t="s">
        <v>27</v>
      </c>
      <c r="B664" s="3" t="s">
        <v>45</v>
      </c>
      <c r="C664" s="3" t="s">
        <v>23</v>
      </c>
      <c r="D664" s="3" t="s">
        <v>46</v>
      </c>
      <c r="E664" s="3" t="s">
        <v>47</v>
      </c>
      <c r="F664" s="3" t="s">
        <v>25</v>
      </c>
      <c r="G664" s="3" t="s">
        <v>25</v>
      </c>
      <c r="H664" s="3" t="s">
        <v>25</v>
      </c>
      <c r="I664" s="6">
        <v>44621</v>
      </c>
      <c r="J664" s="4">
        <v>0</v>
      </c>
      <c r="K664" s="4">
        <v>0</v>
      </c>
      <c r="L664" s="4">
        <v>4.008</v>
      </c>
      <c r="M664" s="4">
        <v>4.008</v>
      </c>
      <c r="N664" s="4">
        <v>4.008</v>
      </c>
      <c r="O664" s="4">
        <v>4.008</v>
      </c>
      <c r="P664" s="4">
        <v>0</v>
      </c>
      <c r="Q664" s="3" t="s">
        <v>26</v>
      </c>
      <c r="R664" s="3">
        <v>0</v>
      </c>
      <c r="S664" s="4">
        <v>0</v>
      </c>
      <c r="T664" s="4">
        <v>49</v>
      </c>
      <c r="U664" s="4">
        <v>89</v>
      </c>
      <c r="V664" s="4">
        <f>IF(ISERROR(VLOOKUP($S$664,'TAR FIN'!$A$1:$O$91,15,0)),0,VLOOKUP($S$664,'TAR FIN'!$A$1:$O$91,15,0))</f>
        <v>0</v>
      </c>
      <c r="W664" s="4">
        <f>IF(ISERROR(VLOOKUP($T$664,'TAR FIN'!$A$1:$O$91,15,0)),0,VLOOKUP($T$664,'TAR FIN'!$A$1:$O$91,15,0))</f>
        <v>223.59</v>
      </c>
      <c r="X664" s="4">
        <f>IF(ISERROR(VLOOKUP($U$664,'TAR FIN'!$A$1:$O$91,15,0)),0,VLOOKUP($U$664,'TAR FIN'!$A$1:$O$91,15,0))</f>
        <v>109.47</v>
      </c>
      <c r="Y664" s="4"/>
      <c r="Z664" s="4">
        <f ca="1">('TUSD BE'!$AM$53+'TUSD BF_350'!$AM$53+'TUSD CVA'!$AM$53)*1</f>
        <v>245.31248945535623</v>
      </c>
      <c r="AA664" s="4">
        <f ca="1">('TE BE'!$AB$44+'TE BF_350'!$AB$44+'TE CVA'!$AB$44)*1</f>
        <v>113.03781427108197</v>
      </c>
      <c r="AB664" s="4">
        <f>$K$664*$V$664</f>
        <v>0</v>
      </c>
      <c r="AC664" s="4">
        <f>$M$664*$W$664</f>
        <v>896.14872000000003</v>
      </c>
      <c r="AD664" s="4">
        <f>$O$664*$X$664</f>
        <v>438.75576000000001</v>
      </c>
      <c r="AE664" s="4">
        <f>$K$664*$Y$664</f>
        <v>0</v>
      </c>
      <c r="AF664" s="4">
        <f ca="1">$M$664*$Z$664</f>
        <v>983.21245773706778</v>
      </c>
      <c r="AG664" s="4">
        <f ca="1">$O$664*$AA$664</f>
        <v>453.05555959849653</v>
      </c>
    </row>
    <row r="665" spans="1:33" ht="11.25" customHeight="1" x14ac:dyDescent="0.3">
      <c r="A665" s="3" t="s">
        <v>21</v>
      </c>
      <c r="B665" s="3" t="s">
        <v>45</v>
      </c>
      <c r="C665" s="3" t="s">
        <v>23</v>
      </c>
      <c r="D665" s="3" t="s">
        <v>46</v>
      </c>
      <c r="E665" s="3" t="s">
        <v>47</v>
      </c>
      <c r="F665" s="3" t="s">
        <v>25</v>
      </c>
      <c r="G665" s="3" t="s">
        <v>25</v>
      </c>
      <c r="H665" s="3" t="s">
        <v>25</v>
      </c>
      <c r="I665" s="6">
        <v>44652</v>
      </c>
      <c r="J665" s="4">
        <v>0</v>
      </c>
      <c r="K665" s="4">
        <v>0</v>
      </c>
      <c r="L665" s="4">
        <v>368.34699999999998</v>
      </c>
      <c r="M665" s="4">
        <v>368.34699999999998</v>
      </c>
      <c r="N665" s="4">
        <v>368.34699999999998</v>
      </c>
      <c r="O665" s="4">
        <v>368.34699999999998</v>
      </c>
      <c r="P665" s="4">
        <v>24</v>
      </c>
      <c r="Q665" s="3" t="s">
        <v>26</v>
      </c>
      <c r="R665" s="3">
        <v>0</v>
      </c>
      <c r="S665" s="4">
        <v>0</v>
      </c>
      <c r="T665" s="4">
        <v>49</v>
      </c>
      <c r="U665" s="4">
        <v>89</v>
      </c>
      <c r="V665" s="4">
        <f>IF(ISERROR(VLOOKUP($S$665,'TAR FIN'!$A$1:$O$91,15,0)),0,VLOOKUP($S$665,'TAR FIN'!$A$1:$O$91,15,0))</f>
        <v>0</v>
      </c>
      <c r="W665" s="4">
        <f>IF(ISERROR(VLOOKUP($T$665,'TAR FIN'!$A$1:$O$91,15,0)),0,VLOOKUP($T$665,'TAR FIN'!$A$1:$O$91,15,0))</f>
        <v>223.59</v>
      </c>
      <c r="X665" s="4">
        <f>IF(ISERROR(VLOOKUP($U$665,'TAR FIN'!$A$1:$O$91,15,0)),0,VLOOKUP($U$665,'TAR FIN'!$A$1:$O$91,15,0))</f>
        <v>109.47</v>
      </c>
      <c r="Y665" s="4"/>
      <c r="Z665" s="4">
        <f ca="1">('TUSD BE'!$AM$53+'TUSD BF_350'!$AM$53+'TUSD CVA'!$AM$53)*1</f>
        <v>245.31248945535623</v>
      </c>
      <c r="AA665" s="4">
        <f ca="1">('TE BE'!$AB$44+'TE BF_350'!$AB$44+'TE CVA'!$AB$44)*1</f>
        <v>113.03781427108197</v>
      </c>
      <c r="AB665" s="4">
        <f>$K$665*$V$665</f>
        <v>0</v>
      </c>
      <c r="AC665" s="4">
        <f>$M$665*$W$665</f>
        <v>82358.705730000001</v>
      </c>
      <c r="AD665" s="4">
        <f>$O$665*$X$665</f>
        <v>40322.946089999998</v>
      </c>
      <c r="AE665" s="4">
        <f>$K$665*$Y$665</f>
        <v>0</v>
      </c>
      <c r="AF665" s="4">
        <f ca="1">$M$665*$Z$665</f>
        <v>90360.119553412093</v>
      </c>
      <c r="AG665" s="4">
        <f ca="1">$O$665*$AA$665</f>
        <v>41637.139773310228</v>
      </c>
    </row>
    <row r="666" spans="1:33" ht="11.25" customHeight="1" x14ac:dyDescent="0.3">
      <c r="A666" s="3" t="s">
        <v>21</v>
      </c>
      <c r="B666" s="3" t="s">
        <v>45</v>
      </c>
      <c r="C666" s="3" t="s">
        <v>23</v>
      </c>
      <c r="D666" s="3" t="s">
        <v>46</v>
      </c>
      <c r="E666" s="3" t="s">
        <v>47</v>
      </c>
      <c r="F666" s="3" t="s">
        <v>25</v>
      </c>
      <c r="G666" s="3" t="s">
        <v>25</v>
      </c>
      <c r="H666" s="3" t="s">
        <v>25</v>
      </c>
      <c r="I666" s="6">
        <v>44682</v>
      </c>
      <c r="J666" s="4">
        <v>0</v>
      </c>
      <c r="K666" s="4">
        <v>0</v>
      </c>
      <c r="L666" s="4">
        <v>382.18</v>
      </c>
      <c r="M666" s="4">
        <v>382.18</v>
      </c>
      <c r="N666" s="4">
        <v>382.18</v>
      </c>
      <c r="O666" s="4">
        <v>382.18</v>
      </c>
      <c r="P666" s="4">
        <v>24</v>
      </c>
      <c r="Q666" s="3" t="s">
        <v>26</v>
      </c>
      <c r="R666" s="3">
        <v>0</v>
      </c>
      <c r="S666" s="4">
        <v>0</v>
      </c>
      <c r="T666" s="4">
        <v>49</v>
      </c>
      <c r="U666" s="4">
        <v>89</v>
      </c>
      <c r="V666" s="4">
        <f>IF(ISERROR(VLOOKUP($S$666,'TAR FIN'!$A$1:$O$91,15,0)),0,VLOOKUP($S$666,'TAR FIN'!$A$1:$O$91,15,0))</f>
        <v>0</v>
      </c>
      <c r="W666" s="4">
        <f>IF(ISERROR(VLOOKUP($T$666,'TAR FIN'!$A$1:$O$91,15,0)),0,VLOOKUP($T$666,'TAR FIN'!$A$1:$O$91,15,0))</f>
        <v>223.59</v>
      </c>
      <c r="X666" s="4">
        <f>IF(ISERROR(VLOOKUP($U$666,'TAR FIN'!$A$1:$O$91,15,0)),0,VLOOKUP($U$666,'TAR FIN'!$A$1:$O$91,15,0))</f>
        <v>109.47</v>
      </c>
      <c r="Y666" s="4"/>
      <c r="Z666" s="4">
        <f ca="1">('TUSD BE'!$AM$53+'TUSD BF_350'!$AM$53+'TUSD CVA'!$AM$53)*1</f>
        <v>245.31248945535623</v>
      </c>
      <c r="AA666" s="4">
        <f ca="1">('TE BE'!$AB$44+'TE BF_350'!$AB$44+'TE CVA'!$AB$44)*1</f>
        <v>113.03781427108197</v>
      </c>
      <c r="AB666" s="4">
        <f>$K$666*$V$666</f>
        <v>0</v>
      </c>
      <c r="AC666" s="4">
        <f>$M$666*$W$666</f>
        <v>85451.626199999999</v>
      </c>
      <c r="AD666" s="4">
        <f>$O$666*$X$666</f>
        <v>41837.244599999998</v>
      </c>
      <c r="AE666" s="4">
        <f>$K$666*$Y$666</f>
        <v>0</v>
      </c>
      <c r="AF666" s="4">
        <f ca="1">$M$666*$Z$666</f>
        <v>93753.527220048039</v>
      </c>
      <c r="AG666" s="4">
        <f ca="1">$O$666*$AA$666</f>
        <v>43200.791858122109</v>
      </c>
    </row>
    <row r="667" spans="1:33" ht="11.25" customHeight="1" x14ac:dyDescent="0.3">
      <c r="A667" s="3" t="s">
        <v>21</v>
      </c>
      <c r="B667" s="3" t="s">
        <v>45</v>
      </c>
      <c r="C667" s="3" t="s">
        <v>23</v>
      </c>
      <c r="D667" s="3" t="s">
        <v>46</v>
      </c>
      <c r="E667" s="3" t="s">
        <v>47</v>
      </c>
      <c r="F667" s="3" t="s">
        <v>25</v>
      </c>
      <c r="G667" s="3" t="s">
        <v>25</v>
      </c>
      <c r="H667" s="3" t="s">
        <v>25</v>
      </c>
      <c r="I667" s="6">
        <v>44713</v>
      </c>
      <c r="J667" s="4">
        <v>0</v>
      </c>
      <c r="K667" s="4">
        <v>0</v>
      </c>
      <c r="L667" s="4">
        <v>371.30099999999999</v>
      </c>
      <c r="M667" s="4">
        <v>371.30099999999999</v>
      </c>
      <c r="N667" s="4">
        <v>371.30099999999999</v>
      </c>
      <c r="O667" s="4">
        <v>371.30099999999999</v>
      </c>
      <c r="P667" s="4">
        <v>24</v>
      </c>
      <c r="Q667" s="3" t="s">
        <v>26</v>
      </c>
      <c r="R667" s="3">
        <v>0</v>
      </c>
      <c r="S667" s="4">
        <v>0</v>
      </c>
      <c r="T667" s="4">
        <v>49</v>
      </c>
      <c r="U667" s="4">
        <v>89</v>
      </c>
      <c r="V667" s="4">
        <f>IF(ISERROR(VLOOKUP($S$667,'TAR FIN'!$A$1:$O$91,15,0)),0,VLOOKUP($S$667,'TAR FIN'!$A$1:$O$91,15,0))</f>
        <v>0</v>
      </c>
      <c r="W667" s="4">
        <f>IF(ISERROR(VLOOKUP($T$667,'TAR FIN'!$A$1:$O$91,15,0)),0,VLOOKUP($T$667,'TAR FIN'!$A$1:$O$91,15,0))</f>
        <v>223.59</v>
      </c>
      <c r="X667" s="4">
        <f>IF(ISERROR(VLOOKUP($U$667,'TAR FIN'!$A$1:$O$91,15,0)),0,VLOOKUP($U$667,'TAR FIN'!$A$1:$O$91,15,0))</f>
        <v>109.47</v>
      </c>
      <c r="Y667" s="4"/>
      <c r="Z667" s="4">
        <f ca="1">('TUSD BE'!$AM$53+'TUSD BF_350'!$AM$53+'TUSD CVA'!$AM$53)*1</f>
        <v>245.31248945535623</v>
      </c>
      <c r="AA667" s="4">
        <f ca="1">('TE BE'!$AB$44+'TE BF_350'!$AB$44+'TE CVA'!$AB$44)*1</f>
        <v>113.03781427108197</v>
      </c>
      <c r="AB667" s="4">
        <f>$K$667*$V$667</f>
        <v>0</v>
      </c>
      <c r="AC667" s="4">
        <f>$M$667*$W$667</f>
        <v>83019.190589999998</v>
      </c>
      <c r="AD667" s="4">
        <f>$O$667*$X$667</f>
        <v>40646.320469999999</v>
      </c>
      <c r="AE667" s="4">
        <f>$K$667*$Y$667</f>
        <v>0</v>
      </c>
      <c r="AF667" s="4">
        <f ca="1">$M$667*$Z$667</f>
        <v>91084.77264726322</v>
      </c>
      <c r="AG667" s="4">
        <f ca="1">$O$667*$AA$667</f>
        <v>41971.053476667003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7C47-D85B-45F7-A357-7E6F18111907}">
  <sheetPr codeName="Planilha25">
    <tabColor indexed="12" tint="-0.249977111117893"/>
  </sheetPr>
  <dimension ref="B1:AB20"/>
  <sheetViews>
    <sheetView workbookViewId="0">
      <selection activeCell="I28" sqref="I28"/>
    </sheetView>
  </sheetViews>
  <sheetFormatPr defaultRowHeight="14.4" x14ac:dyDescent="0.3"/>
  <cols>
    <col min="2" max="2" width="15.88671875" bestFit="1" customWidth="1"/>
    <col min="3" max="3" width="11.6640625" bestFit="1" customWidth="1"/>
    <col min="4" max="4" width="13.33203125" bestFit="1" customWidth="1"/>
    <col min="5" max="5" width="11.109375" bestFit="1" customWidth="1"/>
    <col min="6" max="6" width="18.44140625" bestFit="1" customWidth="1"/>
    <col min="7" max="7" width="16.44140625" bestFit="1" customWidth="1"/>
    <col min="8" max="8" width="34" bestFit="1" customWidth="1"/>
    <col min="9" max="9" width="16.33203125" bestFit="1" customWidth="1"/>
    <col min="10" max="10" width="33.88671875" bestFit="1" customWidth="1"/>
    <col min="28" max="28" width="8" bestFit="1" customWidth="1"/>
  </cols>
  <sheetData>
    <row r="1" spans="2:28" x14ac:dyDescent="0.3">
      <c r="AA1" t="s">
        <v>1232</v>
      </c>
      <c r="AB1">
        <v>1000042</v>
      </c>
    </row>
    <row r="2" spans="2:28" x14ac:dyDescent="0.3">
      <c r="AA2" t="s">
        <v>1233</v>
      </c>
      <c r="AB2">
        <v>2022</v>
      </c>
    </row>
    <row r="3" spans="2:28" x14ac:dyDescent="0.3">
      <c r="AA3" t="s">
        <v>732</v>
      </c>
      <c r="AB3">
        <v>1</v>
      </c>
    </row>
    <row r="4" spans="2:28" ht="15" thickBot="1" x14ac:dyDescent="0.35">
      <c r="B4" s="32" t="s">
        <v>649</v>
      </c>
      <c r="C4" s="32" t="s">
        <v>66</v>
      </c>
      <c r="D4" s="32" t="s">
        <v>67</v>
      </c>
      <c r="E4" s="32" t="s">
        <v>72</v>
      </c>
      <c r="F4" s="32" t="s">
        <v>1234</v>
      </c>
      <c r="G4" s="32" t="s">
        <v>1235</v>
      </c>
      <c r="H4" s="32" t="s">
        <v>1236</v>
      </c>
      <c r="I4" s="32" t="s">
        <v>1237</v>
      </c>
      <c r="J4" s="32" t="s">
        <v>1238</v>
      </c>
    </row>
    <row r="5" spans="2:28" x14ac:dyDescent="0.3">
      <c r="B5" s="35" t="s">
        <v>610</v>
      </c>
      <c r="C5" s="36" t="s">
        <v>39</v>
      </c>
      <c r="D5" s="36" t="s">
        <v>83</v>
      </c>
      <c r="E5" s="36" t="s">
        <v>1239</v>
      </c>
      <c r="F5" s="39">
        <f>SUMIFS(Mercado_Receita!J:J,Mercado_Receita!B:B,"=A4",Mercado_Receita!C:C,"=AZUL",Mercado_Receita!H:H,"=Ponta")</f>
        <v>0</v>
      </c>
      <c r="G5" s="39">
        <f ca="1">ROUND('TUSD BE'!$AM$5+'TUSD BF'!$AM$5+'TUSD CVA'!$AM$5,2)</f>
        <v>73.62</v>
      </c>
      <c r="H5" s="39">
        <v>47.94</v>
      </c>
      <c r="I5" s="39">
        <f t="shared" ref="I5:I14" ca="1" si="0">F5*G5</f>
        <v>0</v>
      </c>
      <c r="J5" s="40">
        <f t="shared" ref="J5:J14" si="1">F5*H5</f>
        <v>0</v>
      </c>
    </row>
    <row r="6" spans="2:28" x14ac:dyDescent="0.3">
      <c r="B6" s="33" t="s">
        <v>610</v>
      </c>
      <c r="C6" s="81" t="s">
        <v>39</v>
      </c>
      <c r="D6" s="81" t="s">
        <v>83</v>
      </c>
      <c r="E6" s="81" t="s">
        <v>1240</v>
      </c>
      <c r="F6" s="93">
        <f>SUMIFS(Mercado_Receita!J:J,Mercado_Receita!B:B,"=A4",Mercado_Receita!C:C,"=AZUL",Mercado_Receita!H:H,"=Fora Ponta")</f>
        <v>0</v>
      </c>
      <c r="G6" s="93">
        <f ca="1">ROUND('TUSD BE'!$AM$6+'TUSD BF'!$AM$6+'TUSD CVA'!$AM$6,2)</f>
        <v>39.119999999999997</v>
      </c>
      <c r="H6" s="93">
        <v>32.31</v>
      </c>
      <c r="I6" s="93">
        <f t="shared" ca="1" si="0"/>
        <v>0</v>
      </c>
      <c r="J6" s="41">
        <f t="shared" si="1"/>
        <v>0</v>
      </c>
    </row>
    <row r="7" spans="2:28" x14ac:dyDescent="0.3">
      <c r="B7" s="33" t="s">
        <v>610</v>
      </c>
      <c r="C7" s="81" t="s">
        <v>39</v>
      </c>
      <c r="D7" s="81" t="s">
        <v>83</v>
      </c>
      <c r="E7" s="81" t="s">
        <v>11</v>
      </c>
      <c r="F7" s="93">
        <f>SUMIFS(Mercado_Receita!L:L,Mercado_Receita!B:B,"=A4",Mercado_Receita!C:C,"=AZUL",Mercado_Receita!H:H,"&lt;&gt;Não se aplica",Mercado_Receita!Q:Q,"=Cativo")+SUMIFS(Mercado_Receita!L:L,Mercado_Receita!B:B,"=A4",Mercado_Receita!C:C,"=AZUL",Mercado_Receita!Q:Q,"=Livre")</f>
        <v>0</v>
      </c>
      <c r="G7" s="93">
        <f ca="1">ROUND('TUSD BE'!$AM$7+'TUSD BF'!$AM$7+'TUSD CVA'!$AM$7,2)</f>
        <v>104.15</v>
      </c>
      <c r="H7" s="93">
        <v>116.79</v>
      </c>
      <c r="I7" s="93">
        <f t="shared" ca="1" si="0"/>
        <v>0</v>
      </c>
      <c r="J7" s="41">
        <f t="shared" si="1"/>
        <v>0</v>
      </c>
    </row>
    <row r="8" spans="2:28" x14ac:dyDescent="0.3">
      <c r="B8" s="33" t="s">
        <v>638</v>
      </c>
      <c r="C8" s="81" t="s">
        <v>39</v>
      </c>
      <c r="D8" s="81" t="s">
        <v>83</v>
      </c>
      <c r="E8" s="81" t="s">
        <v>1241</v>
      </c>
      <c r="F8" s="93">
        <f>SUMIFS(Mercado_Receita!N:N,Mercado_Receita!B:B,"=A4",Mercado_Receita!C:C,"=AZUL",Mercado_Receita!H:H,"=Ponta",Mercado_Receita!Q:Q,"=Cativo")</f>
        <v>0</v>
      </c>
      <c r="G8" s="93">
        <f>ROUND('TE BE'!$AB$5+'TE BF'!$AB$5+'TE CVA'!$AB$5,2)</f>
        <v>311.41000000000003</v>
      </c>
      <c r="H8" s="93">
        <v>393.63</v>
      </c>
      <c r="I8" s="93">
        <f t="shared" si="0"/>
        <v>0</v>
      </c>
      <c r="J8" s="41">
        <f t="shared" si="1"/>
        <v>0</v>
      </c>
    </row>
    <row r="9" spans="2:28" ht="15" thickBot="1" x14ac:dyDescent="0.35">
      <c r="B9" s="34" t="s">
        <v>638</v>
      </c>
      <c r="C9" s="80" t="s">
        <v>39</v>
      </c>
      <c r="D9" s="80" t="s">
        <v>83</v>
      </c>
      <c r="E9" s="80" t="s">
        <v>1242</v>
      </c>
      <c r="F9" s="94">
        <f>SUMIFS(Mercado_Receita!N:N,Mercado_Receita!B:B,"=A4",Mercado_Receita!C:C,"=AZUL",Mercado_Receita!H:H,"=Fora Ponta",Mercado_Receita!Q:Q,"=Cativo")</f>
        <v>0</v>
      </c>
      <c r="G9" s="94">
        <f>ROUND('TE BE'!$AB$6+'TE BF'!$AB$6+'TE CVA'!$AB$6,2)</f>
        <v>195.9</v>
      </c>
      <c r="H9" s="94">
        <v>249.61</v>
      </c>
      <c r="I9" s="94">
        <f t="shared" si="0"/>
        <v>0</v>
      </c>
      <c r="J9" s="45">
        <f t="shared" si="1"/>
        <v>0</v>
      </c>
    </row>
    <row r="10" spans="2:28" x14ac:dyDescent="0.3">
      <c r="B10" s="35" t="s">
        <v>610</v>
      </c>
      <c r="C10" s="36" t="s">
        <v>39</v>
      </c>
      <c r="D10" s="36" t="s">
        <v>40</v>
      </c>
      <c r="E10" s="36" t="s">
        <v>9</v>
      </c>
      <c r="F10" s="39">
        <f>SUMIFS(Mercado_Receita!J:J,Mercado_Receita!B:B,"=A4",Mercado_Receita!C:C,"=VERDE",Mercado_Receita!H:H,"=Não se aplica")</f>
        <v>119147</v>
      </c>
      <c r="G10" s="39">
        <f ca="1">ROUND('TUSD BE'!$AM$13+'TUSD BF'!$AM$13+'TUSD CVA'!$AM$13,2)</f>
        <v>39.119999999999997</v>
      </c>
      <c r="H10" s="39">
        <v>32.31</v>
      </c>
      <c r="I10" s="39">
        <f t="shared" ca="1" si="0"/>
        <v>4661030.6399999997</v>
      </c>
      <c r="J10" s="40">
        <f t="shared" si="1"/>
        <v>3849639.5700000003</v>
      </c>
    </row>
    <row r="11" spans="2:28" x14ac:dyDescent="0.3">
      <c r="B11" s="33" t="s">
        <v>610</v>
      </c>
      <c r="C11" s="81" t="s">
        <v>39</v>
      </c>
      <c r="D11" s="81" t="s">
        <v>40</v>
      </c>
      <c r="E11" s="81" t="s">
        <v>1243</v>
      </c>
      <c r="F11" s="93">
        <f>SUMIFS(Mercado_Receita!L:L,Mercado_Receita!B:B,"=A4",Mercado_Receita!C:C,"=VERDE",Mercado_Receita!H:H,"=Ponta")</f>
        <v>964.50799999999992</v>
      </c>
      <c r="G11" s="93">
        <f ca="1">ROUND('TUSD BE'!$AM$14+'TUSD BF'!$AM$14+'TUSD CVA'!$AM$14,2)</f>
        <v>1891.43</v>
      </c>
      <c r="H11" s="93">
        <v>1283.23</v>
      </c>
      <c r="I11" s="93">
        <f t="shared" ca="1" si="0"/>
        <v>1824299.36644</v>
      </c>
      <c r="J11" s="41">
        <f t="shared" si="1"/>
        <v>1237685.60084</v>
      </c>
    </row>
    <row r="12" spans="2:28" x14ac:dyDescent="0.3">
      <c r="B12" s="33" t="s">
        <v>610</v>
      </c>
      <c r="C12" s="81" t="s">
        <v>39</v>
      </c>
      <c r="D12" s="81" t="s">
        <v>40</v>
      </c>
      <c r="E12" s="81" t="s">
        <v>1244</v>
      </c>
      <c r="F12" s="93">
        <f>SUMIFS(Mercado_Receita!L:L,Mercado_Receita!B:B,"=A4",Mercado_Receita!C:C,"=VERDE",Mercado_Receita!H:H,"=Fora Ponta")</f>
        <v>18843.148999999994</v>
      </c>
      <c r="G12" s="93">
        <f ca="1">ROUND('TUSD BE'!$AM$15+'TUSD BF'!$AM$15+'TUSD CVA'!$AM$15,2)</f>
        <v>104.15</v>
      </c>
      <c r="H12" s="93">
        <v>116.79</v>
      </c>
      <c r="I12" s="93">
        <f t="shared" ca="1" si="0"/>
        <v>1962513.9683499995</v>
      </c>
      <c r="J12" s="41">
        <f t="shared" si="1"/>
        <v>2200691.3717099996</v>
      </c>
    </row>
    <row r="13" spans="2:28" x14ac:dyDescent="0.3">
      <c r="B13" s="33" t="s">
        <v>638</v>
      </c>
      <c r="C13" s="81" t="s">
        <v>39</v>
      </c>
      <c r="D13" s="81" t="s">
        <v>40</v>
      </c>
      <c r="E13" s="81" t="s">
        <v>1241</v>
      </c>
      <c r="F13" s="93">
        <f>SUMIFS(Mercado_Receita!N:N,Mercado_Receita!B:B,"=A4",Mercado_Receita!C:C,"=VERDE",Mercado_Receita!H:H,"=Ponta",Mercado_Receita!Q:Q,"=Cativo")</f>
        <v>529.99099999999999</v>
      </c>
      <c r="G13" s="93">
        <f>ROUND('TE BE'!$AB$5+'TE BF'!$AB$5+'TE CVA'!$AB$5,2)</f>
        <v>311.41000000000003</v>
      </c>
      <c r="H13" s="93">
        <v>393.63</v>
      </c>
      <c r="I13" s="93">
        <f t="shared" si="0"/>
        <v>165044.49731000001</v>
      </c>
      <c r="J13" s="41">
        <f t="shared" si="1"/>
        <v>208620.35733</v>
      </c>
    </row>
    <row r="14" spans="2:28" ht="15" thickBot="1" x14ac:dyDescent="0.35">
      <c r="B14" s="37" t="s">
        <v>638</v>
      </c>
      <c r="C14" s="38" t="s">
        <v>39</v>
      </c>
      <c r="D14" s="38" t="s">
        <v>40</v>
      </c>
      <c r="E14" s="38" t="s">
        <v>1242</v>
      </c>
      <c r="F14" s="42">
        <f>SUMIFS(Mercado_Receita!N:N,Mercado_Receita!B:B,"=A4",Mercado_Receita!C:C,"=VERDE",Mercado_Receita!H:H,"=Fora Ponta",Mercado_Receita!Q:Q,"=Cativo")</f>
        <v>10939.779999999997</v>
      </c>
      <c r="G14" s="42">
        <f>ROUND('TE BE'!$AB$6+'TE BF'!$AB$6+'TE CVA'!$AB$6,2)</f>
        <v>195.9</v>
      </c>
      <c r="H14" s="42">
        <v>249.61</v>
      </c>
      <c r="I14" s="42">
        <f t="shared" si="0"/>
        <v>2143102.9019999993</v>
      </c>
      <c r="J14" s="43">
        <f t="shared" si="1"/>
        <v>2730678.4857999994</v>
      </c>
    </row>
    <row r="16" spans="2:28" ht="15" thickBot="1" x14ac:dyDescent="0.35">
      <c r="D16" t="s">
        <v>1245</v>
      </c>
      <c r="E16" t="s">
        <v>1246</v>
      </c>
      <c r="F16" t="s">
        <v>1247</v>
      </c>
      <c r="G16" t="s">
        <v>1248</v>
      </c>
    </row>
    <row r="17" spans="2:7" ht="15" thickBot="1" x14ac:dyDescent="0.35">
      <c r="B17" t="s">
        <v>1249</v>
      </c>
      <c r="C17" s="46" t="s">
        <v>39</v>
      </c>
      <c r="D17" s="51">
        <f ca="1">SUMIFS($I$5:$I$14,$C$5:$C$14,C17,$B$5:$B$14,"TUSD")/(SUMIFS($F$5:$F$14,$C$5:$C$14,C17,$B$5:$B$14,"TUSD",$E$5:$E$14,"TUSD_E")+SUMIFS($F$5:$F$14,$C$5:$C$14,C17,$B$5:$B$14,"TUSD",$E$5:$E$14,"TUSD_E P")+SUMIFS($F$5:$F$14,$C$5:$C$14,C17,$B$5:$B$14,"TUSD",$E$5:$E$14,"TUSD_E FP"))</f>
        <v>426.49385410854001</v>
      </c>
      <c r="E17" s="51">
        <f>SUMIFS($J$5:$J$14,$C$5:$C$14,C17,$B$5:$B$14,"TUSD")/(SUMIFS($F$5:$F$14,$C$5:$C$14,C17,$B$5:$B$14,"TUSD",$E$5:$E$14,"TUSD_E")+SUMIFS($F$5:$F$14,$C$5:$C$14,C17,$B$5:$B$14,"TUSD",$E$5:$E$14,"TUSD_E P")+SUMIFS($F$5:$F$14,$C$5:$C$14,C17,$B$5:$B$14,"TUSD",$E$5:$E$14,"TUSD_E FP"))</f>
        <v>367.93935509636509</v>
      </c>
      <c r="F17" s="44" t="str">
        <f ca="1">IF(AND(E17&lt;D17,NOT(ISERROR(_xlfn.XMATCH("AVALIAR " &amp;C17,$F$17:$F$20,2)))),"APLICAR","NÃO APLICAR")</f>
        <v>APLICAR</v>
      </c>
      <c r="G17" s="52">
        <f ca="1">IF(AND(E17&lt;D17,NOT(ISERROR(_xlfn.XMATCH("AVALIAR " &amp;C17,$F$17:$F$20,2)))),1,0)</f>
        <v>1</v>
      </c>
    </row>
    <row r="18" spans="2:7" ht="15" thickBot="1" x14ac:dyDescent="0.35">
      <c r="B18" t="s">
        <v>1250</v>
      </c>
      <c r="C18" s="46" t="s">
        <v>39</v>
      </c>
      <c r="D18" s="51">
        <f>IF((SUMIFS($F$5:$F$14,$C$5:$C$14,C18,$B$5:$B$14,"TE",$E$5:$E$14,"TE P")+SUMIFS($F$5:$F$14,$C$5:$C$14,C18,$B$5:$B$14,"TE",$E$5:$E$14,"TE FP") = 0),0,SUMIFS($I$5:$I$14,$C$5:$C$14,C18,$B$5:$B$14,"TE")/(SUMIFS($F$5:$F$14,$C$5:$C$14,C18,$B$5:$B$14,"TUSD",$E$5:$E$14,"TUSD_E")+SUMIFS($F$5:$F$14,$C$5:$C$14,C18,$B$5:$B$14,"TUSD",$E$5:$E$14,"TUSD_E P")+SUMIFS($F$5:$F$14,$C$5:$C$14,C18,$B$5:$B$14,"TUSD",$E$5:$E$14,"TUSD_E FP")))</f>
        <v>116.528037582133</v>
      </c>
      <c r="E18" s="51">
        <f>IF((SUMIFS($F$5:$F$14,$C$5:$C$14,C18,$B$5:$B$14,"TE",$E$5:$E$14,"TE P")+SUMIFS($F$5:$F$14,$C$5:$C$14,C18,$B$5:$B$14,"TE",$E$5:$E$14,"TE FP") = 0),0,SUMIFS($J$5:$J$14,$C$5:$C$14,C18,$B$5:$B$14,"TE")/(SUMIFS($F$5:$F$14,$C$5:$C$14,C18,$B$5:$B$14,"TUSD",$E$5:$E$14,"TUSD_E")+SUMIFS($F$5:$F$14,$C$5:$C$14,C18,$B$5:$B$14,"TUSD",$E$5:$E$14,"TUSD_E P")+SUMIFS($F$5:$F$14,$C$5:$C$14,C18,$B$5:$B$14,"TUSD",$E$5:$E$14,"TUSD_E FP")))</f>
        <v>148.39205076753905</v>
      </c>
      <c r="F18" s="44" t="str">
        <f ca="1">IF(AND(E18&lt;D18,NOT(ISERROR(_xlfn.XMATCH("AVALIAR " &amp;C18,$F$17:$F$20,2)))),"APLICAR","NÃO APLICAR")</f>
        <v>NÃO APLICAR</v>
      </c>
      <c r="G18" s="52">
        <f ca="1">IF(AND(E18&lt;D18,NOT(ISERROR(_xlfn.XMATCH("AVALIAR " &amp;C18,$F$17:$F$20,2)))),1,0)</f>
        <v>0</v>
      </c>
    </row>
    <row r="19" spans="2:7" ht="15" thickBot="1" x14ac:dyDescent="0.35">
      <c r="B19" t="s">
        <v>1251</v>
      </c>
      <c r="C19" s="46" t="s">
        <v>39</v>
      </c>
      <c r="D19" s="51">
        <f ca="1">SUMIFS(D$17:D$18,C$17:C$18,C19)</f>
        <v>543.02189169067299</v>
      </c>
      <c r="E19" s="51">
        <f>SUMIFS(E$17:E$18,C$17:C$18,C19)</f>
        <v>516.33140586390414</v>
      </c>
      <c r="F19" s="44" t="str">
        <f ca="1">IF(E19&lt;D19,"AVALIAR "&amp;C19,"NÃO ALTERAR")</f>
        <v>AVALIAR A4</v>
      </c>
      <c r="G19" s="52">
        <f ca="1">IF(E19&lt;D19,1,0)</f>
        <v>1</v>
      </c>
    </row>
    <row r="20" spans="2:7" ht="15" thickBot="1" x14ac:dyDescent="0.35">
      <c r="B20" t="s">
        <v>1252</v>
      </c>
      <c r="C20" s="47" t="s">
        <v>1253</v>
      </c>
      <c r="D20" s="50">
        <f ca="1">ROUND('TE BE'!$AB$14+'TE BF'!$AB$14+'TE CVA'!$AB$14,2)+ROUND('TUSD BE'!$AM$23+'TUSD BF'!$AM$23+'TUSD CVA'!$AM$23,2)</f>
        <v>651.54</v>
      </c>
      <c r="E20" s="50">
        <v>699.16000000000008</v>
      </c>
      <c r="F20" s="48" t="str">
        <f ca="1">IF(D20&lt;=E20,"NÃO ALTERAR","AVALIAR TarB1")</f>
        <v>NÃO ALTERAR</v>
      </c>
      <c r="G20" s="49">
        <f ca="1">IF(E20&lt;D20,1,0)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4A6D5-D361-407D-848D-23C2A47C969E}">
  <sheetPr>
    <tabColor theme="4" tint="-0.249977111117893"/>
  </sheetPr>
  <dimension ref="A1:V35"/>
  <sheetViews>
    <sheetView showGridLines="0" workbookViewId="0">
      <selection activeCell="I20" sqref="I20"/>
    </sheetView>
  </sheetViews>
  <sheetFormatPr defaultColWidth="9.109375" defaultRowHeight="11.25" customHeight="1" x14ac:dyDescent="0.3"/>
  <cols>
    <col min="1" max="1" width="9.33203125" style="8" bestFit="1" customWidth="1"/>
    <col min="2" max="2" width="11.109375" style="8" bestFit="1" customWidth="1"/>
    <col min="3" max="3" width="10.33203125" style="8" bestFit="1" customWidth="1"/>
    <col min="4" max="4" width="6.33203125" style="8" bestFit="1" customWidth="1"/>
    <col min="5" max="10" width="7.6640625" style="8" customWidth="1"/>
    <col min="11" max="12" width="9.109375" style="8"/>
    <col min="13" max="13" width="14.33203125" style="8" customWidth="1"/>
    <col min="14" max="14" width="16.6640625" style="8" customWidth="1"/>
    <col min="15" max="15" width="31.6640625" style="8" customWidth="1"/>
    <col min="16" max="22" width="7.6640625" style="8" customWidth="1"/>
    <col min="23" max="16384" width="9.109375" style="8"/>
  </cols>
  <sheetData>
    <row r="1" spans="1:22" ht="11.25" customHeight="1" x14ac:dyDescent="0.3">
      <c r="A1" s="125" t="s">
        <v>858</v>
      </c>
      <c r="B1" s="150"/>
      <c r="C1" s="150"/>
      <c r="D1" s="150"/>
      <c r="E1" s="150"/>
      <c r="F1" s="150"/>
      <c r="G1" s="150"/>
      <c r="H1" s="150"/>
      <c r="I1" s="150"/>
      <c r="J1" s="150"/>
      <c r="L1" s="125" t="s">
        <v>868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</row>
    <row r="2" spans="1:22" ht="11.25" customHeight="1" x14ac:dyDescent="0.3">
      <c r="A2" s="142" t="s">
        <v>66</v>
      </c>
      <c r="B2" s="142" t="s">
        <v>67</v>
      </c>
      <c r="C2" s="142" t="s">
        <v>859</v>
      </c>
      <c r="D2" s="142" t="s">
        <v>72</v>
      </c>
      <c r="E2" s="142" t="s">
        <v>860</v>
      </c>
      <c r="F2" s="148"/>
      <c r="G2" s="148"/>
      <c r="H2" s="142" t="s">
        <v>652</v>
      </c>
      <c r="I2" s="148"/>
      <c r="J2" s="148"/>
      <c r="L2" s="142" t="s">
        <v>66</v>
      </c>
      <c r="M2" s="142" t="s">
        <v>67</v>
      </c>
      <c r="N2" s="142" t="s">
        <v>68</v>
      </c>
      <c r="O2" s="142" t="s">
        <v>69</v>
      </c>
      <c r="P2" s="142" t="s">
        <v>72</v>
      </c>
      <c r="Q2" s="142" t="s">
        <v>860</v>
      </c>
      <c r="R2" s="149"/>
      <c r="S2" s="149"/>
      <c r="T2" s="142" t="s">
        <v>652</v>
      </c>
      <c r="U2" s="149"/>
      <c r="V2" s="149"/>
    </row>
    <row r="3" spans="1:22" ht="11.25" customHeight="1" x14ac:dyDescent="0.3">
      <c r="A3" s="148"/>
      <c r="B3" s="148"/>
      <c r="C3" s="148"/>
      <c r="D3" s="148"/>
      <c r="E3" s="142" t="s">
        <v>610</v>
      </c>
      <c r="F3" s="148"/>
      <c r="G3" s="78" t="s">
        <v>638</v>
      </c>
      <c r="H3" s="142" t="s">
        <v>610</v>
      </c>
      <c r="I3" s="148"/>
      <c r="J3" s="78" t="s">
        <v>638</v>
      </c>
      <c r="L3" s="149"/>
      <c r="M3" s="149"/>
      <c r="N3" s="149"/>
      <c r="O3" s="149"/>
      <c r="P3" s="149"/>
      <c r="Q3" s="142" t="s">
        <v>610</v>
      </c>
      <c r="R3" s="149"/>
      <c r="S3" s="78" t="s">
        <v>638</v>
      </c>
      <c r="T3" s="142" t="s">
        <v>610</v>
      </c>
      <c r="U3" s="149"/>
      <c r="V3" s="78" t="s">
        <v>638</v>
      </c>
    </row>
    <row r="4" spans="1:22" ht="11.25" customHeight="1" x14ac:dyDescent="0.3">
      <c r="A4" s="148"/>
      <c r="B4" s="148"/>
      <c r="C4" s="148"/>
      <c r="D4" s="148"/>
      <c r="E4" s="78" t="s">
        <v>861</v>
      </c>
      <c r="F4" s="78" t="s">
        <v>862</v>
      </c>
      <c r="G4" s="78" t="s">
        <v>862</v>
      </c>
      <c r="H4" s="78" t="s">
        <v>861</v>
      </c>
      <c r="I4" s="78" t="s">
        <v>862</v>
      </c>
      <c r="J4" s="78" t="s">
        <v>862</v>
      </c>
      <c r="L4" s="149"/>
      <c r="M4" s="149"/>
      <c r="N4" s="149"/>
      <c r="O4" s="149"/>
      <c r="P4" s="149"/>
      <c r="Q4" s="78" t="s">
        <v>861</v>
      </c>
      <c r="R4" s="78" t="s">
        <v>862</v>
      </c>
      <c r="S4" s="78" t="s">
        <v>862</v>
      </c>
      <c r="T4" s="78" t="s">
        <v>861</v>
      </c>
      <c r="U4" s="78" t="s">
        <v>862</v>
      </c>
      <c r="V4" s="78" t="s">
        <v>862</v>
      </c>
    </row>
    <row r="5" spans="1:22" ht="11.25" customHeight="1" x14ac:dyDescent="0.3">
      <c r="A5" s="147" t="s">
        <v>39</v>
      </c>
      <c r="B5" s="147" t="s">
        <v>83</v>
      </c>
      <c r="C5" s="147" t="s">
        <v>25</v>
      </c>
      <c r="D5" s="79" t="s">
        <v>863</v>
      </c>
      <c r="E5" s="77">
        <f ca="1">ROUND('TUSD BE'!$AM$5+'TUSD BF_350'!$AM$5+'TUSD CVA'!$AM$5,2)</f>
        <v>47.94</v>
      </c>
      <c r="F5" s="77">
        <f ca="1">ROUND('TUSD BE'!$AM$7+'TUSD BF_350'!$AM$7+'TUSD CVA'!$AM$7,2)</f>
        <v>116.79</v>
      </c>
      <c r="G5" s="77">
        <f ca="1">ROUND('TE BE'!$AB$5+'TE BF_350'!$AB$5+'TE CVA'!$AB$5,2)</f>
        <v>311.41000000000003</v>
      </c>
      <c r="H5" s="77">
        <f ca="1">ROUND('TUSD BE'!$AM$5,2)</f>
        <v>86.81</v>
      </c>
      <c r="I5" s="77">
        <f ca="1">ROUND('TUSD BE'!$AM$7,2)</f>
        <v>106.45</v>
      </c>
      <c r="J5" s="77">
        <f>ROUND('TE BE'!$AB$5,2)</f>
        <v>367.02</v>
      </c>
      <c r="L5" s="144" t="s">
        <v>22</v>
      </c>
      <c r="M5" s="144" t="s">
        <v>869</v>
      </c>
      <c r="N5" s="144" t="s">
        <v>870</v>
      </c>
      <c r="O5" s="144" t="s">
        <v>870</v>
      </c>
      <c r="P5" s="79" t="s">
        <v>863</v>
      </c>
      <c r="Q5" s="77">
        <v>0</v>
      </c>
      <c r="R5" s="77">
        <f ca="1">ROUND('TUSD BE'!$AM$20+'TUSD BF_350'!$AM$20+'TUSD CVA'!$AM$20,2)</f>
        <v>1081.48</v>
      </c>
      <c r="S5" s="77">
        <f ca="1">ROUND('TE BE'!$AB$11+'TE BF_350'!$AB$11+'TE CVA'!$AB$11,2)</f>
        <v>311.41000000000003</v>
      </c>
      <c r="T5" s="77">
        <v>0</v>
      </c>
      <c r="U5" s="77">
        <f ca="1">ROUND('TUSD BE'!$AM$20,2)</f>
        <v>1241.8800000000001</v>
      </c>
      <c r="V5" s="77">
        <f>ROUND('TE BE'!$AB$11,2)</f>
        <v>367.02</v>
      </c>
    </row>
    <row r="6" spans="1:22" ht="11.25" customHeight="1" x14ac:dyDescent="0.3">
      <c r="A6" s="148"/>
      <c r="B6" s="148"/>
      <c r="C6" s="148"/>
      <c r="D6" s="79" t="s">
        <v>864</v>
      </c>
      <c r="E6" s="77">
        <f ca="1">ROUND('TUSD BE'!$AM$6+'TUSD BF_350'!$AM$6+'TUSD CVA'!$AM$6,2)</f>
        <v>32.31</v>
      </c>
      <c r="F6" s="77">
        <f ca="1">ROUND('TUSD BE'!$AM$7+'TUSD BF_350'!$AM$7+'TUSD CVA'!$AM$7,2)</f>
        <v>116.79</v>
      </c>
      <c r="G6" s="77">
        <f ca="1">ROUND('TE BE'!$AB$6+'TE BF_350'!$AB$6+'TE CVA'!$AB$6,2)</f>
        <v>195.9</v>
      </c>
      <c r="H6" s="77">
        <f ca="1">ROUND('TUSD BE'!$AM$6,2)</f>
        <v>46.68</v>
      </c>
      <c r="I6" s="77">
        <f ca="1">ROUND('TUSD BE'!$AM$7,2)</f>
        <v>106.45</v>
      </c>
      <c r="J6" s="77">
        <f>ROUND('TE BE'!$AB$6,2)</f>
        <v>226.96</v>
      </c>
      <c r="L6" s="145"/>
      <c r="M6" s="145"/>
      <c r="N6" s="145"/>
      <c r="O6" s="145"/>
      <c r="P6" s="79" t="s">
        <v>871</v>
      </c>
      <c r="Q6" s="77">
        <v>0</v>
      </c>
      <c r="R6" s="77">
        <f ca="1">ROUND('TUSD BE'!$AM$21+'TUSD BF_350'!$AM$21+'TUSD CVA'!$AM$21,2)</f>
        <v>700.21</v>
      </c>
      <c r="S6" s="77">
        <f ca="1">ROUND('TE BE'!$AB$12+'TE BF_350'!$AB$12+'TE CVA'!$AB$12,2)</f>
        <v>195.9</v>
      </c>
      <c r="T6" s="77">
        <v>0</v>
      </c>
      <c r="U6" s="77">
        <f ca="1">ROUND('TUSD BE'!$AM$21,2)</f>
        <v>798.2</v>
      </c>
      <c r="V6" s="77">
        <f>ROUND('TE BE'!$AB$12,2)</f>
        <v>226.96</v>
      </c>
    </row>
    <row r="7" spans="1:22" ht="11.25" customHeight="1" x14ac:dyDescent="0.3">
      <c r="A7" s="148"/>
      <c r="B7" s="147" t="s">
        <v>865</v>
      </c>
      <c r="C7" s="147" t="s">
        <v>25</v>
      </c>
      <c r="D7" s="79" t="s">
        <v>863</v>
      </c>
      <c r="E7" s="77">
        <f ca="1">ROUND('TUSD BE'!$AM$5+'TUSD BF_350'!$AM$5+'TUSD CVA'!$AM$5,2)</f>
        <v>47.94</v>
      </c>
      <c r="F7" s="77">
        <f ca="1">ROUND('TUSD BE'!$AM$8+'TUSD BF_350'!$AM$8+'TUSD CVA'!$AM$8,2)</f>
        <v>17.61</v>
      </c>
      <c r="G7" s="77">
        <v>0</v>
      </c>
      <c r="H7" s="77">
        <f ca="1">ROUND('TUSD BE'!$AM$5,2)</f>
        <v>86.81</v>
      </c>
      <c r="I7" s="77">
        <f ca="1">ROUND('TUSD BE'!$AM$8,2)</f>
        <v>14.12</v>
      </c>
      <c r="J7" s="77">
        <v>0</v>
      </c>
      <c r="L7" s="145"/>
      <c r="M7" s="146"/>
      <c r="N7" s="146"/>
      <c r="O7" s="146"/>
      <c r="P7" s="79" t="s">
        <v>864</v>
      </c>
      <c r="Q7" s="77">
        <v>0</v>
      </c>
      <c r="R7" s="77">
        <f ca="1">ROUND('TUSD BE'!$AM$22+'TUSD BF_350'!$AM$22+'TUSD CVA'!$AM$22,2)</f>
        <v>318.93</v>
      </c>
      <c r="S7" s="77">
        <f ca="1">ROUND('TE BE'!$AB$13+'TE BF_350'!$AB$13+'TE CVA'!$AB$13,2)</f>
        <v>195.9</v>
      </c>
      <c r="T7" s="77">
        <v>0</v>
      </c>
      <c r="U7" s="77">
        <f ca="1">ROUND('TUSD BE'!$AM$22,2)</f>
        <v>354.53</v>
      </c>
      <c r="V7" s="77">
        <f>ROUND('TE BE'!$AB$13,2)</f>
        <v>226.96</v>
      </c>
    </row>
    <row r="8" spans="1:22" ht="11.25" customHeight="1" x14ac:dyDescent="0.3">
      <c r="A8" s="148"/>
      <c r="B8" s="148"/>
      <c r="C8" s="148"/>
      <c r="D8" s="79" t="s">
        <v>864</v>
      </c>
      <c r="E8" s="77">
        <f ca="1">ROUND('TUSD BE'!$AM$6+'TUSD BF_350'!$AM$6+'TUSD CVA'!$AM$6,2)</f>
        <v>32.31</v>
      </c>
      <c r="F8" s="77">
        <f ca="1">ROUND('TUSD BE'!$AM$8+'TUSD BF_350'!$AM$8+'TUSD CVA'!$AM$8,2)</f>
        <v>17.61</v>
      </c>
      <c r="G8" s="77">
        <v>0</v>
      </c>
      <c r="H8" s="77">
        <f ca="1">ROUND('TUSD BE'!$AM$6,2)</f>
        <v>46.68</v>
      </c>
      <c r="I8" s="77">
        <f ca="1">ROUND('TUSD BE'!$AM$8,2)</f>
        <v>14.12</v>
      </c>
      <c r="J8" s="77">
        <v>0</v>
      </c>
      <c r="L8" s="145"/>
      <c r="M8" s="79" t="s">
        <v>872</v>
      </c>
      <c r="N8" s="79" t="s">
        <v>870</v>
      </c>
      <c r="O8" s="79" t="s">
        <v>870</v>
      </c>
      <c r="P8" s="79" t="s">
        <v>866</v>
      </c>
      <c r="Q8" s="77">
        <v>0</v>
      </c>
      <c r="R8" s="77">
        <f ca="1">ROUND('TUSD BE'!$AM$28+'TUSD BF_350'!$AM$28+'TUSD CVA'!$AM$28,2)</f>
        <v>446.02</v>
      </c>
      <c r="S8" s="77">
        <f ca="1">ROUND('TE BE'!$AB$19+'TE BF_350'!$AB$19+'TE CVA'!$AB$19,2)</f>
        <v>205.52</v>
      </c>
      <c r="T8" s="77">
        <v>0</v>
      </c>
      <c r="U8" s="77">
        <f ca="1">ROUND('TUSD BE'!$AM$28,2)</f>
        <v>502.42</v>
      </c>
      <c r="V8" s="77">
        <f>ROUND('TE BE'!$AB$19,2)</f>
        <v>238.63</v>
      </c>
    </row>
    <row r="9" spans="1:22" ht="11.25" customHeight="1" x14ac:dyDescent="0.3">
      <c r="A9" s="148"/>
      <c r="B9" s="147" t="s">
        <v>40</v>
      </c>
      <c r="C9" s="147" t="s">
        <v>25</v>
      </c>
      <c r="D9" s="79" t="s">
        <v>866</v>
      </c>
      <c r="E9" s="77">
        <f ca="1">ROUND('TUSD BE'!$AM$13+'TUSD BF_350'!$AM$13+'TUSD CVA'!$AM$13,2)</f>
        <v>32.31</v>
      </c>
      <c r="F9" s="77">
        <v>0</v>
      </c>
      <c r="G9" s="77">
        <v>0</v>
      </c>
      <c r="H9" s="77">
        <f ca="1">ROUND('TUSD BE'!$AM$13,2)</f>
        <v>46.68</v>
      </c>
      <c r="I9" s="77">
        <v>0</v>
      </c>
      <c r="J9" s="77">
        <v>0</v>
      </c>
      <c r="L9" s="145"/>
      <c r="M9" s="79" t="s">
        <v>874</v>
      </c>
      <c r="N9" s="79" t="s">
        <v>870</v>
      </c>
      <c r="O9" s="79" t="s">
        <v>870</v>
      </c>
      <c r="P9" s="79" t="s">
        <v>866</v>
      </c>
      <c r="Q9" s="77">
        <v>0</v>
      </c>
      <c r="R9" s="77">
        <f ca="1">ROUND('TUSD BE'!$AM$23+'TUSD BF_350'!$AM$23+'TUSD CVA'!$AM$23,2)</f>
        <v>446.02</v>
      </c>
      <c r="S9" s="77">
        <f ca="1">ROUND('TE BE'!$AB$14+'TE BF_350'!$AB$14+'TE CVA'!$AB$14,2)</f>
        <v>205.52</v>
      </c>
      <c r="T9" s="77">
        <v>0</v>
      </c>
      <c r="U9" s="77">
        <f ca="1">ROUND('TUSD BE'!$AM$23,2)</f>
        <v>502.42</v>
      </c>
      <c r="V9" s="77">
        <f>ROUND('TE BE'!$AB$14,2)</f>
        <v>238.63</v>
      </c>
    </row>
    <row r="10" spans="1:22" ht="11.25" customHeight="1" x14ac:dyDescent="0.3">
      <c r="A10" s="148"/>
      <c r="B10" s="148"/>
      <c r="C10" s="148"/>
      <c r="D10" s="79" t="s">
        <v>863</v>
      </c>
      <c r="E10" s="77">
        <v>0</v>
      </c>
      <c r="F10" s="77">
        <f ca="1">ROUND('TUSD BE'!$AM$14+'TUSD BF_350'!$AM$14+'TUSD CVA'!$AM$14,2)</f>
        <v>1283.23</v>
      </c>
      <c r="G10" s="77">
        <f ca="1">ROUND('TE BE'!$AB$5+'TE BF_350'!$AB$5+'TE CVA'!$AB$5,2)</f>
        <v>311.41000000000003</v>
      </c>
      <c r="H10" s="77">
        <v>0</v>
      </c>
      <c r="I10" s="77">
        <f ca="1">ROUND('TUSD BE'!$AM$14,2)</f>
        <v>2213.4899999999998</v>
      </c>
      <c r="J10" s="77">
        <f>ROUND('TE BE'!$AB$5,2)</f>
        <v>367.02</v>
      </c>
      <c r="L10" s="145"/>
      <c r="M10" s="79" t="s">
        <v>872</v>
      </c>
      <c r="N10" s="79" t="s">
        <v>870</v>
      </c>
      <c r="O10" s="79" t="s">
        <v>873</v>
      </c>
      <c r="P10" s="79" t="s">
        <v>866</v>
      </c>
      <c r="Q10" s="77">
        <v>0</v>
      </c>
      <c r="R10" s="77">
        <f ca="1">ROUND('TUSD BE'!$AM$29+'TUSD BF_350'!$AM$29+'TUSD CVA'!$AM$29,2)</f>
        <v>339</v>
      </c>
      <c r="S10" s="77">
        <f ca="1">ROUND('TE BE'!$AB$20+'TE BF_350'!$AB$20+'TE CVA'!$AB$20,2)</f>
        <v>205.52</v>
      </c>
      <c r="T10" s="77">
        <v>0</v>
      </c>
      <c r="U10" s="77">
        <f ca="1">ROUND('TUSD BE'!$AM$29,2)</f>
        <v>395.2</v>
      </c>
      <c r="V10" s="77">
        <f>ROUND('TE BE'!$AB$20,2)</f>
        <v>238.63</v>
      </c>
    </row>
    <row r="11" spans="1:22" ht="11.25" customHeight="1" x14ac:dyDescent="0.3">
      <c r="A11" s="148"/>
      <c r="B11" s="148"/>
      <c r="C11" s="148"/>
      <c r="D11" s="79" t="s">
        <v>864</v>
      </c>
      <c r="E11" s="77">
        <v>0</v>
      </c>
      <c r="F11" s="77">
        <f ca="1">ROUND('TUSD BE'!$AM$15+'TUSD BF_350'!$AM$15+'TUSD CVA'!$AM$15,2)</f>
        <v>116.79</v>
      </c>
      <c r="G11" s="77">
        <f ca="1">ROUND('TE BE'!$AB$6+'TE BF_350'!$AB$6+'TE CVA'!$AB$6,2)</f>
        <v>195.9</v>
      </c>
      <c r="H11" s="77">
        <v>0</v>
      </c>
      <c r="I11" s="77">
        <f ca="1">ROUND('TUSD BE'!$AM$15,2)</f>
        <v>106.45</v>
      </c>
      <c r="J11" s="77">
        <f>ROUND('TE BE'!$AB$6,2)</f>
        <v>226.96</v>
      </c>
      <c r="L11" s="146"/>
      <c r="M11" s="79" t="s">
        <v>874</v>
      </c>
      <c r="N11" s="79" t="s">
        <v>870</v>
      </c>
      <c r="O11" s="79" t="s">
        <v>873</v>
      </c>
      <c r="P11" s="79" t="s">
        <v>866</v>
      </c>
      <c r="Q11" s="77">
        <v>0</v>
      </c>
      <c r="R11" s="77">
        <f ca="1">ROUND('TUSD BE'!$AM$24+'TUSD BF_350'!$AM$24+'TUSD CVA'!$AM$24,2)</f>
        <v>339</v>
      </c>
      <c r="S11" s="77">
        <f ca="1">ROUND('TE BE'!$AB$15+'TE BF_350'!$AB$15+'TE CVA'!$AB$15,2)</f>
        <v>205.52</v>
      </c>
      <c r="T11" s="77">
        <v>0</v>
      </c>
      <c r="U11" s="77">
        <f ca="1">ROUND('TUSD BE'!$AM$24,2)</f>
        <v>395.2</v>
      </c>
      <c r="V11" s="77">
        <f>ROUND('TE BE'!$AB$15,2)</f>
        <v>238.63</v>
      </c>
    </row>
    <row r="12" spans="1:22" ht="11.25" customHeight="1" x14ac:dyDescent="0.3">
      <c r="A12" s="148"/>
      <c r="B12" s="147" t="s">
        <v>867</v>
      </c>
      <c r="C12" s="147" t="s">
        <v>25</v>
      </c>
      <c r="D12" s="79" t="s">
        <v>866</v>
      </c>
      <c r="E12" s="77">
        <f ca="1">ROUND('TUSD BE'!$AM$13+'TUSD BF_350'!$AM$13+'TUSD CVA'!$AM$13,2)</f>
        <v>32.31</v>
      </c>
      <c r="F12" s="77">
        <v>0</v>
      </c>
      <c r="G12" s="77">
        <v>0</v>
      </c>
      <c r="H12" s="77">
        <f ca="1">ROUND('TUSD BE'!$AM$13,2)</f>
        <v>46.68</v>
      </c>
      <c r="I12" s="77">
        <v>0</v>
      </c>
      <c r="J12" s="77">
        <v>0</v>
      </c>
      <c r="L12" s="144" t="s">
        <v>42</v>
      </c>
      <c r="M12" s="144" t="s">
        <v>869</v>
      </c>
      <c r="N12" s="144" t="s">
        <v>875</v>
      </c>
      <c r="O12" s="144" t="s">
        <v>876</v>
      </c>
      <c r="P12" s="79" t="s">
        <v>863</v>
      </c>
      <c r="Q12" s="77">
        <v>0</v>
      </c>
      <c r="R12" s="77">
        <f ca="1">ROUND(('TUSD BE'!$AM$33+'TUSD BF_350'!$AM$33+'TUSD CVA'!$AM$33)*(1-CUSTOS!$M$38),2)</f>
        <v>1061.3900000000001</v>
      </c>
      <c r="S12" s="77">
        <f ca="1">ROUND(('TE BE'!$AB$24+'TE BF_350'!$AB$24+'TE CVA'!$AB$24)*(1-CUSTOS!$M$38),2)</f>
        <v>292.73</v>
      </c>
      <c r="T12" s="77">
        <v>0</v>
      </c>
      <c r="U12" s="77">
        <f ca="1">ROUND('TUSD BE'!$AM$33*(1-CUSTOS!$M$38),2)</f>
        <v>1219.49</v>
      </c>
      <c r="V12" s="77">
        <f>ROUND('TE BE'!$AB$24*(1-CUSTOS!$M$38),2)</f>
        <v>345</v>
      </c>
    </row>
    <row r="13" spans="1:22" ht="11.25" customHeight="1" x14ac:dyDescent="0.3">
      <c r="A13" s="148"/>
      <c r="B13" s="148"/>
      <c r="C13" s="148"/>
      <c r="D13" s="79" t="s">
        <v>863</v>
      </c>
      <c r="E13" s="77">
        <v>0</v>
      </c>
      <c r="F13" s="77">
        <f ca="1">ROUND('TUSD BE'!$AM$16+'TUSD BF_350'!$AM$16+'TUSD CVA'!$AM$16,2)</f>
        <v>1184.06</v>
      </c>
      <c r="G13" s="77">
        <v>0</v>
      </c>
      <c r="H13" s="77">
        <v>0</v>
      </c>
      <c r="I13" s="77">
        <f ca="1">ROUND('TUSD BE'!$AM$16,2)</f>
        <v>2121.16</v>
      </c>
      <c r="J13" s="77">
        <v>0</v>
      </c>
      <c r="L13" s="145"/>
      <c r="M13" s="145"/>
      <c r="N13" s="145"/>
      <c r="O13" s="145"/>
      <c r="P13" s="79" t="s">
        <v>871</v>
      </c>
      <c r="Q13" s="77">
        <v>0</v>
      </c>
      <c r="R13" s="77">
        <f ca="1">ROUND(('TUSD BE'!$AM$34+'TUSD BF_350'!$AM$34+'TUSD CVA'!$AM$34)*(1-CUSTOS!$M$38),2)</f>
        <v>685.07</v>
      </c>
      <c r="S13" s="77">
        <f ca="1">ROUND(('TE BE'!$AB$25+'TE BF_350'!$AB$25+'TE CVA'!$AB$25)*(1-CUSTOS!$M$38),2)</f>
        <v>184.14</v>
      </c>
      <c r="T13" s="77">
        <v>0</v>
      </c>
      <c r="U13" s="77">
        <f ca="1">ROUND('TUSD BE'!$AM$34*(1-CUSTOS!$M$38),2)</f>
        <v>781.59</v>
      </c>
      <c r="V13" s="77">
        <f>ROUND('TE BE'!$AB$25*(1-CUSTOS!$M$38),2)</f>
        <v>213.34</v>
      </c>
    </row>
    <row r="14" spans="1:22" ht="11.25" customHeight="1" x14ac:dyDescent="0.3">
      <c r="A14" s="148"/>
      <c r="B14" s="148"/>
      <c r="C14" s="148"/>
      <c r="D14" s="79" t="s">
        <v>864</v>
      </c>
      <c r="E14" s="77">
        <v>0</v>
      </c>
      <c r="F14" s="77">
        <f ca="1">ROUND('TUSD BE'!$AM$17+'TUSD BF_350'!$AM$17+'TUSD CVA'!$AM$17,2)</f>
        <v>17.61</v>
      </c>
      <c r="G14" s="77">
        <v>0</v>
      </c>
      <c r="H14" s="77">
        <v>0</v>
      </c>
      <c r="I14" s="77">
        <f ca="1">ROUND('TUSD BE'!$AM$17,2)</f>
        <v>14.12</v>
      </c>
      <c r="J14" s="77">
        <v>0</v>
      </c>
      <c r="L14" s="145"/>
      <c r="M14" s="146"/>
      <c r="N14" s="146"/>
      <c r="O14" s="146"/>
      <c r="P14" s="79" t="s">
        <v>864</v>
      </c>
      <c r="Q14" s="77">
        <v>0</v>
      </c>
      <c r="R14" s="77">
        <f ca="1">ROUND(('TUSD BE'!$AM$35+'TUSD BF_350'!$AM$35+'TUSD CVA'!$AM$35)*(1-CUSTOS!$M$38),2)</f>
        <v>308.75</v>
      </c>
      <c r="S14" s="77">
        <f ca="1">ROUND(('TE BE'!$AB$26+'TE BF_350'!$AB$26+'TE CVA'!$AB$26)*(1-CUSTOS!$M$38),2)</f>
        <v>184.14</v>
      </c>
      <c r="T14" s="77">
        <v>0</v>
      </c>
      <c r="U14" s="77">
        <f ca="1">ROUND('TUSD BE'!$AM$35*(1-CUSTOS!$M$38),2)</f>
        <v>343.69</v>
      </c>
      <c r="V14" s="77">
        <f>ROUND('TE BE'!$AB$26*(1-CUSTOS!$M$38),2)</f>
        <v>213.34</v>
      </c>
    </row>
    <row r="15" spans="1:22" ht="11.25" customHeight="1" x14ac:dyDescent="0.3">
      <c r="A15" s="148"/>
      <c r="B15" s="79" t="s">
        <v>88</v>
      </c>
      <c r="C15" s="79" t="s">
        <v>25</v>
      </c>
      <c r="D15" s="79" t="s">
        <v>866</v>
      </c>
      <c r="E15" s="77">
        <f ca="1">ROUND('TUSD BE'!$AM$12+'TUSD BF_350'!$AM$12+'TUSD CVA'!$AM$12,2)</f>
        <v>20.77</v>
      </c>
      <c r="F15" s="77">
        <v>0</v>
      </c>
      <c r="G15" s="77">
        <v>0</v>
      </c>
      <c r="H15" s="77">
        <f ca="1">ROUND('TUSD BE'!$AM$12,2)</f>
        <v>21.42</v>
      </c>
      <c r="I15" s="77">
        <v>0</v>
      </c>
      <c r="J15" s="77">
        <v>0</v>
      </c>
      <c r="L15" s="145"/>
      <c r="M15" s="79" t="s">
        <v>872</v>
      </c>
      <c r="N15" s="79" t="s">
        <v>875</v>
      </c>
      <c r="O15" s="79" t="s">
        <v>876</v>
      </c>
      <c r="P15" s="79" t="s">
        <v>866</v>
      </c>
      <c r="Q15" s="77">
        <v>0</v>
      </c>
      <c r="R15" s="77">
        <f ca="1">ROUND(('TUSD BE'!$AM$45+'TUSD BF_350'!$AM$45+'TUSD CVA'!$AM$45)*(1-CUSTOS!$M$38),2)</f>
        <v>419.26</v>
      </c>
      <c r="S15" s="77">
        <f ca="1">ROUND(('TE BE'!$AB$36+'TE BF_350'!$AB$36+'TE CVA'!$AB$36)*(1-CUSTOS!$M$38),2)</f>
        <v>193.19</v>
      </c>
      <c r="T15" s="77">
        <v>0</v>
      </c>
      <c r="U15" s="77">
        <f ca="1">ROUND(('TUSD BE'!$AM$45)*(1-CUSTOS!$M$38),2)</f>
        <v>472.28</v>
      </c>
      <c r="V15" s="77">
        <f>ROUND(('TE BE'!$AB$36)*(1-CUSTOS!$M$38),2)</f>
        <v>224.32</v>
      </c>
    </row>
    <row r="16" spans="1:22" ht="11.25" customHeight="1" x14ac:dyDescent="0.3">
      <c r="L16" s="145"/>
      <c r="M16" s="79" t="s">
        <v>874</v>
      </c>
      <c r="N16" s="79" t="s">
        <v>875</v>
      </c>
      <c r="O16" s="79" t="s">
        <v>876</v>
      </c>
      <c r="P16" s="79" t="s">
        <v>866</v>
      </c>
      <c r="Q16" s="77">
        <v>0</v>
      </c>
      <c r="R16" s="77">
        <f ca="1">ROUND(('TUSD BE'!$AM$36+'TUSD BF_350'!$AM$36+'TUSD CVA'!$AM$36)*(1-CUSTOS!$M$38),2)</f>
        <v>419.26</v>
      </c>
      <c r="S16" s="77">
        <f ca="1">ROUND(('TE BE'!$AB$27+'TE BF_350'!$AB$27+'TE CVA'!$AB$27)*(1-CUSTOS!$M$38),2)</f>
        <v>193.19</v>
      </c>
      <c r="T16" s="77">
        <v>0</v>
      </c>
      <c r="U16" s="77">
        <f ca="1">ROUND(('TUSD BE'!$AM$36)*(1-CUSTOS!$M$38),2)</f>
        <v>472.28</v>
      </c>
      <c r="V16" s="77">
        <f>ROUND(('TE BE'!$AB$27)*(1-CUSTOS!$M$38),2)</f>
        <v>224.32</v>
      </c>
    </row>
    <row r="17" spans="12:22" ht="11.25" customHeight="1" x14ac:dyDescent="0.3">
      <c r="L17" s="145"/>
      <c r="M17" s="144" t="s">
        <v>869</v>
      </c>
      <c r="N17" s="144" t="s">
        <v>875</v>
      </c>
      <c r="O17" s="144" t="s">
        <v>877</v>
      </c>
      <c r="P17" s="79" t="s">
        <v>863</v>
      </c>
      <c r="Q17" s="77">
        <v>0</v>
      </c>
      <c r="R17" s="77">
        <f ca="1">ROUND(('TUSD BE'!$AM$37+'TUSD BF_350'!$AM$37+'TUSD CVA'!$AM$37)*(1-CUSTOS!$M$39),2)</f>
        <v>1038.81</v>
      </c>
      <c r="S17" s="77">
        <f ca="1">ROUND(('TE BE'!$AB$28+'TE BF_350'!$AB$28+'TE CVA'!$AB$28)*(1-CUSTOS!$M$39),2)</f>
        <v>286.5</v>
      </c>
      <c r="T17" s="77">
        <v>0</v>
      </c>
      <c r="U17" s="77">
        <f ca="1">ROUND('TUSD BE'!$AM$37*(1-CUSTOS!$M$39),2)</f>
        <v>1193.55</v>
      </c>
      <c r="V17" s="77">
        <f>ROUND('TE BE'!$AB$28*(1-CUSTOS!$M$39),2)</f>
        <v>337.65</v>
      </c>
    </row>
    <row r="18" spans="12:22" ht="11.25" customHeight="1" x14ac:dyDescent="0.3">
      <c r="L18" s="145"/>
      <c r="M18" s="145"/>
      <c r="N18" s="145"/>
      <c r="O18" s="145"/>
      <c r="P18" s="79" t="s">
        <v>871</v>
      </c>
      <c r="Q18" s="77">
        <v>0</v>
      </c>
      <c r="R18" s="77">
        <f ca="1">ROUND(('TUSD BE'!$AM$38+'TUSD BF_350'!$AM$38+'TUSD CVA'!$AM$38)*(1-CUSTOS!$M$39),2)</f>
        <v>670.5</v>
      </c>
      <c r="S18" s="77">
        <f ca="1">ROUND(('TE BE'!$AB$29+'TE BF_350'!$AB$29+'TE CVA'!$AB$29)*(1-CUSTOS!$M$39),2)</f>
        <v>180.23</v>
      </c>
      <c r="T18" s="77">
        <v>0</v>
      </c>
      <c r="U18" s="77">
        <f ca="1">ROUND('TUSD BE'!$AM$38*(1-CUSTOS!$M$39),2)</f>
        <v>764.96</v>
      </c>
      <c r="V18" s="77">
        <f>ROUND('TE BE'!$AB$29*(1-CUSTOS!$M$39),2)</f>
        <v>208.81</v>
      </c>
    </row>
    <row r="19" spans="12:22" ht="11.25" customHeight="1" x14ac:dyDescent="0.3">
      <c r="L19" s="145"/>
      <c r="M19" s="146"/>
      <c r="N19" s="146"/>
      <c r="O19" s="146"/>
      <c r="P19" s="79" t="s">
        <v>864</v>
      </c>
      <c r="Q19" s="77">
        <v>0</v>
      </c>
      <c r="R19" s="77">
        <f ca="1">ROUND(('TUSD BE'!$AM$39+'TUSD BF_350'!$AM$39+'TUSD CVA'!$AM$39)*(1-CUSTOS!$M$39),2)</f>
        <v>302.19</v>
      </c>
      <c r="S19" s="77">
        <f ca="1">ROUND(('TE BE'!$AB$30+'TE BF_350'!$AB$30+'TE CVA'!$AB$30)*(1-CUSTOS!$M$39),2)</f>
        <v>180.23</v>
      </c>
      <c r="T19" s="77">
        <v>0</v>
      </c>
      <c r="U19" s="77">
        <f ca="1">ROUND('TUSD BE'!$AM$39*(1-CUSTOS!$M$39),2)</f>
        <v>336.37</v>
      </c>
      <c r="V19" s="77">
        <f>ROUND('TE BE'!$AB$30*(1-CUSTOS!$M$39),2)</f>
        <v>208.81</v>
      </c>
    </row>
    <row r="20" spans="12:22" ht="11.25" customHeight="1" x14ac:dyDescent="0.3">
      <c r="L20" s="145"/>
      <c r="M20" s="79" t="s">
        <v>872</v>
      </c>
      <c r="N20" s="79" t="s">
        <v>875</v>
      </c>
      <c r="O20" s="79" t="s">
        <v>877</v>
      </c>
      <c r="P20" s="79" t="s">
        <v>866</v>
      </c>
      <c r="Q20" s="77">
        <v>0</v>
      </c>
      <c r="R20" s="77">
        <f ca="1">ROUND(('TUSD BE'!$AM$45+'TUSD BF_350'!$AM$45+'TUSD CVA'!$AM$45)*(1-CUSTOS!$M$39),2)</f>
        <v>410.34</v>
      </c>
      <c r="S20" s="77">
        <f ca="1">ROUND(('TE BE'!$AB$36+'TE BF_350'!$AB$36+'TE CVA'!$AB$36)*(1-CUSTOS!$M$39),2)</f>
        <v>189.08</v>
      </c>
      <c r="T20" s="77">
        <v>0</v>
      </c>
      <c r="U20" s="77">
        <f ca="1">ROUND(('TUSD BE'!$AM$45)*(1-CUSTOS!$M$39),2)</f>
        <v>462.23</v>
      </c>
      <c r="V20" s="77">
        <f>ROUND(('TE BE'!$AB$36)*(1-CUSTOS!$M$39),2)</f>
        <v>219.54</v>
      </c>
    </row>
    <row r="21" spans="12:22" ht="11.25" customHeight="1" x14ac:dyDescent="0.3">
      <c r="L21" s="145"/>
      <c r="M21" s="79" t="s">
        <v>874</v>
      </c>
      <c r="N21" s="79" t="s">
        <v>875</v>
      </c>
      <c r="O21" s="79" t="s">
        <v>877</v>
      </c>
      <c r="P21" s="79" t="s">
        <v>866</v>
      </c>
      <c r="Q21" s="77">
        <v>0</v>
      </c>
      <c r="R21" s="77">
        <f ca="1">ROUND(('TUSD BE'!$AM$36+'TUSD BF_350'!$AM$36+'TUSD CVA'!$AM$36)*(1-CUSTOS!$M$39),2)</f>
        <v>410.34</v>
      </c>
      <c r="S21" s="77">
        <f ca="1">ROUND(('TE BE'!$AB$27+'TE BF_350'!$AB$27+'TE CVA'!$AB$27)*(1-CUSTOS!$M$39),2)</f>
        <v>189.08</v>
      </c>
      <c r="T21" s="77">
        <v>0</v>
      </c>
      <c r="U21" s="77">
        <f ca="1">ROUND(('TUSD BE'!$AM$36)*(1-CUSTOS!$M$39),2)</f>
        <v>462.23</v>
      </c>
      <c r="V21" s="77">
        <f>ROUND(('TE BE'!$AB$27)*(1-CUSTOS!$M$39),2)</f>
        <v>219.54</v>
      </c>
    </row>
    <row r="22" spans="12:22" ht="11.25" customHeight="1" x14ac:dyDescent="0.3">
      <c r="L22" s="145"/>
      <c r="M22" s="144" t="s">
        <v>869</v>
      </c>
      <c r="N22" s="144" t="s">
        <v>875</v>
      </c>
      <c r="O22" s="144" t="s">
        <v>878</v>
      </c>
      <c r="P22" s="79" t="s">
        <v>863</v>
      </c>
      <c r="Q22" s="77">
        <v>0</v>
      </c>
      <c r="R22" s="77">
        <f ca="1">ROUND(('TUSD BE'!$AM$41+'TUSD BF_350'!$AM$41+'TUSD CVA'!$AM$41)*(1-CUSTOS!$M$40),2)</f>
        <v>1038.81</v>
      </c>
      <c r="S22" s="77">
        <f ca="1">ROUND(('TE BE'!$AB$32+'TE BF_350'!$AB$32+'TE CVA'!$AB$32)*(1-CUSTOS!$M$40),2)</f>
        <v>286.5</v>
      </c>
      <c r="T22" s="77">
        <v>0</v>
      </c>
      <c r="U22" s="77">
        <f ca="1">ROUND('TUSD BE'!$AM$41*(1-CUSTOS!$M$40),2)</f>
        <v>1193.55</v>
      </c>
      <c r="V22" s="77">
        <f>ROUND('TE BE'!$AB$32*(1-CUSTOS!$M$40),2)</f>
        <v>337.65</v>
      </c>
    </row>
    <row r="23" spans="12:22" ht="11.25" customHeight="1" x14ac:dyDescent="0.3">
      <c r="L23" s="145"/>
      <c r="M23" s="145"/>
      <c r="N23" s="145"/>
      <c r="O23" s="145"/>
      <c r="P23" s="79" t="s">
        <v>871</v>
      </c>
      <c r="Q23" s="77">
        <v>0</v>
      </c>
      <c r="R23" s="77">
        <f ca="1">ROUND(('TUSD BE'!$AM$42+'TUSD BF_350'!$AM$42+'TUSD CVA'!$AM$42)*(1-CUSTOS!$M$40),2)</f>
        <v>670.5</v>
      </c>
      <c r="S23" s="77">
        <f ca="1">ROUND(('TE BE'!$AB$33+'TE BF_350'!$AB$33+'TE CVA'!$AB$33)*(1-CUSTOS!$M$40),2)</f>
        <v>180.23</v>
      </c>
      <c r="T23" s="77">
        <v>0</v>
      </c>
      <c r="U23" s="77">
        <f ca="1">ROUND('TUSD BE'!$AM$42*(1-CUSTOS!$M$40),2)</f>
        <v>764.96</v>
      </c>
      <c r="V23" s="77">
        <f>ROUND('TE BE'!$AB$33*(1-CUSTOS!$M$40),2)</f>
        <v>208.81</v>
      </c>
    </row>
    <row r="24" spans="12:22" ht="11.25" customHeight="1" x14ac:dyDescent="0.3">
      <c r="L24" s="145"/>
      <c r="M24" s="146"/>
      <c r="N24" s="146"/>
      <c r="O24" s="146"/>
      <c r="P24" s="79" t="s">
        <v>864</v>
      </c>
      <c r="Q24" s="77">
        <v>0</v>
      </c>
      <c r="R24" s="77">
        <f ca="1">ROUND(('TUSD BE'!$AM$43+'TUSD BF_350'!$AM$43+'TUSD CVA'!$AM$43)*(1-CUSTOS!$M$40),2)</f>
        <v>302.19</v>
      </c>
      <c r="S24" s="77">
        <f ca="1">ROUND(('TE BE'!$AB$34+'TE BF_350'!$AB$34+'TE CVA'!$AB$34)*(1-CUSTOS!$M$40),2)</f>
        <v>180.23</v>
      </c>
      <c r="T24" s="77">
        <v>0</v>
      </c>
      <c r="U24" s="77">
        <f ca="1">ROUND('TUSD BE'!$AM$43*(1-CUSTOS!$M$40),2)</f>
        <v>336.37</v>
      </c>
      <c r="V24" s="77">
        <f>ROUND('TE BE'!$AB$34*(1-CUSTOS!$M$40),2)</f>
        <v>208.81</v>
      </c>
    </row>
    <row r="25" spans="12:22" ht="11.25" customHeight="1" x14ac:dyDescent="0.3">
      <c r="L25" s="145"/>
      <c r="M25" s="79" t="s">
        <v>872</v>
      </c>
      <c r="N25" s="79" t="s">
        <v>875</v>
      </c>
      <c r="O25" s="79" t="s">
        <v>878</v>
      </c>
      <c r="P25" s="79" t="s">
        <v>866</v>
      </c>
      <c r="Q25" s="77">
        <v>0</v>
      </c>
      <c r="R25" s="77">
        <f ca="1">ROUND(('TUSD BE'!$AM$45+'TUSD BF_350'!$AM$45+'TUSD CVA'!$AM$45)*(1-CUSTOS!$M$40),2)</f>
        <v>410.34</v>
      </c>
      <c r="S25" s="77">
        <f ca="1">ROUND(('TE BE'!$AB$36+'TE BF_350'!$AB$36+'TE CVA'!$AB$36)*(1-CUSTOS!$M$40),2)</f>
        <v>189.08</v>
      </c>
      <c r="T25" s="77">
        <v>0</v>
      </c>
      <c r="U25" s="77">
        <f ca="1">ROUND(('TUSD BE'!$AM$45)*(1-CUSTOS!$M$40),2)</f>
        <v>462.23</v>
      </c>
      <c r="V25" s="77">
        <f>ROUND(('TE BE'!$AB$36)*(1-CUSTOS!$M$40),2)</f>
        <v>219.54</v>
      </c>
    </row>
    <row r="26" spans="12:22" ht="11.25" customHeight="1" x14ac:dyDescent="0.3">
      <c r="L26" s="146"/>
      <c r="M26" s="79" t="s">
        <v>874</v>
      </c>
      <c r="N26" s="79" t="s">
        <v>875</v>
      </c>
      <c r="O26" s="79" t="s">
        <v>878</v>
      </c>
      <c r="P26" s="79" t="s">
        <v>866</v>
      </c>
      <c r="Q26" s="77">
        <v>0</v>
      </c>
      <c r="R26" s="77">
        <f ca="1">ROUND(('TUSD BE'!$AM$36+'TUSD BF_350'!$AM$36+'TUSD CVA'!$AM$36)*(1-CUSTOS!$M$40),2)</f>
        <v>410.34</v>
      </c>
      <c r="S26" s="77">
        <f ca="1">ROUND(('TE BE'!$AB$27+'TE BF_350'!$AB$27+'TE CVA'!$AB$27)*(1-CUSTOS!$M$40),2)</f>
        <v>189.08</v>
      </c>
      <c r="T26" s="77">
        <v>0</v>
      </c>
      <c r="U26" s="77">
        <f ca="1">ROUND(('TUSD BE'!$AM$36)*(1-CUSTOS!$M$40),2)</f>
        <v>462.23</v>
      </c>
      <c r="V26" s="77">
        <f>ROUND(('TE BE'!$AB$27)*(1-CUSTOS!$M$40),2)</f>
        <v>219.54</v>
      </c>
    </row>
    <row r="27" spans="12:22" ht="11.25" customHeight="1" x14ac:dyDescent="0.3">
      <c r="L27" s="144" t="s">
        <v>37</v>
      </c>
      <c r="M27" s="144" t="s">
        <v>869</v>
      </c>
      <c r="N27" s="144" t="s">
        <v>866</v>
      </c>
      <c r="O27" s="144" t="s">
        <v>866</v>
      </c>
      <c r="P27" s="79" t="s">
        <v>863</v>
      </c>
      <c r="Q27" s="77">
        <v>0</v>
      </c>
      <c r="R27" s="77">
        <f ca="1">ROUND(('TUSD BE'!$AM$48+'TUSD BF_350'!$AM$48+'TUSD CVA'!$AM$48)*(1-CUSTOS!$M$31),2)</f>
        <v>1272.1199999999999</v>
      </c>
      <c r="S27" s="77">
        <f ca="1">ROUND(('TE BE'!$AB$39+'TE BF_350'!$AB$39+'TE CVA'!$AB$39)*(1-CUSTOS!$M$31),2)</f>
        <v>311.41000000000003</v>
      </c>
      <c r="T27" s="77">
        <v>0</v>
      </c>
      <c r="U27" s="77">
        <f ca="1">ROUND('TUSD BE'!$AM$48*(1-CUSTOS!$M$31),2)</f>
        <v>1463.71</v>
      </c>
      <c r="V27" s="77">
        <f>ROUND('TE BE'!$AB$39*(1-CUSTOS!$M$31),2)</f>
        <v>367.02</v>
      </c>
    </row>
    <row r="28" spans="12:22" ht="11.25" customHeight="1" x14ac:dyDescent="0.3">
      <c r="L28" s="145"/>
      <c r="M28" s="145"/>
      <c r="N28" s="145"/>
      <c r="O28" s="145"/>
      <c r="P28" s="79" t="s">
        <v>871</v>
      </c>
      <c r="Q28" s="77">
        <v>0</v>
      </c>
      <c r="R28" s="77">
        <f ca="1">ROUND(('TUSD BE'!$AM$49+'TUSD BF_350'!$AM$49+'TUSD CVA'!$AM$49)*(1-CUSTOS!$M$31),2)</f>
        <v>814.59</v>
      </c>
      <c r="S28" s="77">
        <f ca="1">ROUND(('TE BE'!$AB$40+'TE BF_350'!$AB$40+'TE CVA'!$AB$40)*(1-CUSTOS!$M$31),2)</f>
        <v>195.9</v>
      </c>
      <c r="T28" s="77">
        <v>0</v>
      </c>
      <c r="U28" s="77">
        <f ca="1">ROUND('TUSD BE'!$AM$49*(1-CUSTOS!$M$31),2)</f>
        <v>931.31</v>
      </c>
      <c r="V28" s="77">
        <f>ROUND('TE BE'!$AB$40*(1-CUSTOS!$M$31),2)</f>
        <v>226.96</v>
      </c>
    </row>
    <row r="29" spans="12:22" ht="11.25" customHeight="1" x14ac:dyDescent="0.3">
      <c r="L29" s="145"/>
      <c r="M29" s="146"/>
      <c r="N29" s="146"/>
      <c r="O29" s="146"/>
      <c r="P29" s="79" t="s">
        <v>864</v>
      </c>
      <c r="Q29" s="77">
        <v>0</v>
      </c>
      <c r="R29" s="77">
        <f ca="1">ROUND(('TUSD BE'!$AM$50+'TUSD BF_350'!$AM$50+'TUSD CVA'!$AM$50)*(1-CUSTOS!$M$31),2)</f>
        <v>357.06</v>
      </c>
      <c r="S29" s="77">
        <f ca="1">ROUND(('TE BE'!$AB$41+'TE BF_350'!$AB$41+'TE CVA'!$AB$41)*(1-CUSTOS!$M$31),2)</f>
        <v>195.9</v>
      </c>
      <c r="T29" s="77">
        <v>0</v>
      </c>
      <c r="U29" s="77">
        <f ca="1">ROUND('TUSD BE'!$AM$50*(1-CUSTOS!$M$31),2)</f>
        <v>398.9</v>
      </c>
      <c r="V29" s="77">
        <f>ROUND('TE BE'!$AB$41*(1-CUSTOS!$M$31),2)</f>
        <v>226.96</v>
      </c>
    </row>
    <row r="30" spans="12:22" ht="11.25" customHeight="1" x14ac:dyDescent="0.3">
      <c r="L30" s="145"/>
      <c r="M30" s="79" t="s">
        <v>872</v>
      </c>
      <c r="N30" s="79" t="s">
        <v>866</v>
      </c>
      <c r="O30" s="79" t="s">
        <v>866</v>
      </c>
      <c r="P30" s="79" t="s">
        <v>866</v>
      </c>
      <c r="Q30" s="77">
        <v>0</v>
      </c>
      <c r="R30" s="77">
        <f ca="1">ROUND(('TUSD BE'!$AM$52+'TUSD BF_350'!$AM$52+'TUSD CVA'!$AM$52)*(1-CUSTOS!$M$31),2)</f>
        <v>446.02</v>
      </c>
      <c r="S30" s="77">
        <f ca="1">ROUND(('TE BE'!$AB$43+'TE BF_350'!$AB$43+'TE CVA'!$AB$43)*(1-CUSTOS!$M$31),2)</f>
        <v>205.52</v>
      </c>
      <c r="T30" s="77">
        <v>0</v>
      </c>
      <c r="U30" s="77">
        <f ca="1">ROUND(('TUSD BE'!$AM$52)*(1-CUSTOS!$M$31),2)</f>
        <v>502.42</v>
      </c>
      <c r="V30" s="77">
        <f>ROUND(('TE BE'!$AB$43)*(1-CUSTOS!$M$31),2)</f>
        <v>238.63</v>
      </c>
    </row>
    <row r="31" spans="12:22" ht="11.25" customHeight="1" x14ac:dyDescent="0.3">
      <c r="L31" s="146"/>
      <c r="M31" s="79" t="s">
        <v>874</v>
      </c>
      <c r="N31" s="79" t="s">
        <v>866</v>
      </c>
      <c r="O31" s="79" t="s">
        <v>866</v>
      </c>
      <c r="P31" s="79" t="s">
        <v>866</v>
      </c>
      <c r="Q31" s="77">
        <v>0</v>
      </c>
      <c r="R31" s="77">
        <f ca="1">ROUND(('TUSD BE'!$AM$51+'TUSD BF_350'!$AM$51+'TUSD CVA'!$AM$51)*(1-CUSTOS!$M$31),2)</f>
        <v>446.02</v>
      </c>
      <c r="S31" s="77">
        <f ca="1">ROUND(('TE BE'!$AB$42+'TE BF_350'!$AB$42+'TE CVA'!$AB$42)*(1-CUSTOS!$M$31),2)</f>
        <v>205.52</v>
      </c>
      <c r="T31" s="77">
        <v>0</v>
      </c>
      <c r="U31" s="77">
        <f ca="1">ROUND(('TUSD BE'!$AM$51)*(1-CUSTOS!$M$31),2)</f>
        <v>502.42</v>
      </c>
      <c r="V31" s="77">
        <f>ROUND(('TE BE'!$AB$42)*(1-CUSTOS!$M$31),2)</f>
        <v>238.63</v>
      </c>
    </row>
    <row r="32" spans="12:22" ht="11.25" customHeight="1" x14ac:dyDescent="0.3">
      <c r="L32" s="144" t="s">
        <v>45</v>
      </c>
      <c r="M32" s="144" t="s">
        <v>874</v>
      </c>
      <c r="N32" s="144" t="s">
        <v>879</v>
      </c>
      <c r="O32" s="79" t="s">
        <v>880</v>
      </c>
      <c r="P32" s="79" t="s">
        <v>866</v>
      </c>
      <c r="Q32" s="77">
        <v>0</v>
      </c>
      <c r="R32" s="77">
        <f ca="1">ROUND(('TUSD BE'!$AM$53+'TUSD BF_350'!$AM$53+'TUSD CVA'!$AM$53),2)</f>
        <v>245.31</v>
      </c>
      <c r="S32" s="77">
        <f ca="1">ROUND(('TE BE'!$AB$44+'TE BF_350'!$AB$44+'TE CVA'!$AB$44),2)</f>
        <v>113.04</v>
      </c>
      <c r="T32" s="77">
        <v>0</v>
      </c>
      <c r="U32" s="77">
        <f ca="1">ROUND(('TUSD BE'!$AM$53),2)</f>
        <v>276.33</v>
      </c>
      <c r="V32" s="77">
        <f>ROUND(('TE BE'!$AB$44),2)</f>
        <v>131.25</v>
      </c>
    </row>
    <row r="33" spans="12:22" ht="11.25" customHeight="1" x14ac:dyDescent="0.3">
      <c r="L33" s="146"/>
      <c r="M33" s="146"/>
      <c r="N33" s="146"/>
      <c r="O33" s="79" t="s">
        <v>881</v>
      </c>
      <c r="P33" s="79" t="s">
        <v>866</v>
      </c>
      <c r="Q33" s="77">
        <v>0</v>
      </c>
      <c r="R33" s="77">
        <f ca="1">ROUND(('TUSD BE'!$AM$54+'TUSD BF_350'!$AM$54+'TUSD CVA'!$AM$54),2)</f>
        <v>267.61</v>
      </c>
      <c r="S33" s="77">
        <f ca="1">ROUND(('TE BE'!$AB$45+'TE BF_350'!$AB$45+'TE CVA'!$AB$45),2)</f>
        <v>123.31</v>
      </c>
      <c r="T33" s="77">
        <v>0</v>
      </c>
      <c r="U33" s="77">
        <f ca="1">ROUND(('TUSD BE'!$AM$54),2)</f>
        <v>301.45</v>
      </c>
      <c r="V33" s="77">
        <f>ROUND(('TE BE'!$AB$45),2)</f>
        <v>143.18</v>
      </c>
    </row>
    <row r="34" spans="12:22" ht="11.25" customHeight="1" x14ac:dyDescent="0.3">
      <c r="L34" s="144" t="s">
        <v>90</v>
      </c>
      <c r="M34" s="144" t="s">
        <v>882</v>
      </c>
      <c r="N34" s="79" t="s">
        <v>91</v>
      </c>
      <c r="O34" s="79" t="s">
        <v>866</v>
      </c>
      <c r="P34" s="79" t="s">
        <v>866</v>
      </c>
      <c r="Q34" s="77">
        <f ca="1">ROUND(('TUSD BE'!$AM$18+'TUSD BF_350'!$AM$18+'TUSD CVA'!$AM$18),2)</f>
        <v>6.1</v>
      </c>
      <c r="R34" s="77">
        <v>0</v>
      </c>
      <c r="S34" s="77">
        <v>0</v>
      </c>
      <c r="T34" s="77">
        <f ca="1">ROUND(('TUSD BE'!$AM$18),2)</f>
        <v>6.29</v>
      </c>
      <c r="U34" s="77">
        <v>0</v>
      </c>
      <c r="V34" s="77">
        <v>0</v>
      </c>
    </row>
    <row r="35" spans="12:22" ht="11.25" customHeight="1" x14ac:dyDescent="0.3">
      <c r="L35" s="146"/>
      <c r="M35" s="146"/>
      <c r="N35" s="79" t="s">
        <v>92</v>
      </c>
      <c r="O35" s="79" t="s">
        <v>866</v>
      </c>
      <c r="P35" s="79" t="s">
        <v>866</v>
      </c>
      <c r="Q35" s="77">
        <f ca="1">ROUND(('TUSD BE'!$AM$19+'TUSD BF_350'!$AM$19+'TUSD CVA'!$AM$19),2)</f>
        <v>15.64</v>
      </c>
      <c r="R35" s="77">
        <v>0</v>
      </c>
      <c r="S35" s="77">
        <v>0</v>
      </c>
      <c r="T35" s="77">
        <f ca="1">ROUND(('TUSD BE'!$AM$19),2)</f>
        <v>16.12</v>
      </c>
      <c r="U35" s="77">
        <v>0</v>
      </c>
      <c r="V35" s="77">
        <v>0</v>
      </c>
    </row>
  </sheetData>
  <mergeCells count="51">
    <mergeCell ref="L34:L35"/>
    <mergeCell ref="M34:M35"/>
    <mergeCell ref="L27:L31"/>
    <mergeCell ref="M27:M29"/>
    <mergeCell ref="N27:N29"/>
    <mergeCell ref="B9:B11"/>
    <mergeCell ref="C9:C11"/>
    <mergeCell ref="N5:N7"/>
    <mergeCell ref="O27:O29"/>
    <mergeCell ref="L32:L33"/>
    <mergeCell ref="M32:M33"/>
    <mergeCell ref="N32:N33"/>
    <mergeCell ref="O12:O14"/>
    <mergeCell ref="M17:M19"/>
    <mergeCell ref="N17:N19"/>
    <mergeCell ref="O17:O19"/>
    <mergeCell ref="M22:M24"/>
    <mergeCell ref="N22:N24"/>
    <mergeCell ref="O22:O24"/>
    <mergeCell ref="P2:P4"/>
    <mergeCell ref="Q2:S2"/>
    <mergeCell ref="T2:V2"/>
    <mergeCell ref="A5:A15"/>
    <mergeCell ref="B5:B6"/>
    <mergeCell ref="C5:C6"/>
    <mergeCell ref="L5:L11"/>
    <mergeCell ref="M5:M7"/>
    <mergeCell ref="B12:B14"/>
    <mergeCell ref="C12:C14"/>
    <mergeCell ref="L12:L26"/>
    <mergeCell ref="M12:M14"/>
    <mergeCell ref="N12:N14"/>
    <mergeCell ref="O5:O7"/>
    <mergeCell ref="B7:B8"/>
    <mergeCell ref="C7:C8"/>
    <mergeCell ref="E3:F3"/>
    <mergeCell ref="H3:I3"/>
    <mergeCell ref="Q3:R3"/>
    <mergeCell ref="T3:U3"/>
    <mergeCell ref="A1:J1"/>
    <mergeCell ref="L1:V1"/>
    <mergeCell ref="A2:A4"/>
    <mergeCell ref="B2:B4"/>
    <mergeCell ref="C2:C4"/>
    <mergeCell ref="D2:D4"/>
    <mergeCell ref="E2:G2"/>
    <mergeCell ref="H2:J2"/>
    <mergeCell ref="L2:L4"/>
    <mergeCell ref="M2:M4"/>
    <mergeCell ref="N2:N4"/>
    <mergeCell ref="O2:O4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E54D-ADFD-4097-A0B9-E9DE71009798}">
  <sheetPr>
    <tabColor theme="4" tint="-0.249977111117893"/>
  </sheetPr>
  <dimension ref="A1:J679"/>
  <sheetViews>
    <sheetView showGridLines="0" topLeftCell="E1" workbookViewId="0">
      <selection activeCell="J3" sqref="J3"/>
    </sheetView>
  </sheetViews>
  <sheetFormatPr defaultColWidth="9.109375" defaultRowHeight="11.25" customHeight="1" x14ac:dyDescent="0.2"/>
  <cols>
    <col min="1" max="1" width="13.77734375" style="14" bestFit="1" customWidth="1"/>
    <col min="2" max="2" width="23.21875" style="20" bestFit="1" customWidth="1"/>
    <col min="3" max="3" width="24.21875" style="20" bestFit="1" customWidth="1"/>
    <col min="4" max="4" width="24.44140625" style="20" bestFit="1" customWidth="1"/>
    <col min="5" max="5" width="25.5546875" style="20" bestFit="1" customWidth="1"/>
    <col min="6" max="6" width="22.44140625" style="20" bestFit="1" customWidth="1"/>
    <col min="7" max="7" width="23.44140625" style="20" bestFit="1" customWidth="1"/>
    <col min="8" max="8" width="17.109375" style="21" bestFit="1" customWidth="1"/>
    <col min="9" max="9" width="15" style="21" bestFit="1" customWidth="1"/>
    <col min="10" max="10" width="12.6640625" style="21" bestFit="1" customWidth="1"/>
    <col min="11" max="16384" width="9.109375" style="14"/>
  </cols>
  <sheetData>
    <row r="1" spans="1:10" ht="11.25" customHeight="1" x14ac:dyDescent="0.2">
      <c r="A1" s="19" t="s">
        <v>760</v>
      </c>
      <c r="B1" s="159" t="s">
        <v>761</v>
      </c>
      <c r="C1" s="159" t="s">
        <v>762</v>
      </c>
      <c r="D1" s="159" t="s">
        <v>763</v>
      </c>
      <c r="E1" s="159" t="s">
        <v>764</v>
      </c>
      <c r="F1" s="159" t="s">
        <v>765</v>
      </c>
      <c r="G1" s="159" t="s">
        <v>766</v>
      </c>
      <c r="H1" s="21" t="s">
        <v>767</v>
      </c>
      <c r="I1" s="21" t="s">
        <v>768</v>
      </c>
      <c r="J1" s="21" t="s">
        <v>769</v>
      </c>
    </row>
    <row r="2" spans="1:10" ht="11.25" customHeight="1" x14ac:dyDescent="0.2">
      <c r="A2" s="22" t="s">
        <v>39</v>
      </c>
      <c r="B2" s="159">
        <v>3808432.227076943</v>
      </c>
      <c r="C2" s="159">
        <v>3982081.3232774921</v>
      </c>
      <c r="D2" s="159">
        <v>2950050.7808698253</v>
      </c>
      <c r="E2" s="159">
        <v>3119260.6713035544</v>
      </c>
      <c r="F2" s="159">
        <v>3252057.2305124565</v>
      </c>
      <c r="G2" s="159">
        <v>3407565.1931590177</v>
      </c>
      <c r="H2" s="21">
        <v>5.0730169215656318E-2</v>
      </c>
      <c r="I2" s="21">
        <v>4.7818335171812665E-2</v>
      </c>
      <c r="J2" s="21">
        <v>4.9784221171818244E-2</v>
      </c>
    </row>
    <row r="3" spans="1:10" ht="11.25" customHeight="1" x14ac:dyDescent="0.2">
      <c r="A3" s="23" t="s">
        <v>56</v>
      </c>
      <c r="B3" s="159">
        <v>768754.18000000017</v>
      </c>
      <c r="C3" s="159">
        <v>1090208.7134468805</v>
      </c>
      <c r="D3" s="159">
        <v>71138.593440000011</v>
      </c>
      <c r="E3" s="159">
        <v>60950.444458814884</v>
      </c>
      <c r="F3" s="159">
        <v>1016382.2464612559</v>
      </c>
      <c r="G3" s="159">
        <v>1099876.5909825827</v>
      </c>
      <c r="H3" s="21">
        <v>0.37060252726169129</v>
      </c>
      <c r="I3" s="21">
        <v>8.2148566459153916E-2</v>
      </c>
      <c r="J3" s="21">
        <v>0.21266284615952058</v>
      </c>
    </row>
    <row r="4" spans="1:10" ht="11.25" customHeight="1" x14ac:dyDescent="0.2">
      <c r="A4" s="23" t="s">
        <v>40</v>
      </c>
      <c r="B4" s="159">
        <v>3039678.0470769429</v>
      </c>
      <c r="C4" s="159">
        <v>2891872.6098306119</v>
      </c>
      <c r="D4" s="159">
        <v>2878912.1874298253</v>
      </c>
      <c r="E4" s="159">
        <v>3058310.2268447396</v>
      </c>
      <c r="F4" s="159">
        <v>2235674.9840512006</v>
      </c>
      <c r="G4" s="159">
        <v>2307688.6021764353</v>
      </c>
      <c r="H4" s="21">
        <v>5.3378593409612041E-3</v>
      </c>
      <c r="I4" s="21">
        <v>3.221113025773592E-2</v>
      </c>
      <c r="J4" s="21">
        <v>1.2705770233965907E-2</v>
      </c>
    </row>
    <row r="5" spans="1:10" ht="11.25" customHeight="1" x14ac:dyDescent="0.2">
      <c r="A5" s="22" t="s">
        <v>22</v>
      </c>
      <c r="B5" s="159">
        <v>0</v>
      </c>
      <c r="C5" s="159">
        <v>0</v>
      </c>
      <c r="D5" s="159">
        <v>8899216.1056600045</v>
      </c>
      <c r="E5" s="159">
        <v>9741600.7580365166</v>
      </c>
      <c r="F5" s="159">
        <v>4432817.8783230009</v>
      </c>
      <c r="G5" s="159">
        <v>4577433.3722882653</v>
      </c>
      <c r="H5" s="21">
        <v>9.4658298256263596E-2</v>
      </c>
      <c r="I5" s="21">
        <v>3.2623829341704491E-2</v>
      </c>
      <c r="J5" s="21">
        <v>7.4032225504941707E-2</v>
      </c>
    </row>
    <row r="6" spans="1:10" ht="11.25" customHeight="1" x14ac:dyDescent="0.2">
      <c r="A6" s="23" t="s">
        <v>33</v>
      </c>
      <c r="B6" s="159">
        <v>0</v>
      </c>
      <c r="C6" s="159">
        <v>0</v>
      </c>
      <c r="D6" s="159">
        <v>2436.1376399999999</v>
      </c>
      <c r="E6" s="159">
        <v>2879.2760780642798</v>
      </c>
      <c r="F6" s="159">
        <v>1372.9061199999999</v>
      </c>
      <c r="G6" s="159">
        <v>1418.0388200209177</v>
      </c>
      <c r="H6" s="21">
        <v>0.18190205298263851</v>
      </c>
      <c r="I6" s="21">
        <v>3.2873842838516687E-2</v>
      </c>
      <c r="J6" s="21">
        <v>0.12818732701700375</v>
      </c>
    </row>
    <row r="7" spans="1:10" ht="11.25" customHeight="1" x14ac:dyDescent="0.2">
      <c r="A7" s="23" t="s">
        <v>23</v>
      </c>
      <c r="B7" s="159">
        <v>0</v>
      </c>
      <c r="C7" s="159">
        <v>0</v>
      </c>
      <c r="D7" s="159">
        <v>8896779.9680200052</v>
      </c>
      <c r="E7" s="159">
        <v>9738721.4819584526</v>
      </c>
      <c r="F7" s="159">
        <v>4431444.9722030004</v>
      </c>
      <c r="G7" s="159">
        <v>4576015.3334682444</v>
      </c>
      <c r="H7" s="21">
        <v>9.4634408961990157E-2</v>
      </c>
      <c r="I7" s="21">
        <v>3.2623751885014096E-2</v>
      </c>
      <c r="J7" s="21">
        <v>7.401674863893648E-2</v>
      </c>
    </row>
    <row r="8" spans="1:10" ht="11.25" customHeight="1" x14ac:dyDescent="0.2">
      <c r="A8" s="22" t="s">
        <v>42</v>
      </c>
      <c r="B8" s="159">
        <v>0</v>
      </c>
      <c r="C8" s="159">
        <v>0</v>
      </c>
      <c r="D8" s="159">
        <v>6672341.7710740007</v>
      </c>
      <c r="E8" s="159">
        <v>7819904.1511015249</v>
      </c>
      <c r="F8" s="159">
        <v>3266836.3144799997</v>
      </c>
      <c r="G8" s="159">
        <v>3603347.8345978656</v>
      </c>
      <c r="H8" s="21">
        <v>0.17198794956853813</v>
      </c>
      <c r="I8" s="21">
        <v>0.10300838111364952</v>
      </c>
      <c r="J8" s="21">
        <v>0.14931555581063627</v>
      </c>
    </row>
    <row r="9" spans="1:10" ht="11.25" customHeight="1" x14ac:dyDescent="0.2">
      <c r="A9" s="23" t="s">
        <v>33</v>
      </c>
      <c r="B9" s="159">
        <v>0</v>
      </c>
      <c r="C9" s="159">
        <v>0</v>
      </c>
      <c r="D9" s="159">
        <v>1020.36937</v>
      </c>
      <c r="E9" s="159">
        <v>1300.7298851206322</v>
      </c>
      <c r="F9" s="159">
        <v>548.10654000000011</v>
      </c>
      <c r="G9" s="159">
        <v>604.88682167303409</v>
      </c>
      <c r="H9" s="21">
        <v>0.2747637506216325</v>
      </c>
      <c r="I9" s="21">
        <v>0.10359351244565329</v>
      </c>
      <c r="J9" s="21">
        <v>0.21494802352027587</v>
      </c>
    </row>
    <row r="10" spans="1:10" ht="11.25" customHeight="1" x14ac:dyDescent="0.2">
      <c r="A10" s="23" t="s">
        <v>23</v>
      </c>
      <c r="B10" s="159">
        <v>0</v>
      </c>
      <c r="C10" s="159">
        <v>0</v>
      </c>
      <c r="D10" s="159">
        <v>6671321.4017040003</v>
      </c>
      <c r="E10" s="159">
        <v>7818603.4212164041</v>
      </c>
      <c r="F10" s="159">
        <v>3266288.2079399996</v>
      </c>
      <c r="G10" s="159">
        <v>3602742.9477761923</v>
      </c>
      <c r="H10" s="21">
        <v>0.17197223015209007</v>
      </c>
      <c r="I10" s="21">
        <v>0.10300828292442388</v>
      </c>
      <c r="J10" s="21">
        <v>0.14930519688645227</v>
      </c>
    </row>
    <row r="11" spans="1:10" ht="11.25" customHeight="1" x14ac:dyDescent="0.2">
      <c r="A11" s="22" t="s">
        <v>37</v>
      </c>
      <c r="B11" s="159">
        <v>0</v>
      </c>
      <c r="C11" s="159">
        <v>0</v>
      </c>
      <c r="D11" s="159">
        <v>4791242.2508452013</v>
      </c>
      <c r="E11" s="159">
        <v>5270220.1430396894</v>
      </c>
      <c r="F11" s="159">
        <v>2343633.3278737999</v>
      </c>
      <c r="G11" s="159">
        <v>2426095.9385259552</v>
      </c>
      <c r="H11" s="21">
        <v>9.996945825688397E-2</v>
      </c>
      <c r="I11" s="21">
        <v>3.5185798764420184E-2</v>
      </c>
      <c r="J11" s="21">
        <v>7.8689599650656472E-2</v>
      </c>
    </row>
    <row r="12" spans="1:10" ht="11.25" customHeight="1" x14ac:dyDescent="0.2">
      <c r="A12" s="23" t="s">
        <v>33</v>
      </c>
      <c r="B12" s="159">
        <v>0</v>
      </c>
      <c r="C12" s="159">
        <v>0</v>
      </c>
      <c r="D12" s="159">
        <v>13037.7249276</v>
      </c>
      <c r="E12" s="159">
        <v>14742.963176896837</v>
      </c>
      <c r="F12" s="159">
        <v>4250.1565823999999</v>
      </c>
      <c r="G12" s="159">
        <v>4418.7761352789676</v>
      </c>
      <c r="H12" s="21">
        <v>0.13079262361847821</v>
      </c>
      <c r="I12" s="21">
        <v>3.967372721683371E-2</v>
      </c>
      <c r="J12" s="21">
        <v>0.10839140707274586</v>
      </c>
    </row>
    <row r="13" spans="1:10" ht="11.25" customHeight="1" x14ac:dyDescent="0.2">
      <c r="A13" s="23" t="s">
        <v>23</v>
      </c>
      <c r="B13" s="159">
        <v>0</v>
      </c>
      <c r="C13" s="159">
        <v>0</v>
      </c>
      <c r="D13" s="159">
        <v>4778204.5259176018</v>
      </c>
      <c r="E13" s="159">
        <v>5255477.1798627926</v>
      </c>
      <c r="F13" s="159">
        <v>2339383.1712913997</v>
      </c>
      <c r="G13" s="159">
        <v>2421677.1623906763</v>
      </c>
      <c r="H13" s="21">
        <v>9.9885354709368768E-2</v>
      </c>
      <c r="I13" s="21">
        <v>3.5177645162698168E-2</v>
      </c>
      <c r="J13" s="21">
        <v>7.861745704431411E-2</v>
      </c>
    </row>
    <row r="14" spans="1:10" ht="11.25" customHeight="1" x14ac:dyDescent="0.2">
      <c r="A14" s="22" t="s">
        <v>45</v>
      </c>
      <c r="B14" s="159">
        <v>0</v>
      </c>
      <c r="C14" s="159">
        <v>0</v>
      </c>
      <c r="D14" s="159">
        <v>976066.27011000016</v>
      </c>
      <c r="E14" s="159">
        <v>1070894.2555306063</v>
      </c>
      <c r="F14" s="159">
        <v>477883.51262999995</v>
      </c>
      <c r="G14" s="159">
        <v>493458.55251559499</v>
      </c>
      <c r="H14" s="21">
        <v>9.7153224452596998E-2</v>
      </c>
      <c r="I14" s="21">
        <v>3.2591707966401318E-2</v>
      </c>
      <c r="J14" s="21">
        <v>7.5933176383949252E-2</v>
      </c>
    </row>
    <row r="15" spans="1:10" ht="11.25" customHeight="1" x14ac:dyDescent="0.2">
      <c r="A15" s="23" t="s">
        <v>23</v>
      </c>
      <c r="B15" s="159">
        <v>0</v>
      </c>
      <c r="C15" s="159">
        <v>0</v>
      </c>
      <c r="D15" s="159">
        <v>976066.27011000016</v>
      </c>
      <c r="E15" s="159">
        <v>1070894.2555306063</v>
      </c>
      <c r="F15" s="159">
        <v>477883.51262999995</v>
      </c>
      <c r="G15" s="159">
        <v>493458.55251559499</v>
      </c>
      <c r="H15" s="21">
        <v>9.7153224452596998E-2</v>
      </c>
      <c r="I15" s="21">
        <v>3.2591707966401318E-2</v>
      </c>
      <c r="J15" s="21">
        <v>7.5933176383949252E-2</v>
      </c>
    </row>
    <row r="16" spans="1:10" ht="11.25" customHeight="1" x14ac:dyDescent="0.2">
      <c r="A16"/>
      <c r="B16"/>
      <c r="C16"/>
      <c r="D16"/>
      <c r="E16"/>
      <c r="F16"/>
      <c r="G16"/>
      <c r="H16"/>
      <c r="I16"/>
      <c r="J16"/>
    </row>
    <row r="17" spans="1:10" ht="11.25" customHeight="1" x14ac:dyDescent="0.2">
      <c r="A17"/>
      <c r="B17"/>
      <c r="C17"/>
      <c r="D17"/>
      <c r="E17"/>
      <c r="F17"/>
      <c r="G17"/>
      <c r="H17"/>
      <c r="I17"/>
      <c r="J17"/>
    </row>
    <row r="18" spans="1:10" ht="11.25" customHeight="1" x14ac:dyDescent="0.2">
      <c r="A18"/>
      <c r="B18"/>
      <c r="C18"/>
      <c r="D18"/>
      <c r="E18"/>
      <c r="F18"/>
      <c r="G18"/>
      <c r="H18"/>
      <c r="I18"/>
      <c r="J18"/>
    </row>
    <row r="19" spans="1:10" ht="11.25" customHeight="1" x14ac:dyDescent="0.2">
      <c r="A19"/>
      <c r="B19"/>
      <c r="C19"/>
      <c r="D19"/>
      <c r="E19"/>
      <c r="F19"/>
      <c r="G19"/>
      <c r="H19"/>
      <c r="I19"/>
      <c r="J19"/>
    </row>
    <row r="20" spans="1:10" ht="11.25" customHeight="1" x14ac:dyDescent="0.2">
      <c r="A20"/>
      <c r="B20"/>
      <c r="C20"/>
      <c r="D20"/>
      <c r="E20"/>
      <c r="F20"/>
      <c r="G20"/>
      <c r="H20"/>
      <c r="I20"/>
      <c r="J20"/>
    </row>
    <row r="21" spans="1:10" ht="11.25" customHeight="1" x14ac:dyDescent="0.2">
      <c r="A21"/>
      <c r="B21"/>
      <c r="C21"/>
      <c r="D21"/>
      <c r="E21"/>
      <c r="F21"/>
      <c r="G21"/>
      <c r="H21"/>
      <c r="I21"/>
      <c r="J21"/>
    </row>
    <row r="22" spans="1:10" ht="11.25" customHeight="1" x14ac:dyDescent="0.2">
      <c r="A22"/>
      <c r="B22"/>
      <c r="C22"/>
      <c r="D22"/>
      <c r="E22"/>
      <c r="F22"/>
      <c r="G22"/>
      <c r="H22"/>
      <c r="I22"/>
      <c r="J22"/>
    </row>
    <row r="23" spans="1:10" ht="11.25" customHeight="1" x14ac:dyDescent="0.2">
      <c r="A23"/>
      <c r="B23"/>
      <c r="C23"/>
      <c r="D23"/>
      <c r="E23"/>
      <c r="F23"/>
      <c r="G23"/>
      <c r="H23"/>
      <c r="I23"/>
      <c r="J23"/>
    </row>
    <row r="24" spans="1:10" ht="11.25" customHeight="1" x14ac:dyDescent="0.2">
      <c r="A24"/>
      <c r="B24"/>
      <c r="C24"/>
      <c r="D24"/>
      <c r="E24"/>
      <c r="F24"/>
      <c r="G24"/>
      <c r="H24"/>
      <c r="I24"/>
      <c r="J24"/>
    </row>
    <row r="25" spans="1:10" ht="11.25" customHeight="1" x14ac:dyDescent="0.2">
      <c r="A25"/>
      <c r="B25"/>
      <c r="C25"/>
      <c r="D25"/>
      <c r="E25"/>
      <c r="F25"/>
      <c r="G25"/>
      <c r="H25"/>
      <c r="I25"/>
      <c r="J25"/>
    </row>
    <row r="26" spans="1:10" ht="11.25" customHeight="1" x14ac:dyDescent="0.2">
      <c r="A26"/>
      <c r="B26"/>
      <c r="C26"/>
      <c r="D26"/>
      <c r="E26"/>
      <c r="F26"/>
      <c r="G26"/>
      <c r="H26"/>
      <c r="I26"/>
      <c r="J26"/>
    </row>
    <row r="27" spans="1:10" ht="11.25" customHeight="1" x14ac:dyDescent="0.2">
      <c r="A27"/>
      <c r="B27"/>
      <c r="C27"/>
      <c r="D27"/>
      <c r="E27"/>
      <c r="F27"/>
      <c r="G27"/>
      <c r="H27"/>
      <c r="I27"/>
      <c r="J27"/>
    </row>
    <row r="28" spans="1:10" ht="11.25" customHeight="1" x14ac:dyDescent="0.2">
      <c r="A28"/>
      <c r="B28"/>
      <c r="C28"/>
      <c r="D28"/>
      <c r="E28"/>
      <c r="F28"/>
      <c r="G28"/>
      <c r="H28"/>
      <c r="I28"/>
      <c r="J28"/>
    </row>
    <row r="29" spans="1:10" ht="11.25" customHeight="1" x14ac:dyDescent="0.2">
      <c r="A29"/>
      <c r="B29"/>
      <c r="C29"/>
      <c r="D29"/>
      <c r="E29"/>
      <c r="F29"/>
      <c r="G29"/>
      <c r="H29"/>
      <c r="I29"/>
      <c r="J29"/>
    </row>
    <row r="30" spans="1:10" ht="11.25" customHeight="1" x14ac:dyDescent="0.2">
      <c r="A30"/>
      <c r="B30"/>
      <c r="C30"/>
      <c r="D30"/>
      <c r="E30"/>
      <c r="F30"/>
      <c r="G30"/>
      <c r="H30"/>
      <c r="I30"/>
      <c r="J30"/>
    </row>
    <row r="31" spans="1:10" ht="11.25" customHeight="1" x14ac:dyDescent="0.2">
      <c r="A31"/>
      <c r="B31"/>
      <c r="C31"/>
      <c r="D31"/>
      <c r="E31"/>
      <c r="F31"/>
      <c r="G31"/>
      <c r="H31"/>
      <c r="I31"/>
      <c r="J31"/>
    </row>
    <row r="32" spans="1:10" ht="11.25" customHeight="1" x14ac:dyDescent="0.2">
      <c r="A32"/>
      <c r="B32"/>
      <c r="C32"/>
      <c r="D32"/>
      <c r="E32"/>
      <c r="F32"/>
      <c r="G32"/>
      <c r="H32"/>
      <c r="I32"/>
      <c r="J32"/>
    </row>
    <row r="33" spans="1:10" ht="11.25" customHeight="1" x14ac:dyDescent="0.2">
      <c r="A33"/>
      <c r="B33"/>
      <c r="C33"/>
      <c r="D33"/>
      <c r="E33"/>
      <c r="F33"/>
      <c r="G33"/>
      <c r="H33"/>
      <c r="I33"/>
      <c r="J33"/>
    </row>
    <row r="34" spans="1:10" ht="11.25" customHeight="1" x14ac:dyDescent="0.2">
      <c r="A34"/>
      <c r="B34"/>
      <c r="C34"/>
      <c r="D34"/>
      <c r="E34"/>
      <c r="F34"/>
      <c r="G34"/>
      <c r="H34"/>
      <c r="I34"/>
      <c r="J34"/>
    </row>
    <row r="35" spans="1:10" ht="11.25" customHeight="1" x14ac:dyDescent="0.2">
      <c r="A35"/>
      <c r="B35"/>
      <c r="C35"/>
      <c r="D35"/>
      <c r="E35"/>
      <c r="F35"/>
      <c r="G35"/>
      <c r="H35"/>
      <c r="I35"/>
      <c r="J35"/>
    </row>
    <row r="36" spans="1:10" ht="11.25" customHeight="1" x14ac:dyDescent="0.2">
      <c r="A36"/>
      <c r="B36"/>
      <c r="C36"/>
      <c r="D36"/>
      <c r="E36"/>
      <c r="F36"/>
      <c r="G36"/>
      <c r="H36"/>
      <c r="I36"/>
      <c r="J36"/>
    </row>
    <row r="37" spans="1:10" ht="11.25" customHeight="1" x14ac:dyDescent="0.2">
      <c r="A37"/>
      <c r="B37"/>
      <c r="C37"/>
      <c r="D37"/>
      <c r="E37"/>
      <c r="F37"/>
      <c r="G37"/>
      <c r="H37"/>
      <c r="I37"/>
      <c r="J37"/>
    </row>
    <row r="38" spans="1:10" ht="11.25" customHeight="1" x14ac:dyDescent="0.2">
      <c r="A38"/>
      <c r="B38"/>
      <c r="C38"/>
      <c r="D38"/>
      <c r="E38"/>
      <c r="F38"/>
      <c r="G38"/>
      <c r="H38"/>
      <c r="I38"/>
      <c r="J38"/>
    </row>
    <row r="39" spans="1:10" ht="11.25" customHeight="1" x14ac:dyDescent="0.2">
      <c r="A39"/>
      <c r="B39"/>
      <c r="C39"/>
      <c r="D39"/>
      <c r="E39"/>
      <c r="F39"/>
      <c r="G39"/>
      <c r="H39"/>
      <c r="I39"/>
      <c r="J39"/>
    </row>
    <row r="40" spans="1:10" ht="11.25" customHeight="1" x14ac:dyDescent="0.2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2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2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2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2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2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2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2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2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2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2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2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2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2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2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2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2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2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2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2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2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2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2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2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2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2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2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2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2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2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2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2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2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2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2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2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2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2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2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2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2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2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2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2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2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2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2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2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2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2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2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2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2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2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2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2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2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2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2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2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2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2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2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2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2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2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2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2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2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2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2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2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2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2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2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2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2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2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2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2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2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2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2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2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2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2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2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2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2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2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2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2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2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2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2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2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2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2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2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2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2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2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2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2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2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2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2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2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2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2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2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2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2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2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2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2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2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2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2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2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2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2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2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2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2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2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2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2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2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2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2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2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2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2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2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2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2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2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2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2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2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2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2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2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2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2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2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2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2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2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2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2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2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2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2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2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2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2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2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2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2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2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2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2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2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2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2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2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2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2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2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2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2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2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2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2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2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2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2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2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2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2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2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2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2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2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2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2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2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2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2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2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2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2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2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2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2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2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2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2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2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2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2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2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2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2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2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2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2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2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2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2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2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2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2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2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2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2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2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2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2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2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2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2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2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2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2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2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2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2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2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2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2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2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2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2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2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2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2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2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2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2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2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2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2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2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2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2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2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2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2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2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2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2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2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2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2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2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2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2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2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2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2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2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2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2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2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2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2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2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2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2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2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2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2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2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2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2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2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2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2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2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2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2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2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2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2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2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2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2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2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2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2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2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2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2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2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2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2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2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2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2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2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2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2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2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2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2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2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2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2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2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2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2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2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2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2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2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2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2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2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2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2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2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2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2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2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2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2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2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2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2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2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2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2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2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2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2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2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2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2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2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2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2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2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2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2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2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2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2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2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2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2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2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2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2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2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2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2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2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2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2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2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2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2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2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2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2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2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2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2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2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2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2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2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2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2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2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2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2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2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2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2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2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2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2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2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2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2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2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2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2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2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2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2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2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2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2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2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2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2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2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2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2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2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2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2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2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2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2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2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2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2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2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2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2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2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2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2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2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2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2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2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2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2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2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2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2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2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2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2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2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2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2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2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2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2">
      <c r="A476"/>
      <c r="B476"/>
      <c r="C476"/>
      <c r="D476"/>
      <c r="E476"/>
      <c r="F476"/>
      <c r="G476"/>
      <c r="H476"/>
      <c r="I476"/>
      <c r="J476"/>
    </row>
    <row r="477" spans="1:10" ht="11.25" customHeight="1" x14ac:dyDescent="0.2">
      <c r="A477"/>
      <c r="B477"/>
      <c r="C477"/>
      <c r="D477"/>
      <c r="E477"/>
      <c r="F477"/>
      <c r="G477"/>
      <c r="H477"/>
      <c r="I477"/>
      <c r="J477"/>
    </row>
    <row r="478" spans="1:10" ht="11.25" customHeight="1" x14ac:dyDescent="0.2">
      <c r="A478"/>
      <c r="B478"/>
      <c r="C478"/>
      <c r="D478"/>
      <c r="E478"/>
      <c r="F478"/>
      <c r="G478"/>
      <c r="H478"/>
      <c r="I478"/>
      <c r="J478"/>
    </row>
    <row r="479" spans="1:10" ht="11.25" customHeight="1" x14ac:dyDescent="0.2">
      <c r="A479"/>
      <c r="B479"/>
      <c r="C479"/>
      <c r="D479"/>
      <c r="E479"/>
      <c r="F479"/>
      <c r="G479"/>
      <c r="H479"/>
      <c r="I479"/>
      <c r="J479"/>
    </row>
    <row r="480" spans="1:10" ht="11.25" customHeight="1" x14ac:dyDescent="0.2">
      <c r="A480"/>
      <c r="B480"/>
      <c r="C480"/>
      <c r="D480"/>
      <c r="E480"/>
      <c r="F480"/>
      <c r="G480"/>
      <c r="H480"/>
      <c r="I480"/>
      <c r="J480"/>
    </row>
    <row r="481" spans="1:10" ht="11.25" customHeight="1" x14ac:dyDescent="0.2">
      <c r="A481"/>
      <c r="B481"/>
      <c r="C481"/>
      <c r="D481"/>
      <c r="E481"/>
      <c r="F481"/>
      <c r="G481"/>
      <c r="H481"/>
      <c r="I481"/>
      <c r="J481"/>
    </row>
    <row r="482" spans="1:10" ht="11.25" customHeight="1" x14ac:dyDescent="0.2">
      <c r="A482"/>
      <c r="B482"/>
      <c r="C482"/>
      <c r="D482"/>
      <c r="E482"/>
      <c r="F482"/>
      <c r="G482"/>
      <c r="H482"/>
      <c r="I482"/>
      <c r="J482"/>
    </row>
    <row r="483" spans="1:10" ht="11.25" customHeight="1" x14ac:dyDescent="0.2">
      <c r="A483"/>
      <c r="B483"/>
      <c r="C483"/>
      <c r="D483"/>
      <c r="E483"/>
      <c r="F483"/>
      <c r="G483"/>
      <c r="H483"/>
      <c r="I483"/>
      <c r="J483"/>
    </row>
    <row r="484" spans="1:10" ht="11.25" customHeight="1" x14ac:dyDescent="0.2">
      <c r="A484"/>
      <c r="B484"/>
      <c r="C484"/>
      <c r="D484"/>
      <c r="E484"/>
      <c r="F484"/>
      <c r="G484"/>
      <c r="H484"/>
      <c r="I484"/>
      <c r="J484"/>
    </row>
    <row r="485" spans="1:10" ht="11.25" customHeight="1" x14ac:dyDescent="0.2">
      <c r="A485"/>
      <c r="B485"/>
      <c r="C485"/>
      <c r="D485"/>
      <c r="E485"/>
      <c r="F485"/>
      <c r="G485"/>
      <c r="H485"/>
      <c r="I485"/>
      <c r="J485"/>
    </row>
    <row r="486" spans="1:10" ht="11.25" customHeight="1" x14ac:dyDescent="0.2">
      <c r="A486"/>
      <c r="B486"/>
      <c r="C486"/>
      <c r="D486"/>
      <c r="E486"/>
      <c r="F486"/>
      <c r="G486"/>
      <c r="H486"/>
      <c r="I486"/>
      <c r="J486"/>
    </row>
    <row r="487" spans="1:10" ht="11.25" customHeight="1" x14ac:dyDescent="0.2">
      <c r="A487"/>
      <c r="B487"/>
      <c r="C487"/>
      <c r="D487"/>
      <c r="E487"/>
      <c r="F487"/>
      <c r="G487"/>
      <c r="H487"/>
      <c r="I487"/>
      <c r="J487"/>
    </row>
    <row r="488" spans="1:10" ht="11.25" customHeight="1" x14ac:dyDescent="0.2">
      <c r="A488"/>
      <c r="B488"/>
      <c r="C488"/>
      <c r="D488"/>
      <c r="E488"/>
      <c r="F488"/>
      <c r="G488"/>
      <c r="H488"/>
      <c r="I488"/>
      <c r="J488"/>
    </row>
    <row r="489" spans="1:10" ht="11.25" customHeight="1" x14ac:dyDescent="0.2">
      <c r="A489"/>
      <c r="B489"/>
      <c r="C489"/>
      <c r="D489"/>
      <c r="E489"/>
      <c r="F489"/>
      <c r="G489"/>
      <c r="H489"/>
      <c r="I489"/>
      <c r="J489"/>
    </row>
    <row r="490" spans="1:10" ht="11.25" customHeight="1" x14ac:dyDescent="0.2">
      <c r="A490"/>
      <c r="B490"/>
      <c r="C490"/>
      <c r="D490"/>
      <c r="E490"/>
      <c r="F490"/>
      <c r="G490"/>
      <c r="H490"/>
      <c r="I490"/>
      <c r="J490"/>
    </row>
    <row r="491" spans="1:10" ht="11.25" customHeight="1" x14ac:dyDescent="0.2">
      <c r="A491"/>
      <c r="B491"/>
      <c r="C491"/>
      <c r="D491"/>
      <c r="E491"/>
      <c r="F491"/>
      <c r="G491"/>
      <c r="H491"/>
      <c r="I491"/>
      <c r="J491"/>
    </row>
    <row r="492" spans="1:10" ht="11.25" customHeight="1" x14ac:dyDescent="0.2">
      <c r="A492"/>
      <c r="B492"/>
      <c r="C492"/>
      <c r="D492"/>
      <c r="E492"/>
      <c r="F492"/>
      <c r="G492"/>
      <c r="H492"/>
      <c r="I492"/>
      <c r="J492"/>
    </row>
    <row r="493" spans="1:10" ht="11.25" customHeight="1" x14ac:dyDescent="0.2">
      <c r="A493"/>
      <c r="B493"/>
      <c r="C493"/>
      <c r="D493"/>
      <c r="E493"/>
      <c r="F493"/>
      <c r="G493"/>
      <c r="H493"/>
      <c r="I493"/>
      <c r="J493"/>
    </row>
    <row r="494" spans="1:10" ht="11.25" customHeight="1" x14ac:dyDescent="0.2">
      <c r="A494"/>
      <c r="B494"/>
      <c r="C494"/>
      <c r="D494"/>
      <c r="E494"/>
      <c r="F494"/>
      <c r="G494"/>
      <c r="H494"/>
      <c r="I494"/>
      <c r="J494"/>
    </row>
    <row r="495" spans="1:10" ht="11.25" customHeight="1" x14ac:dyDescent="0.2">
      <c r="A495"/>
      <c r="B495"/>
      <c r="C495"/>
      <c r="D495"/>
      <c r="E495"/>
      <c r="F495"/>
      <c r="G495"/>
      <c r="H495"/>
      <c r="I495"/>
      <c r="J495"/>
    </row>
    <row r="496" spans="1:10" ht="11.25" customHeight="1" x14ac:dyDescent="0.2">
      <c r="A496"/>
      <c r="B496"/>
      <c r="C496"/>
      <c r="D496"/>
      <c r="E496"/>
      <c r="F496"/>
      <c r="G496"/>
      <c r="H496"/>
      <c r="I496"/>
      <c r="J496"/>
    </row>
    <row r="497" spans="1:10" ht="11.25" customHeight="1" x14ac:dyDescent="0.2">
      <c r="A497"/>
      <c r="B497"/>
      <c r="C497"/>
      <c r="D497"/>
      <c r="E497"/>
      <c r="F497"/>
      <c r="G497"/>
      <c r="H497"/>
      <c r="I497"/>
      <c r="J497"/>
    </row>
    <row r="498" spans="1:10" ht="11.25" customHeight="1" x14ac:dyDescent="0.2">
      <c r="A498"/>
      <c r="B498"/>
      <c r="C498"/>
      <c r="D498"/>
      <c r="E498"/>
      <c r="F498"/>
      <c r="G498"/>
      <c r="H498"/>
      <c r="I498"/>
      <c r="J498"/>
    </row>
    <row r="499" spans="1:10" ht="11.25" customHeight="1" x14ac:dyDescent="0.2">
      <c r="A499"/>
      <c r="B499"/>
      <c r="C499"/>
      <c r="D499"/>
      <c r="E499"/>
      <c r="F499"/>
      <c r="G499"/>
      <c r="H499"/>
      <c r="I499"/>
      <c r="J499"/>
    </row>
    <row r="500" spans="1:10" ht="11.25" customHeight="1" x14ac:dyDescent="0.2">
      <c r="A500"/>
      <c r="B500"/>
      <c r="C500"/>
      <c r="D500"/>
      <c r="E500"/>
      <c r="F500"/>
      <c r="G500"/>
      <c r="H500"/>
      <c r="I500"/>
      <c r="J500"/>
    </row>
    <row r="501" spans="1:10" ht="11.25" customHeight="1" x14ac:dyDescent="0.2">
      <c r="A501"/>
      <c r="B501"/>
      <c r="C501"/>
      <c r="D501"/>
      <c r="E501"/>
      <c r="F501"/>
      <c r="G501"/>
      <c r="H501"/>
      <c r="I501"/>
      <c r="J501"/>
    </row>
    <row r="502" spans="1:10" ht="11.25" customHeight="1" x14ac:dyDescent="0.2">
      <c r="A502"/>
      <c r="B502"/>
      <c r="C502"/>
      <c r="D502"/>
      <c r="E502"/>
      <c r="F502"/>
      <c r="G502"/>
      <c r="H502"/>
      <c r="I502"/>
      <c r="J502"/>
    </row>
    <row r="503" spans="1:10" ht="11.25" customHeight="1" x14ac:dyDescent="0.2">
      <c r="A503"/>
      <c r="B503"/>
      <c r="C503"/>
      <c r="D503"/>
      <c r="E503"/>
      <c r="F503"/>
      <c r="G503"/>
      <c r="H503"/>
      <c r="I503"/>
      <c r="J503"/>
    </row>
    <row r="504" spans="1:10" ht="11.25" customHeight="1" x14ac:dyDescent="0.2">
      <c r="A504"/>
      <c r="B504"/>
      <c r="C504"/>
      <c r="D504"/>
      <c r="E504"/>
      <c r="F504"/>
      <c r="G504"/>
      <c r="H504"/>
      <c r="I504"/>
      <c r="J504"/>
    </row>
    <row r="505" spans="1:10" ht="11.25" customHeight="1" x14ac:dyDescent="0.2">
      <c r="A505"/>
      <c r="B505"/>
      <c r="C505"/>
      <c r="D505"/>
      <c r="E505"/>
      <c r="F505"/>
      <c r="G505"/>
      <c r="H505"/>
      <c r="I505"/>
      <c r="J505"/>
    </row>
    <row r="506" spans="1:10" ht="11.25" customHeight="1" x14ac:dyDescent="0.2">
      <c r="A506"/>
      <c r="B506"/>
      <c r="C506"/>
      <c r="D506"/>
      <c r="E506"/>
      <c r="F506"/>
      <c r="G506"/>
      <c r="H506"/>
      <c r="I506"/>
      <c r="J506"/>
    </row>
    <row r="507" spans="1:10" ht="11.25" customHeight="1" x14ac:dyDescent="0.2">
      <c r="A507"/>
      <c r="B507"/>
      <c r="C507"/>
      <c r="D507"/>
      <c r="E507"/>
      <c r="F507"/>
      <c r="G507"/>
      <c r="H507"/>
      <c r="I507"/>
      <c r="J507"/>
    </row>
    <row r="508" spans="1:10" ht="11.25" customHeight="1" x14ac:dyDescent="0.2">
      <c r="A508"/>
      <c r="B508"/>
      <c r="C508"/>
      <c r="D508"/>
      <c r="E508"/>
      <c r="F508"/>
      <c r="G508"/>
      <c r="H508"/>
      <c r="I508"/>
      <c r="J508"/>
    </row>
    <row r="509" spans="1:10" ht="11.25" customHeight="1" x14ac:dyDescent="0.2">
      <c r="A509"/>
      <c r="B509"/>
      <c r="C509"/>
      <c r="D509"/>
      <c r="E509"/>
      <c r="F509"/>
      <c r="G509"/>
      <c r="H509"/>
      <c r="I509"/>
      <c r="J509"/>
    </row>
    <row r="510" spans="1:10" ht="11.25" customHeight="1" x14ac:dyDescent="0.2">
      <c r="A510"/>
      <c r="B510"/>
      <c r="C510"/>
      <c r="D510"/>
      <c r="E510"/>
      <c r="F510"/>
      <c r="G510"/>
      <c r="H510"/>
      <c r="I510"/>
      <c r="J510"/>
    </row>
    <row r="511" spans="1:10" ht="11.25" customHeight="1" x14ac:dyDescent="0.2">
      <c r="A511"/>
      <c r="B511"/>
      <c r="C511"/>
      <c r="D511"/>
      <c r="E511"/>
      <c r="F511"/>
      <c r="G511"/>
      <c r="H511"/>
      <c r="I511"/>
      <c r="J511"/>
    </row>
    <row r="512" spans="1:10" ht="11.25" customHeight="1" x14ac:dyDescent="0.2">
      <c r="A512"/>
      <c r="B512"/>
      <c r="C512"/>
      <c r="D512"/>
      <c r="E512"/>
      <c r="F512"/>
      <c r="G512"/>
      <c r="H512"/>
      <c r="I512"/>
      <c r="J512"/>
    </row>
    <row r="513" spans="1:10" ht="11.25" customHeight="1" x14ac:dyDescent="0.2">
      <c r="A513"/>
      <c r="B513"/>
      <c r="C513"/>
      <c r="D513"/>
      <c r="E513"/>
      <c r="F513"/>
      <c r="G513"/>
      <c r="H513"/>
      <c r="I513"/>
      <c r="J513"/>
    </row>
    <row r="514" spans="1:10" ht="11.25" customHeight="1" x14ac:dyDescent="0.2">
      <c r="A514"/>
      <c r="B514"/>
      <c r="C514"/>
      <c r="D514"/>
      <c r="E514"/>
      <c r="F514"/>
      <c r="G514"/>
      <c r="H514"/>
      <c r="I514"/>
      <c r="J514"/>
    </row>
    <row r="515" spans="1:10" ht="11.25" customHeight="1" x14ac:dyDescent="0.2">
      <c r="A515"/>
      <c r="B515"/>
      <c r="C515"/>
      <c r="D515"/>
      <c r="E515"/>
      <c r="F515"/>
      <c r="G515"/>
      <c r="H515"/>
      <c r="I515"/>
      <c r="J515"/>
    </row>
    <row r="516" spans="1:10" ht="11.25" customHeight="1" x14ac:dyDescent="0.2">
      <c r="A516"/>
      <c r="B516"/>
      <c r="C516"/>
      <c r="D516"/>
      <c r="E516"/>
      <c r="F516"/>
      <c r="G516"/>
      <c r="H516"/>
      <c r="I516"/>
      <c r="J516"/>
    </row>
    <row r="517" spans="1:10" ht="11.25" customHeight="1" x14ac:dyDescent="0.2">
      <c r="A517"/>
      <c r="B517"/>
      <c r="C517"/>
      <c r="D517"/>
      <c r="E517"/>
      <c r="F517"/>
      <c r="G517"/>
      <c r="H517"/>
      <c r="I517"/>
      <c r="J517"/>
    </row>
    <row r="518" spans="1:10" ht="11.25" customHeight="1" x14ac:dyDescent="0.2">
      <c r="A518"/>
      <c r="B518"/>
      <c r="C518"/>
      <c r="D518"/>
      <c r="E518"/>
      <c r="F518"/>
      <c r="G518"/>
      <c r="H518"/>
      <c r="I518"/>
      <c r="J518"/>
    </row>
    <row r="519" spans="1:10" ht="11.25" customHeight="1" x14ac:dyDescent="0.2">
      <c r="A519"/>
      <c r="B519"/>
      <c r="C519"/>
      <c r="D519"/>
      <c r="E519"/>
      <c r="F519"/>
      <c r="G519"/>
      <c r="H519"/>
      <c r="I519"/>
      <c r="J519"/>
    </row>
    <row r="520" spans="1:10" ht="11.25" customHeight="1" x14ac:dyDescent="0.2">
      <c r="A520"/>
      <c r="B520"/>
      <c r="C520"/>
      <c r="D520"/>
      <c r="E520"/>
      <c r="F520"/>
      <c r="G520"/>
      <c r="H520"/>
      <c r="I520"/>
      <c r="J520"/>
    </row>
    <row r="521" spans="1:10" ht="11.25" customHeight="1" x14ac:dyDescent="0.2">
      <c r="A521"/>
      <c r="B521"/>
      <c r="C521"/>
      <c r="D521"/>
      <c r="E521"/>
      <c r="F521"/>
      <c r="G521"/>
      <c r="H521"/>
      <c r="I521"/>
      <c r="J521"/>
    </row>
    <row r="522" spans="1:10" ht="11.25" customHeight="1" x14ac:dyDescent="0.2">
      <c r="A522"/>
      <c r="B522"/>
      <c r="C522"/>
      <c r="D522"/>
      <c r="E522"/>
      <c r="F522"/>
      <c r="G522"/>
      <c r="H522"/>
      <c r="I522"/>
      <c r="J522"/>
    </row>
    <row r="523" spans="1:10" ht="11.25" customHeight="1" x14ac:dyDescent="0.2">
      <c r="A523"/>
      <c r="B523"/>
      <c r="C523"/>
      <c r="D523"/>
      <c r="E523"/>
      <c r="F523"/>
      <c r="G523"/>
      <c r="H523"/>
      <c r="I523"/>
      <c r="J523"/>
    </row>
    <row r="524" spans="1:10" ht="11.25" customHeight="1" x14ac:dyDescent="0.2">
      <c r="A524"/>
      <c r="B524"/>
      <c r="C524"/>
      <c r="D524"/>
      <c r="E524"/>
      <c r="F524"/>
      <c r="G524"/>
      <c r="H524"/>
      <c r="I524"/>
      <c r="J524"/>
    </row>
    <row r="525" spans="1:10" ht="11.25" customHeight="1" x14ac:dyDescent="0.2">
      <c r="A525"/>
      <c r="B525"/>
      <c r="C525"/>
      <c r="D525"/>
      <c r="E525"/>
      <c r="F525"/>
      <c r="G525"/>
      <c r="H525"/>
      <c r="I525"/>
      <c r="J525"/>
    </row>
    <row r="526" spans="1:10" ht="11.25" customHeight="1" x14ac:dyDescent="0.2">
      <c r="A526"/>
      <c r="B526"/>
      <c r="C526"/>
      <c r="D526"/>
      <c r="E526"/>
      <c r="F526"/>
      <c r="G526"/>
      <c r="H526"/>
      <c r="I526"/>
      <c r="J526"/>
    </row>
    <row r="527" spans="1:10" ht="11.25" customHeight="1" x14ac:dyDescent="0.2">
      <c r="A527"/>
      <c r="B527"/>
      <c r="C527"/>
      <c r="D527"/>
      <c r="E527"/>
      <c r="F527"/>
      <c r="G527"/>
      <c r="H527"/>
      <c r="I527"/>
      <c r="J527"/>
    </row>
    <row r="528" spans="1:10" ht="11.25" customHeight="1" x14ac:dyDescent="0.2">
      <c r="A528"/>
      <c r="B528"/>
      <c r="C528"/>
      <c r="D528"/>
      <c r="E528"/>
      <c r="F528"/>
      <c r="G528"/>
      <c r="H528"/>
      <c r="I528"/>
      <c r="J528"/>
    </row>
    <row r="529" spans="1:10" ht="11.25" customHeight="1" x14ac:dyDescent="0.2">
      <c r="A529"/>
      <c r="B529"/>
      <c r="C529"/>
      <c r="D529"/>
      <c r="E529"/>
      <c r="F529"/>
      <c r="G529"/>
      <c r="H529"/>
      <c r="I529"/>
      <c r="J529"/>
    </row>
    <row r="530" spans="1:10" ht="11.25" customHeight="1" x14ac:dyDescent="0.2">
      <c r="A530"/>
      <c r="B530"/>
      <c r="C530"/>
      <c r="D530"/>
      <c r="E530"/>
      <c r="F530"/>
      <c r="G530"/>
      <c r="H530"/>
      <c r="I530"/>
      <c r="J530"/>
    </row>
    <row r="531" spans="1:10" ht="11.25" customHeight="1" x14ac:dyDescent="0.2">
      <c r="A531"/>
      <c r="B531"/>
      <c r="C531"/>
      <c r="D531"/>
      <c r="E531"/>
      <c r="F531"/>
      <c r="G531"/>
      <c r="H531"/>
      <c r="I531"/>
      <c r="J531"/>
    </row>
    <row r="532" spans="1:10" ht="11.25" customHeight="1" x14ac:dyDescent="0.2">
      <c r="A532"/>
      <c r="B532"/>
      <c r="C532"/>
      <c r="D532"/>
      <c r="E532"/>
      <c r="F532"/>
      <c r="G532"/>
      <c r="H532"/>
      <c r="I532"/>
      <c r="J532"/>
    </row>
    <row r="533" spans="1:10" ht="11.25" customHeight="1" x14ac:dyDescent="0.2">
      <c r="A533"/>
      <c r="B533"/>
      <c r="C533"/>
      <c r="D533"/>
      <c r="E533"/>
      <c r="F533"/>
      <c r="G533"/>
      <c r="H533"/>
      <c r="I533"/>
      <c r="J533"/>
    </row>
    <row r="534" spans="1:10" ht="11.25" customHeight="1" x14ac:dyDescent="0.2">
      <c r="A534"/>
      <c r="B534"/>
      <c r="C534"/>
      <c r="D534"/>
      <c r="E534"/>
      <c r="F534"/>
      <c r="G534"/>
      <c r="H534"/>
      <c r="I534"/>
      <c r="J534"/>
    </row>
    <row r="535" spans="1:10" ht="11.25" customHeight="1" x14ac:dyDescent="0.2">
      <c r="A535"/>
      <c r="B535"/>
      <c r="C535"/>
      <c r="D535"/>
      <c r="E535"/>
      <c r="F535"/>
      <c r="G535"/>
      <c r="H535"/>
      <c r="I535"/>
      <c r="J535"/>
    </row>
    <row r="536" spans="1:10" ht="11.25" customHeight="1" x14ac:dyDescent="0.2">
      <c r="A536"/>
      <c r="B536"/>
      <c r="C536"/>
      <c r="D536"/>
      <c r="E536"/>
      <c r="F536"/>
      <c r="G536"/>
      <c r="H536"/>
      <c r="I536"/>
      <c r="J536"/>
    </row>
    <row r="537" spans="1:10" ht="11.25" customHeight="1" x14ac:dyDescent="0.2">
      <c r="A537"/>
      <c r="B537"/>
      <c r="C537"/>
      <c r="D537"/>
      <c r="E537"/>
      <c r="F537"/>
      <c r="G537"/>
      <c r="H537"/>
      <c r="I537"/>
      <c r="J537"/>
    </row>
    <row r="538" spans="1:10" ht="11.25" customHeight="1" x14ac:dyDescent="0.2">
      <c r="A538"/>
      <c r="B538"/>
      <c r="C538"/>
      <c r="D538"/>
      <c r="E538"/>
      <c r="F538"/>
      <c r="G538"/>
      <c r="H538"/>
      <c r="I538"/>
      <c r="J538"/>
    </row>
    <row r="539" spans="1:10" ht="11.25" customHeight="1" x14ac:dyDescent="0.2">
      <c r="A539"/>
      <c r="B539"/>
      <c r="C539"/>
      <c r="D539"/>
      <c r="E539"/>
      <c r="F539"/>
      <c r="G539"/>
      <c r="H539"/>
      <c r="I539"/>
      <c r="J539"/>
    </row>
    <row r="540" spans="1:10" ht="11.25" customHeight="1" x14ac:dyDescent="0.2">
      <c r="A540"/>
      <c r="B540"/>
      <c r="C540"/>
      <c r="D540"/>
      <c r="E540"/>
      <c r="F540"/>
      <c r="G540"/>
      <c r="H540"/>
      <c r="I540"/>
      <c r="J540"/>
    </row>
    <row r="541" spans="1:10" ht="11.25" customHeight="1" x14ac:dyDescent="0.2">
      <c r="A541"/>
      <c r="B541"/>
      <c r="C541"/>
      <c r="D541"/>
      <c r="E541"/>
      <c r="F541"/>
      <c r="G541"/>
      <c r="H541"/>
      <c r="I541"/>
      <c r="J541"/>
    </row>
    <row r="542" spans="1:10" ht="11.25" customHeight="1" x14ac:dyDescent="0.2">
      <c r="A542"/>
      <c r="B542"/>
      <c r="C542"/>
      <c r="D542"/>
      <c r="E542"/>
      <c r="F542"/>
      <c r="G542"/>
      <c r="H542"/>
      <c r="I542"/>
      <c r="J542"/>
    </row>
    <row r="543" spans="1:10" ht="11.25" customHeight="1" x14ac:dyDescent="0.2">
      <c r="A543"/>
      <c r="B543"/>
      <c r="C543"/>
      <c r="D543"/>
      <c r="E543"/>
      <c r="F543"/>
      <c r="G543"/>
      <c r="H543"/>
      <c r="I543"/>
      <c r="J543"/>
    </row>
    <row r="544" spans="1:10" ht="11.25" customHeight="1" x14ac:dyDescent="0.2">
      <c r="A544"/>
      <c r="B544"/>
      <c r="C544"/>
      <c r="D544"/>
      <c r="E544"/>
      <c r="F544"/>
      <c r="G544"/>
      <c r="H544"/>
      <c r="I544"/>
      <c r="J544"/>
    </row>
    <row r="545" spans="1:10" ht="11.25" customHeight="1" x14ac:dyDescent="0.2">
      <c r="A545"/>
      <c r="B545"/>
      <c r="C545"/>
      <c r="D545"/>
      <c r="E545"/>
      <c r="F545"/>
      <c r="G545"/>
      <c r="H545"/>
      <c r="I545"/>
      <c r="J545"/>
    </row>
    <row r="546" spans="1:10" ht="11.25" customHeight="1" x14ac:dyDescent="0.2">
      <c r="A546"/>
      <c r="B546"/>
      <c r="C546"/>
      <c r="D546"/>
      <c r="E546"/>
      <c r="F546"/>
      <c r="G546"/>
      <c r="H546"/>
      <c r="I546"/>
      <c r="J546"/>
    </row>
    <row r="547" spans="1:10" ht="11.25" customHeight="1" x14ac:dyDescent="0.2">
      <c r="A547"/>
      <c r="B547"/>
      <c r="C547"/>
      <c r="D547"/>
      <c r="E547"/>
      <c r="F547"/>
      <c r="G547"/>
      <c r="H547"/>
      <c r="I547"/>
      <c r="J547"/>
    </row>
    <row r="548" spans="1:10" ht="11.25" customHeight="1" x14ac:dyDescent="0.2">
      <c r="A548"/>
      <c r="B548"/>
      <c r="C548"/>
      <c r="D548"/>
      <c r="E548"/>
      <c r="F548"/>
      <c r="G548"/>
      <c r="H548"/>
      <c r="I548"/>
      <c r="J548"/>
    </row>
    <row r="549" spans="1:10" ht="11.25" customHeight="1" x14ac:dyDescent="0.2">
      <c r="A549"/>
      <c r="B549"/>
      <c r="C549"/>
      <c r="D549"/>
      <c r="E549"/>
      <c r="F549"/>
      <c r="G549"/>
      <c r="H549"/>
      <c r="I549"/>
      <c r="J549"/>
    </row>
    <row r="550" spans="1:10" ht="11.25" customHeight="1" x14ac:dyDescent="0.2">
      <c r="A550"/>
      <c r="B550"/>
      <c r="C550"/>
      <c r="D550"/>
      <c r="E550"/>
      <c r="F550"/>
      <c r="G550"/>
      <c r="H550"/>
      <c r="I550"/>
      <c r="J550"/>
    </row>
    <row r="551" spans="1:10" ht="11.25" customHeight="1" x14ac:dyDescent="0.2">
      <c r="A551"/>
      <c r="B551"/>
      <c r="C551"/>
      <c r="D551"/>
      <c r="E551"/>
      <c r="F551"/>
      <c r="G551"/>
      <c r="H551"/>
      <c r="I551"/>
      <c r="J551"/>
    </row>
    <row r="552" spans="1:10" ht="11.25" customHeight="1" x14ac:dyDescent="0.2">
      <c r="A552"/>
      <c r="B552"/>
      <c r="C552"/>
      <c r="D552"/>
      <c r="E552"/>
      <c r="F552"/>
      <c r="G552"/>
      <c r="H552"/>
      <c r="I552"/>
      <c r="J552"/>
    </row>
    <row r="553" spans="1:10" ht="11.25" customHeight="1" x14ac:dyDescent="0.2">
      <c r="A553"/>
      <c r="B553"/>
      <c r="C553"/>
      <c r="D553"/>
      <c r="E553"/>
      <c r="F553"/>
      <c r="G553"/>
      <c r="H553"/>
      <c r="I553"/>
      <c r="J553"/>
    </row>
    <row r="554" spans="1:10" ht="11.25" customHeight="1" x14ac:dyDescent="0.2">
      <c r="A554"/>
      <c r="B554"/>
      <c r="C554"/>
      <c r="D554"/>
      <c r="E554"/>
      <c r="F554"/>
      <c r="G554"/>
      <c r="H554"/>
      <c r="I554"/>
      <c r="J554"/>
    </row>
    <row r="555" spans="1:10" ht="11.25" customHeight="1" x14ac:dyDescent="0.2">
      <c r="A555"/>
      <c r="B555"/>
      <c r="C555"/>
      <c r="D555"/>
      <c r="E555"/>
      <c r="F555"/>
      <c r="G555"/>
      <c r="H555"/>
      <c r="I555"/>
      <c r="J555"/>
    </row>
    <row r="556" spans="1:10" ht="11.25" customHeight="1" x14ac:dyDescent="0.2">
      <c r="A556"/>
      <c r="B556"/>
      <c r="C556"/>
      <c r="D556"/>
      <c r="E556"/>
      <c r="F556"/>
      <c r="G556"/>
      <c r="H556"/>
      <c r="I556"/>
      <c r="J556"/>
    </row>
    <row r="557" spans="1:10" ht="11.25" customHeight="1" x14ac:dyDescent="0.2">
      <c r="A557"/>
      <c r="B557"/>
      <c r="C557"/>
      <c r="D557"/>
      <c r="E557"/>
      <c r="F557"/>
      <c r="G557"/>
      <c r="H557"/>
      <c r="I557"/>
      <c r="J557"/>
    </row>
    <row r="558" spans="1:10" ht="11.25" customHeight="1" x14ac:dyDescent="0.2">
      <c r="A558"/>
      <c r="B558"/>
      <c r="C558"/>
      <c r="D558"/>
      <c r="E558"/>
      <c r="F558"/>
      <c r="G558"/>
      <c r="H558"/>
      <c r="I558"/>
      <c r="J558"/>
    </row>
    <row r="559" spans="1:10" ht="11.25" customHeight="1" x14ac:dyDescent="0.2">
      <c r="A559"/>
      <c r="B559"/>
      <c r="C559"/>
      <c r="D559"/>
      <c r="E559"/>
      <c r="F559"/>
      <c r="G559"/>
      <c r="H559"/>
      <c r="I559"/>
      <c r="J559"/>
    </row>
    <row r="560" spans="1:10" ht="11.25" customHeight="1" x14ac:dyDescent="0.2">
      <c r="A560"/>
      <c r="B560"/>
      <c r="C560"/>
      <c r="D560"/>
      <c r="E560"/>
      <c r="F560"/>
      <c r="G560"/>
      <c r="H560"/>
      <c r="I560"/>
      <c r="J560"/>
    </row>
    <row r="561" spans="1:10" ht="11.25" customHeight="1" x14ac:dyDescent="0.2">
      <c r="A561"/>
      <c r="B561"/>
      <c r="C561"/>
      <c r="D561"/>
      <c r="E561"/>
      <c r="F561"/>
      <c r="G561"/>
      <c r="H561"/>
      <c r="I561"/>
      <c r="J561"/>
    </row>
    <row r="562" spans="1:10" ht="11.25" customHeight="1" x14ac:dyDescent="0.2">
      <c r="A562"/>
      <c r="B562"/>
      <c r="C562"/>
      <c r="D562"/>
      <c r="E562"/>
      <c r="F562"/>
      <c r="G562"/>
      <c r="H562"/>
      <c r="I562"/>
      <c r="J562"/>
    </row>
    <row r="563" spans="1:10" ht="11.25" customHeight="1" x14ac:dyDescent="0.2">
      <c r="A563"/>
      <c r="B563"/>
      <c r="C563"/>
      <c r="D563"/>
      <c r="E563"/>
      <c r="F563"/>
      <c r="G563"/>
      <c r="H563"/>
      <c r="I563"/>
      <c r="J563"/>
    </row>
    <row r="564" spans="1:10" ht="11.25" customHeight="1" x14ac:dyDescent="0.2">
      <c r="A564"/>
      <c r="B564"/>
      <c r="C564"/>
      <c r="D564"/>
      <c r="E564"/>
      <c r="F564"/>
      <c r="G564"/>
      <c r="H564"/>
      <c r="I564"/>
      <c r="J564"/>
    </row>
    <row r="565" spans="1:10" ht="11.25" customHeight="1" x14ac:dyDescent="0.2">
      <c r="A565"/>
      <c r="B565"/>
      <c r="C565"/>
      <c r="D565"/>
      <c r="E565"/>
      <c r="F565"/>
      <c r="G565"/>
      <c r="H565"/>
      <c r="I565"/>
      <c r="J565"/>
    </row>
    <row r="566" spans="1:10" ht="11.25" customHeight="1" x14ac:dyDescent="0.2">
      <c r="A566"/>
      <c r="B566"/>
      <c r="C566"/>
      <c r="D566"/>
      <c r="E566"/>
      <c r="F566"/>
      <c r="G566"/>
      <c r="H566"/>
      <c r="I566"/>
      <c r="J566"/>
    </row>
    <row r="567" spans="1:10" ht="11.25" customHeight="1" x14ac:dyDescent="0.2">
      <c r="A567"/>
      <c r="B567"/>
      <c r="C567"/>
      <c r="D567"/>
      <c r="E567"/>
      <c r="F567"/>
      <c r="G567"/>
      <c r="H567"/>
      <c r="I567"/>
      <c r="J567"/>
    </row>
    <row r="568" spans="1:10" ht="11.25" customHeight="1" x14ac:dyDescent="0.2">
      <c r="A568"/>
      <c r="B568"/>
      <c r="C568"/>
      <c r="D568"/>
      <c r="E568"/>
      <c r="F568"/>
      <c r="G568"/>
      <c r="H568"/>
      <c r="I568"/>
      <c r="J568"/>
    </row>
    <row r="569" spans="1:10" ht="11.25" customHeight="1" x14ac:dyDescent="0.2">
      <c r="A569"/>
      <c r="B569"/>
      <c r="C569"/>
      <c r="D569"/>
      <c r="E569"/>
      <c r="F569"/>
      <c r="G569"/>
      <c r="H569"/>
      <c r="I569"/>
      <c r="J569"/>
    </row>
    <row r="570" spans="1:10" ht="11.25" customHeight="1" x14ac:dyDescent="0.2">
      <c r="A570"/>
      <c r="B570"/>
      <c r="C570"/>
      <c r="D570"/>
      <c r="E570"/>
      <c r="F570"/>
      <c r="G570"/>
      <c r="H570"/>
      <c r="I570"/>
      <c r="J570"/>
    </row>
    <row r="571" spans="1:10" ht="11.25" customHeight="1" x14ac:dyDescent="0.2">
      <c r="A571"/>
      <c r="B571"/>
      <c r="C571"/>
      <c r="D571"/>
      <c r="E571"/>
      <c r="F571"/>
      <c r="G571"/>
      <c r="H571"/>
      <c r="I571"/>
      <c r="J571"/>
    </row>
    <row r="572" spans="1:10" ht="11.25" customHeight="1" x14ac:dyDescent="0.2">
      <c r="A572"/>
      <c r="B572"/>
      <c r="C572"/>
      <c r="D572"/>
      <c r="E572"/>
      <c r="F572"/>
      <c r="G572"/>
      <c r="H572"/>
      <c r="I572"/>
      <c r="J572"/>
    </row>
    <row r="573" spans="1:10" ht="11.25" customHeight="1" x14ac:dyDescent="0.2">
      <c r="A573"/>
      <c r="B573"/>
      <c r="C573"/>
      <c r="D573"/>
      <c r="E573"/>
      <c r="F573"/>
      <c r="G573"/>
      <c r="H573"/>
      <c r="I573"/>
      <c r="J573"/>
    </row>
    <row r="574" spans="1:10" ht="11.25" customHeight="1" x14ac:dyDescent="0.2">
      <c r="A574"/>
      <c r="B574"/>
      <c r="C574"/>
      <c r="D574"/>
      <c r="E574"/>
      <c r="F574"/>
      <c r="G574"/>
      <c r="H574"/>
      <c r="I574"/>
      <c r="J574"/>
    </row>
    <row r="575" spans="1:10" ht="11.25" customHeight="1" x14ac:dyDescent="0.2">
      <c r="A575"/>
      <c r="B575"/>
      <c r="C575"/>
      <c r="D575"/>
      <c r="E575"/>
      <c r="F575"/>
      <c r="G575"/>
      <c r="H575"/>
      <c r="I575"/>
      <c r="J575"/>
    </row>
    <row r="576" spans="1:10" ht="11.25" customHeight="1" x14ac:dyDescent="0.2">
      <c r="A576"/>
      <c r="B576"/>
      <c r="C576"/>
      <c r="D576"/>
      <c r="E576"/>
      <c r="F576"/>
      <c r="G576"/>
      <c r="H576"/>
      <c r="I576"/>
      <c r="J576"/>
    </row>
    <row r="577" spans="1:10" ht="11.25" customHeight="1" x14ac:dyDescent="0.2">
      <c r="A577"/>
      <c r="B577"/>
      <c r="C577"/>
      <c r="D577"/>
      <c r="E577"/>
      <c r="F577"/>
      <c r="G577"/>
      <c r="H577"/>
      <c r="I577"/>
      <c r="J577"/>
    </row>
    <row r="578" spans="1:10" ht="11.25" customHeight="1" x14ac:dyDescent="0.2">
      <c r="A578"/>
      <c r="B578"/>
      <c r="C578"/>
      <c r="D578"/>
      <c r="E578"/>
      <c r="F578"/>
      <c r="G578"/>
      <c r="H578"/>
      <c r="I578"/>
      <c r="J578"/>
    </row>
    <row r="579" spans="1:10" ht="11.25" customHeight="1" x14ac:dyDescent="0.2">
      <c r="A579"/>
      <c r="B579"/>
      <c r="C579"/>
      <c r="D579"/>
      <c r="E579"/>
      <c r="F579"/>
      <c r="G579"/>
      <c r="H579"/>
      <c r="I579"/>
      <c r="J579"/>
    </row>
    <row r="580" spans="1:10" ht="11.25" customHeight="1" x14ac:dyDescent="0.2">
      <c r="A580"/>
      <c r="B580"/>
      <c r="C580"/>
      <c r="D580"/>
      <c r="E580"/>
      <c r="F580"/>
      <c r="G580"/>
      <c r="H580"/>
      <c r="I580"/>
      <c r="J580"/>
    </row>
    <row r="581" spans="1:10" ht="11.25" customHeight="1" x14ac:dyDescent="0.2">
      <c r="A581"/>
      <c r="B581"/>
      <c r="C581"/>
      <c r="D581"/>
      <c r="E581"/>
      <c r="F581"/>
      <c r="G581"/>
      <c r="H581"/>
      <c r="I581"/>
      <c r="J581"/>
    </row>
    <row r="582" spans="1:10" ht="11.25" customHeight="1" x14ac:dyDescent="0.2">
      <c r="A582"/>
      <c r="B582"/>
      <c r="C582"/>
      <c r="D582"/>
      <c r="E582"/>
      <c r="F582"/>
      <c r="G582"/>
      <c r="H582"/>
      <c r="I582"/>
      <c r="J582"/>
    </row>
    <row r="583" spans="1:10" ht="11.25" customHeight="1" x14ac:dyDescent="0.2">
      <c r="A583"/>
      <c r="B583"/>
      <c r="C583"/>
      <c r="D583"/>
      <c r="E583"/>
      <c r="F583"/>
      <c r="G583"/>
      <c r="H583"/>
      <c r="I583"/>
      <c r="J583"/>
    </row>
    <row r="584" spans="1:10" ht="11.25" customHeight="1" x14ac:dyDescent="0.2">
      <c r="A584"/>
      <c r="B584"/>
      <c r="C584"/>
      <c r="D584"/>
      <c r="E584"/>
      <c r="F584"/>
      <c r="G584"/>
      <c r="H584"/>
      <c r="I584"/>
      <c r="J584"/>
    </row>
    <row r="585" spans="1:10" ht="11.25" customHeight="1" x14ac:dyDescent="0.2">
      <c r="A585"/>
      <c r="B585"/>
      <c r="C585"/>
      <c r="D585"/>
      <c r="E585"/>
      <c r="F585"/>
      <c r="G585"/>
      <c r="H585"/>
      <c r="I585"/>
      <c r="J585"/>
    </row>
    <row r="586" spans="1:10" ht="11.25" customHeight="1" x14ac:dyDescent="0.2">
      <c r="A586"/>
      <c r="B586"/>
      <c r="C586"/>
      <c r="D586"/>
      <c r="E586"/>
      <c r="F586"/>
      <c r="G586"/>
      <c r="H586"/>
      <c r="I586"/>
      <c r="J586"/>
    </row>
    <row r="587" spans="1:10" ht="11.25" customHeight="1" x14ac:dyDescent="0.2">
      <c r="A587"/>
      <c r="B587"/>
      <c r="C587"/>
      <c r="D587"/>
      <c r="E587"/>
      <c r="F587"/>
      <c r="G587"/>
      <c r="H587"/>
      <c r="I587"/>
      <c r="J587"/>
    </row>
    <row r="588" spans="1:10" ht="11.25" customHeight="1" x14ac:dyDescent="0.2">
      <c r="A588"/>
      <c r="B588"/>
      <c r="C588"/>
      <c r="D588"/>
      <c r="E588"/>
      <c r="F588"/>
      <c r="G588"/>
      <c r="H588"/>
      <c r="I588"/>
      <c r="J588"/>
    </row>
    <row r="589" spans="1:10" ht="11.25" customHeight="1" x14ac:dyDescent="0.2">
      <c r="A589"/>
      <c r="B589"/>
      <c r="C589"/>
      <c r="D589"/>
      <c r="E589"/>
      <c r="F589"/>
      <c r="G589"/>
      <c r="H589"/>
      <c r="I589"/>
      <c r="J589"/>
    </row>
    <row r="590" spans="1:10" ht="11.25" customHeight="1" x14ac:dyDescent="0.2">
      <c r="A590"/>
      <c r="B590"/>
      <c r="C590"/>
      <c r="D590"/>
      <c r="E590"/>
      <c r="F590"/>
      <c r="G590"/>
      <c r="H590"/>
      <c r="I590"/>
      <c r="J590"/>
    </row>
    <row r="591" spans="1:10" ht="11.25" customHeight="1" x14ac:dyDescent="0.2">
      <c r="A591"/>
      <c r="B591"/>
      <c r="C591"/>
      <c r="D591"/>
      <c r="E591"/>
      <c r="F591"/>
      <c r="G591"/>
      <c r="H591"/>
      <c r="I591"/>
      <c r="J591"/>
    </row>
    <row r="592" spans="1:10" ht="11.25" customHeight="1" x14ac:dyDescent="0.2">
      <c r="A592"/>
      <c r="B592"/>
      <c r="C592"/>
      <c r="D592"/>
      <c r="E592"/>
      <c r="F592"/>
      <c r="G592"/>
      <c r="H592"/>
      <c r="I592"/>
      <c r="J592"/>
    </row>
    <row r="593" spans="1:10" ht="11.25" customHeight="1" x14ac:dyDescent="0.2">
      <c r="A593"/>
      <c r="B593"/>
      <c r="C593"/>
      <c r="D593"/>
      <c r="E593"/>
      <c r="F593"/>
      <c r="G593"/>
      <c r="H593"/>
      <c r="I593"/>
      <c r="J593"/>
    </row>
    <row r="594" spans="1:10" ht="11.25" customHeight="1" x14ac:dyDescent="0.2">
      <c r="A594"/>
      <c r="B594"/>
      <c r="C594"/>
      <c r="D594"/>
      <c r="E594"/>
      <c r="F594"/>
      <c r="G594"/>
      <c r="H594"/>
      <c r="I594"/>
      <c r="J594"/>
    </row>
    <row r="595" spans="1:10" ht="11.25" customHeight="1" x14ac:dyDescent="0.2">
      <c r="A595"/>
      <c r="B595"/>
      <c r="C595"/>
      <c r="D595"/>
      <c r="E595"/>
      <c r="F595"/>
      <c r="G595"/>
      <c r="H595"/>
      <c r="I595"/>
      <c r="J595"/>
    </row>
    <row r="596" spans="1:10" ht="11.25" customHeight="1" x14ac:dyDescent="0.2">
      <c r="A596"/>
      <c r="B596"/>
      <c r="C596"/>
      <c r="D596"/>
      <c r="E596"/>
      <c r="F596"/>
      <c r="G596"/>
      <c r="H596"/>
      <c r="I596"/>
      <c r="J596"/>
    </row>
    <row r="597" spans="1:10" ht="11.25" customHeight="1" x14ac:dyDescent="0.2">
      <c r="A597"/>
      <c r="B597"/>
      <c r="C597"/>
      <c r="D597"/>
      <c r="E597"/>
      <c r="F597"/>
      <c r="G597"/>
      <c r="H597"/>
      <c r="I597"/>
      <c r="J597"/>
    </row>
    <row r="598" spans="1:10" ht="11.25" customHeight="1" x14ac:dyDescent="0.2">
      <c r="A598"/>
      <c r="B598"/>
      <c r="C598"/>
      <c r="D598"/>
      <c r="E598"/>
      <c r="F598"/>
      <c r="G598"/>
      <c r="H598"/>
      <c r="I598"/>
      <c r="J598"/>
    </row>
    <row r="599" spans="1:10" ht="11.25" customHeight="1" x14ac:dyDescent="0.2">
      <c r="A599"/>
      <c r="B599"/>
      <c r="C599"/>
      <c r="D599"/>
      <c r="E599"/>
      <c r="F599"/>
      <c r="G599"/>
      <c r="H599"/>
      <c r="I599"/>
      <c r="J599"/>
    </row>
    <row r="600" spans="1:10" ht="11.25" customHeight="1" x14ac:dyDescent="0.2">
      <c r="A600"/>
      <c r="B600"/>
      <c r="C600"/>
      <c r="D600"/>
      <c r="E600"/>
      <c r="F600"/>
      <c r="G600"/>
      <c r="H600"/>
      <c r="I600"/>
      <c r="J600"/>
    </row>
    <row r="601" spans="1:10" ht="11.25" customHeight="1" x14ac:dyDescent="0.2">
      <c r="A601"/>
      <c r="B601"/>
      <c r="C601"/>
      <c r="D601"/>
      <c r="E601"/>
      <c r="F601"/>
      <c r="G601"/>
      <c r="H601"/>
      <c r="I601"/>
      <c r="J601"/>
    </row>
    <row r="602" spans="1:10" ht="11.25" customHeight="1" x14ac:dyDescent="0.2">
      <c r="A602"/>
      <c r="B602"/>
      <c r="C602"/>
      <c r="D602"/>
      <c r="E602"/>
      <c r="F602"/>
      <c r="G602"/>
      <c r="H602"/>
      <c r="I602"/>
      <c r="J602"/>
    </row>
    <row r="603" spans="1:10" ht="11.25" customHeight="1" x14ac:dyDescent="0.2">
      <c r="A603"/>
      <c r="B603"/>
      <c r="C603"/>
      <c r="D603"/>
      <c r="E603"/>
      <c r="F603"/>
      <c r="G603"/>
      <c r="H603"/>
      <c r="I603"/>
      <c r="J603"/>
    </row>
    <row r="604" spans="1:10" ht="11.25" customHeight="1" x14ac:dyDescent="0.2">
      <c r="A604"/>
      <c r="B604"/>
      <c r="C604"/>
      <c r="D604"/>
      <c r="E604"/>
      <c r="F604"/>
      <c r="G604"/>
      <c r="H604"/>
      <c r="I604"/>
      <c r="J604"/>
    </row>
    <row r="605" spans="1:10" ht="11.25" customHeight="1" x14ac:dyDescent="0.2">
      <c r="A605"/>
      <c r="B605"/>
      <c r="C605"/>
      <c r="D605"/>
      <c r="E605"/>
      <c r="F605"/>
      <c r="G605"/>
      <c r="H605"/>
      <c r="I605"/>
      <c r="J605"/>
    </row>
    <row r="606" spans="1:10" ht="11.25" customHeight="1" x14ac:dyDescent="0.2">
      <c r="A606"/>
      <c r="B606"/>
      <c r="C606"/>
      <c r="D606"/>
      <c r="E606"/>
      <c r="F606"/>
      <c r="G606"/>
      <c r="H606"/>
      <c r="I606"/>
      <c r="J606"/>
    </row>
    <row r="607" spans="1:10" ht="11.25" customHeight="1" x14ac:dyDescent="0.2">
      <c r="A607"/>
      <c r="B607"/>
      <c r="C607"/>
      <c r="D607"/>
      <c r="E607"/>
      <c r="F607"/>
      <c r="G607"/>
      <c r="H607"/>
      <c r="I607"/>
      <c r="J607"/>
    </row>
    <row r="608" spans="1:10" ht="11.25" customHeight="1" x14ac:dyDescent="0.2">
      <c r="A608"/>
      <c r="B608"/>
      <c r="C608"/>
      <c r="D608"/>
      <c r="E608"/>
      <c r="F608"/>
      <c r="G608"/>
      <c r="H608"/>
      <c r="I608"/>
      <c r="J608"/>
    </row>
    <row r="609" spans="1:10" ht="11.25" customHeight="1" x14ac:dyDescent="0.2">
      <c r="A609"/>
      <c r="B609"/>
      <c r="C609"/>
      <c r="D609"/>
      <c r="E609"/>
      <c r="F609"/>
      <c r="G609"/>
      <c r="H609"/>
      <c r="I609"/>
      <c r="J609"/>
    </row>
    <row r="610" spans="1:10" ht="11.25" customHeight="1" x14ac:dyDescent="0.2">
      <c r="A610"/>
      <c r="B610"/>
      <c r="C610"/>
      <c r="D610"/>
      <c r="E610"/>
      <c r="F610"/>
      <c r="G610"/>
      <c r="H610"/>
      <c r="I610"/>
      <c r="J610"/>
    </row>
    <row r="611" spans="1:10" ht="11.25" customHeight="1" x14ac:dyDescent="0.2">
      <c r="A611"/>
      <c r="B611"/>
      <c r="C611"/>
      <c r="D611"/>
      <c r="E611"/>
      <c r="F611"/>
      <c r="G611"/>
      <c r="H611"/>
      <c r="I611"/>
      <c r="J611"/>
    </row>
    <row r="612" spans="1:10" ht="11.25" customHeight="1" x14ac:dyDescent="0.2">
      <c r="A612"/>
      <c r="B612"/>
      <c r="C612"/>
      <c r="D612"/>
      <c r="E612"/>
      <c r="F612"/>
      <c r="G612"/>
      <c r="H612"/>
      <c r="I612"/>
      <c r="J612"/>
    </row>
    <row r="613" spans="1:10" ht="11.25" customHeight="1" x14ac:dyDescent="0.2">
      <c r="A613"/>
      <c r="B613"/>
      <c r="C613"/>
      <c r="D613"/>
      <c r="E613"/>
      <c r="F613"/>
      <c r="G613"/>
      <c r="H613"/>
      <c r="I613"/>
      <c r="J613"/>
    </row>
    <row r="614" spans="1:10" ht="11.25" customHeight="1" x14ac:dyDescent="0.2">
      <c r="A614"/>
      <c r="B614"/>
      <c r="C614"/>
      <c r="D614"/>
      <c r="E614"/>
      <c r="F614"/>
      <c r="G614"/>
      <c r="H614"/>
      <c r="I614"/>
      <c r="J614"/>
    </row>
    <row r="615" spans="1:10" ht="11.25" customHeight="1" x14ac:dyDescent="0.2">
      <c r="A615"/>
      <c r="B615"/>
      <c r="C615"/>
      <c r="D615"/>
      <c r="E615"/>
      <c r="F615"/>
      <c r="G615"/>
      <c r="H615"/>
      <c r="I615"/>
      <c r="J615"/>
    </row>
    <row r="616" spans="1:10" ht="11.25" customHeight="1" x14ac:dyDescent="0.2">
      <c r="A616"/>
      <c r="B616"/>
      <c r="C616"/>
      <c r="D616"/>
      <c r="E616"/>
      <c r="F616"/>
      <c r="G616"/>
      <c r="H616"/>
      <c r="I616"/>
      <c r="J616"/>
    </row>
    <row r="617" spans="1:10" ht="11.25" customHeight="1" x14ac:dyDescent="0.2">
      <c r="A617"/>
      <c r="B617"/>
      <c r="C617"/>
      <c r="D617"/>
      <c r="E617"/>
      <c r="F617"/>
      <c r="G617"/>
      <c r="H617"/>
      <c r="I617"/>
      <c r="J617"/>
    </row>
    <row r="618" spans="1:10" ht="11.25" customHeight="1" x14ac:dyDescent="0.2">
      <c r="A618"/>
      <c r="B618"/>
      <c r="C618"/>
      <c r="D618"/>
      <c r="E618"/>
      <c r="F618"/>
      <c r="G618"/>
      <c r="H618"/>
      <c r="I618"/>
      <c r="J618"/>
    </row>
    <row r="619" spans="1:10" ht="11.25" customHeight="1" x14ac:dyDescent="0.2">
      <c r="A619"/>
      <c r="B619"/>
      <c r="C619"/>
      <c r="D619"/>
      <c r="E619"/>
      <c r="F619"/>
      <c r="G619"/>
      <c r="H619"/>
      <c r="I619"/>
      <c r="J619"/>
    </row>
    <row r="620" spans="1:10" ht="11.25" customHeight="1" x14ac:dyDescent="0.2">
      <c r="A620"/>
      <c r="B620"/>
      <c r="C620"/>
      <c r="D620"/>
      <c r="E620"/>
      <c r="F620"/>
      <c r="G620"/>
      <c r="H620"/>
      <c r="I620"/>
      <c r="J620"/>
    </row>
    <row r="621" spans="1:10" ht="11.25" customHeight="1" x14ac:dyDescent="0.2">
      <c r="A621"/>
      <c r="B621"/>
      <c r="C621"/>
      <c r="D621"/>
      <c r="E621"/>
      <c r="F621"/>
      <c r="G621"/>
      <c r="H621"/>
      <c r="I621"/>
      <c r="J621"/>
    </row>
    <row r="622" spans="1:10" ht="11.25" customHeight="1" x14ac:dyDescent="0.2">
      <c r="A622"/>
      <c r="B622"/>
      <c r="C622"/>
      <c r="D622"/>
      <c r="E622"/>
      <c r="F622"/>
      <c r="G622"/>
      <c r="H622"/>
      <c r="I622"/>
      <c r="J622"/>
    </row>
    <row r="623" spans="1:10" ht="11.25" customHeight="1" x14ac:dyDescent="0.2">
      <c r="A623"/>
      <c r="B623"/>
      <c r="C623"/>
      <c r="D623"/>
      <c r="E623"/>
      <c r="F623"/>
      <c r="G623"/>
      <c r="H623"/>
      <c r="I623"/>
      <c r="J623"/>
    </row>
    <row r="624" spans="1:10" ht="11.25" customHeight="1" x14ac:dyDescent="0.2">
      <c r="A624"/>
      <c r="B624"/>
      <c r="C624"/>
      <c r="D624"/>
      <c r="E624"/>
      <c r="F624"/>
      <c r="G624"/>
      <c r="H624"/>
      <c r="I624"/>
      <c r="J624"/>
    </row>
    <row r="625" spans="1:10" ht="11.25" customHeight="1" x14ac:dyDescent="0.2">
      <c r="A625"/>
      <c r="B625"/>
      <c r="C625"/>
      <c r="D625"/>
      <c r="E625"/>
      <c r="F625"/>
      <c r="G625"/>
      <c r="H625"/>
      <c r="I625"/>
      <c r="J625"/>
    </row>
    <row r="626" spans="1:10" ht="11.25" customHeight="1" x14ac:dyDescent="0.2">
      <c r="A626"/>
      <c r="B626"/>
      <c r="C626"/>
      <c r="D626"/>
      <c r="E626"/>
      <c r="F626"/>
      <c r="G626"/>
      <c r="H626"/>
      <c r="I626"/>
      <c r="J626"/>
    </row>
    <row r="627" spans="1:10" ht="11.25" customHeight="1" x14ac:dyDescent="0.2">
      <c r="A627"/>
      <c r="B627"/>
      <c r="C627"/>
      <c r="D627"/>
      <c r="E627"/>
      <c r="F627"/>
      <c r="G627"/>
      <c r="H627"/>
      <c r="I627"/>
      <c r="J627"/>
    </row>
    <row r="628" spans="1:10" ht="11.25" customHeight="1" x14ac:dyDescent="0.2">
      <c r="A628"/>
      <c r="B628"/>
      <c r="C628"/>
      <c r="D628"/>
      <c r="E628"/>
      <c r="F628"/>
      <c r="G628"/>
      <c r="H628"/>
      <c r="I628"/>
      <c r="J628"/>
    </row>
    <row r="629" spans="1:10" ht="11.25" customHeight="1" x14ac:dyDescent="0.2">
      <c r="A629"/>
      <c r="B629"/>
      <c r="C629"/>
      <c r="D629"/>
      <c r="E629"/>
      <c r="F629"/>
      <c r="G629"/>
      <c r="H629"/>
      <c r="I629"/>
      <c r="J629"/>
    </row>
    <row r="630" spans="1:10" ht="11.25" customHeight="1" x14ac:dyDescent="0.2">
      <c r="A630"/>
      <c r="B630"/>
      <c r="C630"/>
      <c r="D630"/>
      <c r="E630"/>
      <c r="F630"/>
      <c r="G630"/>
      <c r="H630"/>
      <c r="I630"/>
      <c r="J630"/>
    </row>
    <row r="631" spans="1:10" ht="11.25" customHeight="1" x14ac:dyDescent="0.2">
      <c r="A631"/>
      <c r="B631"/>
      <c r="C631"/>
      <c r="D631"/>
      <c r="E631"/>
      <c r="F631"/>
      <c r="G631"/>
      <c r="H631"/>
      <c r="I631"/>
      <c r="J631"/>
    </row>
    <row r="632" spans="1:10" ht="11.25" customHeight="1" x14ac:dyDescent="0.2">
      <c r="A632"/>
      <c r="B632"/>
      <c r="C632"/>
      <c r="D632"/>
      <c r="E632"/>
      <c r="F632"/>
      <c r="G632"/>
      <c r="H632"/>
      <c r="I632"/>
      <c r="J632"/>
    </row>
    <row r="633" spans="1:10" ht="11.25" customHeight="1" x14ac:dyDescent="0.2">
      <c r="A633"/>
      <c r="B633"/>
      <c r="C633"/>
      <c r="D633"/>
      <c r="E633"/>
      <c r="F633"/>
      <c r="G633"/>
      <c r="H633"/>
      <c r="I633"/>
      <c r="J633"/>
    </row>
    <row r="634" spans="1:10" ht="11.25" customHeight="1" x14ac:dyDescent="0.2">
      <c r="A634"/>
      <c r="B634"/>
      <c r="C634"/>
      <c r="D634"/>
      <c r="E634"/>
      <c r="F634"/>
      <c r="G634"/>
      <c r="H634"/>
      <c r="I634"/>
      <c r="J634"/>
    </row>
    <row r="635" spans="1:10" ht="11.25" customHeight="1" x14ac:dyDescent="0.2">
      <c r="A635"/>
      <c r="B635"/>
      <c r="C635"/>
      <c r="D635"/>
      <c r="E635"/>
      <c r="F635"/>
      <c r="G635"/>
      <c r="H635"/>
      <c r="I635"/>
      <c r="J635"/>
    </row>
    <row r="636" spans="1:10" ht="11.25" customHeight="1" x14ac:dyDescent="0.2">
      <c r="A636"/>
      <c r="B636"/>
      <c r="C636"/>
      <c r="D636"/>
      <c r="E636"/>
      <c r="F636"/>
      <c r="G636"/>
      <c r="H636"/>
      <c r="I636"/>
      <c r="J636"/>
    </row>
    <row r="637" spans="1:10" ht="11.25" customHeight="1" x14ac:dyDescent="0.2">
      <c r="A637"/>
      <c r="B637"/>
      <c r="C637"/>
      <c r="D637"/>
      <c r="E637"/>
      <c r="F637"/>
      <c r="G637"/>
      <c r="H637"/>
      <c r="I637"/>
      <c r="J637"/>
    </row>
    <row r="638" spans="1:10" ht="11.25" customHeight="1" x14ac:dyDescent="0.2">
      <c r="A638"/>
      <c r="B638"/>
      <c r="C638"/>
      <c r="D638"/>
      <c r="E638"/>
      <c r="F638"/>
      <c r="G638"/>
      <c r="H638"/>
      <c r="I638"/>
      <c r="J638"/>
    </row>
    <row r="639" spans="1:10" ht="11.25" customHeight="1" x14ac:dyDescent="0.2">
      <c r="A639"/>
      <c r="B639"/>
      <c r="C639"/>
      <c r="D639"/>
      <c r="E639"/>
      <c r="F639"/>
      <c r="G639"/>
      <c r="H639"/>
      <c r="I639"/>
      <c r="J639"/>
    </row>
    <row r="640" spans="1:10" ht="11.25" customHeight="1" x14ac:dyDescent="0.2">
      <c r="A640"/>
      <c r="B640"/>
      <c r="C640"/>
      <c r="D640"/>
      <c r="E640"/>
      <c r="F640"/>
      <c r="G640"/>
      <c r="H640"/>
      <c r="I640"/>
      <c r="J640"/>
    </row>
    <row r="641" spans="1:10" ht="11.25" customHeight="1" x14ac:dyDescent="0.2">
      <c r="A641"/>
      <c r="B641"/>
      <c r="C641"/>
      <c r="D641"/>
      <c r="E641"/>
      <c r="F641"/>
      <c r="G641"/>
      <c r="H641"/>
      <c r="I641"/>
      <c r="J641"/>
    </row>
    <row r="642" spans="1:10" ht="11.25" customHeight="1" x14ac:dyDescent="0.2">
      <c r="A642"/>
      <c r="B642"/>
      <c r="C642"/>
      <c r="D642"/>
      <c r="E642"/>
      <c r="F642"/>
      <c r="G642"/>
      <c r="H642"/>
      <c r="I642"/>
      <c r="J642"/>
    </row>
    <row r="643" spans="1:10" ht="11.25" customHeight="1" x14ac:dyDescent="0.2">
      <c r="A643"/>
      <c r="B643"/>
      <c r="C643"/>
      <c r="D643"/>
      <c r="E643"/>
      <c r="F643"/>
      <c r="G643"/>
      <c r="H643"/>
      <c r="I643"/>
      <c r="J643"/>
    </row>
    <row r="644" spans="1:10" ht="11.25" customHeight="1" x14ac:dyDescent="0.2">
      <c r="A644"/>
      <c r="B644"/>
      <c r="C644"/>
      <c r="D644"/>
      <c r="E644"/>
      <c r="F644"/>
      <c r="G644"/>
      <c r="H644"/>
      <c r="I644"/>
      <c r="J644"/>
    </row>
    <row r="645" spans="1:10" ht="11.25" customHeight="1" x14ac:dyDescent="0.2">
      <c r="A645"/>
      <c r="B645"/>
      <c r="C645"/>
      <c r="D645"/>
      <c r="E645"/>
      <c r="F645"/>
      <c r="G645"/>
      <c r="H645"/>
      <c r="I645"/>
      <c r="J645"/>
    </row>
    <row r="646" spans="1:10" ht="11.25" customHeight="1" x14ac:dyDescent="0.2">
      <c r="A646"/>
      <c r="B646"/>
      <c r="C646"/>
      <c r="D646"/>
      <c r="E646"/>
      <c r="F646"/>
      <c r="G646"/>
      <c r="H646"/>
      <c r="I646"/>
      <c r="J646"/>
    </row>
    <row r="647" spans="1:10" ht="11.25" customHeight="1" x14ac:dyDescent="0.2">
      <c r="A647"/>
      <c r="B647"/>
      <c r="C647"/>
      <c r="D647"/>
      <c r="E647"/>
      <c r="F647"/>
      <c r="G647"/>
      <c r="H647"/>
      <c r="I647"/>
      <c r="J647"/>
    </row>
    <row r="648" spans="1:10" ht="11.25" customHeight="1" x14ac:dyDescent="0.2">
      <c r="A648"/>
      <c r="B648"/>
      <c r="C648"/>
      <c r="D648"/>
      <c r="E648"/>
      <c r="F648"/>
      <c r="G648"/>
      <c r="H648"/>
      <c r="I648"/>
      <c r="J648"/>
    </row>
    <row r="649" spans="1:10" ht="11.25" customHeight="1" x14ac:dyDescent="0.2">
      <c r="A649"/>
      <c r="B649"/>
      <c r="C649"/>
      <c r="D649"/>
      <c r="E649"/>
      <c r="F649"/>
      <c r="G649"/>
      <c r="H649"/>
      <c r="I649"/>
      <c r="J649"/>
    </row>
    <row r="650" spans="1:10" ht="11.25" customHeight="1" x14ac:dyDescent="0.2">
      <c r="A650"/>
      <c r="B650"/>
      <c r="C650"/>
      <c r="D650"/>
      <c r="E650"/>
      <c r="F650"/>
      <c r="G650"/>
      <c r="H650"/>
      <c r="I650"/>
      <c r="J650"/>
    </row>
    <row r="651" spans="1:10" ht="11.25" customHeight="1" x14ac:dyDescent="0.2">
      <c r="A651"/>
      <c r="B651"/>
      <c r="C651"/>
      <c r="D651"/>
      <c r="E651"/>
      <c r="F651"/>
      <c r="G651"/>
      <c r="H651"/>
      <c r="I651"/>
      <c r="J651"/>
    </row>
    <row r="652" spans="1:10" ht="11.25" customHeight="1" x14ac:dyDescent="0.2">
      <c r="A652"/>
      <c r="B652"/>
      <c r="C652"/>
      <c r="D652"/>
      <c r="E652"/>
      <c r="F652"/>
      <c r="G652"/>
      <c r="H652"/>
      <c r="I652"/>
      <c r="J652"/>
    </row>
    <row r="653" spans="1:10" ht="11.25" customHeight="1" x14ac:dyDescent="0.2">
      <c r="A653"/>
      <c r="B653"/>
      <c r="C653"/>
      <c r="D653"/>
      <c r="E653"/>
      <c r="F653"/>
      <c r="G653"/>
      <c r="H653"/>
      <c r="I653"/>
      <c r="J653"/>
    </row>
    <row r="654" spans="1:10" ht="11.25" customHeight="1" x14ac:dyDescent="0.2">
      <c r="A654"/>
      <c r="B654"/>
      <c r="C654"/>
      <c r="D654"/>
      <c r="E654"/>
      <c r="F654"/>
      <c r="G654"/>
      <c r="H654"/>
      <c r="I654"/>
      <c r="J654"/>
    </row>
    <row r="655" spans="1:10" ht="11.25" customHeight="1" x14ac:dyDescent="0.2">
      <c r="A655"/>
      <c r="B655"/>
      <c r="C655"/>
      <c r="D655"/>
      <c r="E655"/>
      <c r="F655"/>
      <c r="G655"/>
      <c r="H655"/>
      <c r="I655"/>
      <c r="J655"/>
    </row>
    <row r="656" spans="1:10" ht="11.25" customHeight="1" x14ac:dyDescent="0.2">
      <c r="A656"/>
      <c r="B656"/>
      <c r="C656"/>
      <c r="D656"/>
      <c r="E656"/>
      <c r="F656"/>
      <c r="G656"/>
      <c r="H656"/>
      <c r="I656"/>
      <c r="J656"/>
    </row>
    <row r="657" spans="1:10" ht="11.25" customHeight="1" x14ac:dyDescent="0.2">
      <c r="A657"/>
      <c r="B657"/>
      <c r="C657"/>
      <c r="D657"/>
      <c r="E657"/>
      <c r="F657"/>
      <c r="G657"/>
      <c r="H657"/>
      <c r="I657"/>
      <c r="J657"/>
    </row>
    <row r="658" spans="1:10" ht="11.25" customHeight="1" x14ac:dyDescent="0.2">
      <c r="A658"/>
      <c r="B658"/>
      <c r="C658"/>
      <c r="D658"/>
      <c r="E658"/>
      <c r="F658"/>
      <c r="G658"/>
      <c r="H658"/>
      <c r="I658"/>
      <c r="J658"/>
    </row>
    <row r="659" spans="1:10" ht="11.25" customHeight="1" x14ac:dyDescent="0.2">
      <c r="A659"/>
      <c r="B659"/>
      <c r="C659"/>
      <c r="D659"/>
      <c r="E659"/>
      <c r="F659"/>
      <c r="G659"/>
      <c r="H659"/>
      <c r="I659"/>
      <c r="J659"/>
    </row>
    <row r="660" spans="1:10" ht="11.25" customHeight="1" x14ac:dyDescent="0.2">
      <c r="A660"/>
      <c r="B660"/>
      <c r="C660"/>
      <c r="D660"/>
      <c r="E660"/>
      <c r="F660"/>
      <c r="G660"/>
      <c r="H660"/>
      <c r="I660"/>
      <c r="J660"/>
    </row>
    <row r="661" spans="1:10" ht="11.25" customHeight="1" x14ac:dyDescent="0.2">
      <c r="A661"/>
      <c r="B661"/>
      <c r="C661"/>
      <c r="D661"/>
      <c r="E661"/>
      <c r="F661"/>
      <c r="G661"/>
      <c r="H661"/>
      <c r="I661"/>
      <c r="J661"/>
    </row>
    <row r="662" spans="1:10" ht="11.25" customHeight="1" x14ac:dyDescent="0.2">
      <c r="A662"/>
      <c r="B662"/>
      <c r="C662"/>
      <c r="D662"/>
      <c r="E662"/>
      <c r="F662"/>
      <c r="G662"/>
      <c r="H662"/>
      <c r="I662"/>
      <c r="J662"/>
    </row>
    <row r="663" spans="1:10" ht="11.25" customHeight="1" x14ac:dyDescent="0.2">
      <c r="A663"/>
      <c r="B663"/>
      <c r="C663"/>
      <c r="D663"/>
      <c r="E663"/>
      <c r="F663"/>
      <c r="G663"/>
      <c r="H663"/>
      <c r="I663"/>
      <c r="J663"/>
    </row>
    <row r="664" spans="1:10" ht="11.25" customHeight="1" x14ac:dyDescent="0.2">
      <c r="A664"/>
      <c r="B664"/>
      <c r="C664"/>
      <c r="D664"/>
      <c r="E664"/>
      <c r="F664"/>
      <c r="G664"/>
      <c r="H664"/>
      <c r="I664"/>
      <c r="J664"/>
    </row>
    <row r="665" spans="1:10" ht="11.25" customHeight="1" x14ac:dyDescent="0.2">
      <c r="A665"/>
      <c r="B665"/>
      <c r="C665"/>
      <c r="D665"/>
      <c r="E665"/>
      <c r="F665"/>
      <c r="G665"/>
      <c r="H665"/>
      <c r="I665"/>
      <c r="J665"/>
    </row>
    <row r="666" spans="1:10" ht="11.25" customHeight="1" x14ac:dyDescent="0.2">
      <c r="A666"/>
      <c r="B666"/>
      <c r="C666"/>
      <c r="D666"/>
      <c r="E666"/>
      <c r="F666"/>
      <c r="G666"/>
      <c r="H666"/>
      <c r="I666"/>
      <c r="J666"/>
    </row>
    <row r="667" spans="1:10" ht="11.25" customHeight="1" x14ac:dyDescent="0.2">
      <c r="A667"/>
      <c r="B667"/>
      <c r="C667"/>
      <c r="D667"/>
      <c r="E667"/>
      <c r="F667"/>
      <c r="G667"/>
      <c r="H667"/>
      <c r="I667"/>
      <c r="J667"/>
    </row>
    <row r="668" spans="1:10" ht="11.25" customHeight="1" x14ac:dyDescent="0.2">
      <c r="A668"/>
      <c r="B668"/>
      <c r="C668"/>
      <c r="D668"/>
      <c r="E668"/>
      <c r="F668"/>
      <c r="G668"/>
      <c r="H668"/>
      <c r="I668"/>
      <c r="J668"/>
    </row>
    <row r="669" spans="1:10" ht="11.25" customHeight="1" x14ac:dyDescent="0.2">
      <c r="A669"/>
      <c r="B669"/>
      <c r="C669"/>
      <c r="D669"/>
      <c r="E669"/>
      <c r="F669"/>
      <c r="G669"/>
      <c r="H669"/>
      <c r="I669"/>
      <c r="J669"/>
    </row>
    <row r="670" spans="1:10" ht="11.25" customHeight="1" x14ac:dyDescent="0.2">
      <c r="A670"/>
      <c r="B670"/>
      <c r="C670"/>
      <c r="D670"/>
      <c r="E670"/>
      <c r="F670"/>
      <c r="G670"/>
      <c r="H670"/>
      <c r="I670"/>
      <c r="J670"/>
    </row>
    <row r="671" spans="1:10" ht="11.25" customHeight="1" x14ac:dyDescent="0.2">
      <c r="A671"/>
      <c r="B671"/>
      <c r="C671"/>
      <c r="D671"/>
      <c r="E671"/>
      <c r="F671"/>
      <c r="G671"/>
      <c r="H671"/>
      <c r="I671"/>
      <c r="J671"/>
    </row>
    <row r="672" spans="1:10" ht="11.25" customHeight="1" x14ac:dyDescent="0.2">
      <c r="A672"/>
      <c r="B672"/>
      <c r="C672"/>
      <c r="D672"/>
      <c r="E672"/>
      <c r="F672"/>
      <c r="G672"/>
      <c r="H672"/>
      <c r="I672"/>
      <c r="J672"/>
    </row>
    <row r="673" spans="1:10" ht="11.25" customHeight="1" x14ac:dyDescent="0.2">
      <c r="A673"/>
      <c r="B673"/>
      <c r="C673"/>
      <c r="D673"/>
      <c r="E673"/>
      <c r="F673"/>
      <c r="G673"/>
      <c r="H673"/>
      <c r="I673"/>
      <c r="J673"/>
    </row>
    <row r="674" spans="1:10" ht="11.25" customHeight="1" x14ac:dyDescent="0.2">
      <c r="A674"/>
      <c r="B674"/>
      <c r="C674"/>
      <c r="D674"/>
      <c r="E674"/>
      <c r="F674"/>
      <c r="G674"/>
      <c r="H674"/>
      <c r="I674"/>
      <c r="J674"/>
    </row>
    <row r="675" spans="1:10" ht="11.25" customHeight="1" x14ac:dyDescent="0.2">
      <c r="A675"/>
      <c r="B675"/>
      <c r="C675"/>
      <c r="D675"/>
      <c r="E675"/>
      <c r="F675"/>
      <c r="G675"/>
      <c r="H675"/>
      <c r="I675"/>
      <c r="J675"/>
    </row>
    <row r="676" spans="1:10" ht="11.25" customHeight="1" x14ac:dyDescent="0.2">
      <c r="A676"/>
      <c r="B676"/>
      <c r="C676"/>
      <c r="D676"/>
      <c r="E676"/>
      <c r="F676"/>
      <c r="G676"/>
      <c r="H676"/>
      <c r="I676"/>
      <c r="J676"/>
    </row>
    <row r="677" spans="1:10" ht="11.25" customHeight="1" x14ac:dyDescent="0.2">
      <c r="A677"/>
      <c r="B677"/>
      <c r="C677"/>
      <c r="D677"/>
      <c r="E677"/>
      <c r="F677"/>
      <c r="G677"/>
      <c r="H677"/>
      <c r="I677"/>
      <c r="J677"/>
    </row>
    <row r="678" spans="1:10" ht="11.25" customHeight="1" x14ac:dyDescent="0.2">
      <c r="A678"/>
      <c r="B678"/>
      <c r="C678"/>
      <c r="D678"/>
      <c r="E678"/>
      <c r="F678"/>
      <c r="G678"/>
      <c r="H678"/>
      <c r="I678"/>
      <c r="J678"/>
    </row>
    <row r="679" spans="1:10" ht="11.25" customHeight="1" x14ac:dyDescent="0.2">
      <c r="A679"/>
      <c r="B679"/>
      <c r="C679"/>
      <c r="D679"/>
      <c r="E679"/>
      <c r="F679"/>
      <c r="G679"/>
      <c r="H679"/>
      <c r="I679"/>
      <c r="J679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DAFD7-7740-4771-8869-0C915CCF0144}">
  <sheetPr codeName="Planilha20"/>
  <dimension ref="B1:U22"/>
  <sheetViews>
    <sheetView showGridLines="0" workbookViewId="0">
      <selection activeCell="H25" sqref="H25"/>
    </sheetView>
  </sheetViews>
  <sheetFormatPr defaultRowHeight="14.4" x14ac:dyDescent="0.3"/>
  <sheetData>
    <row r="1" spans="2:21" x14ac:dyDescent="0.3">
      <c r="B1" s="87" t="s">
        <v>814</v>
      </c>
      <c r="C1" s="87" t="s">
        <v>815</v>
      </c>
      <c r="D1" s="87" t="s">
        <v>816</v>
      </c>
      <c r="E1" s="87" t="s">
        <v>2</v>
      </c>
      <c r="F1" s="87" t="s">
        <v>817</v>
      </c>
      <c r="G1" s="87" t="s">
        <v>731</v>
      </c>
      <c r="H1" s="87" t="s">
        <v>3</v>
      </c>
      <c r="I1" s="87" t="s">
        <v>818</v>
      </c>
      <c r="J1" s="87" t="s">
        <v>5</v>
      </c>
      <c r="K1" s="87" t="s">
        <v>1</v>
      </c>
      <c r="L1" s="87" t="s">
        <v>819</v>
      </c>
      <c r="M1" s="87" t="s">
        <v>820</v>
      </c>
      <c r="N1" s="87" t="s">
        <v>821</v>
      </c>
      <c r="O1" s="87" t="s">
        <v>822</v>
      </c>
      <c r="P1" s="87" t="s">
        <v>823</v>
      </c>
      <c r="Q1" s="87" t="s">
        <v>824</v>
      </c>
      <c r="R1" s="87" t="s">
        <v>825</v>
      </c>
      <c r="S1" s="87" t="s">
        <v>826</v>
      </c>
      <c r="T1" s="87" t="s">
        <v>827</v>
      </c>
      <c r="U1" s="87" t="s">
        <v>828</v>
      </c>
    </row>
    <row r="2" spans="2:21" x14ac:dyDescent="0.3">
      <c r="B2" s="86" t="s">
        <v>792</v>
      </c>
      <c r="C2" s="86">
        <v>6772</v>
      </c>
      <c r="D2" s="86">
        <v>400</v>
      </c>
      <c r="E2" s="86" t="s">
        <v>23</v>
      </c>
      <c r="F2" s="86">
        <v>1</v>
      </c>
      <c r="G2" s="86" t="s">
        <v>793</v>
      </c>
      <c r="H2" s="86" t="s">
        <v>43</v>
      </c>
      <c r="I2" s="86" t="s">
        <v>25</v>
      </c>
      <c r="J2" s="86" t="s">
        <v>43</v>
      </c>
      <c r="K2" s="86" t="s">
        <v>42</v>
      </c>
      <c r="L2" s="86">
        <v>0.3</v>
      </c>
      <c r="M2" s="86">
        <v>0.24</v>
      </c>
      <c r="N2" s="86">
        <v>0.18</v>
      </c>
      <c r="O2" s="86">
        <v>0.12</v>
      </c>
      <c r="P2" s="86">
        <v>0.06</v>
      </c>
      <c r="Q2" s="86">
        <v>0</v>
      </c>
      <c r="R2" s="86"/>
      <c r="S2" s="86"/>
      <c r="T2" s="86"/>
      <c r="U2" s="86">
        <v>3</v>
      </c>
    </row>
    <row r="3" spans="2:21" x14ac:dyDescent="0.3">
      <c r="B3" s="86" t="s">
        <v>794</v>
      </c>
      <c r="C3" s="86">
        <v>6773</v>
      </c>
      <c r="D3" s="86">
        <v>400</v>
      </c>
      <c r="E3" s="86" t="s">
        <v>33</v>
      </c>
      <c r="F3" s="86">
        <v>1</v>
      </c>
      <c r="G3" s="86" t="s">
        <v>793</v>
      </c>
      <c r="H3" s="86" t="s">
        <v>43</v>
      </c>
      <c r="I3" s="86" t="s">
        <v>25</v>
      </c>
      <c r="J3" s="86" t="s">
        <v>43</v>
      </c>
      <c r="K3" s="86" t="s">
        <v>42</v>
      </c>
      <c r="L3" s="86">
        <v>0.3</v>
      </c>
      <c r="M3" s="86">
        <v>0.24</v>
      </c>
      <c r="N3" s="86">
        <v>0.18</v>
      </c>
      <c r="O3" s="86">
        <v>0.12</v>
      </c>
      <c r="P3" s="86">
        <v>0.06</v>
      </c>
      <c r="Q3" s="86">
        <v>0</v>
      </c>
      <c r="R3" s="86"/>
      <c r="S3" s="86"/>
      <c r="T3" s="86"/>
      <c r="U3" s="86">
        <v>3</v>
      </c>
    </row>
    <row r="4" spans="2:21" x14ac:dyDescent="0.3">
      <c r="B4" s="86" t="s">
        <v>795</v>
      </c>
      <c r="C4" s="86">
        <v>6774</v>
      </c>
      <c r="D4" s="86">
        <v>400</v>
      </c>
      <c r="E4" s="86" t="s">
        <v>33</v>
      </c>
      <c r="F4" s="86">
        <v>1</v>
      </c>
      <c r="G4" s="86" t="s">
        <v>793</v>
      </c>
      <c r="H4" s="86" t="s">
        <v>43</v>
      </c>
      <c r="I4" s="86" t="s">
        <v>25</v>
      </c>
      <c r="J4" s="86" t="s">
        <v>743</v>
      </c>
      <c r="K4" s="86" t="s">
        <v>42</v>
      </c>
      <c r="L4" s="86">
        <v>0.3</v>
      </c>
      <c r="M4" s="86">
        <v>0.24</v>
      </c>
      <c r="N4" s="86">
        <v>0.18</v>
      </c>
      <c r="O4" s="86">
        <v>0.12</v>
      </c>
      <c r="P4" s="86">
        <v>0.06</v>
      </c>
      <c r="Q4" s="86">
        <v>0</v>
      </c>
      <c r="R4" s="86"/>
      <c r="S4" s="86"/>
      <c r="T4" s="86"/>
      <c r="U4" s="86">
        <v>3</v>
      </c>
    </row>
    <row r="5" spans="2:21" x14ac:dyDescent="0.3">
      <c r="B5" s="86" t="s">
        <v>796</v>
      </c>
      <c r="C5" s="86">
        <v>6775</v>
      </c>
      <c r="D5" s="86">
        <v>400</v>
      </c>
      <c r="E5" s="86" t="s">
        <v>23</v>
      </c>
      <c r="F5" s="86">
        <v>1</v>
      </c>
      <c r="G5" s="86" t="s">
        <v>793</v>
      </c>
      <c r="H5" s="86" t="s">
        <v>43</v>
      </c>
      <c r="I5" s="86" t="s">
        <v>97</v>
      </c>
      <c r="J5" s="86" t="s">
        <v>743</v>
      </c>
      <c r="K5" s="86" t="s">
        <v>42</v>
      </c>
      <c r="L5" s="86">
        <v>0.4</v>
      </c>
      <c r="M5" s="86">
        <v>0.32</v>
      </c>
      <c r="N5" s="86">
        <v>0.24</v>
      </c>
      <c r="O5" s="86">
        <v>0.16</v>
      </c>
      <c r="P5" s="86">
        <v>0.08</v>
      </c>
      <c r="Q5" s="86">
        <v>0</v>
      </c>
      <c r="R5" s="86"/>
      <c r="S5" s="86"/>
      <c r="T5" s="86"/>
      <c r="U5" s="86">
        <v>3</v>
      </c>
    </row>
    <row r="6" spans="2:21" x14ac:dyDescent="0.3">
      <c r="B6" s="86" t="s">
        <v>797</v>
      </c>
      <c r="C6" s="86">
        <v>6776</v>
      </c>
      <c r="D6" s="86">
        <v>400</v>
      </c>
      <c r="E6" s="86" t="s">
        <v>33</v>
      </c>
      <c r="F6" s="86">
        <v>1</v>
      </c>
      <c r="G6" s="86" t="s">
        <v>793</v>
      </c>
      <c r="H6" s="86" t="s">
        <v>43</v>
      </c>
      <c r="I6" s="86" t="s">
        <v>97</v>
      </c>
      <c r="J6" s="86" t="s">
        <v>743</v>
      </c>
      <c r="K6" s="86" t="s">
        <v>42</v>
      </c>
      <c r="L6" s="86">
        <v>0.4</v>
      </c>
      <c r="M6" s="86">
        <v>0.32</v>
      </c>
      <c r="N6" s="86">
        <v>0.24</v>
      </c>
      <c r="O6" s="86">
        <v>0.16</v>
      </c>
      <c r="P6" s="86">
        <v>0.08</v>
      </c>
      <c r="Q6" s="86">
        <v>0</v>
      </c>
      <c r="R6" s="86"/>
      <c r="S6" s="86"/>
      <c r="T6" s="86"/>
      <c r="U6" s="86">
        <v>3</v>
      </c>
    </row>
    <row r="7" spans="2:21" x14ac:dyDescent="0.3">
      <c r="B7" s="86" t="s">
        <v>798</v>
      </c>
      <c r="C7" s="86">
        <v>6756</v>
      </c>
      <c r="D7" s="86">
        <v>400</v>
      </c>
      <c r="E7" s="86" t="s">
        <v>83</v>
      </c>
      <c r="F7" s="86">
        <v>1</v>
      </c>
      <c r="G7" s="86" t="s">
        <v>793</v>
      </c>
      <c r="H7" s="86" t="s">
        <v>48</v>
      </c>
      <c r="I7" s="86" t="s">
        <v>49</v>
      </c>
      <c r="J7" s="86" t="s">
        <v>743</v>
      </c>
      <c r="K7" s="86" t="s">
        <v>39</v>
      </c>
      <c r="L7" s="86">
        <v>0.15</v>
      </c>
      <c r="M7" s="86">
        <v>0.12</v>
      </c>
      <c r="N7" s="86">
        <v>0.09</v>
      </c>
      <c r="O7" s="86">
        <v>0.06</v>
      </c>
      <c r="P7" s="86">
        <v>0.03</v>
      </c>
      <c r="Q7" s="86">
        <v>0</v>
      </c>
      <c r="R7" s="86"/>
      <c r="S7" s="86"/>
      <c r="T7" s="86"/>
      <c r="U7" s="86">
        <v>3</v>
      </c>
    </row>
    <row r="8" spans="2:21" x14ac:dyDescent="0.3">
      <c r="B8" s="86" t="s">
        <v>799</v>
      </c>
      <c r="C8" s="86">
        <v>6757</v>
      </c>
      <c r="D8" s="86">
        <v>400</v>
      </c>
      <c r="E8" s="86" t="s">
        <v>40</v>
      </c>
      <c r="F8" s="86">
        <v>1</v>
      </c>
      <c r="G8" s="86" t="s">
        <v>793</v>
      </c>
      <c r="H8" s="86" t="s">
        <v>48</v>
      </c>
      <c r="I8" s="86" t="s">
        <v>49</v>
      </c>
      <c r="J8" s="86" t="s">
        <v>743</v>
      </c>
      <c r="K8" s="86" t="s">
        <v>39</v>
      </c>
      <c r="L8" s="86">
        <v>0.15</v>
      </c>
      <c r="M8" s="86">
        <v>0.12</v>
      </c>
      <c r="N8" s="86">
        <v>0.09</v>
      </c>
      <c r="O8" s="86">
        <v>0.06</v>
      </c>
      <c r="P8" s="86">
        <v>0.03</v>
      </c>
      <c r="Q8" s="86">
        <v>0</v>
      </c>
      <c r="R8" s="86"/>
      <c r="S8" s="86"/>
      <c r="T8" s="86"/>
      <c r="U8" s="86">
        <v>3</v>
      </c>
    </row>
    <row r="9" spans="2:21" x14ac:dyDescent="0.3">
      <c r="B9" s="86" t="s">
        <v>800</v>
      </c>
      <c r="C9" s="86">
        <v>6758</v>
      </c>
      <c r="D9" s="86">
        <v>400</v>
      </c>
      <c r="E9" s="86" t="s">
        <v>23</v>
      </c>
      <c r="F9" s="86">
        <v>1</v>
      </c>
      <c r="G9" s="86" t="s">
        <v>793</v>
      </c>
      <c r="H9" s="86" t="s">
        <v>48</v>
      </c>
      <c r="I9" s="86" t="s">
        <v>49</v>
      </c>
      <c r="J9" s="86" t="s">
        <v>743</v>
      </c>
      <c r="K9" s="86" t="s">
        <v>39</v>
      </c>
      <c r="L9" s="86">
        <v>0.15</v>
      </c>
      <c r="M9" s="86">
        <v>0.12</v>
      </c>
      <c r="N9" s="86">
        <v>0.09</v>
      </c>
      <c r="O9" s="86">
        <v>0.06</v>
      </c>
      <c r="P9" s="86">
        <v>0.03</v>
      </c>
      <c r="Q9" s="86">
        <v>0</v>
      </c>
      <c r="R9" s="86"/>
      <c r="S9" s="86"/>
      <c r="T9" s="86"/>
      <c r="U9" s="86">
        <v>3</v>
      </c>
    </row>
    <row r="10" spans="2:21" x14ac:dyDescent="0.3">
      <c r="B10" s="86" t="s">
        <v>801</v>
      </c>
      <c r="C10" s="86">
        <v>6759</v>
      </c>
      <c r="D10" s="86">
        <v>400</v>
      </c>
      <c r="E10" s="86" t="s">
        <v>23</v>
      </c>
      <c r="F10" s="86">
        <v>1</v>
      </c>
      <c r="G10" s="86" t="s">
        <v>793</v>
      </c>
      <c r="H10" s="86" t="s">
        <v>48</v>
      </c>
      <c r="I10" s="86" t="s">
        <v>49</v>
      </c>
      <c r="J10" s="86" t="s">
        <v>743</v>
      </c>
      <c r="K10" s="86" t="s">
        <v>37</v>
      </c>
      <c r="L10" s="86">
        <v>0.15</v>
      </c>
      <c r="M10" s="86">
        <v>0.12</v>
      </c>
      <c r="N10" s="86">
        <v>0.09</v>
      </c>
      <c r="O10" s="86">
        <v>0.06</v>
      </c>
      <c r="P10" s="86">
        <v>0.03</v>
      </c>
      <c r="Q10" s="86">
        <v>0</v>
      </c>
      <c r="R10" s="86"/>
      <c r="S10" s="86"/>
      <c r="T10" s="86"/>
      <c r="U10" s="86">
        <v>3</v>
      </c>
    </row>
    <row r="11" spans="2:21" x14ac:dyDescent="0.3">
      <c r="B11" s="86" t="s">
        <v>802</v>
      </c>
      <c r="C11" s="86">
        <v>6760</v>
      </c>
      <c r="D11" s="86">
        <v>400</v>
      </c>
      <c r="E11" s="86" t="s">
        <v>33</v>
      </c>
      <c r="F11" s="86">
        <v>1</v>
      </c>
      <c r="G11" s="86" t="s">
        <v>793</v>
      </c>
      <c r="H11" s="86" t="s">
        <v>48</v>
      </c>
      <c r="I11" s="86" t="s">
        <v>49</v>
      </c>
      <c r="J11" s="86" t="s">
        <v>743</v>
      </c>
      <c r="K11" s="86" t="s">
        <v>37</v>
      </c>
      <c r="L11" s="86">
        <v>0.15</v>
      </c>
      <c r="M11" s="86">
        <v>0.12</v>
      </c>
      <c r="N11" s="86">
        <v>0.09</v>
      </c>
      <c r="O11" s="86">
        <v>0.06</v>
      </c>
      <c r="P11" s="86">
        <v>0.03</v>
      </c>
      <c r="Q11" s="86">
        <v>0</v>
      </c>
      <c r="R11" s="86"/>
      <c r="S11" s="86"/>
      <c r="T11" s="86"/>
      <c r="U11" s="86">
        <v>3</v>
      </c>
    </row>
    <row r="12" spans="2:21" x14ac:dyDescent="0.3">
      <c r="B12" s="86" t="s">
        <v>803</v>
      </c>
      <c r="C12" s="86">
        <v>6761</v>
      </c>
      <c r="D12" s="86">
        <v>400</v>
      </c>
      <c r="E12" s="86" t="s">
        <v>23</v>
      </c>
      <c r="F12" s="86">
        <v>1</v>
      </c>
      <c r="G12" s="86" t="s">
        <v>793</v>
      </c>
      <c r="H12" s="86" t="s">
        <v>43</v>
      </c>
      <c r="I12" s="86" t="s">
        <v>96</v>
      </c>
      <c r="J12" s="86" t="s">
        <v>743</v>
      </c>
      <c r="K12" s="86" t="s">
        <v>42</v>
      </c>
      <c r="L12" s="86">
        <v>0.4</v>
      </c>
      <c r="M12" s="86">
        <v>0.31999999999999995</v>
      </c>
      <c r="N12" s="86">
        <v>0.23999999999999996</v>
      </c>
      <c r="O12" s="86">
        <v>0.15999999999999998</v>
      </c>
      <c r="P12" s="86">
        <v>7.9999999999999988E-2</v>
      </c>
      <c r="Q12" s="86">
        <v>0</v>
      </c>
      <c r="R12" s="86"/>
      <c r="S12" s="86"/>
      <c r="T12" s="86"/>
      <c r="U12" s="86">
        <v>3</v>
      </c>
    </row>
    <row r="13" spans="2:21" x14ac:dyDescent="0.3">
      <c r="B13" s="86" t="s">
        <v>804</v>
      </c>
      <c r="C13" s="86">
        <v>6762</v>
      </c>
      <c r="D13" s="86">
        <v>400</v>
      </c>
      <c r="E13" s="86" t="s">
        <v>33</v>
      </c>
      <c r="F13" s="86">
        <v>1</v>
      </c>
      <c r="G13" s="86" t="s">
        <v>793</v>
      </c>
      <c r="H13" s="86" t="s">
        <v>43</v>
      </c>
      <c r="I13" s="86" t="s">
        <v>96</v>
      </c>
      <c r="J13" s="86" t="s">
        <v>743</v>
      </c>
      <c r="K13" s="86" t="s">
        <v>42</v>
      </c>
      <c r="L13" s="86">
        <v>0.4</v>
      </c>
      <c r="M13" s="86">
        <v>0.31999999999999995</v>
      </c>
      <c r="N13" s="86">
        <v>0.23999999999999996</v>
      </c>
      <c r="O13" s="86">
        <v>0.15999999999999998</v>
      </c>
      <c r="P13" s="86">
        <v>7.9999999999999988E-2</v>
      </c>
      <c r="Q13" s="86">
        <v>0</v>
      </c>
      <c r="R13" s="86"/>
      <c r="S13" s="86"/>
      <c r="T13" s="86"/>
      <c r="U13" s="86">
        <v>3</v>
      </c>
    </row>
    <row r="14" spans="2:21" x14ac:dyDescent="0.3">
      <c r="B14" s="86" t="s">
        <v>805</v>
      </c>
      <c r="C14" s="86">
        <v>6763</v>
      </c>
      <c r="D14" s="86">
        <v>400</v>
      </c>
      <c r="E14" s="86" t="s">
        <v>40</v>
      </c>
      <c r="F14" s="86">
        <v>1</v>
      </c>
      <c r="G14" s="86" t="s">
        <v>793</v>
      </c>
      <c r="H14" s="86" t="s">
        <v>43</v>
      </c>
      <c r="I14" s="86" t="s">
        <v>96</v>
      </c>
      <c r="J14" s="86" t="s">
        <v>743</v>
      </c>
      <c r="K14" s="86" t="s">
        <v>39</v>
      </c>
      <c r="L14" s="86">
        <v>0.3</v>
      </c>
      <c r="M14" s="86">
        <v>0.24</v>
      </c>
      <c r="N14" s="86">
        <v>0.18</v>
      </c>
      <c r="O14" s="86">
        <v>0.12</v>
      </c>
      <c r="P14" s="86">
        <v>0.06</v>
      </c>
      <c r="Q14" s="86">
        <v>0</v>
      </c>
      <c r="R14" s="86"/>
      <c r="S14" s="86"/>
      <c r="T14" s="86"/>
      <c r="U14" s="86">
        <v>3</v>
      </c>
    </row>
    <row r="15" spans="2:21" x14ac:dyDescent="0.3">
      <c r="B15" s="86" t="s">
        <v>806</v>
      </c>
      <c r="C15" s="86">
        <v>6764</v>
      </c>
      <c r="D15" s="86">
        <v>400</v>
      </c>
      <c r="E15" s="86" t="s">
        <v>83</v>
      </c>
      <c r="F15" s="86">
        <v>1</v>
      </c>
      <c r="G15" s="86" t="s">
        <v>793</v>
      </c>
      <c r="H15" s="86" t="s">
        <v>43</v>
      </c>
      <c r="I15" s="86" t="s">
        <v>96</v>
      </c>
      <c r="J15" s="86" t="s">
        <v>743</v>
      </c>
      <c r="K15" s="86" t="s">
        <v>39</v>
      </c>
      <c r="L15" s="86">
        <v>0.3</v>
      </c>
      <c r="M15" s="86">
        <v>0.24</v>
      </c>
      <c r="N15" s="86">
        <v>0.18</v>
      </c>
      <c r="O15" s="86">
        <v>0.12</v>
      </c>
      <c r="P15" s="86">
        <v>0.06</v>
      </c>
      <c r="Q15" s="86">
        <v>0</v>
      </c>
      <c r="R15" s="86"/>
      <c r="S15" s="86"/>
      <c r="T15" s="86"/>
      <c r="U15" s="86">
        <v>3</v>
      </c>
    </row>
    <row r="16" spans="2:21" x14ac:dyDescent="0.3">
      <c r="B16" s="86" t="s">
        <v>807</v>
      </c>
      <c r="C16" s="86">
        <v>6765</v>
      </c>
      <c r="D16" s="86">
        <v>400</v>
      </c>
      <c r="E16" s="86" t="s">
        <v>23</v>
      </c>
      <c r="F16" s="86">
        <v>1</v>
      </c>
      <c r="G16" s="86" t="s">
        <v>793</v>
      </c>
      <c r="H16" s="86" t="s">
        <v>43</v>
      </c>
      <c r="I16" s="86" t="s">
        <v>96</v>
      </c>
      <c r="J16" s="86" t="s">
        <v>743</v>
      </c>
      <c r="K16" s="86" t="s">
        <v>39</v>
      </c>
      <c r="L16" s="86">
        <v>0.3</v>
      </c>
      <c r="M16" s="86">
        <v>0.24</v>
      </c>
      <c r="N16" s="86">
        <v>0.18</v>
      </c>
      <c r="O16" s="86">
        <v>0.12</v>
      </c>
      <c r="P16" s="86">
        <v>0.06</v>
      </c>
      <c r="Q16" s="86">
        <v>0</v>
      </c>
      <c r="R16" s="86"/>
      <c r="S16" s="86"/>
      <c r="T16" s="86"/>
      <c r="U16" s="86">
        <v>3</v>
      </c>
    </row>
    <row r="17" spans="2:21" x14ac:dyDescent="0.3">
      <c r="B17" s="86" t="s">
        <v>808</v>
      </c>
      <c r="C17" s="86">
        <v>6766</v>
      </c>
      <c r="D17" s="86">
        <v>400</v>
      </c>
      <c r="E17" s="86" t="s">
        <v>83</v>
      </c>
      <c r="F17" s="86">
        <v>1</v>
      </c>
      <c r="G17" s="86" t="s">
        <v>793</v>
      </c>
      <c r="H17" s="86" t="s">
        <v>43</v>
      </c>
      <c r="I17" s="86" t="s">
        <v>96</v>
      </c>
      <c r="J17" s="86" t="s">
        <v>96</v>
      </c>
      <c r="K17" s="86" t="s">
        <v>39</v>
      </c>
      <c r="L17" s="86">
        <v>0.3</v>
      </c>
      <c r="M17" s="86">
        <v>0.24</v>
      </c>
      <c r="N17" s="86">
        <v>0.18</v>
      </c>
      <c r="O17" s="86">
        <v>0.12</v>
      </c>
      <c r="P17" s="86">
        <v>0.06</v>
      </c>
      <c r="Q17" s="86">
        <v>0</v>
      </c>
      <c r="R17" s="86"/>
      <c r="S17" s="86"/>
      <c r="T17" s="86"/>
      <c r="U17" s="86">
        <v>3</v>
      </c>
    </row>
    <row r="18" spans="2:21" x14ac:dyDescent="0.3">
      <c r="B18" s="86" t="s">
        <v>809</v>
      </c>
      <c r="C18" s="86">
        <v>6767</v>
      </c>
      <c r="D18" s="86">
        <v>400</v>
      </c>
      <c r="E18" s="86" t="s">
        <v>23</v>
      </c>
      <c r="F18" s="86">
        <v>1</v>
      </c>
      <c r="G18" s="86" t="s">
        <v>793</v>
      </c>
      <c r="H18" s="86" t="s">
        <v>43</v>
      </c>
      <c r="I18" s="86" t="s">
        <v>96</v>
      </c>
      <c r="J18" s="86" t="s">
        <v>96</v>
      </c>
      <c r="K18" s="86" t="s">
        <v>42</v>
      </c>
      <c r="L18" s="86">
        <v>0.4</v>
      </c>
      <c r="M18" s="86">
        <v>0.31999999999999995</v>
      </c>
      <c r="N18" s="86">
        <v>0.23999999999999996</v>
      </c>
      <c r="O18" s="86">
        <v>0.15999999999999998</v>
      </c>
      <c r="P18" s="86">
        <v>7.9999999999999988E-2</v>
      </c>
      <c r="Q18" s="86">
        <v>0</v>
      </c>
      <c r="R18" s="86"/>
      <c r="S18" s="86"/>
      <c r="T18" s="86"/>
      <c r="U18" s="86">
        <v>3</v>
      </c>
    </row>
    <row r="19" spans="2:21" x14ac:dyDescent="0.3">
      <c r="B19" s="86" t="s">
        <v>810</v>
      </c>
      <c r="C19" s="86">
        <v>6768</v>
      </c>
      <c r="D19" s="86">
        <v>400</v>
      </c>
      <c r="E19" s="86" t="s">
        <v>23</v>
      </c>
      <c r="F19" s="86">
        <v>1</v>
      </c>
      <c r="G19" s="86" t="s">
        <v>793</v>
      </c>
      <c r="H19" s="86" t="s">
        <v>43</v>
      </c>
      <c r="I19" s="86" t="s">
        <v>25</v>
      </c>
      <c r="J19" s="86" t="s">
        <v>743</v>
      </c>
      <c r="K19" s="86" t="s">
        <v>42</v>
      </c>
      <c r="L19" s="86">
        <v>0.3</v>
      </c>
      <c r="M19" s="86">
        <v>0.24</v>
      </c>
      <c r="N19" s="86">
        <v>0.18</v>
      </c>
      <c r="O19" s="86">
        <v>0.12</v>
      </c>
      <c r="P19" s="86">
        <v>0.06</v>
      </c>
      <c r="Q19" s="86">
        <v>0</v>
      </c>
      <c r="R19" s="86"/>
      <c r="S19" s="86"/>
      <c r="T19" s="86"/>
      <c r="U19" s="86">
        <v>3</v>
      </c>
    </row>
    <row r="20" spans="2:21" x14ac:dyDescent="0.3">
      <c r="B20" s="86" t="s">
        <v>811</v>
      </c>
      <c r="C20" s="86">
        <v>6769</v>
      </c>
      <c r="D20" s="86">
        <v>400</v>
      </c>
      <c r="E20" s="86" t="s">
        <v>83</v>
      </c>
      <c r="F20" s="86">
        <v>1</v>
      </c>
      <c r="G20" s="86" t="s">
        <v>793</v>
      </c>
      <c r="H20" s="86" t="s">
        <v>43</v>
      </c>
      <c r="I20" s="86" t="s">
        <v>25</v>
      </c>
      <c r="J20" s="86" t="s">
        <v>744</v>
      </c>
      <c r="K20" s="86" t="s">
        <v>39</v>
      </c>
      <c r="L20" s="86">
        <v>0.1</v>
      </c>
      <c r="M20" s="86">
        <v>0.08</v>
      </c>
      <c r="N20" s="86">
        <v>0.06</v>
      </c>
      <c r="O20" s="86">
        <v>0.04</v>
      </c>
      <c r="P20" s="86">
        <v>0.02</v>
      </c>
      <c r="Q20" s="86">
        <v>0</v>
      </c>
      <c r="R20" s="86"/>
      <c r="S20" s="86"/>
      <c r="T20" s="86"/>
      <c r="U20" s="86">
        <v>3</v>
      </c>
    </row>
    <row r="21" spans="2:21" x14ac:dyDescent="0.3">
      <c r="B21" s="86" t="s">
        <v>812</v>
      </c>
      <c r="C21" s="86">
        <v>6770</v>
      </c>
      <c r="D21" s="86">
        <v>400</v>
      </c>
      <c r="E21" s="86" t="s">
        <v>40</v>
      </c>
      <c r="F21" s="86">
        <v>1</v>
      </c>
      <c r="G21" s="86" t="s">
        <v>793</v>
      </c>
      <c r="H21" s="86" t="s">
        <v>43</v>
      </c>
      <c r="I21" s="86" t="s">
        <v>25</v>
      </c>
      <c r="J21" s="86" t="s">
        <v>744</v>
      </c>
      <c r="K21" s="86" t="s">
        <v>39</v>
      </c>
      <c r="L21" s="86">
        <v>0.1</v>
      </c>
      <c r="M21" s="86">
        <v>0.08</v>
      </c>
      <c r="N21" s="86">
        <v>0.06</v>
      </c>
      <c r="O21" s="86">
        <v>0.04</v>
      </c>
      <c r="P21" s="86">
        <v>0.02</v>
      </c>
      <c r="Q21" s="86">
        <v>0</v>
      </c>
      <c r="R21" s="86"/>
      <c r="S21" s="86"/>
      <c r="T21" s="86"/>
      <c r="U21" s="86">
        <v>3</v>
      </c>
    </row>
    <row r="22" spans="2:21" x14ac:dyDescent="0.3">
      <c r="B22" s="86" t="s">
        <v>813</v>
      </c>
      <c r="C22" s="86">
        <v>6771</v>
      </c>
      <c r="D22" s="86">
        <v>400</v>
      </c>
      <c r="E22" s="86" t="s">
        <v>23</v>
      </c>
      <c r="F22" s="86">
        <v>1</v>
      </c>
      <c r="G22" s="86" t="s">
        <v>793</v>
      </c>
      <c r="H22" s="86" t="s">
        <v>43</v>
      </c>
      <c r="I22" s="86" t="s">
        <v>25</v>
      </c>
      <c r="J22" s="86" t="s">
        <v>744</v>
      </c>
      <c r="K22" s="86" t="s">
        <v>39</v>
      </c>
      <c r="L22" s="86">
        <v>0.1</v>
      </c>
      <c r="M22" s="86">
        <v>0.08</v>
      </c>
      <c r="N22" s="86">
        <v>0.06</v>
      </c>
      <c r="O22" s="86">
        <v>0.04</v>
      </c>
      <c r="P22" s="86">
        <v>0.02</v>
      </c>
      <c r="Q22" s="86">
        <v>0</v>
      </c>
      <c r="R22" s="86"/>
      <c r="S22" s="86"/>
      <c r="T22" s="86"/>
      <c r="U22" s="86">
        <v>3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BC39C-5FDD-4BD5-9855-694E6EE0A68D}">
  <dimension ref="A1:L18"/>
  <sheetViews>
    <sheetView showGridLines="0" workbookViewId="0">
      <selection activeCell="F8" sqref="F8"/>
    </sheetView>
  </sheetViews>
  <sheetFormatPr defaultColWidth="9.109375" defaultRowHeight="10.199999999999999" x14ac:dyDescent="0.2"/>
  <cols>
    <col min="1" max="1" width="31.44140625" style="14" bestFit="1" customWidth="1"/>
    <col min="2" max="2" width="18.44140625" style="14" customWidth="1"/>
    <col min="3" max="12" width="11" style="14" customWidth="1"/>
    <col min="13" max="16384" width="9.109375" style="14"/>
  </cols>
  <sheetData>
    <row r="1" spans="1:12" ht="10.8" thickBot="1" x14ac:dyDescent="0.25">
      <c r="A1" s="103" t="s">
        <v>1368</v>
      </c>
      <c r="B1" s="103" t="s">
        <v>22</v>
      </c>
      <c r="C1" s="103" t="s">
        <v>1367</v>
      </c>
      <c r="D1" s="103" t="s">
        <v>1366</v>
      </c>
      <c r="E1" s="103" t="s">
        <v>37</v>
      </c>
      <c r="F1" s="103" t="s">
        <v>1365</v>
      </c>
      <c r="G1" s="103" t="s">
        <v>1364</v>
      </c>
      <c r="H1" s="103" t="s">
        <v>726</v>
      </c>
      <c r="I1" s="103" t="s">
        <v>39</v>
      </c>
      <c r="J1" s="103" t="s">
        <v>725</v>
      </c>
      <c r="K1" s="103" t="s">
        <v>724</v>
      </c>
      <c r="L1" s="103" t="s">
        <v>723</v>
      </c>
    </row>
    <row r="2" spans="1:12" x14ac:dyDescent="0.2">
      <c r="A2" s="99" t="s">
        <v>1363</v>
      </c>
      <c r="B2" s="105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417.13215131740856</v>
      </c>
      <c r="C2" s="105">
        <f t="shared" si="0"/>
        <v>391.79657596624276</v>
      </c>
      <c r="D2" s="105">
        <f t="shared" si="0"/>
        <v>383.65299817479661</v>
      </c>
      <c r="E2" s="105">
        <f t="shared" si="0"/>
        <v>417.13215131740856</v>
      </c>
      <c r="F2" s="105">
        <f t="shared" si="0"/>
        <v>229.37744112573336</v>
      </c>
      <c r="G2" s="105">
        <f t="shared" si="0"/>
        <v>250.18880659276238</v>
      </c>
      <c r="H2" s="105">
        <f t="shared" si="0"/>
        <v>0</v>
      </c>
      <c r="I2" s="105">
        <f t="shared" si="0"/>
        <v>1056.3214230190351</v>
      </c>
      <c r="J2" s="105">
        <f t="shared" si="0"/>
        <v>0</v>
      </c>
      <c r="K2" s="105">
        <f t="shared" si="0"/>
        <v>0</v>
      </c>
      <c r="L2" s="105">
        <f t="shared" si="0"/>
        <v>0</v>
      </c>
    </row>
    <row r="3" spans="1:12" ht="10.8" thickBot="1" x14ac:dyDescent="0.25">
      <c r="A3" s="97" t="s">
        <v>1362</v>
      </c>
      <c r="B3" s="104">
        <v>9.2200000000000006</v>
      </c>
      <c r="C3" s="104">
        <v>8.66</v>
      </c>
      <c r="D3" s="104">
        <v>8.48</v>
      </c>
      <c r="E3" s="104">
        <v>9.2200000000000006</v>
      </c>
      <c r="F3" s="104">
        <v>5.07</v>
      </c>
      <c r="G3" s="104">
        <v>5.53</v>
      </c>
      <c r="H3" s="104">
        <v>0</v>
      </c>
      <c r="I3" s="104">
        <f>'TUSD BE'!$AC$6</f>
        <v>23.348196703314262</v>
      </c>
      <c r="J3" s="104">
        <v>0</v>
      </c>
      <c r="K3" s="104">
        <v>0</v>
      </c>
      <c r="L3" s="104">
        <v>0</v>
      </c>
    </row>
    <row r="5" spans="1:12" ht="10.8" thickBot="1" x14ac:dyDescent="0.25">
      <c r="A5" s="103" t="s">
        <v>1361</v>
      </c>
      <c r="B5" s="103" t="s">
        <v>1360</v>
      </c>
    </row>
    <row r="6" spans="1:12" x14ac:dyDescent="0.2">
      <c r="A6" s="99" t="s">
        <v>1359</v>
      </c>
      <c r="B6" s="102">
        <v>0.1082749759</v>
      </c>
    </row>
    <row r="7" spans="1:12" x14ac:dyDescent="0.2">
      <c r="A7" s="101" t="s">
        <v>1358</v>
      </c>
      <c r="B7" s="100">
        <v>0.34</v>
      </c>
    </row>
    <row r="8" spans="1:12" x14ac:dyDescent="0.2">
      <c r="A8" s="99" t="s">
        <v>1357</v>
      </c>
      <c r="B8" s="98">
        <v>16827444.902255774</v>
      </c>
    </row>
    <row r="9" spans="1:12" x14ac:dyDescent="0.2">
      <c r="A9" s="101" t="s">
        <v>1356</v>
      </c>
      <c r="B9" s="100">
        <v>4.1000000000000002E-2</v>
      </c>
    </row>
    <row r="10" spans="1:12" x14ac:dyDescent="0.2">
      <c r="A10" s="99" t="s">
        <v>1355</v>
      </c>
      <c r="B10" s="98">
        <v>9348887.7916802336</v>
      </c>
    </row>
    <row r="11" spans="1:12" ht="10.8" thickBot="1" x14ac:dyDescent="0.25">
      <c r="A11" s="97" t="s">
        <v>1354</v>
      </c>
      <c r="B11" s="96">
        <f>(1+$B$6)^(1/IF($B$9&lt;&gt;0,$B$9,1))*$B$6/IF((1+$B$6)^(1/IF($B$9&lt;&gt;0,$B$9,1))-1&lt;&gt;0,(1+$B$6)^(1/IF($B$9&lt;&gt;0,$B$9,1))-1,1)</f>
        <v>0.11787946038611993</v>
      </c>
    </row>
    <row r="18" spans="2:2" x14ac:dyDescent="0.2">
      <c r="B18" s="9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0F7EE-19C7-4533-BB7F-654D05794501}">
  <dimension ref="B1:AR53"/>
  <sheetViews>
    <sheetView showGridLines="0" workbookViewId="0">
      <selection activeCell="B4" sqref="B4"/>
    </sheetView>
  </sheetViews>
  <sheetFormatPr defaultRowHeight="14.4" x14ac:dyDescent="0.3"/>
  <cols>
    <col min="2" max="2" width="13.44140625" bestFit="1" customWidth="1"/>
    <col min="3" max="3" width="27.6640625" bestFit="1" customWidth="1"/>
    <col min="4" max="4" width="17.88671875" bestFit="1" customWidth="1"/>
    <col min="5" max="5" width="31.109375" bestFit="1" customWidth="1"/>
    <col min="6" max="6" width="12.5546875" bestFit="1" customWidth="1"/>
    <col min="7" max="7" width="13.44140625" bestFit="1" customWidth="1"/>
    <col min="8" max="8" width="11.5546875" bestFit="1" customWidth="1"/>
    <col min="9" max="9" width="13.44140625" bestFit="1" customWidth="1"/>
    <col min="10" max="10" width="12.88671875" bestFit="1" customWidth="1"/>
    <col min="11" max="11" width="10.109375" bestFit="1" customWidth="1"/>
    <col min="12" max="12" width="19.33203125" bestFit="1" customWidth="1"/>
    <col min="13" max="13" width="14" bestFit="1" customWidth="1"/>
    <col min="14" max="14" width="12.5546875" bestFit="1" customWidth="1"/>
    <col min="15" max="15" width="12.88671875" bestFit="1" customWidth="1"/>
    <col min="16" max="17" width="12.44140625" bestFit="1" customWidth="1"/>
    <col min="18" max="18" width="17.109375" bestFit="1" customWidth="1"/>
    <col min="19" max="19" width="10.88671875" bestFit="1" customWidth="1"/>
    <col min="20" max="20" width="11.33203125" bestFit="1" customWidth="1"/>
    <col min="21" max="21" width="11.109375" bestFit="1" customWidth="1"/>
    <col min="22" max="22" width="12.33203125" bestFit="1" customWidth="1"/>
    <col min="23" max="23" width="12.5546875" bestFit="1" customWidth="1"/>
    <col min="24" max="24" width="13.88671875" bestFit="1" customWidth="1"/>
    <col min="25" max="25" width="11.44140625" bestFit="1" customWidth="1"/>
    <col min="26" max="26" width="14.33203125" bestFit="1" customWidth="1"/>
    <col min="27" max="27" width="12.88671875" bestFit="1" customWidth="1"/>
    <col min="28" max="28" width="16.109375" bestFit="1" customWidth="1"/>
    <col min="29" max="29" width="14.44140625" bestFit="1" customWidth="1"/>
    <col min="30" max="30" width="12" bestFit="1" customWidth="1"/>
    <col min="31" max="31" width="17.6640625" bestFit="1" customWidth="1"/>
    <col min="32" max="32" width="12.5546875" bestFit="1" customWidth="1"/>
    <col min="33" max="33" width="12" bestFit="1" customWidth="1"/>
    <col min="34" max="34" width="16.5546875" bestFit="1" customWidth="1"/>
    <col min="35" max="35" width="14.5546875" bestFit="1" customWidth="1"/>
    <col min="36" max="36" width="12" bestFit="1" customWidth="1"/>
    <col min="37" max="37" width="12.5546875" bestFit="1" customWidth="1"/>
    <col min="38" max="38" width="12.33203125" bestFit="1" customWidth="1"/>
    <col min="39" max="39" width="14.109375" bestFit="1" customWidth="1"/>
    <col min="40" max="40" width="25.33203125" bestFit="1" customWidth="1"/>
    <col min="41" max="41" width="17.88671875" bestFit="1" customWidth="1"/>
    <col min="42" max="42" width="13.44140625" bestFit="1" customWidth="1"/>
    <col min="43" max="43" width="13.33203125" bestFit="1" customWidth="1"/>
    <col min="44" max="44" width="12.5546875" bestFit="1" customWidth="1"/>
  </cols>
  <sheetData>
    <row r="1" spans="2:44" ht="12" customHeight="1" x14ac:dyDescent="0.3">
      <c r="L1" s="155" t="s">
        <v>1406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6"/>
      <c r="AH1" s="155" t="s">
        <v>1407</v>
      </c>
      <c r="AI1" s="155"/>
      <c r="AJ1" s="155"/>
      <c r="AK1" s="155"/>
      <c r="AL1" s="155"/>
      <c r="AM1" s="155"/>
      <c r="AN1" s="155"/>
      <c r="AO1" s="155"/>
      <c r="AP1" s="155"/>
      <c r="AQ1" s="155"/>
      <c r="AR1" s="155"/>
    </row>
    <row r="2" spans="2:44" ht="12" customHeight="1" x14ac:dyDescent="0.3">
      <c r="L2" s="157" t="s">
        <v>611</v>
      </c>
      <c r="M2" s="157"/>
      <c r="N2" s="157"/>
      <c r="O2" s="157"/>
      <c r="P2" s="157"/>
      <c r="Q2" s="157"/>
      <c r="R2" s="157"/>
      <c r="S2" s="158"/>
      <c r="T2" s="157" t="s">
        <v>620</v>
      </c>
      <c r="U2" s="157"/>
      <c r="V2" s="157"/>
      <c r="W2" s="157"/>
      <c r="X2" s="157"/>
      <c r="Y2" s="157"/>
      <c r="Z2" s="158"/>
      <c r="AA2" s="116" t="s">
        <v>628</v>
      </c>
      <c r="AB2" s="157" t="s">
        <v>25</v>
      </c>
      <c r="AC2" s="158"/>
      <c r="AD2" s="157" t="s">
        <v>1405</v>
      </c>
      <c r="AE2" s="157"/>
      <c r="AF2" s="157"/>
      <c r="AG2" s="158"/>
      <c r="AH2" s="157" t="s">
        <v>611</v>
      </c>
      <c r="AI2" s="157"/>
      <c r="AJ2" s="157"/>
      <c r="AK2" s="157"/>
      <c r="AL2" s="158"/>
      <c r="AM2" s="116" t="s">
        <v>642</v>
      </c>
      <c r="AN2" s="157" t="s">
        <v>620</v>
      </c>
      <c r="AO2" s="157"/>
      <c r="AP2" s="157"/>
      <c r="AQ2" s="158"/>
      <c r="AR2" s="115" t="s">
        <v>1405</v>
      </c>
    </row>
    <row r="3" spans="2:44" ht="12" customHeight="1" x14ac:dyDescent="0.3">
      <c r="B3" s="106" t="s">
        <v>66</v>
      </c>
      <c r="C3" s="107" t="s">
        <v>67</v>
      </c>
      <c r="D3" s="107" t="s">
        <v>68</v>
      </c>
      <c r="E3" s="107" t="s">
        <v>69</v>
      </c>
      <c r="F3" s="107" t="s">
        <v>70</v>
      </c>
      <c r="G3" s="107" t="s">
        <v>72</v>
      </c>
      <c r="H3" s="107" t="s">
        <v>73</v>
      </c>
      <c r="I3" s="107" t="s">
        <v>859</v>
      </c>
      <c r="J3" s="107" t="s">
        <v>1369</v>
      </c>
      <c r="K3" s="107" t="s">
        <v>1370</v>
      </c>
      <c r="L3" s="107" t="s">
        <v>1371</v>
      </c>
      <c r="M3" s="107" t="s">
        <v>1372</v>
      </c>
      <c r="N3" s="107" t="s">
        <v>1373</v>
      </c>
      <c r="O3" s="107" t="s">
        <v>1374</v>
      </c>
      <c r="P3" s="107" t="s">
        <v>1375</v>
      </c>
      <c r="Q3" s="107" t="s">
        <v>1376</v>
      </c>
      <c r="R3" s="107" t="s">
        <v>1377</v>
      </c>
      <c r="S3" s="107" t="s">
        <v>1378</v>
      </c>
      <c r="T3" s="107" t="s">
        <v>1379</v>
      </c>
      <c r="U3" s="107" t="s">
        <v>1380</v>
      </c>
      <c r="V3" s="107" t="s">
        <v>1381</v>
      </c>
      <c r="W3" s="107" t="s">
        <v>1382</v>
      </c>
      <c r="X3" s="107" t="s">
        <v>1383</v>
      </c>
      <c r="Y3" s="107" t="s">
        <v>1384</v>
      </c>
      <c r="Z3" s="107" t="s">
        <v>1385</v>
      </c>
      <c r="AA3" s="107" t="s">
        <v>1386</v>
      </c>
      <c r="AB3" s="107" t="s">
        <v>1387</v>
      </c>
      <c r="AC3" s="107" t="s">
        <v>1388</v>
      </c>
      <c r="AD3" s="107" t="s">
        <v>1389</v>
      </c>
      <c r="AE3" s="107" t="s">
        <v>1390</v>
      </c>
      <c r="AF3" s="107" t="s">
        <v>1391</v>
      </c>
      <c r="AG3" s="107" t="s">
        <v>1392</v>
      </c>
      <c r="AH3" s="107" t="s">
        <v>1393</v>
      </c>
      <c r="AI3" s="107" t="s">
        <v>1394</v>
      </c>
      <c r="AJ3" s="107" t="s">
        <v>1395</v>
      </c>
      <c r="AK3" s="107" t="s">
        <v>1396</v>
      </c>
      <c r="AL3" s="107" t="s">
        <v>1397</v>
      </c>
      <c r="AM3" s="107" t="s">
        <v>1398</v>
      </c>
      <c r="AN3" s="107" t="s">
        <v>1399</v>
      </c>
      <c r="AO3" s="107" t="s">
        <v>1400</v>
      </c>
      <c r="AP3" s="107" t="s">
        <v>1401</v>
      </c>
      <c r="AQ3" s="107" t="s">
        <v>1402</v>
      </c>
      <c r="AR3" s="108" t="s">
        <v>1403</v>
      </c>
    </row>
    <row r="4" spans="2:44" ht="12" customHeight="1" x14ac:dyDescent="0.3">
      <c r="B4" s="109" t="s">
        <v>39</v>
      </c>
      <c r="C4" s="110" t="s">
        <v>83</v>
      </c>
      <c r="D4" s="110" t="s">
        <v>25</v>
      </c>
      <c r="E4" s="110" t="s">
        <v>25</v>
      </c>
      <c r="F4" s="110" t="s">
        <v>87</v>
      </c>
      <c r="G4" s="110" t="s">
        <v>34</v>
      </c>
      <c r="H4" s="110" t="s">
        <v>76</v>
      </c>
      <c r="I4" s="110" t="s">
        <v>25</v>
      </c>
      <c r="J4" s="110">
        <v>11.82</v>
      </c>
      <c r="K4" s="110">
        <v>0</v>
      </c>
      <c r="L4" s="110">
        <v>0</v>
      </c>
      <c r="M4" s="110">
        <v>0.92580847106997399</v>
      </c>
      <c r="N4" s="110">
        <v>0.36114096345688201</v>
      </c>
      <c r="O4" s="110">
        <v>0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-1.7294346181213001</v>
      </c>
      <c r="AC4" s="110">
        <v>0</v>
      </c>
      <c r="AD4" s="110">
        <v>10.9915145792849</v>
      </c>
      <c r="AE4" s="110">
        <v>0.11241258582665099</v>
      </c>
      <c r="AF4" s="110">
        <v>0.81951484521528595</v>
      </c>
      <c r="AG4" s="110">
        <v>0.34221718071341001</v>
      </c>
      <c r="AH4" s="110">
        <v>0</v>
      </c>
      <c r="AI4" s="110">
        <v>0</v>
      </c>
      <c r="AJ4" s="110">
        <v>0</v>
      </c>
      <c r="AK4" s="110">
        <v>0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  <c r="AQ4" s="110">
        <v>0</v>
      </c>
      <c r="AR4" s="111">
        <v>0</v>
      </c>
    </row>
    <row r="5" spans="2:44" ht="12" customHeight="1" x14ac:dyDescent="0.3">
      <c r="B5" s="109" t="s">
        <v>39</v>
      </c>
      <c r="C5" s="110" t="s">
        <v>83</v>
      </c>
      <c r="D5" s="110" t="s">
        <v>25</v>
      </c>
      <c r="E5" s="110" t="s">
        <v>25</v>
      </c>
      <c r="F5" s="110" t="s">
        <v>87</v>
      </c>
      <c r="G5" s="110" t="s">
        <v>34</v>
      </c>
      <c r="H5" s="110" t="s">
        <v>84</v>
      </c>
      <c r="I5" s="110" t="s">
        <v>25</v>
      </c>
      <c r="J5" s="110">
        <v>73.62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0</v>
      </c>
      <c r="U5" s="110">
        <v>0</v>
      </c>
      <c r="V5" s="110">
        <v>0</v>
      </c>
      <c r="W5" s="110">
        <v>0</v>
      </c>
      <c r="X5" s="110">
        <v>33.2007700512303</v>
      </c>
      <c r="Y5" s="110">
        <v>0</v>
      </c>
      <c r="Z5" s="110">
        <v>0</v>
      </c>
      <c r="AA5" s="110">
        <v>51.048694156153502</v>
      </c>
      <c r="AB5" s="110">
        <v>-10.6344099659243</v>
      </c>
      <c r="AC5" s="110">
        <v>0</v>
      </c>
      <c r="AD5" s="110">
        <v>0</v>
      </c>
      <c r="AE5" s="110">
        <v>0</v>
      </c>
      <c r="AF5" s="110">
        <v>0</v>
      </c>
      <c r="AG5" s="110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1">
        <v>0</v>
      </c>
    </row>
    <row r="6" spans="2:44" ht="12" customHeight="1" x14ac:dyDescent="0.3">
      <c r="B6" s="109" t="s">
        <v>39</v>
      </c>
      <c r="C6" s="110" t="s">
        <v>83</v>
      </c>
      <c r="D6" s="110" t="s">
        <v>25</v>
      </c>
      <c r="E6" s="110" t="s">
        <v>25</v>
      </c>
      <c r="F6" s="110" t="s">
        <v>87</v>
      </c>
      <c r="G6" s="110" t="s">
        <v>35</v>
      </c>
      <c r="H6" s="110" t="s">
        <v>76</v>
      </c>
      <c r="I6" s="110" t="s">
        <v>25</v>
      </c>
      <c r="J6" s="110">
        <v>11.82</v>
      </c>
      <c r="K6" s="110">
        <v>0</v>
      </c>
      <c r="L6" s="110">
        <v>0</v>
      </c>
      <c r="M6" s="110">
        <v>0.92580847106997399</v>
      </c>
      <c r="N6" s="110">
        <v>0.36114096345688201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-1.7294346181213001</v>
      </c>
      <c r="AC6" s="110">
        <v>0</v>
      </c>
      <c r="AD6" s="110">
        <v>10.9915145792849</v>
      </c>
      <c r="AE6" s="110">
        <v>0.11241258582665099</v>
      </c>
      <c r="AF6" s="110">
        <v>0.81951484521528595</v>
      </c>
      <c r="AG6" s="110">
        <v>0.34221718071341001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0">
        <v>0</v>
      </c>
      <c r="AR6" s="111">
        <v>0</v>
      </c>
    </row>
    <row r="7" spans="2:44" ht="12" customHeight="1" x14ac:dyDescent="0.3">
      <c r="B7" s="109" t="s">
        <v>39</v>
      </c>
      <c r="C7" s="110" t="s">
        <v>83</v>
      </c>
      <c r="D7" s="110" t="s">
        <v>25</v>
      </c>
      <c r="E7" s="110" t="s">
        <v>25</v>
      </c>
      <c r="F7" s="110" t="s">
        <v>87</v>
      </c>
      <c r="G7" s="110" t="s">
        <v>35</v>
      </c>
      <c r="H7" s="110" t="s">
        <v>84</v>
      </c>
      <c r="I7" s="110" t="s">
        <v>25</v>
      </c>
      <c r="J7" s="110">
        <v>39.119999999999997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</v>
      </c>
      <c r="U7" s="110">
        <v>0</v>
      </c>
      <c r="V7" s="110">
        <v>0</v>
      </c>
      <c r="W7" s="110">
        <v>0</v>
      </c>
      <c r="X7" s="110">
        <v>19.3112941629471</v>
      </c>
      <c r="Y7" s="110">
        <v>0</v>
      </c>
      <c r="Z7" s="110">
        <v>0</v>
      </c>
      <c r="AA7" s="110">
        <v>25.524406394674099</v>
      </c>
      <c r="AB7" s="110">
        <v>-5.71846617499817</v>
      </c>
      <c r="AC7" s="110">
        <v>0</v>
      </c>
      <c r="AD7" s="110">
        <v>0</v>
      </c>
      <c r="AE7" s="110">
        <v>0</v>
      </c>
      <c r="AF7" s="110">
        <v>0</v>
      </c>
      <c r="AG7" s="110">
        <v>0</v>
      </c>
      <c r="AH7" s="110">
        <v>0</v>
      </c>
      <c r="AI7" s="110">
        <v>0</v>
      </c>
      <c r="AJ7" s="110">
        <v>0</v>
      </c>
      <c r="AK7" s="110">
        <v>0</v>
      </c>
      <c r="AL7" s="110">
        <v>0</v>
      </c>
      <c r="AM7" s="110">
        <v>0</v>
      </c>
      <c r="AN7" s="110">
        <v>0</v>
      </c>
      <c r="AO7" s="110">
        <v>0</v>
      </c>
      <c r="AP7" s="110">
        <v>0</v>
      </c>
      <c r="AQ7" s="110">
        <v>0</v>
      </c>
      <c r="AR7" s="111">
        <v>0</v>
      </c>
    </row>
    <row r="8" spans="2:44" ht="12" customHeight="1" x14ac:dyDescent="0.3">
      <c r="B8" s="109" t="s">
        <v>39</v>
      </c>
      <c r="C8" s="110" t="s">
        <v>83</v>
      </c>
      <c r="D8" s="110" t="s">
        <v>25</v>
      </c>
      <c r="E8" s="110" t="s">
        <v>25</v>
      </c>
      <c r="F8" s="110" t="s">
        <v>25</v>
      </c>
      <c r="G8" s="110" t="s">
        <v>34</v>
      </c>
      <c r="H8" s="110" t="s">
        <v>76</v>
      </c>
      <c r="I8" s="110" t="s">
        <v>25</v>
      </c>
      <c r="J8" s="110">
        <v>104.15</v>
      </c>
      <c r="K8" s="110">
        <v>311.41000000000003</v>
      </c>
      <c r="L8" s="110">
        <v>2.9593256974143798</v>
      </c>
      <c r="M8" s="110">
        <v>0.92580847106997399</v>
      </c>
      <c r="N8" s="110">
        <v>0.37114469547588302</v>
      </c>
      <c r="O8" s="110">
        <v>0</v>
      </c>
      <c r="P8" s="110">
        <v>0</v>
      </c>
      <c r="Q8" s="110">
        <v>83.797894696981103</v>
      </c>
      <c r="R8" s="110">
        <v>16.8672081275393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-13.040528959779</v>
      </c>
      <c r="AC8" s="110">
        <v>0</v>
      </c>
      <c r="AD8" s="110">
        <v>10.9915145792849</v>
      </c>
      <c r="AE8" s="110">
        <v>0.11241258582665099</v>
      </c>
      <c r="AF8" s="110">
        <v>0.81951484521528595</v>
      </c>
      <c r="AG8" s="110">
        <v>0.34221718071341001</v>
      </c>
      <c r="AH8" s="110">
        <v>11.018019684329101</v>
      </c>
      <c r="AI8" s="110">
        <v>-15.232437747347801</v>
      </c>
      <c r="AJ8" s="110">
        <v>2.3046199546073001</v>
      </c>
      <c r="AK8" s="110">
        <v>29.2719436605495</v>
      </c>
      <c r="AL8" s="110">
        <v>0</v>
      </c>
      <c r="AM8" s="110">
        <v>318.75217467240702</v>
      </c>
      <c r="AN8" s="110">
        <v>6.4477737609046697</v>
      </c>
      <c r="AO8" s="110">
        <v>3.8807625612001502</v>
      </c>
      <c r="AP8" s="110">
        <v>0</v>
      </c>
      <c r="AQ8" s="110">
        <v>-46.950777141991601</v>
      </c>
      <c r="AR8" s="111">
        <v>1.9197097437074799</v>
      </c>
    </row>
    <row r="9" spans="2:44" ht="12" customHeight="1" x14ac:dyDescent="0.3">
      <c r="B9" s="109" t="s">
        <v>39</v>
      </c>
      <c r="C9" s="110" t="s">
        <v>83</v>
      </c>
      <c r="D9" s="110" t="s">
        <v>25</v>
      </c>
      <c r="E9" s="110" t="s">
        <v>25</v>
      </c>
      <c r="F9" s="110" t="s">
        <v>25</v>
      </c>
      <c r="G9" s="110" t="s">
        <v>34</v>
      </c>
      <c r="H9" s="110" t="s">
        <v>84</v>
      </c>
      <c r="I9" s="110" t="s">
        <v>25</v>
      </c>
      <c r="J9" s="110">
        <v>73.62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0</v>
      </c>
      <c r="U9" s="110">
        <v>0</v>
      </c>
      <c r="V9" s="110">
        <v>0</v>
      </c>
      <c r="W9" s="110">
        <v>0</v>
      </c>
      <c r="X9" s="110">
        <v>33.2007700512303</v>
      </c>
      <c r="Y9" s="110">
        <v>0</v>
      </c>
      <c r="Z9" s="110">
        <v>0</v>
      </c>
      <c r="AA9" s="110">
        <v>51.048694156153502</v>
      </c>
      <c r="AB9" s="110">
        <v>-10.6344099659243</v>
      </c>
      <c r="AC9" s="110">
        <v>0</v>
      </c>
      <c r="AD9" s="110">
        <v>0</v>
      </c>
      <c r="AE9" s="110">
        <v>0</v>
      </c>
      <c r="AF9" s="110">
        <v>0</v>
      </c>
      <c r="AG9" s="110">
        <v>0</v>
      </c>
      <c r="AH9" s="110">
        <v>0</v>
      </c>
      <c r="AI9" s="110">
        <v>0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1">
        <v>0</v>
      </c>
    </row>
    <row r="10" spans="2:44" ht="12" customHeight="1" x14ac:dyDescent="0.3">
      <c r="B10" s="109" t="s">
        <v>39</v>
      </c>
      <c r="C10" s="110" t="s">
        <v>83</v>
      </c>
      <c r="D10" s="110" t="s">
        <v>25</v>
      </c>
      <c r="E10" s="110" t="s">
        <v>25</v>
      </c>
      <c r="F10" s="110" t="s">
        <v>25</v>
      </c>
      <c r="G10" s="110" t="s">
        <v>35</v>
      </c>
      <c r="H10" s="110" t="s">
        <v>76</v>
      </c>
      <c r="I10" s="110" t="s">
        <v>25</v>
      </c>
      <c r="J10" s="110">
        <v>104.15</v>
      </c>
      <c r="K10" s="110">
        <v>195.9</v>
      </c>
      <c r="L10" s="110">
        <v>2.9593256974143798</v>
      </c>
      <c r="M10" s="110">
        <v>0.92580847106997399</v>
      </c>
      <c r="N10" s="110">
        <v>0.37114469547588302</v>
      </c>
      <c r="O10" s="110">
        <v>0</v>
      </c>
      <c r="P10" s="110">
        <v>0</v>
      </c>
      <c r="Q10" s="110">
        <v>83.797894696981103</v>
      </c>
      <c r="R10" s="110">
        <v>16.8672081275393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-13.040528959779</v>
      </c>
      <c r="AC10" s="110">
        <v>0</v>
      </c>
      <c r="AD10" s="110">
        <v>10.9915145792849</v>
      </c>
      <c r="AE10" s="110">
        <v>0.11241258582665099</v>
      </c>
      <c r="AF10" s="110">
        <v>0.81951484521528595</v>
      </c>
      <c r="AG10" s="110">
        <v>0.34221718071341001</v>
      </c>
      <c r="AH10" s="110">
        <v>11.018019684329101</v>
      </c>
      <c r="AI10" s="110">
        <v>-15.232437747347801</v>
      </c>
      <c r="AJ10" s="110">
        <v>2.3046199546073001</v>
      </c>
      <c r="AK10" s="110">
        <v>29.2719436605495</v>
      </c>
      <c r="AL10" s="110">
        <v>0</v>
      </c>
      <c r="AM10" s="110">
        <v>185.32103178628299</v>
      </c>
      <c r="AN10" s="110">
        <v>6.4477737609046697</v>
      </c>
      <c r="AO10" s="110">
        <v>3.8807625612001502</v>
      </c>
      <c r="AP10" s="110">
        <v>0</v>
      </c>
      <c r="AQ10" s="110">
        <v>-29.034351136236101</v>
      </c>
      <c r="AR10" s="111">
        <v>1.9197097437074799</v>
      </c>
    </row>
    <row r="11" spans="2:44" ht="12" customHeight="1" x14ac:dyDescent="0.3">
      <c r="B11" s="109" t="s">
        <v>39</v>
      </c>
      <c r="C11" s="110" t="s">
        <v>83</v>
      </c>
      <c r="D11" s="110" t="s">
        <v>25</v>
      </c>
      <c r="E11" s="110" t="s">
        <v>25</v>
      </c>
      <c r="F11" s="110" t="s">
        <v>25</v>
      </c>
      <c r="G11" s="110" t="s">
        <v>35</v>
      </c>
      <c r="H11" s="110" t="s">
        <v>84</v>
      </c>
      <c r="I11" s="110" t="s">
        <v>25</v>
      </c>
      <c r="J11" s="110">
        <v>39.119999999999997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19.3112941629471</v>
      </c>
      <c r="Y11" s="110">
        <v>0</v>
      </c>
      <c r="Z11" s="110">
        <v>0</v>
      </c>
      <c r="AA11" s="110">
        <v>25.524406394674099</v>
      </c>
      <c r="AB11" s="110">
        <v>-5.71846617499817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  <c r="AH11" s="110">
        <v>0</v>
      </c>
      <c r="AI11" s="110">
        <v>0</v>
      </c>
      <c r="AJ11" s="110">
        <v>0</v>
      </c>
      <c r="AK11" s="110">
        <v>0</v>
      </c>
      <c r="AL11" s="110">
        <v>0</v>
      </c>
      <c r="AM11" s="110">
        <v>0</v>
      </c>
      <c r="AN11" s="110">
        <v>0</v>
      </c>
      <c r="AO11" s="110">
        <v>0</v>
      </c>
      <c r="AP11" s="110">
        <v>0</v>
      </c>
      <c r="AQ11" s="110">
        <v>0</v>
      </c>
      <c r="AR11" s="111">
        <v>0</v>
      </c>
    </row>
    <row r="12" spans="2:44" ht="12" customHeight="1" x14ac:dyDescent="0.3">
      <c r="B12" s="109" t="s">
        <v>39</v>
      </c>
      <c r="C12" s="110" t="s">
        <v>23</v>
      </c>
      <c r="D12" s="110" t="s">
        <v>25</v>
      </c>
      <c r="E12" s="110" t="s">
        <v>25</v>
      </c>
      <c r="F12" s="110" t="s">
        <v>25</v>
      </c>
      <c r="G12" s="110" t="s">
        <v>25</v>
      </c>
      <c r="H12" s="110" t="s">
        <v>76</v>
      </c>
      <c r="I12" s="110" t="s">
        <v>25</v>
      </c>
      <c r="J12" s="110">
        <v>0</v>
      </c>
      <c r="K12" s="110">
        <v>205.52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0</v>
      </c>
      <c r="Y12" s="110">
        <v>0</v>
      </c>
      <c r="Z12" s="110">
        <v>0</v>
      </c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0">
        <v>11.018019684329101</v>
      </c>
      <c r="AI12" s="110">
        <v>-15.232437747347801</v>
      </c>
      <c r="AJ12" s="110">
        <v>2.3046199546073001</v>
      </c>
      <c r="AK12" s="110">
        <v>29.2719436605495</v>
      </c>
      <c r="AL12" s="110">
        <v>0</v>
      </c>
      <c r="AM12" s="110">
        <v>196.44029369346001</v>
      </c>
      <c r="AN12" s="110">
        <v>6.4477737609046697</v>
      </c>
      <c r="AO12" s="110">
        <v>3.8807625612001502</v>
      </c>
      <c r="AP12" s="110">
        <v>0</v>
      </c>
      <c r="AQ12" s="110">
        <v>-30.527386636715701</v>
      </c>
      <c r="AR12" s="111">
        <v>1.9197097437074799</v>
      </c>
    </row>
    <row r="13" spans="2:44" ht="12" customHeight="1" x14ac:dyDescent="0.3">
      <c r="B13" s="109" t="s">
        <v>39</v>
      </c>
      <c r="C13" s="110" t="s">
        <v>56</v>
      </c>
      <c r="D13" s="110" t="s">
        <v>25</v>
      </c>
      <c r="E13" s="110" t="s">
        <v>25</v>
      </c>
      <c r="F13" s="110" t="s">
        <v>25</v>
      </c>
      <c r="G13" s="110" t="s">
        <v>34</v>
      </c>
      <c r="H13" s="110" t="s">
        <v>84</v>
      </c>
      <c r="I13" s="110" t="s">
        <v>58</v>
      </c>
      <c r="J13" s="110">
        <v>42.22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33.2007700512303</v>
      </c>
      <c r="Y13" s="110">
        <v>0</v>
      </c>
      <c r="Z13" s="110">
        <v>0</v>
      </c>
      <c r="AA13" s="110">
        <v>9.0168346042072294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0">
        <v>0</v>
      </c>
      <c r="AH13" s="110">
        <v>0</v>
      </c>
      <c r="AI13" s="110">
        <v>0</v>
      </c>
      <c r="AJ13" s="110">
        <v>0</v>
      </c>
      <c r="AK13" s="110">
        <v>0</v>
      </c>
      <c r="AL13" s="110">
        <v>0</v>
      </c>
      <c r="AM13" s="110">
        <v>0</v>
      </c>
      <c r="AN13" s="110">
        <v>0</v>
      </c>
      <c r="AO13" s="110">
        <v>0</v>
      </c>
      <c r="AP13" s="110">
        <v>0</v>
      </c>
      <c r="AQ13" s="110">
        <v>0</v>
      </c>
      <c r="AR13" s="111">
        <v>0</v>
      </c>
    </row>
    <row r="14" spans="2:44" ht="12" customHeight="1" x14ac:dyDescent="0.3">
      <c r="B14" s="109" t="s">
        <v>39</v>
      </c>
      <c r="C14" s="110" t="s">
        <v>56</v>
      </c>
      <c r="D14" s="110" t="s">
        <v>25</v>
      </c>
      <c r="E14" s="110" t="s">
        <v>25</v>
      </c>
      <c r="F14" s="110" t="s">
        <v>25</v>
      </c>
      <c r="G14" s="110" t="s">
        <v>25</v>
      </c>
      <c r="H14" s="110" t="s">
        <v>76</v>
      </c>
      <c r="I14" s="110" t="s">
        <v>58</v>
      </c>
      <c r="J14" s="110">
        <v>11.1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110">
        <v>0</v>
      </c>
      <c r="AA14" s="110">
        <v>0</v>
      </c>
      <c r="AB14" s="110">
        <v>0</v>
      </c>
      <c r="AC14" s="110">
        <v>0</v>
      </c>
      <c r="AD14" s="110">
        <v>10.9915145792849</v>
      </c>
      <c r="AE14" s="110">
        <v>0.11241258582665099</v>
      </c>
      <c r="AF14" s="110">
        <v>0</v>
      </c>
      <c r="AG14" s="110">
        <v>0</v>
      </c>
      <c r="AH14" s="110">
        <v>0</v>
      </c>
      <c r="AI14" s="110">
        <v>0</v>
      </c>
      <c r="AJ14" s="110">
        <v>0</v>
      </c>
      <c r="AK14" s="110">
        <v>0</v>
      </c>
      <c r="AL14" s="110">
        <v>0</v>
      </c>
      <c r="AM14" s="110">
        <v>0</v>
      </c>
      <c r="AN14" s="110">
        <v>0</v>
      </c>
      <c r="AO14" s="110">
        <v>0</v>
      </c>
      <c r="AP14" s="110">
        <v>0</v>
      </c>
      <c r="AQ14" s="110">
        <v>0</v>
      </c>
      <c r="AR14" s="111">
        <v>0</v>
      </c>
    </row>
    <row r="15" spans="2:44" ht="12" customHeight="1" x14ac:dyDescent="0.3">
      <c r="B15" s="109" t="s">
        <v>39</v>
      </c>
      <c r="C15" s="110" t="s">
        <v>56</v>
      </c>
      <c r="D15" s="110" t="s">
        <v>25</v>
      </c>
      <c r="E15" s="110" t="s">
        <v>25</v>
      </c>
      <c r="F15" s="110" t="s">
        <v>25</v>
      </c>
      <c r="G15" s="110" t="s">
        <v>35</v>
      </c>
      <c r="H15" s="110" t="s">
        <v>84</v>
      </c>
      <c r="I15" s="110" t="s">
        <v>58</v>
      </c>
      <c r="J15" s="110">
        <v>23.82</v>
      </c>
      <c r="K15" s="110">
        <v>0</v>
      </c>
      <c r="L15" s="110">
        <v>0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0">
        <v>0</v>
      </c>
      <c r="X15" s="110">
        <v>19.3112941629471</v>
      </c>
      <c r="Y15" s="110">
        <v>0</v>
      </c>
      <c r="Z15" s="110">
        <v>0</v>
      </c>
      <c r="AA15" s="110">
        <v>4.50841730210362</v>
      </c>
      <c r="AB15" s="110">
        <v>0</v>
      </c>
      <c r="AC15" s="110">
        <v>0</v>
      </c>
      <c r="AD15" s="110">
        <v>0</v>
      </c>
      <c r="AE15" s="110">
        <v>0</v>
      </c>
      <c r="AF15" s="110">
        <v>0</v>
      </c>
      <c r="AG15" s="110">
        <v>0</v>
      </c>
      <c r="AH15" s="110">
        <v>0</v>
      </c>
      <c r="AI15" s="110">
        <v>0</v>
      </c>
      <c r="AJ15" s="110">
        <v>0</v>
      </c>
      <c r="AK15" s="110">
        <v>0</v>
      </c>
      <c r="AL15" s="110">
        <v>0</v>
      </c>
      <c r="AM15" s="110">
        <v>0</v>
      </c>
      <c r="AN15" s="110">
        <v>0</v>
      </c>
      <c r="AO15" s="110">
        <v>0</v>
      </c>
      <c r="AP15" s="110">
        <v>0</v>
      </c>
      <c r="AQ15" s="110">
        <v>0</v>
      </c>
      <c r="AR15" s="111">
        <v>0</v>
      </c>
    </row>
    <row r="16" spans="2:44" ht="12" customHeight="1" x14ac:dyDescent="0.3">
      <c r="B16" s="109" t="s">
        <v>39</v>
      </c>
      <c r="C16" s="110" t="s">
        <v>88</v>
      </c>
      <c r="D16" s="110" t="s">
        <v>25</v>
      </c>
      <c r="E16" s="110" t="s">
        <v>25</v>
      </c>
      <c r="F16" s="110" t="s">
        <v>25</v>
      </c>
      <c r="G16" s="110" t="s">
        <v>25</v>
      </c>
      <c r="H16" s="110" t="s">
        <v>84</v>
      </c>
      <c r="I16" s="110" t="s">
        <v>25</v>
      </c>
      <c r="J16" s="110">
        <v>20.77</v>
      </c>
      <c r="K16" s="110">
        <v>0</v>
      </c>
      <c r="L16" s="110">
        <v>0</v>
      </c>
      <c r="M16" s="110">
        <v>7.8345304808328506E-2</v>
      </c>
      <c r="N16" s="110">
        <v>0.19567299829166299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23.1174575053133</v>
      </c>
      <c r="AB16" s="110">
        <v>-2.6241638300324199</v>
      </c>
      <c r="AC16" s="110">
        <v>0</v>
      </c>
      <c r="AD16" s="110">
        <v>0</v>
      </c>
      <c r="AE16" s="110">
        <v>0</v>
      </c>
      <c r="AF16" s="110">
        <v>0</v>
      </c>
      <c r="AG16" s="110">
        <v>0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0">
        <v>0</v>
      </c>
      <c r="AR16" s="111">
        <v>0</v>
      </c>
    </row>
    <row r="17" spans="2:44" ht="12" customHeight="1" x14ac:dyDescent="0.3">
      <c r="B17" s="109" t="s">
        <v>39</v>
      </c>
      <c r="C17" s="110" t="s">
        <v>40</v>
      </c>
      <c r="D17" s="110" t="s">
        <v>25</v>
      </c>
      <c r="E17" s="110" t="s">
        <v>25</v>
      </c>
      <c r="F17" s="110" t="s">
        <v>87</v>
      </c>
      <c r="G17" s="110" t="s">
        <v>34</v>
      </c>
      <c r="H17" s="110" t="s">
        <v>76</v>
      </c>
      <c r="I17" s="110" t="s">
        <v>25</v>
      </c>
      <c r="J17" s="110">
        <v>1799.1</v>
      </c>
      <c r="K17" s="110">
        <v>0</v>
      </c>
      <c r="L17" s="110">
        <v>0</v>
      </c>
      <c r="M17" s="110">
        <v>0.92580847106997399</v>
      </c>
      <c r="N17" s="110">
        <v>19.547591712047399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798.47866441036103</v>
      </c>
      <c r="Y17" s="110">
        <v>0</v>
      </c>
      <c r="Z17" s="110">
        <v>0</v>
      </c>
      <c r="AA17" s="110">
        <v>1227.72318833138</v>
      </c>
      <c r="AB17" s="110">
        <v>-259.837572499457</v>
      </c>
      <c r="AC17" s="110">
        <v>0</v>
      </c>
      <c r="AD17" s="110">
        <v>10.9915145792849</v>
      </c>
      <c r="AE17" s="110">
        <v>0.11241258582665099</v>
      </c>
      <c r="AF17" s="110">
        <v>0.81951484521528595</v>
      </c>
      <c r="AG17" s="110">
        <v>0.34221718071341001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0</v>
      </c>
      <c r="AO17" s="110">
        <v>0</v>
      </c>
      <c r="AP17" s="110">
        <v>0</v>
      </c>
      <c r="AQ17" s="110">
        <v>0</v>
      </c>
      <c r="AR17" s="111">
        <v>0</v>
      </c>
    </row>
    <row r="18" spans="2:44" ht="12" customHeight="1" x14ac:dyDescent="0.3">
      <c r="B18" s="109" t="s">
        <v>39</v>
      </c>
      <c r="C18" s="110" t="s">
        <v>40</v>
      </c>
      <c r="D18" s="110" t="s">
        <v>25</v>
      </c>
      <c r="E18" s="110" t="s">
        <v>25</v>
      </c>
      <c r="F18" s="110" t="s">
        <v>87</v>
      </c>
      <c r="G18" s="110" t="s">
        <v>25</v>
      </c>
      <c r="H18" s="110" t="s">
        <v>84</v>
      </c>
      <c r="I18" s="110" t="s">
        <v>25</v>
      </c>
      <c r="J18" s="110">
        <v>39.119999999999997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19.3112941629471</v>
      </c>
      <c r="Y18" s="110">
        <v>0</v>
      </c>
      <c r="Z18" s="110">
        <v>0</v>
      </c>
      <c r="AA18" s="110">
        <v>25.524406394674099</v>
      </c>
      <c r="AB18" s="110">
        <v>-5.71846617499817</v>
      </c>
      <c r="AC18" s="110">
        <v>0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0">
        <v>0</v>
      </c>
      <c r="AR18" s="111">
        <v>0</v>
      </c>
    </row>
    <row r="19" spans="2:44" ht="12" customHeight="1" x14ac:dyDescent="0.3">
      <c r="B19" s="109" t="s">
        <v>39</v>
      </c>
      <c r="C19" s="110" t="s">
        <v>40</v>
      </c>
      <c r="D19" s="110" t="s">
        <v>25</v>
      </c>
      <c r="E19" s="110" t="s">
        <v>25</v>
      </c>
      <c r="F19" s="110" t="s">
        <v>87</v>
      </c>
      <c r="G19" s="110" t="s">
        <v>35</v>
      </c>
      <c r="H19" s="110" t="s">
        <v>76</v>
      </c>
      <c r="I19" s="110" t="s">
        <v>25</v>
      </c>
      <c r="J19" s="110">
        <v>11.82</v>
      </c>
      <c r="K19" s="110">
        <v>0</v>
      </c>
      <c r="L19" s="110">
        <v>0</v>
      </c>
      <c r="M19" s="110">
        <v>0.92580847106997399</v>
      </c>
      <c r="N19" s="110">
        <v>0.36114096345688201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-1.7294346181213001</v>
      </c>
      <c r="AC19" s="110">
        <v>0</v>
      </c>
      <c r="AD19" s="110">
        <v>10.9915145792849</v>
      </c>
      <c r="AE19" s="110">
        <v>0.11241258582665099</v>
      </c>
      <c r="AF19" s="110">
        <v>0.81951484521528595</v>
      </c>
      <c r="AG19" s="110">
        <v>0.34221718071341001</v>
      </c>
      <c r="AH19" s="110">
        <v>0</v>
      </c>
      <c r="AI19" s="110">
        <v>0</v>
      </c>
      <c r="AJ19" s="110">
        <v>0</v>
      </c>
      <c r="AK19" s="110">
        <v>0</v>
      </c>
      <c r="AL19" s="110">
        <v>0</v>
      </c>
      <c r="AM19" s="110">
        <v>0</v>
      </c>
      <c r="AN19" s="110">
        <v>0</v>
      </c>
      <c r="AO19" s="110">
        <v>0</v>
      </c>
      <c r="AP19" s="110">
        <v>0</v>
      </c>
      <c r="AQ19" s="110">
        <v>0</v>
      </c>
      <c r="AR19" s="111">
        <v>0</v>
      </c>
    </row>
    <row r="20" spans="2:44" ht="12" customHeight="1" x14ac:dyDescent="0.3">
      <c r="B20" s="109" t="s">
        <v>39</v>
      </c>
      <c r="C20" s="110" t="s">
        <v>40</v>
      </c>
      <c r="D20" s="110" t="s">
        <v>25</v>
      </c>
      <c r="E20" s="110" t="s">
        <v>25</v>
      </c>
      <c r="F20" s="110" t="s">
        <v>25</v>
      </c>
      <c r="G20" s="110" t="s">
        <v>34</v>
      </c>
      <c r="H20" s="110" t="s">
        <v>76</v>
      </c>
      <c r="I20" s="110" t="s">
        <v>25</v>
      </c>
      <c r="J20" s="110">
        <v>1891.43</v>
      </c>
      <c r="K20" s="110">
        <v>311.41000000000003</v>
      </c>
      <c r="L20" s="110">
        <v>2.9593256974143798</v>
      </c>
      <c r="M20" s="110">
        <v>0.92580847106997399</v>
      </c>
      <c r="N20" s="110">
        <v>19.557595444066401</v>
      </c>
      <c r="O20" s="110">
        <v>0</v>
      </c>
      <c r="P20" s="110">
        <v>0</v>
      </c>
      <c r="Q20" s="110">
        <v>83.797894696981103</v>
      </c>
      <c r="R20" s="110">
        <v>16.8672081275393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798.47866441036103</v>
      </c>
      <c r="Y20" s="110">
        <v>0</v>
      </c>
      <c r="Z20" s="110">
        <v>0</v>
      </c>
      <c r="AA20" s="110">
        <v>1227.72318833138</v>
      </c>
      <c r="AB20" s="110">
        <v>-271.14866684111502</v>
      </c>
      <c r="AC20" s="110">
        <v>0</v>
      </c>
      <c r="AD20" s="110">
        <v>10.9915145792849</v>
      </c>
      <c r="AE20" s="110">
        <v>0.11241258582665099</v>
      </c>
      <c r="AF20" s="110">
        <v>0.81951484521528595</v>
      </c>
      <c r="AG20" s="110">
        <v>0.34221718071341001</v>
      </c>
      <c r="AH20" s="110">
        <v>11.018019684329101</v>
      </c>
      <c r="AI20" s="110">
        <v>-15.232437747347801</v>
      </c>
      <c r="AJ20" s="110">
        <v>2.3046199546073001</v>
      </c>
      <c r="AK20" s="110">
        <v>29.2719436605495</v>
      </c>
      <c r="AL20" s="110">
        <v>0</v>
      </c>
      <c r="AM20" s="110">
        <v>318.75217467240702</v>
      </c>
      <c r="AN20" s="110">
        <v>6.4477737609046697</v>
      </c>
      <c r="AO20" s="110">
        <v>3.8807625612001502</v>
      </c>
      <c r="AP20" s="110">
        <v>0</v>
      </c>
      <c r="AQ20" s="110">
        <v>-46.950777141991601</v>
      </c>
      <c r="AR20" s="111">
        <v>1.9197097437074799</v>
      </c>
    </row>
    <row r="21" spans="2:44" ht="12" customHeight="1" x14ac:dyDescent="0.3">
      <c r="B21" s="109" t="s">
        <v>39</v>
      </c>
      <c r="C21" s="110" t="s">
        <v>40</v>
      </c>
      <c r="D21" s="110" t="s">
        <v>25</v>
      </c>
      <c r="E21" s="110" t="s">
        <v>25</v>
      </c>
      <c r="F21" s="110" t="s">
        <v>25</v>
      </c>
      <c r="G21" s="110" t="s">
        <v>25</v>
      </c>
      <c r="H21" s="110" t="s">
        <v>84</v>
      </c>
      <c r="I21" s="110" t="s">
        <v>25</v>
      </c>
      <c r="J21" s="110">
        <v>39.119999999999997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0</v>
      </c>
      <c r="U21" s="110">
        <v>0</v>
      </c>
      <c r="V21" s="110">
        <v>0</v>
      </c>
      <c r="W21" s="110">
        <v>0</v>
      </c>
      <c r="X21" s="110">
        <v>19.3112941629471</v>
      </c>
      <c r="Y21" s="110">
        <v>0</v>
      </c>
      <c r="Z21" s="110">
        <v>0</v>
      </c>
      <c r="AA21" s="110">
        <v>25.524406394674099</v>
      </c>
      <c r="AB21" s="110">
        <v>-5.71846617499817</v>
      </c>
      <c r="AC21" s="110">
        <v>0</v>
      </c>
      <c r="AD21" s="110">
        <v>0</v>
      </c>
      <c r="AE21" s="110">
        <v>0</v>
      </c>
      <c r="AF21" s="110">
        <v>0</v>
      </c>
      <c r="AG21" s="110">
        <v>0</v>
      </c>
      <c r="AH21" s="110">
        <v>0</v>
      </c>
      <c r="AI21" s="110">
        <v>0</v>
      </c>
      <c r="AJ21" s="110">
        <v>0</v>
      </c>
      <c r="AK21" s="110">
        <v>0</v>
      </c>
      <c r="AL21" s="110">
        <v>0</v>
      </c>
      <c r="AM21" s="110">
        <v>0</v>
      </c>
      <c r="AN21" s="110">
        <v>0</v>
      </c>
      <c r="AO21" s="110">
        <v>0</v>
      </c>
      <c r="AP21" s="110">
        <v>0</v>
      </c>
      <c r="AQ21" s="110">
        <v>0</v>
      </c>
      <c r="AR21" s="111">
        <v>0</v>
      </c>
    </row>
    <row r="22" spans="2:44" ht="12" customHeight="1" x14ac:dyDescent="0.3">
      <c r="B22" s="109" t="s">
        <v>39</v>
      </c>
      <c r="C22" s="110" t="s">
        <v>40</v>
      </c>
      <c r="D22" s="110" t="s">
        <v>25</v>
      </c>
      <c r="E22" s="110" t="s">
        <v>25</v>
      </c>
      <c r="F22" s="110" t="s">
        <v>25</v>
      </c>
      <c r="G22" s="110" t="s">
        <v>35</v>
      </c>
      <c r="H22" s="110" t="s">
        <v>76</v>
      </c>
      <c r="I22" s="110" t="s">
        <v>25</v>
      </c>
      <c r="J22" s="110">
        <v>104.15</v>
      </c>
      <c r="K22" s="110">
        <v>195.9</v>
      </c>
      <c r="L22" s="110">
        <v>2.9593256974143798</v>
      </c>
      <c r="M22" s="110">
        <v>0.92580847106997399</v>
      </c>
      <c r="N22" s="110">
        <v>0.37114469547588302</v>
      </c>
      <c r="O22" s="110">
        <v>0</v>
      </c>
      <c r="P22" s="110">
        <v>0</v>
      </c>
      <c r="Q22" s="110">
        <v>83.797894696981103</v>
      </c>
      <c r="R22" s="110">
        <v>16.8672081275393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-13.040528959779</v>
      </c>
      <c r="AC22" s="110">
        <v>0</v>
      </c>
      <c r="AD22" s="110">
        <v>10.9915145792849</v>
      </c>
      <c r="AE22" s="110">
        <v>0.11241258582665099</v>
      </c>
      <c r="AF22" s="110">
        <v>0.81951484521528595</v>
      </c>
      <c r="AG22" s="110">
        <v>0.34221718071341001</v>
      </c>
      <c r="AH22" s="110">
        <v>11.018019684329101</v>
      </c>
      <c r="AI22" s="110">
        <v>-15.232437747347801</v>
      </c>
      <c r="AJ22" s="110">
        <v>2.3046199546073001</v>
      </c>
      <c r="AK22" s="110">
        <v>29.2719436605495</v>
      </c>
      <c r="AL22" s="110">
        <v>0</v>
      </c>
      <c r="AM22" s="110">
        <v>185.32103178628299</v>
      </c>
      <c r="AN22" s="110">
        <v>6.4477737609046697</v>
      </c>
      <c r="AO22" s="110">
        <v>3.8807625612001502</v>
      </c>
      <c r="AP22" s="110">
        <v>0</v>
      </c>
      <c r="AQ22" s="110">
        <v>-29.034351136236101</v>
      </c>
      <c r="AR22" s="111">
        <v>1.9197097437074799</v>
      </c>
    </row>
    <row r="23" spans="2:44" ht="12" customHeight="1" x14ac:dyDescent="0.3">
      <c r="B23" s="109" t="s">
        <v>90</v>
      </c>
      <c r="C23" s="110" t="s">
        <v>88</v>
      </c>
      <c r="D23" s="110" t="s">
        <v>25</v>
      </c>
      <c r="E23" s="110" t="s">
        <v>25</v>
      </c>
      <c r="F23" s="110" t="s">
        <v>91</v>
      </c>
      <c r="G23" s="110" t="s">
        <v>25</v>
      </c>
      <c r="H23" s="110" t="s">
        <v>84</v>
      </c>
      <c r="I23" s="110" t="s">
        <v>25</v>
      </c>
      <c r="J23" s="110">
        <v>6.1</v>
      </c>
      <c r="K23" s="110">
        <v>0</v>
      </c>
      <c r="L23" s="110">
        <v>0</v>
      </c>
      <c r="M23" s="110">
        <v>2.3030904751100399E-2</v>
      </c>
      <c r="N23" s="110">
        <v>5.7421421789066902E-2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0">
        <v>6.7871237078822704</v>
      </c>
      <c r="AB23" s="110">
        <v>-0.77043650767604399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0">
        <v>0</v>
      </c>
      <c r="AN23" s="110">
        <v>0</v>
      </c>
      <c r="AO23" s="110">
        <v>0</v>
      </c>
      <c r="AP23" s="110">
        <v>0</v>
      </c>
      <c r="AQ23" s="110">
        <v>0</v>
      </c>
      <c r="AR23" s="111">
        <v>0</v>
      </c>
    </row>
    <row r="24" spans="2:44" ht="12" customHeight="1" x14ac:dyDescent="0.3">
      <c r="B24" s="109" t="s">
        <v>90</v>
      </c>
      <c r="C24" s="110" t="s">
        <v>88</v>
      </c>
      <c r="D24" s="110" t="s">
        <v>25</v>
      </c>
      <c r="E24" s="110" t="s">
        <v>25</v>
      </c>
      <c r="F24" s="110" t="s">
        <v>92</v>
      </c>
      <c r="G24" s="110" t="s">
        <v>25</v>
      </c>
      <c r="H24" s="110" t="s">
        <v>84</v>
      </c>
      <c r="I24" s="110" t="s">
        <v>25</v>
      </c>
      <c r="J24" s="110">
        <v>15.64</v>
      </c>
      <c r="K24" s="110">
        <v>0</v>
      </c>
      <c r="L24" s="110">
        <v>0</v>
      </c>
      <c r="M24" s="110">
        <v>2.3030904751100399E-2</v>
      </c>
      <c r="N24" s="110">
        <v>5.7421421789066902E-2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17.535172523851699</v>
      </c>
      <c r="AB24" s="110">
        <v>-1.9747974905736301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0</v>
      </c>
      <c r="AI24" s="110">
        <v>0</v>
      </c>
      <c r="AJ24" s="110">
        <v>0</v>
      </c>
      <c r="AK24" s="110">
        <v>0</v>
      </c>
      <c r="AL24" s="110">
        <v>0</v>
      </c>
      <c r="AM24" s="110">
        <v>0</v>
      </c>
      <c r="AN24" s="110">
        <v>0</v>
      </c>
      <c r="AO24" s="110">
        <v>0</v>
      </c>
      <c r="AP24" s="110">
        <v>0</v>
      </c>
      <c r="AQ24" s="110">
        <v>0</v>
      </c>
      <c r="AR24" s="111">
        <v>0</v>
      </c>
    </row>
    <row r="25" spans="2:44" ht="12" customHeight="1" x14ac:dyDescent="0.3">
      <c r="B25" s="109" t="s">
        <v>22</v>
      </c>
      <c r="C25" s="110" t="s">
        <v>33</v>
      </c>
      <c r="D25" s="110" t="s">
        <v>24</v>
      </c>
      <c r="E25" s="110" t="s">
        <v>24</v>
      </c>
      <c r="F25" s="110" t="s">
        <v>25</v>
      </c>
      <c r="G25" s="110" t="s">
        <v>34</v>
      </c>
      <c r="H25" s="110" t="s">
        <v>76</v>
      </c>
      <c r="I25" s="110" t="s">
        <v>25</v>
      </c>
      <c r="J25" s="110">
        <v>1081.48</v>
      </c>
      <c r="K25" s="110">
        <v>311.41000000000003</v>
      </c>
      <c r="L25" s="110">
        <v>3.5230067826361702</v>
      </c>
      <c r="M25" s="110">
        <v>0.95818034924925599</v>
      </c>
      <c r="N25" s="110">
        <v>10.7820458282552</v>
      </c>
      <c r="O25" s="110">
        <v>0</v>
      </c>
      <c r="P25" s="110">
        <v>0</v>
      </c>
      <c r="Q25" s="110">
        <v>99.759398448787096</v>
      </c>
      <c r="R25" s="110">
        <v>16.8672081275393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381.88969457409701</v>
      </c>
      <c r="Y25" s="110">
        <v>0</v>
      </c>
      <c r="Z25" s="110">
        <v>0</v>
      </c>
      <c r="AA25" s="110">
        <v>697.06990861845395</v>
      </c>
      <c r="AB25" s="110">
        <v>-152.12744438035699</v>
      </c>
      <c r="AC25" s="110">
        <v>0</v>
      </c>
      <c r="AD25" s="110">
        <v>21.401513345551301</v>
      </c>
      <c r="AE25" s="110">
        <v>0.21887788424637</v>
      </c>
      <c r="AF25" s="110">
        <v>0.80452947616297399</v>
      </c>
      <c r="AG25" s="110">
        <v>0.33595951402320401</v>
      </c>
      <c r="AH25" s="110">
        <v>11.018019684329101</v>
      </c>
      <c r="AI25" s="110">
        <v>-15.232437747347801</v>
      </c>
      <c r="AJ25" s="110">
        <v>2.3046199546073001</v>
      </c>
      <c r="AK25" s="110">
        <v>29.2719436605495</v>
      </c>
      <c r="AL25" s="110">
        <v>0</v>
      </c>
      <c r="AM25" s="110">
        <v>318.75217467240702</v>
      </c>
      <c r="AN25" s="110">
        <v>6.4477737609046697</v>
      </c>
      <c r="AO25" s="110">
        <v>3.8807625612001502</v>
      </c>
      <c r="AP25" s="110">
        <v>0</v>
      </c>
      <c r="AQ25" s="110">
        <v>-46.950777141991601</v>
      </c>
      <c r="AR25" s="111">
        <v>1.9197097437074799</v>
      </c>
    </row>
    <row r="26" spans="2:44" ht="12" customHeight="1" x14ac:dyDescent="0.3">
      <c r="B26" s="109" t="s">
        <v>22</v>
      </c>
      <c r="C26" s="110" t="s">
        <v>33</v>
      </c>
      <c r="D26" s="110" t="s">
        <v>24</v>
      </c>
      <c r="E26" s="110" t="s">
        <v>24</v>
      </c>
      <c r="F26" s="110" t="s">
        <v>25</v>
      </c>
      <c r="G26" s="110" t="s">
        <v>36</v>
      </c>
      <c r="H26" s="110" t="s">
        <v>76</v>
      </c>
      <c r="I26" s="110" t="s">
        <v>25</v>
      </c>
      <c r="J26" s="110">
        <v>700.21</v>
      </c>
      <c r="K26" s="110">
        <v>195.9</v>
      </c>
      <c r="L26" s="110">
        <v>3.5230067826361702</v>
      </c>
      <c r="M26" s="110">
        <v>0.95818034924925599</v>
      </c>
      <c r="N26" s="110">
        <v>6.7408712168549902</v>
      </c>
      <c r="O26" s="110">
        <v>0</v>
      </c>
      <c r="P26" s="110">
        <v>0</v>
      </c>
      <c r="Q26" s="110">
        <v>99.759398448787096</v>
      </c>
      <c r="R26" s="110">
        <v>16.8672081275393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229.13385291402699</v>
      </c>
      <c r="Y26" s="110">
        <v>0</v>
      </c>
      <c r="Z26" s="110">
        <v>0</v>
      </c>
      <c r="AA26" s="110">
        <v>418.24192144443401</v>
      </c>
      <c r="AB26" s="110">
        <v>-97.7785177086011</v>
      </c>
      <c r="AC26" s="110">
        <v>0</v>
      </c>
      <c r="AD26" s="110">
        <v>21.401513345551301</v>
      </c>
      <c r="AE26" s="110">
        <v>0.21887788424637</v>
      </c>
      <c r="AF26" s="110">
        <v>0.80452947616297399</v>
      </c>
      <c r="AG26" s="110">
        <v>0.33595951402320401</v>
      </c>
      <c r="AH26" s="110">
        <v>11.018019684329101</v>
      </c>
      <c r="AI26" s="110">
        <v>-15.232437747347801</v>
      </c>
      <c r="AJ26" s="110">
        <v>2.3046199546073001</v>
      </c>
      <c r="AK26" s="110">
        <v>29.2719436605495</v>
      </c>
      <c r="AL26" s="110">
        <v>0</v>
      </c>
      <c r="AM26" s="110">
        <v>185.32103178628299</v>
      </c>
      <c r="AN26" s="110">
        <v>6.4477737609046697</v>
      </c>
      <c r="AO26" s="110">
        <v>3.8807625612001502</v>
      </c>
      <c r="AP26" s="110">
        <v>0</v>
      </c>
      <c r="AQ26" s="110">
        <v>-29.034351136236101</v>
      </c>
      <c r="AR26" s="111">
        <v>1.9197097437074799</v>
      </c>
    </row>
    <row r="27" spans="2:44" ht="12" customHeight="1" x14ac:dyDescent="0.3">
      <c r="B27" s="109" t="s">
        <v>22</v>
      </c>
      <c r="C27" s="110" t="s">
        <v>33</v>
      </c>
      <c r="D27" s="110" t="s">
        <v>24</v>
      </c>
      <c r="E27" s="110" t="s">
        <v>24</v>
      </c>
      <c r="F27" s="110" t="s">
        <v>25</v>
      </c>
      <c r="G27" s="110" t="s">
        <v>35</v>
      </c>
      <c r="H27" s="110" t="s">
        <v>76</v>
      </c>
      <c r="I27" s="110" t="s">
        <v>25</v>
      </c>
      <c r="J27" s="110">
        <v>318.93</v>
      </c>
      <c r="K27" s="110">
        <v>195.9</v>
      </c>
      <c r="L27" s="110">
        <v>3.5230067826361702</v>
      </c>
      <c r="M27" s="110">
        <v>0.95818034924925599</v>
      </c>
      <c r="N27" s="110">
        <v>2.6996956050815402</v>
      </c>
      <c r="O27" s="110">
        <v>0</v>
      </c>
      <c r="P27" s="110">
        <v>0</v>
      </c>
      <c r="Q27" s="110">
        <v>99.759398448787096</v>
      </c>
      <c r="R27" s="110">
        <v>16.8672081275393</v>
      </c>
      <c r="S27" s="110">
        <v>0</v>
      </c>
      <c r="T27" s="110">
        <v>0</v>
      </c>
      <c r="U27" s="110">
        <v>0</v>
      </c>
      <c r="V27" s="110">
        <v>0</v>
      </c>
      <c r="W27" s="110">
        <v>0</v>
      </c>
      <c r="X27" s="110">
        <v>76.377920830035393</v>
      </c>
      <c r="Y27" s="110">
        <v>0</v>
      </c>
      <c r="Z27" s="110">
        <v>0</v>
      </c>
      <c r="AA27" s="110">
        <v>139.41393427041299</v>
      </c>
      <c r="AB27" s="110">
        <v>-43.429577530226197</v>
      </c>
      <c r="AC27" s="110">
        <v>0</v>
      </c>
      <c r="AD27" s="110">
        <v>21.401513345551301</v>
      </c>
      <c r="AE27" s="110">
        <v>0.21887788424637</v>
      </c>
      <c r="AF27" s="110">
        <v>0.80452947616297399</v>
      </c>
      <c r="AG27" s="110">
        <v>0.33595951402320401</v>
      </c>
      <c r="AH27" s="110">
        <v>11.018019684329101</v>
      </c>
      <c r="AI27" s="110">
        <v>-15.232437747347801</v>
      </c>
      <c r="AJ27" s="110">
        <v>2.3046199546073001</v>
      </c>
      <c r="AK27" s="110">
        <v>29.2719436605495</v>
      </c>
      <c r="AL27" s="110">
        <v>0</v>
      </c>
      <c r="AM27" s="110">
        <v>185.32103178628299</v>
      </c>
      <c r="AN27" s="110">
        <v>6.4477737609046697</v>
      </c>
      <c r="AO27" s="110">
        <v>3.8807625612001502</v>
      </c>
      <c r="AP27" s="110">
        <v>0</v>
      </c>
      <c r="AQ27" s="110">
        <v>-29.034351136236101</v>
      </c>
      <c r="AR27" s="111">
        <v>1.9197097437074799</v>
      </c>
    </row>
    <row r="28" spans="2:44" ht="12" customHeight="1" x14ac:dyDescent="0.3">
      <c r="B28" s="109" t="s">
        <v>22</v>
      </c>
      <c r="C28" s="110" t="s">
        <v>23</v>
      </c>
      <c r="D28" s="110" t="s">
        <v>24</v>
      </c>
      <c r="E28" s="110" t="s">
        <v>1404</v>
      </c>
      <c r="F28" s="110" t="s">
        <v>25</v>
      </c>
      <c r="G28" s="110" t="s">
        <v>25</v>
      </c>
      <c r="H28" s="110" t="s">
        <v>76</v>
      </c>
      <c r="I28" s="110" t="s">
        <v>25</v>
      </c>
      <c r="J28" s="110">
        <v>339</v>
      </c>
      <c r="K28" s="110">
        <v>205.52</v>
      </c>
      <c r="L28" s="110">
        <v>0</v>
      </c>
      <c r="M28" s="110">
        <v>0.95818034924925599</v>
      </c>
      <c r="N28" s="110">
        <v>4.0367504103203604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127.296534716726</v>
      </c>
      <c r="Y28" s="110">
        <v>0</v>
      </c>
      <c r="Z28" s="110">
        <v>0</v>
      </c>
      <c r="AA28" s="110">
        <v>232.35663620615099</v>
      </c>
      <c r="AB28" s="110">
        <v>-48.411567279592703</v>
      </c>
      <c r="AC28" s="110">
        <v>0</v>
      </c>
      <c r="AD28" s="110">
        <v>21.401513345551301</v>
      </c>
      <c r="AE28" s="110">
        <v>0.21887788424637</v>
      </c>
      <c r="AF28" s="110">
        <v>0.80452947616297399</v>
      </c>
      <c r="AG28" s="110">
        <v>0.33595951402320401</v>
      </c>
      <c r="AH28" s="110">
        <v>11.018019684329101</v>
      </c>
      <c r="AI28" s="110">
        <v>-15.232437747347801</v>
      </c>
      <c r="AJ28" s="110">
        <v>2.3046199546073001</v>
      </c>
      <c r="AK28" s="110">
        <v>29.2719436605495</v>
      </c>
      <c r="AL28" s="110">
        <v>0</v>
      </c>
      <c r="AM28" s="110">
        <v>196.44029369346001</v>
      </c>
      <c r="AN28" s="110">
        <v>6.4477737609046697</v>
      </c>
      <c r="AO28" s="110">
        <v>3.8807625612001502</v>
      </c>
      <c r="AP28" s="110">
        <v>0</v>
      </c>
      <c r="AQ28" s="110">
        <v>-30.527386636715701</v>
      </c>
      <c r="AR28" s="111">
        <v>1.9197097437074799</v>
      </c>
    </row>
    <row r="29" spans="2:44" ht="12" customHeight="1" x14ac:dyDescent="0.3">
      <c r="B29" s="109" t="s">
        <v>22</v>
      </c>
      <c r="C29" s="110" t="s">
        <v>23</v>
      </c>
      <c r="D29" s="110" t="s">
        <v>24</v>
      </c>
      <c r="E29" s="110" t="s">
        <v>24</v>
      </c>
      <c r="F29" s="110" t="s">
        <v>25</v>
      </c>
      <c r="G29" s="110" t="s">
        <v>25</v>
      </c>
      <c r="H29" s="110" t="s">
        <v>76</v>
      </c>
      <c r="I29" s="110" t="s">
        <v>25</v>
      </c>
      <c r="J29" s="110">
        <v>446.02</v>
      </c>
      <c r="K29" s="110">
        <v>205.52</v>
      </c>
      <c r="L29" s="110">
        <v>3.5230067826361702</v>
      </c>
      <c r="M29" s="110">
        <v>0.95818034924925599</v>
      </c>
      <c r="N29" s="110">
        <v>4.0467541423393598</v>
      </c>
      <c r="O29" s="110">
        <v>0</v>
      </c>
      <c r="P29" s="110">
        <v>0</v>
      </c>
      <c r="Q29" s="110">
        <v>99.759398448787096</v>
      </c>
      <c r="R29" s="110">
        <v>16.8672081275393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0">
        <v>127.296534716726</v>
      </c>
      <c r="Y29" s="110">
        <v>0</v>
      </c>
      <c r="Z29" s="110">
        <v>0</v>
      </c>
      <c r="AA29" s="110">
        <v>232.35663620615099</v>
      </c>
      <c r="AB29" s="110">
        <v>-61.545890892764596</v>
      </c>
      <c r="AC29" s="110">
        <v>0</v>
      </c>
      <c r="AD29" s="110">
        <v>21.401513345551301</v>
      </c>
      <c r="AE29" s="110">
        <v>0.21887788424637</v>
      </c>
      <c r="AF29" s="110">
        <v>0.80452947616297399</v>
      </c>
      <c r="AG29" s="110">
        <v>0.33595951402320401</v>
      </c>
      <c r="AH29" s="110">
        <v>11.018019684329101</v>
      </c>
      <c r="AI29" s="110">
        <v>-15.232437747347801</v>
      </c>
      <c r="AJ29" s="110">
        <v>2.3046199546073001</v>
      </c>
      <c r="AK29" s="110">
        <v>29.2719436605495</v>
      </c>
      <c r="AL29" s="110">
        <v>0</v>
      </c>
      <c r="AM29" s="110">
        <v>196.44029369346001</v>
      </c>
      <c r="AN29" s="110">
        <v>6.4477737609046697</v>
      </c>
      <c r="AO29" s="110">
        <v>3.8807625612001502</v>
      </c>
      <c r="AP29" s="110">
        <v>0</v>
      </c>
      <c r="AQ29" s="110">
        <v>-30.527386636715701</v>
      </c>
      <c r="AR29" s="111">
        <v>1.9197097437074799</v>
      </c>
    </row>
    <row r="30" spans="2:44" ht="12" customHeight="1" x14ac:dyDescent="0.3">
      <c r="B30" s="109" t="s">
        <v>22</v>
      </c>
      <c r="C30" s="110" t="s">
        <v>95</v>
      </c>
      <c r="D30" s="110" t="s">
        <v>24</v>
      </c>
      <c r="E30" s="110" t="s">
        <v>1404</v>
      </c>
      <c r="F30" s="110" t="s">
        <v>25</v>
      </c>
      <c r="G30" s="110" t="s">
        <v>25</v>
      </c>
      <c r="H30" s="110" t="s">
        <v>76</v>
      </c>
      <c r="I30" s="110" t="s">
        <v>25</v>
      </c>
      <c r="J30" s="110">
        <v>339</v>
      </c>
      <c r="K30" s="110">
        <v>205.52</v>
      </c>
      <c r="L30" s="110">
        <v>0</v>
      </c>
      <c r="M30" s="110">
        <v>0.95818034924925599</v>
      </c>
      <c r="N30" s="110">
        <v>4.0367504103203604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127.296534716726</v>
      </c>
      <c r="Y30" s="110">
        <v>0</v>
      </c>
      <c r="Z30" s="110">
        <v>0</v>
      </c>
      <c r="AA30" s="110">
        <v>232.35663620615099</v>
      </c>
      <c r="AB30" s="110">
        <v>-48.411567279592703</v>
      </c>
      <c r="AC30" s="110">
        <v>0</v>
      </c>
      <c r="AD30" s="110">
        <v>21.401513345551301</v>
      </c>
      <c r="AE30" s="110">
        <v>0.21887788424637</v>
      </c>
      <c r="AF30" s="110">
        <v>0.80452947616297399</v>
      </c>
      <c r="AG30" s="110">
        <v>0.33595951402320401</v>
      </c>
      <c r="AH30" s="110">
        <v>11.018019684329101</v>
      </c>
      <c r="AI30" s="110">
        <v>-15.232437747347801</v>
      </c>
      <c r="AJ30" s="110">
        <v>2.3046199546073001</v>
      </c>
      <c r="AK30" s="110">
        <v>29.2719436605495</v>
      </c>
      <c r="AL30" s="110">
        <v>0</v>
      </c>
      <c r="AM30" s="110">
        <v>196.44029369346001</v>
      </c>
      <c r="AN30" s="110">
        <v>6.4477737609046697</v>
      </c>
      <c r="AO30" s="110">
        <v>3.8807625612001502</v>
      </c>
      <c r="AP30" s="110">
        <v>0</v>
      </c>
      <c r="AQ30" s="110">
        <v>-30.527386636715701</v>
      </c>
      <c r="AR30" s="111">
        <v>1.9197097437074799</v>
      </c>
    </row>
    <row r="31" spans="2:44" ht="12" customHeight="1" x14ac:dyDescent="0.3">
      <c r="B31" s="109" t="s">
        <v>22</v>
      </c>
      <c r="C31" s="110" t="s">
        <v>95</v>
      </c>
      <c r="D31" s="110" t="s">
        <v>24</v>
      </c>
      <c r="E31" s="110" t="s">
        <v>24</v>
      </c>
      <c r="F31" s="110" t="s">
        <v>25</v>
      </c>
      <c r="G31" s="110" t="s">
        <v>25</v>
      </c>
      <c r="H31" s="110" t="s">
        <v>76</v>
      </c>
      <c r="I31" s="110" t="s">
        <v>25</v>
      </c>
      <c r="J31" s="110">
        <v>446.02</v>
      </c>
      <c r="K31" s="110">
        <v>205.52</v>
      </c>
      <c r="L31" s="110">
        <v>3.5230067826361702</v>
      </c>
      <c r="M31" s="110">
        <v>0.95818034924925599</v>
      </c>
      <c r="N31" s="110">
        <v>4.0467541423393598</v>
      </c>
      <c r="O31" s="110">
        <v>0</v>
      </c>
      <c r="P31" s="110">
        <v>0</v>
      </c>
      <c r="Q31" s="110">
        <v>99.759398448787096</v>
      </c>
      <c r="R31" s="110">
        <v>16.8672081275393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127.296534716726</v>
      </c>
      <c r="Y31" s="110">
        <v>0</v>
      </c>
      <c r="Z31" s="110">
        <v>0</v>
      </c>
      <c r="AA31" s="110">
        <v>232.35663620615099</v>
      </c>
      <c r="AB31" s="110">
        <v>-61.545890892764596</v>
      </c>
      <c r="AC31" s="110">
        <v>0</v>
      </c>
      <c r="AD31" s="110">
        <v>21.401513345551301</v>
      </c>
      <c r="AE31" s="110">
        <v>0.21887788424637</v>
      </c>
      <c r="AF31" s="110">
        <v>0.80452947616297399</v>
      </c>
      <c r="AG31" s="110">
        <v>0.33595951402320401</v>
      </c>
      <c r="AH31" s="110">
        <v>11.018019684329101</v>
      </c>
      <c r="AI31" s="110">
        <v>-15.232437747347801</v>
      </c>
      <c r="AJ31" s="110">
        <v>2.3046199546073001</v>
      </c>
      <c r="AK31" s="110">
        <v>29.2719436605495</v>
      </c>
      <c r="AL31" s="110">
        <v>0</v>
      </c>
      <c r="AM31" s="110">
        <v>196.44029369346001</v>
      </c>
      <c r="AN31" s="110">
        <v>6.4477737609046697</v>
      </c>
      <c r="AO31" s="110">
        <v>3.8807625612001502</v>
      </c>
      <c r="AP31" s="110">
        <v>0</v>
      </c>
      <c r="AQ31" s="110">
        <v>-30.527386636715701</v>
      </c>
      <c r="AR31" s="111">
        <v>1.9197097437074799</v>
      </c>
    </row>
    <row r="32" spans="2:44" ht="12" customHeight="1" x14ac:dyDescent="0.3">
      <c r="B32" s="109" t="s">
        <v>42</v>
      </c>
      <c r="C32" s="110" t="s">
        <v>33</v>
      </c>
      <c r="D32" s="110" t="s">
        <v>43</v>
      </c>
      <c r="E32" s="110" t="s">
        <v>96</v>
      </c>
      <c r="F32" s="110" t="s">
        <v>25</v>
      </c>
      <c r="G32" s="110" t="s">
        <v>34</v>
      </c>
      <c r="H32" s="110" t="s">
        <v>76</v>
      </c>
      <c r="I32" s="110" t="s">
        <v>25</v>
      </c>
      <c r="J32" s="110">
        <v>1038.81</v>
      </c>
      <c r="K32" s="110">
        <v>286.5</v>
      </c>
      <c r="L32" s="110">
        <v>3.2411662400252799</v>
      </c>
      <c r="M32" s="110">
        <v>0.88152592130931595</v>
      </c>
      <c r="N32" s="110">
        <v>10.384216897177099</v>
      </c>
      <c r="O32" s="110">
        <v>0</v>
      </c>
      <c r="P32" s="110">
        <v>0</v>
      </c>
      <c r="Q32" s="110">
        <v>91.778646572884099</v>
      </c>
      <c r="R32" s="110">
        <v>15.5178314773362</v>
      </c>
      <c r="S32" s="110">
        <v>0</v>
      </c>
      <c r="T32" s="110">
        <v>0</v>
      </c>
      <c r="U32" s="110">
        <v>0</v>
      </c>
      <c r="V32" s="110">
        <v>0</v>
      </c>
      <c r="W32" s="110">
        <v>0</v>
      </c>
      <c r="X32" s="110">
        <v>368.90542000157598</v>
      </c>
      <c r="Y32" s="110">
        <v>0</v>
      </c>
      <c r="Z32" s="110">
        <v>0</v>
      </c>
      <c r="AA32" s="110">
        <v>673.36952081117295</v>
      </c>
      <c r="AB32" s="110">
        <v>-146.20737074783401</v>
      </c>
      <c r="AC32" s="110">
        <v>0</v>
      </c>
      <c r="AD32" s="110">
        <v>19.689392277907199</v>
      </c>
      <c r="AE32" s="110">
        <v>0.201367653506661</v>
      </c>
      <c r="AF32" s="110">
        <v>0.74016711806993596</v>
      </c>
      <c r="AG32" s="110">
        <v>0.30908275290134801</v>
      </c>
      <c r="AH32" s="110">
        <v>10.1365781095827</v>
      </c>
      <c r="AI32" s="110">
        <v>-14.01384272756</v>
      </c>
      <c r="AJ32" s="110">
        <v>2.12025035823872</v>
      </c>
      <c r="AK32" s="110">
        <v>26.930188167705499</v>
      </c>
      <c r="AL32" s="110">
        <v>0</v>
      </c>
      <c r="AM32" s="110">
        <v>293.25200069861398</v>
      </c>
      <c r="AN32" s="110">
        <v>5.9319518600323002</v>
      </c>
      <c r="AO32" s="110">
        <v>3.5703015563041398</v>
      </c>
      <c r="AP32" s="110">
        <v>0</v>
      </c>
      <c r="AQ32" s="110">
        <v>-43.194714970632198</v>
      </c>
      <c r="AR32" s="111">
        <v>1.7661329642108901</v>
      </c>
    </row>
    <row r="33" spans="2:44" ht="12" customHeight="1" x14ac:dyDescent="0.3">
      <c r="B33" s="109" t="s">
        <v>42</v>
      </c>
      <c r="C33" s="110" t="s">
        <v>33</v>
      </c>
      <c r="D33" s="110" t="s">
        <v>43</v>
      </c>
      <c r="E33" s="110" t="s">
        <v>96</v>
      </c>
      <c r="F33" s="110" t="s">
        <v>25</v>
      </c>
      <c r="G33" s="110" t="s">
        <v>36</v>
      </c>
      <c r="H33" s="110" t="s">
        <v>76</v>
      </c>
      <c r="I33" s="110" t="s">
        <v>25</v>
      </c>
      <c r="J33" s="110">
        <v>670.5</v>
      </c>
      <c r="K33" s="110">
        <v>180.23</v>
      </c>
      <c r="L33" s="110">
        <v>3.2411662400252799</v>
      </c>
      <c r="M33" s="110">
        <v>0.88152592130931595</v>
      </c>
      <c r="N33" s="110">
        <v>6.4804416243412799</v>
      </c>
      <c r="O33" s="110">
        <v>0</v>
      </c>
      <c r="P33" s="110">
        <v>0</v>
      </c>
      <c r="Q33" s="110">
        <v>91.778646572884099</v>
      </c>
      <c r="R33" s="110">
        <v>15.5178314773362</v>
      </c>
      <c r="S33" s="110">
        <v>0</v>
      </c>
      <c r="T33" s="110">
        <v>0</v>
      </c>
      <c r="U33" s="110">
        <v>0</v>
      </c>
      <c r="V33" s="110">
        <v>0</v>
      </c>
      <c r="W33" s="110">
        <v>0</v>
      </c>
      <c r="X33" s="110">
        <v>221.343235362944</v>
      </c>
      <c r="Y33" s="110">
        <v>0</v>
      </c>
      <c r="Z33" s="110">
        <v>0</v>
      </c>
      <c r="AA33" s="110">
        <v>404.021668829688</v>
      </c>
      <c r="AB33" s="110">
        <v>-93.706299518484698</v>
      </c>
      <c r="AC33" s="110">
        <v>0</v>
      </c>
      <c r="AD33" s="110">
        <v>19.689392277907199</v>
      </c>
      <c r="AE33" s="110">
        <v>0.201367653506661</v>
      </c>
      <c r="AF33" s="110">
        <v>0.74016711806993596</v>
      </c>
      <c r="AG33" s="110">
        <v>0.30908275290134801</v>
      </c>
      <c r="AH33" s="110">
        <v>10.1365781095827</v>
      </c>
      <c r="AI33" s="110">
        <v>-14.01384272756</v>
      </c>
      <c r="AJ33" s="110">
        <v>2.12025035823872</v>
      </c>
      <c r="AK33" s="110">
        <v>26.930188167705499</v>
      </c>
      <c r="AL33" s="110">
        <v>0</v>
      </c>
      <c r="AM33" s="110">
        <v>170.49534924337999</v>
      </c>
      <c r="AN33" s="110">
        <v>5.9319518600323002</v>
      </c>
      <c r="AO33" s="110">
        <v>3.5703015563041398</v>
      </c>
      <c r="AP33" s="110">
        <v>0</v>
      </c>
      <c r="AQ33" s="110">
        <v>-26.711603045337199</v>
      </c>
      <c r="AR33" s="111">
        <v>1.7661329642108901</v>
      </c>
    </row>
    <row r="34" spans="2:44" ht="12" customHeight="1" x14ac:dyDescent="0.3">
      <c r="B34" s="109" t="s">
        <v>42</v>
      </c>
      <c r="C34" s="110" t="s">
        <v>33</v>
      </c>
      <c r="D34" s="110" t="s">
        <v>43</v>
      </c>
      <c r="E34" s="110" t="s">
        <v>96</v>
      </c>
      <c r="F34" s="110" t="s">
        <v>25</v>
      </c>
      <c r="G34" s="110" t="s">
        <v>35</v>
      </c>
      <c r="H34" s="110" t="s">
        <v>76</v>
      </c>
      <c r="I34" s="110" t="s">
        <v>25</v>
      </c>
      <c r="J34" s="110">
        <v>302.19</v>
      </c>
      <c r="K34" s="110">
        <v>180.23</v>
      </c>
      <c r="L34" s="110">
        <v>3.2411662400252799</v>
      </c>
      <c r="M34" s="110">
        <v>0.88152592130931595</v>
      </c>
      <c r="N34" s="110">
        <v>2.5766672718488102</v>
      </c>
      <c r="O34" s="110">
        <v>0</v>
      </c>
      <c r="P34" s="110">
        <v>0</v>
      </c>
      <c r="Q34" s="110">
        <v>91.778646572884099</v>
      </c>
      <c r="R34" s="110">
        <v>15.5178314773362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73.781050724312493</v>
      </c>
      <c r="Y34" s="110">
        <v>0</v>
      </c>
      <c r="Z34" s="110">
        <v>0</v>
      </c>
      <c r="AA34" s="110">
        <v>134.67392599074199</v>
      </c>
      <c r="AB34" s="110">
        <v>-41.205240631725601</v>
      </c>
      <c r="AC34" s="110">
        <v>0</v>
      </c>
      <c r="AD34" s="110">
        <v>19.689392277907199</v>
      </c>
      <c r="AE34" s="110">
        <v>0.201367653506661</v>
      </c>
      <c r="AF34" s="110">
        <v>0.74016711806993596</v>
      </c>
      <c r="AG34" s="110">
        <v>0.30908275290134801</v>
      </c>
      <c r="AH34" s="110">
        <v>10.1365781095827</v>
      </c>
      <c r="AI34" s="110">
        <v>-14.01384272756</v>
      </c>
      <c r="AJ34" s="110">
        <v>2.12025035823872</v>
      </c>
      <c r="AK34" s="110">
        <v>26.930188167705499</v>
      </c>
      <c r="AL34" s="110">
        <v>0</v>
      </c>
      <c r="AM34" s="110">
        <v>170.49534924337999</v>
      </c>
      <c r="AN34" s="110">
        <v>5.9319518600323002</v>
      </c>
      <c r="AO34" s="110">
        <v>3.5703015563041398</v>
      </c>
      <c r="AP34" s="110">
        <v>0</v>
      </c>
      <c r="AQ34" s="110">
        <v>-26.711603045337199</v>
      </c>
      <c r="AR34" s="111">
        <v>1.7661329642108901</v>
      </c>
    </row>
    <row r="35" spans="2:44" ht="12" customHeight="1" x14ac:dyDescent="0.3">
      <c r="B35" s="109" t="s">
        <v>42</v>
      </c>
      <c r="C35" s="110" t="s">
        <v>33</v>
      </c>
      <c r="D35" s="110" t="s">
        <v>43</v>
      </c>
      <c r="E35" s="110" t="s">
        <v>25</v>
      </c>
      <c r="F35" s="110" t="s">
        <v>25</v>
      </c>
      <c r="G35" s="110" t="s">
        <v>34</v>
      </c>
      <c r="H35" s="110" t="s">
        <v>76</v>
      </c>
      <c r="I35" s="110" t="s">
        <v>25</v>
      </c>
      <c r="J35" s="110">
        <v>1061.3900000000001</v>
      </c>
      <c r="K35" s="110">
        <v>292.73</v>
      </c>
      <c r="L35" s="110">
        <v>3.3116263756779998</v>
      </c>
      <c r="M35" s="110">
        <v>0.90068952829430105</v>
      </c>
      <c r="N35" s="110">
        <v>10.6099607427679</v>
      </c>
      <c r="O35" s="110">
        <v>0</v>
      </c>
      <c r="P35" s="110">
        <v>0</v>
      </c>
      <c r="Q35" s="110">
        <v>93.773834541859898</v>
      </c>
      <c r="R35" s="110">
        <v>15.855175639886999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376.92510304508897</v>
      </c>
      <c r="Y35" s="110">
        <v>0</v>
      </c>
      <c r="Z35" s="110">
        <v>0</v>
      </c>
      <c r="AA35" s="110">
        <v>688.00798865489401</v>
      </c>
      <c r="AB35" s="110">
        <v>-149.385791851048</v>
      </c>
      <c r="AC35" s="110">
        <v>0</v>
      </c>
      <c r="AD35" s="110">
        <v>20.117422544818201</v>
      </c>
      <c r="AE35" s="110">
        <v>0.20574521119158801</v>
      </c>
      <c r="AF35" s="110">
        <v>0.75625770759319499</v>
      </c>
      <c r="AG35" s="110">
        <v>0.31580194318181198</v>
      </c>
      <c r="AH35" s="110">
        <v>10.3569385032693</v>
      </c>
      <c r="AI35" s="110">
        <v>-14.3184914825069</v>
      </c>
      <c r="AJ35" s="110">
        <v>2.1663427573308698</v>
      </c>
      <c r="AK35" s="110">
        <v>27.515627040916499</v>
      </c>
      <c r="AL35" s="110">
        <v>0</v>
      </c>
      <c r="AM35" s="110">
        <v>299.62704419206199</v>
      </c>
      <c r="AN35" s="110">
        <v>6.0609073352503904</v>
      </c>
      <c r="AO35" s="110">
        <v>3.6479168075281398</v>
      </c>
      <c r="AP35" s="110">
        <v>0</v>
      </c>
      <c r="AQ35" s="110">
        <v>-44.133730513472102</v>
      </c>
      <c r="AR35" s="111">
        <v>1.80452715908504</v>
      </c>
    </row>
    <row r="36" spans="2:44" ht="12" customHeight="1" x14ac:dyDescent="0.3">
      <c r="B36" s="109" t="s">
        <v>42</v>
      </c>
      <c r="C36" s="110" t="s">
        <v>33</v>
      </c>
      <c r="D36" s="110" t="s">
        <v>43</v>
      </c>
      <c r="E36" s="110" t="s">
        <v>25</v>
      </c>
      <c r="F36" s="110" t="s">
        <v>25</v>
      </c>
      <c r="G36" s="110" t="s">
        <v>36</v>
      </c>
      <c r="H36" s="110" t="s">
        <v>76</v>
      </c>
      <c r="I36" s="110" t="s">
        <v>25</v>
      </c>
      <c r="J36" s="110">
        <v>685.07</v>
      </c>
      <c r="K36" s="110">
        <v>184.14</v>
      </c>
      <c r="L36" s="110">
        <v>3.3116263756779998</v>
      </c>
      <c r="M36" s="110">
        <v>0.90068952829430105</v>
      </c>
      <c r="N36" s="110">
        <v>6.6213207900878297</v>
      </c>
      <c r="O36" s="110">
        <v>0</v>
      </c>
      <c r="P36" s="110">
        <v>0</v>
      </c>
      <c r="Q36" s="110">
        <v>93.773834541859898</v>
      </c>
      <c r="R36" s="110">
        <v>15.855175639886999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226.15504482735599</v>
      </c>
      <c r="Y36" s="110">
        <v>0</v>
      </c>
      <c r="Z36" s="110">
        <v>0</v>
      </c>
      <c r="AA36" s="110">
        <v>412.804748586855</v>
      </c>
      <c r="AB36" s="110">
        <v>-95.743392986277797</v>
      </c>
      <c r="AC36" s="110">
        <v>0</v>
      </c>
      <c r="AD36" s="110">
        <v>20.117422544818201</v>
      </c>
      <c r="AE36" s="110">
        <v>0.20574521119158801</v>
      </c>
      <c r="AF36" s="110">
        <v>0.75625770759319499</v>
      </c>
      <c r="AG36" s="110">
        <v>0.31580194318181198</v>
      </c>
      <c r="AH36" s="110">
        <v>10.3569385032693</v>
      </c>
      <c r="AI36" s="110">
        <v>-14.3184914825069</v>
      </c>
      <c r="AJ36" s="110">
        <v>2.1663427573308698</v>
      </c>
      <c r="AK36" s="110">
        <v>27.515627040916499</v>
      </c>
      <c r="AL36" s="110">
        <v>0</v>
      </c>
      <c r="AM36" s="110">
        <v>174.201769879106</v>
      </c>
      <c r="AN36" s="110">
        <v>6.0609073352503904</v>
      </c>
      <c r="AO36" s="110">
        <v>3.6479168075281398</v>
      </c>
      <c r="AP36" s="110">
        <v>0</v>
      </c>
      <c r="AQ36" s="110">
        <v>-27.292290068061899</v>
      </c>
      <c r="AR36" s="111">
        <v>1.80452715908504</v>
      </c>
    </row>
    <row r="37" spans="2:44" ht="12" customHeight="1" x14ac:dyDescent="0.3">
      <c r="B37" s="109" t="s">
        <v>42</v>
      </c>
      <c r="C37" s="110" t="s">
        <v>33</v>
      </c>
      <c r="D37" s="110" t="s">
        <v>43</v>
      </c>
      <c r="E37" s="110" t="s">
        <v>25</v>
      </c>
      <c r="F37" s="110" t="s">
        <v>25</v>
      </c>
      <c r="G37" s="110" t="s">
        <v>35</v>
      </c>
      <c r="H37" s="110" t="s">
        <v>76</v>
      </c>
      <c r="I37" s="110" t="s">
        <v>25</v>
      </c>
      <c r="J37" s="110">
        <v>308.75</v>
      </c>
      <c r="K37" s="110">
        <v>184.14</v>
      </c>
      <c r="L37" s="110">
        <v>3.3116263756779998</v>
      </c>
      <c r="M37" s="110">
        <v>0.90068952829430105</v>
      </c>
      <c r="N37" s="110">
        <v>2.6326817777585698</v>
      </c>
      <c r="O37" s="110">
        <v>0</v>
      </c>
      <c r="P37" s="110">
        <v>0</v>
      </c>
      <c r="Q37" s="110">
        <v>93.773834541859898</v>
      </c>
      <c r="R37" s="110">
        <v>15.855175639886999</v>
      </c>
      <c r="S37" s="110">
        <v>0</v>
      </c>
      <c r="T37" s="110">
        <v>0</v>
      </c>
      <c r="U37" s="110">
        <v>0</v>
      </c>
      <c r="V37" s="110">
        <v>0</v>
      </c>
      <c r="W37" s="110">
        <v>0</v>
      </c>
      <c r="X37" s="110">
        <v>75.384986609623596</v>
      </c>
      <c r="Y37" s="110">
        <v>0</v>
      </c>
      <c r="Z37" s="110">
        <v>0</v>
      </c>
      <c r="AA37" s="110">
        <v>137.60162003401899</v>
      </c>
      <c r="AB37" s="110">
        <v>-42.1010067324153</v>
      </c>
      <c r="AC37" s="110">
        <v>0</v>
      </c>
      <c r="AD37" s="110">
        <v>20.117422544818201</v>
      </c>
      <c r="AE37" s="110">
        <v>0.20574521119158801</v>
      </c>
      <c r="AF37" s="110">
        <v>0.75625770759319499</v>
      </c>
      <c r="AG37" s="110">
        <v>0.31580194318181198</v>
      </c>
      <c r="AH37" s="110">
        <v>10.3569385032693</v>
      </c>
      <c r="AI37" s="110">
        <v>-14.3184914825069</v>
      </c>
      <c r="AJ37" s="110">
        <v>2.1663427573308698</v>
      </c>
      <c r="AK37" s="110">
        <v>27.515627040916499</v>
      </c>
      <c r="AL37" s="110">
        <v>0</v>
      </c>
      <c r="AM37" s="110">
        <v>174.201769879106</v>
      </c>
      <c r="AN37" s="110">
        <v>6.0609073352503904</v>
      </c>
      <c r="AO37" s="110">
        <v>3.6479168075281398</v>
      </c>
      <c r="AP37" s="110">
        <v>0</v>
      </c>
      <c r="AQ37" s="110">
        <v>-27.292290068061899</v>
      </c>
      <c r="AR37" s="111">
        <v>1.80452715908504</v>
      </c>
    </row>
    <row r="38" spans="2:44" ht="12" customHeight="1" x14ac:dyDescent="0.3">
      <c r="B38" s="109" t="s">
        <v>42</v>
      </c>
      <c r="C38" s="110" t="s">
        <v>33</v>
      </c>
      <c r="D38" s="110" t="s">
        <v>43</v>
      </c>
      <c r="E38" s="110" t="s">
        <v>97</v>
      </c>
      <c r="F38" s="110" t="s">
        <v>25</v>
      </c>
      <c r="G38" s="110" t="s">
        <v>34</v>
      </c>
      <c r="H38" s="110" t="s">
        <v>76</v>
      </c>
      <c r="I38" s="110" t="s">
        <v>25</v>
      </c>
      <c r="J38" s="110">
        <v>1038.81</v>
      </c>
      <c r="K38" s="110">
        <v>286.5</v>
      </c>
      <c r="L38" s="110">
        <v>3.2411662400252799</v>
      </c>
      <c r="M38" s="110">
        <v>0.88152592130931595</v>
      </c>
      <c r="N38" s="110">
        <v>10.384216897177099</v>
      </c>
      <c r="O38" s="110">
        <v>0</v>
      </c>
      <c r="P38" s="110">
        <v>0</v>
      </c>
      <c r="Q38" s="110">
        <v>91.778646572884099</v>
      </c>
      <c r="R38" s="110">
        <v>15.5178314773362</v>
      </c>
      <c r="S38" s="110">
        <v>0</v>
      </c>
      <c r="T38" s="110">
        <v>0</v>
      </c>
      <c r="U38" s="110">
        <v>0</v>
      </c>
      <c r="V38" s="110">
        <v>0</v>
      </c>
      <c r="W38" s="110">
        <v>0</v>
      </c>
      <c r="X38" s="110">
        <v>368.90542000157598</v>
      </c>
      <c r="Y38" s="110">
        <v>0</v>
      </c>
      <c r="Z38" s="110">
        <v>0</v>
      </c>
      <c r="AA38" s="110">
        <v>673.36952081117295</v>
      </c>
      <c r="AB38" s="110">
        <v>-146.20737074783401</v>
      </c>
      <c r="AC38" s="110">
        <v>0</v>
      </c>
      <c r="AD38" s="110">
        <v>19.689392277907199</v>
      </c>
      <c r="AE38" s="110">
        <v>0.201367653506661</v>
      </c>
      <c r="AF38" s="110">
        <v>0.74016711806993596</v>
      </c>
      <c r="AG38" s="110">
        <v>0.30908275290134801</v>
      </c>
      <c r="AH38" s="110">
        <v>10.1365781095827</v>
      </c>
      <c r="AI38" s="110">
        <v>-14.01384272756</v>
      </c>
      <c r="AJ38" s="110">
        <v>2.12025035823872</v>
      </c>
      <c r="AK38" s="110">
        <v>26.930188167705499</v>
      </c>
      <c r="AL38" s="110">
        <v>0</v>
      </c>
      <c r="AM38" s="110">
        <v>293.25200069861398</v>
      </c>
      <c r="AN38" s="110">
        <v>5.9319518600323002</v>
      </c>
      <c r="AO38" s="110">
        <v>3.5703015563041398</v>
      </c>
      <c r="AP38" s="110">
        <v>0</v>
      </c>
      <c r="AQ38" s="110">
        <v>-43.194714970632198</v>
      </c>
      <c r="AR38" s="111">
        <v>1.7661329642108901</v>
      </c>
    </row>
    <row r="39" spans="2:44" ht="12" customHeight="1" x14ac:dyDescent="0.3">
      <c r="B39" s="109" t="s">
        <v>42</v>
      </c>
      <c r="C39" s="110" t="s">
        <v>33</v>
      </c>
      <c r="D39" s="110" t="s">
        <v>43</v>
      </c>
      <c r="E39" s="110" t="s">
        <v>97</v>
      </c>
      <c r="F39" s="110" t="s">
        <v>25</v>
      </c>
      <c r="G39" s="110" t="s">
        <v>36</v>
      </c>
      <c r="H39" s="110" t="s">
        <v>76</v>
      </c>
      <c r="I39" s="110" t="s">
        <v>25</v>
      </c>
      <c r="J39" s="110">
        <v>670.5</v>
      </c>
      <c r="K39" s="110">
        <v>180.23</v>
      </c>
      <c r="L39" s="110">
        <v>3.2411662400252799</v>
      </c>
      <c r="M39" s="110">
        <v>0.88152592130931595</v>
      </c>
      <c r="N39" s="110">
        <v>6.4804416243412799</v>
      </c>
      <c r="O39" s="110">
        <v>0</v>
      </c>
      <c r="P39" s="110">
        <v>0</v>
      </c>
      <c r="Q39" s="110">
        <v>91.778646572884099</v>
      </c>
      <c r="R39" s="110">
        <v>15.5178314773362</v>
      </c>
      <c r="S39" s="110">
        <v>0</v>
      </c>
      <c r="T39" s="110">
        <v>0</v>
      </c>
      <c r="U39" s="110">
        <v>0</v>
      </c>
      <c r="V39" s="110">
        <v>0</v>
      </c>
      <c r="W39" s="110">
        <v>0</v>
      </c>
      <c r="X39" s="110">
        <v>221.343235362944</v>
      </c>
      <c r="Y39" s="110">
        <v>0</v>
      </c>
      <c r="Z39" s="110">
        <v>0</v>
      </c>
      <c r="AA39" s="110">
        <v>404.021668829688</v>
      </c>
      <c r="AB39" s="110">
        <v>-93.706299518484698</v>
      </c>
      <c r="AC39" s="110">
        <v>0</v>
      </c>
      <c r="AD39" s="110">
        <v>19.689392277907199</v>
      </c>
      <c r="AE39" s="110">
        <v>0.201367653506661</v>
      </c>
      <c r="AF39" s="110">
        <v>0.74016711806993596</v>
      </c>
      <c r="AG39" s="110">
        <v>0.30908275290134801</v>
      </c>
      <c r="AH39" s="110">
        <v>10.1365781095827</v>
      </c>
      <c r="AI39" s="110">
        <v>-14.01384272756</v>
      </c>
      <c r="AJ39" s="110">
        <v>2.12025035823872</v>
      </c>
      <c r="AK39" s="110">
        <v>26.930188167705499</v>
      </c>
      <c r="AL39" s="110">
        <v>0</v>
      </c>
      <c r="AM39" s="110">
        <v>170.49534924337999</v>
      </c>
      <c r="AN39" s="110">
        <v>5.9319518600323002</v>
      </c>
      <c r="AO39" s="110">
        <v>3.5703015563041398</v>
      </c>
      <c r="AP39" s="110">
        <v>0</v>
      </c>
      <c r="AQ39" s="110">
        <v>-26.711603045337199</v>
      </c>
      <c r="AR39" s="111">
        <v>1.7661329642108901</v>
      </c>
    </row>
    <row r="40" spans="2:44" ht="12" customHeight="1" x14ac:dyDescent="0.3">
      <c r="B40" s="109" t="s">
        <v>42</v>
      </c>
      <c r="C40" s="110" t="s">
        <v>33</v>
      </c>
      <c r="D40" s="110" t="s">
        <v>43</v>
      </c>
      <c r="E40" s="110" t="s">
        <v>97</v>
      </c>
      <c r="F40" s="110" t="s">
        <v>25</v>
      </c>
      <c r="G40" s="110" t="s">
        <v>35</v>
      </c>
      <c r="H40" s="110" t="s">
        <v>76</v>
      </c>
      <c r="I40" s="110" t="s">
        <v>25</v>
      </c>
      <c r="J40" s="110">
        <v>302.19</v>
      </c>
      <c r="K40" s="110">
        <v>180.23</v>
      </c>
      <c r="L40" s="110">
        <v>3.2411662400252799</v>
      </c>
      <c r="M40" s="110">
        <v>0.88152592130931595</v>
      </c>
      <c r="N40" s="110">
        <v>2.5766672718488102</v>
      </c>
      <c r="O40" s="110">
        <v>0</v>
      </c>
      <c r="P40" s="110">
        <v>0</v>
      </c>
      <c r="Q40" s="110">
        <v>91.778646572884099</v>
      </c>
      <c r="R40" s="110">
        <v>15.5178314773362</v>
      </c>
      <c r="S40" s="110">
        <v>0</v>
      </c>
      <c r="T40" s="110">
        <v>0</v>
      </c>
      <c r="U40" s="110">
        <v>0</v>
      </c>
      <c r="V40" s="110">
        <v>0</v>
      </c>
      <c r="W40" s="110">
        <v>0</v>
      </c>
      <c r="X40" s="110">
        <v>73.781050724312493</v>
      </c>
      <c r="Y40" s="110">
        <v>0</v>
      </c>
      <c r="Z40" s="110">
        <v>0</v>
      </c>
      <c r="AA40" s="110">
        <v>134.67392599074199</v>
      </c>
      <c r="AB40" s="110">
        <v>-41.205240631725601</v>
      </c>
      <c r="AC40" s="110">
        <v>0</v>
      </c>
      <c r="AD40" s="110">
        <v>19.689392277907199</v>
      </c>
      <c r="AE40" s="110">
        <v>0.201367653506661</v>
      </c>
      <c r="AF40" s="110">
        <v>0.74016711806993596</v>
      </c>
      <c r="AG40" s="110">
        <v>0.30908275290134801</v>
      </c>
      <c r="AH40" s="110">
        <v>10.1365781095827</v>
      </c>
      <c r="AI40" s="110">
        <v>-14.01384272756</v>
      </c>
      <c r="AJ40" s="110">
        <v>2.12025035823872</v>
      </c>
      <c r="AK40" s="110">
        <v>26.930188167705499</v>
      </c>
      <c r="AL40" s="110">
        <v>0</v>
      </c>
      <c r="AM40" s="110">
        <v>170.49534924337999</v>
      </c>
      <c r="AN40" s="110">
        <v>5.9319518600323002</v>
      </c>
      <c r="AO40" s="110">
        <v>3.5703015563041398</v>
      </c>
      <c r="AP40" s="110">
        <v>0</v>
      </c>
      <c r="AQ40" s="110">
        <v>-26.711603045337199</v>
      </c>
      <c r="AR40" s="111">
        <v>1.7661329642108901</v>
      </c>
    </row>
    <row r="41" spans="2:44" ht="12" customHeight="1" x14ac:dyDescent="0.3">
      <c r="B41" s="109" t="s">
        <v>42</v>
      </c>
      <c r="C41" s="110" t="s">
        <v>23</v>
      </c>
      <c r="D41" s="110" t="s">
        <v>43</v>
      </c>
      <c r="E41" s="110" t="s">
        <v>96</v>
      </c>
      <c r="F41" s="110" t="s">
        <v>25</v>
      </c>
      <c r="G41" s="110" t="s">
        <v>25</v>
      </c>
      <c r="H41" s="110" t="s">
        <v>76</v>
      </c>
      <c r="I41" s="110" t="s">
        <v>25</v>
      </c>
      <c r="J41" s="110">
        <v>410.34</v>
      </c>
      <c r="K41" s="110">
        <v>189.08</v>
      </c>
      <c r="L41" s="110">
        <v>3.2411662400252799</v>
      </c>
      <c r="M41" s="110">
        <v>0.88152592130931595</v>
      </c>
      <c r="N41" s="110">
        <v>3.7230138109522102</v>
      </c>
      <c r="O41" s="110">
        <v>0</v>
      </c>
      <c r="P41" s="110">
        <v>0</v>
      </c>
      <c r="Q41" s="110">
        <v>91.778646572884099</v>
      </c>
      <c r="R41" s="110">
        <v>15.5178314773362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X41" s="110">
        <v>117.112811939388</v>
      </c>
      <c r="Y41" s="110">
        <v>0</v>
      </c>
      <c r="Z41" s="110">
        <v>0</v>
      </c>
      <c r="AA41" s="110">
        <v>213.76810530965901</v>
      </c>
      <c r="AB41" s="110">
        <v>-56.622219621343397</v>
      </c>
      <c r="AC41" s="110">
        <v>0</v>
      </c>
      <c r="AD41" s="110">
        <v>19.689392277907199</v>
      </c>
      <c r="AE41" s="110">
        <v>0.201367653506661</v>
      </c>
      <c r="AF41" s="110">
        <v>0.74016711806993596</v>
      </c>
      <c r="AG41" s="110">
        <v>0.30908275290134801</v>
      </c>
      <c r="AH41" s="110">
        <v>10.1365781095827</v>
      </c>
      <c r="AI41" s="110">
        <v>-14.01384272756</v>
      </c>
      <c r="AJ41" s="110">
        <v>2.12025035823872</v>
      </c>
      <c r="AK41" s="110">
        <v>26.930188167705499</v>
      </c>
      <c r="AL41" s="110">
        <v>0</v>
      </c>
      <c r="AM41" s="110">
        <v>180.725070197983</v>
      </c>
      <c r="AN41" s="110">
        <v>5.9319518600323002</v>
      </c>
      <c r="AO41" s="110">
        <v>3.5703015563041398</v>
      </c>
      <c r="AP41" s="110">
        <v>0</v>
      </c>
      <c r="AQ41" s="110">
        <v>-28.085195705778499</v>
      </c>
      <c r="AR41" s="111">
        <v>1.7661329642108901</v>
      </c>
    </row>
    <row r="42" spans="2:44" ht="12" customHeight="1" x14ac:dyDescent="0.3">
      <c r="B42" s="109" t="s">
        <v>42</v>
      </c>
      <c r="C42" s="110" t="s">
        <v>23</v>
      </c>
      <c r="D42" s="110" t="s">
        <v>43</v>
      </c>
      <c r="E42" s="110" t="s">
        <v>25</v>
      </c>
      <c r="F42" s="110" t="s">
        <v>25</v>
      </c>
      <c r="G42" s="110" t="s">
        <v>25</v>
      </c>
      <c r="H42" s="110" t="s">
        <v>76</v>
      </c>
      <c r="I42" s="110" t="s">
        <v>25</v>
      </c>
      <c r="J42" s="110">
        <v>419.26</v>
      </c>
      <c r="K42" s="110">
        <v>193.19</v>
      </c>
      <c r="L42" s="110">
        <v>3.3116263756779998</v>
      </c>
      <c r="M42" s="110">
        <v>0.90068952829430105</v>
      </c>
      <c r="N42" s="110">
        <v>3.8039488937989998</v>
      </c>
      <c r="O42" s="110">
        <v>0</v>
      </c>
      <c r="P42" s="110">
        <v>0</v>
      </c>
      <c r="Q42" s="110">
        <v>93.773834541859898</v>
      </c>
      <c r="R42" s="110">
        <v>15.855175639886999</v>
      </c>
      <c r="S42" s="110">
        <v>0</v>
      </c>
      <c r="T42" s="110">
        <v>0</v>
      </c>
      <c r="U42" s="110">
        <v>0</v>
      </c>
      <c r="V42" s="110">
        <v>0</v>
      </c>
      <c r="W42" s="110">
        <v>0</v>
      </c>
      <c r="X42" s="110">
        <v>119.658742633722</v>
      </c>
      <c r="Y42" s="110">
        <v>0</v>
      </c>
      <c r="Z42" s="110">
        <v>0</v>
      </c>
      <c r="AA42" s="110">
        <v>218.415238033782</v>
      </c>
      <c r="AB42" s="110">
        <v>-57.853137439198697</v>
      </c>
      <c r="AC42" s="110">
        <v>0</v>
      </c>
      <c r="AD42" s="110">
        <v>20.117422544818201</v>
      </c>
      <c r="AE42" s="110">
        <v>0.20574521119158801</v>
      </c>
      <c r="AF42" s="110">
        <v>0.75625770759319499</v>
      </c>
      <c r="AG42" s="110">
        <v>0.31580194318181198</v>
      </c>
      <c r="AH42" s="110">
        <v>10.3569385032693</v>
      </c>
      <c r="AI42" s="110">
        <v>-14.3184914825069</v>
      </c>
      <c r="AJ42" s="110">
        <v>2.1663427573308698</v>
      </c>
      <c r="AK42" s="110">
        <v>27.515627040916499</v>
      </c>
      <c r="AL42" s="110">
        <v>0</v>
      </c>
      <c r="AM42" s="110">
        <v>184.65387607185201</v>
      </c>
      <c r="AN42" s="110">
        <v>6.0609073352503904</v>
      </c>
      <c r="AO42" s="110">
        <v>3.6479168075281398</v>
      </c>
      <c r="AP42" s="110">
        <v>0</v>
      </c>
      <c r="AQ42" s="110">
        <v>-28.6957434385128</v>
      </c>
      <c r="AR42" s="111">
        <v>1.80452715908504</v>
      </c>
    </row>
    <row r="43" spans="2:44" ht="12" customHeight="1" x14ac:dyDescent="0.3">
      <c r="B43" s="109" t="s">
        <v>42</v>
      </c>
      <c r="C43" s="110" t="s">
        <v>23</v>
      </c>
      <c r="D43" s="110" t="s">
        <v>43</v>
      </c>
      <c r="E43" s="110" t="s">
        <v>97</v>
      </c>
      <c r="F43" s="110" t="s">
        <v>25</v>
      </c>
      <c r="G43" s="110" t="s">
        <v>25</v>
      </c>
      <c r="H43" s="110" t="s">
        <v>76</v>
      </c>
      <c r="I43" s="110" t="s">
        <v>25</v>
      </c>
      <c r="J43" s="110">
        <v>410.34</v>
      </c>
      <c r="K43" s="110">
        <v>189.08</v>
      </c>
      <c r="L43" s="110">
        <v>3.2411662400252799</v>
      </c>
      <c r="M43" s="110">
        <v>0.88152592130931595</v>
      </c>
      <c r="N43" s="110">
        <v>3.7230138109522102</v>
      </c>
      <c r="O43" s="110">
        <v>0</v>
      </c>
      <c r="P43" s="110">
        <v>0</v>
      </c>
      <c r="Q43" s="110">
        <v>91.778646572884099</v>
      </c>
      <c r="R43" s="110">
        <v>15.5178314773362</v>
      </c>
      <c r="S43" s="110">
        <v>0</v>
      </c>
      <c r="T43" s="110">
        <v>0</v>
      </c>
      <c r="U43" s="110">
        <v>0</v>
      </c>
      <c r="V43" s="110">
        <v>0</v>
      </c>
      <c r="W43" s="110">
        <v>0</v>
      </c>
      <c r="X43" s="110">
        <v>117.112811939388</v>
      </c>
      <c r="Y43" s="110">
        <v>0</v>
      </c>
      <c r="Z43" s="110">
        <v>0</v>
      </c>
      <c r="AA43" s="110">
        <v>213.76810530965901</v>
      </c>
      <c r="AB43" s="110">
        <v>-56.622219621343397</v>
      </c>
      <c r="AC43" s="110">
        <v>0</v>
      </c>
      <c r="AD43" s="110">
        <v>19.689392277907199</v>
      </c>
      <c r="AE43" s="110">
        <v>0.201367653506661</v>
      </c>
      <c r="AF43" s="110">
        <v>0.74016711806993596</v>
      </c>
      <c r="AG43" s="110">
        <v>0.30908275290134801</v>
      </c>
      <c r="AH43" s="110">
        <v>10.1365781095827</v>
      </c>
      <c r="AI43" s="110">
        <v>-14.01384272756</v>
      </c>
      <c r="AJ43" s="110">
        <v>2.12025035823872</v>
      </c>
      <c r="AK43" s="110">
        <v>26.930188167705499</v>
      </c>
      <c r="AL43" s="110">
        <v>0</v>
      </c>
      <c r="AM43" s="110">
        <v>180.725070197983</v>
      </c>
      <c r="AN43" s="110">
        <v>5.9319518600323002</v>
      </c>
      <c r="AO43" s="110">
        <v>3.5703015563041398</v>
      </c>
      <c r="AP43" s="110">
        <v>0</v>
      </c>
      <c r="AQ43" s="110">
        <v>-28.085195705778499</v>
      </c>
      <c r="AR43" s="111">
        <v>1.7661329642108901</v>
      </c>
    </row>
    <row r="44" spans="2:44" ht="12" customHeight="1" x14ac:dyDescent="0.3">
      <c r="B44" s="109" t="s">
        <v>42</v>
      </c>
      <c r="C44" s="110" t="s">
        <v>95</v>
      </c>
      <c r="D44" s="110" t="s">
        <v>43</v>
      </c>
      <c r="E44" s="110" t="s">
        <v>96</v>
      </c>
      <c r="F44" s="110" t="s">
        <v>25</v>
      </c>
      <c r="G44" s="110" t="s">
        <v>25</v>
      </c>
      <c r="H44" s="110" t="s">
        <v>76</v>
      </c>
      <c r="I44" s="110" t="s">
        <v>25</v>
      </c>
      <c r="J44" s="110">
        <v>410.34</v>
      </c>
      <c r="K44" s="110">
        <v>189.08</v>
      </c>
      <c r="L44" s="110">
        <v>3.2411662400252799</v>
      </c>
      <c r="M44" s="110">
        <v>0.88152592130931595</v>
      </c>
      <c r="N44" s="110">
        <v>3.7230138109522102</v>
      </c>
      <c r="O44" s="110">
        <v>0</v>
      </c>
      <c r="P44" s="110">
        <v>0</v>
      </c>
      <c r="Q44" s="110">
        <v>91.778646572884099</v>
      </c>
      <c r="R44" s="110">
        <v>15.5178314773362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0">
        <v>117.112811939388</v>
      </c>
      <c r="Y44" s="110">
        <v>0</v>
      </c>
      <c r="Z44" s="110">
        <v>0</v>
      </c>
      <c r="AA44" s="110">
        <v>213.76810530965901</v>
      </c>
      <c r="AB44" s="110">
        <v>-56.622219621343397</v>
      </c>
      <c r="AC44" s="110">
        <v>0</v>
      </c>
      <c r="AD44" s="110">
        <v>19.689392277907199</v>
      </c>
      <c r="AE44" s="110">
        <v>0.201367653506661</v>
      </c>
      <c r="AF44" s="110">
        <v>0.74016711806993596</v>
      </c>
      <c r="AG44" s="110">
        <v>0.30908275290134801</v>
      </c>
      <c r="AH44" s="110">
        <v>10.1365781095827</v>
      </c>
      <c r="AI44" s="110">
        <v>-14.01384272756</v>
      </c>
      <c r="AJ44" s="110">
        <v>2.12025035823872</v>
      </c>
      <c r="AK44" s="110">
        <v>26.930188167705499</v>
      </c>
      <c r="AL44" s="110">
        <v>0</v>
      </c>
      <c r="AM44" s="110">
        <v>180.725070197983</v>
      </c>
      <c r="AN44" s="110">
        <v>5.9319518600323002</v>
      </c>
      <c r="AO44" s="110">
        <v>3.5703015563041398</v>
      </c>
      <c r="AP44" s="110">
        <v>0</v>
      </c>
      <c r="AQ44" s="110">
        <v>-28.085195705778499</v>
      </c>
      <c r="AR44" s="111">
        <v>1.7661329642108901</v>
      </c>
    </row>
    <row r="45" spans="2:44" ht="12" customHeight="1" x14ac:dyDescent="0.3">
      <c r="B45" s="109" t="s">
        <v>42</v>
      </c>
      <c r="C45" s="110" t="s">
        <v>95</v>
      </c>
      <c r="D45" s="110" t="s">
        <v>43</v>
      </c>
      <c r="E45" s="110" t="s">
        <v>25</v>
      </c>
      <c r="F45" s="110" t="s">
        <v>25</v>
      </c>
      <c r="G45" s="110" t="s">
        <v>25</v>
      </c>
      <c r="H45" s="110" t="s">
        <v>76</v>
      </c>
      <c r="I45" s="110" t="s">
        <v>25</v>
      </c>
      <c r="J45" s="110">
        <v>419.26</v>
      </c>
      <c r="K45" s="110">
        <v>193.19</v>
      </c>
      <c r="L45" s="110">
        <v>3.3116263756779998</v>
      </c>
      <c r="M45" s="110">
        <v>0.90068952829430105</v>
      </c>
      <c r="N45" s="110">
        <v>3.8039488937989998</v>
      </c>
      <c r="O45" s="110">
        <v>0</v>
      </c>
      <c r="P45" s="110">
        <v>0</v>
      </c>
      <c r="Q45" s="110">
        <v>93.773834541859898</v>
      </c>
      <c r="R45" s="110">
        <v>15.855175639886999</v>
      </c>
      <c r="S45" s="110">
        <v>0</v>
      </c>
      <c r="T45" s="110">
        <v>0</v>
      </c>
      <c r="U45" s="110">
        <v>0</v>
      </c>
      <c r="V45" s="110">
        <v>0</v>
      </c>
      <c r="W45" s="110">
        <v>0</v>
      </c>
      <c r="X45" s="110">
        <v>119.658742633722</v>
      </c>
      <c r="Y45" s="110">
        <v>0</v>
      </c>
      <c r="Z45" s="110">
        <v>0</v>
      </c>
      <c r="AA45" s="110">
        <v>218.415238033782</v>
      </c>
      <c r="AB45" s="110">
        <v>-57.853137439198697</v>
      </c>
      <c r="AC45" s="110">
        <v>0</v>
      </c>
      <c r="AD45" s="110">
        <v>20.117422544818201</v>
      </c>
      <c r="AE45" s="110">
        <v>0.20574521119158801</v>
      </c>
      <c r="AF45" s="110">
        <v>0.75625770759319499</v>
      </c>
      <c r="AG45" s="110">
        <v>0.31580194318181198</v>
      </c>
      <c r="AH45" s="110">
        <v>10.3569385032693</v>
      </c>
      <c r="AI45" s="110">
        <v>-14.3184914825069</v>
      </c>
      <c r="AJ45" s="110">
        <v>2.1663427573308698</v>
      </c>
      <c r="AK45" s="110">
        <v>27.515627040916499</v>
      </c>
      <c r="AL45" s="110">
        <v>0</v>
      </c>
      <c r="AM45" s="110">
        <v>184.65387607185201</v>
      </c>
      <c r="AN45" s="110">
        <v>6.0609073352503904</v>
      </c>
      <c r="AO45" s="110">
        <v>3.6479168075281398</v>
      </c>
      <c r="AP45" s="110">
        <v>0</v>
      </c>
      <c r="AQ45" s="110">
        <v>-28.6957434385128</v>
      </c>
      <c r="AR45" s="111">
        <v>1.80452715908504</v>
      </c>
    </row>
    <row r="46" spans="2:44" ht="12" customHeight="1" x14ac:dyDescent="0.3">
      <c r="B46" s="109" t="s">
        <v>42</v>
      </c>
      <c r="C46" s="110" t="s">
        <v>95</v>
      </c>
      <c r="D46" s="110" t="s">
        <v>43</v>
      </c>
      <c r="E46" s="110" t="s">
        <v>97</v>
      </c>
      <c r="F46" s="110" t="s">
        <v>25</v>
      </c>
      <c r="G46" s="110" t="s">
        <v>25</v>
      </c>
      <c r="H46" s="110" t="s">
        <v>76</v>
      </c>
      <c r="I46" s="110" t="s">
        <v>25</v>
      </c>
      <c r="J46" s="110">
        <v>410.34</v>
      </c>
      <c r="K46" s="110">
        <v>189.08</v>
      </c>
      <c r="L46" s="110">
        <v>3.2411662400252799</v>
      </c>
      <c r="M46" s="110">
        <v>0.88152592130931595</v>
      </c>
      <c r="N46" s="110">
        <v>3.7230138109522102</v>
      </c>
      <c r="O46" s="110">
        <v>0</v>
      </c>
      <c r="P46" s="110">
        <v>0</v>
      </c>
      <c r="Q46" s="110">
        <v>91.778646572884099</v>
      </c>
      <c r="R46" s="110">
        <v>15.5178314773362</v>
      </c>
      <c r="S46" s="110">
        <v>0</v>
      </c>
      <c r="T46" s="110">
        <v>0</v>
      </c>
      <c r="U46" s="110">
        <v>0</v>
      </c>
      <c r="V46" s="110">
        <v>0</v>
      </c>
      <c r="W46" s="110">
        <v>0</v>
      </c>
      <c r="X46" s="110">
        <v>117.112811939388</v>
      </c>
      <c r="Y46" s="110">
        <v>0</v>
      </c>
      <c r="Z46" s="110">
        <v>0</v>
      </c>
      <c r="AA46" s="110">
        <v>213.76810530965901</v>
      </c>
      <c r="AB46" s="110">
        <v>-56.622219621343397</v>
      </c>
      <c r="AC46" s="110">
        <v>0</v>
      </c>
      <c r="AD46" s="110">
        <v>19.689392277907199</v>
      </c>
      <c r="AE46" s="110">
        <v>0.201367653506661</v>
      </c>
      <c r="AF46" s="110">
        <v>0.74016711806993596</v>
      </c>
      <c r="AG46" s="110">
        <v>0.30908275290134801</v>
      </c>
      <c r="AH46" s="110">
        <v>10.1365781095827</v>
      </c>
      <c r="AI46" s="110">
        <v>-14.01384272756</v>
      </c>
      <c r="AJ46" s="110">
        <v>2.12025035823872</v>
      </c>
      <c r="AK46" s="110">
        <v>26.930188167705499</v>
      </c>
      <c r="AL46" s="110">
        <v>0</v>
      </c>
      <c r="AM46" s="110">
        <v>180.725070197983</v>
      </c>
      <c r="AN46" s="110">
        <v>5.9319518600323002</v>
      </c>
      <c r="AO46" s="110">
        <v>3.5703015563041398</v>
      </c>
      <c r="AP46" s="110">
        <v>0</v>
      </c>
      <c r="AQ46" s="110">
        <v>-28.085195705778499</v>
      </c>
      <c r="AR46" s="111">
        <v>1.7661329642108901</v>
      </c>
    </row>
    <row r="47" spans="2:44" ht="12" customHeight="1" x14ac:dyDescent="0.3">
      <c r="B47" s="109" t="s">
        <v>37</v>
      </c>
      <c r="C47" s="110" t="s">
        <v>33</v>
      </c>
      <c r="D47" s="110" t="s">
        <v>25</v>
      </c>
      <c r="E47" s="110" t="s">
        <v>25</v>
      </c>
      <c r="F47" s="110" t="s">
        <v>25</v>
      </c>
      <c r="G47" s="110" t="s">
        <v>34</v>
      </c>
      <c r="H47" s="110" t="s">
        <v>76</v>
      </c>
      <c r="I47" s="110" t="s">
        <v>25</v>
      </c>
      <c r="J47" s="110">
        <v>1272.1199999999999</v>
      </c>
      <c r="K47" s="110">
        <v>311.41000000000003</v>
      </c>
      <c r="L47" s="110">
        <v>3.5230067826361702</v>
      </c>
      <c r="M47" s="110">
        <v>0.95818034924925599</v>
      </c>
      <c r="N47" s="110">
        <v>12.8026326337688</v>
      </c>
      <c r="O47" s="110">
        <v>0</v>
      </c>
      <c r="P47" s="110">
        <v>0</v>
      </c>
      <c r="Q47" s="110">
        <v>99.759398448787096</v>
      </c>
      <c r="R47" s="110">
        <v>16.8672081275393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458.26761540413298</v>
      </c>
      <c r="Y47" s="110">
        <v>0</v>
      </c>
      <c r="Z47" s="110">
        <v>0</v>
      </c>
      <c r="AA47" s="110">
        <v>836.483842888867</v>
      </c>
      <c r="AB47" s="110">
        <v>-179.30190100830501</v>
      </c>
      <c r="AC47" s="110">
        <v>0</v>
      </c>
      <c r="AD47" s="110">
        <v>21.401513345551301</v>
      </c>
      <c r="AE47" s="110">
        <v>0.21887788424637</v>
      </c>
      <c r="AF47" s="110">
        <v>0.80452947616297399</v>
      </c>
      <c r="AG47" s="110">
        <v>0.33595951402320401</v>
      </c>
      <c r="AH47" s="110">
        <v>11.018019684329101</v>
      </c>
      <c r="AI47" s="110">
        <v>-15.232437747347801</v>
      </c>
      <c r="AJ47" s="110">
        <v>2.3046199546073001</v>
      </c>
      <c r="AK47" s="110">
        <v>29.2719436605495</v>
      </c>
      <c r="AL47" s="110">
        <v>0</v>
      </c>
      <c r="AM47" s="110">
        <v>318.75217467240702</v>
      </c>
      <c r="AN47" s="110">
        <v>6.4477737609046697</v>
      </c>
      <c r="AO47" s="110">
        <v>3.8807625612001502</v>
      </c>
      <c r="AP47" s="110">
        <v>0</v>
      </c>
      <c r="AQ47" s="110">
        <v>-46.950777141991601</v>
      </c>
      <c r="AR47" s="111">
        <v>1.9197097437074799</v>
      </c>
    </row>
    <row r="48" spans="2:44" ht="12" customHeight="1" x14ac:dyDescent="0.3">
      <c r="B48" s="109" t="s">
        <v>37</v>
      </c>
      <c r="C48" s="110" t="s">
        <v>33</v>
      </c>
      <c r="D48" s="110" t="s">
        <v>25</v>
      </c>
      <c r="E48" s="110" t="s">
        <v>25</v>
      </c>
      <c r="F48" s="110" t="s">
        <v>25</v>
      </c>
      <c r="G48" s="110" t="s">
        <v>36</v>
      </c>
      <c r="H48" s="110" t="s">
        <v>76</v>
      </c>
      <c r="I48" s="110" t="s">
        <v>25</v>
      </c>
      <c r="J48" s="110">
        <v>814.59</v>
      </c>
      <c r="K48" s="110">
        <v>195.9</v>
      </c>
      <c r="L48" s="110">
        <v>3.5230067826361702</v>
      </c>
      <c r="M48" s="110">
        <v>0.95818034924925599</v>
      </c>
      <c r="N48" s="110">
        <v>7.9532235002377503</v>
      </c>
      <c r="O48" s="110">
        <v>0</v>
      </c>
      <c r="P48" s="110">
        <v>0</v>
      </c>
      <c r="Q48" s="110">
        <v>99.759398448787096</v>
      </c>
      <c r="R48" s="110">
        <v>16.8672081275393</v>
      </c>
      <c r="S48" s="110">
        <v>0</v>
      </c>
      <c r="T48" s="110">
        <v>0</v>
      </c>
      <c r="U48" s="110">
        <v>0</v>
      </c>
      <c r="V48" s="110">
        <v>0</v>
      </c>
      <c r="W48" s="110">
        <v>0</v>
      </c>
      <c r="X48" s="110">
        <v>274.96060541204798</v>
      </c>
      <c r="Y48" s="110">
        <v>0</v>
      </c>
      <c r="Z48" s="110">
        <v>0</v>
      </c>
      <c r="AA48" s="110">
        <v>501.89030573332002</v>
      </c>
      <c r="AB48" s="110">
        <v>-114.083194368542</v>
      </c>
      <c r="AC48" s="110">
        <v>0</v>
      </c>
      <c r="AD48" s="110">
        <v>21.401513345551301</v>
      </c>
      <c r="AE48" s="110">
        <v>0.21887788424637</v>
      </c>
      <c r="AF48" s="110">
        <v>0.80452947616297399</v>
      </c>
      <c r="AG48" s="110">
        <v>0.33595951402320401</v>
      </c>
      <c r="AH48" s="110">
        <v>11.018019684329101</v>
      </c>
      <c r="AI48" s="110">
        <v>-15.232437747347801</v>
      </c>
      <c r="AJ48" s="110">
        <v>2.3046199546073001</v>
      </c>
      <c r="AK48" s="110">
        <v>29.2719436605495</v>
      </c>
      <c r="AL48" s="110">
        <v>0</v>
      </c>
      <c r="AM48" s="110">
        <v>185.32103178628299</v>
      </c>
      <c r="AN48" s="110">
        <v>6.4477737609046697</v>
      </c>
      <c r="AO48" s="110">
        <v>3.8807625612001502</v>
      </c>
      <c r="AP48" s="110">
        <v>0</v>
      </c>
      <c r="AQ48" s="110">
        <v>-29.034351136236101</v>
      </c>
      <c r="AR48" s="111">
        <v>1.9197097437074799</v>
      </c>
    </row>
    <row r="49" spans="2:44" ht="12" customHeight="1" x14ac:dyDescent="0.3">
      <c r="B49" s="109" t="s">
        <v>37</v>
      </c>
      <c r="C49" s="110" t="s">
        <v>33</v>
      </c>
      <c r="D49" s="110" t="s">
        <v>25</v>
      </c>
      <c r="E49" s="110" t="s">
        <v>25</v>
      </c>
      <c r="F49" s="110" t="s">
        <v>25</v>
      </c>
      <c r="G49" s="110" t="s">
        <v>35</v>
      </c>
      <c r="H49" s="110" t="s">
        <v>76</v>
      </c>
      <c r="I49" s="110" t="s">
        <v>25</v>
      </c>
      <c r="J49" s="110">
        <v>357.06</v>
      </c>
      <c r="K49" s="110">
        <v>195.9</v>
      </c>
      <c r="L49" s="110">
        <v>3.5230067826361702</v>
      </c>
      <c r="M49" s="110">
        <v>0.95818034924925599</v>
      </c>
      <c r="N49" s="110">
        <v>3.1038133663335299</v>
      </c>
      <c r="O49" s="110">
        <v>0</v>
      </c>
      <c r="P49" s="110">
        <v>0</v>
      </c>
      <c r="Q49" s="110">
        <v>99.759398448787096</v>
      </c>
      <c r="R49" s="110">
        <v>16.8672081275393</v>
      </c>
      <c r="S49" s="110">
        <v>0</v>
      </c>
      <c r="T49" s="110">
        <v>0</v>
      </c>
      <c r="U49" s="110">
        <v>0</v>
      </c>
      <c r="V49" s="110">
        <v>0</v>
      </c>
      <c r="W49" s="110">
        <v>0</v>
      </c>
      <c r="X49" s="110">
        <v>91.6535049960425</v>
      </c>
      <c r="Y49" s="110">
        <v>0</v>
      </c>
      <c r="Z49" s="110">
        <v>0</v>
      </c>
      <c r="AA49" s="110">
        <v>167.29676857777301</v>
      </c>
      <c r="AB49" s="110">
        <v>-48.8644742221596</v>
      </c>
      <c r="AC49" s="110">
        <v>0</v>
      </c>
      <c r="AD49" s="110">
        <v>21.401513345551301</v>
      </c>
      <c r="AE49" s="110">
        <v>0.21887788424637</v>
      </c>
      <c r="AF49" s="110">
        <v>0.80452947616297399</v>
      </c>
      <c r="AG49" s="110">
        <v>0.33595951402320401</v>
      </c>
      <c r="AH49" s="110">
        <v>11.018019684329101</v>
      </c>
      <c r="AI49" s="110">
        <v>-15.232437747347801</v>
      </c>
      <c r="AJ49" s="110">
        <v>2.3046199546073001</v>
      </c>
      <c r="AK49" s="110">
        <v>29.2719436605495</v>
      </c>
      <c r="AL49" s="110">
        <v>0</v>
      </c>
      <c r="AM49" s="110">
        <v>185.32103178628299</v>
      </c>
      <c r="AN49" s="110">
        <v>6.4477737609046697</v>
      </c>
      <c r="AO49" s="110">
        <v>3.8807625612001502</v>
      </c>
      <c r="AP49" s="110">
        <v>0</v>
      </c>
      <c r="AQ49" s="110">
        <v>-29.034351136236101</v>
      </c>
      <c r="AR49" s="111">
        <v>1.9197097437074799</v>
      </c>
    </row>
    <row r="50" spans="2:44" ht="12" customHeight="1" x14ac:dyDescent="0.3">
      <c r="B50" s="109" t="s">
        <v>37</v>
      </c>
      <c r="C50" s="110" t="s">
        <v>23</v>
      </c>
      <c r="D50" s="110" t="s">
        <v>25</v>
      </c>
      <c r="E50" s="110" t="s">
        <v>25</v>
      </c>
      <c r="F50" s="110" t="s">
        <v>25</v>
      </c>
      <c r="G50" s="110" t="s">
        <v>25</v>
      </c>
      <c r="H50" s="110" t="s">
        <v>76</v>
      </c>
      <c r="I50" s="110" t="s">
        <v>25</v>
      </c>
      <c r="J50" s="110">
        <v>446.02</v>
      </c>
      <c r="K50" s="110">
        <v>205.52</v>
      </c>
      <c r="L50" s="110">
        <v>3.5230067826361702</v>
      </c>
      <c r="M50" s="110">
        <v>0.95818034924925599</v>
      </c>
      <c r="N50" s="110">
        <v>4.0467541423393598</v>
      </c>
      <c r="O50" s="110">
        <v>0</v>
      </c>
      <c r="P50" s="110">
        <v>0</v>
      </c>
      <c r="Q50" s="110">
        <v>99.759398448787096</v>
      </c>
      <c r="R50" s="110">
        <v>16.8672081275393</v>
      </c>
      <c r="S50" s="110">
        <v>0</v>
      </c>
      <c r="T50" s="110">
        <v>0</v>
      </c>
      <c r="U50" s="110">
        <v>0</v>
      </c>
      <c r="V50" s="110">
        <v>0</v>
      </c>
      <c r="W50" s="110">
        <v>0</v>
      </c>
      <c r="X50" s="110">
        <v>127.296534716726</v>
      </c>
      <c r="Y50" s="110">
        <v>0</v>
      </c>
      <c r="Z50" s="110">
        <v>0</v>
      </c>
      <c r="AA50" s="110">
        <v>232.35663620615099</v>
      </c>
      <c r="AB50" s="110">
        <v>-61.545890892764596</v>
      </c>
      <c r="AC50" s="110">
        <v>0</v>
      </c>
      <c r="AD50" s="110">
        <v>21.401513345551301</v>
      </c>
      <c r="AE50" s="110">
        <v>0.21887788424637</v>
      </c>
      <c r="AF50" s="110">
        <v>0.80452947616297399</v>
      </c>
      <c r="AG50" s="110">
        <v>0.33595951402320401</v>
      </c>
      <c r="AH50" s="110">
        <v>11.018019684329101</v>
      </c>
      <c r="AI50" s="110">
        <v>-15.232437747347801</v>
      </c>
      <c r="AJ50" s="110">
        <v>2.3046199546073001</v>
      </c>
      <c r="AK50" s="110">
        <v>29.2719436605495</v>
      </c>
      <c r="AL50" s="110">
        <v>0</v>
      </c>
      <c r="AM50" s="110">
        <v>196.44029369346001</v>
      </c>
      <c r="AN50" s="110">
        <v>6.4477737609046697</v>
      </c>
      <c r="AO50" s="110">
        <v>3.8807625612001502</v>
      </c>
      <c r="AP50" s="110">
        <v>0</v>
      </c>
      <c r="AQ50" s="110">
        <v>-30.527386636715701</v>
      </c>
      <c r="AR50" s="111">
        <v>1.9197097437074799</v>
      </c>
    </row>
    <row r="51" spans="2:44" ht="12" customHeight="1" x14ac:dyDescent="0.3">
      <c r="B51" s="109" t="s">
        <v>37</v>
      </c>
      <c r="C51" s="110" t="s">
        <v>95</v>
      </c>
      <c r="D51" s="110" t="s">
        <v>25</v>
      </c>
      <c r="E51" s="110" t="s">
        <v>25</v>
      </c>
      <c r="F51" s="110" t="s">
        <v>25</v>
      </c>
      <c r="G51" s="110" t="s">
        <v>25</v>
      </c>
      <c r="H51" s="110" t="s">
        <v>76</v>
      </c>
      <c r="I51" s="110" t="s">
        <v>25</v>
      </c>
      <c r="J51" s="110">
        <v>446.02</v>
      </c>
      <c r="K51" s="110">
        <v>205.52</v>
      </c>
      <c r="L51" s="110">
        <v>3.5230067826361702</v>
      </c>
      <c r="M51" s="110">
        <v>0.95818034924925599</v>
      </c>
      <c r="N51" s="110">
        <v>4.0467541423393598</v>
      </c>
      <c r="O51" s="110">
        <v>0</v>
      </c>
      <c r="P51" s="110">
        <v>0</v>
      </c>
      <c r="Q51" s="110">
        <v>99.759398448787096</v>
      </c>
      <c r="R51" s="110">
        <v>16.8672081275393</v>
      </c>
      <c r="S51" s="110">
        <v>0</v>
      </c>
      <c r="T51" s="110">
        <v>0</v>
      </c>
      <c r="U51" s="110">
        <v>0</v>
      </c>
      <c r="V51" s="110">
        <v>0</v>
      </c>
      <c r="W51" s="110">
        <v>0</v>
      </c>
      <c r="X51" s="110">
        <v>127.296534716726</v>
      </c>
      <c r="Y51" s="110">
        <v>0</v>
      </c>
      <c r="Z51" s="110">
        <v>0</v>
      </c>
      <c r="AA51" s="110">
        <v>232.35663620615099</v>
      </c>
      <c r="AB51" s="110">
        <v>-61.545890892764596</v>
      </c>
      <c r="AC51" s="110">
        <v>0</v>
      </c>
      <c r="AD51" s="110">
        <v>21.401513345551301</v>
      </c>
      <c r="AE51" s="110">
        <v>0.21887788424637</v>
      </c>
      <c r="AF51" s="110">
        <v>0.80452947616297399</v>
      </c>
      <c r="AG51" s="110">
        <v>0.33595951402320401</v>
      </c>
      <c r="AH51" s="110">
        <v>11.018019684329101</v>
      </c>
      <c r="AI51" s="110">
        <v>-15.232437747347801</v>
      </c>
      <c r="AJ51" s="110">
        <v>2.3046199546073001</v>
      </c>
      <c r="AK51" s="110">
        <v>29.2719436605495</v>
      </c>
      <c r="AL51" s="110">
        <v>0</v>
      </c>
      <c r="AM51" s="110">
        <v>196.44029369346001</v>
      </c>
      <c r="AN51" s="110">
        <v>6.4477737609046697</v>
      </c>
      <c r="AO51" s="110">
        <v>3.8807625612001502</v>
      </c>
      <c r="AP51" s="110">
        <v>0</v>
      </c>
      <c r="AQ51" s="110">
        <v>-30.527386636715701</v>
      </c>
      <c r="AR51" s="111">
        <v>1.9197097437074799</v>
      </c>
    </row>
    <row r="52" spans="2:44" ht="12" customHeight="1" x14ac:dyDescent="0.3">
      <c r="B52" s="109" t="s">
        <v>45</v>
      </c>
      <c r="C52" s="110" t="s">
        <v>23</v>
      </c>
      <c r="D52" s="110" t="s">
        <v>46</v>
      </c>
      <c r="E52" s="110" t="s">
        <v>47</v>
      </c>
      <c r="F52" s="110" t="s">
        <v>25</v>
      </c>
      <c r="G52" s="110" t="s">
        <v>25</v>
      </c>
      <c r="H52" s="110" t="s">
        <v>76</v>
      </c>
      <c r="I52" s="110" t="s">
        <v>25</v>
      </c>
      <c r="J52" s="110">
        <v>245.31</v>
      </c>
      <c r="K52" s="110">
        <v>113.04</v>
      </c>
      <c r="L52" s="110">
        <v>1.93765373044989</v>
      </c>
      <c r="M52" s="110">
        <v>0.52699919208709101</v>
      </c>
      <c r="N52" s="110">
        <v>2.2257147782866502</v>
      </c>
      <c r="O52" s="110">
        <v>0</v>
      </c>
      <c r="P52" s="110">
        <v>0</v>
      </c>
      <c r="Q52" s="110">
        <v>54.867669146832903</v>
      </c>
      <c r="R52" s="110">
        <v>9.2769644701466305</v>
      </c>
      <c r="S52" s="110">
        <v>0</v>
      </c>
      <c r="T52" s="110">
        <v>0</v>
      </c>
      <c r="U52" s="110">
        <v>0</v>
      </c>
      <c r="V52" s="110">
        <v>0</v>
      </c>
      <c r="W52" s="110">
        <v>0</v>
      </c>
      <c r="X52" s="110">
        <v>70.013094094199104</v>
      </c>
      <c r="Y52" s="110">
        <v>0</v>
      </c>
      <c r="Z52" s="110">
        <v>0</v>
      </c>
      <c r="AA52" s="110">
        <v>127.796149913383</v>
      </c>
      <c r="AB52" s="110">
        <v>-33.850239991020501</v>
      </c>
      <c r="AC52" s="110">
        <v>0</v>
      </c>
      <c r="AD52" s="110">
        <v>11.7708323400532</v>
      </c>
      <c r="AE52" s="110">
        <v>0.12038283633550401</v>
      </c>
      <c r="AF52" s="110">
        <v>0.44249121188963603</v>
      </c>
      <c r="AG52" s="110">
        <v>0.18477773271276199</v>
      </c>
      <c r="AH52" s="110">
        <v>6.05991082638098</v>
      </c>
      <c r="AI52" s="110">
        <v>-8.3778407610413002</v>
      </c>
      <c r="AJ52" s="110">
        <v>1.2675409750340201</v>
      </c>
      <c r="AK52" s="110">
        <v>16.099569013302201</v>
      </c>
      <c r="AL52" s="110">
        <v>0</v>
      </c>
      <c r="AM52" s="110">
        <v>108.042161531403</v>
      </c>
      <c r="AN52" s="110">
        <v>3.54627556849757</v>
      </c>
      <c r="AO52" s="110">
        <v>2.1344194086600798</v>
      </c>
      <c r="AP52" s="110">
        <v>0</v>
      </c>
      <c r="AQ52" s="110">
        <v>-16.790062650193601</v>
      </c>
      <c r="AR52" s="111">
        <v>1.0558403590391201</v>
      </c>
    </row>
    <row r="53" spans="2:44" ht="12" customHeight="1" x14ac:dyDescent="0.3">
      <c r="B53" s="112" t="s">
        <v>45</v>
      </c>
      <c r="C53" s="113" t="s">
        <v>23</v>
      </c>
      <c r="D53" s="113" t="s">
        <v>46</v>
      </c>
      <c r="E53" s="113" t="s">
        <v>98</v>
      </c>
      <c r="F53" s="113" t="s">
        <v>25</v>
      </c>
      <c r="G53" s="113" t="s">
        <v>25</v>
      </c>
      <c r="H53" s="113" t="s">
        <v>76</v>
      </c>
      <c r="I53" s="113" t="s">
        <v>25</v>
      </c>
      <c r="J53" s="113">
        <v>267.61</v>
      </c>
      <c r="K53" s="113">
        <v>123.31</v>
      </c>
      <c r="L53" s="113">
        <v>2.1138040695817</v>
      </c>
      <c r="M53" s="113">
        <v>0.57490820954955302</v>
      </c>
      <c r="N53" s="113">
        <v>2.4280524854036099</v>
      </c>
      <c r="O53" s="113">
        <v>0</v>
      </c>
      <c r="P53" s="113">
        <v>0</v>
      </c>
      <c r="Q53" s="113">
        <v>59.8556390692723</v>
      </c>
      <c r="R53" s="113">
        <v>10.1203248765236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76.377920830035393</v>
      </c>
      <c r="Y53" s="113">
        <v>0</v>
      </c>
      <c r="Z53" s="113">
        <v>0</v>
      </c>
      <c r="AA53" s="113">
        <v>139.41398172369099</v>
      </c>
      <c r="AB53" s="113">
        <v>-36.927534535658701</v>
      </c>
      <c r="AC53" s="113">
        <v>0</v>
      </c>
      <c r="AD53" s="113">
        <v>12.8409080073308</v>
      </c>
      <c r="AE53" s="113">
        <v>0.13132673054782201</v>
      </c>
      <c r="AF53" s="113">
        <v>0.482717685697784</v>
      </c>
      <c r="AG53" s="113">
        <v>0.201575708413923</v>
      </c>
      <c r="AH53" s="113">
        <v>6.6108118105974301</v>
      </c>
      <c r="AI53" s="113">
        <v>-9.1394626484086903</v>
      </c>
      <c r="AJ53" s="113">
        <v>1.3827719727643799</v>
      </c>
      <c r="AK53" s="113">
        <v>17.5631661963297</v>
      </c>
      <c r="AL53" s="113">
        <v>0</v>
      </c>
      <c r="AM53" s="113">
        <v>117.864176216076</v>
      </c>
      <c r="AN53" s="113">
        <v>3.8686642565428002</v>
      </c>
      <c r="AO53" s="113">
        <v>2.3284575367200899</v>
      </c>
      <c r="AP53" s="113">
        <v>0</v>
      </c>
      <c r="AQ53" s="113">
        <v>-18.3164319820294</v>
      </c>
      <c r="AR53" s="114">
        <v>1.1518258462244899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F4768-0CDF-48EF-83A3-51CB9F8586A1}">
  <dimension ref="B1:AR53"/>
  <sheetViews>
    <sheetView showGridLines="0" workbookViewId="0">
      <selection activeCell="B4" sqref="B4"/>
    </sheetView>
  </sheetViews>
  <sheetFormatPr defaultRowHeight="14.4" x14ac:dyDescent="0.3"/>
  <cols>
    <col min="2" max="2" width="13.44140625" bestFit="1" customWidth="1"/>
    <col min="3" max="3" width="27.6640625" bestFit="1" customWidth="1"/>
    <col min="4" max="4" width="17.88671875" bestFit="1" customWidth="1"/>
    <col min="5" max="5" width="31.109375" bestFit="1" customWidth="1"/>
    <col min="6" max="6" width="12.5546875" bestFit="1" customWidth="1"/>
    <col min="7" max="7" width="13.44140625" bestFit="1" customWidth="1"/>
    <col min="8" max="8" width="11.5546875" bestFit="1" customWidth="1"/>
    <col min="9" max="9" width="13.44140625" bestFit="1" customWidth="1"/>
    <col min="10" max="10" width="12.88671875" bestFit="1" customWidth="1"/>
    <col min="11" max="11" width="10.109375" bestFit="1" customWidth="1"/>
    <col min="12" max="12" width="19.33203125" bestFit="1" customWidth="1"/>
    <col min="13" max="13" width="14" bestFit="1" customWidth="1"/>
    <col min="14" max="14" width="12.5546875" bestFit="1" customWidth="1"/>
    <col min="15" max="15" width="12.88671875" bestFit="1" customWidth="1"/>
    <col min="16" max="17" width="12.44140625" bestFit="1" customWidth="1"/>
    <col min="18" max="18" width="17.109375" bestFit="1" customWidth="1"/>
    <col min="19" max="19" width="10.88671875" bestFit="1" customWidth="1"/>
    <col min="20" max="20" width="11.33203125" bestFit="1" customWidth="1"/>
    <col min="21" max="21" width="11.109375" bestFit="1" customWidth="1"/>
    <col min="22" max="22" width="12.33203125" bestFit="1" customWidth="1"/>
    <col min="23" max="23" width="12.5546875" bestFit="1" customWidth="1"/>
    <col min="24" max="24" width="13.88671875" bestFit="1" customWidth="1"/>
    <col min="25" max="25" width="11.44140625" bestFit="1" customWidth="1"/>
    <col min="26" max="26" width="14.33203125" bestFit="1" customWidth="1"/>
    <col min="27" max="27" width="12.88671875" bestFit="1" customWidth="1"/>
    <col min="28" max="28" width="16.109375" bestFit="1" customWidth="1"/>
    <col min="29" max="29" width="14.44140625" bestFit="1" customWidth="1"/>
    <col min="30" max="30" width="12" bestFit="1" customWidth="1"/>
    <col min="31" max="31" width="17.6640625" bestFit="1" customWidth="1"/>
    <col min="32" max="32" width="12.5546875" bestFit="1" customWidth="1"/>
    <col min="33" max="33" width="12" bestFit="1" customWidth="1"/>
    <col min="34" max="34" width="16.5546875" bestFit="1" customWidth="1"/>
    <col min="35" max="35" width="14.5546875" bestFit="1" customWidth="1"/>
    <col min="36" max="36" width="12" bestFit="1" customWidth="1"/>
    <col min="37" max="37" width="12.5546875" bestFit="1" customWidth="1"/>
    <col min="38" max="38" width="12.33203125" bestFit="1" customWidth="1"/>
    <col min="39" max="39" width="14.109375" bestFit="1" customWidth="1"/>
    <col min="40" max="40" width="25.33203125" bestFit="1" customWidth="1"/>
    <col min="41" max="41" width="17.88671875" bestFit="1" customWidth="1"/>
    <col min="42" max="42" width="13.44140625" bestFit="1" customWidth="1"/>
    <col min="43" max="43" width="13.33203125" bestFit="1" customWidth="1"/>
    <col min="44" max="44" width="12.5546875" bestFit="1" customWidth="1"/>
  </cols>
  <sheetData>
    <row r="1" spans="2:44" ht="12" customHeight="1" x14ac:dyDescent="0.3">
      <c r="L1" s="155" t="s">
        <v>1406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6"/>
      <c r="AH1" s="155" t="s">
        <v>1407</v>
      </c>
      <c r="AI1" s="155"/>
      <c r="AJ1" s="155"/>
      <c r="AK1" s="155"/>
      <c r="AL1" s="155"/>
      <c r="AM1" s="155"/>
      <c r="AN1" s="155"/>
      <c r="AO1" s="155"/>
      <c r="AP1" s="155"/>
      <c r="AQ1" s="155"/>
      <c r="AR1" s="155"/>
    </row>
    <row r="2" spans="2:44" ht="12" customHeight="1" x14ac:dyDescent="0.3">
      <c r="L2" s="157" t="s">
        <v>611</v>
      </c>
      <c r="M2" s="157"/>
      <c r="N2" s="157"/>
      <c r="O2" s="157"/>
      <c r="P2" s="157"/>
      <c r="Q2" s="157"/>
      <c r="R2" s="157"/>
      <c r="S2" s="158"/>
      <c r="T2" s="157" t="s">
        <v>620</v>
      </c>
      <c r="U2" s="157"/>
      <c r="V2" s="157"/>
      <c r="W2" s="157"/>
      <c r="X2" s="157"/>
      <c r="Y2" s="157"/>
      <c r="Z2" s="158"/>
      <c r="AA2" s="116" t="s">
        <v>628</v>
      </c>
      <c r="AB2" s="157" t="s">
        <v>25</v>
      </c>
      <c r="AC2" s="158"/>
      <c r="AD2" s="157" t="s">
        <v>1405</v>
      </c>
      <c r="AE2" s="157"/>
      <c r="AF2" s="157"/>
      <c r="AG2" s="158"/>
      <c r="AH2" s="157" t="s">
        <v>611</v>
      </c>
      <c r="AI2" s="157"/>
      <c r="AJ2" s="157"/>
      <c r="AK2" s="157"/>
      <c r="AL2" s="158"/>
      <c r="AM2" s="116" t="s">
        <v>642</v>
      </c>
      <c r="AN2" s="157" t="s">
        <v>620</v>
      </c>
      <c r="AO2" s="157"/>
      <c r="AP2" s="157"/>
      <c r="AQ2" s="158"/>
      <c r="AR2" s="115" t="s">
        <v>1405</v>
      </c>
    </row>
    <row r="3" spans="2:44" ht="12" customHeight="1" x14ac:dyDescent="0.3">
      <c r="B3" s="106" t="s">
        <v>66</v>
      </c>
      <c r="C3" s="107" t="s">
        <v>67</v>
      </c>
      <c r="D3" s="107" t="s">
        <v>68</v>
      </c>
      <c r="E3" s="107" t="s">
        <v>69</v>
      </c>
      <c r="F3" s="107" t="s">
        <v>70</v>
      </c>
      <c r="G3" s="107" t="s">
        <v>72</v>
      </c>
      <c r="H3" s="107" t="s">
        <v>73</v>
      </c>
      <c r="I3" s="107" t="s">
        <v>859</v>
      </c>
      <c r="J3" s="107" t="s">
        <v>1369</v>
      </c>
      <c r="K3" s="107" t="s">
        <v>1370</v>
      </c>
      <c r="L3" s="107" t="s">
        <v>1371</v>
      </c>
      <c r="M3" s="107" t="s">
        <v>1372</v>
      </c>
      <c r="N3" s="107" t="s">
        <v>1373</v>
      </c>
      <c r="O3" s="107" t="s">
        <v>1374</v>
      </c>
      <c r="P3" s="107" t="s">
        <v>1375</v>
      </c>
      <c r="Q3" s="107" t="s">
        <v>1376</v>
      </c>
      <c r="R3" s="107" t="s">
        <v>1377</v>
      </c>
      <c r="S3" s="107" t="s">
        <v>1378</v>
      </c>
      <c r="T3" s="107" t="s">
        <v>1379</v>
      </c>
      <c r="U3" s="107" t="s">
        <v>1380</v>
      </c>
      <c r="V3" s="107" t="s">
        <v>1381</v>
      </c>
      <c r="W3" s="107" t="s">
        <v>1382</v>
      </c>
      <c r="X3" s="107" t="s">
        <v>1383</v>
      </c>
      <c r="Y3" s="107" t="s">
        <v>1384</v>
      </c>
      <c r="Z3" s="107" t="s">
        <v>1385</v>
      </c>
      <c r="AA3" s="107" t="s">
        <v>1386</v>
      </c>
      <c r="AB3" s="107" t="s">
        <v>1387</v>
      </c>
      <c r="AC3" s="107" t="s">
        <v>1388</v>
      </c>
      <c r="AD3" s="107" t="s">
        <v>1389</v>
      </c>
      <c r="AE3" s="107" t="s">
        <v>1390</v>
      </c>
      <c r="AF3" s="107" t="s">
        <v>1391</v>
      </c>
      <c r="AG3" s="107" t="s">
        <v>1392</v>
      </c>
      <c r="AH3" s="107" t="s">
        <v>1393</v>
      </c>
      <c r="AI3" s="107" t="s">
        <v>1394</v>
      </c>
      <c r="AJ3" s="107" t="s">
        <v>1395</v>
      </c>
      <c r="AK3" s="107" t="s">
        <v>1396</v>
      </c>
      <c r="AL3" s="107" t="s">
        <v>1397</v>
      </c>
      <c r="AM3" s="107" t="s">
        <v>1398</v>
      </c>
      <c r="AN3" s="107" t="s">
        <v>1399</v>
      </c>
      <c r="AO3" s="107" t="s">
        <v>1400</v>
      </c>
      <c r="AP3" s="107" t="s">
        <v>1401</v>
      </c>
      <c r="AQ3" s="107" t="s">
        <v>1402</v>
      </c>
      <c r="AR3" s="108" t="s">
        <v>1403</v>
      </c>
    </row>
    <row r="4" spans="2:44" ht="12" customHeight="1" x14ac:dyDescent="0.3">
      <c r="B4" s="109" t="s">
        <v>39</v>
      </c>
      <c r="C4" s="110" t="s">
        <v>83</v>
      </c>
      <c r="D4" s="110" t="s">
        <v>25</v>
      </c>
      <c r="E4" s="110" t="s">
        <v>25</v>
      </c>
      <c r="F4" s="110" t="s">
        <v>87</v>
      </c>
      <c r="G4" s="110" t="s">
        <v>34</v>
      </c>
      <c r="H4" s="110" t="s">
        <v>76</v>
      </c>
      <c r="I4" s="110" t="s">
        <v>25</v>
      </c>
      <c r="J4" s="110">
        <v>14.12</v>
      </c>
      <c r="K4" s="110">
        <v>0</v>
      </c>
      <c r="L4" s="110">
        <v>0</v>
      </c>
      <c r="M4" s="110">
        <v>0.94464157591227105</v>
      </c>
      <c r="N4" s="110">
        <v>0.36114378877843001</v>
      </c>
      <c r="O4" s="110">
        <v>0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0</v>
      </c>
      <c r="AC4" s="110">
        <v>0</v>
      </c>
      <c r="AD4" s="110">
        <v>11.5370303916018</v>
      </c>
      <c r="AE4" s="110">
        <v>0.11799169347642401</v>
      </c>
      <c r="AF4" s="110">
        <v>0.86018788470121699</v>
      </c>
      <c r="AG4" s="110">
        <v>0.29705719837498901</v>
      </c>
      <c r="AH4" s="110">
        <v>0</v>
      </c>
      <c r="AI4" s="110">
        <v>0</v>
      </c>
      <c r="AJ4" s="110">
        <v>0</v>
      </c>
      <c r="AK4" s="110">
        <v>0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  <c r="AQ4" s="110">
        <v>0</v>
      </c>
      <c r="AR4" s="111">
        <v>0</v>
      </c>
    </row>
    <row r="5" spans="2:44" ht="12" customHeight="1" x14ac:dyDescent="0.3">
      <c r="B5" s="109" t="s">
        <v>39</v>
      </c>
      <c r="C5" s="110" t="s">
        <v>83</v>
      </c>
      <c r="D5" s="110" t="s">
        <v>25</v>
      </c>
      <c r="E5" s="110" t="s">
        <v>25</v>
      </c>
      <c r="F5" s="110" t="s">
        <v>87</v>
      </c>
      <c r="G5" s="110" t="s">
        <v>34</v>
      </c>
      <c r="H5" s="110" t="s">
        <v>84</v>
      </c>
      <c r="I5" s="110" t="s">
        <v>25</v>
      </c>
      <c r="J5" s="110">
        <v>86.81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0</v>
      </c>
      <c r="U5" s="110">
        <v>0</v>
      </c>
      <c r="V5" s="110">
        <v>0</v>
      </c>
      <c r="W5" s="110">
        <v>0</v>
      </c>
      <c r="X5" s="110">
        <v>40.116571164149398</v>
      </c>
      <c r="Y5" s="110">
        <v>0</v>
      </c>
      <c r="Z5" s="110">
        <v>0</v>
      </c>
      <c r="AA5" s="110">
        <v>46.696284888094297</v>
      </c>
      <c r="AB5" s="110">
        <v>0</v>
      </c>
      <c r="AC5" s="110">
        <v>0</v>
      </c>
      <c r="AD5" s="110">
        <v>0</v>
      </c>
      <c r="AE5" s="110">
        <v>0</v>
      </c>
      <c r="AF5" s="110">
        <v>0</v>
      </c>
      <c r="AG5" s="110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1">
        <v>0</v>
      </c>
    </row>
    <row r="6" spans="2:44" ht="12" customHeight="1" x14ac:dyDescent="0.3">
      <c r="B6" s="109" t="s">
        <v>39</v>
      </c>
      <c r="C6" s="110" t="s">
        <v>83</v>
      </c>
      <c r="D6" s="110" t="s">
        <v>25</v>
      </c>
      <c r="E6" s="110" t="s">
        <v>25</v>
      </c>
      <c r="F6" s="110" t="s">
        <v>87</v>
      </c>
      <c r="G6" s="110" t="s">
        <v>35</v>
      </c>
      <c r="H6" s="110" t="s">
        <v>76</v>
      </c>
      <c r="I6" s="110" t="s">
        <v>25</v>
      </c>
      <c r="J6" s="110">
        <v>14.12</v>
      </c>
      <c r="K6" s="110">
        <v>0</v>
      </c>
      <c r="L6" s="110">
        <v>0</v>
      </c>
      <c r="M6" s="110">
        <v>0.94464157591227105</v>
      </c>
      <c r="N6" s="110">
        <v>0.36114378877843001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0</v>
      </c>
      <c r="AC6" s="110">
        <v>0</v>
      </c>
      <c r="AD6" s="110">
        <v>11.5370303916018</v>
      </c>
      <c r="AE6" s="110">
        <v>0.11799169347642401</v>
      </c>
      <c r="AF6" s="110">
        <v>0.86018788470121699</v>
      </c>
      <c r="AG6" s="110">
        <v>0.29705719837498901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0">
        <v>0</v>
      </c>
      <c r="AR6" s="111">
        <v>0</v>
      </c>
    </row>
    <row r="7" spans="2:44" ht="12" customHeight="1" x14ac:dyDescent="0.3">
      <c r="B7" s="109" t="s">
        <v>39</v>
      </c>
      <c r="C7" s="110" t="s">
        <v>83</v>
      </c>
      <c r="D7" s="110" t="s">
        <v>25</v>
      </c>
      <c r="E7" s="110" t="s">
        <v>25</v>
      </c>
      <c r="F7" s="110" t="s">
        <v>87</v>
      </c>
      <c r="G7" s="110" t="s">
        <v>35</v>
      </c>
      <c r="H7" s="110" t="s">
        <v>84</v>
      </c>
      <c r="I7" s="110" t="s">
        <v>25</v>
      </c>
      <c r="J7" s="110">
        <v>46.68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</v>
      </c>
      <c r="U7" s="110">
        <v>0</v>
      </c>
      <c r="V7" s="110">
        <v>0</v>
      </c>
      <c r="W7" s="110">
        <v>0</v>
      </c>
      <c r="X7" s="110">
        <v>23.333883682947299</v>
      </c>
      <c r="Y7" s="110">
        <v>0</v>
      </c>
      <c r="Z7" s="110">
        <v>0</v>
      </c>
      <c r="AA7" s="110">
        <v>23.348196703314301</v>
      </c>
      <c r="AB7" s="110">
        <v>0</v>
      </c>
      <c r="AC7" s="110">
        <v>0</v>
      </c>
      <c r="AD7" s="110">
        <v>0</v>
      </c>
      <c r="AE7" s="110">
        <v>0</v>
      </c>
      <c r="AF7" s="110">
        <v>0</v>
      </c>
      <c r="AG7" s="110">
        <v>0</v>
      </c>
      <c r="AH7" s="110">
        <v>0</v>
      </c>
      <c r="AI7" s="110">
        <v>0</v>
      </c>
      <c r="AJ7" s="110">
        <v>0</v>
      </c>
      <c r="AK7" s="110">
        <v>0</v>
      </c>
      <c r="AL7" s="110">
        <v>0</v>
      </c>
      <c r="AM7" s="110">
        <v>0</v>
      </c>
      <c r="AN7" s="110">
        <v>0</v>
      </c>
      <c r="AO7" s="110">
        <v>0</v>
      </c>
      <c r="AP7" s="110">
        <v>0</v>
      </c>
      <c r="AQ7" s="110">
        <v>0</v>
      </c>
      <c r="AR7" s="111">
        <v>0</v>
      </c>
    </row>
    <row r="8" spans="2:44" ht="12" customHeight="1" x14ac:dyDescent="0.3">
      <c r="B8" s="109" t="s">
        <v>39</v>
      </c>
      <c r="C8" s="110" t="s">
        <v>83</v>
      </c>
      <c r="D8" s="110" t="s">
        <v>25</v>
      </c>
      <c r="E8" s="110" t="s">
        <v>25</v>
      </c>
      <c r="F8" s="110" t="s">
        <v>25</v>
      </c>
      <c r="G8" s="110" t="s">
        <v>34</v>
      </c>
      <c r="H8" s="110" t="s">
        <v>76</v>
      </c>
      <c r="I8" s="110" t="s">
        <v>25</v>
      </c>
      <c r="J8" s="110">
        <v>106.45</v>
      </c>
      <c r="K8" s="110">
        <v>367.02</v>
      </c>
      <c r="L8" s="110">
        <v>2.84833027539378</v>
      </c>
      <c r="M8" s="110">
        <v>0.94464157591227105</v>
      </c>
      <c r="N8" s="110">
        <v>0.37114759905983402</v>
      </c>
      <c r="O8" s="110">
        <v>0</v>
      </c>
      <c r="P8" s="110">
        <v>0</v>
      </c>
      <c r="Q8" s="110">
        <v>75.291278713556196</v>
      </c>
      <c r="R8" s="110">
        <v>14.1872829967858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11.5370303916018</v>
      </c>
      <c r="AE8" s="110">
        <v>0.11799169347642401</v>
      </c>
      <c r="AF8" s="110">
        <v>0.86018788470121699</v>
      </c>
      <c r="AG8" s="110">
        <v>0.29705719837498901</v>
      </c>
      <c r="AH8" s="110">
        <v>10.8543530516692</v>
      </c>
      <c r="AI8" s="110">
        <v>-15.232437747347801</v>
      </c>
      <c r="AJ8" s="110">
        <v>2.3046379843881302</v>
      </c>
      <c r="AK8" s="110">
        <v>23.500348253699698</v>
      </c>
      <c r="AL8" s="110">
        <v>0</v>
      </c>
      <c r="AM8" s="110">
        <v>334.572046468959</v>
      </c>
      <c r="AN8" s="110">
        <v>5.2955390776130402</v>
      </c>
      <c r="AO8" s="110">
        <v>3.7066193770226401</v>
      </c>
      <c r="AP8" s="110">
        <v>0</v>
      </c>
      <c r="AQ8" s="110">
        <v>0</v>
      </c>
      <c r="AR8" s="111">
        <v>2.0149861510394702</v>
      </c>
    </row>
    <row r="9" spans="2:44" ht="12" customHeight="1" x14ac:dyDescent="0.3">
      <c r="B9" s="109" t="s">
        <v>39</v>
      </c>
      <c r="C9" s="110" t="s">
        <v>83</v>
      </c>
      <c r="D9" s="110" t="s">
        <v>25</v>
      </c>
      <c r="E9" s="110" t="s">
        <v>25</v>
      </c>
      <c r="F9" s="110" t="s">
        <v>25</v>
      </c>
      <c r="G9" s="110" t="s">
        <v>34</v>
      </c>
      <c r="H9" s="110" t="s">
        <v>84</v>
      </c>
      <c r="I9" s="110" t="s">
        <v>25</v>
      </c>
      <c r="J9" s="110">
        <v>86.81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0</v>
      </c>
      <c r="U9" s="110">
        <v>0</v>
      </c>
      <c r="V9" s="110">
        <v>0</v>
      </c>
      <c r="W9" s="110">
        <v>0</v>
      </c>
      <c r="X9" s="110">
        <v>40.116571164149398</v>
      </c>
      <c r="Y9" s="110">
        <v>0</v>
      </c>
      <c r="Z9" s="110">
        <v>0</v>
      </c>
      <c r="AA9" s="110">
        <v>46.696284888094297</v>
      </c>
      <c r="AB9" s="110">
        <v>0</v>
      </c>
      <c r="AC9" s="110">
        <v>0</v>
      </c>
      <c r="AD9" s="110">
        <v>0</v>
      </c>
      <c r="AE9" s="110">
        <v>0</v>
      </c>
      <c r="AF9" s="110">
        <v>0</v>
      </c>
      <c r="AG9" s="110">
        <v>0</v>
      </c>
      <c r="AH9" s="110">
        <v>0</v>
      </c>
      <c r="AI9" s="110">
        <v>0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1">
        <v>0</v>
      </c>
    </row>
    <row r="10" spans="2:44" ht="12" customHeight="1" x14ac:dyDescent="0.3">
      <c r="B10" s="109" t="s">
        <v>39</v>
      </c>
      <c r="C10" s="110" t="s">
        <v>83</v>
      </c>
      <c r="D10" s="110" t="s">
        <v>25</v>
      </c>
      <c r="E10" s="110" t="s">
        <v>25</v>
      </c>
      <c r="F10" s="110" t="s">
        <v>25</v>
      </c>
      <c r="G10" s="110" t="s">
        <v>35</v>
      </c>
      <c r="H10" s="110" t="s">
        <v>76</v>
      </c>
      <c r="I10" s="110" t="s">
        <v>25</v>
      </c>
      <c r="J10" s="110">
        <v>106.45</v>
      </c>
      <c r="K10" s="110">
        <v>226.96</v>
      </c>
      <c r="L10" s="110">
        <v>2.84833027539378</v>
      </c>
      <c r="M10" s="110">
        <v>0.94464157591227105</v>
      </c>
      <c r="N10" s="110">
        <v>0.37114759905983402</v>
      </c>
      <c r="O10" s="110">
        <v>0</v>
      </c>
      <c r="P10" s="110">
        <v>0</v>
      </c>
      <c r="Q10" s="110">
        <v>75.291278713556196</v>
      </c>
      <c r="R10" s="110">
        <v>14.1872829967858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11.5370303916018</v>
      </c>
      <c r="AE10" s="110">
        <v>0.11799169347642401</v>
      </c>
      <c r="AF10" s="110">
        <v>0.86018788470121699</v>
      </c>
      <c r="AG10" s="110">
        <v>0.29705719837498901</v>
      </c>
      <c r="AH10" s="110">
        <v>10.8543530516692</v>
      </c>
      <c r="AI10" s="110">
        <v>-15.232437747347801</v>
      </c>
      <c r="AJ10" s="110">
        <v>2.3046379843881302</v>
      </c>
      <c r="AK10" s="110">
        <v>23.500348253699698</v>
      </c>
      <c r="AL10" s="110">
        <v>0</v>
      </c>
      <c r="AM10" s="110">
        <v>194.51863166799899</v>
      </c>
      <c r="AN10" s="110">
        <v>5.2955390776130402</v>
      </c>
      <c r="AO10" s="110">
        <v>3.7066193770226401</v>
      </c>
      <c r="AP10" s="110">
        <v>0</v>
      </c>
      <c r="AQ10" s="110">
        <v>0</v>
      </c>
      <c r="AR10" s="111">
        <v>2.0149861510394702</v>
      </c>
    </row>
    <row r="11" spans="2:44" ht="12" customHeight="1" x14ac:dyDescent="0.3">
      <c r="B11" s="109" t="s">
        <v>39</v>
      </c>
      <c r="C11" s="110" t="s">
        <v>83</v>
      </c>
      <c r="D11" s="110" t="s">
        <v>25</v>
      </c>
      <c r="E11" s="110" t="s">
        <v>25</v>
      </c>
      <c r="F11" s="110" t="s">
        <v>25</v>
      </c>
      <c r="G11" s="110" t="s">
        <v>35</v>
      </c>
      <c r="H11" s="110" t="s">
        <v>84</v>
      </c>
      <c r="I11" s="110" t="s">
        <v>25</v>
      </c>
      <c r="J11" s="110">
        <v>46.68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23.333883682947299</v>
      </c>
      <c r="Y11" s="110">
        <v>0</v>
      </c>
      <c r="Z11" s="110">
        <v>0</v>
      </c>
      <c r="AA11" s="110">
        <v>23.348196703314301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  <c r="AH11" s="110">
        <v>0</v>
      </c>
      <c r="AI11" s="110">
        <v>0</v>
      </c>
      <c r="AJ11" s="110">
        <v>0</v>
      </c>
      <c r="AK11" s="110">
        <v>0</v>
      </c>
      <c r="AL11" s="110">
        <v>0</v>
      </c>
      <c r="AM11" s="110">
        <v>0</v>
      </c>
      <c r="AN11" s="110">
        <v>0</v>
      </c>
      <c r="AO11" s="110">
        <v>0</v>
      </c>
      <c r="AP11" s="110">
        <v>0</v>
      </c>
      <c r="AQ11" s="110">
        <v>0</v>
      </c>
      <c r="AR11" s="111">
        <v>0</v>
      </c>
    </row>
    <row r="12" spans="2:44" ht="12" customHeight="1" x14ac:dyDescent="0.3">
      <c r="B12" s="109" t="s">
        <v>39</v>
      </c>
      <c r="C12" s="110" t="s">
        <v>23</v>
      </c>
      <c r="D12" s="110" t="s">
        <v>25</v>
      </c>
      <c r="E12" s="110" t="s">
        <v>25</v>
      </c>
      <c r="F12" s="110" t="s">
        <v>25</v>
      </c>
      <c r="G12" s="110" t="s">
        <v>25</v>
      </c>
      <c r="H12" s="110" t="s">
        <v>76</v>
      </c>
      <c r="I12" s="110" t="s">
        <v>25</v>
      </c>
      <c r="J12" s="110">
        <v>0</v>
      </c>
      <c r="K12" s="110">
        <v>238.63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0</v>
      </c>
      <c r="Y12" s="110">
        <v>0</v>
      </c>
      <c r="Z12" s="110">
        <v>0</v>
      </c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0">
        <v>10.8543530516692</v>
      </c>
      <c r="AI12" s="110">
        <v>-15.232437747347801</v>
      </c>
      <c r="AJ12" s="110">
        <v>2.3046379843881302</v>
      </c>
      <c r="AK12" s="110">
        <v>23.500348253699698</v>
      </c>
      <c r="AL12" s="110">
        <v>0</v>
      </c>
      <c r="AM12" s="110">
        <v>206.18974956807901</v>
      </c>
      <c r="AN12" s="110">
        <v>5.2955390776130402</v>
      </c>
      <c r="AO12" s="110">
        <v>3.7066193770226401</v>
      </c>
      <c r="AP12" s="110">
        <v>0</v>
      </c>
      <c r="AQ12" s="110">
        <v>0</v>
      </c>
      <c r="AR12" s="111">
        <v>2.0149861510394702</v>
      </c>
    </row>
    <row r="13" spans="2:44" ht="12" customHeight="1" x14ac:dyDescent="0.3">
      <c r="B13" s="109" t="s">
        <v>39</v>
      </c>
      <c r="C13" s="110" t="s">
        <v>56</v>
      </c>
      <c r="D13" s="110" t="s">
        <v>25</v>
      </c>
      <c r="E13" s="110" t="s">
        <v>25</v>
      </c>
      <c r="F13" s="110" t="s">
        <v>25</v>
      </c>
      <c r="G13" s="110" t="s">
        <v>34</v>
      </c>
      <c r="H13" s="110" t="s">
        <v>84</v>
      </c>
      <c r="I13" s="110" t="s">
        <v>58</v>
      </c>
      <c r="J13" s="110">
        <v>48.36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40.116571164149398</v>
      </c>
      <c r="Y13" s="110">
        <v>0</v>
      </c>
      <c r="Z13" s="110">
        <v>0</v>
      </c>
      <c r="AA13" s="110">
        <v>8.2480597090089098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0">
        <v>0</v>
      </c>
      <c r="AH13" s="110">
        <v>0</v>
      </c>
      <c r="AI13" s="110">
        <v>0</v>
      </c>
      <c r="AJ13" s="110">
        <v>0</v>
      </c>
      <c r="AK13" s="110">
        <v>0</v>
      </c>
      <c r="AL13" s="110">
        <v>0</v>
      </c>
      <c r="AM13" s="110">
        <v>0</v>
      </c>
      <c r="AN13" s="110">
        <v>0</v>
      </c>
      <c r="AO13" s="110">
        <v>0</v>
      </c>
      <c r="AP13" s="110">
        <v>0</v>
      </c>
      <c r="AQ13" s="110">
        <v>0</v>
      </c>
      <c r="AR13" s="111">
        <v>0</v>
      </c>
    </row>
    <row r="14" spans="2:44" ht="12" customHeight="1" x14ac:dyDescent="0.3">
      <c r="B14" s="109" t="s">
        <v>39</v>
      </c>
      <c r="C14" s="110" t="s">
        <v>56</v>
      </c>
      <c r="D14" s="110" t="s">
        <v>25</v>
      </c>
      <c r="E14" s="110" t="s">
        <v>25</v>
      </c>
      <c r="F14" s="110" t="s">
        <v>25</v>
      </c>
      <c r="G14" s="110" t="s">
        <v>25</v>
      </c>
      <c r="H14" s="110" t="s">
        <v>76</v>
      </c>
      <c r="I14" s="110" t="s">
        <v>58</v>
      </c>
      <c r="J14" s="110">
        <v>11.66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110">
        <v>0</v>
      </c>
      <c r="AA14" s="110">
        <v>0</v>
      </c>
      <c r="AB14" s="110">
        <v>0</v>
      </c>
      <c r="AC14" s="110">
        <v>0</v>
      </c>
      <c r="AD14" s="110">
        <v>11.5370303916018</v>
      </c>
      <c r="AE14" s="110">
        <v>0.11799169347642401</v>
      </c>
      <c r="AF14" s="110">
        <v>0</v>
      </c>
      <c r="AG14" s="110">
        <v>0</v>
      </c>
      <c r="AH14" s="110">
        <v>0</v>
      </c>
      <c r="AI14" s="110">
        <v>0</v>
      </c>
      <c r="AJ14" s="110">
        <v>0</v>
      </c>
      <c r="AK14" s="110">
        <v>0</v>
      </c>
      <c r="AL14" s="110">
        <v>0</v>
      </c>
      <c r="AM14" s="110">
        <v>0</v>
      </c>
      <c r="AN14" s="110">
        <v>0</v>
      </c>
      <c r="AO14" s="110">
        <v>0</v>
      </c>
      <c r="AP14" s="110">
        <v>0</v>
      </c>
      <c r="AQ14" s="110">
        <v>0</v>
      </c>
      <c r="AR14" s="111">
        <v>0</v>
      </c>
    </row>
    <row r="15" spans="2:44" ht="12" customHeight="1" x14ac:dyDescent="0.3">
      <c r="B15" s="109" t="s">
        <v>39</v>
      </c>
      <c r="C15" s="110" t="s">
        <v>56</v>
      </c>
      <c r="D15" s="110" t="s">
        <v>25</v>
      </c>
      <c r="E15" s="110" t="s">
        <v>25</v>
      </c>
      <c r="F15" s="110" t="s">
        <v>25</v>
      </c>
      <c r="G15" s="110" t="s">
        <v>35</v>
      </c>
      <c r="H15" s="110" t="s">
        <v>84</v>
      </c>
      <c r="I15" s="110" t="s">
        <v>58</v>
      </c>
      <c r="J15" s="110">
        <v>27.46</v>
      </c>
      <c r="K15" s="110">
        <v>0</v>
      </c>
      <c r="L15" s="110">
        <v>0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0">
        <v>0</v>
      </c>
      <c r="X15" s="110">
        <v>23.333883682947299</v>
      </c>
      <c r="Y15" s="110">
        <v>0</v>
      </c>
      <c r="Z15" s="110">
        <v>0</v>
      </c>
      <c r="AA15" s="110">
        <v>4.1240298545044602</v>
      </c>
      <c r="AB15" s="110">
        <v>0</v>
      </c>
      <c r="AC15" s="110">
        <v>0</v>
      </c>
      <c r="AD15" s="110">
        <v>0</v>
      </c>
      <c r="AE15" s="110">
        <v>0</v>
      </c>
      <c r="AF15" s="110">
        <v>0</v>
      </c>
      <c r="AG15" s="110">
        <v>0</v>
      </c>
      <c r="AH15" s="110">
        <v>0</v>
      </c>
      <c r="AI15" s="110">
        <v>0</v>
      </c>
      <c r="AJ15" s="110">
        <v>0</v>
      </c>
      <c r="AK15" s="110">
        <v>0</v>
      </c>
      <c r="AL15" s="110">
        <v>0</v>
      </c>
      <c r="AM15" s="110">
        <v>0</v>
      </c>
      <c r="AN15" s="110">
        <v>0</v>
      </c>
      <c r="AO15" s="110">
        <v>0</v>
      </c>
      <c r="AP15" s="110">
        <v>0</v>
      </c>
      <c r="AQ15" s="110">
        <v>0</v>
      </c>
      <c r="AR15" s="111">
        <v>0</v>
      </c>
    </row>
    <row r="16" spans="2:44" ht="12" customHeight="1" x14ac:dyDescent="0.3">
      <c r="B16" s="109" t="s">
        <v>39</v>
      </c>
      <c r="C16" s="110" t="s">
        <v>88</v>
      </c>
      <c r="D16" s="110" t="s">
        <v>25</v>
      </c>
      <c r="E16" s="110" t="s">
        <v>25</v>
      </c>
      <c r="F16" s="110" t="s">
        <v>25</v>
      </c>
      <c r="G16" s="110" t="s">
        <v>25</v>
      </c>
      <c r="H16" s="110" t="s">
        <v>84</v>
      </c>
      <c r="I16" s="110" t="s">
        <v>25</v>
      </c>
      <c r="J16" s="110">
        <v>21.42</v>
      </c>
      <c r="K16" s="110">
        <v>0</v>
      </c>
      <c r="L16" s="110">
        <v>0</v>
      </c>
      <c r="M16" s="110">
        <v>7.9939031141002606E-2</v>
      </c>
      <c r="N16" s="110">
        <v>0.195674529104267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21.1464641633032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  <c r="AG16" s="110">
        <v>0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0">
        <v>0</v>
      </c>
      <c r="AR16" s="111">
        <v>0</v>
      </c>
    </row>
    <row r="17" spans="2:44" ht="12" customHeight="1" x14ac:dyDescent="0.3">
      <c r="B17" s="109" t="s">
        <v>39</v>
      </c>
      <c r="C17" s="110" t="s">
        <v>40</v>
      </c>
      <c r="D17" s="110" t="s">
        <v>25</v>
      </c>
      <c r="E17" s="110" t="s">
        <v>25</v>
      </c>
      <c r="F17" s="110" t="s">
        <v>87</v>
      </c>
      <c r="G17" s="110" t="s">
        <v>34</v>
      </c>
      <c r="H17" s="110" t="s">
        <v>76</v>
      </c>
      <c r="I17" s="110" t="s">
        <v>25</v>
      </c>
      <c r="J17" s="110">
        <v>2121.16</v>
      </c>
      <c r="K17" s="110">
        <v>0</v>
      </c>
      <c r="L17" s="110">
        <v>0</v>
      </c>
      <c r="M17" s="110">
        <v>0.94464157591227105</v>
      </c>
      <c r="N17" s="110">
        <v>19.547744639124801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964.80371131290201</v>
      </c>
      <c r="Y17" s="110">
        <v>0</v>
      </c>
      <c r="Z17" s="110">
        <v>0</v>
      </c>
      <c r="AA17" s="110">
        <v>1123.0475669108</v>
      </c>
      <c r="AB17" s="110">
        <v>0</v>
      </c>
      <c r="AC17" s="110">
        <v>0</v>
      </c>
      <c r="AD17" s="110">
        <v>11.5370303916018</v>
      </c>
      <c r="AE17" s="110">
        <v>0.11799169347642401</v>
      </c>
      <c r="AF17" s="110">
        <v>0.86018788470121699</v>
      </c>
      <c r="AG17" s="110">
        <v>0.29705719837498901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0</v>
      </c>
      <c r="AO17" s="110">
        <v>0</v>
      </c>
      <c r="AP17" s="110">
        <v>0</v>
      </c>
      <c r="AQ17" s="110">
        <v>0</v>
      </c>
      <c r="AR17" s="111">
        <v>0</v>
      </c>
    </row>
    <row r="18" spans="2:44" ht="12" customHeight="1" x14ac:dyDescent="0.3">
      <c r="B18" s="109" t="s">
        <v>39</v>
      </c>
      <c r="C18" s="110" t="s">
        <v>40</v>
      </c>
      <c r="D18" s="110" t="s">
        <v>25</v>
      </c>
      <c r="E18" s="110" t="s">
        <v>25</v>
      </c>
      <c r="F18" s="110" t="s">
        <v>87</v>
      </c>
      <c r="G18" s="110" t="s">
        <v>25</v>
      </c>
      <c r="H18" s="110" t="s">
        <v>84</v>
      </c>
      <c r="I18" s="110" t="s">
        <v>25</v>
      </c>
      <c r="J18" s="110">
        <v>46.68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23.333883682947299</v>
      </c>
      <c r="Y18" s="110">
        <v>0</v>
      </c>
      <c r="Z18" s="110">
        <v>0</v>
      </c>
      <c r="AA18" s="110">
        <v>23.348196703314301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0">
        <v>0</v>
      </c>
      <c r="AR18" s="111">
        <v>0</v>
      </c>
    </row>
    <row r="19" spans="2:44" ht="12" customHeight="1" x14ac:dyDescent="0.3">
      <c r="B19" s="109" t="s">
        <v>39</v>
      </c>
      <c r="C19" s="110" t="s">
        <v>40</v>
      </c>
      <c r="D19" s="110" t="s">
        <v>25</v>
      </c>
      <c r="E19" s="110" t="s">
        <v>25</v>
      </c>
      <c r="F19" s="110" t="s">
        <v>87</v>
      </c>
      <c r="G19" s="110" t="s">
        <v>35</v>
      </c>
      <c r="H19" s="110" t="s">
        <v>76</v>
      </c>
      <c r="I19" s="110" t="s">
        <v>25</v>
      </c>
      <c r="J19" s="110">
        <v>14.12</v>
      </c>
      <c r="K19" s="110">
        <v>0</v>
      </c>
      <c r="L19" s="110">
        <v>0</v>
      </c>
      <c r="M19" s="110">
        <v>0.94464157591227105</v>
      </c>
      <c r="N19" s="110">
        <v>0.36114378877843001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11.5370303916018</v>
      </c>
      <c r="AE19" s="110">
        <v>0.11799169347642401</v>
      </c>
      <c r="AF19" s="110">
        <v>0.86018788470121699</v>
      </c>
      <c r="AG19" s="110">
        <v>0.29705719837498901</v>
      </c>
      <c r="AH19" s="110">
        <v>0</v>
      </c>
      <c r="AI19" s="110">
        <v>0</v>
      </c>
      <c r="AJ19" s="110">
        <v>0</v>
      </c>
      <c r="AK19" s="110">
        <v>0</v>
      </c>
      <c r="AL19" s="110">
        <v>0</v>
      </c>
      <c r="AM19" s="110">
        <v>0</v>
      </c>
      <c r="AN19" s="110">
        <v>0</v>
      </c>
      <c r="AO19" s="110">
        <v>0</v>
      </c>
      <c r="AP19" s="110">
        <v>0</v>
      </c>
      <c r="AQ19" s="110">
        <v>0</v>
      </c>
      <c r="AR19" s="111">
        <v>0</v>
      </c>
    </row>
    <row r="20" spans="2:44" ht="12" customHeight="1" x14ac:dyDescent="0.3">
      <c r="B20" s="109" t="s">
        <v>39</v>
      </c>
      <c r="C20" s="110" t="s">
        <v>40</v>
      </c>
      <c r="D20" s="110" t="s">
        <v>25</v>
      </c>
      <c r="E20" s="110" t="s">
        <v>25</v>
      </c>
      <c r="F20" s="110" t="s">
        <v>25</v>
      </c>
      <c r="G20" s="110" t="s">
        <v>34</v>
      </c>
      <c r="H20" s="110" t="s">
        <v>76</v>
      </c>
      <c r="I20" s="110" t="s">
        <v>25</v>
      </c>
      <c r="J20" s="110">
        <v>2213.4899999999998</v>
      </c>
      <c r="K20" s="110">
        <v>367.02</v>
      </c>
      <c r="L20" s="110">
        <v>2.84833027539378</v>
      </c>
      <c r="M20" s="110">
        <v>0.94464157591227105</v>
      </c>
      <c r="N20" s="110">
        <v>19.557748449406201</v>
      </c>
      <c r="O20" s="110">
        <v>0</v>
      </c>
      <c r="P20" s="110">
        <v>0</v>
      </c>
      <c r="Q20" s="110">
        <v>75.291278713556196</v>
      </c>
      <c r="R20" s="110">
        <v>14.1872829967858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964.80371131290201</v>
      </c>
      <c r="Y20" s="110">
        <v>0</v>
      </c>
      <c r="Z20" s="110">
        <v>0</v>
      </c>
      <c r="AA20" s="110">
        <v>1123.0475669108</v>
      </c>
      <c r="AB20" s="110">
        <v>0</v>
      </c>
      <c r="AC20" s="110">
        <v>0</v>
      </c>
      <c r="AD20" s="110">
        <v>11.5370303916018</v>
      </c>
      <c r="AE20" s="110">
        <v>0.11799169347642401</v>
      </c>
      <c r="AF20" s="110">
        <v>0.86018788470121699</v>
      </c>
      <c r="AG20" s="110">
        <v>0.29705719837498901</v>
      </c>
      <c r="AH20" s="110">
        <v>10.8543530516692</v>
      </c>
      <c r="AI20" s="110">
        <v>-15.232437747347801</v>
      </c>
      <c r="AJ20" s="110">
        <v>2.3046379843881302</v>
      </c>
      <c r="AK20" s="110">
        <v>23.500348253699698</v>
      </c>
      <c r="AL20" s="110">
        <v>0</v>
      </c>
      <c r="AM20" s="110">
        <v>334.572046468959</v>
      </c>
      <c r="AN20" s="110">
        <v>5.2955390776130402</v>
      </c>
      <c r="AO20" s="110">
        <v>3.7066193770226401</v>
      </c>
      <c r="AP20" s="110">
        <v>0</v>
      </c>
      <c r="AQ20" s="110">
        <v>0</v>
      </c>
      <c r="AR20" s="111">
        <v>2.0149861510394702</v>
      </c>
    </row>
    <row r="21" spans="2:44" ht="12" customHeight="1" x14ac:dyDescent="0.3">
      <c r="B21" s="109" t="s">
        <v>39</v>
      </c>
      <c r="C21" s="110" t="s">
        <v>40</v>
      </c>
      <c r="D21" s="110" t="s">
        <v>25</v>
      </c>
      <c r="E21" s="110" t="s">
        <v>25</v>
      </c>
      <c r="F21" s="110" t="s">
        <v>25</v>
      </c>
      <c r="G21" s="110" t="s">
        <v>25</v>
      </c>
      <c r="H21" s="110" t="s">
        <v>84</v>
      </c>
      <c r="I21" s="110" t="s">
        <v>25</v>
      </c>
      <c r="J21" s="110">
        <v>46.68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0</v>
      </c>
      <c r="U21" s="110">
        <v>0</v>
      </c>
      <c r="V21" s="110">
        <v>0</v>
      </c>
      <c r="W21" s="110">
        <v>0</v>
      </c>
      <c r="X21" s="110">
        <v>23.333883682947299</v>
      </c>
      <c r="Y21" s="110">
        <v>0</v>
      </c>
      <c r="Z21" s="110">
        <v>0</v>
      </c>
      <c r="AA21" s="110">
        <v>23.348196703314301</v>
      </c>
      <c r="AB21" s="110">
        <v>0</v>
      </c>
      <c r="AC21" s="110">
        <v>0</v>
      </c>
      <c r="AD21" s="110">
        <v>0</v>
      </c>
      <c r="AE21" s="110">
        <v>0</v>
      </c>
      <c r="AF21" s="110">
        <v>0</v>
      </c>
      <c r="AG21" s="110">
        <v>0</v>
      </c>
      <c r="AH21" s="110">
        <v>0</v>
      </c>
      <c r="AI21" s="110">
        <v>0</v>
      </c>
      <c r="AJ21" s="110">
        <v>0</v>
      </c>
      <c r="AK21" s="110">
        <v>0</v>
      </c>
      <c r="AL21" s="110">
        <v>0</v>
      </c>
      <c r="AM21" s="110">
        <v>0</v>
      </c>
      <c r="AN21" s="110">
        <v>0</v>
      </c>
      <c r="AO21" s="110">
        <v>0</v>
      </c>
      <c r="AP21" s="110">
        <v>0</v>
      </c>
      <c r="AQ21" s="110">
        <v>0</v>
      </c>
      <c r="AR21" s="111">
        <v>0</v>
      </c>
    </row>
    <row r="22" spans="2:44" ht="12" customHeight="1" x14ac:dyDescent="0.3">
      <c r="B22" s="109" t="s">
        <v>39</v>
      </c>
      <c r="C22" s="110" t="s">
        <v>40</v>
      </c>
      <c r="D22" s="110" t="s">
        <v>25</v>
      </c>
      <c r="E22" s="110" t="s">
        <v>25</v>
      </c>
      <c r="F22" s="110" t="s">
        <v>25</v>
      </c>
      <c r="G22" s="110" t="s">
        <v>35</v>
      </c>
      <c r="H22" s="110" t="s">
        <v>76</v>
      </c>
      <c r="I22" s="110" t="s">
        <v>25</v>
      </c>
      <c r="J22" s="110">
        <v>106.45</v>
      </c>
      <c r="K22" s="110">
        <v>226.96</v>
      </c>
      <c r="L22" s="110">
        <v>2.84833027539378</v>
      </c>
      <c r="M22" s="110">
        <v>0.94464157591227105</v>
      </c>
      <c r="N22" s="110">
        <v>0.37114759905983402</v>
      </c>
      <c r="O22" s="110">
        <v>0</v>
      </c>
      <c r="P22" s="110">
        <v>0</v>
      </c>
      <c r="Q22" s="110">
        <v>75.291278713556196</v>
      </c>
      <c r="R22" s="110">
        <v>14.1872829967858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0</v>
      </c>
      <c r="AD22" s="110">
        <v>11.5370303916018</v>
      </c>
      <c r="AE22" s="110">
        <v>0.11799169347642401</v>
      </c>
      <c r="AF22" s="110">
        <v>0.86018788470121699</v>
      </c>
      <c r="AG22" s="110">
        <v>0.29705719837498901</v>
      </c>
      <c r="AH22" s="110">
        <v>10.8543530516692</v>
      </c>
      <c r="AI22" s="110">
        <v>-15.232437747347801</v>
      </c>
      <c r="AJ22" s="110">
        <v>2.3046379843881302</v>
      </c>
      <c r="AK22" s="110">
        <v>23.500348253699698</v>
      </c>
      <c r="AL22" s="110">
        <v>0</v>
      </c>
      <c r="AM22" s="110">
        <v>194.51863166799899</v>
      </c>
      <c r="AN22" s="110">
        <v>5.2955390776130402</v>
      </c>
      <c r="AO22" s="110">
        <v>3.7066193770226401</v>
      </c>
      <c r="AP22" s="110">
        <v>0</v>
      </c>
      <c r="AQ22" s="110">
        <v>0</v>
      </c>
      <c r="AR22" s="111">
        <v>2.0149861510394702</v>
      </c>
    </row>
    <row r="23" spans="2:44" ht="12" customHeight="1" x14ac:dyDescent="0.3">
      <c r="B23" s="109" t="s">
        <v>90</v>
      </c>
      <c r="C23" s="110" t="s">
        <v>88</v>
      </c>
      <c r="D23" s="110" t="s">
        <v>25</v>
      </c>
      <c r="E23" s="110" t="s">
        <v>25</v>
      </c>
      <c r="F23" s="110" t="s">
        <v>91</v>
      </c>
      <c r="G23" s="110" t="s">
        <v>25</v>
      </c>
      <c r="H23" s="110" t="s">
        <v>84</v>
      </c>
      <c r="I23" s="110" t="s">
        <v>25</v>
      </c>
      <c r="J23" s="110">
        <v>6.29</v>
      </c>
      <c r="K23" s="110">
        <v>0</v>
      </c>
      <c r="L23" s="110">
        <v>0</v>
      </c>
      <c r="M23" s="110">
        <v>2.3499407100500101E-2</v>
      </c>
      <c r="N23" s="110">
        <v>5.7421871015260202E-2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0">
        <v>6.2084538590651901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0">
        <v>0</v>
      </c>
      <c r="AN23" s="110">
        <v>0</v>
      </c>
      <c r="AO23" s="110">
        <v>0</v>
      </c>
      <c r="AP23" s="110">
        <v>0</v>
      </c>
      <c r="AQ23" s="110">
        <v>0</v>
      </c>
      <c r="AR23" s="111">
        <v>0</v>
      </c>
    </row>
    <row r="24" spans="2:44" ht="12" customHeight="1" x14ac:dyDescent="0.3">
      <c r="B24" s="109" t="s">
        <v>90</v>
      </c>
      <c r="C24" s="110" t="s">
        <v>88</v>
      </c>
      <c r="D24" s="110" t="s">
        <v>25</v>
      </c>
      <c r="E24" s="110" t="s">
        <v>25</v>
      </c>
      <c r="F24" s="110" t="s">
        <v>92</v>
      </c>
      <c r="G24" s="110" t="s">
        <v>25</v>
      </c>
      <c r="H24" s="110" t="s">
        <v>84</v>
      </c>
      <c r="I24" s="110" t="s">
        <v>25</v>
      </c>
      <c r="J24" s="110">
        <v>16.12</v>
      </c>
      <c r="K24" s="110">
        <v>0</v>
      </c>
      <c r="L24" s="110">
        <v>0</v>
      </c>
      <c r="M24" s="110">
        <v>2.3499407100500101E-2</v>
      </c>
      <c r="N24" s="110">
        <v>5.7421871015260202E-2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16.0401245373866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0</v>
      </c>
      <c r="AI24" s="110">
        <v>0</v>
      </c>
      <c r="AJ24" s="110">
        <v>0</v>
      </c>
      <c r="AK24" s="110">
        <v>0</v>
      </c>
      <c r="AL24" s="110">
        <v>0</v>
      </c>
      <c r="AM24" s="110">
        <v>0</v>
      </c>
      <c r="AN24" s="110">
        <v>0</v>
      </c>
      <c r="AO24" s="110">
        <v>0</v>
      </c>
      <c r="AP24" s="110">
        <v>0</v>
      </c>
      <c r="AQ24" s="110">
        <v>0</v>
      </c>
      <c r="AR24" s="111">
        <v>0</v>
      </c>
    </row>
    <row r="25" spans="2:44" ht="12" customHeight="1" x14ac:dyDescent="0.3">
      <c r="B25" s="109" t="s">
        <v>22</v>
      </c>
      <c r="C25" s="110" t="s">
        <v>33</v>
      </c>
      <c r="D25" s="110" t="s">
        <v>24</v>
      </c>
      <c r="E25" s="110" t="s">
        <v>24</v>
      </c>
      <c r="F25" s="110" t="s">
        <v>25</v>
      </c>
      <c r="G25" s="110" t="s">
        <v>34</v>
      </c>
      <c r="H25" s="110" t="s">
        <v>76</v>
      </c>
      <c r="I25" s="110" t="s">
        <v>25</v>
      </c>
      <c r="J25" s="110">
        <v>1241.8800000000001</v>
      </c>
      <c r="K25" s="110">
        <v>367.02</v>
      </c>
      <c r="L25" s="110">
        <v>3.3908693754687902</v>
      </c>
      <c r="M25" s="110">
        <v>0.97767197363932501</v>
      </c>
      <c r="N25" s="110">
        <v>10.782130179656701</v>
      </c>
      <c r="O25" s="110">
        <v>0</v>
      </c>
      <c r="P25" s="110">
        <v>0</v>
      </c>
      <c r="Q25" s="110">
        <v>89.632474658995505</v>
      </c>
      <c r="R25" s="110">
        <v>14.1872829967858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461.43824632975202</v>
      </c>
      <c r="Y25" s="110">
        <v>0</v>
      </c>
      <c r="Z25" s="110">
        <v>0</v>
      </c>
      <c r="AA25" s="110">
        <v>637.63776092285298</v>
      </c>
      <c r="AB25" s="110">
        <v>0</v>
      </c>
      <c r="AC25" s="110">
        <v>0</v>
      </c>
      <c r="AD25" s="110">
        <v>22.4636839730201</v>
      </c>
      <c r="AE25" s="110">
        <v>0.229740931914788</v>
      </c>
      <c r="AF25" s="110">
        <v>0.844458782316025</v>
      </c>
      <c r="AG25" s="110">
        <v>0.29162531172487499</v>
      </c>
      <c r="AH25" s="110">
        <v>10.8543530516692</v>
      </c>
      <c r="AI25" s="110">
        <v>-15.232437747347801</v>
      </c>
      <c r="AJ25" s="110">
        <v>2.3046379843881302</v>
      </c>
      <c r="AK25" s="110">
        <v>23.500348253699698</v>
      </c>
      <c r="AL25" s="110">
        <v>0</v>
      </c>
      <c r="AM25" s="110">
        <v>334.572046468959</v>
      </c>
      <c r="AN25" s="110">
        <v>5.2955390776130402</v>
      </c>
      <c r="AO25" s="110">
        <v>3.7066193770226401</v>
      </c>
      <c r="AP25" s="110">
        <v>0</v>
      </c>
      <c r="AQ25" s="110">
        <v>0</v>
      </c>
      <c r="AR25" s="111">
        <v>2.0149861510394702</v>
      </c>
    </row>
    <row r="26" spans="2:44" ht="12" customHeight="1" x14ac:dyDescent="0.3">
      <c r="B26" s="109" t="s">
        <v>22</v>
      </c>
      <c r="C26" s="110" t="s">
        <v>33</v>
      </c>
      <c r="D26" s="110" t="s">
        <v>24</v>
      </c>
      <c r="E26" s="110" t="s">
        <v>24</v>
      </c>
      <c r="F26" s="110" t="s">
        <v>25</v>
      </c>
      <c r="G26" s="110" t="s">
        <v>36</v>
      </c>
      <c r="H26" s="110" t="s">
        <v>76</v>
      </c>
      <c r="I26" s="110" t="s">
        <v>25</v>
      </c>
      <c r="J26" s="110">
        <v>798.2</v>
      </c>
      <c r="K26" s="110">
        <v>226.96</v>
      </c>
      <c r="L26" s="110">
        <v>3.3908693754687902</v>
      </c>
      <c r="M26" s="110">
        <v>0.97767197363932501</v>
      </c>
      <c r="N26" s="110">
        <v>6.7409239528518103</v>
      </c>
      <c r="O26" s="110">
        <v>0</v>
      </c>
      <c r="P26" s="110">
        <v>0</v>
      </c>
      <c r="Q26" s="110">
        <v>89.632474658995505</v>
      </c>
      <c r="R26" s="110">
        <v>14.1872829967858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276.86299150162898</v>
      </c>
      <c r="Y26" s="110">
        <v>0</v>
      </c>
      <c r="Z26" s="110">
        <v>0</v>
      </c>
      <c r="AA26" s="110">
        <v>382.58263485000498</v>
      </c>
      <c r="AB26" s="110">
        <v>0</v>
      </c>
      <c r="AC26" s="110">
        <v>0</v>
      </c>
      <c r="AD26" s="110">
        <v>22.4636839730201</v>
      </c>
      <c r="AE26" s="110">
        <v>0.229740931914788</v>
      </c>
      <c r="AF26" s="110">
        <v>0.844458782316025</v>
      </c>
      <c r="AG26" s="110">
        <v>0.29162531172487499</v>
      </c>
      <c r="AH26" s="110">
        <v>10.8543530516692</v>
      </c>
      <c r="AI26" s="110">
        <v>-15.232437747347801</v>
      </c>
      <c r="AJ26" s="110">
        <v>2.3046379843881302</v>
      </c>
      <c r="AK26" s="110">
        <v>23.500348253699698</v>
      </c>
      <c r="AL26" s="110">
        <v>0</v>
      </c>
      <c r="AM26" s="110">
        <v>194.51863166799899</v>
      </c>
      <c r="AN26" s="110">
        <v>5.2955390776130402</v>
      </c>
      <c r="AO26" s="110">
        <v>3.7066193770226401</v>
      </c>
      <c r="AP26" s="110">
        <v>0</v>
      </c>
      <c r="AQ26" s="110">
        <v>0</v>
      </c>
      <c r="AR26" s="111">
        <v>2.0149861510394702</v>
      </c>
    </row>
    <row r="27" spans="2:44" ht="12" customHeight="1" x14ac:dyDescent="0.3">
      <c r="B27" s="109" t="s">
        <v>22</v>
      </c>
      <c r="C27" s="110" t="s">
        <v>33</v>
      </c>
      <c r="D27" s="110" t="s">
        <v>24</v>
      </c>
      <c r="E27" s="110" t="s">
        <v>24</v>
      </c>
      <c r="F27" s="110" t="s">
        <v>25</v>
      </c>
      <c r="G27" s="110" t="s">
        <v>35</v>
      </c>
      <c r="H27" s="110" t="s">
        <v>76</v>
      </c>
      <c r="I27" s="110" t="s">
        <v>25</v>
      </c>
      <c r="J27" s="110">
        <v>354.53</v>
      </c>
      <c r="K27" s="110">
        <v>226.96</v>
      </c>
      <c r="L27" s="110">
        <v>3.3908693754687902</v>
      </c>
      <c r="M27" s="110">
        <v>0.97767197363932501</v>
      </c>
      <c r="N27" s="110">
        <v>2.6997167256658501</v>
      </c>
      <c r="O27" s="110">
        <v>0</v>
      </c>
      <c r="P27" s="110">
        <v>0</v>
      </c>
      <c r="Q27" s="110">
        <v>89.632474658995505</v>
      </c>
      <c r="R27" s="110">
        <v>14.1872829967858</v>
      </c>
      <c r="S27" s="110">
        <v>0</v>
      </c>
      <c r="T27" s="110">
        <v>0</v>
      </c>
      <c r="U27" s="110">
        <v>0</v>
      </c>
      <c r="V27" s="110">
        <v>0</v>
      </c>
      <c r="W27" s="110">
        <v>0</v>
      </c>
      <c r="X27" s="110">
        <v>92.287627414061902</v>
      </c>
      <c r="Y27" s="110">
        <v>0</v>
      </c>
      <c r="Z27" s="110">
        <v>0</v>
      </c>
      <c r="AA27" s="110">
        <v>127.527508777157</v>
      </c>
      <c r="AB27" s="110">
        <v>0</v>
      </c>
      <c r="AC27" s="110">
        <v>0</v>
      </c>
      <c r="AD27" s="110">
        <v>22.4636839730201</v>
      </c>
      <c r="AE27" s="110">
        <v>0.229740931914788</v>
      </c>
      <c r="AF27" s="110">
        <v>0.844458782316025</v>
      </c>
      <c r="AG27" s="110">
        <v>0.29162531172487499</v>
      </c>
      <c r="AH27" s="110">
        <v>10.8543530516692</v>
      </c>
      <c r="AI27" s="110">
        <v>-15.232437747347801</v>
      </c>
      <c r="AJ27" s="110">
        <v>2.3046379843881302</v>
      </c>
      <c r="AK27" s="110">
        <v>23.500348253699698</v>
      </c>
      <c r="AL27" s="110">
        <v>0</v>
      </c>
      <c r="AM27" s="110">
        <v>194.51863166799899</v>
      </c>
      <c r="AN27" s="110">
        <v>5.2955390776130402</v>
      </c>
      <c r="AO27" s="110">
        <v>3.7066193770226401</v>
      </c>
      <c r="AP27" s="110">
        <v>0</v>
      </c>
      <c r="AQ27" s="110">
        <v>0</v>
      </c>
      <c r="AR27" s="111">
        <v>2.0149861510394702</v>
      </c>
    </row>
    <row r="28" spans="2:44" ht="12" customHeight="1" x14ac:dyDescent="0.3">
      <c r="B28" s="109" t="s">
        <v>22</v>
      </c>
      <c r="C28" s="110" t="s">
        <v>23</v>
      </c>
      <c r="D28" s="110" t="s">
        <v>24</v>
      </c>
      <c r="E28" s="110" t="s">
        <v>1404</v>
      </c>
      <c r="F28" s="110" t="s">
        <v>25</v>
      </c>
      <c r="G28" s="110" t="s">
        <v>25</v>
      </c>
      <c r="H28" s="110" t="s">
        <v>76</v>
      </c>
      <c r="I28" s="110" t="s">
        <v>25</v>
      </c>
      <c r="J28" s="110">
        <v>395.2</v>
      </c>
      <c r="K28" s="110">
        <v>238.63</v>
      </c>
      <c r="L28" s="110">
        <v>0</v>
      </c>
      <c r="M28" s="110">
        <v>0.97767197363932501</v>
      </c>
      <c r="N28" s="110">
        <v>4.0367819911131004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153.81271235676999</v>
      </c>
      <c r="Y28" s="110">
        <v>0</v>
      </c>
      <c r="Z28" s="110">
        <v>0</v>
      </c>
      <c r="AA28" s="110">
        <v>212.54592030761799</v>
      </c>
      <c r="AB28" s="110">
        <v>0</v>
      </c>
      <c r="AC28" s="110">
        <v>0</v>
      </c>
      <c r="AD28" s="110">
        <v>22.4636839730201</v>
      </c>
      <c r="AE28" s="110">
        <v>0.229740931914788</v>
      </c>
      <c r="AF28" s="110">
        <v>0.844458782316025</v>
      </c>
      <c r="AG28" s="110">
        <v>0.29162531172487499</v>
      </c>
      <c r="AH28" s="110">
        <v>10.8543530516692</v>
      </c>
      <c r="AI28" s="110">
        <v>-15.232437747347801</v>
      </c>
      <c r="AJ28" s="110">
        <v>2.3046379843881302</v>
      </c>
      <c r="AK28" s="110">
        <v>23.500348253699698</v>
      </c>
      <c r="AL28" s="110">
        <v>0</v>
      </c>
      <c r="AM28" s="110">
        <v>206.18974956807901</v>
      </c>
      <c r="AN28" s="110">
        <v>5.2955390776130402</v>
      </c>
      <c r="AO28" s="110">
        <v>3.7066193770226401</v>
      </c>
      <c r="AP28" s="110">
        <v>0</v>
      </c>
      <c r="AQ28" s="110">
        <v>0</v>
      </c>
      <c r="AR28" s="111">
        <v>2.0149861510394702</v>
      </c>
    </row>
    <row r="29" spans="2:44" ht="12" customHeight="1" x14ac:dyDescent="0.3">
      <c r="B29" s="109" t="s">
        <v>22</v>
      </c>
      <c r="C29" s="110" t="s">
        <v>23</v>
      </c>
      <c r="D29" s="110" t="s">
        <v>24</v>
      </c>
      <c r="E29" s="110" t="s">
        <v>24</v>
      </c>
      <c r="F29" s="110" t="s">
        <v>25</v>
      </c>
      <c r="G29" s="110" t="s">
        <v>25</v>
      </c>
      <c r="H29" s="110" t="s">
        <v>76</v>
      </c>
      <c r="I29" s="110" t="s">
        <v>25</v>
      </c>
      <c r="J29" s="110">
        <v>502.42</v>
      </c>
      <c r="K29" s="110">
        <v>238.63</v>
      </c>
      <c r="L29" s="110">
        <v>3.3908693754687902</v>
      </c>
      <c r="M29" s="110">
        <v>0.97767197363932501</v>
      </c>
      <c r="N29" s="110">
        <v>4.0467858013944999</v>
      </c>
      <c r="O29" s="110">
        <v>0</v>
      </c>
      <c r="P29" s="110">
        <v>0</v>
      </c>
      <c r="Q29" s="110">
        <v>89.632474658995505</v>
      </c>
      <c r="R29" s="110">
        <v>14.1872829967858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0">
        <v>153.81271235676999</v>
      </c>
      <c r="Y29" s="110">
        <v>0</v>
      </c>
      <c r="Z29" s="110">
        <v>0</v>
      </c>
      <c r="AA29" s="110">
        <v>212.54592030761799</v>
      </c>
      <c r="AB29" s="110">
        <v>0</v>
      </c>
      <c r="AC29" s="110">
        <v>0</v>
      </c>
      <c r="AD29" s="110">
        <v>22.4636839730201</v>
      </c>
      <c r="AE29" s="110">
        <v>0.229740931914788</v>
      </c>
      <c r="AF29" s="110">
        <v>0.844458782316025</v>
      </c>
      <c r="AG29" s="110">
        <v>0.29162531172487499</v>
      </c>
      <c r="AH29" s="110">
        <v>10.8543530516692</v>
      </c>
      <c r="AI29" s="110">
        <v>-15.232437747347801</v>
      </c>
      <c r="AJ29" s="110">
        <v>2.3046379843881302</v>
      </c>
      <c r="AK29" s="110">
        <v>23.500348253699698</v>
      </c>
      <c r="AL29" s="110">
        <v>0</v>
      </c>
      <c r="AM29" s="110">
        <v>206.18974956807901</v>
      </c>
      <c r="AN29" s="110">
        <v>5.2955390776130402</v>
      </c>
      <c r="AO29" s="110">
        <v>3.7066193770226401</v>
      </c>
      <c r="AP29" s="110">
        <v>0</v>
      </c>
      <c r="AQ29" s="110">
        <v>0</v>
      </c>
      <c r="AR29" s="111">
        <v>2.0149861510394702</v>
      </c>
    </row>
    <row r="30" spans="2:44" ht="12" customHeight="1" x14ac:dyDescent="0.3">
      <c r="B30" s="109" t="s">
        <v>22</v>
      </c>
      <c r="C30" s="110" t="s">
        <v>95</v>
      </c>
      <c r="D30" s="110" t="s">
        <v>24</v>
      </c>
      <c r="E30" s="110" t="s">
        <v>1404</v>
      </c>
      <c r="F30" s="110" t="s">
        <v>25</v>
      </c>
      <c r="G30" s="110" t="s">
        <v>25</v>
      </c>
      <c r="H30" s="110" t="s">
        <v>76</v>
      </c>
      <c r="I30" s="110" t="s">
        <v>25</v>
      </c>
      <c r="J30" s="110">
        <v>395.2</v>
      </c>
      <c r="K30" s="110">
        <v>238.63</v>
      </c>
      <c r="L30" s="110">
        <v>0</v>
      </c>
      <c r="M30" s="110">
        <v>0.97767197363932501</v>
      </c>
      <c r="N30" s="110">
        <v>4.0367819911131004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153.81271235676999</v>
      </c>
      <c r="Y30" s="110">
        <v>0</v>
      </c>
      <c r="Z30" s="110">
        <v>0</v>
      </c>
      <c r="AA30" s="110">
        <v>212.54592030761799</v>
      </c>
      <c r="AB30" s="110">
        <v>0</v>
      </c>
      <c r="AC30" s="110">
        <v>0</v>
      </c>
      <c r="AD30" s="110">
        <v>22.4636839730201</v>
      </c>
      <c r="AE30" s="110">
        <v>0.229740931914788</v>
      </c>
      <c r="AF30" s="110">
        <v>0.844458782316025</v>
      </c>
      <c r="AG30" s="110">
        <v>0.29162531172487499</v>
      </c>
      <c r="AH30" s="110">
        <v>10.8543530516692</v>
      </c>
      <c r="AI30" s="110">
        <v>-15.232437747347801</v>
      </c>
      <c r="AJ30" s="110">
        <v>2.3046379843881302</v>
      </c>
      <c r="AK30" s="110">
        <v>23.500348253699698</v>
      </c>
      <c r="AL30" s="110">
        <v>0</v>
      </c>
      <c r="AM30" s="110">
        <v>206.18974956807901</v>
      </c>
      <c r="AN30" s="110">
        <v>5.2955390776130402</v>
      </c>
      <c r="AO30" s="110">
        <v>3.7066193770226401</v>
      </c>
      <c r="AP30" s="110">
        <v>0</v>
      </c>
      <c r="AQ30" s="110">
        <v>0</v>
      </c>
      <c r="AR30" s="111">
        <v>2.0149861510394702</v>
      </c>
    </row>
    <row r="31" spans="2:44" ht="12" customHeight="1" x14ac:dyDescent="0.3">
      <c r="B31" s="109" t="s">
        <v>22</v>
      </c>
      <c r="C31" s="110" t="s">
        <v>95</v>
      </c>
      <c r="D31" s="110" t="s">
        <v>24</v>
      </c>
      <c r="E31" s="110" t="s">
        <v>24</v>
      </c>
      <c r="F31" s="110" t="s">
        <v>25</v>
      </c>
      <c r="G31" s="110" t="s">
        <v>25</v>
      </c>
      <c r="H31" s="110" t="s">
        <v>76</v>
      </c>
      <c r="I31" s="110" t="s">
        <v>25</v>
      </c>
      <c r="J31" s="110">
        <v>502.42</v>
      </c>
      <c r="K31" s="110">
        <v>238.63</v>
      </c>
      <c r="L31" s="110">
        <v>3.3908693754687902</v>
      </c>
      <c r="M31" s="110">
        <v>0.97767197363932501</v>
      </c>
      <c r="N31" s="110">
        <v>4.0467858013944999</v>
      </c>
      <c r="O31" s="110">
        <v>0</v>
      </c>
      <c r="P31" s="110">
        <v>0</v>
      </c>
      <c r="Q31" s="110">
        <v>89.632474658995505</v>
      </c>
      <c r="R31" s="110">
        <v>14.1872829967858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153.81271235676999</v>
      </c>
      <c r="Y31" s="110">
        <v>0</v>
      </c>
      <c r="Z31" s="110">
        <v>0</v>
      </c>
      <c r="AA31" s="110">
        <v>212.54592030761799</v>
      </c>
      <c r="AB31" s="110">
        <v>0</v>
      </c>
      <c r="AC31" s="110">
        <v>0</v>
      </c>
      <c r="AD31" s="110">
        <v>22.4636839730201</v>
      </c>
      <c r="AE31" s="110">
        <v>0.229740931914788</v>
      </c>
      <c r="AF31" s="110">
        <v>0.844458782316025</v>
      </c>
      <c r="AG31" s="110">
        <v>0.29162531172487499</v>
      </c>
      <c r="AH31" s="110">
        <v>10.8543530516692</v>
      </c>
      <c r="AI31" s="110">
        <v>-15.232437747347801</v>
      </c>
      <c r="AJ31" s="110">
        <v>2.3046379843881302</v>
      </c>
      <c r="AK31" s="110">
        <v>23.500348253699698</v>
      </c>
      <c r="AL31" s="110">
        <v>0</v>
      </c>
      <c r="AM31" s="110">
        <v>206.18974956807901</v>
      </c>
      <c r="AN31" s="110">
        <v>5.2955390776130402</v>
      </c>
      <c r="AO31" s="110">
        <v>3.7066193770226401</v>
      </c>
      <c r="AP31" s="110">
        <v>0</v>
      </c>
      <c r="AQ31" s="110">
        <v>0</v>
      </c>
      <c r="AR31" s="111">
        <v>2.0149861510394702</v>
      </c>
    </row>
    <row r="32" spans="2:44" ht="12" customHeight="1" x14ac:dyDescent="0.3">
      <c r="B32" s="109" t="s">
        <v>42</v>
      </c>
      <c r="C32" s="110" t="s">
        <v>33</v>
      </c>
      <c r="D32" s="110" t="s">
        <v>43</v>
      </c>
      <c r="E32" s="110" t="s">
        <v>96</v>
      </c>
      <c r="F32" s="110" t="s">
        <v>25</v>
      </c>
      <c r="G32" s="110" t="s">
        <v>34</v>
      </c>
      <c r="H32" s="110" t="s">
        <v>76</v>
      </c>
      <c r="I32" s="110" t="s">
        <v>25</v>
      </c>
      <c r="J32" s="110">
        <v>1193.55</v>
      </c>
      <c r="K32" s="110">
        <v>337.65</v>
      </c>
      <c r="L32" s="110">
        <v>3.1195998254312798</v>
      </c>
      <c r="M32" s="110">
        <v>0.89945821574817897</v>
      </c>
      <c r="N32" s="110">
        <v>10.3842981362353</v>
      </c>
      <c r="O32" s="110">
        <v>0</v>
      </c>
      <c r="P32" s="110">
        <v>0</v>
      </c>
      <c r="Q32" s="110">
        <v>82.4618766862759</v>
      </c>
      <c r="R32" s="110">
        <v>13.052300357043</v>
      </c>
      <c r="S32" s="110">
        <v>0</v>
      </c>
      <c r="T32" s="110">
        <v>0</v>
      </c>
      <c r="U32" s="110">
        <v>0</v>
      </c>
      <c r="V32" s="110">
        <v>0</v>
      </c>
      <c r="W32" s="110">
        <v>0</v>
      </c>
      <c r="X32" s="110">
        <v>445.74931579893502</v>
      </c>
      <c r="Y32" s="110">
        <v>0</v>
      </c>
      <c r="Z32" s="110">
        <v>0</v>
      </c>
      <c r="AA32" s="110">
        <v>615.95806706777103</v>
      </c>
      <c r="AB32" s="110">
        <v>0</v>
      </c>
      <c r="AC32" s="110">
        <v>0</v>
      </c>
      <c r="AD32" s="110">
        <v>20.666589255178501</v>
      </c>
      <c r="AE32" s="110">
        <v>0.211361657361605</v>
      </c>
      <c r="AF32" s="110">
        <v>0.77690207973074299</v>
      </c>
      <c r="AG32" s="110">
        <v>0.26829528678688502</v>
      </c>
      <c r="AH32" s="110">
        <v>9.98600480753562</v>
      </c>
      <c r="AI32" s="110">
        <v>-14.01384272756</v>
      </c>
      <c r="AJ32" s="110">
        <v>2.1202669456370802</v>
      </c>
      <c r="AK32" s="110">
        <v>21.620320393403698</v>
      </c>
      <c r="AL32" s="110">
        <v>0</v>
      </c>
      <c r="AM32" s="110">
        <v>307.80628275144198</v>
      </c>
      <c r="AN32" s="110">
        <v>4.8718959514039897</v>
      </c>
      <c r="AO32" s="110">
        <v>3.4100898268608302</v>
      </c>
      <c r="AP32" s="110">
        <v>0</v>
      </c>
      <c r="AQ32" s="110">
        <v>0</v>
      </c>
      <c r="AR32" s="111">
        <v>1.85378725895631</v>
      </c>
    </row>
    <row r="33" spans="2:44" ht="12" customHeight="1" x14ac:dyDescent="0.3">
      <c r="B33" s="109" t="s">
        <v>42</v>
      </c>
      <c r="C33" s="110" t="s">
        <v>33</v>
      </c>
      <c r="D33" s="110" t="s">
        <v>43</v>
      </c>
      <c r="E33" s="110" t="s">
        <v>96</v>
      </c>
      <c r="F33" s="110" t="s">
        <v>25</v>
      </c>
      <c r="G33" s="110" t="s">
        <v>36</v>
      </c>
      <c r="H33" s="110" t="s">
        <v>76</v>
      </c>
      <c r="I33" s="110" t="s">
        <v>25</v>
      </c>
      <c r="J33" s="110">
        <v>764.96</v>
      </c>
      <c r="K33" s="110">
        <v>208.81</v>
      </c>
      <c r="L33" s="110">
        <v>3.1195998254312798</v>
      </c>
      <c r="M33" s="110">
        <v>0.89945821574817897</v>
      </c>
      <c r="N33" s="110">
        <v>6.4804923229139</v>
      </c>
      <c r="O33" s="110">
        <v>0</v>
      </c>
      <c r="P33" s="110">
        <v>0</v>
      </c>
      <c r="Q33" s="110">
        <v>82.4618766862759</v>
      </c>
      <c r="R33" s="110">
        <v>13.052300357043</v>
      </c>
      <c r="S33" s="110">
        <v>0</v>
      </c>
      <c r="T33" s="110">
        <v>0</v>
      </c>
      <c r="U33" s="110">
        <v>0</v>
      </c>
      <c r="V33" s="110">
        <v>0</v>
      </c>
      <c r="W33" s="110">
        <v>0</v>
      </c>
      <c r="X33" s="110">
        <v>267.44956937562301</v>
      </c>
      <c r="Y33" s="110">
        <v>0</v>
      </c>
      <c r="Z33" s="110">
        <v>0</v>
      </c>
      <c r="AA33" s="110">
        <v>369.57480030584202</v>
      </c>
      <c r="AB33" s="110">
        <v>0</v>
      </c>
      <c r="AC33" s="110">
        <v>0</v>
      </c>
      <c r="AD33" s="110">
        <v>20.666589255178501</v>
      </c>
      <c r="AE33" s="110">
        <v>0.211361657361605</v>
      </c>
      <c r="AF33" s="110">
        <v>0.77690207973074299</v>
      </c>
      <c r="AG33" s="110">
        <v>0.26829528678688502</v>
      </c>
      <c r="AH33" s="110">
        <v>9.98600480753562</v>
      </c>
      <c r="AI33" s="110">
        <v>-14.01384272756</v>
      </c>
      <c r="AJ33" s="110">
        <v>2.1202669456370802</v>
      </c>
      <c r="AK33" s="110">
        <v>21.620320393403698</v>
      </c>
      <c r="AL33" s="110">
        <v>0</v>
      </c>
      <c r="AM33" s="110">
        <v>178.95714113455901</v>
      </c>
      <c r="AN33" s="110">
        <v>4.8718959514039897</v>
      </c>
      <c r="AO33" s="110">
        <v>3.4100898268608302</v>
      </c>
      <c r="AP33" s="110">
        <v>0</v>
      </c>
      <c r="AQ33" s="110">
        <v>0</v>
      </c>
      <c r="AR33" s="111">
        <v>1.85378725895631</v>
      </c>
    </row>
    <row r="34" spans="2:44" ht="12" customHeight="1" x14ac:dyDescent="0.3">
      <c r="B34" s="109" t="s">
        <v>42</v>
      </c>
      <c r="C34" s="110" t="s">
        <v>33</v>
      </c>
      <c r="D34" s="110" t="s">
        <v>43</v>
      </c>
      <c r="E34" s="110" t="s">
        <v>96</v>
      </c>
      <c r="F34" s="110" t="s">
        <v>25</v>
      </c>
      <c r="G34" s="110" t="s">
        <v>35</v>
      </c>
      <c r="H34" s="110" t="s">
        <v>76</v>
      </c>
      <c r="I34" s="110" t="s">
        <v>25</v>
      </c>
      <c r="J34" s="110">
        <v>336.37</v>
      </c>
      <c r="K34" s="110">
        <v>208.81</v>
      </c>
      <c r="L34" s="110">
        <v>3.1195998254312798</v>
      </c>
      <c r="M34" s="110">
        <v>0.89945821574817897</v>
      </c>
      <c r="N34" s="110">
        <v>2.57668742994302</v>
      </c>
      <c r="O34" s="110">
        <v>0</v>
      </c>
      <c r="P34" s="110">
        <v>0</v>
      </c>
      <c r="Q34" s="110">
        <v>82.4618766862759</v>
      </c>
      <c r="R34" s="110">
        <v>13.052300357043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89.149822952311894</v>
      </c>
      <c r="Y34" s="110">
        <v>0</v>
      </c>
      <c r="Z34" s="110">
        <v>0</v>
      </c>
      <c r="AA34" s="110">
        <v>123.19163338096401</v>
      </c>
      <c r="AB34" s="110">
        <v>0</v>
      </c>
      <c r="AC34" s="110">
        <v>0</v>
      </c>
      <c r="AD34" s="110">
        <v>20.666589255178501</v>
      </c>
      <c r="AE34" s="110">
        <v>0.211361657361605</v>
      </c>
      <c r="AF34" s="110">
        <v>0.77690207973074299</v>
      </c>
      <c r="AG34" s="110">
        <v>0.26829528678688502</v>
      </c>
      <c r="AH34" s="110">
        <v>9.98600480753562</v>
      </c>
      <c r="AI34" s="110">
        <v>-14.01384272756</v>
      </c>
      <c r="AJ34" s="110">
        <v>2.1202669456370802</v>
      </c>
      <c r="AK34" s="110">
        <v>21.620320393403698</v>
      </c>
      <c r="AL34" s="110">
        <v>0</v>
      </c>
      <c r="AM34" s="110">
        <v>178.95714113455901</v>
      </c>
      <c r="AN34" s="110">
        <v>4.8718959514039897</v>
      </c>
      <c r="AO34" s="110">
        <v>3.4100898268608302</v>
      </c>
      <c r="AP34" s="110">
        <v>0</v>
      </c>
      <c r="AQ34" s="110">
        <v>0</v>
      </c>
      <c r="AR34" s="111">
        <v>1.85378725895631</v>
      </c>
    </row>
    <row r="35" spans="2:44" ht="12" customHeight="1" x14ac:dyDescent="0.3">
      <c r="B35" s="109" t="s">
        <v>42</v>
      </c>
      <c r="C35" s="110" t="s">
        <v>33</v>
      </c>
      <c r="D35" s="110" t="s">
        <v>43</v>
      </c>
      <c r="E35" s="110" t="s">
        <v>25</v>
      </c>
      <c r="F35" s="110" t="s">
        <v>25</v>
      </c>
      <c r="G35" s="110" t="s">
        <v>34</v>
      </c>
      <c r="H35" s="110" t="s">
        <v>76</v>
      </c>
      <c r="I35" s="110" t="s">
        <v>25</v>
      </c>
      <c r="J35" s="110">
        <v>1219.49</v>
      </c>
      <c r="K35" s="110">
        <v>345</v>
      </c>
      <c r="L35" s="110">
        <v>3.1874172129406602</v>
      </c>
      <c r="M35" s="110">
        <v>0.91901165522096595</v>
      </c>
      <c r="N35" s="110">
        <v>10.6100437478926</v>
      </c>
      <c r="O35" s="110">
        <v>0</v>
      </c>
      <c r="P35" s="110">
        <v>0</v>
      </c>
      <c r="Q35" s="110">
        <v>84.254526179455794</v>
      </c>
      <c r="R35" s="110">
        <v>13.336046016978701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455.43951831630301</v>
      </c>
      <c r="Y35" s="110">
        <v>0</v>
      </c>
      <c r="Z35" s="110">
        <v>0</v>
      </c>
      <c r="AA35" s="110">
        <v>629.34845983011405</v>
      </c>
      <c r="AB35" s="110">
        <v>0</v>
      </c>
      <c r="AC35" s="110">
        <v>0</v>
      </c>
      <c r="AD35" s="110">
        <v>21.115862934638901</v>
      </c>
      <c r="AE35" s="110">
        <v>0.215956475999901</v>
      </c>
      <c r="AF35" s="110">
        <v>0.79379125537706297</v>
      </c>
      <c r="AG35" s="110">
        <v>0.27412779302138202</v>
      </c>
      <c r="AH35" s="110">
        <v>10.203091868569</v>
      </c>
      <c r="AI35" s="110">
        <v>-14.3184914825069</v>
      </c>
      <c r="AJ35" s="110">
        <v>2.1663597053248398</v>
      </c>
      <c r="AK35" s="110">
        <v>22.090327358477701</v>
      </c>
      <c r="AL35" s="110">
        <v>0</v>
      </c>
      <c r="AM35" s="110">
        <v>314.49772368082103</v>
      </c>
      <c r="AN35" s="110">
        <v>4.9778067329562496</v>
      </c>
      <c r="AO35" s="110">
        <v>3.4842222144012802</v>
      </c>
      <c r="AP35" s="110">
        <v>0</v>
      </c>
      <c r="AQ35" s="110">
        <v>0</v>
      </c>
      <c r="AR35" s="111">
        <v>1.8940869819771</v>
      </c>
    </row>
    <row r="36" spans="2:44" ht="12" customHeight="1" x14ac:dyDescent="0.3">
      <c r="B36" s="109" t="s">
        <v>42</v>
      </c>
      <c r="C36" s="110" t="s">
        <v>33</v>
      </c>
      <c r="D36" s="110" t="s">
        <v>43</v>
      </c>
      <c r="E36" s="110" t="s">
        <v>25</v>
      </c>
      <c r="F36" s="110" t="s">
        <v>25</v>
      </c>
      <c r="G36" s="110" t="s">
        <v>36</v>
      </c>
      <c r="H36" s="110" t="s">
        <v>76</v>
      </c>
      <c r="I36" s="110" t="s">
        <v>25</v>
      </c>
      <c r="J36" s="110">
        <v>781.59</v>
      </c>
      <c r="K36" s="110">
        <v>213.34</v>
      </c>
      <c r="L36" s="110">
        <v>3.1874172129406602</v>
      </c>
      <c r="M36" s="110">
        <v>0.91901165522096595</v>
      </c>
      <c r="N36" s="110">
        <v>6.6213725908033298</v>
      </c>
      <c r="O36" s="110">
        <v>0</v>
      </c>
      <c r="P36" s="110">
        <v>0</v>
      </c>
      <c r="Q36" s="110">
        <v>84.254526179455794</v>
      </c>
      <c r="R36" s="110">
        <v>13.336046016978701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273.26369044900599</v>
      </c>
      <c r="Y36" s="110">
        <v>0</v>
      </c>
      <c r="Z36" s="110">
        <v>0</v>
      </c>
      <c r="AA36" s="110">
        <v>377.60903509509899</v>
      </c>
      <c r="AB36" s="110">
        <v>0</v>
      </c>
      <c r="AC36" s="110">
        <v>0</v>
      </c>
      <c r="AD36" s="110">
        <v>21.115862934638901</v>
      </c>
      <c r="AE36" s="110">
        <v>0.215956475999901</v>
      </c>
      <c r="AF36" s="110">
        <v>0.79379125537706297</v>
      </c>
      <c r="AG36" s="110">
        <v>0.27412779302138202</v>
      </c>
      <c r="AH36" s="110">
        <v>10.203091868569</v>
      </c>
      <c r="AI36" s="110">
        <v>-14.3184914825069</v>
      </c>
      <c r="AJ36" s="110">
        <v>2.1663597053248398</v>
      </c>
      <c r="AK36" s="110">
        <v>22.090327358477701</v>
      </c>
      <c r="AL36" s="110">
        <v>0</v>
      </c>
      <c r="AM36" s="110">
        <v>182.847513767919</v>
      </c>
      <c r="AN36" s="110">
        <v>4.9778067329562496</v>
      </c>
      <c r="AO36" s="110">
        <v>3.4842222144012802</v>
      </c>
      <c r="AP36" s="110">
        <v>0</v>
      </c>
      <c r="AQ36" s="110">
        <v>0</v>
      </c>
      <c r="AR36" s="111">
        <v>1.8940869819771</v>
      </c>
    </row>
    <row r="37" spans="2:44" ht="12" customHeight="1" x14ac:dyDescent="0.3">
      <c r="B37" s="109" t="s">
        <v>42</v>
      </c>
      <c r="C37" s="110" t="s">
        <v>33</v>
      </c>
      <c r="D37" s="110" t="s">
        <v>43</v>
      </c>
      <c r="E37" s="110" t="s">
        <v>25</v>
      </c>
      <c r="F37" s="110" t="s">
        <v>25</v>
      </c>
      <c r="G37" s="110" t="s">
        <v>35</v>
      </c>
      <c r="H37" s="110" t="s">
        <v>76</v>
      </c>
      <c r="I37" s="110" t="s">
        <v>25</v>
      </c>
      <c r="J37" s="110">
        <v>343.69</v>
      </c>
      <c r="K37" s="110">
        <v>213.34</v>
      </c>
      <c r="L37" s="110">
        <v>3.1874172129406602</v>
      </c>
      <c r="M37" s="110">
        <v>0.91901165522096595</v>
      </c>
      <c r="N37" s="110">
        <v>2.63270237407222</v>
      </c>
      <c r="O37" s="110">
        <v>0</v>
      </c>
      <c r="P37" s="110">
        <v>0</v>
      </c>
      <c r="Q37" s="110">
        <v>84.254526179455794</v>
      </c>
      <c r="R37" s="110">
        <v>13.336046016978701</v>
      </c>
      <c r="S37" s="110">
        <v>0</v>
      </c>
      <c r="T37" s="110">
        <v>0</v>
      </c>
      <c r="U37" s="110">
        <v>0</v>
      </c>
      <c r="V37" s="110">
        <v>0</v>
      </c>
      <c r="W37" s="110">
        <v>0</v>
      </c>
      <c r="X37" s="110">
        <v>91.087862581709999</v>
      </c>
      <c r="Y37" s="110">
        <v>0</v>
      </c>
      <c r="Z37" s="110">
        <v>0</v>
      </c>
      <c r="AA37" s="110">
        <v>125.86971236750701</v>
      </c>
      <c r="AB37" s="110">
        <v>0</v>
      </c>
      <c r="AC37" s="110">
        <v>0</v>
      </c>
      <c r="AD37" s="110">
        <v>21.115862934638901</v>
      </c>
      <c r="AE37" s="110">
        <v>0.215956475999901</v>
      </c>
      <c r="AF37" s="110">
        <v>0.79379125537706297</v>
      </c>
      <c r="AG37" s="110">
        <v>0.27412779302138202</v>
      </c>
      <c r="AH37" s="110">
        <v>10.203091868569</v>
      </c>
      <c r="AI37" s="110">
        <v>-14.3184914825069</v>
      </c>
      <c r="AJ37" s="110">
        <v>2.1663597053248398</v>
      </c>
      <c r="AK37" s="110">
        <v>22.090327358477701</v>
      </c>
      <c r="AL37" s="110">
        <v>0</v>
      </c>
      <c r="AM37" s="110">
        <v>182.847513767919</v>
      </c>
      <c r="AN37" s="110">
        <v>4.9778067329562496</v>
      </c>
      <c r="AO37" s="110">
        <v>3.4842222144012802</v>
      </c>
      <c r="AP37" s="110">
        <v>0</v>
      </c>
      <c r="AQ37" s="110">
        <v>0</v>
      </c>
      <c r="AR37" s="111">
        <v>1.8940869819771</v>
      </c>
    </row>
    <row r="38" spans="2:44" ht="12" customHeight="1" x14ac:dyDescent="0.3">
      <c r="B38" s="109" t="s">
        <v>42</v>
      </c>
      <c r="C38" s="110" t="s">
        <v>33</v>
      </c>
      <c r="D38" s="110" t="s">
        <v>43</v>
      </c>
      <c r="E38" s="110" t="s">
        <v>97</v>
      </c>
      <c r="F38" s="110" t="s">
        <v>25</v>
      </c>
      <c r="G38" s="110" t="s">
        <v>34</v>
      </c>
      <c r="H38" s="110" t="s">
        <v>76</v>
      </c>
      <c r="I38" s="110" t="s">
        <v>25</v>
      </c>
      <c r="J38" s="110">
        <v>1193.55</v>
      </c>
      <c r="K38" s="110">
        <v>337.65</v>
      </c>
      <c r="L38" s="110">
        <v>3.1195998254312798</v>
      </c>
      <c r="M38" s="110">
        <v>0.89945821574817897</v>
      </c>
      <c r="N38" s="110">
        <v>10.3842981362353</v>
      </c>
      <c r="O38" s="110">
        <v>0</v>
      </c>
      <c r="P38" s="110">
        <v>0</v>
      </c>
      <c r="Q38" s="110">
        <v>82.4618766862759</v>
      </c>
      <c r="R38" s="110">
        <v>13.052300357043</v>
      </c>
      <c r="S38" s="110">
        <v>0</v>
      </c>
      <c r="T38" s="110">
        <v>0</v>
      </c>
      <c r="U38" s="110">
        <v>0</v>
      </c>
      <c r="V38" s="110">
        <v>0</v>
      </c>
      <c r="W38" s="110">
        <v>0</v>
      </c>
      <c r="X38" s="110">
        <v>445.74931579893502</v>
      </c>
      <c r="Y38" s="110">
        <v>0</v>
      </c>
      <c r="Z38" s="110">
        <v>0</v>
      </c>
      <c r="AA38" s="110">
        <v>615.95806706777103</v>
      </c>
      <c r="AB38" s="110">
        <v>0</v>
      </c>
      <c r="AC38" s="110">
        <v>0</v>
      </c>
      <c r="AD38" s="110">
        <v>20.666589255178501</v>
      </c>
      <c r="AE38" s="110">
        <v>0.211361657361605</v>
      </c>
      <c r="AF38" s="110">
        <v>0.77690207973074299</v>
      </c>
      <c r="AG38" s="110">
        <v>0.26829528678688502</v>
      </c>
      <c r="AH38" s="110">
        <v>9.98600480753562</v>
      </c>
      <c r="AI38" s="110">
        <v>-14.01384272756</v>
      </c>
      <c r="AJ38" s="110">
        <v>2.1202669456370802</v>
      </c>
      <c r="AK38" s="110">
        <v>21.620320393403698</v>
      </c>
      <c r="AL38" s="110">
        <v>0</v>
      </c>
      <c r="AM38" s="110">
        <v>307.80628275144198</v>
      </c>
      <c r="AN38" s="110">
        <v>4.8718959514039897</v>
      </c>
      <c r="AO38" s="110">
        <v>3.4100898268608302</v>
      </c>
      <c r="AP38" s="110">
        <v>0</v>
      </c>
      <c r="AQ38" s="110">
        <v>0</v>
      </c>
      <c r="AR38" s="111">
        <v>1.85378725895631</v>
      </c>
    </row>
    <row r="39" spans="2:44" ht="12" customHeight="1" x14ac:dyDescent="0.3">
      <c r="B39" s="109" t="s">
        <v>42</v>
      </c>
      <c r="C39" s="110" t="s">
        <v>33</v>
      </c>
      <c r="D39" s="110" t="s">
        <v>43</v>
      </c>
      <c r="E39" s="110" t="s">
        <v>97</v>
      </c>
      <c r="F39" s="110" t="s">
        <v>25</v>
      </c>
      <c r="G39" s="110" t="s">
        <v>36</v>
      </c>
      <c r="H39" s="110" t="s">
        <v>76</v>
      </c>
      <c r="I39" s="110" t="s">
        <v>25</v>
      </c>
      <c r="J39" s="110">
        <v>764.96</v>
      </c>
      <c r="K39" s="110">
        <v>208.81</v>
      </c>
      <c r="L39" s="110">
        <v>3.1195998254312798</v>
      </c>
      <c r="M39" s="110">
        <v>0.89945821574817897</v>
      </c>
      <c r="N39" s="110">
        <v>6.4804923229139</v>
      </c>
      <c r="O39" s="110">
        <v>0</v>
      </c>
      <c r="P39" s="110">
        <v>0</v>
      </c>
      <c r="Q39" s="110">
        <v>82.4618766862759</v>
      </c>
      <c r="R39" s="110">
        <v>13.052300357043</v>
      </c>
      <c r="S39" s="110">
        <v>0</v>
      </c>
      <c r="T39" s="110">
        <v>0</v>
      </c>
      <c r="U39" s="110">
        <v>0</v>
      </c>
      <c r="V39" s="110">
        <v>0</v>
      </c>
      <c r="W39" s="110">
        <v>0</v>
      </c>
      <c r="X39" s="110">
        <v>267.44956937562301</v>
      </c>
      <c r="Y39" s="110">
        <v>0</v>
      </c>
      <c r="Z39" s="110">
        <v>0</v>
      </c>
      <c r="AA39" s="110">
        <v>369.57480030584202</v>
      </c>
      <c r="AB39" s="110">
        <v>0</v>
      </c>
      <c r="AC39" s="110">
        <v>0</v>
      </c>
      <c r="AD39" s="110">
        <v>20.666589255178501</v>
      </c>
      <c r="AE39" s="110">
        <v>0.211361657361605</v>
      </c>
      <c r="AF39" s="110">
        <v>0.77690207973074299</v>
      </c>
      <c r="AG39" s="110">
        <v>0.26829528678688502</v>
      </c>
      <c r="AH39" s="110">
        <v>9.98600480753562</v>
      </c>
      <c r="AI39" s="110">
        <v>-14.01384272756</v>
      </c>
      <c r="AJ39" s="110">
        <v>2.1202669456370802</v>
      </c>
      <c r="AK39" s="110">
        <v>21.620320393403698</v>
      </c>
      <c r="AL39" s="110">
        <v>0</v>
      </c>
      <c r="AM39" s="110">
        <v>178.95714113455901</v>
      </c>
      <c r="AN39" s="110">
        <v>4.8718959514039897</v>
      </c>
      <c r="AO39" s="110">
        <v>3.4100898268608302</v>
      </c>
      <c r="AP39" s="110">
        <v>0</v>
      </c>
      <c r="AQ39" s="110">
        <v>0</v>
      </c>
      <c r="AR39" s="111">
        <v>1.85378725895631</v>
      </c>
    </row>
    <row r="40" spans="2:44" ht="12" customHeight="1" x14ac:dyDescent="0.3">
      <c r="B40" s="109" t="s">
        <v>42</v>
      </c>
      <c r="C40" s="110" t="s">
        <v>33</v>
      </c>
      <c r="D40" s="110" t="s">
        <v>43</v>
      </c>
      <c r="E40" s="110" t="s">
        <v>97</v>
      </c>
      <c r="F40" s="110" t="s">
        <v>25</v>
      </c>
      <c r="G40" s="110" t="s">
        <v>35</v>
      </c>
      <c r="H40" s="110" t="s">
        <v>76</v>
      </c>
      <c r="I40" s="110" t="s">
        <v>25</v>
      </c>
      <c r="J40" s="110">
        <v>336.37</v>
      </c>
      <c r="K40" s="110">
        <v>208.81</v>
      </c>
      <c r="L40" s="110">
        <v>3.1195998254312798</v>
      </c>
      <c r="M40" s="110">
        <v>0.89945821574817897</v>
      </c>
      <c r="N40" s="110">
        <v>2.57668742994302</v>
      </c>
      <c r="O40" s="110">
        <v>0</v>
      </c>
      <c r="P40" s="110">
        <v>0</v>
      </c>
      <c r="Q40" s="110">
        <v>82.4618766862759</v>
      </c>
      <c r="R40" s="110">
        <v>13.052300357043</v>
      </c>
      <c r="S40" s="110">
        <v>0</v>
      </c>
      <c r="T40" s="110">
        <v>0</v>
      </c>
      <c r="U40" s="110">
        <v>0</v>
      </c>
      <c r="V40" s="110">
        <v>0</v>
      </c>
      <c r="W40" s="110">
        <v>0</v>
      </c>
      <c r="X40" s="110">
        <v>89.149822952311894</v>
      </c>
      <c r="Y40" s="110">
        <v>0</v>
      </c>
      <c r="Z40" s="110">
        <v>0</v>
      </c>
      <c r="AA40" s="110">
        <v>123.19163338096401</v>
      </c>
      <c r="AB40" s="110">
        <v>0</v>
      </c>
      <c r="AC40" s="110">
        <v>0</v>
      </c>
      <c r="AD40" s="110">
        <v>20.666589255178501</v>
      </c>
      <c r="AE40" s="110">
        <v>0.211361657361605</v>
      </c>
      <c r="AF40" s="110">
        <v>0.77690207973074299</v>
      </c>
      <c r="AG40" s="110">
        <v>0.26829528678688502</v>
      </c>
      <c r="AH40" s="110">
        <v>9.98600480753562</v>
      </c>
      <c r="AI40" s="110">
        <v>-14.01384272756</v>
      </c>
      <c r="AJ40" s="110">
        <v>2.1202669456370802</v>
      </c>
      <c r="AK40" s="110">
        <v>21.620320393403698</v>
      </c>
      <c r="AL40" s="110">
        <v>0</v>
      </c>
      <c r="AM40" s="110">
        <v>178.95714113455901</v>
      </c>
      <c r="AN40" s="110">
        <v>4.8718959514039897</v>
      </c>
      <c r="AO40" s="110">
        <v>3.4100898268608302</v>
      </c>
      <c r="AP40" s="110">
        <v>0</v>
      </c>
      <c r="AQ40" s="110">
        <v>0</v>
      </c>
      <c r="AR40" s="111">
        <v>1.85378725895631</v>
      </c>
    </row>
    <row r="41" spans="2:44" ht="12" customHeight="1" x14ac:dyDescent="0.3">
      <c r="B41" s="109" t="s">
        <v>42</v>
      </c>
      <c r="C41" s="110" t="s">
        <v>23</v>
      </c>
      <c r="D41" s="110" t="s">
        <v>43</v>
      </c>
      <c r="E41" s="110" t="s">
        <v>96</v>
      </c>
      <c r="F41" s="110" t="s">
        <v>25</v>
      </c>
      <c r="G41" s="110" t="s">
        <v>25</v>
      </c>
      <c r="H41" s="110" t="s">
        <v>76</v>
      </c>
      <c r="I41" s="110" t="s">
        <v>25</v>
      </c>
      <c r="J41" s="110">
        <v>462.23</v>
      </c>
      <c r="K41" s="110">
        <v>219.54</v>
      </c>
      <c r="L41" s="110">
        <v>3.1195998254312798</v>
      </c>
      <c r="M41" s="110">
        <v>0.89945821574817897</v>
      </c>
      <c r="N41" s="110">
        <v>3.7230429372829401</v>
      </c>
      <c r="O41" s="110">
        <v>0</v>
      </c>
      <c r="P41" s="110">
        <v>0</v>
      </c>
      <c r="Q41" s="110">
        <v>82.4618766862759</v>
      </c>
      <c r="R41" s="110">
        <v>13.052300357043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X41" s="110">
        <v>141.50769536822801</v>
      </c>
      <c r="Y41" s="110">
        <v>0</v>
      </c>
      <c r="Z41" s="110">
        <v>0</v>
      </c>
      <c r="AA41" s="110">
        <v>195.54224668300799</v>
      </c>
      <c r="AB41" s="110">
        <v>0</v>
      </c>
      <c r="AC41" s="110">
        <v>0</v>
      </c>
      <c r="AD41" s="110">
        <v>20.666589255178501</v>
      </c>
      <c r="AE41" s="110">
        <v>0.211361657361605</v>
      </c>
      <c r="AF41" s="110">
        <v>0.77690207973074299</v>
      </c>
      <c r="AG41" s="110">
        <v>0.26829528678688502</v>
      </c>
      <c r="AH41" s="110">
        <v>9.98600480753562</v>
      </c>
      <c r="AI41" s="110">
        <v>-14.01384272756</v>
      </c>
      <c r="AJ41" s="110">
        <v>2.1202669456370802</v>
      </c>
      <c r="AK41" s="110">
        <v>21.620320393403698</v>
      </c>
      <c r="AL41" s="110">
        <v>0</v>
      </c>
      <c r="AM41" s="110">
        <v>189.69456960263301</v>
      </c>
      <c r="AN41" s="110">
        <v>4.8718959514039897</v>
      </c>
      <c r="AO41" s="110">
        <v>3.4100898268608302</v>
      </c>
      <c r="AP41" s="110">
        <v>0</v>
      </c>
      <c r="AQ41" s="110">
        <v>0</v>
      </c>
      <c r="AR41" s="111">
        <v>1.85378725895631</v>
      </c>
    </row>
    <row r="42" spans="2:44" ht="12" customHeight="1" x14ac:dyDescent="0.3">
      <c r="B42" s="109" t="s">
        <v>42</v>
      </c>
      <c r="C42" s="110" t="s">
        <v>23</v>
      </c>
      <c r="D42" s="110" t="s">
        <v>43</v>
      </c>
      <c r="E42" s="110" t="s">
        <v>25</v>
      </c>
      <c r="F42" s="110" t="s">
        <v>25</v>
      </c>
      <c r="G42" s="110" t="s">
        <v>25</v>
      </c>
      <c r="H42" s="110" t="s">
        <v>76</v>
      </c>
      <c r="I42" s="110" t="s">
        <v>25</v>
      </c>
      <c r="J42" s="110">
        <v>472.28</v>
      </c>
      <c r="K42" s="110">
        <v>224.32</v>
      </c>
      <c r="L42" s="110">
        <v>3.1874172129406602</v>
      </c>
      <c r="M42" s="110">
        <v>0.91901165522096595</v>
      </c>
      <c r="N42" s="110">
        <v>3.8039786533108302</v>
      </c>
      <c r="O42" s="110">
        <v>0</v>
      </c>
      <c r="P42" s="110">
        <v>0</v>
      </c>
      <c r="Q42" s="110">
        <v>84.254526179455794</v>
      </c>
      <c r="R42" s="110">
        <v>13.336046016978701</v>
      </c>
      <c r="S42" s="110">
        <v>0</v>
      </c>
      <c r="T42" s="110">
        <v>0</v>
      </c>
      <c r="U42" s="110">
        <v>0</v>
      </c>
      <c r="V42" s="110">
        <v>0</v>
      </c>
      <c r="W42" s="110">
        <v>0</v>
      </c>
      <c r="X42" s="110">
        <v>144.58394961536399</v>
      </c>
      <c r="Y42" s="110">
        <v>0</v>
      </c>
      <c r="Z42" s="110">
        <v>0</v>
      </c>
      <c r="AA42" s="110">
        <v>199.79316508916099</v>
      </c>
      <c r="AB42" s="110">
        <v>0</v>
      </c>
      <c r="AC42" s="110">
        <v>0</v>
      </c>
      <c r="AD42" s="110">
        <v>21.115862934638901</v>
      </c>
      <c r="AE42" s="110">
        <v>0.215956475999901</v>
      </c>
      <c r="AF42" s="110">
        <v>0.79379125537706297</v>
      </c>
      <c r="AG42" s="110">
        <v>0.27412779302138202</v>
      </c>
      <c r="AH42" s="110">
        <v>10.203091868569</v>
      </c>
      <c r="AI42" s="110">
        <v>-14.3184914825069</v>
      </c>
      <c r="AJ42" s="110">
        <v>2.1663597053248398</v>
      </c>
      <c r="AK42" s="110">
        <v>22.090327358477701</v>
      </c>
      <c r="AL42" s="110">
        <v>0</v>
      </c>
      <c r="AM42" s="110">
        <v>193.818364593994</v>
      </c>
      <c r="AN42" s="110">
        <v>4.9778067329562496</v>
      </c>
      <c r="AO42" s="110">
        <v>3.4842222144012802</v>
      </c>
      <c r="AP42" s="110">
        <v>0</v>
      </c>
      <c r="AQ42" s="110">
        <v>0</v>
      </c>
      <c r="AR42" s="111">
        <v>1.8940869819771</v>
      </c>
    </row>
    <row r="43" spans="2:44" ht="12" customHeight="1" x14ac:dyDescent="0.3">
      <c r="B43" s="109" t="s">
        <v>42</v>
      </c>
      <c r="C43" s="110" t="s">
        <v>23</v>
      </c>
      <c r="D43" s="110" t="s">
        <v>43</v>
      </c>
      <c r="E43" s="110" t="s">
        <v>97</v>
      </c>
      <c r="F43" s="110" t="s">
        <v>25</v>
      </c>
      <c r="G43" s="110" t="s">
        <v>25</v>
      </c>
      <c r="H43" s="110" t="s">
        <v>76</v>
      </c>
      <c r="I43" s="110" t="s">
        <v>25</v>
      </c>
      <c r="J43" s="110">
        <v>462.23</v>
      </c>
      <c r="K43" s="110">
        <v>219.54</v>
      </c>
      <c r="L43" s="110">
        <v>3.1195998254312798</v>
      </c>
      <c r="M43" s="110">
        <v>0.89945821574817897</v>
      </c>
      <c r="N43" s="110">
        <v>3.7230429372829401</v>
      </c>
      <c r="O43" s="110">
        <v>0</v>
      </c>
      <c r="P43" s="110">
        <v>0</v>
      </c>
      <c r="Q43" s="110">
        <v>82.4618766862759</v>
      </c>
      <c r="R43" s="110">
        <v>13.052300357043</v>
      </c>
      <c r="S43" s="110">
        <v>0</v>
      </c>
      <c r="T43" s="110">
        <v>0</v>
      </c>
      <c r="U43" s="110">
        <v>0</v>
      </c>
      <c r="V43" s="110">
        <v>0</v>
      </c>
      <c r="W43" s="110">
        <v>0</v>
      </c>
      <c r="X43" s="110">
        <v>141.50769536822801</v>
      </c>
      <c r="Y43" s="110">
        <v>0</v>
      </c>
      <c r="Z43" s="110">
        <v>0</v>
      </c>
      <c r="AA43" s="110">
        <v>195.54224668300799</v>
      </c>
      <c r="AB43" s="110">
        <v>0</v>
      </c>
      <c r="AC43" s="110">
        <v>0</v>
      </c>
      <c r="AD43" s="110">
        <v>20.666589255178501</v>
      </c>
      <c r="AE43" s="110">
        <v>0.211361657361605</v>
      </c>
      <c r="AF43" s="110">
        <v>0.77690207973074299</v>
      </c>
      <c r="AG43" s="110">
        <v>0.26829528678688502</v>
      </c>
      <c r="AH43" s="110">
        <v>9.98600480753562</v>
      </c>
      <c r="AI43" s="110">
        <v>-14.01384272756</v>
      </c>
      <c r="AJ43" s="110">
        <v>2.1202669456370802</v>
      </c>
      <c r="AK43" s="110">
        <v>21.620320393403698</v>
      </c>
      <c r="AL43" s="110">
        <v>0</v>
      </c>
      <c r="AM43" s="110">
        <v>189.69456960263301</v>
      </c>
      <c r="AN43" s="110">
        <v>4.8718959514039897</v>
      </c>
      <c r="AO43" s="110">
        <v>3.4100898268608302</v>
      </c>
      <c r="AP43" s="110">
        <v>0</v>
      </c>
      <c r="AQ43" s="110">
        <v>0</v>
      </c>
      <c r="AR43" s="111">
        <v>1.85378725895631</v>
      </c>
    </row>
    <row r="44" spans="2:44" ht="12" customHeight="1" x14ac:dyDescent="0.3">
      <c r="B44" s="109" t="s">
        <v>42</v>
      </c>
      <c r="C44" s="110" t="s">
        <v>95</v>
      </c>
      <c r="D44" s="110" t="s">
        <v>43</v>
      </c>
      <c r="E44" s="110" t="s">
        <v>96</v>
      </c>
      <c r="F44" s="110" t="s">
        <v>25</v>
      </c>
      <c r="G44" s="110" t="s">
        <v>25</v>
      </c>
      <c r="H44" s="110" t="s">
        <v>76</v>
      </c>
      <c r="I44" s="110" t="s">
        <v>25</v>
      </c>
      <c r="J44" s="110">
        <v>462.23</v>
      </c>
      <c r="K44" s="110">
        <v>219.54</v>
      </c>
      <c r="L44" s="110">
        <v>3.1195998254312798</v>
      </c>
      <c r="M44" s="110">
        <v>0.89945821574817897</v>
      </c>
      <c r="N44" s="110">
        <v>3.7230429372829401</v>
      </c>
      <c r="O44" s="110">
        <v>0</v>
      </c>
      <c r="P44" s="110">
        <v>0</v>
      </c>
      <c r="Q44" s="110">
        <v>82.4618766862759</v>
      </c>
      <c r="R44" s="110">
        <v>13.052300357043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0">
        <v>141.50769536822801</v>
      </c>
      <c r="Y44" s="110">
        <v>0</v>
      </c>
      <c r="Z44" s="110">
        <v>0</v>
      </c>
      <c r="AA44" s="110">
        <v>195.54224668300799</v>
      </c>
      <c r="AB44" s="110">
        <v>0</v>
      </c>
      <c r="AC44" s="110">
        <v>0</v>
      </c>
      <c r="AD44" s="110">
        <v>20.666589255178501</v>
      </c>
      <c r="AE44" s="110">
        <v>0.211361657361605</v>
      </c>
      <c r="AF44" s="110">
        <v>0.77690207973074299</v>
      </c>
      <c r="AG44" s="110">
        <v>0.26829528678688502</v>
      </c>
      <c r="AH44" s="110">
        <v>9.98600480753562</v>
      </c>
      <c r="AI44" s="110">
        <v>-14.01384272756</v>
      </c>
      <c r="AJ44" s="110">
        <v>2.1202669456370802</v>
      </c>
      <c r="AK44" s="110">
        <v>21.620320393403698</v>
      </c>
      <c r="AL44" s="110">
        <v>0</v>
      </c>
      <c r="AM44" s="110">
        <v>189.69456960263301</v>
      </c>
      <c r="AN44" s="110">
        <v>4.8718959514039897</v>
      </c>
      <c r="AO44" s="110">
        <v>3.4100898268608302</v>
      </c>
      <c r="AP44" s="110">
        <v>0</v>
      </c>
      <c r="AQ44" s="110">
        <v>0</v>
      </c>
      <c r="AR44" s="111">
        <v>1.85378725895631</v>
      </c>
    </row>
    <row r="45" spans="2:44" ht="12" customHeight="1" x14ac:dyDescent="0.3">
      <c r="B45" s="109" t="s">
        <v>42</v>
      </c>
      <c r="C45" s="110" t="s">
        <v>95</v>
      </c>
      <c r="D45" s="110" t="s">
        <v>43</v>
      </c>
      <c r="E45" s="110" t="s">
        <v>25</v>
      </c>
      <c r="F45" s="110" t="s">
        <v>25</v>
      </c>
      <c r="G45" s="110" t="s">
        <v>25</v>
      </c>
      <c r="H45" s="110" t="s">
        <v>76</v>
      </c>
      <c r="I45" s="110" t="s">
        <v>25</v>
      </c>
      <c r="J45" s="110">
        <v>472.28</v>
      </c>
      <c r="K45" s="110">
        <v>224.32</v>
      </c>
      <c r="L45" s="110">
        <v>3.1874172129406602</v>
      </c>
      <c r="M45" s="110">
        <v>0.91901165522096595</v>
      </c>
      <c r="N45" s="110">
        <v>3.8039786533108302</v>
      </c>
      <c r="O45" s="110">
        <v>0</v>
      </c>
      <c r="P45" s="110">
        <v>0</v>
      </c>
      <c r="Q45" s="110">
        <v>84.254526179455794</v>
      </c>
      <c r="R45" s="110">
        <v>13.336046016978701</v>
      </c>
      <c r="S45" s="110">
        <v>0</v>
      </c>
      <c r="T45" s="110">
        <v>0</v>
      </c>
      <c r="U45" s="110">
        <v>0</v>
      </c>
      <c r="V45" s="110">
        <v>0</v>
      </c>
      <c r="W45" s="110">
        <v>0</v>
      </c>
      <c r="X45" s="110">
        <v>144.58394961536399</v>
      </c>
      <c r="Y45" s="110">
        <v>0</v>
      </c>
      <c r="Z45" s="110">
        <v>0</v>
      </c>
      <c r="AA45" s="110">
        <v>199.79316508916099</v>
      </c>
      <c r="AB45" s="110">
        <v>0</v>
      </c>
      <c r="AC45" s="110">
        <v>0</v>
      </c>
      <c r="AD45" s="110">
        <v>21.115862934638901</v>
      </c>
      <c r="AE45" s="110">
        <v>0.215956475999901</v>
      </c>
      <c r="AF45" s="110">
        <v>0.79379125537706297</v>
      </c>
      <c r="AG45" s="110">
        <v>0.27412779302138202</v>
      </c>
      <c r="AH45" s="110">
        <v>10.203091868569</v>
      </c>
      <c r="AI45" s="110">
        <v>-14.3184914825069</v>
      </c>
      <c r="AJ45" s="110">
        <v>2.1663597053248398</v>
      </c>
      <c r="AK45" s="110">
        <v>22.090327358477701</v>
      </c>
      <c r="AL45" s="110">
        <v>0</v>
      </c>
      <c r="AM45" s="110">
        <v>193.818364593994</v>
      </c>
      <c r="AN45" s="110">
        <v>4.9778067329562496</v>
      </c>
      <c r="AO45" s="110">
        <v>3.4842222144012802</v>
      </c>
      <c r="AP45" s="110">
        <v>0</v>
      </c>
      <c r="AQ45" s="110">
        <v>0</v>
      </c>
      <c r="AR45" s="111">
        <v>1.8940869819771</v>
      </c>
    </row>
    <row r="46" spans="2:44" ht="12" customHeight="1" x14ac:dyDescent="0.3">
      <c r="B46" s="109" t="s">
        <v>42</v>
      </c>
      <c r="C46" s="110" t="s">
        <v>95</v>
      </c>
      <c r="D46" s="110" t="s">
        <v>43</v>
      </c>
      <c r="E46" s="110" t="s">
        <v>97</v>
      </c>
      <c r="F46" s="110" t="s">
        <v>25</v>
      </c>
      <c r="G46" s="110" t="s">
        <v>25</v>
      </c>
      <c r="H46" s="110" t="s">
        <v>76</v>
      </c>
      <c r="I46" s="110" t="s">
        <v>25</v>
      </c>
      <c r="J46" s="110">
        <v>462.23</v>
      </c>
      <c r="K46" s="110">
        <v>219.54</v>
      </c>
      <c r="L46" s="110">
        <v>3.1195998254312798</v>
      </c>
      <c r="M46" s="110">
        <v>0.89945821574817897</v>
      </c>
      <c r="N46" s="110">
        <v>3.7230429372829401</v>
      </c>
      <c r="O46" s="110">
        <v>0</v>
      </c>
      <c r="P46" s="110">
        <v>0</v>
      </c>
      <c r="Q46" s="110">
        <v>82.4618766862759</v>
      </c>
      <c r="R46" s="110">
        <v>13.052300357043</v>
      </c>
      <c r="S46" s="110">
        <v>0</v>
      </c>
      <c r="T46" s="110">
        <v>0</v>
      </c>
      <c r="U46" s="110">
        <v>0</v>
      </c>
      <c r="V46" s="110">
        <v>0</v>
      </c>
      <c r="W46" s="110">
        <v>0</v>
      </c>
      <c r="X46" s="110">
        <v>141.50769536822801</v>
      </c>
      <c r="Y46" s="110">
        <v>0</v>
      </c>
      <c r="Z46" s="110">
        <v>0</v>
      </c>
      <c r="AA46" s="110">
        <v>195.54224668300799</v>
      </c>
      <c r="AB46" s="110">
        <v>0</v>
      </c>
      <c r="AC46" s="110">
        <v>0</v>
      </c>
      <c r="AD46" s="110">
        <v>20.666589255178501</v>
      </c>
      <c r="AE46" s="110">
        <v>0.211361657361605</v>
      </c>
      <c r="AF46" s="110">
        <v>0.77690207973074299</v>
      </c>
      <c r="AG46" s="110">
        <v>0.26829528678688502</v>
      </c>
      <c r="AH46" s="110">
        <v>9.98600480753562</v>
      </c>
      <c r="AI46" s="110">
        <v>-14.01384272756</v>
      </c>
      <c r="AJ46" s="110">
        <v>2.1202669456370802</v>
      </c>
      <c r="AK46" s="110">
        <v>21.620320393403698</v>
      </c>
      <c r="AL46" s="110">
        <v>0</v>
      </c>
      <c r="AM46" s="110">
        <v>189.69456960263301</v>
      </c>
      <c r="AN46" s="110">
        <v>4.8718959514039897</v>
      </c>
      <c r="AO46" s="110">
        <v>3.4100898268608302</v>
      </c>
      <c r="AP46" s="110">
        <v>0</v>
      </c>
      <c r="AQ46" s="110">
        <v>0</v>
      </c>
      <c r="AR46" s="111">
        <v>1.85378725895631</v>
      </c>
    </row>
    <row r="47" spans="2:44" ht="12" customHeight="1" x14ac:dyDescent="0.3">
      <c r="B47" s="109" t="s">
        <v>37</v>
      </c>
      <c r="C47" s="110" t="s">
        <v>33</v>
      </c>
      <c r="D47" s="110" t="s">
        <v>25</v>
      </c>
      <c r="E47" s="110" t="s">
        <v>25</v>
      </c>
      <c r="F47" s="110" t="s">
        <v>25</v>
      </c>
      <c r="G47" s="110" t="s">
        <v>34</v>
      </c>
      <c r="H47" s="110" t="s">
        <v>76</v>
      </c>
      <c r="I47" s="110" t="s">
        <v>25</v>
      </c>
      <c r="J47" s="110">
        <v>1463.71</v>
      </c>
      <c r="K47" s="110">
        <v>367.02</v>
      </c>
      <c r="L47" s="110">
        <v>3.3908693754687902</v>
      </c>
      <c r="M47" s="110">
        <v>0.97767197363932501</v>
      </c>
      <c r="N47" s="110">
        <v>12.802732792868699</v>
      </c>
      <c r="O47" s="110">
        <v>0</v>
      </c>
      <c r="P47" s="110">
        <v>0</v>
      </c>
      <c r="Q47" s="110">
        <v>89.632474658995505</v>
      </c>
      <c r="R47" s="110">
        <v>14.1872829967858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553.72587374381396</v>
      </c>
      <c r="Y47" s="110">
        <v>0</v>
      </c>
      <c r="Z47" s="110">
        <v>0</v>
      </c>
      <c r="AA47" s="110">
        <v>765.16526970000996</v>
      </c>
      <c r="AB47" s="110">
        <v>0</v>
      </c>
      <c r="AC47" s="110">
        <v>0</v>
      </c>
      <c r="AD47" s="110">
        <v>22.4636839730201</v>
      </c>
      <c r="AE47" s="110">
        <v>0.229740931914788</v>
      </c>
      <c r="AF47" s="110">
        <v>0.844458782316025</v>
      </c>
      <c r="AG47" s="110">
        <v>0.29162531172487499</v>
      </c>
      <c r="AH47" s="110">
        <v>10.8543530516692</v>
      </c>
      <c r="AI47" s="110">
        <v>-15.232437747347801</v>
      </c>
      <c r="AJ47" s="110">
        <v>2.3046379843881302</v>
      </c>
      <c r="AK47" s="110">
        <v>23.500348253699698</v>
      </c>
      <c r="AL47" s="110">
        <v>0</v>
      </c>
      <c r="AM47" s="110">
        <v>334.572046468959</v>
      </c>
      <c r="AN47" s="110">
        <v>5.2955390776130402</v>
      </c>
      <c r="AO47" s="110">
        <v>3.7066193770226401</v>
      </c>
      <c r="AP47" s="110">
        <v>0</v>
      </c>
      <c r="AQ47" s="110">
        <v>0</v>
      </c>
      <c r="AR47" s="111">
        <v>2.0149861510394702</v>
      </c>
    </row>
    <row r="48" spans="2:44" ht="12" customHeight="1" x14ac:dyDescent="0.3">
      <c r="B48" s="109" t="s">
        <v>37</v>
      </c>
      <c r="C48" s="110" t="s">
        <v>33</v>
      </c>
      <c r="D48" s="110" t="s">
        <v>25</v>
      </c>
      <c r="E48" s="110" t="s">
        <v>25</v>
      </c>
      <c r="F48" s="110" t="s">
        <v>25</v>
      </c>
      <c r="G48" s="110" t="s">
        <v>36</v>
      </c>
      <c r="H48" s="110" t="s">
        <v>76</v>
      </c>
      <c r="I48" s="110" t="s">
        <v>25</v>
      </c>
      <c r="J48" s="110">
        <v>931.31</v>
      </c>
      <c r="K48" s="110">
        <v>226.96</v>
      </c>
      <c r="L48" s="110">
        <v>3.3908693754687902</v>
      </c>
      <c r="M48" s="110">
        <v>0.97767197363932501</v>
      </c>
      <c r="N48" s="110">
        <v>7.9532857208551899</v>
      </c>
      <c r="O48" s="110">
        <v>0</v>
      </c>
      <c r="P48" s="110">
        <v>0</v>
      </c>
      <c r="Q48" s="110">
        <v>89.632474658995505</v>
      </c>
      <c r="R48" s="110">
        <v>14.1872829967858</v>
      </c>
      <c r="S48" s="110">
        <v>0</v>
      </c>
      <c r="T48" s="110">
        <v>0</v>
      </c>
      <c r="U48" s="110">
        <v>0</v>
      </c>
      <c r="V48" s="110">
        <v>0</v>
      </c>
      <c r="W48" s="110">
        <v>0</v>
      </c>
      <c r="X48" s="110">
        <v>332.23556795006601</v>
      </c>
      <c r="Y48" s="110">
        <v>0</v>
      </c>
      <c r="Z48" s="110">
        <v>0</v>
      </c>
      <c r="AA48" s="110">
        <v>459.09916182000597</v>
      </c>
      <c r="AB48" s="110">
        <v>0</v>
      </c>
      <c r="AC48" s="110">
        <v>0</v>
      </c>
      <c r="AD48" s="110">
        <v>22.4636839730201</v>
      </c>
      <c r="AE48" s="110">
        <v>0.229740931914788</v>
      </c>
      <c r="AF48" s="110">
        <v>0.844458782316025</v>
      </c>
      <c r="AG48" s="110">
        <v>0.29162531172487499</v>
      </c>
      <c r="AH48" s="110">
        <v>10.8543530516692</v>
      </c>
      <c r="AI48" s="110">
        <v>-15.232437747347801</v>
      </c>
      <c r="AJ48" s="110">
        <v>2.3046379843881302</v>
      </c>
      <c r="AK48" s="110">
        <v>23.500348253699698</v>
      </c>
      <c r="AL48" s="110">
        <v>0</v>
      </c>
      <c r="AM48" s="110">
        <v>194.51863166799899</v>
      </c>
      <c r="AN48" s="110">
        <v>5.2955390776130402</v>
      </c>
      <c r="AO48" s="110">
        <v>3.7066193770226401</v>
      </c>
      <c r="AP48" s="110">
        <v>0</v>
      </c>
      <c r="AQ48" s="110">
        <v>0</v>
      </c>
      <c r="AR48" s="111">
        <v>2.0149861510394702</v>
      </c>
    </row>
    <row r="49" spans="2:44" ht="12" customHeight="1" x14ac:dyDescent="0.3">
      <c r="B49" s="109" t="s">
        <v>37</v>
      </c>
      <c r="C49" s="110" t="s">
        <v>33</v>
      </c>
      <c r="D49" s="110" t="s">
        <v>25</v>
      </c>
      <c r="E49" s="110" t="s">
        <v>25</v>
      </c>
      <c r="F49" s="110" t="s">
        <v>25</v>
      </c>
      <c r="G49" s="110" t="s">
        <v>35</v>
      </c>
      <c r="H49" s="110" t="s">
        <v>76</v>
      </c>
      <c r="I49" s="110" t="s">
        <v>25</v>
      </c>
      <c r="J49" s="110">
        <v>398.9</v>
      </c>
      <c r="K49" s="110">
        <v>226.96</v>
      </c>
      <c r="L49" s="110">
        <v>3.3908693754687902</v>
      </c>
      <c r="M49" s="110">
        <v>0.97767197363932501</v>
      </c>
      <c r="N49" s="110">
        <v>3.10383764846065</v>
      </c>
      <c r="O49" s="110">
        <v>0</v>
      </c>
      <c r="P49" s="110">
        <v>0</v>
      </c>
      <c r="Q49" s="110">
        <v>89.632474658995505</v>
      </c>
      <c r="R49" s="110">
        <v>14.1872829967858</v>
      </c>
      <c r="S49" s="110">
        <v>0</v>
      </c>
      <c r="T49" s="110">
        <v>0</v>
      </c>
      <c r="U49" s="110">
        <v>0</v>
      </c>
      <c r="V49" s="110">
        <v>0</v>
      </c>
      <c r="W49" s="110">
        <v>0</v>
      </c>
      <c r="X49" s="110">
        <v>110.745152896874</v>
      </c>
      <c r="Y49" s="110">
        <v>0</v>
      </c>
      <c r="Z49" s="110">
        <v>0</v>
      </c>
      <c r="AA49" s="110">
        <v>153.03305394000199</v>
      </c>
      <c r="AB49" s="110">
        <v>0</v>
      </c>
      <c r="AC49" s="110">
        <v>0</v>
      </c>
      <c r="AD49" s="110">
        <v>22.4636839730201</v>
      </c>
      <c r="AE49" s="110">
        <v>0.229740931914788</v>
      </c>
      <c r="AF49" s="110">
        <v>0.844458782316025</v>
      </c>
      <c r="AG49" s="110">
        <v>0.29162531172487499</v>
      </c>
      <c r="AH49" s="110">
        <v>10.8543530516692</v>
      </c>
      <c r="AI49" s="110">
        <v>-15.232437747347801</v>
      </c>
      <c r="AJ49" s="110">
        <v>2.3046379843881302</v>
      </c>
      <c r="AK49" s="110">
        <v>23.500348253699698</v>
      </c>
      <c r="AL49" s="110">
        <v>0</v>
      </c>
      <c r="AM49" s="110">
        <v>194.51863166799899</v>
      </c>
      <c r="AN49" s="110">
        <v>5.2955390776130402</v>
      </c>
      <c r="AO49" s="110">
        <v>3.7066193770226401</v>
      </c>
      <c r="AP49" s="110">
        <v>0</v>
      </c>
      <c r="AQ49" s="110">
        <v>0</v>
      </c>
      <c r="AR49" s="111">
        <v>2.0149861510394702</v>
      </c>
    </row>
    <row r="50" spans="2:44" ht="12" customHeight="1" x14ac:dyDescent="0.3">
      <c r="B50" s="109" t="s">
        <v>37</v>
      </c>
      <c r="C50" s="110" t="s">
        <v>23</v>
      </c>
      <c r="D50" s="110" t="s">
        <v>25</v>
      </c>
      <c r="E50" s="110" t="s">
        <v>25</v>
      </c>
      <c r="F50" s="110" t="s">
        <v>25</v>
      </c>
      <c r="G50" s="110" t="s">
        <v>25</v>
      </c>
      <c r="H50" s="110" t="s">
        <v>76</v>
      </c>
      <c r="I50" s="110" t="s">
        <v>25</v>
      </c>
      <c r="J50" s="110">
        <v>502.42</v>
      </c>
      <c r="K50" s="110">
        <v>238.63</v>
      </c>
      <c r="L50" s="110">
        <v>3.3908693754687902</v>
      </c>
      <c r="M50" s="110">
        <v>0.97767197363932501</v>
      </c>
      <c r="N50" s="110">
        <v>4.0467858013944999</v>
      </c>
      <c r="O50" s="110">
        <v>0</v>
      </c>
      <c r="P50" s="110">
        <v>0</v>
      </c>
      <c r="Q50" s="110">
        <v>89.632474658995505</v>
      </c>
      <c r="R50" s="110">
        <v>14.1872829967858</v>
      </c>
      <c r="S50" s="110">
        <v>0</v>
      </c>
      <c r="T50" s="110">
        <v>0</v>
      </c>
      <c r="U50" s="110">
        <v>0</v>
      </c>
      <c r="V50" s="110">
        <v>0</v>
      </c>
      <c r="W50" s="110">
        <v>0</v>
      </c>
      <c r="X50" s="110">
        <v>153.81271235676999</v>
      </c>
      <c r="Y50" s="110">
        <v>0</v>
      </c>
      <c r="Z50" s="110">
        <v>0</v>
      </c>
      <c r="AA50" s="110">
        <v>212.54592030761799</v>
      </c>
      <c r="AB50" s="110">
        <v>0</v>
      </c>
      <c r="AC50" s="110">
        <v>0</v>
      </c>
      <c r="AD50" s="110">
        <v>22.4636839730201</v>
      </c>
      <c r="AE50" s="110">
        <v>0.229740931914788</v>
      </c>
      <c r="AF50" s="110">
        <v>0.844458782316025</v>
      </c>
      <c r="AG50" s="110">
        <v>0.29162531172487499</v>
      </c>
      <c r="AH50" s="110">
        <v>10.8543530516692</v>
      </c>
      <c r="AI50" s="110">
        <v>-15.232437747347801</v>
      </c>
      <c r="AJ50" s="110">
        <v>2.3046379843881302</v>
      </c>
      <c r="AK50" s="110">
        <v>23.500348253699698</v>
      </c>
      <c r="AL50" s="110">
        <v>0</v>
      </c>
      <c r="AM50" s="110">
        <v>206.18974956807901</v>
      </c>
      <c r="AN50" s="110">
        <v>5.2955390776130402</v>
      </c>
      <c r="AO50" s="110">
        <v>3.7066193770226401</v>
      </c>
      <c r="AP50" s="110">
        <v>0</v>
      </c>
      <c r="AQ50" s="110">
        <v>0</v>
      </c>
      <c r="AR50" s="111">
        <v>2.0149861510394702</v>
      </c>
    </row>
    <row r="51" spans="2:44" ht="12" customHeight="1" x14ac:dyDescent="0.3">
      <c r="B51" s="109" t="s">
        <v>37</v>
      </c>
      <c r="C51" s="110" t="s">
        <v>95</v>
      </c>
      <c r="D51" s="110" t="s">
        <v>25</v>
      </c>
      <c r="E51" s="110" t="s">
        <v>25</v>
      </c>
      <c r="F51" s="110" t="s">
        <v>25</v>
      </c>
      <c r="G51" s="110" t="s">
        <v>25</v>
      </c>
      <c r="H51" s="110" t="s">
        <v>76</v>
      </c>
      <c r="I51" s="110" t="s">
        <v>25</v>
      </c>
      <c r="J51" s="110">
        <v>502.42</v>
      </c>
      <c r="K51" s="110">
        <v>238.63</v>
      </c>
      <c r="L51" s="110">
        <v>3.3908693754687902</v>
      </c>
      <c r="M51" s="110">
        <v>0.97767197363932501</v>
      </c>
      <c r="N51" s="110">
        <v>4.0467858013944999</v>
      </c>
      <c r="O51" s="110">
        <v>0</v>
      </c>
      <c r="P51" s="110">
        <v>0</v>
      </c>
      <c r="Q51" s="110">
        <v>89.632474658995505</v>
      </c>
      <c r="R51" s="110">
        <v>14.1872829967858</v>
      </c>
      <c r="S51" s="110">
        <v>0</v>
      </c>
      <c r="T51" s="110">
        <v>0</v>
      </c>
      <c r="U51" s="110">
        <v>0</v>
      </c>
      <c r="V51" s="110">
        <v>0</v>
      </c>
      <c r="W51" s="110">
        <v>0</v>
      </c>
      <c r="X51" s="110">
        <v>153.81271235676999</v>
      </c>
      <c r="Y51" s="110">
        <v>0</v>
      </c>
      <c r="Z51" s="110">
        <v>0</v>
      </c>
      <c r="AA51" s="110">
        <v>212.54592030761799</v>
      </c>
      <c r="AB51" s="110">
        <v>0</v>
      </c>
      <c r="AC51" s="110">
        <v>0</v>
      </c>
      <c r="AD51" s="110">
        <v>22.4636839730201</v>
      </c>
      <c r="AE51" s="110">
        <v>0.229740931914788</v>
      </c>
      <c r="AF51" s="110">
        <v>0.844458782316025</v>
      </c>
      <c r="AG51" s="110">
        <v>0.29162531172487499</v>
      </c>
      <c r="AH51" s="110">
        <v>10.8543530516692</v>
      </c>
      <c r="AI51" s="110">
        <v>-15.232437747347801</v>
      </c>
      <c r="AJ51" s="110">
        <v>2.3046379843881302</v>
      </c>
      <c r="AK51" s="110">
        <v>23.500348253699698</v>
      </c>
      <c r="AL51" s="110">
        <v>0</v>
      </c>
      <c r="AM51" s="110">
        <v>206.18974956807901</v>
      </c>
      <c r="AN51" s="110">
        <v>5.2955390776130402</v>
      </c>
      <c r="AO51" s="110">
        <v>3.7066193770226401</v>
      </c>
      <c r="AP51" s="110">
        <v>0</v>
      </c>
      <c r="AQ51" s="110">
        <v>0</v>
      </c>
      <c r="AR51" s="111">
        <v>2.0149861510394702</v>
      </c>
    </row>
    <row r="52" spans="2:44" ht="12" customHeight="1" x14ac:dyDescent="0.3">
      <c r="B52" s="109" t="s">
        <v>45</v>
      </c>
      <c r="C52" s="110" t="s">
        <v>23</v>
      </c>
      <c r="D52" s="110" t="s">
        <v>46</v>
      </c>
      <c r="E52" s="110" t="s">
        <v>47</v>
      </c>
      <c r="F52" s="110" t="s">
        <v>25</v>
      </c>
      <c r="G52" s="110" t="s">
        <v>25</v>
      </c>
      <c r="H52" s="110" t="s">
        <v>76</v>
      </c>
      <c r="I52" s="110" t="s">
        <v>25</v>
      </c>
      <c r="J52" s="110">
        <v>276.33</v>
      </c>
      <c r="K52" s="110">
        <v>131.25</v>
      </c>
      <c r="L52" s="110">
        <v>1.8649781565078301</v>
      </c>
      <c r="M52" s="110">
        <v>0.53771958550162902</v>
      </c>
      <c r="N52" s="110">
        <v>2.2257321907669798</v>
      </c>
      <c r="O52" s="110">
        <v>0</v>
      </c>
      <c r="P52" s="110">
        <v>0</v>
      </c>
      <c r="Q52" s="110">
        <v>49.297861062447502</v>
      </c>
      <c r="R52" s="110">
        <v>7.8030056482322001</v>
      </c>
      <c r="S52" s="110">
        <v>0</v>
      </c>
      <c r="T52" s="110">
        <v>0</v>
      </c>
      <c r="U52" s="110">
        <v>0</v>
      </c>
      <c r="V52" s="110">
        <v>0</v>
      </c>
      <c r="W52" s="110">
        <v>0</v>
      </c>
      <c r="X52" s="110">
        <v>84.596991796223406</v>
      </c>
      <c r="Y52" s="110">
        <v>0</v>
      </c>
      <c r="Z52" s="110">
        <v>0</v>
      </c>
      <c r="AA52" s="110">
        <v>116.90025616919</v>
      </c>
      <c r="AB52" s="110">
        <v>0</v>
      </c>
      <c r="AC52" s="110">
        <v>0</v>
      </c>
      <c r="AD52" s="110">
        <v>12.355026185161</v>
      </c>
      <c r="AE52" s="110">
        <v>0.12635751255313299</v>
      </c>
      <c r="AF52" s="110">
        <v>0.464452330273814</v>
      </c>
      <c r="AG52" s="110">
        <v>0.160393921448681</v>
      </c>
      <c r="AH52" s="110">
        <v>5.9698941784180404</v>
      </c>
      <c r="AI52" s="110">
        <v>-8.3778407610413002</v>
      </c>
      <c r="AJ52" s="110">
        <v>1.2675508914134701</v>
      </c>
      <c r="AK52" s="110">
        <v>12.925191539534801</v>
      </c>
      <c r="AL52" s="110">
        <v>0</v>
      </c>
      <c r="AM52" s="110">
        <v>113.404362262444</v>
      </c>
      <c r="AN52" s="110">
        <v>2.91254649268717</v>
      </c>
      <c r="AO52" s="110">
        <v>2.0386406573624498</v>
      </c>
      <c r="AP52" s="110">
        <v>0</v>
      </c>
      <c r="AQ52" s="110">
        <v>0</v>
      </c>
      <c r="AR52" s="111">
        <v>1.1082423830717101</v>
      </c>
    </row>
    <row r="53" spans="2:44" ht="12" customHeight="1" x14ac:dyDescent="0.3">
      <c r="B53" s="112" t="s">
        <v>45</v>
      </c>
      <c r="C53" s="113" t="s">
        <v>23</v>
      </c>
      <c r="D53" s="113" t="s">
        <v>46</v>
      </c>
      <c r="E53" s="113" t="s">
        <v>98</v>
      </c>
      <c r="F53" s="113" t="s">
        <v>25</v>
      </c>
      <c r="G53" s="113" t="s">
        <v>25</v>
      </c>
      <c r="H53" s="113" t="s">
        <v>76</v>
      </c>
      <c r="I53" s="113" t="s">
        <v>25</v>
      </c>
      <c r="J53" s="113">
        <v>301.45</v>
      </c>
      <c r="K53" s="113">
        <v>143.18</v>
      </c>
      <c r="L53" s="113">
        <v>2.0345216252812701</v>
      </c>
      <c r="M53" s="113">
        <v>0.58660318418359503</v>
      </c>
      <c r="N53" s="113">
        <v>2.4280714808366999</v>
      </c>
      <c r="O53" s="113">
        <v>0</v>
      </c>
      <c r="P53" s="113">
        <v>0</v>
      </c>
      <c r="Q53" s="113">
        <v>53.779484795397302</v>
      </c>
      <c r="R53" s="113">
        <v>8.5123697980714894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92.287627414061902</v>
      </c>
      <c r="Y53" s="113">
        <v>0</v>
      </c>
      <c r="Z53" s="113">
        <v>0</v>
      </c>
      <c r="AA53" s="113">
        <v>127.52755218457099</v>
      </c>
      <c r="AB53" s="113">
        <v>0</v>
      </c>
      <c r="AC53" s="113">
        <v>0</v>
      </c>
      <c r="AD53" s="113">
        <v>13.478210383812</v>
      </c>
      <c r="AE53" s="113">
        <v>0.137844559148873</v>
      </c>
      <c r="AF53" s="113">
        <v>0.50667526938961505</v>
      </c>
      <c r="AG53" s="113">
        <v>0.17497518703492501</v>
      </c>
      <c r="AH53" s="113">
        <v>6.5126118310014904</v>
      </c>
      <c r="AI53" s="113">
        <v>-9.1394626484086903</v>
      </c>
      <c r="AJ53" s="113">
        <v>1.38278279063288</v>
      </c>
      <c r="AK53" s="113">
        <v>14.1002089522198</v>
      </c>
      <c r="AL53" s="113">
        <v>0</v>
      </c>
      <c r="AM53" s="113">
        <v>123.713849740847</v>
      </c>
      <c r="AN53" s="113">
        <v>3.17732344656782</v>
      </c>
      <c r="AO53" s="113">
        <v>2.22397162621359</v>
      </c>
      <c r="AP53" s="113">
        <v>0</v>
      </c>
      <c r="AQ53" s="113">
        <v>0</v>
      </c>
      <c r="AR53" s="114">
        <v>1.2089916906236799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D009-4819-48C9-AA62-2999BA360143}">
  <dimension ref="B1:AR53"/>
  <sheetViews>
    <sheetView showGridLines="0" workbookViewId="0">
      <selection activeCell="B4" sqref="B4"/>
    </sheetView>
  </sheetViews>
  <sheetFormatPr defaultRowHeight="14.4" x14ac:dyDescent="0.3"/>
  <cols>
    <col min="2" max="2" width="13.44140625" bestFit="1" customWidth="1"/>
    <col min="3" max="3" width="27.6640625" bestFit="1" customWidth="1"/>
    <col min="4" max="4" width="17.88671875" bestFit="1" customWidth="1"/>
    <col min="5" max="5" width="31.109375" bestFit="1" customWidth="1"/>
    <col min="6" max="6" width="12.5546875" bestFit="1" customWidth="1"/>
    <col min="7" max="7" width="13.44140625" bestFit="1" customWidth="1"/>
    <col min="8" max="8" width="11.5546875" bestFit="1" customWidth="1"/>
    <col min="9" max="9" width="13.44140625" bestFit="1" customWidth="1"/>
    <col min="10" max="10" width="12.88671875" bestFit="1" customWidth="1"/>
    <col min="11" max="11" width="10.109375" bestFit="1" customWidth="1"/>
    <col min="12" max="12" width="19.33203125" bestFit="1" customWidth="1"/>
    <col min="13" max="13" width="14" bestFit="1" customWidth="1"/>
    <col min="14" max="14" width="12.5546875" bestFit="1" customWidth="1"/>
    <col min="15" max="15" width="12.88671875" bestFit="1" customWidth="1"/>
    <col min="16" max="17" width="12.44140625" bestFit="1" customWidth="1"/>
    <col min="18" max="18" width="17.109375" bestFit="1" customWidth="1"/>
    <col min="19" max="19" width="10.88671875" bestFit="1" customWidth="1"/>
    <col min="20" max="20" width="11.33203125" bestFit="1" customWidth="1"/>
    <col min="21" max="21" width="11.109375" bestFit="1" customWidth="1"/>
    <col min="22" max="22" width="12.33203125" bestFit="1" customWidth="1"/>
    <col min="23" max="23" width="12.5546875" bestFit="1" customWidth="1"/>
    <col min="24" max="24" width="13.88671875" bestFit="1" customWidth="1"/>
    <col min="25" max="25" width="11.44140625" bestFit="1" customWidth="1"/>
    <col min="26" max="26" width="14.33203125" bestFit="1" customWidth="1"/>
    <col min="27" max="27" width="12.88671875" bestFit="1" customWidth="1"/>
    <col min="28" max="28" width="16.109375" bestFit="1" customWidth="1"/>
    <col min="29" max="29" width="14.44140625" bestFit="1" customWidth="1"/>
    <col min="30" max="30" width="12" bestFit="1" customWidth="1"/>
    <col min="31" max="31" width="17.6640625" bestFit="1" customWidth="1"/>
    <col min="32" max="32" width="12.5546875" bestFit="1" customWidth="1"/>
    <col min="33" max="33" width="10.6640625" bestFit="1" customWidth="1"/>
    <col min="34" max="34" width="16.5546875" bestFit="1" customWidth="1"/>
    <col min="35" max="35" width="14.5546875" bestFit="1" customWidth="1"/>
    <col min="36" max="36" width="9.88671875" bestFit="1" customWidth="1"/>
    <col min="37" max="37" width="12.5546875" bestFit="1" customWidth="1"/>
    <col min="38" max="38" width="12.33203125" bestFit="1" customWidth="1"/>
    <col min="39" max="39" width="14.109375" bestFit="1" customWidth="1"/>
    <col min="40" max="40" width="25.33203125" bestFit="1" customWidth="1"/>
    <col min="41" max="41" width="17.88671875" bestFit="1" customWidth="1"/>
    <col min="42" max="42" width="13.44140625" bestFit="1" customWidth="1"/>
    <col min="43" max="43" width="13.33203125" bestFit="1" customWidth="1"/>
    <col min="44" max="44" width="12.5546875" bestFit="1" customWidth="1"/>
  </cols>
  <sheetData>
    <row r="1" spans="2:44" ht="12" customHeight="1" x14ac:dyDescent="0.3">
      <c r="L1" s="155" t="s">
        <v>1406</v>
      </c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6"/>
      <c r="AH1" s="155" t="s">
        <v>1407</v>
      </c>
      <c r="AI1" s="155"/>
      <c r="AJ1" s="155"/>
      <c r="AK1" s="155"/>
      <c r="AL1" s="155"/>
      <c r="AM1" s="155"/>
      <c r="AN1" s="155"/>
      <c r="AO1" s="155"/>
      <c r="AP1" s="155"/>
      <c r="AQ1" s="155"/>
      <c r="AR1" s="155"/>
    </row>
    <row r="2" spans="2:44" ht="12" customHeight="1" x14ac:dyDescent="0.3">
      <c r="L2" s="157" t="s">
        <v>611</v>
      </c>
      <c r="M2" s="157"/>
      <c r="N2" s="157"/>
      <c r="O2" s="157"/>
      <c r="P2" s="157"/>
      <c r="Q2" s="157"/>
      <c r="R2" s="157"/>
      <c r="S2" s="158"/>
      <c r="T2" s="157" t="s">
        <v>620</v>
      </c>
      <c r="U2" s="157"/>
      <c r="V2" s="157"/>
      <c r="W2" s="157"/>
      <c r="X2" s="157"/>
      <c r="Y2" s="157"/>
      <c r="Z2" s="158"/>
      <c r="AA2" s="116" t="s">
        <v>628</v>
      </c>
      <c r="AB2" s="157" t="s">
        <v>25</v>
      </c>
      <c r="AC2" s="158"/>
      <c r="AD2" s="157" t="s">
        <v>1405</v>
      </c>
      <c r="AE2" s="157"/>
      <c r="AF2" s="157"/>
      <c r="AG2" s="158"/>
      <c r="AH2" s="157" t="s">
        <v>611</v>
      </c>
      <c r="AI2" s="157"/>
      <c r="AJ2" s="157"/>
      <c r="AK2" s="157"/>
      <c r="AL2" s="158"/>
      <c r="AM2" s="116" t="s">
        <v>642</v>
      </c>
      <c r="AN2" s="157" t="s">
        <v>620</v>
      </c>
      <c r="AO2" s="157"/>
      <c r="AP2" s="157"/>
      <c r="AQ2" s="158"/>
      <c r="AR2" s="115" t="s">
        <v>1405</v>
      </c>
    </row>
    <row r="3" spans="2:44" ht="12" customHeight="1" x14ac:dyDescent="0.3">
      <c r="B3" s="106" t="s">
        <v>66</v>
      </c>
      <c r="C3" s="107" t="s">
        <v>67</v>
      </c>
      <c r="D3" s="107" t="s">
        <v>68</v>
      </c>
      <c r="E3" s="107" t="s">
        <v>69</v>
      </c>
      <c r="F3" s="107" t="s">
        <v>70</v>
      </c>
      <c r="G3" s="107" t="s">
        <v>72</v>
      </c>
      <c r="H3" s="107" t="s">
        <v>73</v>
      </c>
      <c r="I3" s="107" t="s">
        <v>859</v>
      </c>
      <c r="J3" s="107" t="s">
        <v>1369</v>
      </c>
      <c r="K3" s="107" t="s">
        <v>1370</v>
      </c>
      <c r="L3" s="107" t="s">
        <v>1371</v>
      </c>
      <c r="M3" s="107" t="s">
        <v>1372</v>
      </c>
      <c r="N3" s="107" t="s">
        <v>1373</v>
      </c>
      <c r="O3" s="107" t="s">
        <v>1374</v>
      </c>
      <c r="P3" s="107" t="s">
        <v>1375</v>
      </c>
      <c r="Q3" s="107" t="s">
        <v>1376</v>
      </c>
      <c r="R3" s="107" t="s">
        <v>1377</v>
      </c>
      <c r="S3" s="107" t="s">
        <v>1378</v>
      </c>
      <c r="T3" s="107" t="s">
        <v>1379</v>
      </c>
      <c r="U3" s="107" t="s">
        <v>1380</v>
      </c>
      <c r="V3" s="107" t="s">
        <v>1381</v>
      </c>
      <c r="W3" s="107" t="s">
        <v>1382</v>
      </c>
      <c r="X3" s="107" t="s">
        <v>1383</v>
      </c>
      <c r="Y3" s="107" t="s">
        <v>1384</v>
      </c>
      <c r="Z3" s="107" t="s">
        <v>1385</v>
      </c>
      <c r="AA3" s="107" t="s">
        <v>1386</v>
      </c>
      <c r="AB3" s="107" t="s">
        <v>1387</v>
      </c>
      <c r="AC3" s="107" t="s">
        <v>1388</v>
      </c>
      <c r="AD3" s="107" t="s">
        <v>1389</v>
      </c>
      <c r="AE3" s="107" t="s">
        <v>1390</v>
      </c>
      <c r="AF3" s="107" t="s">
        <v>1391</v>
      </c>
      <c r="AG3" s="107" t="s">
        <v>1392</v>
      </c>
      <c r="AH3" s="107" t="s">
        <v>1393</v>
      </c>
      <c r="AI3" s="107" t="s">
        <v>1394</v>
      </c>
      <c r="AJ3" s="107" t="s">
        <v>1395</v>
      </c>
      <c r="AK3" s="107" t="s">
        <v>1396</v>
      </c>
      <c r="AL3" s="107" t="s">
        <v>1397</v>
      </c>
      <c r="AM3" s="107" t="s">
        <v>1398</v>
      </c>
      <c r="AN3" s="107" t="s">
        <v>1399</v>
      </c>
      <c r="AO3" s="107" t="s">
        <v>1400</v>
      </c>
      <c r="AP3" s="107" t="s">
        <v>1401</v>
      </c>
      <c r="AQ3" s="107" t="s">
        <v>1402</v>
      </c>
      <c r="AR3" s="108" t="s">
        <v>1403</v>
      </c>
    </row>
    <row r="4" spans="2:44" ht="12" customHeight="1" x14ac:dyDescent="0.3">
      <c r="B4" s="109" t="s">
        <v>39</v>
      </c>
      <c r="C4" s="110" t="s">
        <v>83</v>
      </c>
      <c r="D4" s="110" t="s">
        <v>25</v>
      </c>
      <c r="E4" s="110" t="s">
        <v>25</v>
      </c>
      <c r="F4" s="110" t="s">
        <v>87</v>
      </c>
      <c r="G4" s="110" t="s">
        <v>34</v>
      </c>
      <c r="H4" s="110" t="s">
        <v>76</v>
      </c>
      <c r="I4" s="110" t="s">
        <v>25</v>
      </c>
      <c r="J4" s="110">
        <v>1.27</v>
      </c>
      <c r="K4" s="110">
        <v>0</v>
      </c>
      <c r="L4" s="110">
        <v>0</v>
      </c>
      <c r="M4" s="110">
        <v>0</v>
      </c>
      <c r="N4" s="110">
        <v>0</v>
      </c>
      <c r="O4" s="110">
        <v>0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0</v>
      </c>
      <c r="AC4" s="110">
        <v>0</v>
      </c>
      <c r="AD4" s="110">
        <v>1.17446903046869</v>
      </c>
      <c r="AE4" s="110">
        <v>1.20115476112024E-2</v>
      </c>
      <c r="AF4" s="110">
        <v>8.7567077200503204E-2</v>
      </c>
      <c r="AG4" s="110">
        <v>0</v>
      </c>
      <c r="AH4" s="110">
        <v>0</v>
      </c>
      <c r="AI4" s="110">
        <v>0</v>
      </c>
      <c r="AJ4" s="110">
        <v>0</v>
      </c>
      <c r="AK4" s="110">
        <v>0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  <c r="AQ4" s="110">
        <v>0</v>
      </c>
      <c r="AR4" s="111">
        <v>0</v>
      </c>
    </row>
    <row r="5" spans="2:44" ht="12" customHeight="1" x14ac:dyDescent="0.3">
      <c r="B5" s="109" t="s">
        <v>39</v>
      </c>
      <c r="C5" s="110" t="s">
        <v>83</v>
      </c>
      <c r="D5" s="110" t="s">
        <v>25</v>
      </c>
      <c r="E5" s="110" t="s">
        <v>25</v>
      </c>
      <c r="F5" s="110" t="s">
        <v>87</v>
      </c>
      <c r="G5" s="110" t="s">
        <v>34</v>
      </c>
      <c r="H5" s="110" t="s">
        <v>84</v>
      </c>
      <c r="I5" s="110" t="s">
        <v>25</v>
      </c>
      <c r="J5" s="110">
        <v>0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0</v>
      </c>
      <c r="U5" s="110">
        <v>0</v>
      </c>
      <c r="V5" s="110">
        <v>0</v>
      </c>
      <c r="W5" s="110">
        <v>0</v>
      </c>
      <c r="X5" s="110">
        <v>0</v>
      </c>
      <c r="Y5" s="110">
        <v>0</v>
      </c>
      <c r="Z5" s="110">
        <v>0</v>
      </c>
      <c r="AA5" s="110">
        <v>0</v>
      </c>
      <c r="AB5" s="110">
        <v>0</v>
      </c>
      <c r="AC5" s="110">
        <v>0</v>
      </c>
      <c r="AD5" s="110">
        <v>0</v>
      </c>
      <c r="AE5" s="110">
        <v>0</v>
      </c>
      <c r="AF5" s="110">
        <v>0</v>
      </c>
      <c r="AG5" s="110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1">
        <v>0</v>
      </c>
    </row>
    <row r="6" spans="2:44" ht="12" customHeight="1" x14ac:dyDescent="0.3">
      <c r="B6" s="109" t="s">
        <v>39</v>
      </c>
      <c r="C6" s="110" t="s">
        <v>83</v>
      </c>
      <c r="D6" s="110" t="s">
        <v>25</v>
      </c>
      <c r="E6" s="110" t="s">
        <v>25</v>
      </c>
      <c r="F6" s="110" t="s">
        <v>87</v>
      </c>
      <c r="G6" s="110" t="s">
        <v>35</v>
      </c>
      <c r="H6" s="110" t="s">
        <v>76</v>
      </c>
      <c r="I6" s="110" t="s">
        <v>25</v>
      </c>
      <c r="J6" s="110">
        <v>1.27</v>
      </c>
      <c r="K6" s="110">
        <v>0</v>
      </c>
      <c r="L6" s="110">
        <v>0</v>
      </c>
      <c r="M6" s="110">
        <v>0</v>
      </c>
      <c r="N6" s="110">
        <v>0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0</v>
      </c>
      <c r="AC6" s="110">
        <v>0</v>
      </c>
      <c r="AD6" s="110">
        <v>1.17446903046869</v>
      </c>
      <c r="AE6" s="110">
        <v>1.20115476112024E-2</v>
      </c>
      <c r="AF6" s="110">
        <v>8.7567077200503204E-2</v>
      </c>
      <c r="AG6" s="110">
        <v>0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0">
        <v>0</v>
      </c>
      <c r="AR6" s="111">
        <v>0</v>
      </c>
    </row>
    <row r="7" spans="2:44" ht="12" customHeight="1" x14ac:dyDescent="0.3">
      <c r="B7" s="109" t="s">
        <v>39</v>
      </c>
      <c r="C7" s="110" t="s">
        <v>83</v>
      </c>
      <c r="D7" s="110" t="s">
        <v>25</v>
      </c>
      <c r="E7" s="110" t="s">
        <v>25</v>
      </c>
      <c r="F7" s="110" t="s">
        <v>87</v>
      </c>
      <c r="G7" s="110" t="s">
        <v>35</v>
      </c>
      <c r="H7" s="110" t="s">
        <v>84</v>
      </c>
      <c r="I7" s="110" t="s">
        <v>25</v>
      </c>
      <c r="J7" s="110">
        <v>0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</v>
      </c>
      <c r="U7" s="110">
        <v>0</v>
      </c>
      <c r="V7" s="110">
        <v>0</v>
      </c>
      <c r="W7" s="110">
        <v>0</v>
      </c>
      <c r="X7" s="110">
        <v>0</v>
      </c>
      <c r="Y7" s="110">
        <v>0</v>
      </c>
      <c r="Z7" s="110">
        <v>0</v>
      </c>
      <c r="AA7" s="110">
        <v>0</v>
      </c>
      <c r="AB7" s="110">
        <v>0</v>
      </c>
      <c r="AC7" s="110">
        <v>0</v>
      </c>
      <c r="AD7" s="110">
        <v>0</v>
      </c>
      <c r="AE7" s="110">
        <v>0</v>
      </c>
      <c r="AF7" s="110">
        <v>0</v>
      </c>
      <c r="AG7" s="110">
        <v>0</v>
      </c>
      <c r="AH7" s="110">
        <v>0</v>
      </c>
      <c r="AI7" s="110">
        <v>0</v>
      </c>
      <c r="AJ7" s="110">
        <v>0</v>
      </c>
      <c r="AK7" s="110">
        <v>0</v>
      </c>
      <c r="AL7" s="110">
        <v>0</v>
      </c>
      <c r="AM7" s="110">
        <v>0</v>
      </c>
      <c r="AN7" s="110">
        <v>0</v>
      </c>
      <c r="AO7" s="110">
        <v>0</v>
      </c>
      <c r="AP7" s="110">
        <v>0</v>
      </c>
      <c r="AQ7" s="110">
        <v>0</v>
      </c>
      <c r="AR7" s="111">
        <v>0</v>
      </c>
    </row>
    <row r="8" spans="2:44" ht="12" customHeight="1" x14ac:dyDescent="0.3">
      <c r="B8" s="109" t="s">
        <v>39</v>
      </c>
      <c r="C8" s="110" t="s">
        <v>83</v>
      </c>
      <c r="D8" s="110" t="s">
        <v>25</v>
      </c>
      <c r="E8" s="110" t="s">
        <v>25</v>
      </c>
      <c r="F8" s="110" t="s">
        <v>25</v>
      </c>
      <c r="G8" s="110" t="s">
        <v>34</v>
      </c>
      <c r="H8" s="110" t="s">
        <v>76</v>
      </c>
      <c r="I8" s="110" t="s">
        <v>25</v>
      </c>
      <c r="J8" s="110">
        <v>13.59</v>
      </c>
      <c r="K8" s="110">
        <v>49.3</v>
      </c>
      <c r="L8" s="110">
        <v>0.18681297118877199</v>
      </c>
      <c r="M8" s="110">
        <v>0</v>
      </c>
      <c r="N8" s="110">
        <v>0</v>
      </c>
      <c r="O8" s="110">
        <v>0</v>
      </c>
      <c r="P8" s="110">
        <v>0</v>
      </c>
      <c r="Q8" s="110">
        <v>9.3072233829968596</v>
      </c>
      <c r="R8" s="110">
        <v>2.8235306721162998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1.17446903046869</v>
      </c>
      <c r="AE8" s="110">
        <v>1.20115476112024E-2</v>
      </c>
      <c r="AF8" s="110">
        <v>8.7567077200503204E-2</v>
      </c>
      <c r="AG8" s="110">
        <v>0</v>
      </c>
      <c r="AH8" s="110">
        <v>0.71190267555397702</v>
      </c>
      <c r="AI8" s="110">
        <v>0</v>
      </c>
      <c r="AJ8" s="110">
        <v>0</v>
      </c>
      <c r="AK8" s="110">
        <v>12.5409729524334</v>
      </c>
      <c r="AL8" s="110">
        <v>0</v>
      </c>
      <c r="AM8" s="110">
        <v>34.059415092150502</v>
      </c>
      <c r="AN8" s="110">
        <v>1.5795657366345599</v>
      </c>
      <c r="AO8" s="110">
        <v>0.205692319582371</v>
      </c>
      <c r="AP8" s="110">
        <v>0</v>
      </c>
      <c r="AQ8" s="110">
        <v>0</v>
      </c>
      <c r="AR8" s="111">
        <v>0.20512547431112199</v>
      </c>
    </row>
    <row r="9" spans="2:44" ht="12" customHeight="1" x14ac:dyDescent="0.3">
      <c r="B9" s="109" t="s">
        <v>39</v>
      </c>
      <c r="C9" s="110" t="s">
        <v>83</v>
      </c>
      <c r="D9" s="110" t="s">
        <v>25</v>
      </c>
      <c r="E9" s="110" t="s">
        <v>25</v>
      </c>
      <c r="F9" s="110" t="s">
        <v>25</v>
      </c>
      <c r="G9" s="110" t="s">
        <v>34</v>
      </c>
      <c r="H9" s="110" t="s">
        <v>84</v>
      </c>
      <c r="I9" s="110" t="s">
        <v>25</v>
      </c>
      <c r="J9" s="110">
        <v>0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0</v>
      </c>
      <c r="U9" s="110">
        <v>0</v>
      </c>
      <c r="V9" s="110">
        <v>0</v>
      </c>
      <c r="W9" s="110">
        <v>0</v>
      </c>
      <c r="X9" s="110">
        <v>0</v>
      </c>
      <c r="Y9" s="110">
        <v>0</v>
      </c>
      <c r="Z9" s="110">
        <v>0</v>
      </c>
      <c r="AA9" s="110">
        <v>0</v>
      </c>
      <c r="AB9" s="110">
        <v>0</v>
      </c>
      <c r="AC9" s="110">
        <v>0</v>
      </c>
      <c r="AD9" s="110">
        <v>0</v>
      </c>
      <c r="AE9" s="110">
        <v>0</v>
      </c>
      <c r="AF9" s="110">
        <v>0</v>
      </c>
      <c r="AG9" s="110">
        <v>0</v>
      </c>
      <c r="AH9" s="110">
        <v>0</v>
      </c>
      <c r="AI9" s="110">
        <v>0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1">
        <v>0</v>
      </c>
    </row>
    <row r="10" spans="2:44" ht="12" customHeight="1" x14ac:dyDescent="0.3">
      <c r="B10" s="109" t="s">
        <v>39</v>
      </c>
      <c r="C10" s="110" t="s">
        <v>83</v>
      </c>
      <c r="D10" s="110" t="s">
        <v>25</v>
      </c>
      <c r="E10" s="110" t="s">
        <v>25</v>
      </c>
      <c r="F10" s="110" t="s">
        <v>25</v>
      </c>
      <c r="G10" s="110" t="s">
        <v>35</v>
      </c>
      <c r="H10" s="110" t="s">
        <v>76</v>
      </c>
      <c r="I10" s="110" t="s">
        <v>25</v>
      </c>
      <c r="J10" s="110">
        <v>13.59</v>
      </c>
      <c r="K10" s="110">
        <v>35.049999999999997</v>
      </c>
      <c r="L10" s="110">
        <v>0.18681297118877199</v>
      </c>
      <c r="M10" s="110">
        <v>0</v>
      </c>
      <c r="N10" s="110">
        <v>0</v>
      </c>
      <c r="O10" s="110">
        <v>0</v>
      </c>
      <c r="P10" s="110">
        <v>0</v>
      </c>
      <c r="Q10" s="110">
        <v>9.3072233829968596</v>
      </c>
      <c r="R10" s="110">
        <v>2.8235306721162998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1.17446903046869</v>
      </c>
      <c r="AE10" s="110">
        <v>1.20115476112024E-2</v>
      </c>
      <c r="AF10" s="110">
        <v>8.7567077200503204E-2</v>
      </c>
      <c r="AG10" s="110">
        <v>0</v>
      </c>
      <c r="AH10" s="110">
        <v>0.71190267555397702</v>
      </c>
      <c r="AI10" s="110">
        <v>0</v>
      </c>
      <c r="AJ10" s="110">
        <v>0</v>
      </c>
      <c r="AK10" s="110">
        <v>12.5409729524334</v>
      </c>
      <c r="AL10" s="110">
        <v>0</v>
      </c>
      <c r="AM10" s="110">
        <v>19.801985518692199</v>
      </c>
      <c r="AN10" s="110">
        <v>1.5795657366345599</v>
      </c>
      <c r="AO10" s="110">
        <v>0.205692319582371</v>
      </c>
      <c r="AP10" s="110">
        <v>0</v>
      </c>
      <c r="AQ10" s="110">
        <v>0</v>
      </c>
      <c r="AR10" s="111">
        <v>0.20512547431112199</v>
      </c>
    </row>
    <row r="11" spans="2:44" ht="12" customHeight="1" x14ac:dyDescent="0.3">
      <c r="B11" s="109" t="s">
        <v>39</v>
      </c>
      <c r="C11" s="110" t="s">
        <v>83</v>
      </c>
      <c r="D11" s="110" t="s">
        <v>25</v>
      </c>
      <c r="E11" s="110" t="s">
        <v>25</v>
      </c>
      <c r="F11" s="110" t="s">
        <v>25</v>
      </c>
      <c r="G11" s="110" t="s">
        <v>35</v>
      </c>
      <c r="H11" s="110" t="s">
        <v>84</v>
      </c>
      <c r="I11" s="110" t="s">
        <v>25</v>
      </c>
      <c r="J11" s="110">
        <v>0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</v>
      </c>
      <c r="U11" s="110">
        <v>0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  <c r="AH11" s="110">
        <v>0</v>
      </c>
      <c r="AI11" s="110">
        <v>0</v>
      </c>
      <c r="AJ11" s="110">
        <v>0</v>
      </c>
      <c r="AK11" s="110">
        <v>0</v>
      </c>
      <c r="AL11" s="110">
        <v>0</v>
      </c>
      <c r="AM11" s="110">
        <v>0</v>
      </c>
      <c r="AN11" s="110">
        <v>0</v>
      </c>
      <c r="AO11" s="110">
        <v>0</v>
      </c>
      <c r="AP11" s="110">
        <v>0</v>
      </c>
      <c r="AQ11" s="110">
        <v>0</v>
      </c>
      <c r="AR11" s="111">
        <v>0</v>
      </c>
    </row>
    <row r="12" spans="2:44" ht="12" customHeight="1" x14ac:dyDescent="0.3">
      <c r="B12" s="109" t="s">
        <v>39</v>
      </c>
      <c r="C12" s="110" t="s">
        <v>23</v>
      </c>
      <c r="D12" s="110" t="s">
        <v>25</v>
      </c>
      <c r="E12" s="110" t="s">
        <v>25</v>
      </c>
      <c r="F12" s="110" t="s">
        <v>25</v>
      </c>
      <c r="G12" s="110" t="s">
        <v>25</v>
      </c>
      <c r="H12" s="110" t="s">
        <v>76</v>
      </c>
      <c r="I12" s="110" t="s">
        <v>25</v>
      </c>
      <c r="J12" s="110">
        <v>0</v>
      </c>
      <c r="K12" s="110">
        <v>36.229999999999997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</v>
      </c>
      <c r="U12" s="110">
        <v>0</v>
      </c>
      <c r="V12" s="110">
        <v>0</v>
      </c>
      <c r="W12" s="110">
        <v>0</v>
      </c>
      <c r="X12" s="110">
        <v>0</v>
      </c>
      <c r="Y12" s="110">
        <v>0</v>
      </c>
      <c r="Z12" s="110">
        <v>0</v>
      </c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0">
        <v>0.71190267555397702</v>
      </c>
      <c r="AI12" s="110">
        <v>0</v>
      </c>
      <c r="AJ12" s="110">
        <v>0</v>
      </c>
      <c r="AK12" s="110">
        <v>12.5409729524334</v>
      </c>
      <c r="AL12" s="110">
        <v>0</v>
      </c>
      <c r="AM12" s="110">
        <v>20.990104649813699</v>
      </c>
      <c r="AN12" s="110">
        <v>1.5795657366345599</v>
      </c>
      <c r="AO12" s="110">
        <v>0.205692319582371</v>
      </c>
      <c r="AP12" s="110">
        <v>0</v>
      </c>
      <c r="AQ12" s="110">
        <v>0</v>
      </c>
      <c r="AR12" s="111">
        <v>0.20512547431112199</v>
      </c>
    </row>
    <row r="13" spans="2:44" ht="12" customHeight="1" x14ac:dyDescent="0.3">
      <c r="B13" s="109" t="s">
        <v>39</v>
      </c>
      <c r="C13" s="110" t="s">
        <v>56</v>
      </c>
      <c r="D13" s="110" t="s">
        <v>25</v>
      </c>
      <c r="E13" s="110" t="s">
        <v>25</v>
      </c>
      <c r="F13" s="110" t="s">
        <v>25</v>
      </c>
      <c r="G13" s="110" t="s">
        <v>34</v>
      </c>
      <c r="H13" s="110" t="s">
        <v>84</v>
      </c>
      <c r="I13" s="110" t="s">
        <v>58</v>
      </c>
      <c r="J13" s="110">
        <v>0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</v>
      </c>
      <c r="AE13" s="110">
        <v>0</v>
      </c>
      <c r="AF13" s="110">
        <v>0</v>
      </c>
      <c r="AG13" s="110">
        <v>0</v>
      </c>
      <c r="AH13" s="110">
        <v>0</v>
      </c>
      <c r="AI13" s="110">
        <v>0</v>
      </c>
      <c r="AJ13" s="110">
        <v>0</v>
      </c>
      <c r="AK13" s="110">
        <v>0</v>
      </c>
      <c r="AL13" s="110">
        <v>0</v>
      </c>
      <c r="AM13" s="110">
        <v>0</v>
      </c>
      <c r="AN13" s="110">
        <v>0</v>
      </c>
      <c r="AO13" s="110">
        <v>0</v>
      </c>
      <c r="AP13" s="110">
        <v>0</v>
      </c>
      <c r="AQ13" s="110">
        <v>0</v>
      </c>
      <c r="AR13" s="111">
        <v>0</v>
      </c>
    </row>
    <row r="14" spans="2:44" ht="12" customHeight="1" x14ac:dyDescent="0.3">
      <c r="B14" s="109" t="s">
        <v>39</v>
      </c>
      <c r="C14" s="110" t="s">
        <v>56</v>
      </c>
      <c r="D14" s="110" t="s">
        <v>25</v>
      </c>
      <c r="E14" s="110" t="s">
        <v>25</v>
      </c>
      <c r="F14" s="110" t="s">
        <v>25</v>
      </c>
      <c r="G14" s="110" t="s">
        <v>25</v>
      </c>
      <c r="H14" s="110" t="s">
        <v>76</v>
      </c>
      <c r="I14" s="110" t="s">
        <v>58</v>
      </c>
      <c r="J14" s="110">
        <v>1.19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</v>
      </c>
      <c r="U14" s="110">
        <v>0</v>
      </c>
      <c r="V14" s="110">
        <v>0</v>
      </c>
      <c r="W14" s="110">
        <v>0</v>
      </c>
      <c r="X14" s="110">
        <v>0</v>
      </c>
      <c r="Y14" s="110">
        <v>0</v>
      </c>
      <c r="Z14" s="110">
        <v>0</v>
      </c>
      <c r="AA14" s="110">
        <v>0</v>
      </c>
      <c r="AB14" s="110">
        <v>0</v>
      </c>
      <c r="AC14" s="110">
        <v>0</v>
      </c>
      <c r="AD14" s="110">
        <v>1.17446903046869</v>
      </c>
      <c r="AE14" s="110">
        <v>1.20115476112024E-2</v>
      </c>
      <c r="AF14" s="110">
        <v>0</v>
      </c>
      <c r="AG14" s="110">
        <v>0</v>
      </c>
      <c r="AH14" s="110">
        <v>0</v>
      </c>
      <c r="AI14" s="110">
        <v>0</v>
      </c>
      <c r="AJ14" s="110">
        <v>0</v>
      </c>
      <c r="AK14" s="110">
        <v>0</v>
      </c>
      <c r="AL14" s="110">
        <v>0</v>
      </c>
      <c r="AM14" s="110">
        <v>0</v>
      </c>
      <c r="AN14" s="110">
        <v>0</v>
      </c>
      <c r="AO14" s="110">
        <v>0</v>
      </c>
      <c r="AP14" s="110">
        <v>0</v>
      </c>
      <c r="AQ14" s="110">
        <v>0</v>
      </c>
      <c r="AR14" s="111">
        <v>0</v>
      </c>
    </row>
    <row r="15" spans="2:44" ht="12" customHeight="1" x14ac:dyDescent="0.3">
      <c r="B15" s="109" t="s">
        <v>39</v>
      </c>
      <c r="C15" s="110" t="s">
        <v>56</v>
      </c>
      <c r="D15" s="110" t="s">
        <v>25</v>
      </c>
      <c r="E15" s="110" t="s">
        <v>25</v>
      </c>
      <c r="F15" s="110" t="s">
        <v>25</v>
      </c>
      <c r="G15" s="110" t="s">
        <v>35</v>
      </c>
      <c r="H15" s="110" t="s">
        <v>84</v>
      </c>
      <c r="I15" s="110" t="s">
        <v>58</v>
      </c>
      <c r="J15" s="110">
        <v>0</v>
      </c>
      <c r="K15" s="110">
        <v>0</v>
      </c>
      <c r="L15" s="110">
        <v>0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0">
        <v>0</v>
      </c>
      <c r="X15" s="110">
        <v>0</v>
      </c>
      <c r="Y15" s="110">
        <v>0</v>
      </c>
      <c r="Z15" s="110">
        <v>0</v>
      </c>
      <c r="AA15" s="110">
        <v>0</v>
      </c>
      <c r="AB15" s="110">
        <v>0</v>
      </c>
      <c r="AC15" s="110">
        <v>0</v>
      </c>
      <c r="AD15" s="110">
        <v>0</v>
      </c>
      <c r="AE15" s="110">
        <v>0</v>
      </c>
      <c r="AF15" s="110">
        <v>0</v>
      </c>
      <c r="AG15" s="110">
        <v>0</v>
      </c>
      <c r="AH15" s="110">
        <v>0</v>
      </c>
      <c r="AI15" s="110">
        <v>0</v>
      </c>
      <c r="AJ15" s="110">
        <v>0</v>
      </c>
      <c r="AK15" s="110">
        <v>0</v>
      </c>
      <c r="AL15" s="110">
        <v>0</v>
      </c>
      <c r="AM15" s="110">
        <v>0</v>
      </c>
      <c r="AN15" s="110">
        <v>0</v>
      </c>
      <c r="AO15" s="110">
        <v>0</v>
      </c>
      <c r="AP15" s="110">
        <v>0</v>
      </c>
      <c r="AQ15" s="110">
        <v>0</v>
      </c>
      <c r="AR15" s="111">
        <v>0</v>
      </c>
    </row>
    <row r="16" spans="2:44" ht="12" customHeight="1" x14ac:dyDescent="0.3">
      <c r="B16" s="109" t="s">
        <v>39</v>
      </c>
      <c r="C16" s="110" t="s">
        <v>88</v>
      </c>
      <c r="D16" s="110" t="s">
        <v>25</v>
      </c>
      <c r="E16" s="110" t="s">
        <v>25</v>
      </c>
      <c r="F16" s="110" t="s">
        <v>25</v>
      </c>
      <c r="G16" s="110" t="s">
        <v>25</v>
      </c>
      <c r="H16" s="110" t="s">
        <v>84</v>
      </c>
      <c r="I16" s="110" t="s">
        <v>25</v>
      </c>
      <c r="J16" s="110">
        <v>0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0</v>
      </c>
      <c r="AE16" s="110">
        <v>0</v>
      </c>
      <c r="AF16" s="110">
        <v>0</v>
      </c>
      <c r="AG16" s="110">
        <v>0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0">
        <v>0</v>
      </c>
      <c r="AR16" s="111">
        <v>0</v>
      </c>
    </row>
    <row r="17" spans="2:44" ht="12" customHeight="1" x14ac:dyDescent="0.3">
      <c r="B17" s="109" t="s">
        <v>39</v>
      </c>
      <c r="C17" s="110" t="s">
        <v>40</v>
      </c>
      <c r="D17" s="110" t="s">
        <v>25</v>
      </c>
      <c r="E17" s="110" t="s">
        <v>25</v>
      </c>
      <c r="F17" s="110" t="s">
        <v>87</v>
      </c>
      <c r="G17" s="110" t="s">
        <v>34</v>
      </c>
      <c r="H17" s="110" t="s">
        <v>76</v>
      </c>
      <c r="I17" s="110" t="s">
        <v>25</v>
      </c>
      <c r="J17" s="110">
        <v>1.27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</v>
      </c>
      <c r="U17" s="110">
        <v>0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1.17446903046869</v>
      </c>
      <c r="AE17" s="110">
        <v>1.20115476112024E-2</v>
      </c>
      <c r="AF17" s="110">
        <v>8.7567077200503204E-2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0</v>
      </c>
      <c r="AO17" s="110">
        <v>0</v>
      </c>
      <c r="AP17" s="110">
        <v>0</v>
      </c>
      <c r="AQ17" s="110">
        <v>0</v>
      </c>
      <c r="AR17" s="111">
        <v>0</v>
      </c>
    </row>
    <row r="18" spans="2:44" ht="12" customHeight="1" x14ac:dyDescent="0.3">
      <c r="B18" s="109" t="s">
        <v>39</v>
      </c>
      <c r="C18" s="110" t="s">
        <v>40</v>
      </c>
      <c r="D18" s="110" t="s">
        <v>25</v>
      </c>
      <c r="E18" s="110" t="s">
        <v>25</v>
      </c>
      <c r="F18" s="110" t="s">
        <v>87</v>
      </c>
      <c r="G18" s="110" t="s">
        <v>25</v>
      </c>
      <c r="H18" s="110" t="s">
        <v>84</v>
      </c>
      <c r="I18" s="110" t="s">
        <v>25</v>
      </c>
      <c r="J18" s="110">
        <v>0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0</v>
      </c>
      <c r="AE18" s="110">
        <v>0</v>
      </c>
      <c r="AF18" s="110">
        <v>0</v>
      </c>
      <c r="AG18" s="110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0">
        <v>0</v>
      </c>
      <c r="AR18" s="111">
        <v>0</v>
      </c>
    </row>
    <row r="19" spans="2:44" ht="12" customHeight="1" x14ac:dyDescent="0.3">
      <c r="B19" s="109" t="s">
        <v>39</v>
      </c>
      <c r="C19" s="110" t="s">
        <v>40</v>
      </c>
      <c r="D19" s="110" t="s">
        <v>25</v>
      </c>
      <c r="E19" s="110" t="s">
        <v>25</v>
      </c>
      <c r="F19" s="110" t="s">
        <v>87</v>
      </c>
      <c r="G19" s="110" t="s">
        <v>35</v>
      </c>
      <c r="H19" s="110" t="s">
        <v>76</v>
      </c>
      <c r="I19" s="110" t="s">
        <v>25</v>
      </c>
      <c r="J19" s="110">
        <v>1.27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1.17446903046869</v>
      </c>
      <c r="AE19" s="110">
        <v>1.20115476112024E-2</v>
      </c>
      <c r="AF19" s="110">
        <v>8.7567077200503204E-2</v>
      </c>
      <c r="AG19" s="110">
        <v>0</v>
      </c>
      <c r="AH19" s="110">
        <v>0</v>
      </c>
      <c r="AI19" s="110">
        <v>0</v>
      </c>
      <c r="AJ19" s="110">
        <v>0</v>
      </c>
      <c r="AK19" s="110">
        <v>0</v>
      </c>
      <c r="AL19" s="110">
        <v>0</v>
      </c>
      <c r="AM19" s="110">
        <v>0</v>
      </c>
      <c r="AN19" s="110">
        <v>0</v>
      </c>
      <c r="AO19" s="110">
        <v>0</v>
      </c>
      <c r="AP19" s="110">
        <v>0</v>
      </c>
      <c r="AQ19" s="110">
        <v>0</v>
      </c>
      <c r="AR19" s="111">
        <v>0</v>
      </c>
    </row>
    <row r="20" spans="2:44" ht="12" customHeight="1" x14ac:dyDescent="0.3">
      <c r="B20" s="109" t="s">
        <v>39</v>
      </c>
      <c r="C20" s="110" t="s">
        <v>40</v>
      </c>
      <c r="D20" s="110" t="s">
        <v>25</v>
      </c>
      <c r="E20" s="110" t="s">
        <v>25</v>
      </c>
      <c r="F20" s="110" t="s">
        <v>25</v>
      </c>
      <c r="G20" s="110" t="s">
        <v>34</v>
      </c>
      <c r="H20" s="110" t="s">
        <v>76</v>
      </c>
      <c r="I20" s="110" t="s">
        <v>25</v>
      </c>
      <c r="J20" s="110">
        <v>13.59</v>
      </c>
      <c r="K20" s="110">
        <v>49.3</v>
      </c>
      <c r="L20" s="110">
        <v>0.18681297118877199</v>
      </c>
      <c r="M20" s="110">
        <v>0</v>
      </c>
      <c r="N20" s="110">
        <v>0</v>
      </c>
      <c r="O20" s="110">
        <v>0</v>
      </c>
      <c r="P20" s="110">
        <v>0</v>
      </c>
      <c r="Q20" s="110">
        <v>9.3072233829968596</v>
      </c>
      <c r="R20" s="110">
        <v>2.8235306721162998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1.17446903046869</v>
      </c>
      <c r="AE20" s="110">
        <v>1.20115476112024E-2</v>
      </c>
      <c r="AF20" s="110">
        <v>8.7567077200503204E-2</v>
      </c>
      <c r="AG20" s="110">
        <v>0</v>
      </c>
      <c r="AH20" s="110">
        <v>0.71190267555397702</v>
      </c>
      <c r="AI20" s="110">
        <v>0</v>
      </c>
      <c r="AJ20" s="110">
        <v>0</v>
      </c>
      <c r="AK20" s="110">
        <v>12.5409729524334</v>
      </c>
      <c r="AL20" s="110">
        <v>0</v>
      </c>
      <c r="AM20" s="110">
        <v>34.059415092150502</v>
      </c>
      <c r="AN20" s="110">
        <v>1.5795657366345599</v>
      </c>
      <c r="AO20" s="110">
        <v>0.205692319582371</v>
      </c>
      <c r="AP20" s="110">
        <v>0</v>
      </c>
      <c r="AQ20" s="110">
        <v>0</v>
      </c>
      <c r="AR20" s="111">
        <v>0.20512547431112199</v>
      </c>
    </row>
    <row r="21" spans="2:44" ht="12" customHeight="1" x14ac:dyDescent="0.3">
      <c r="B21" s="109" t="s">
        <v>39</v>
      </c>
      <c r="C21" s="110" t="s">
        <v>40</v>
      </c>
      <c r="D21" s="110" t="s">
        <v>25</v>
      </c>
      <c r="E21" s="110" t="s">
        <v>25</v>
      </c>
      <c r="F21" s="110" t="s">
        <v>25</v>
      </c>
      <c r="G21" s="110" t="s">
        <v>25</v>
      </c>
      <c r="H21" s="110" t="s">
        <v>84</v>
      </c>
      <c r="I21" s="110" t="s">
        <v>25</v>
      </c>
      <c r="J21" s="110">
        <v>0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0</v>
      </c>
      <c r="U21" s="110">
        <v>0</v>
      </c>
      <c r="V21" s="110">
        <v>0</v>
      </c>
      <c r="W21" s="110">
        <v>0</v>
      </c>
      <c r="X21" s="110">
        <v>0</v>
      </c>
      <c r="Y21" s="110">
        <v>0</v>
      </c>
      <c r="Z21" s="110">
        <v>0</v>
      </c>
      <c r="AA21" s="110">
        <v>0</v>
      </c>
      <c r="AB21" s="110">
        <v>0</v>
      </c>
      <c r="AC21" s="110">
        <v>0</v>
      </c>
      <c r="AD21" s="110">
        <v>0</v>
      </c>
      <c r="AE21" s="110">
        <v>0</v>
      </c>
      <c r="AF21" s="110">
        <v>0</v>
      </c>
      <c r="AG21" s="110">
        <v>0</v>
      </c>
      <c r="AH21" s="110">
        <v>0</v>
      </c>
      <c r="AI21" s="110">
        <v>0</v>
      </c>
      <c r="AJ21" s="110">
        <v>0</v>
      </c>
      <c r="AK21" s="110">
        <v>0</v>
      </c>
      <c r="AL21" s="110">
        <v>0</v>
      </c>
      <c r="AM21" s="110">
        <v>0</v>
      </c>
      <c r="AN21" s="110">
        <v>0</v>
      </c>
      <c r="AO21" s="110">
        <v>0</v>
      </c>
      <c r="AP21" s="110">
        <v>0</v>
      </c>
      <c r="AQ21" s="110">
        <v>0</v>
      </c>
      <c r="AR21" s="111">
        <v>0</v>
      </c>
    </row>
    <row r="22" spans="2:44" ht="12" customHeight="1" x14ac:dyDescent="0.3">
      <c r="B22" s="109" t="s">
        <v>39</v>
      </c>
      <c r="C22" s="110" t="s">
        <v>40</v>
      </c>
      <c r="D22" s="110" t="s">
        <v>25</v>
      </c>
      <c r="E22" s="110" t="s">
        <v>25</v>
      </c>
      <c r="F22" s="110" t="s">
        <v>25</v>
      </c>
      <c r="G22" s="110" t="s">
        <v>35</v>
      </c>
      <c r="H22" s="110" t="s">
        <v>76</v>
      </c>
      <c r="I22" s="110" t="s">
        <v>25</v>
      </c>
      <c r="J22" s="110">
        <v>13.59</v>
      </c>
      <c r="K22" s="110">
        <v>35.049999999999997</v>
      </c>
      <c r="L22" s="110">
        <v>0.18681297118877199</v>
      </c>
      <c r="M22" s="110">
        <v>0</v>
      </c>
      <c r="N22" s="110">
        <v>0</v>
      </c>
      <c r="O22" s="110">
        <v>0</v>
      </c>
      <c r="P22" s="110">
        <v>0</v>
      </c>
      <c r="Q22" s="110">
        <v>9.3072233829968596</v>
      </c>
      <c r="R22" s="110">
        <v>2.8235306721162998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0</v>
      </c>
      <c r="AD22" s="110">
        <v>1.17446903046869</v>
      </c>
      <c r="AE22" s="110">
        <v>1.20115476112024E-2</v>
      </c>
      <c r="AF22" s="110">
        <v>8.7567077200503204E-2</v>
      </c>
      <c r="AG22" s="110">
        <v>0</v>
      </c>
      <c r="AH22" s="110">
        <v>0.71190267555397702</v>
      </c>
      <c r="AI22" s="110">
        <v>0</v>
      </c>
      <c r="AJ22" s="110">
        <v>0</v>
      </c>
      <c r="AK22" s="110">
        <v>12.5409729524334</v>
      </c>
      <c r="AL22" s="110">
        <v>0</v>
      </c>
      <c r="AM22" s="110">
        <v>19.801985518692199</v>
      </c>
      <c r="AN22" s="110">
        <v>1.5795657366345599</v>
      </c>
      <c r="AO22" s="110">
        <v>0.205692319582371</v>
      </c>
      <c r="AP22" s="110">
        <v>0</v>
      </c>
      <c r="AQ22" s="110">
        <v>0</v>
      </c>
      <c r="AR22" s="111">
        <v>0.20512547431112199</v>
      </c>
    </row>
    <row r="23" spans="2:44" ht="12" customHeight="1" x14ac:dyDescent="0.3">
      <c r="B23" s="109" t="s">
        <v>90</v>
      </c>
      <c r="C23" s="110" t="s">
        <v>88</v>
      </c>
      <c r="D23" s="110" t="s">
        <v>25</v>
      </c>
      <c r="E23" s="110" t="s">
        <v>25</v>
      </c>
      <c r="F23" s="110" t="s">
        <v>91</v>
      </c>
      <c r="G23" s="110" t="s">
        <v>25</v>
      </c>
      <c r="H23" s="110" t="s">
        <v>84</v>
      </c>
      <c r="I23" s="110" t="s">
        <v>25</v>
      </c>
      <c r="J23" s="110">
        <v>0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0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0">
        <v>0</v>
      </c>
      <c r="AN23" s="110">
        <v>0</v>
      </c>
      <c r="AO23" s="110">
        <v>0</v>
      </c>
      <c r="AP23" s="110">
        <v>0</v>
      </c>
      <c r="AQ23" s="110">
        <v>0</v>
      </c>
      <c r="AR23" s="111">
        <v>0</v>
      </c>
    </row>
    <row r="24" spans="2:44" ht="12" customHeight="1" x14ac:dyDescent="0.3">
      <c r="B24" s="109" t="s">
        <v>90</v>
      </c>
      <c r="C24" s="110" t="s">
        <v>88</v>
      </c>
      <c r="D24" s="110" t="s">
        <v>25</v>
      </c>
      <c r="E24" s="110" t="s">
        <v>25</v>
      </c>
      <c r="F24" s="110" t="s">
        <v>92</v>
      </c>
      <c r="G24" s="110" t="s">
        <v>25</v>
      </c>
      <c r="H24" s="110" t="s">
        <v>84</v>
      </c>
      <c r="I24" s="110" t="s">
        <v>25</v>
      </c>
      <c r="J24" s="110">
        <v>0</v>
      </c>
      <c r="K24" s="110">
        <v>0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0</v>
      </c>
      <c r="AI24" s="110">
        <v>0</v>
      </c>
      <c r="AJ24" s="110">
        <v>0</v>
      </c>
      <c r="AK24" s="110">
        <v>0</v>
      </c>
      <c r="AL24" s="110">
        <v>0</v>
      </c>
      <c r="AM24" s="110">
        <v>0</v>
      </c>
      <c r="AN24" s="110">
        <v>0</v>
      </c>
      <c r="AO24" s="110">
        <v>0</v>
      </c>
      <c r="AP24" s="110">
        <v>0</v>
      </c>
      <c r="AQ24" s="110">
        <v>0</v>
      </c>
      <c r="AR24" s="111">
        <v>0</v>
      </c>
    </row>
    <row r="25" spans="2:44" ht="12" customHeight="1" x14ac:dyDescent="0.3">
      <c r="B25" s="109" t="s">
        <v>22</v>
      </c>
      <c r="C25" s="110" t="s">
        <v>33</v>
      </c>
      <c r="D25" s="110" t="s">
        <v>24</v>
      </c>
      <c r="E25" s="110" t="s">
        <v>24</v>
      </c>
      <c r="F25" s="110" t="s">
        <v>25</v>
      </c>
      <c r="G25" s="110" t="s">
        <v>34</v>
      </c>
      <c r="H25" s="110" t="s">
        <v>76</v>
      </c>
      <c r="I25" s="110" t="s">
        <v>25</v>
      </c>
      <c r="J25" s="110">
        <v>16.52</v>
      </c>
      <c r="K25" s="110">
        <v>49.3</v>
      </c>
      <c r="L25" s="110">
        <v>0.222396394272347</v>
      </c>
      <c r="M25" s="110">
        <v>0</v>
      </c>
      <c r="N25" s="110">
        <v>0</v>
      </c>
      <c r="O25" s="110">
        <v>0</v>
      </c>
      <c r="P25" s="110">
        <v>0</v>
      </c>
      <c r="Q25" s="110">
        <v>11.080027836900999</v>
      </c>
      <c r="R25" s="110">
        <v>2.8235306721162998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0">
        <v>0</v>
      </c>
      <c r="Y25" s="110">
        <v>0</v>
      </c>
      <c r="Z25" s="110">
        <v>0</v>
      </c>
      <c r="AA25" s="110">
        <v>0</v>
      </c>
      <c r="AB25" s="110">
        <v>0</v>
      </c>
      <c r="AC25" s="110">
        <v>0</v>
      </c>
      <c r="AD25" s="110">
        <v>2.2868017367582598</v>
      </c>
      <c r="AE25" s="110">
        <v>2.3387613658480699E-2</v>
      </c>
      <c r="AF25" s="110">
        <v>8.5965855482137393E-2</v>
      </c>
      <c r="AG25" s="110">
        <v>0</v>
      </c>
      <c r="AH25" s="110">
        <v>0.71190267555397702</v>
      </c>
      <c r="AI25" s="110">
        <v>0</v>
      </c>
      <c r="AJ25" s="110">
        <v>0</v>
      </c>
      <c r="AK25" s="110">
        <v>12.5409729524334</v>
      </c>
      <c r="AL25" s="110">
        <v>0</v>
      </c>
      <c r="AM25" s="110">
        <v>34.059415092150502</v>
      </c>
      <c r="AN25" s="110">
        <v>1.5795657366345599</v>
      </c>
      <c r="AO25" s="110">
        <v>0.205692319582371</v>
      </c>
      <c r="AP25" s="110">
        <v>0</v>
      </c>
      <c r="AQ25" s="110">
        <v>0</v>
      </c>
      <c r="AR25" s="111">
        <v>0.20512547431112199</v>
      </c>
    </row>
    <row r="26" spans="2:44" ht="12" customHeight="1" x14ac:dyDescent="0.3">
      <c r="B26" s="109" t="s">
        <v>22</v>
      </c>
      <c r="C26" s="110" t="s">
        <v>33</v>
      </c>
      <c r="D26" s="110" t="s">
        <v>24</v>
      </c>
      <c r="E26" s="110" t="s">
        <v>24</v>
      </c>
      <c r="F26" s="110" t="s">
        <v>25</v>
      </c>
      <c r="G26" s="110" t="s">
        <v>36</v>
      </c>
      <c r="H26" s="110" t="s">
        <v>76</v>
      </c>
      <c r="I26" s="110" t="s">
        <v>25</v>
      </c>
      <c r="J26" s="110">
        <v>16.52</v>
      </c>
      <c r="K26" s="110">
        <v>35.049999999999997</v>
      </c>
      <c r="L26" s="110">
        <v>0.222396394272347</v>
      </c>
      <c r="M26" s="110">
        <v>0</v>
      </c>
      <c r="N26" s="110">
        <v>0</v>
      </c>
      <c r="O26" s="110">
        <v>0</v>
      </c>
      <c r="P26" s="110">
        <v>0</v>
      </c>
      <c r="Q26" s="110">
        <v>11.080027836900999</v>
      </c>
      <c r="R26" s="110">
        <v>2.8235306721162998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0</v>
      </c>
      <c r="AD26" s="110">
        <v>2.2868017367582598</v>
      </c>
      <c r="AE26" s="110">
        <v>2.3387613658480699E-2</v>
      </c>
      <c r="AF26" s="110">
        <v>8.5965855482137393E-2</v>
      </c>
      <c r="AG26" s="110">
        <v>0</v>
      </c>
      <c r="AH26" s="110">
        <v>0.71190267555397702</v>
      </c>
      <c r="AI26" s="110">
        <v>0</v>
      </c>
      <c r="AJ26" s="110">
        <v>0</v>
      </c>
      <c r="AK26" s="110">
        <v>12.5409729524334</v>
      </c>
      <c r="AL26" s="110">
        <v>0</v>
      </c>
      <c r="AM26" s="110">
        <v>19.801985518692199</v>
      </c>
      <c r="AN26" s="110">
        <v>1.5795657366345599</v>
      </c>
      <c r="AO26" s="110">
        <v>0.205692319582371</v>
      </c>
      <c r="AP26" s="110">
        <v>0</v>
      </c>
      <c r="AQ26" s="110">
        <v>0</v>
      </c>
      <c r="AR26" s="111">
        <v>0.20512547431112199</v>
      </c>
    </row>
    <row r="27" spans="2:44" ht="12" customHeight="1" x14ac:dyDescent="0.3">
      <c r="B27" s="109" t="s">
        <v>22</v>
      </c>
      <c r="C27" s="110" t="s">
        <v>33</v>
      </c>
      <c r="D27" s="110" t="s">
        <v>24</v>
      </c>
      <c r="E27" s="110" t="s">
        <v>24</v>
      </c>
      <c r="F27" s="110" t="s">
        <v>25</v>
      </c>
      <c r="G27" s="110" t="s">
        <v>35</v>
      </c>
      <c r="H27" s="110" t="s">
        <v>76</v>
      </c>
      <c r="I27" s="110" t="s">
        <v>25</v>
      </c>
      <c r="J27" s="110">
        <v>16.52</v>
      </c>
      <c r="K27" s="110">
        <v>35.049999999999997</v>
      </c>
      <c r="L27" s="110">
        <v>0.222396394272347</v>
      </c>
      <c r="M27" s="110">
        <v>0</v>
      </c>
      <c r="N27" s="110">
        <v>0</v>
      </c>
      <c r="O27" s="110">
        <v>0</v>
      </c>
      <c r="P27" s="110">
        <v>0</v>
      </c>
      <c r="Q27" s="110">
        <v>11.080027836900999</v>
      </c>
      <c r="R27" s="110">
        <v>2.8235306721162998</v>
      </c>
      <c r="S27" s="110">
        <v>0</v>
      </c>
      <c r="T27" s="110">
        <v>0</v>
      </c>
      <c r="U27" s="110">
        <v>0</v>
      </c>
      <c r="V27" s="110">
        <v>0</v>
      </c>
      <c r="W27" s="110">
        <v>0</v>
      </c>
      <c r="X27" s="110">
        <v>0</v>
      </c>
      <c r="Y27" s="110">
        <v>0</v>
      </c>
      <c r="Z27" s="110">
        <v>0</v>
      </c>
      <c r="AA27" s="110">
        <v>0</v>
      </c>
      <c r="AB27" s="110">
        <v>0</v>
      </c>
      <c r="AC27" s="110">
        <v>0</v>
      </c>
      <c r="AD27" s="110">
        <v>2.2868017367582598</v>
      </c>
      <c r="AE27" s="110">
        <v>2.3387613658480699E-2</v>
      </c>
      <c r="AF27" s="110">
        <v>8.5965855482137393E-2</v>
      </c>
      <c r="AG27" s="110">
        <v>0</v>
      </c>
      <c r="AH27" s="110">
        <v>0.71190267555397702</v>
      </c>
      <c r="AI27" s="110">
        <v>0</v>
      </c>
      <c r="AJ27" s="110">
        <v>0</v>
      </c>
      <c r="AK27" s="110">
        <v>12.5409729524334</v>
      </c>
      <c r="AL27" s="110">
        <v>0</v>
      </c>
      <c r="AM27" s="110">
        <v>19.801985518692199</v>
      </c>
      <c r="AN27" s="110">
        <v>1.5795657366345599</v>
      </c>
      <c r="AO27" s="110">
        <v>0.205692319582371</v>
      </c>
      <c r="AP27" s="110">
        <v>0</v>
      </c>
      <c r="AQ27" s="110">
        <v>0</v>
      </c>
      <c r="AR27" s="111">
        <v>0.20512547431112199</v>
      </c>
    </row>
    <row r="28" spans="2:44" ht="12" customHeight="1" x14ac:dyDescent="0.3">
      <c r="B28" s="109" t="s">
        <v>22</v>
      </c>
      <c r="C28" s="110" t="s">
        <v>23</v>
      </c>
      <c r="D28" s="110" t="s">
        <v>24</v>
      </c>
      <c r="E28" s="110" t="s">
        <v>1404</v>
      </c>
      <c r="F28" s="110" t="s">
        <v>25</v>
      </c>
      <c r="G28" s="110" t="s">
        <v>25</v>
      </c>
      <c r="H28" s="110" t="s">
        <v>76</v>
      </c>
      <c r="I28" s="110" t="s">
        <v>25</v>
      </c>
      <c r="J28" s="110">
        <v>2.4</v>
      </c>
      <c r="K28" s="110">
        <v>36.229999999999997</v>
      </c>
      <c r="L28" s="110">
        <v>0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0</v>
      </c>
      <c r="AB28" s="110">
        <v>0</v>
      </c>
      <c r="AC28" s="110">
        <v>0</v>
      </c>
      <c r="AD28" s="110">
        <v>2.2868017367582598</v>
      </c>
      <c r="AE28" s="110">
        <v>2.3387613658480699E-2</v>
      </c>
      <c r="AF28" s="110">
        <v>8.5965855482137393E-2</v>
      </c>
      <c r="AG28" s="110">
        <v>0</v>
      </c>
      <c r="AH28" s="110">
        <v>0.71190267555397702</v>
      </c>
      <c r="AI28" s="110">
        <v>0</v>
      </c>
      <c r="AJ28" s="110">
        <v>0</v>
      </c>
      <c r="AK28" s="110">
        <v>12.5409729524334</v>
      </c>
      <c r="AL28" s="110">
        <v>0</v>
      </c>
      <c r="AM28" s="110">
        <v>20.990104649813699</v>
      </c>
      <c r="AN28" s="110">
        <v>1.5795657366345599</v>
      </c>
      <c r="AO28" s="110">
        <v>0.205692319582371</v>
      </c>
      <c r="AP28" s="110">
        <v>0</v>
      </c>
      <c r="AQ28" s="110">
        <v>0</v>
      </c>
      <c r="AR28" s="111">
        <v>0.20512547431112199</v>
      </c>
    </row>
    <row r="29" spans="2:44" ht="12" customHeight="1" x14ac:dyDescent="0.3">
      <c r="B29" s="109" t="s">
        <v>22</v>
      </c>
      <c r="C29" s="110" t="s">
        <v>23</v>
      </c>
      <c r="D29" s="110" t="s">
        <v>24</v>
      </c>
      <c r="E29" s="110" t="s">
        <v>24</v>
      </c>
      <c r="F29" s="110" t="s">
        <v>25</v>
      </c>
      <c r="G29" s="110" t="s">
        <v>25</v>
      </c>
      <c r="H29" s="110" t="s">
        <v>76</v>
      </c>
      <c r="I29" s="110" t="s">
        <v>25</v>
      </c>
      <c r="J29" s="110">
        <v>16.52</v>
      </c>
      <c r="K29" s="110">
        <v>36.229999999999997</v>
      </c>
      <c r="L29" s="110">
        <v>0.222396394272347</v>
      </c>
      <c r="M29" s="110">
        <v>0</v>
      </c>
      <c r="N29" s="110">
        <v>0</v>
      </c>
      <c r="O29" s="110">
        <v>0</v>
      </c>
      <c r="P29" s="110">
        <v>0</v>
      </c>
      <c r="Q29" s="110">
        <v>11.080027836900999</v>
      </c>
      <c r="R29" s="110">
        <v>2.8235306721162998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0">
        <v>0</v>
      </c>
      <c r="Y29" s="110">
        <v>0</v>
      </c>
      <c r="Z29" s="110">
        <v>0</v>
      </c>
      <c r="AA29" s="110">
        <v>0</v>
      </c>
      <c r="AB29" s="110">
        <v>0</v>
      </c>
      <c r="AC29" s="110">
        <v>0</v>
      </c>
      <c r="AD29" s="110">
        <v>2.2868017367582598</v>
      </c>
      <c r="AE29" s="110">
        <v>2.3387613658480699E-2</v>
      </c>
      <c r="AF29" s="110">
        <v>8.5965855482137393E-2</v>
      </c>
      <c r="AG29" s="110">
        <v>0</v>
      </c>
      <c r="AH29" s="110">
        <v>0.71190267555397702</v>
      </c>
      <c r="AI29" s="110">
        <v>0</v>
      </c>
      <c r="AJ29" s="110">
        <v>0</v>
      </c>
      <c r="AK29" s="110">
        <v>12.5409729524334</v>
      </c>
      <c r="AL29" s="110">
        <v>0</v>
      </c>
      <c r="AM29" s="110">
        <v>20.990104649813699</v>
      </c>
      <c r="AN29" s="110">
        <v>1.5795657366345599</v>
      </c>
      <c r="AO29" s="110">
        <v>0.205692319582371</v>
      </c>
      <c r="AP29" s="110">
        <v>0</v>
      </c>
      <c r="AQ29" s="110">
        <v>0</v>
      </c>
      <c r="AR29" s="111">
        <v>0.20512547431112199</v>
      </c>
    </row>
    <row r="30" spans="2:44" ht="12" customHeight="1" x14ac:dyDescent="0.3">
      <c r="B30" s="109" t="s">
        <v>22</v>
      </c>
      <c r="C30" s="110" t="s">
        <v>95</v>
      </c>
      <c r="D30" s="110" t="s">
        <v>24</v>
      </c>
      <c r="E30" s="110" t="s">
        <v>1404</v>
      </c>
      <c r="F30" s="110" t="s">
        <v>25</v>
      </c>
      <c r="G30" s="110" t="s">
        <v>25</v>
      </c>
      <c r="H30" s="110" t="s">
        <v>76</v>
      </c>
      <c r="I30" s="110" t="s">
        <v>25</v>
      </c>
      <c r="J30" s="110">
        <v>2.4</v>
      </c>
      <c r="K30" s="110">
        <v>36.229999999999997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</v>
      </c>
      <c r="U30" s="110">
        <v>0</v>
      </c>
      <c r="V30" s="110">
        <v>0</v>
      </c>
      <c r="W30" s="110">
        <v>0</v>
      </c>
      <c r="X30" s="110">
        <v>0</v>
      </c>
      <c r="Y30" s="110">
        <v>0</v>
      </c>
      <c r="Z30" s="110">
        <v>0</v>
      </c>
      <c r="AA30" s="110">
        <v>0</v>
      </c>
      <c r="AB30" s="110">
        <v>0</v>
      </c>
      <c r="AC30" s="110">
        <v>0</v>
      </c>
      <c r="AD30" s="110">
        <v>2.2868017367582598</v>
      </c>
      <c r="AE30" s="110">
        <v>2.3387613658480699E-2</v>
      </c>
      <c r="AF30" s="110">
        <v>8.5965855482137393E-2</v>
      </c>
      <c r="AG30" s="110">
        <v>0</v>
      </c>
      <c r="AH30" s="110">
        <v>0.71190267555397702</v>
      </c>
      <c r="AI30" s="110">
        <v>0</v>
      </c>
      <c r="AJ30" s="110">
        <v>0</v>
      </c>
      <c r="AK30" s="110">
        <v>12.5409729524334</v>
      </c>
      <c r="AL30" s="110">
        <v>0</v>
      </c>
      <c r="AM30" s="110">
        <v>20.990104649813699</v>
      </c>
      <c r="AN30" s="110">
        <v>1.5795657366345599</v>
      </c>
      <c r="AO30" s="110">
        <v>0.205692319582371</v>
      </c>
      <c r="AP30" s="110">
        <v>0</v>
      </c>
      <c r="AQ30" s="110">
        <v>0</v>
      </c>
      <c r="AR30" s="111">
        <v>0.20512547431112199</v>
      </c>
    </row>
    <row r="31" spans="2:44" ht="12" customHeight="1" x14ac:dyDescent="0.3">
      <c r="B31" s="109" t="s">
        <v>22</v>
      </c>
      <c r="C31" s="110" t="s">
        <v>95</v>
      </c>
      <c r="D31" s="110" t="s">
        <v>24</v>
      </c>
      <c r="E31" s="110" t="s">
        <v>24</v>
      </c>
      <c r="F31" s="110" t="s">
        <v>25</v>
      </c>
      <c r="G31" s="110" t="s">
        <v>25</v>
      </c>
      <c r="H31" s="110" t="s">
        <v>76</v>
      </c>
      <c r="I31" s="110" t="s">
        <v>25</v>
      </c>
      <c r="J31" s="110">
        <v>16.52</v>
      </c>
      <c r="K31" s="110">
        <v>36.229999999999997</v>
      </c>
      <c r="L31" s="110">
        <v>0.222396394272347</v>
      </c>
      <c r="M31" s="110">
        <v>0</v>
      </c>
      <c r="N31" s="110">
        <v>0</v>
      </c>
      <c r="O31" s="110">
        <v>0</v>
      </c>
      <c r="P31" s="110">
        <v>0</v>
      </c>
      <c r="Q31" s="110">
        <v>11.080027836900999</v>
      </c>
      <c r="R31" s="110">
        <v>2.8235306721162998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0</v>
      </c>
      <c r="Y31" s="110">
        <v>0</v>
      </c>
      <c r="Z31" s="110">
        <v>0</v>
      </c>
      <c r="AA31" s="110">
        <v>0</v>
      </c>
      <c r="AB31" s="110">
        <v>0</v>
      </c>
      <c r="AC31" s="110">
        <v>0</v>
      </c>
      <c r="AD31" s="110">
        <v>2.2868017367582598</v>
      </c>
      <c r="AE31" s="110">
        <v>2.3387613658480699E-2</v>
      </c>
      <c r="AF31" s="110">
        <v>8.5965855482137393E-2</v>
      </c>
      <c r="AG31" s="110">
        <v>0</v>
      </c>
      <c r="AH31" s="110">
        <v>0.71190267555397702</v>
      </c>
      <c r="AI31" s="110">
        <v>0</v>
      </c>
      <c r="AJ31" s="110">
        <v>0</v>
      </c>
      <c r="AK31" s="110">
        <v>12.5409729524334</v>
      </c>
      <c r="AL31" s="110">
        <v>0</v>
      </c>
      <c r="AM31" s="110">
        <v>20.990104649813699</v>
      </c>
      <c r="AN31" s="110">
        <v>1.5795657366345599</v>
      </c>
      <c r="AO31" s="110">
        <v>0.205692319582371</v>
      </c>
      <c r="AP31" s="110">
        <v>0</v>
      </c>
      <c r="AQ31" s="110">
        <v>0</v>
      </c>
      <c r="AR31" s="111">
        <v>0.20512547431112199</v>
      </c>
    </row>
    <row r="32" spans="2:44" ht="12" customHeight="1" x14ac:dyDescent="0.3">
      <c r="B32" s="109" t="s">
        <v>42</v>
      </c>
      <c r="C32" s="110" t="s">
        <v>33</v>
      </c>
      <c r="D32" s="110" t="s">
        <v>43</v>
      </c>
      <c r="E32" s="110" t="s">
        <v>96</v>
      </c>
      <c r="F32" s="110" t="s">
        <v>25</v>
      </c>
      <c r="G32" s="110" t="s">
        <v>34</v>
      </c>
      <c r="H32" s="110" t="s">
        <v>76</v>
      </c>
      <c r="I32" s="110" t="s">
        <v>25</v>
      </c>
      <c r="J32" s="110">
        <v>15.2</v>
      </c>
      <c r="K32" s="110">
        <v>45.36</v>
      </c>
      <c r="L32" s="110">
        <v>0.20460468273056001</v>
      </c>
      <c r="M32" s="110">
        <v>0</v>
      </c>
      <c r="N32" s="110">
        <v>0</v>
      </c>
      <c r="O32" s="110">
        <v>0</v>
      </c>
      <c r="P32" s="110">
        <v>0</v>
      </c>
      <c r="Q32" s="110">
        <v>10.193625609948899</v>
      </c>
      <c r="R32" s="110">
        <v>2.5976482183469898</v>
      </c>
      <c r="S32" s="110">
        <v>0</v>
      </c>
      <c r="T32" s="110">
        <v>0</v>
      </c>
      <c r="U32" s="110">
        <v>0</v>
      </c>
      <c r="V32" s="110">
        <v>0</v>
      </c>
      <c r="W32" s="110">
        <v>0</v>
      </c>
      <c r="X32" s="110">
        <v>0</v>
      </c>
      <c r="Y32" s="110">
        <v>0</v>
      </c>
      <c r="Z32" s="110">
        <v>0</v>
      </c>
      <c r="AA32" s="110">
        <v>0</v>
      </c>
      <c r="AB32" s="110">
        <v>0</v>
      </c>
      <c r="AC32" s="110">
        <v>0</v>
      </c>
      <c r="AD32" s="110">
        <v>2.1038575978176</v>
      </c>
      <c r="AE32" s="110">
        <v>2.1516604565802198E-2</v>
      </c>
      <c r="AF32" s="110">
        <v>7.9088587043566402E-2</v>
      </c>
      <c r="AG32" s="110">
        <v>0</v>
      </c>
      <c r="AH32" s="110">
        <v>0.65495046150965897</v>
      </c>
      <c r="AI32" s="110">
        <v>0</v>
      </c>
      <c r="AJ32" s="110">
        <v>0</v>
      </c>
      <c r="AK32" s="110">
        <v>11.5376951162387</v>
      </c>
      <c r="AL32" s="110">
        <v>0</v>
      </c>
      <c r="AM32" s="110">
        <v>31.334661884778502</v>
      </c>
      <c r="AN32" s="110">
        <v>1.4532004777037899</v>
      </c>
      <c r="AO32" s="110">
        <v>0.18923693401578101</v>
      </c>
      <c r="AP32" s="110">
        <v>0</v>
      </c>
      <c r="AQ32" s="110">
        <v>0</v>
      </c>
      <c r="AR32" s="111">
        <v>0.188715436366232</v>
      </c>
    </row>
    <row r="33" spans="2:44" ht="12" customHeight="1" x14ac:dyDescent="0.3">
      <c r="B33" s="109" t="s">
        <v>42</v>
      </c>
      <c r="C33" s="110" t="s">
        <v>33</v>
      </c>
      <c r="D33" s="110" t="s">
        <v>43</v>
      </c>
      <c r="E33" s="110" t="s">
        <v>96</v>
      </c>
      <c r="F33" s="110" t="s">
        <v>25</v>
      </c>
      <c r="G33" s="110" t="s">
        <v>36</v>
      </c>
      <c r="H33" s="110" t="s">
        <v>76</v>
      </c>
      <c r="I33" s="110" t="s">
        <v>25</v>
      </c>
      <c r="J33" s="110">
        <v>15.2</v>
      </c>
      <c r="K33" s="110">
        <v>32.24</v>
      </c>
      <c r="L33" s="110">
        <v>0.20460468273056001</v>
      </c>
      <c r="M33" s="110">
        <v>0</v>
      </c>
      <c r="N33" s="110">
        <v>0</v>
      </c>
      <c r="O33" s="110">
        <v>0</v>
      </c>
      <c r="P33" s="110">
        <v>0</v>
      </c>
      <c r="Q33" s="110">
        <v>10.193625609948899</v>
      </c>
      <c r="R33" s="110">
        <v>2.5976482183469898</v>
      </c>
      <c r="S33" s="110">
        <v>0</v>
      </c>
      <c r="T33" s="110">
        <v>0</v>
      </c>
      <c r="U33" s="110">
        <v>0</v>
      </c>
      <c r="V33" s="110">
        <v>0</v>
      </c>
      <c r="W33" s="110">
        <v>0</v>
      </c>
      <c r="X33" s="110">
        <v>0</v>
      </c>
      <c r="Y33" s="110">
        <v>0</v>
      </c>
      <c r="Z33" s="110">
        <v>0</v>
      </c>
      <c r="AA33" s="110">
        <v>0</v>
      </c>
      <c r="AB33" s="110">
        <v>0</v>
      </c>
      <c r="AC33" s="110">
        <v>0</v>
      </c>
      <c r="AD33" s="110">
        <v>2.1038575978176</v>
      </c>
      <c r="AE33" s="110">
        <v>2.1516604565802198E-2</v>
      </c>
      <c r="AF33" s="110">
        <v>7.9088587043566402E-2</v>
      </c>
      <c r="AG33" s="110">
        <v>0</v>
      </c>
      <c r="AH33" s="110">
        <v>0.65495046150965897</v>
      </c>
      <c r="AI33" s="110">
        <v>0</v>
      </c>
      <c r="AJ33" s="110">
        <v>0</v>
      </c>
      <c r="AK33" s="110">
        <v>11.5376951162387</v>
      </c>
      <c r="AL33" s="110">
        <v>0</v>
      </c>
      <c r="AM33" s="110">
        <v>18.2178266771968</v>
      </c>
      <c r="AN33" s="110">
        <v>1.4532004777037899</v>
      </c>
      <c r="AO33" s="110">
        <v>0.18923693401578101</v>
      </c>
      <c r="AP33" s="110">
        <v>0</v>
      </c>
      <c r="AQ33" s="110">
        <v>0</v>
      </c>
      <c r="AR33" s="111">
        <v>0.188715436366232</v>
      </c>
    </row>
    <row r="34" spans="2:44" ht="12" customHeight="1" x14ac:dyDescent="0.3">
      <c r="B34" s="109" t="s">
        <v>42</v>
      </c>
      <c r="C34" s="110" t="s">
        <v>33</v>
      </c>
      <c r="D34" s="110" t="s">
        <v>43</v>
      </c>
      <c r="E34" s="110" t="s">
        <v>96</v>
      </c>
      <c r="F34" s="110" t="s">
        <v>25</v>
      </c>
      <c r="G34" s="110" t="s">
        <v>35</v>
      </c>
      <c r="H34" s="110" t="s">
        <v>76</v>
      </c>
      <c r="I34" s="110" t="s">
        <v>25</v>
      </c>
      <c r="J34" s="110">
        <v>15.2</v>
      </c>
      <c r="K34" s="110">
        <v>32.24</v>
      </c>
      <c r="L34" s="110">
        <v>0.20460468273056001</v>
      </c>
      <c r="M34" s="110">
        <v>0</v>
      </c>
      <c r="N34" s="110">
        <v>0</v>
      </c>
      <c r="O34" s="110">
        <v>0</v>
      </c>
      <c r="P34" s="110">
        <v>0</v>
      </c>
      <c r="Q34" s="110">
        <v>10.193625609948899</v>
      </c>
      <c r="R34" s="110">
        <v>2.5976482183469898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0</v>
      </c>
      <c r="Y34" s="110">
        <v>0</v>
      </c>
      <c r="Z34" s="110">
        <v>0</v>
      </c>
      <c r="AA34" s="110">
        <v>0</v>
      </c>
      <c r="AB34" s="110">
        <v>0</v>
      </c>
      <c r="AC34" s="110">
        <v>0</v>
      </c>
      <c r="AD34" s="110">
        <v>2.1038575978176</v>
      </c>
      <c r="AE34" s="110">
        <v>2.1516604565802198E-2</v>
      </c>
      <c r="AF34" s="110">
        <v>7.9088587043566402E-2</v>
      </c>
      <c r="AG34" s="110">
        <v>0</v>
      </c>
      <c r="AH34" s="110">
        <v>0.65495046150965897</v>
      </c>
      <c r="AI34" s="110">
        <v>0</v>
      </c>
      <c r="AJ34" s="110">
        <v>0</v>
      </c>
      <c r="AK34" s="110">
        <v>11.5376951162387</v>
      </c>
      <c r="AL34" s="110">
        <v>0</v>
      </c>
      <c r="AM34" s="110">
        <v>18.2178266771968</v>
      </c>
      <c r="AN34" s="110">
        <v>1.4532004777037899</v>
      </c>
      <c r="AO34" s="110">
        <v>0.18923693401578101</v>
      </c>
      <c r="AP34" s="110">
        <v>0</v>
      </c>
      <c r="AQ34" s="110">
        <v>0</v>
      </c>
      <c r="AR34" s="111">
        <v>0.188715436366232</v>
      </c>
    </row>
    <row r="35" spans="2:44" ht="12" customHeight="1" x14ac:dyDescent="0.3">
      <c r="B35" s="109" t="s">
        <v>42</v>
      </c>
      <c r="C35" s="110" t="s">
        <v>33</v>
      </c>
      <c r="D35" s="110" t="s">
        <v>43</v>
      </c>
      <c r="E35" s="110" t="s">
        <v>25</v>
      </c>
      <c r="F35" s="110" t="s">
        <v>25</v>
      </c>
      <c r="G35" s="110" t="s">
        <v>34</v>
      </c>
      <c r="H35" s="110" t="s">
        <v>76</v>
      </c>
      <c r="I35" s="110" t="s">
        <v>25</v>
      </c>
      <c r="J35" s="110">
        <v>15.53</v>
      </c>
      <c r="K35" s="110">
        <v>46.34</v>
      </c>
      <c r="L35" s="110">
        <v>0.209052610616006</v>
      </c>
      <c r="M35" s="110">
        <v>0</v>
      </c>
      <c r="N35" s="110">
        <v>0</v>
      </c>
      <c r="O35" s="110">
        <v>0</v>
      </c>
      <c r="P35" s="110">
        <v>0</v>
      </c>
      <c r="Q35" s="110">
        <v>10.415226166687001</v>
      </c>
      <c r="R35" s="110">
        <v>2.6541188317893201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0</v>
      </c>
      <c r="AB35" s="110">
        <v>0</v>
      </c>
      <c r="AC35" s="110">
        <v>0</v>
      </c>
      <c r="AD35" s="110">
        <v>2.1495936325527598</v>
      </c>
      <c r="AE35" s="110">
        <v>2.1984356838971899E-2</v>
      </c>
      <c r="AF35" s="110">
        <v>8.0807904153209195E-2</v>
      </c>
      <c r="AG35" s="110">
        <v>0</v>
      </c>
      <c r="AH35" s="110">
        <v>0.66918851502073795</v>
      </c>
      <c r="AI35" s="110">
        <v>0</v>
      </c>
      <c r="AJ35" s="110">
        <v>0</v>
      </c>
      <c r="AK35" s="110">
        <v>11.788514575287399</v>
      </c>
      <c r="AL35" s="110">
        <v>0</v>
      </c>
      <c r="AM35" s="110">
        <v>32.015850186621499</v>
      </c>
      <c r="AN35" s="110">
        <v>1.48479179243649</v>
      </c>
      <c r="AO35" s="110">
        <v>0.19335078040742801</v>
      </c>
      <c r="AP35" s="110">
        <v>0</v>
      </c>
      <c r="AQ35" s="110">
        <v>0</v>
      </c>
      <c r="AR35" s="111">
        <v>0.19281794585245501</v>
      </c>
    </row>
    <row r="36" spans="2:44" ht="12" customHeight="1" x14ac:dyDescent="0.3">
      <c r="B36" s="109" t="s">
        <v>42</v>
      </c>
      <c r="C36" s="110" t="s">
        <v>33</v>
      </c>
      <c r="D36" s="110" t="s">
        <v>43</v>
      </c>
      <c r="E36" s="110" t="s">
        <v>25</v>
      </c>
      <c r="F36" s="110" t="s">
        <v>25</v>
      </c>
      <c r="G36" s="110" t="s">
        <v>36</v>
      </c>
      <c r="H36" s="110" t="s">
        <v>76</v>
      </c>
      <c r="I36" s="110" t="s">
        <v>25</v>
      </c>
      <c r="J36" s="110">
        <v>15.53</v>
      </c>
      <c r="K36" s="110">
        <v>32.94</v>
      </c>
      <c r="L36" s="110">
        <v>0.209052610616006</v>
      </c>
      <c r="M36" s="110">
        <v>0</v>
      </c>
      <c r="N36" s="110">
        <v>0</v>
      </c>
      <c r="O36" s="110">
        <v>0</v>
      </c>
      <c r="P36" s="110">
        <v>0</v>
      </c>
      <c r="Q36" s="110">
        <v>10.415226166687001</v>
      </c>
      <c r="R36" s="110">
        <v>2.6541188317893201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0</v>
      </c>
      <c r="AB36" s="110">
        <v>0</v>
      </c>
      <c r="AC36" s="110">
        <v>0</v>
      </c>
      <c r="AD36" s="110">
        <v>2.1495936325527598</v>
      </c>
      <c r="AE36" s="110">
        <v>2.1984356838971899E-2</v>
      </c>
      <c r="AF36" s="110">
        <v>8.0807904153209195E-2</v>
      </c>
      <c r="AG36" s="110">
        <v>0</v>
      </c>
      <c r="AH36" s="110">
        <v>0.66918851502073795</v>
      </c>
      <c r="AI36" s="110">
        <v>0</v>
      </c>
      <c r="AJ36" s="110">
        <v>0</v>
      </c>
      <c r="AK36" s="110">
        <v>11.788514575287399</v>
      </c>
      <c r="AL36" s="110">
        <v>0</v>
      </c>
      <c r="AM36" s="110">
        <v>18.613866387570599</v>
      </c>
      <c r="AN36" s="110">
        <v>1.48479179243649</v>
      </c>
      <c r="AO36" s="110">
        <v>0.19335078040742801</v>
      </c>
      <c r="AP36" s="110">
        <v>0</v>
      </c>
      <c r="AQ36" s="110">
        <v>0</v>
      </c>
      <c r="AR36" s="111">
        <v>0.19281794585245501</v>
      </c>
    </row>
    <row r="37" spans="2:44" ht="12" customHeight="1" x14ac:dyDescent="0.3">
      <c r="B37" s="109" t="s">
        <v>42</v>
      </c>
      <c r="C37" s="110" t="s">
        <v>33</v>
      </c>
      <c r="D37" s="110" t="s">
        <v>43</v>
      </c>
      <c r="E37" s="110" t="s">
        <v>25</v>
      </c>
      <c r="F37" s="110" t="s">
        <v>25</v>
      </c>
      <c r="G37" s="110" t="s">
        <v>35</v>
      </c>
      <c r="H37" s="110" t="s">
        <v>76</v>
      </c>
      <c r="I37" s="110" t="s">
        <v>25</v>
      </c>
      <c r="J37" s="110">
        <v>15.53</v>
      </c>
      <c r="K37" s="110">
        <v>32.94</v>
      </c>
      <c r="L37" s="110">
        <v>0.209052610616006</v>
      </c>
      <c r="M37" s="110">
        <v>0</v>
      </c>
      <c r="N37" s="110">
        <v>0</v>
      </c>
      <c r="O37" s="110">
        <v>0</v>
      </c>
      <c r="P37" s="110">
        <v>0</v>
      </c>
      <c r="Q37" s="110">
        <v>10.415226166687001</v>
      </c>
      <c r="R37" s="110">
        <v>2.6541188317893201</v>
      </c>
      <c r="S37" s="110">
        <v>0</v>
      </c>
      <c r="T37" s="110">
        <v>0</v>
      </c>
      <c r="U37" s="110">
        <v>0</v>
      </c>
      <c r="V37" s="110">
        <v>0</v>
      </c>
      <c r="W37" s="110">
        <v>0</v>
      </c>
      <c r="X37" s="110">
        <v>0</v>
      </c>
      <c r="Y37" s="110">
        <v>0</v>
      </c>
      <c r="Z37" s="110">
        <v>0</v>
      </c>
      <c r="AA37" s="110">
        <v>0</v>
      </c>
      <c r="AB37" s="110">
        <v>0</v>
      </c>
      <c r="AC37" s="110">
        <v>0</v>
      </c>
      <c r="AD37" s="110">
        <v>2.1495936325527598</v>
      </c>
      <c r="AE37" s="110">
        <v>2.1984356838971899E-2</v>
      </c>
      <c r="AF37" s="110">
        <v>8.0807904153209195E-2</v>
      </c>
      <c r="AG37" s="110">
        <v>0</v>
      </c>
      <c r="AH37" s="110">
        <v>0.66918851502073795</v>
      </c>
      <c r="AI37" s="110">
        <v>0</v>
      </c>
      <c r="AJ37" s="110">
        <v>0</v>
      </c>
      <c r="AK37" s="110">
        <v>11.788514575287399</v>
      </c>
      <c r="AL37" s="110">
        <v>0</v>
      </c>
      <c r="AM37" s="110">
        <v>18.613866387570599</v>
      </c>
      <c r="AN37" s="110">
        <v>1.48479179243649</v>
      </c>
      <c r="AO37" s="110">
        <v>0.19335078040742801</v>
      </c>
      <c r="AP37" s="110">
        <v>0</v>
      </c>
      <c r="AQ37" s="110">
        <v>0</v>
      </c>
      <c r="AR37" s="111">
        <v>0.19281794585245501</v>
      </c>
    </row>
    <row r="38" spans="2:44" ht="12" customHeight="1" x14ac:dyDescent="0.3">
      <c r="B38" s="109" t="s">
        <v>42</v>
      </c>
      <c r="C38" s="110" t="s">
        <v>33</v>
      </c>
      <c r="D38" s="110" t="s">
        <v>43</v>
      </c>
      <c r="E38" s="110" t="s">
        <v>97</v>
      </c>
      <c r="F38" s="110" t="s">
        <v>25</v>
      </c>
      <c r="G38" s="110" t="s">
        <v>34</v>
      </c>
      <c r="H38" s="110" t="s">
        <v>76</v>
      </c>
      <c r="I38" s="110" t="s">
        <v>25</v>
      </c>
      <c r="J38" s="110">
        <v>15.2</v>
      </c>
      <c r="K38" s="110">
        <v>45.36</v>
      </c>
      <c r="L38" s="110">
        <v>0.20460468273056001</v>
      </c>
      <c r="M38" s="110">
        <v>0</v>
      </c>
      <c r="N38" s="110">
        <v>0</v>
      </c>
      <c r="O38" s="110">
        <v>0</v>
      </c>
      <c r="P38" s="110">
        <v>0</v>
      </c>
      <c r="Q38" s="110">
        <v>10.193625609948899</v>
      </c>
      <c r="R38" s="110">
        <v>2.5976482183469898</v>
      </c>
      <c r="S38" s="110">
        <v>0</v>
      </c>
      <c r="T38" s="110">
        <v>0</v>
      </c>
      <c r="U38" s="110">
        <v>0</v>
      </c>
      <c r="V38" s="110">
        <v>0</v>
      </c>
      <c r="W38" s="110">
        <v>0</v>
      </c>
      <c r="X38" s="110">
        <v>0</v>
      </c>
      <c r="Y38" s="110">
        <v>0</v>
      </c>
      <c r="Z38" s="110">
        <v>0</v>
      </c>
      <c r="AA38" s="110">
        <v>0</v>
      </c>
      <c r="AB38" s="110">
        <v>0</v>
      </c>
      <c r="AC38" s="110">
        <v>0</v>
      </c>
      <c r="AD38" s="110">
        <v>2.1038575978176</v>
      </c>
      <c r="AE38" s="110">
        <v>2.1516604565802198E-2</v>
      </c>
      <c r="AF38" s="110">
        <v>7.9088587043566402E-2</v>
      </c>
      <c r="AG38" s="110">
        <v>0</v>
      </c>
      <c r="AH38" s="110">
        <v>0.65495046150965897</v>
      </c>
      <c r="AI38" s="110">
        <v>0</v>
      </c>
      <c r="AJ38" s="110">
        <v>0</v>
      </c>
      <c r="AK38" s="110">
        <v>11.5376951162387</v>
      </c>
      <c r="AL38" s="110">
        <v>0</v>
      </c>
      <c r="AM38" s="110">
        <v>31.334661884778502</v>
      </c>
      <c r="AN38" s="110">
        <v>1.4532004777037899</v>
      </c>
      <c r="AO38" s="110">
        <v>0.18923693401578101</v>
      </c>
      <c r="AP38" s="110">
        <v>0</v>
      </c>
      <c r="AQ38" s="110">
        <v>0</v>
      </c>
      <c r="AR38" s="111">
        <v>0.188715436366232</v>
      </c>
    </row>
    <row r="39" spans="2:44" ht="12" customHeight="1" x14ac:dyDescent="0.3">
      <c r="B39" s="109" t="s">
        <v>42</v>
      </c>
      <c r="C39" s="110" t="s">
        <v>33</v>
      </c>
      <c r="D39" s="110" t="s">
        <v>43</v>
      </c>
      <c r="E39" s="110" t="s">
        <v>97</v>
      </c>
      <c r="F39" s="110" t="s">
        <v>25</v>
      </c>
      <c r="G39" s="110" t="s">
        <v>36</v>
      </c>
      <c r="H39" s="110" t="s">
        <v>76</v>
      </c>
      <c r="I39" s="110" t="s">
        <v>25</v>
      </c>
      <c r="J39" s="110">
        <v>15.2</v>
      </c>
      <c r="K39" s="110">
        <v>32.24</v>
      </c>
      <c r="L39" s="110">
        <v>0.20460468273056001</v>
      </c>
      <c r="M39" s="110">
        <v>0</v>
      </c>
      <c r="N39" s="110">
        <v>0</v>
      </c>
      <c r="O39" s="110">
        <v>0</v>
      </c>
      <c r="P39" s="110">
        <v>0</v>
      </c>
      <c r="Q39" s="110">
        <v>10.193625609948899</v>
      </c>
      <c r="R39" s="110">
        <v>2.5976482183469898</v>
      </c>
      <c r="S39" s="110">
        <v>0</v>
      </c>
      <c r="T39" s="110">
        <v>0</v>
      </c>
      <c r="U39" s="110">
        <v>0</v>
      </c>
      <c r="V39" s="110">
        <v>0</v>
      </c>
      <c r="W39" s="110">
        <v>0</v>
      </c>
      <c r="X39" s="110">
        <v>0</v>
      </c>
      <c r="Y39" s="110">
        <v>0</v>
      </c>
      <c r="Z39" s="110">
        <v>0</v>
      </c>
      <c r="AA39" s="110">
        <v>0</v>
      </c>
      <c r="AB39" s="110">
        <v>0</v>
      </c>
      <c r="AC39" s="110">
        <v>0</v>
      </c>
      <c r="AD39" s="110">
        <v>2.1038575978176</v>
      </c>
      <c r="AE39" s="110">
        <v>2.1516604565802198E-2</v>
      </c>
      <c r="AF39" s="110">
        <v>7.9088587043566402E-2</v>
      </c>
      <c r="AG39" s="110">
        <v>0</v>
      </c>
      <c r="AH39" s="110">
        <v>0.65495046150965897</v>
      </c>
      <c r="AI39" s="110">
        <v>0</v>
      </c>
      <c r="AJ39" s="110">
        <v>0</v>
      </c>
      <c r="AK39" s="110">
        <v>11.5376951162387</v>
      </c>
      <c r="AL39" s="110">
        <v>0</v>
      </c>
      <c r="AM39" s="110">
        <v>18.2178266771968</v>
      </c>
      <c r="AN39" s="110">
        <v>1.4532004777037899</v>
      </c>
      <c r="AO39" s="110">
        <v>0.18923693401578101</v>
      </c>
      <c r="AP39" s="110">
        <v>0</v>
      </c>
      <c r="AQ39" s="110">
        <v>0</v>
      </c>
      <c r="AR39" s="111">
        <v>0.188715436366232</v>
      </c>
    </row>
    <row r="40" spans="2:44" ht="12" customHeight="1" x14ac:dyDescent="0.3">
      <c r="B40" s="109" t="s">
        <v>42</v>
      </c>
      <c r="C40" s="110" t="s">
        <v>33</v>
      </c>
      <c r="D40" s="110" t="s">
        <v>43</v>
      </c>
      <c r="E40" s="110" t="s">
        <v>97</v>
      </c>
      <c r="F40" s="110" t="s">
        <v>25</v>
      </c>
      <c r="G40" s="110" t="s">
        <v>35</v>
      </c>
      <c r="H40" s="110" t="s">
        <v>76</v>
      </c>
      <c r="I40" s="110" t="s">
        <v>25</v>
      </c>
      <c r="J40" s="110">
        <v>15.2</v>
      </c>
      <c r="K40" s="110">
        <v>32.24</v>
      </c>
      <c r="L40" s="110">
        <v>0.20460468273056001</v>
      </c>
      <c r="M40" s="110">
        <v>0</v>
      </c>
      <c r="N40" s="110">
        <v>0</v>
      </c>
      <c r="O40" s="110">
        <v>0</v>
      </c>
      <c r="P40" s="110">
        <v>0</v>
      </c>
      <c r="Q40" s="110">
        <v>10.193625609948899</v>
      </c>
      <c r="R40" s="110">
        <v>2.5976482183469898</v>
      </c>
      <c r="S40" s="110">
        <v>0</v>
      </c>
      <c r="T40" s="110">
        <v>0</v>
      </c>
      <c r="U40" s="110">
        <v>0</v>
      </c>
      <c r="V40" s="110">
        <v>0</v>
      </c>
      <c r="W40" s="110">
        <v>0</v>
      </c>
      <c r="X40" s="110">
        <v>0</v>
      </c>
      <c r="Y40" s="110">
        <v>0</v>
      </c>
      <c r="Z40" s="110">
        <v>0</v>
      </c>
      <c r="AA40" s="110">
        <v>0</v>
      </c>
      <c r="AB40" s="110">
        <v>0</v>
      </c>
      <c r="AC40" s="110">
        <v>0</v>
      </c>
      <c r="AD40" s="110">
        <v>2.1038575978176</v>
      </c>
      <c r="AE40" s="110">
        <v>2.1516604565802198E-2</v>
      </c>
      <c r="AF40" s="110">
        <v>7.9088587043566402E-2</v>
      </c>
      <c r="AG40" s="110">
        <v>0</v>
      </c>
      <c r="AH40" s="110">
        <v>0.65495046150965897</v>
      </c>
      <c r="AI40" s="110">
        <v>0</v>
      </c>
      <c r="AJ40" s="110">
        <v>0</v>
      </c>
      <c r="AK40" s="110">
        <v>11.5376951162387</v>
      </c>
      <c r="AL40" s="110">
        <v>0</v>
      </c>
      <c r="AM40" s="110">
        <v>18.2178266771968</v>
      </c>
      <c r="AN40" s="110">
        <v>1.4532004777037899</v>
      </c>
      <c r="AO40" s="110">
        <v>0.18923693401578101</v>
      </c>
      <c r="AP40" s="110">
        <v>0</v>
      </c>
      <c r="AQ40" s="110">
        <v>0</v>
      </c>
      <c r="AR40" s="111">
        <v>0.188715436366232</v>
      </c>
    </row>
    <row r="41" spans="2:44" ht="12" customHeight="1" x14ac:dyDescent="0.3">
      <c r="B41" s="109" t="s">
        <v>42</v>
      </c>
      <c r="C41" s="110" t="s">
        <v>23</v>
      </c>
      <c r="D41" s="110" t="s">
        <v>43</v>
      </c>
      <c r="E41" s="110" t="s">
        <v>96</v>
      </c>
      <c r="F41" s="110" t="s">
        <v>25</v>
      </c>
      <c r="G41" s="110" t="s">
        <v>25</v>
      </c>
      <c r="H41" s="110" t="s">
        <v>76</v>
      </c>
      <c r="I41" s="110" t="s">
        <v>25</v>
      </c>
      <c r="J41" s="110">
        <v>15.2</v>
      </c>
      <c r="K41" s="110">
        <v>33.33</v>
      </c>
      <c r="L41" s="110">
        <v>0.20460468273056001</v>
      </c>
      <c r="M41" s="110">
        <v>0</v>
      </c>
      <c r="N41" s="110">
        <v>0</v>
      </c>
      <c r="O41" s="110">
        <v>0</v>
      </c>
      <c r="P41" s="110">
        <v>0</v>
      </c>
      <c r="Q41" s="110">
        <v>10.193625609948899</v>
      </c>
      <c r="R41" s="110">
        <v>2.5976482183469898</v>
      </c>
      <c r="S41" s="110">
        <v>0</v>
      </c>
      <c r="T41" s="110">
        <v>0</v>
      </c>
      <c r="U41" s="110">
        <v>0</v>
      </c>
      <c r="V41" s="110">
        <v>0</v>
      </c>
      <c r="W41" s="110">
        <v>0</v>
      </c>
      <c r="X41" s="110">
        <v>0</v>
      </c>
      <c r="Y41" s="110">
        <v>0</v>
      </c>
      <c r="Z41" s="110">
        <v>0</v>
      </c>
      <c r="AA41" s="110">
        <v>0</v>
      </c>
      <c r="AB41" s="110">
        <v>0</v>
      </c>
      <c r="AC41" s="110">
        <v>0</v>
      </c>
      <c r="AD41" s="110">
        <v>2.1038575978176</v>
      </c>
      <c r="AE41" s="110">
        <v>2.1516604565802198E-2</v>
      </c>
      <c r="AF41" s="110">
        <v>7.9088587043566402E-2</v>
      </c>
      <c r="AG41" s="110">
        <v>0</v>
      </c>
      <c r="AH41" s="110">
        <v>0.65495046150965897</v>
      </c>
      <c r="AI41" s="110">
        <v>0</v>
      </c>
      <c r="AJ41" s="110">
        <v>0</v>
      </c>
      <c r="AK41" s="110">
        <v>11.5376951162387</v>
      </c>
      <c r="AL41" s="110">
        <v>0</v>
      </c>
      <c r="AM41" s="110">
        <v>19.310896277828601</v>
      </c>
      <c r="AN41" s="110">
        <v>1.4532004777037899</v>
      </c>
      <c r="AO41" s="110">
        <v>0.18923693401578101</v>
      </c>
      <c r="AP41" s="110">
        <v>0</v>
      </c>
      <c r="AQ41" s="110">
        <v>0</v>
      </c>
      <c r="AR41" s="111">
        <v>0.188715436366232</v>
      </c>
    </row>
    <row r="42" spans="2:44" ht="12" customHeight="1" x14ac:dyDescent="0.3">
      <c r="B42" s="109" t="s">
        <v>42</v>
      </c>
      <c r="C42" s="110" t="s">
        <v>23</v>
      </c>
      <c r="D42" s="110" t="s">
        <v>43</v>
      </c>
      <c r="E42" s="110" t="s">
        <v>25</v>
      </c>
      <c r="F42" s="110" t="s">
        <v>25</v>
      </c>
      <c r="G42" s="110" t="s">
        <v>25</v>
      </c>
      <c r="H42" s="110" t="s">
        <v>76</v>
      </c>
      <c r="I42" s="110" t="s">
        <v>25</v>
      </c>
      <c r="J42" s="110">
        <v>15.53</v>
      </c>
      <c r="K42" s="110">
        <v>34.06</v>
      </c>
      <c r="L42" s="110">
        <v>0.209052610616006</v>
      </c>
      <c r="M42" s="110">
        <v>0</v>
      </c>
      <c r="N42" s="110">
        <v>0</v>
      </c>
      <c r="O42" s="110">
        <v>0</v>
      </c>
      <c r="P42" s="110">
        <v>0</v>
      </c>
      <c r="Q42" s="110">
        <v>10.415226166687001</v>
      </c>
      <c r="R42" s="110">
        <v>2.6541188317893201</v>
      </c>
      <c r="S42" s="110">
        <v>0</v>
      </c>
      <c r="T42" s="110">
        <v>0</v>
      </c>
      <c r="U42" s="110">
        <v>0</v>
      </c>
      <c r="V42" s="110">
        <v>0</v>
      </c>
      <c r="W42" s="110">
        <v>0</v>
      </c>
      <c r="X42" s="110">
        <v>0</v>
      </c>
      <c r="Y42" s="110">
        <v>0</v>
      </c>
      <c r="Z42" s="110">
        <v>0</v>
      </c>
      <c r="AA42" s="110">
        <v>0</v>
      </c>
      <c r="AB42" s="110">
        <v>0</v>
      </c>
      <c r="AC42" s="110">
        <v>0</v>
      </c>
      <c r="AD42" s="110">
        <v>2.1495936325527598</v>
      </c>
      <c r="AE42" s="110">
        <v>2.1984356838971899E-2</v>
      </c>
      <c r="AF42" s="110">
        <v>8.0807904153209195E-2</v>
      </c>
      <c r="AG42" s="110">
        <v>0</v>
      </c>
      <c r="AH42" s="110">
        <v>0.66918851502073795</v>
      </c>
      <c r="AI42" s="110">
        <v>0</v>
      </c>
      <c r="AJ42" s="110">
        <v>0</v>
      </c>
      <c r="AK42" s="110">
        <v>11.788514575287399</v>
      </c>
      <c r="AL42" s="110">
        <v>0</v>
      </c>
      <c r="AM42" s="110">
        <v>19.7306983708249</v>
      </c>
      <c r="AN42" s="110">
        <v>1.48479179243649</v>
      </c>
      <c r="AO42" s="110">
        <v>0.19335078040742801</v>
      </c>
      <c r="AP42" s="110">
        <v>0</v>
      </c>
      <c r="AQ42" s="110">
        <v>0</v>
      </c>
      <c r="AR42" s="111">
        <v>0.19281794585245501</v>
      </c>
    </row>
    <row r="43" spans="2:44" ht="12" customHeight="1" x14ac:dyDescent="0.3">
      <c r="B43" s="109" t="s">
        <v>42</v>
      </c>
      <c r="C43" s="110" t="s">
        <v>23</v>
      </c>
      <c r="D43" s="110" t="s">
        <v>43</v>
      </c>
      <c r="E43" s="110" t="s">
        <v>97</v>
      </c>
      <c r="F43" s="110" t="s">
        <v>25</v>
      </c>
      <c r="G43" s="110" t="s">
        <v>25</v>
      </c>
      <c r="H43" s="110" t="s">
        <v>76</v>
      </c>
      <c r="I43" s="110" t="s">
        <v>25</v>
      </c>
      <c r="J43" s="110">
        <v>15.2</v>
      </c>
      <c r="K43" s="110">
        <v>33.33</v>
      </c>
      <c r="L43" s="110">
        <v>0.20460468273056001</v>
      </c>
      <c r="M43" s="110">
        <v>0</v>
      </c>
      <c r="N43" s="110">
        <v>0</v>
      </c>
      <c r="O43" s="110">
        <v>0</v>
      </c>
      <c r="P43" s="110">
        <v>0</v>
      </c>
      <c r="Q43" s="110">
        <v>10.193625609948899</v>
      </c>
      <c r="R43" s="110">
        <v>2.5976482183469898</v>
      </c>
      <c r="S43" s="110">
        <v>0</v>
      </c>
      <c r="T43" s="110">
        <v>0</v>
      </c>
      <c r="U43" s="110">
        <v>0</v>
      </c>
      <c r="V43" s="110">
        <v>0</v>
      </c>
      <c r="W43" s="110">
        <v>0</v>
      </c>
      <c r="X43" s="110">
        <v>0</v>
      </c>
      <c r="Y43" s="110">
        <v>0</v>
      </c>
      <c r="Z43" s="110">
        <v>0</v>
      </c>
      <c r="AA43" s="110">
        <v>0</v>
      </c>
      <c r="AB43" s="110">
        <v>0</v>
      </c>
      <c r="AC43" s="110">
        <v>0</v>
      </c>
      <c r="AD43" s="110">
        <v>2.1038575978176</v>
      </c>
      <c r="AE43" s="110">
        <v>2.1516604565802198E-2</v>
      </c>
      <c r="AF43" s="110">
        <v>7.9088587043566402E-2</v>
      </c>
      <c r="AG43" s="110">
        <v>0</v>
      </c>
      <c r="AH43" s="110">
        <v>0.65495046150965897</v>
      </c>
      <c r="AI43" s="110">
        <v>0</v>
      </c>
      <c r="AJ43" s="110">
        <v>0</v>
      </c>
      <c r="AK43" s="110">
        <v>11.5376951162387</v>
      </c>
      <c r="AL43" s="110">
        <v>0</v>
      </c>
      <c r="AM43" s="110">
        <v>19.310896277828601</v>
      </c>
      <c r="AN43" s="110">
        <v>1.4532004777037899</v>
      </c>
      <c r="AO43" s="110">
        <v>0.18923693401578101</v>
      </c>
      <c r="AP43" s="110">
        <v>0</v>
      </c>
      <c r="AQ43" s="110">
        <v>0</v>
      </c>
      <c r="AR43" s="111">
        <v>0.188715436366232</v>
      </c>
    </row>
    <row r="44" spans="2:44" ht="12" customHeight="1" x14ac:dyDescent="0.3">
      <c r="B44" s="109" t="s">
        <v>42</v>
      </c>
      <c r="C44" s="110" t="s">
        <v>95</v>
      </c>
      <c r="D44" s="110" t="s">
        <v>43</v>
      </c>
      <c r="E44" s="110" t="s">
        <v>96</v>
      </c>
      <c r="F44" s="110" t="s">
        <v>25</v>
      </c>
      <c r="G44" s="110" t="s">
        <v>25</v>
      </c>
      <c r="H44" s="110" t="s">
        <v>76</v>
      </c>
      <c r="I44" s="110" t="s">
        <v>25</v>
      </c>
      <c r="J44" s="110">
        <v>15.2</v>
      </c>
      <c r="K44" s="110">
        <v>33.33</v>
      </c>
      <c r="L44" s="110">
        <v>0.20460468273056001</v>
      </c>
      <c r="M44" s="110">
        <v>0</v>
      </c>
      <c r="N44" s="110">
        <v>0</v>
      </c>
      <c r="O44" s="110">
        <v>0</v>
      </c>
      <c r="P44" s="110">
        <v>0</v>
      </c>
      <c r="Q44" s="110">
        <v>10.193625609948899</v>
      </c>
      <c r="R44" s="110">
        <v>2.5976482183469898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0">
        <v>0</v>
      </c>
      <c r="Y44" s="110">
        <v>0</v>
      </c>
      <c r="Z44" s="110">
        <v>0</v>
      </c>
      <c r="AA44" s="110">
        <v>0</v>
      </c>
      <c r="AB44" s="110">
        <v>0</v>
      </c>
      <c r="AC44" s="110">
        <v>0</v>
      </c>
      <c r="AD44" s="110">
        <v>2.1038575978176</v>
      </c>
      <c r="AE44" s="110">
        <v>2.1516604565802198E-2</v>
      </c>
      <c r="AF44" s="110">
        <v>7.9088587043566402E-2</v>
      </c>
      <c r="AG44" s="110">
        <v>0</v>
      </c>
      <c r="AH44" s="110">
        <v>0.65495046150965897</v>
      </c>
      <c r="AI44" s="110">
        <v>0</v>
      </c>
      <c r="AJ44" s="110">
        <v>0</v>
      </c>
      <c r="AK44" s="110">
        <v>11.5376951162387</v>
      </c>
      <c r="AL44" s="110">
        <v>0</v>
      </c>
      <c r="AM44" s="110">
        <v>19.310896277828601</v>
      </c>
      <c r="AN44" s="110">
        <v>1.4532004777037899</v>
      </c>
      <c r="AO44" s="110">
        <v>0.18923693401578101</v>
      </c>
      <c r="AP44" s="110">
        <v>0</v>
      </c>
      <c r="AQ44" s="110">
        <v>0</v>
      </c>
      <c r="AR44" s="111">
        <v>0.188715436366232</v>
      </c>
    </row>
    <row r="45" spans="2:44" ht="12" customHeight="1" x14ac:dyDescent="0.3">
      <c r="B45" s="109" t="s">
        <v>42</v>
      </c>
      <c r="C45" s="110" t="s">
        <v>95</v>
      </c>
      <c r="D45" s="110" t="s">
        <v>43</v>
      </c>
      <c r="E45" s="110" t="s">
        <v>25</v>
      </c>
      <c r="F45" s="110" t="s">
        <v>25</v>
      </c>
      <c r="G45" s="110" t="s">
        <v>25</v>
      </c>
      <c r="H45" s="110" t="s">
        <v>76</v>
      </c>
      <c r="I45" s="110" t="s">
        <v>25</v>
      </c>
      <c r="J45" s="110">
        <v>15.53</v>
      </c>
      <c r="K45" s="110">
        <v>34.06</v>
      </c>
      <c r="L45" s="110">
        <v>0.209052610616006</v>
      </c>
      <c r="M45" s="110">
        <v>0</v>
      </c>
      <c r="N45" s="110">
        <v>0</v>
      </c>
      <c r="O45" s="110">
        <v>0</v>
      </c>
      <c r="P45" s="110">
        <v>0</v>
      </c>
      <c r="Q45" s="110">
        <v>10.415226166687001</v>
      </c>
      <c r="R45" s="110">
        <v>2.6541188317893201</v>
      </c>
      <c r="S45" s="110">
        <v>0</v>
      </c>
      <c r="T45" s="110">
        <v>0</v>
      </c>
      <c r="U45" s="110">
        <v>0</v>
      </c>
      <c r="V45" s="110">
        <v>0</v>
      </c>
      <c r="W45" s="110">
        <v>0</v>
      </c>
      <c r="X45" s="110">
        <v>0</v>
      </c>
      <c r="Y45" s="110">
        <v>0</v>
      </c>
      <c r="Z45" s="110">
        <v>0</v>
      </c>
      <c r="AA45" s="110">
        <v>0</v>
      </c>
      <c r="AB45" s="110">
        <v>0</v>
      </c>
      <c r="AC45" s="110">
        <v>0</v>
      </c>
      <c r="AD45" s="110">
        <v>2.1495936325527598</v>
      </c>
      <c r="AE45" s="110">
        <v>2.1984356838971899E-2</v>
      </c>
      <c r="AF45" s="110">
        <v>8.0807904153209195E-2</v>
      </c>
      <c r="AG45" s="110">
        <v>0</v>
      </c>
      <c r="AH45" s="110">
        <v>0.66918851502073795</v>
      </c>
      <c r="AI45" s="110">
        <v>0</v>
      </c>
      <c r="AJ45" s="110">
        <v>0</v>
      </c>
      <c r="AK45" s="110">
        <v>11.788514575287399</v>
      </c>
      <c r="AL45" s="110">
        <v>0</v>
      </c>
      <c r="AM45" s="110">
        <v>19.7306983708249</v>
      </c>
      <c r="AN45" s="110">
        <v>1.48479179243649</v>
      </c>
      <c r="AO45" s="110">
        <v>0.19335078040742801</v>
      </c>
      <c r="AP45" s="110">
        <v>0</v>
      </c>
      <c r="AQ45" s="110">
        <v>0</v>
      </c>
      <c r="AR45" s="111">
        <v>0.19281794585245501</v>
      </c>
    </row>
    <row r="46" spans="2:44" ht="12" customHeight="1" x14ac:dyDescent="0.3">
      <c r="B46" s="109" t="s">
        <v>42</v>
      </c>
      <c r="C46" s="110" t="s">
        <v>95</v>
      </c>
      <c r="D46" s="110" t="s">
        <v>43</v>
      </c>
      <c r="E46" s="110" t="s">
        <v>97</v>
      </c>
      <c r="F46" s="110" t="s">
        <v>25</v>
      </c>
      <c r="G46" s="110" t="s">
        <v>25</v>
      </c>
      <c r="H46" s="110" t="s">
        <v>76</v>
      </c>
      <c r="I46" s="110" t="s">
        <v>25</v>
      </c>
      <c r="J46" s="110">
        <v>15.2</v>
      </c>
      <c r="K46" s="110">
        <v>33.33</v>
      </c>
      <c r="L46" s="110">
        <v>0.20460468273056001</v>
      </c>
      <c r="M46" s="110">
        <v>0</v>
      </c>
      <c r="N46" s="110">
        <v>0</v>
      </c>
      <c r="O46" s="110">
        <v>0</v>
      </c>
      <c r="P46" s="110">
        <v>0</v>
      </c>
      <c r="Q46" s="110">
        <v>10.193625609948899</v>
      </c>
      <c r="R46" s="110">
        <v>2.5976482183469898</v>
      </c>
      <c r="S46" s="110">
        <v>0</v>
      </c>
      <c r="T46" s="110">
        <v>0</v>
      </c>
      <c r="U46" s="110">
        <v>0</v>
      </c>
      <c r="V46" s="110">
        <v>0</v>
      </c>
      <c r="W46" s="110">
        <v>0</v>
      </c>
      <c r="X46" s="110">
        <v>0</v>
      </c>
      <c r="Y46" s="110">
        <v>0</v>
      </c>
      <c r="Z46" s="110">
        <v>0</v>
      </c>
      <c r="AA46" s="110">
        <v>0</v>
      </c>
      <c r="AB46" s="110">
        <v>0</v>
      </c>
      <c r="AC46" s="110">
        <v>0</v>
      </c>
      <c r="AD46" s="110">
        <v>2.1038575978176</v>
      </c>
      <c r="AE46" s="110">
        <v>2.1516604565802198E-2</v>
      </c>
      <c r="AF46" s="110">
        <v>7.9088587043566402E-2</v>
      </c>
      <c r="AG46" s="110">
        <v>0</v>
      </c>
      <c r="AH46" s="110">
        <v>0.65495046150965897</v>
      </c>
      <c r="AI46" s="110">
        <v>0</v>
      </c>
      <c r="AJ46" s="110">
        <v>0</v>
      </c>
      <c r="AK46" s="110">
        <v>11.5376951162387</v>
      </c>
      <c r="AL46" s="110">
        <v>0</v>
      </c>
      <c r="AM46" s="110">
        <v>19.310896277828601</v>
      </c>
      <c r="AN46" s="110">
        <v>1.4532004777037899</v>
      </c>
      <c r="AO46" s="110">
        <v>0.18923693401578101</v>
      </c>
      <c r="AP46" s="110">
        <v>0</v>
      </c>
      <c r="AQ46" s="110">
        <v>0</v>
      </c>
      <c r="AR46" s="111">
        <v>0.188715436366232</v>
      </c>
    </row>
    <row r="47" spans="2:44" ht="12" customHeight="1" x14ac:dyDescent="0.3">
      <c r="B47" s="109" t="s">
        <v>37</v>
      </c>
      <c r="C47" s="110" t="s">
        <v>33</v>
      </c>
      <c r="D47" s="110" t="s">
        <v>25</v>
      </c>
      <c r="E47" s="110" t="s">
        <v>25</v>
      </c>
      <c r="F47" s="110" t="s">
        <v>25</v>
      </c>
      <c r="G47" s="110" t="s">
        <v>34</v>
      </c>
      <c r="H47" s="110" t="s">
        <v>76</v>
      </c>
      <c r="I47" s="110" t="s">
        <v>25</v>
      </c>
      <c r="J47" s="110">
        <v>16.52</v>
      </c>
      <c r="K47" s="110">
        <v>49.3</v>
      </c>
      <c r="L47" s="110">
        <v>0.222396394272347</v>
      </c>
      <c r="M47" s="110">
        <v>0</v>
      </c>
      <c r="N47" s="110">
        <v>0</v>
      </c>
      <c r="O47" s="110">
        <v>0</v>
      </c>
      <c r="P47" s="110">
        <v>0</v>
      </c>
      <c r="Q47" s="110">
        <v>11.080027836900999</v>
      </c>
      <c r="R47" s="110">
        <v>2.8235306721162998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2.2868017367582598</v>
      </c>
      <c r="AE47" s="110">
        <v>2.3387613658480699E-2</v>
      </c>
      <c r="AF47" s="110">
        <v>8.5965855482137393E-2</v>
      </c>
      <c r="AG47" s="110">
        <v>0</v>
      </c>
      <c r="AH47" s="110">
        <v>0.71190267555397702</v>
      </c>
      <c r="AI47" s="110">
        <v>0</v>
      </c>
      <c r="AJ47" s="110">
        <v>0</v>
      </c>
      <c r="AK47" s="110">
        <v>12.5409729524334</v>
      </c>
      <c r="AL47" s="110">
        <v>0</v>
      </c>
      <c r="AM47" s="110">
        <v>34.059415092150502</v>
      </c>
      <c r="AN47" s="110">
        <v>1.5795657366345599</v>
      </c>
      <c r="AO47" s="110">
        <v>0.205692319582371</v>
      </c>
      <c r="AP47" s="110">
        <v>0</v>
      </c>
      <c r="AQ47" s="110">
        <v>0</v>
      </c>
      <c r="AR47" s="111">
        <v>0.20512547431112199</v>
      </c>
    </row>
    <row r="48" spans="2:44" ht="12" customHeight="1" x14ac:dyDescent="0.3">
      <c r="B48" s="109" t="s">
        <v>37</v>
      </c>
      <c r="C48" s="110" t="s">
        <v>33</v>
      </c>
      <c r="D48" s="110" t="s">
        <v>25</v>
      </c>
      <c r="E48" s="110" t="s">
        <v>25</v>
      </c>
      <c r="F48" s="110" t="s">
        <v>25</v>
      </c>
      <c r="G48" s="110" t="s">
        <v>36</v>
      </c>
      <c r="H48" s="110" t="s">
        <v>76</v>
      </c>
      <c r="I48" s="110" t="s">
        <v>25</v>
      </c>
      <c r="J48" s="110">
        <v>16.52</v>
      </c>
      <c r="K48" s="110">
        <v>35.049999999999997</v>
      </c>
      <c r="L48" s="110">
        <v>0.222396394272347</v>
      </c>
      <c r="M48" s="110">
        <v>0</v>
      </c>
      <c r="N48" s="110">
        <v>0</v>
      </c>
      <c r="O48" s="110">
        <v>0</v>
      </c>
      <c r="P48" s="110">
        <v>0</v>
      </c>
      <c r="Q48" s="110">
        <v>11.080027836900999</v>
      </c>
      <c r="R48" s="110">
        <v>2.8235306721162998</v>
      </c>
      <c r="S48" s="110">
        <v>0</v>
      </c>
      <c r="T48" s="110">
        <v>0</v>
      </c>
      <c r="U48" s="110">
        <v>0</v>
      </c>
      <c r="V48" s="110">
        <v>0</v>
      </c>
      <c r="W48" s="110">
        <v>0</v>
      </c>
      <c r="X48" s="110">
        <v>0</v>
      </c>
      <c r="Y48" s="110">
        <v>0</v>
      </c>
      <c r="Z48" s="110">
        <v>0</v>
      </c>
      <c r="AA48" s="110">
        <v>0</v>
      </c>
      <c r="AB48" s="110">
        <v>0</v>
      </c>
      <c r="AC48" s="110">
        <v>0</v>
      </c>
      <c r="AD48" s="110">
        <v>2.2868017367582598</v>
      </c>
      <c r="AE48" s="110">
        <v>2.3387613658480699E-2</v>
      </c>
      <c r="AF48" s="110">
        <v>8.5965855482137393E-2</v>
      </c>
      <c r="AG48" s="110">
        <v>0</v>
      </c>
      <c r="AH48" s="110">
        <v>0.71190267555397702</v>
      </c>
      <c r="AI48" s="110">
        <v>0</v>
      </c>
      <c r="AJ48" s="110">
        <v>0</v>
      </c>
      <c r="AK48" s="110">
        <v>12.5409729524334</v>
      </c>
      <c r="AL48" s="110">
        <v>0</v>
      </c>
      <c r="AM48" s="110">
        <v>19.801985518692199</v>
      </c>
      <c r="AN48" s="110">
        <v>1.5795657366345599</v>
      </c>
      <c r="AO48" s="110">
        <v>0.205692319582371</v>
      </c>
      <c r="AP48" s="110">
        <v>0</v>
      </c>
      <c r="AQ48" s="110">
        <v>0</v>
      </c>
      <c r="AR48" s="111">
        <v>0.20512547431112199</v>
      </c>
    </row>
    <row r="49" spans="2:44" ht="12" customHeight="1" x14ac:dyDescent="0.3">
      <c r="B49" s="109" t="s">
        <v>37</v>
      </c>
      <c r="C49" s="110" t="s">
        <v>33</v>
      </c>
      <c r="D49" s="110" t="s">
        <v>25</v>
      </c>
      <c r="E49" s="110" t="s">
        <v>25</v>
      </c>
      <c r="F49" s="110" t="s">
        <v>25</v>
      </c>
      <c r="G49" s="110" t="s">
        <v>35</v>
      </c>
      <c r="H49" s="110" t="s">
        <v>76</v>
      </c>
      <c r="I49" s="110" t="s">
        <v>25</v>
      </c>
      <c r="J49" s="110">
        <v>16.52</v>
      </c>
      <c r="K49" s="110">
        <v>35.049999999999997</v>
      </c>
      <c r="L49" s="110">
        <v>0.222396394272347</v>
      </c>
      <c r="M49" s="110">
        <v>0</v>
      </c>
      <c r="N49" s="110">
        <v>0</v>
      </c>
      <c r="O49" s="110">
        <v>0</v>
      </c>
      <c r="P49" s="110">
        <v>0</v>
      </c>
      <c r="Q49" s="110">
        <v>11.080027836900999</v>
      </c>
      <c r="R49" s="110">
        <v>2.8235306721162998</v>
      </c>
      <c r="S49" s="110">
        <v>0</v>
      </c>
      <c r="T49" s="110">
        <v>0</v>
      </c>
      <c r="U49" s="110">
        <v>0</v>
      </c>
      <c r="V49" s="110">
        <v>0</v>
      </c>
      <c r="W49" s="110">
        <v>0</v>
      </c>
      <c r="X49" s="110">
        <v>0</v>
      </c>
      <c r="Y49" s="110">
        <v>0</v>
      </c>
      <c r="Z49" s="110">
        <v>0</v>
      </c>
      <c r="AA49" s="110">
        <v>0</v>
      </c>
      <c r="AB49" s="110">
        <v>0</v>
      </c>
      <c r="AC49" s="110">
        <v>0</v>
      </c>
      <c r="AD49" s="110">
        <v>2.2868017367582598</v>
      </c>
      <c r="AE49" s="110">
        <v>2.3387613658480699E-2</v>
      </c>
      <c r="AF49" s="110">
        <v>8.5965855482137393E-2</v>
      </c>
      <c r="AG49" s="110">
        <v>0</v>
      </c>
      <c r="AH49" s="110">
        <v>0.71190267555397702</v>
      </c>
      <c r="AI49" s="110">
        <v>0</v>
      </c>
      <c r="AJ49" s="110">
        <v>0</v>
      </c>
      <c r="AK49" s="110">
        <v>12.5409729524334</v>
      </c>
      <c r="AL49" s="110">
        <v>0</v>
      </c>
      <c r="AM49" s="110">
        <v>19.801985518692199</v>
      </c>
      <c r="AN49" s="110">
        <v>1.5795657366345599</v>
      </c>
      <c r="AO49" s="110">
        <v>0.205692319582371</v>
      </c>
      <c r="AP49" s="110">
        <v>0</v>
      </c>
      <c r="AQ49" s="110">
        <v>0</v>
      </c>
      <c r="AR49" s="111">
        <v>0.20512547431112199</v>
      </c>
    </row>
    <row r="50" spans="2:44" ht="12" customHeight="1" x14ac:dyDescent="0.3">
      <c r="B50" s="109" t="s">
        <v>37</v>
      </c>
      <c r="C50" s="110" t="s">
        <v>23</v>
      </c>
      <c r="D50" s="110" t="s">
        <v>25</v>
      </c>
      <c r="E50" s="110" t="s">
        <v>25</v>
      </c>
      <c r="F50" s="110" t="s">
        <v>25</v>
      </c>
      <c r="G50" s="110" t="s">
        <v>25</v>
      </c>
      <c r="H50" s="110" t="s">
        <v>76</v>
      </c>
      <c r="I50" s="110" t="s">
        <v>25</v>
      </c>
      <c r="J50" s="110">
        <v>16.52</v>
      </c>
      <c r="K50" s="110">
        <v>36.229999999999997</v>
      </c>
      <c r="L50" s="110">
        <v>0.222396394272347</v>
      </c>
      <c r="M50" s="110">
        <v>0</v>
      </c>
      <c r="N50" s="110">
        <v>0</v>
      </c>
      <c r="O50" s="110">
        <v>0</v>
      </c>
      <c r="P50" s="110">
        <v>0</v>
      </c>
      <c r="Q50" s="110">
        <v>11.080027836900999</v>
      </c>
      <c r="R50" s="110">
        <v>2.8235306721162998</v>
      </c>
      <c r="S50" s="110">
        <v>0</v>
      </c>
      <c r="T50" s="110">
        <v>0</v>
      </c>
      <c r="U50" s="110">
        <v>0</v>
      </c>
      <c r="V50" s="110">
        <v>0</v>
      </c>
      <c r="W50" s="110">
        <v>0</v>
      </c>
      <c r="X50" s="110">
        <v>0</v>
      </c>
      <c r="Y50" s="110">
        <v>0</v>
      </c>
      <c r="Z50" s="110">
        <v>0</v>
      </c>
      <c r="AA50" s="110">
        <v>0</v>
      </c>
      <c r="AB50" s="110">
        <v>0</v>
      </c>
      <c r="AC50" s="110">
        <v>0</v>
      </c>
      <c r="AD50" s="110">
        <v>2.2868017367582598</v>
      </c>
      <c r="AE50" s="110">
        <v>2.3387613658480699E-2</v>
      </c>
      <c r="AF50" s="110">
        <v>8.5965855482137393E-2</v>
      </c>
      <c r="AG50" s="110">
        <v>0</v>
      </c>
      <c r="AH50" s="110">
        <v>0.71190267555397702</v>
      </c>
      <c r="AI50" s="110">
        <v>0</v>
      </c>
      <c r="AJ50" s="110">
        <v>0</v>
      </c>
      <c r="AK50" s="110">
        <v>12.5409729524334</v>
      </c>
      <c r="AL50" s="110">
        <v>0</v>
      </c>
      <c r="AM50" s="110">
        <v>20.990104649813699</v>
      </c>
      <c r="AN50" s="110">
        <v>1.5795657366345599</v>
      </c>
      <c r="AO50" s="110">
        <v>0.205692319582371</v>
      </c>
      <c r="AP50" s="110">
        <v>0</v>
      </c>
      <c r="AQ50" s="110">
        <v>0</v>
      </c>
      <c r="AR50" s="111">
        <v>0.20512547431112199</v>
      </c>
    </row>
    <row r="51" spans="2:44" ht="12" customHeight="1" x14ac:dyDescent="0.3">
      <c r="B51" s="109" t="s">
        <v>37</v>
      </c>
      <c r="C51" s="110" t="s">
        <v>95</v>
      </c>
      <c r="D51" s="110" t="s">
        <v>25</v>
      </c>
      <c r="E51" s="110" t="s">
        <v>25</v>
      </c>
      <c r="F51" s="110" t="s">
        <v>25</v>
      </c>
      <c r="G51" s="110" t="s">
        <v>25</v>
      </c>
      <c r="H51" s="110" t="s">
        <v>76</v>
      </c>
      <c r="I51" s="110" t="s">
        <v>25</v>
      </c>
      <c r="J51" s="110">
        <v>16.52</v>
      </c>
      <c r="K51" s="110">
        <v>36.229999999999997</v>
      </c>
      <c r="L51" s="110">
        <v>0.222396394272347</v>
      </c>
      <c r="M51" s="110">
        <v>0</v>
      </c>
      <c r="N51" s="110">
        <v>0</v>
      </c>
      <c r="O51" s="110">
        <v>0</v>
      </c>
      <c r="P51" s="110">
        <v>0</v>
      </c>
      <c r="Q51" s="110">
        <v>11.080027836900999</v>
      </c>
      <c r="R51" s="110">
        <v>2.8235306721162998</v>
      </c>
      <c r="S51" s="110">
        <v>0</v>
      </c>
      <c r="T51" s="110">
        <v>0</v>
      </c>
      <c r="U51" s="110">
        <v>0</v>
      </c>
      <c r="V51" s="110">
        <v>0</v>
      </c>
      <c r="W51" s="110">
        <v>0</v>
      </c>
      <c r="X51" s="110">
        <v>0</v>
      </c>
      <c r="Y51" s="110">
        <v>0</v>
      </c>
      <c r="Z51" s="110">
        <v>0</v>
      </c>
      <c r="AA51" s="110">
        <v>0</v>
      </c>
      <c r="AB51" s="110">
        <v>0</v>
      </c>
      <c r="AC51" s="110">
        <v>0</v>
      </c>
      <c r="AD51" s="110">
        <v>2.2868017367582598</v>
      </c>
      <c r="AE51" s="110">
        <v>2.3387613658480699E-2</v>
      </c>
      <c r="AF51" s="110">
        <v>8.5965855482137393E-2</v>
      </c>
      <c r="AG51" s="110">
        <v>0</v>
      </c>
      <c r="AH51" s="110">
        <v>0.71190267555397702</v>
      </c>
      <c r="AI51" s="110">
        <v>0</v>
      </c>
      <c r="AJ51" s="110">
        <v>0</v>
      </c>
      <c r="AK51" s="110">
        <v>12.5409729524334</v>
      </c>
      <c r="AL51" s="110">
        <v>0</v>
      </c>
      <c r="AM51" s="110">
        <v>20.990104649813699</v>
      </c>
      <c r="AN51" s="110">
        <v>1.5795657366345599</v>
      </c>
      <c r="AO51" s="110">
        <v>0.205692319582371</v>
      </c>
      <c r="AP51" s="110">
        <v>0</v>
      </c>
      <c r="AQ51" s="110">
        <v>0</v>
      </c>
      <c r="AR51" s="111">
        <v>0.20512547431112199</v>
      </c>
    </row>
    <row r="52" spans="2:44" ht="12" customHeight="1" x14ac:dyDescent="0.3">
      <c r="B52" s="109" t="s">
        <v>45</v>
      </c>
      <c r="C52" s="110" t="s">
        <v>23</v>
      </c>
      <c r="D52" s="110" t="s">
        <v>46</v>
      </c>
      <c r="E52" s="110" t="s">
        <v>47</v>
      </c>
      <c r="F52" s="110" t="s">
        <v>25</v>
      </c>
      <c r="G52" s="110" t="s">
        <v>25</v>
      </c>
      <c r="H52" s="110" t="s">
        <v>76</v>
      </c>
      <c r="I52" s="110" t="s">
        <v>25</v>
      </c>
      <c r="J52" s="110">
        <v>9.09</v>
      </c>
      <c r="K52" s="110">
        <v>19.93</v>
      </c>
      <c r="L52" s="110">
        <v>0.122318016849791</v>
      </c>
      <c r="M52" s="110">
        <v>0</v>
      </c>
      <c r="N52" s="110">
        <v>0</v>
      </c>
      <c r="O52" s="110">
        <v>0</v>
      </c>
      <c r="P52" s="110">
        <v>0</v>
      </c>
      <c r="Q52" s="110">
        <v>6.0940153102955597</v>
      </c>
      <c r="R52" s="110">
        <v>1.5529418696639601</v>
      </c>
      <c r="S52" s="110">
        <v>0</v>
      </c>
      <c r="T52" s="110">
        <v>0</v>
      </c>
      <c r="U52" s="110">
        <v>0</v>
      </c>
      <c r="V52" s="110">
        <v>0</v>
      </c>
      <c r="W52" s="110">
        <v>0</v>
      </c>
      <c r="X52" s="110">
        <v>0</v>
      </c>
      <c r="Y52" s="110">
        <v>0</v>
      </c>
      <c r="Z52" s="110">
        <v>0</v>
      </c>
      <c r="AA52" s="110">
        <v>0</v>
      </c>
      <c r="AB52" s="110">
        <v>0</v>
      </c>
      <c r="AC52" s="110">
        <v>0</v>
      </c>
      <c r="AD52" s="110">
        <v>1.25774095521704</v>
      </c>
      <c r="AE52" s="110">
        <v>1.2863187512164399E-2</v>
      </c>
      <c r="AF52" s="110">
        <v>4.7281220515175602E-2</v>
      </c>
      <c r="AG52" s="110">
        <v>0</v>
      </c>
      <c r="AH52" s="110">
        <v>0.39154647155468703</v>
      </c>
      <c r="AI52" s="110">
        <v>0</v>
      </c>
      <c r="AJ52" s="110">
        <v>0</v>
      </c>
      <c r="AK52" s="110">
        <v>6.8975351238383702</v>
      </c>
      <c r="AL52" s="110">
        <v>0</v>
      </c>
      <c r="AM52" s="110">
        <v>11.5445575573975</v>
      </c>
      <c r="AN52" s="110">
        <v>0.86876115514900698</v>
      </c>
      <c r="AO52" s="110">
        <v>0.113130775770304</v>
      </c>
      <c r="AP52" s="110">
        <v>0</v>
      </c>
      <c r="AQ52" s="110">
        <v>0</v>
      </c>
      <c r="AR52" s="111">
        <v>0.112819010871117</v>
      </c>
    </row>
    <row r="53" spans="2:44" ht="12" customHeight="1" x14ac:dyDescent="0.3">
      <c r="B53" s="112" t="s">
        <v>45</v>
      </c>
      <c r="C53" s="113" t="s">
        <v>23</v>
      </c>
      <c r="D53" s="113" t="s">
        <v>46</v>
      </c>
      <c r="E53" s="113" t="s">
        <v>98</v>
      </c>
      <c r="F53" s="113" t="s">
        <v>25</v>
      </c>
      <c r="G53" s="113" t="s">
        <v>25</v>
      </c>
      <c r="H53" s="113" t="s">
        <v>76</v>
      </c>
      <c r="I53" s="113" t="s">
        <v>25</v>
      </c>
      <c r="J53" s="113">
        <v>9.91</v>
      </c>
      <c r="K53" s="113">
        <v>21.74</v>
      </c>
      <c r="L53" s="113">
        <v>0.13343783656340799</v>
      </c>
      <c r="M53" s="113">
        <v>0</v>
      </c>
      <c r="N53" s="113">
        <v>0</v>
      </c>
      <c r="O53" s="113">
        <v>0</v>
      </c>
      <c r="P53" s="113">
        <v>0</v>
      </c>
      <c r="Q53" s="113">
        <v>6.6480167021406098</v>
      </c>
      <c r="R53" s="113">
        <v>1.69411840326978</v>
      </c>
      <c r="S53" s="113">
        <v>0</v>
      </c>
      <c r="T53" s="113">
        <v>0</v>
      </c>
      <c r="U53" s="113">
        <v>0</v>
      </c>
      <c r="V53" s="113">
        <v>0</v>
      </c>
      <c r="W53" s="113">
        <v>0</v>
      </c>
      <c r="X53" s="113">
        <v>0</v>
      </c>
      <c r="Y53" s="113">
        <v>0</v>
      </c>
      <c r="Z53" s="113">
        <v>0</v>
      </c>
      <c r="AA53" s="113">
        <v>0</v>
      </c>
      <c r="AB53" s="113">
        <v>0</v>
      </c>
      <c r="AC53" s="113">
        <v>0</v>
      </c>
      <c r="AD53" s="113">
        <v>1.3720810420549501</v>
      </c>
      <c r="AE53" s="113">
        <v>1.4032568195088401E-2</v>
      </c>
      <c r="AF53" s="113">
        <v>5.1579513289282397E-2</v>
      </c>
      <c r="AG53" s="113">
        <v>0</v>
      </c>
      <c r="AH53" s="113">
        <v>0.42714160533238599</v>
      </c>
      <c r="AI53" s="113">
        <v>0</v>
      </c>
      <c r="AJ53" s="113">
        <v>0</v>
      </c>
      <c r="AK53" s="113">
        <v>7.5245837714600396</v>
      </c>
      <c r="AL53" s="113">
        <v>0</v>
      </c>
      <c r="AM53" s="113">
        <v>12.5940627898882</v>
      </c>
      <c r="AN53" s="113">
        <v>0.94773944198073501</v>
      </c>
      <c r="AO53" s="113">
        <v>0.123415391749422</v>
      </c>
      <c r="AP53" s="113">
        <v>0</v>
      </c>
      <c r="AQ53" s="113">
        <v>0</v>
      </c>
      <c r="AR53" s="114">
        <v>0.12307528458667299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36</vt:i4>
      </vt:variant>
    </vt:vector>
  </HeadingPairs>
  <TitlesOfParts>
    <vt:vector size="36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TUSD BF_350</vt:lpstr>
      <vt:lpstr>TE BF_350</vt:lpstr>
      <vt:lpstr>EFEITO_350</vt:lpstr>
      <vt:lpstr>TarifaMedia</vt:lpstr>
      <vt:lpstr>TABELAS REH_350</vt:lpstr>
      <vt:lpstr>TabDinEfeito_350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2022-06-28T18:36:36Z</dcterms:created>
  <dcterms:modified xsi:type="dcterms:W3CDTF">2022-07-18T13:44:46Z</dcterms:modified>
</cp:coreProperties>
</file>